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definedName hidden="1" localSheetId="0" name="_xlnm._FilterDatabase">Sheet1!$A$1:$M$2626</definedName>
  </definedNames>
  <calcPr/>
  <extLst>
    <ext uri="GoogleSheetsCustomDataVersion2">
      <go:sheetsCustomData xmlns:go="http://customooxmlschemas.google.com/" r:id="rId5" roundtripDataChecksum="NWkOYfkYzt89NKgjJ1foPKmD+leJnTYC9k3yLUZRfDA="/>
    </ext>
  </extLst>
</workbook>
</file>

<file path=xl/sharedStrings.xml><?xml version="1.0" encoding="utf-8"?>
<sst xmlns="http://schemas.openxmlformats.org/spreadsheetml/2006/main" count="28667" uniqueCount="11304">
  <si>
    <t xml:space="preserve"> case_number</t>
  </si>
  <si>
    <t>employer</t>
  </si>
  <si>
    <t>agent_attorney_name</t>
  </si>
  <si>
    <t>state</t>
  </si>
  <si>
    <t>randomization_group</t>
  </si>
  <si>
    <t>begin_date</t>
  </si>
  <si>
    <t>end_date</t>
  </si>
  <si>
    <t xml:space="preserve"> contact</t>
  </si>
  <si>
    <t xml:space="preserve"> phone</t>
  </si>
  <si>
    <t xml:space="preserve"> wage</t>
  </si>
  <si>
    <t>vacancies</t>
  </si>
  <si>
    <t xml:space="preserve"> title</t>
  </si>
  <si>
    <t xml:space="preserve"> description</t>
  </si>
  <si>
    <t>cargo_pt</t>
  </si>
  <si>
    <t>descricao_pt</t>
  </si>
  <si>
    <t>H-400-26184-075834</t>
  </si>
  <si>
    <t>501K Recycling, LLC</t>
  </si>
  <si>
    <t>Kirsten Corea</t>
  </si>
  <si>
    <t>TENNESSEE</t>
  </si>
  <si>
    <t>A</t>
  </si>
  <si>
    <t>01/10/2026</t>
  </si>
  <si>
    <t>kiley@501k-recycling.com</t>
  </si>
  <si>
    <t>+17319245122</t>
  </si>
  <si>
    <t>Recycling and Reclamation Workers</t>
  </si>
  <si>
    <t>Unload trucks, prepare items for shipping, and load trailers. Materials to be loaded include plastic products, paper, and/or cardboard. Manually move freight, stock, or other materials to and from storage or production areas, loading docks, delivery vehicles, ships, or containers, by hand or using trucks, tractors, or other equipment. Drive a forklift/bobcat when needed. Workers must observe all safety policies and procedures.
Job Classification:
53-7062.04 - Recycling and Reclamation Workers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Repetitive lift/carry 75lbs., when necessary. Repetitive movements, extensive sitting, walking, and pushing/pulling. Work schedule is at least 5 days/week with shifts varying by day and work days varying by week to include Saturday and Sunday. Ability to work outside in all weather conditions and in a fast-paced environment. Employer may offer more than the stated work hours depending on weather, business needs, and other conditions. Extreme heat, cold, rain, or drought may affect exact working hours.
Number of Hours Per Week:
40
Work Schedule (Start/End time):
8:00 A.M. - 4:30 P.M.</t>
  </si>
  <si>
    <t>H-400-26184-075851</t>
  </si>
  <si>
    <t>504 Oyster Company LLC</t>
  </si>
  <si>
    <t>Monica Thode</t>
  </si>
  <si>
    <t>LOUISIANA</t>
  </si>
  <si>
    <t>01/07/2027</t>
  </si>
  <si>
    <t>504oystercompany@gmail.com</t>
  </si>
  <si>
    <t>+15044420419</t>
  </si>
  <si>
    <t>Oyster Processor</t>
  </si>
  <si>
    <t>Duties may include: Use knives to shuck, clean, trim, and slice oysters from their shell to be weighed and prepared for sale, clean-up working areas &amp; other related Oyster Processor activities as per SOC/OES 51-3022 (onetonline.org). Standard/Expected Schedule: Saturday-Wednesday 5:00AM-12:00PM. Offering 35+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Job Classification: 51-3022.00 - Meat, Poultry, and Fish Cutters and Trimmers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Must be 18 due to travel. Must show proof of legal authorization to work in the United States. Drug/alcohol/tobacco free work zone. Perform physical activities: such as lift, balance, walk, stoop, handle, position, move, manipulate materials use static strength to exert maximum muscle force to lift, push, pull, carry objects up to 50lbs. All applicants must be able, willing and qualified to perform work described and must be available for the entire period specified and work throughout all areas of intended employment.Based on Employer's discretion/cost: Worker may have random drug/alcohol testing during employment: positive test/refusal to abide = dismissal. Delivery and availability of seafood product from fisherman may result in possible downtimes due to weather conditions. Number of Hours Per Week: 35 Work Schedule (Start/End time): 5:00 A.M. - 7:00 P.M.</t>
  </si>
  <si>
    <t>H-400-26184-075861</t>
  </si>
  <si>
    <t>ABC Professional Tree Services, Inc - Haw River</t>
  </si>
  <si>
    <t>NORTH CAROLINA</t>
  </si>
  <si>
    <t>29/06/2027</t>
  </si>
  <si>
    <t>H2B@abctree.com</t>
  </si>
  <si>
    <t>+12812801100</t>
  </si>
  <si>
    <t>Mechanic Helper</t>
  </si>
  <si>
    <t>***RFI response*** 1. Equipment Types Vehicles: Pickup/service/mechanic/crew/flatbed/dump/grapple/chip/bucket trucks, backyard lifts, trailers, vans &amp; co. fleet vehicles supporting utility vegetation mgmt. ops. Industrial Machinery/Equipment: Wood chippers, stump grinders, backyard/aerial lifts, bucket truck components, hydraulic equip., forestry mowers, skid steers, tractors, compressors, pumps &amp; support equip. used in tree trimming, vegetation mgmt. &amp; fleet ops. Electrical/Electronic Equipment: Vehicle/trailer lighting, backup alarms, safety beacons/strobe lights, battery cables, batteries, fuses, basic wiring, camera/GPS units, telematics devices &amp; basic elec. components on co. vehicles/equip. 2. Duties &amp; Tools Tasks: Furnish/carry tools, parts, materials &amp; supplies to mechanics/maint. workers; hold/position/secure parts during repair/maint.; assist w/ basic parts replacement (light bulbs, batteries, filters, wiper blades, tires, belts, hoses, trailer lights, reflective tape, routine items); assist w/ fluid checks/replenishment (engine oil, coolant, washer fluid, hydraulic fluid, DEF); remove/reinstall panels, covers, guards, tires &amp; components; assist w/ preventive maint. (grease fittings, check tire pressure, clean battery terminals, organize parts, prep equip.); move parts/supplies; clean/organize tools, maint./parts areas &amp; equip.; prep vehicles/equip. for inspection/service/repair. Tools/Materials: Hand tools incl. wrenches, sockets, ratchets, screwdrivers, pliers, hammers, grease guns, air hoses, battery testers, tire pressure gauges, funnels, drain pans, shop towels, brooms, degreasers, cleaning supplies, replacement bulbs, batteries, filters, belts, hoses, fluids &amp; maint. supplies. Assist w/ jacks, jack stands, lifts, carts, creepers &amp; shop support equip. as directed. 3. Diesel Engine Work Co. vehicles/equip. may contain diesel engines (trucks, bucket trucks, chip trucks, dump trucks, chippers, fleet equip.). Diesel work limited to helper-level support under supervision of mechanic/qualified maint. employee (furnish tools/parts, hold components, clean areas/equip., assist w/ fluid checks, replace basic service items, prep vehicles/equip.). No advanced diesel mechanic duties. 4. Facilities/Worksites Work at co. fleet yards, maint. shops, branch locations, equip. storage yards &amp; designated worksites. Field work at utility vegetation mgmt. job sites, staging areas, customer service areas &amp; roadside/jobsite locations for basic support/prep. Stationary work at co. yards/shops/branch facilities. Field work limited to supporting mechanics/fleet personnel w/ maint.-related tasks for co. vehicles/equip. 5. Cleaning Tasks Cleaning = basic helper-level cleaning/housekeeping related to vehicles, equip., tools &amp; maint. areas. Remove dirt, grease, debris, sawdust, leaves, mud, oil residue &amp; job-related buildup from equip. surfaces, tools, floors, benches &amp; work areas. Tools incl.: brooms, shop towels, rags, brushes, scrapers, buckets, water hoses, degreasers, absorbent pads, spill kits, trash containers, gloves, safety glasses &amp; cleaning supplies. ***Original*** Help installation, maintenance, and repair workers in maintenance, parts replacement, and repair of vehicles, industrial machinery, and electrical and electronic equipment. Perform duties such as furnishing tools, materials, and supplies to other workers; cleaning work area, machines, and tools; and holding materials or tools for other workers. Job Classification: 49-3093.00 - Tire Repairers and Changers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Must lift/carry 50 lbs.,or more, when necessary. Saturday and Sunday work required, when necessary. Employer-paid drug testing required of foreign and domestic workers prior to commencing work and post-hire at random, upon suspicion of use, and post-accident. Post-hire background check and employment eligibility (e-Verify) check required of foreign and domestic workers. Employer-paid physical required prior to beginning work to ensure worker can safely perform the job. Incidental limited travel and double time pay may be available under certain emergent conditions and holidays. Employer may offer more than the stated work hours depending on weather, business needs, and other conditions. Extreme heat, cold, rain, or drought may affect exact working hours. Number of Hours Per Week: 35 Work Schedule (Start/End time): 7:00 A.M. - 3:00 P.M.</t>
  </si>
  <si>
    <t>H-400-26184-075845</t>
  </si>
  <si>
    <t>ABC Professional Tree Services, Inc - Jacksboro, TN</t>
  </si>
  <si>
    <t>B</t>
  </si>
  <si>
    <t>Mechanic Helpers</t>
  </si>
  <si>
    <t>***RFI response*** 1. Equipment Types Vehicles: Pickup/service/mechanic/crew/flatbed/dump/grapple/chip/bucket trucks, backyard lifts, trailers, vans &amp; co. fleet vehicles supporting utility vegetation mgmt. ops. Industrial Machinery/Equipment: Wood chippers, stump grinders, backyard/aerial lifts, bucket truck components, hydraulic equip., forestry mowers, skid steers, tractors, compressors, pumps &amp; support equip. used in tree trimming, vegetation mgmt. &amp; fleet ops. Electrical/Electronic Equipment: Vehicle/trailer lighting, backup alarms, safety beacons/strobe lights, battery cables, batteries, fuses, basic wiring, camera/GPS units, telematics devices &amp; basic elec. components on co. vehicles/equip. 2. Duties &amp; Tools Tasks: Furnish/carry tools, parts, materials &amp; supplies to mechanics/maint. workers; hold/position/secure parts during repair/maint.; assist w/ basic parts replacement (light bulbs, batteries, filters, wiper blades, tires, belts, hoses, trailer lights, reflective tape, routine items); assist w/ fluid checks/replenishment (engine oil, coolant, washer fluid, hydraulic fluid, DEF); remove/reinstall panels, covers, guards, tires &amp; components; assist w/ preventive maint. (grease fittings, check tire pressure, clean battery terminals, organize parts, prep equip.); move parts/supplies; clean/organize tools, maint./parts areas &amp; equip.; prep vehicles/equip. for inspection/service/repair. Tools/Materials: Hand tools incl. wrenches, sockets, ratchets, screwdrivers, pliers, hammers, grease guns, air hoses, battery testers, tire pressure gauges, funnels, drain pans, shop towels, brooms, degreasers, cleaning supplies, replacement bulbs, batteries, filters, belts, hoses, fluids &amp; maint. supplies. Assist w/ jacks, jack stands, lifts, carts, creepers &amp; shop support equip. as directed. 3. Diesel Engine Work Co. vehicles/equip. may contain diesel engines (trucks, bucket trucks, chip trucks, dump trucks, chippers, fleet equip.). Diesel work limited to helper-level support under supervision of mechanic/qualified maint. employee (furnish tools/parts, hold components, clean areas/equip., assist w/ fluid checks, replace basic service items, prep vehicles/equip.). No advanced diesel mechanic duties. 4. Facilities/Worksites Work at co. fleet yards, maint. shops, branch locations, equip. storage yards &amp; designated worksites. Field work at utility vegetation mgmt. job sites, staging areas, customer service areas &amp; roadside/jobsite locations for basic support/prep. Stationary work at co. yards/shops/branch facilities. Field work limited to supporting mechanics/fleet personnel w/ maint.-related tasks for co. vehicles/equip. 5. Cleaning Tasks Cleaning = basic helper-level cleaning/housekeeping related to vehicles, equip., tools &amp; maint. areas. Remove dirt, grease, debris, sawdust, leaves, mud, oil residue &amp; job-related buildup from equip. surfaces, tools, floors, benches &amp; work areas. Tools incl.: brooms, shop towels, rags, brushes, scrapers, buckets, water hoses, degreasers, absorbent pads, spill kits, trash containers, gloves, safety glasses &amp; cleaning supplies. ***Original*** Help installation, maintenance, and repair workers in maintenance, parts replacement, and repair of vehicles, industrial machinery, and electrical and electronic equipment. Perform duties such as furnishing tools, materials, and supplies to other workers; cleaning work area, machines, and tools; and holding materials or tools for other workers. Job Classification: 49-9098.00 - Helpers--Installation, Maintenance, and Repair Workers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Must lift/carry 50 lbs., or more, when necessary. Saturday and Sunday work required, when necessary. Employer-paid drug testing required of foreign and domestic workers prior to commencing work and post-hire at random, upon suspicion of use, and post-accident. Post-hire background check and employment eligibility (e-Verify) check required of foreign and domestic workers. Employer-paid physical required prior to beginning work to ensure worker can safely perform the job. Incidental limited travel and double time pay may be available under certain emergent conditions and holidays. Employer may offer more than the stated work hours depending on weather, business needs, and other conditions. Extreme heat, cold, rain, or drought may affect exact working hours. Number of Hours Per Week: 35 Work Schedule (Start/End time): 7:00 A.M. - 3:00 P.M.</t>
  </si>
  <si>
    <t>H-400-26184-075827</t>
  </si>
  <si>
    <t>ABC Professional Tree Services, Inc - Nashville</t>
  </si>
  <si>
    <t>H-400-26184-075826</t>
  </si>
  <si>
    <t>ABC Professional Tree Services, Inc - Prescott</t>
  </si>
  <si>
    <t>ARKANSAS</t>
  </si>
  <si>
    <t>H-400-26184-075850</t>
  </si>
  <si>
    <t>Accent Lawn and Landscape LLC</t>
  </si>
  <si>
    <t>Amber Hodgson</t>
  </si>
  <si>
    <t>MISSOURI</t>
  </si>
  <si>
    <t>30/11/2026</t>
  </si>
  <si>
    <t>apply.accentSTL@gmail.com</t>
  </si>
  <si>
    <t>+13145184937</t>
  </si>
  <si>
    <t>Landscape Laborer</t>
  </si>
  <si>
    <t>Duties may include: Care for established lawns and properties by mowing, trimming, edging, mulching, aerating, weeding, removing thatch, litter &amp; debris. Follow planned landscaping schedule and designs to determine where to lay sod, plant trees, shrubs &amp; flowers, install mortarless segmental concrete masonry wall units for landscaping purposes, and prune or trim LANDSCAPE trees, shrubs, or hedges. Water trees, shrubs, flowers, &amp; lawns. Shovel snow from walks, driveways, or parking lots and spread salt in those areas &amp; other related Landscape Laborer activities as per SOC/OES 37-3011 (onetonline.org). Standard/Expected Schedule: Monday-Friday 7:30AM-4:30PM.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Job Classification: 37-3011.00 - Landscaping and Groundskeeping Workers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Must be 18 due to insurance. Must show proof of legal authorization to work in the United States. Drug/alcohol/tobacco free work zone. Perform physical activities: such as lift, balance, walk, stoop, handle, position, move, manipulate materials use static strength to exert maximum muscle force to lift, push, pull, carry objects up to 50lbs. All applicants must be able, willing and qualified to perform work described and must be available for the entire period specified and work throughout all areas of intended employment. Possible background check post hire at employer's expense.Work is performed outdoors, exposed to weather; must be capable of doing physically strenuous labor for long hours, occasionally in extreme heat or cold. Variable weather conditions apply; hours may fluctuate (+/-), possible downtime and/or overtime. Number of Hours Per Week: 40 Work Schedule (Start/End time): 7:30 A.M. - 4:30 P.M.</t>
  </si>
  <si>
    <t>H-400-26184-076025</t>
  </si>
  <si>
    <t>A&amp;A Landscape LLC</t>
  </si>
  <si>
    <t>Lucas Hettinger</t>
  </si>
  <si>
    <t>TEXAS</t>
  </si>
  <si>
    <t>20/12/2026</t>
  </si>
  <si>
    <t>mashah@aalandscape.net</t>
  </si>
  <si>
    <t>+12144031383</t>
  </si>
  <si>
    <t>Landscape or maintain grounds of property using hand or power tools or equipment. Workers typically perform a variety of tasks, which may include any combination of the following: mulching, mowing, trimming, pruning, planting, watering, fertilizing, digging, raking, and install/maintain/repair lawn sprinkler systems. Load/unload trucks. Entry level; requires supervision. Job Classification: 37-3011.00 - Landscaping and Groundskeeping Workers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Must lift/carry 50 lbs., when necessary. Saturday and Sunday work required, when necessary. Employer-paid drug/alcohol testing required of foreign and domestic workers post-hire at random. Employer may offer more than the stated work hours, depending on weather, business needs, and other conditions. Extreme heat, cold, rain, or drought may affect exact working hours. Number of Hours Per Week: 40 Work Schedule (Start/End time): 8:00 A.M. - 5:00 P.M.</t>
  </si>
  <si>
    <t>H-400-26184-075865</t>
  </si>
  <si>
    <t>All About Events - Jacksonville LLC</t>
  </si>
  <si>
    <t>FLORIDA</t>
  </si>
  <si>
    <t>15/07/2027</t>
  </si>
  <si>
    <t>H2B@allabouteventsjax.com</t>
  </si>
  <si>
    <t>Tent Install Crew Member</t>
  </si>
  <si>
    <t>Assist with the delivery, set-up, removal, and storage of event rental equipment for special events; loading &amp; unloading trucks; assisting with warehouse tasks such as cleaning rental equipment, organization, and inventory. Entry level; requires supervision. Job Classification: 53-7062.00 - Laborers and Freight, Stock, and Material Movers, Hand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Must lift/carry 50 lbs., when necessary. Saturday and Sunday work required, when necessary. Multiple shifts offered based on business needs. Employer-paid drug test required of foreign and domestic workers prior to commencing work. Post-hire motor vehicle record check required only of foreign and domestic workers who drive company vehicles (driving is not a requirement of all workers in the position). Employer may offer more than the stated work hours depending on weather, business needs, and other conditions. Extreme heat, cold, rain, or drought may affect exact working hours. Number of Hours Per Week: 40 Work Schedule (Start/End time): 7:00 A.M. - 4:00 P.M.</t>
  </si>
  <si>
    <t>H-400-26184-075825</t>
  </si>
  <si>
    <t>Alpha Omega Forestry LLC</t>
  </si>
  <si>
    <t>Paris Kerns</t>
  </si>
  <si>
    <t>OREGON</t>
  </si>
  <si>
    <t>31/07/2027</t>
  </si>
  <si>
    <t>alphaomegaforestry@gmail.com</t>
  </si>
  <si>
    <t>+15416900305</t>
  </si>
  <si>
    <t>Forestry Worker</t>
  </si>
  <si>
    <t>Duties may include: Plant: seedlings/trees using manual/hand planting tools and apply mulch as necessary. Trim, thin, space, or prune trees or other vegetation; cut trees or logs and hand pile. UNDER THE DIRECTION OF FIRE SUPPRESSION OFFICERS OR FORESTRY TECHNICIANS: fire prevention and suppression duties such as burning tasks, fire protection, and suppression via clearing/disposing of brush, piling, and digging line/constructing fire breaks. Incidental driving &amp; other related Forestry Worker activities as per SOC/OES 45-4011 (onetonline.org). Standard/Expected Schedule: Monday-Friday 6:30AM-3:00PM.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Optional, shared housing available at no cost to the worker. Job Classification: 45-4011.00 - Forest and Conservation Workers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Must be 18 due to travel. Must show proof of legal authorization to work in the United States. Drug/alcohol/tobacco free work zone. Must walk substantially (up to 15 miles/day), also stoop, bend while carrying a pack (up to 50lbs) thru rough terrain (non-trail). All applicants must be able, willing and qualified to perform work described and must be available for the entire period specified and work throughout all areas of intended employment.Based on Employer's discretion/cost: Worker may have random drug/alcohol testing during employment: positive test/refusal to abide = dismissal. Work is performed outdoors, exposed to weather; must be capable of doing physically strenuous labor for long hours, occasionally in extreme heat or cold. Variable weather conditions apply; hours may fluctuate (+/-), possible downtime and/or overtime. Number of Hours Per Week: 40 Work Schedule (Start/End time): 6:30 A.M. - 3:00 P.M.</t>
  </si>
  <si>
    <t>H-400-26184-075846</t>
  </si>
  <si>
    <t>AmeriGro Landscape Services, LLC</t>
  </si>
  <si>
    <t>SOUTH CAROLINA</t>
  </si>
  <si>
    <t>Info@amerigrolandscape.com</t>
  </si>
  <si>
    <t>+18435564052</t>
  </si>
  <si>
    <t>Duties may include: Care for established lawns by mowing, trimming, edging, mulching, aerating, weeding, raking, and removing thatch, leaves, litter, and debris. Follow planned landscaping designs for installation of trees, shrubs, foliage, sod, flowers and irrigation systems. Haul or spread topsoil. Prune or trim trees, shrubs, foliage and deadhead flowers. Mix and spray or spread fertilizers, herbicides, or insecticides onto trees, shrubs, foliage or lawns using hand or automatic sprayers or spreaders. Water lawns, trees, or plants, using hoses and portable sprinkler systems. Maintain residential and commercial irrigation systems. Provide proper upkeep to planters, sidewalks, driveways, and parking lots. Use hand tools, such as shovels, rakes or pruning shears and pruning saws. May operate vehicles or powered equipment, such as work trucks with small utility trailers, mowers, trimmers, edgers, leaf blowers, and electric clippers &amp; other related Landscape Laborer activities as per SOC/OES 37-3011 (onetonline.org). Standard/Expected Schedule: Monday-Friday 7:00AM-3:30PM.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Job Classification: 37-3011.00 - Landscaping and Groundskeeping Workers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Must be 18 due to insurance. Must show proof of legal authorization to work in the United States. Drug/alcohol/tobacco free work zone. Perform physical activities: such as lift, balance, walk, stoop, handle, position, move, manipulate materials use static strength to exert maximum muscle force to lift, push, pull, carry objects up to 30lbs. All applicants must be able, willing and qualified to perform work described and must be available for the entire period specified and work throughout all areas of intended employment. Possible background check post hire at employer's expense.Work is performed outdoors, exposed to weather; must be capable of doing physically strenuous labor for long hours, occasionally in extreme heat or cold. Variable weather conditions apply; hours may fluctuate (+/-), possible downtime and/or overtime. Number of Hours Per Week: 40 Work Schedule (Start/End time): 7:00 A.M. - 3:30 P.M.</t>
  </si>
  <si>
    <t>H-400-26184-075819</t>
  </si>
  <si>
    <t>American BioCarbon CT, LLC</t>
  </si>
  <si>
    <t>Jodi Ruis</t>
  </si>
  <si>
    <t>31/01/2027</t>
  </si>
  <si>
    <t>MaryLou.Kadlik@cs-ops.com</t>
  </si>
  <si>
    <t>+16033194485</t>
  </si>
  <si>
    <t>Equipment Operator</t>
  </si>
  <si>
    <t>Load, unload, and transport bagasse to the processing station using a front loader, ensuring proper distribution and safe handling. Perform pre-shift equipment inspection, routine maintenance, and basic repairs to ensure equipment operates effectively. Report any malfunctions or maintenance needs promptly. Maintain project site for safe operation. Adhere to all safety regulations and protocols to prevent accidents and maintain a safe working environment for oneself and others on the job site. Job Classification: 53-7051.00 - Industrial Truck and Tractor Operators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12 Special Requirements: Requires twelve months of Equipment Operator experience. Must lift/carry 50 lbs., when necessary. Physical demands include extended periods of standing, walking, climbing, and lifting heavy objects. Work schedule is at least 5 days/week with shifts varying by day and work days varying by week to include Saturday and Sunday. Sample shifts: 6am-6pm, 6pm-6am. Employer-paid drug test required of foreign and domestic workers prior to commencing work. Post-hire background check required of foreign and domestic workers. Workers that are able to obtain a valid U.S. driver's license may drive company vehicles (driving is not a requirement of all workers in the position). Employer may offer more than the stated work hours depending on weather, business needs, and other conditions. Extreme heat, cold, rain, or drought may affect exact working hours. Number of Hours Per Week: 57 Work Schedule (Start/End time): 6:00 A.M. - 6:00 P.M.</t>
  </si>
  <si>
    <t>H-400-26184-075820</t>
  </si>
  <si>
    <t>Anna's Seafood Inc.</t>
  </si>
  <si>
    <t>Jordyn Nowoj</t>
  </si>
  <si>
    <t>ALABAMA</t>
  </si>
  <si>
    <t>danaseafood@gmail.com</t>
  </si>
  <si>
    <t>+12518244031</t>
  </si>
  <si>
    <t>Oyster Shuckers</t>
  </si>
  <si>
    <t>Duties may include: Use knife/slicker to perform oyster shucking: cut, clean, rinse, trim, slice, shuck, weigh, &amp; package oysters. Unload/disperse oysters; Clean-up of work area &amp; other related Oyster Shuckers activities as per SOC/OES 51-3022 (onetonline.org). Standard/Expected Schedule: Monday-Friday 5:00AM-12:00PM. Offering 35+ (plus) hours per week; not including applicable lunch and/or breaks. Lack of or late delivery of seafood product @ dock may result in delay/downtime.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$1/lb. Paid per pound equal to or more than prevailing wage amount. Job Classification: 51-3022.00 - Meat, Poultry, and Fish Cutters and Trimmers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Must be 18 due to insurance. Must show proof of legal authorization to work in the United States. Drug/alcohol/tobacco free work zone. Perform physical activities: such as lift, balance, walk, stoop, handle, position, move, manipulate materials use static strength to exert maximum muscle force to lift, push, pull, carry objects up to 50lbs. All applicants must be able, willing and qualified to perform work described and must be available for the entire period specified and work throughout all areas of intended employment.Based on Employer's discretion/cost: Worker may have random drug/alcohol testing during employment: positive test/refusal to abide = dismissal. Delivery and availability of seafood product from fisherman may result in possible downtimes due to weather conditions. Number of Hours Per Week: 35 Work Schedule (Start/End time): 5:00 A.M. - 12:00 P.M.</t>
  </si>
  <si>
    <t>H-400-26184-075869</t>
  </si>
  <si>
    <t>Awesome Service Brands LLC</t>
  </si>
  <si>
    <t>PENNSYLVANIA</t>
  </si>
  <si>
    <t>01/03/2027</t>
  </si>
  <si>
    <t>davedolak@gmail.com</t>
  </si>
  <si>
    <t>+15704368787</t>
  </si>
  <si>
    <t>Duties may include: Decorate indoor or outdoor spaces, power wash walkways, install mortarless segmental pavers, install outdoor landscape lighting, lawn maintenance including mowing, edging, and cleanup of outdoor landscapes &amp; other related Landscape Laborer activities as per SOC/OES 49-9099 (onetonline.org). Standard/Expected Schedule: Monday-Friday 8:00AM-6:00PM. Offering 35+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Job Classification: 49-9099.00 - Installation, Maintenance, and Repair Workers, All Other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Must be 18 due to insurance. Must show proof of legal authorization to work in the United States. Drug/alcohol/tobacco free work zone. Perform physical activities: such as lift, balance, walk, stoop, handle, position, move, manipulate materials use static strength to exert maximum muscle force to lift, push, pull, carry objects up to 50lbs. All applicants must be able, willing and qualified to perform work described and must be available for the entire period specified and work throughout all areas of intended employment. Work is performed outdoors, exposed to weather; must be capable of doing physically strenuous labor for long hours, occasionally in extreme heat or cold. Variable weather conditions apply; hours may fluctuate (+/-), possible downtime and/or overtime. Number of Hours Per Week: 35 Work Schedule (Start/End time): 8:00 A.M. - 6:00 P.M.</t>
  </si>
  <si>
    <t>H-400-26184-075847</t>
  </si>
  <si>
    <t>B&amp;M Property Management, LLC</t>
  </si>
  <si>
    <t>Brandon Reinke</t>
  </si>
  <si>
    <t>IOWA</t>
  </si>
  <si>
    <t>01/04/2027</t>
  </si>
  <si>
    <t>marshall@bmokoboji.com</t>
  </si>
  <si>
    <t>+17123182933</t>
  </si>
  <si>
    <t>General Laborer</t>
  </si>
  <si>
    <t>Duties may include: Remove snow and ice from sidewalks and walkways using hand shovels, ice picks, and fuel-powered snow removal equipment. Apply ice melt/salt to treated surfaces. Clean all tools, equipment, and vehicles after use, including washing salt from equipment and trucks to prevent corrosion. Ensure all tools and equipment are ready for use prior to deployment. Drive crew members to job sites. Communicate with managers before, during, and after snow events &amp; other related General Laborer activities as per SOC/OES 37-2011 (onetonline.org). Standard/Expected Schedule: Monday-Friday 6:00AM-2:00PM.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Job Classification: 37-2011.00 - Janitors and Cleaners, Except Maids and Housekeeping Cleaners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Must be 18 due to equipment use. Must show proof of legal authorization to work in the United States. Drug/alcohol/tobacco free work zone. Perform physical activities such as: lift, balance, walk, stoop, handle, position, move, manipulate materials use static strength to exert max muscle force to lift, push, pull, carry objects up to 75lbs (possible 2-person). All applicants must be able, willing and qualified to perform work described and must be available for the entire period specified and work throughout all areas of intended employment. Based on Employer's discretion/cost: Worker may have random drug/alcohol testing during employment: positive test/refusal to abide = dismissal. Possible background check post hire at employer's expense. Work is performed outdoors, exposed to weather; must be capable of doing physically strenuous labor for long hours, occasionally in extreme heat or cold. Variable weather conditions apply; hours may fluctuate (+/-), possible downtime and/or overtime. Number of Hours Per Week: 40 Work Schedule (Start/End time): 6:00 A.M. - 2:00 P.M.</t>
  </si>
  <si>
    <t>H-400-26184-075822</t>
  </si>
  <si>
    <t>BATH, INC.</t>
  </si>
  <si>
    <t>KARA YOUNGBLOOD</t>
  </si>
  <si>
    <t>COLORADO</t>
  </si>
  <si>
    <t>moss@bathgardencenter.com</t>
  </si>
  <si>
    <t>+19704494230</t>
  </si>
  <si>
    <t>Landscaping and Groundskeeping Worker</t>
  </si>
  <si>
    <t>Duties include dormant season installation of trees, shrubs, or flowers in the appropriate design pattern. Unloading materials, digging holes for root systems, properly covering the holes and sometimes sod laying, planting grass seed or connecting irrigation. Leaf removal, lawn seed and straw, lawn aeration, planting shrubbery, digging, raking, and installation of mortarless segmental concrete masonry wall units. Workers may gather and remove litter, water seeded lawns, trees, plants and prune or trim trees, shrubs, or hedges. Workers may operate powered equipment, and drive vehicles to customer locations. Duties may include sod laying, mowing, watering plants &amp; lawns, plant transplanting, fertilizing, digging, raking, sprinkler installation. Employees will be digging trenches no larger than 6 - 12 inches deep and 6 - 12 inches wide with shovels and hand tools. These trenches are used to hold tubing used in the installation of irrigation systems. All the trimming/pruning will take place on the ground. The workers will not perform any pruning or trimming activities above ground level. The worker may transport other workers to and from job sites on occasion, however this will not be their primary job duty. Job Classification: 37-3011.00 - Landscaping and Groundskeeping Workers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Must be able to lift 50 lbs., repetitive movements, extensive pushing/pulling, extensive walking, frequent stooping, exposure to extreme temperatures. Number of Hours Per Week: 40 Work Schedule (Start/End time): 7:00 A.M. - 4:00 P.M.</t>
  </si>
  <si>
    <t>H-400-26184-075818</t>
  </si>
  <si>
    <t>Badger State Maintenance, LLC</t>
  </si>
  <si>
    <t>WISCONSIN</t>
  </si>
  <si>
    <t>dani@badgerstatemaintenance.com</t>
  </si>
  <si>
    <t>+16085316284</t>
  </si>
  <si>
    <t>Landscape or maintain grounds of property using hand or power tools or equipment. Workers typically perform a variety of tasks, which may include any combination of the following: mowing, trimming, watering, fertilizing, digging, raking, assist with sprinkler installation, leaf cleanup/debris removal. Loading/unloading landscape equipment/materials; clean equipment/worksite when job is complete. Entry level; requires supervision. Job Classification: 37-3011.00 - Landscaping and Groundskeeping Workers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Must lift/carry 50 lbs., when necessary. Saturday work required, when necessary. Post-hire random drug testing required of foreign and domestic workers.Employer may offer more than the stated work hours, depending on weather, business needs, and other conditions. Extreme heat, cold, rain, or drought may affect exact working hours. Number of Hours Per Week: 40 Work Schedule (Start/End time): 7:00 A.M. - 4:00 P.M.</t>
  </si>
  <si>
    <t>H-400-26184-075852</t>
  </si>
  <si>
    <t>Baldwin Forestry, LLC</t>
  </si>
  <si>
    <t>Nicole Torretta</t>
  </si>
  <si>
    <t>GEORGIA</t>
  </si>
  <si>
    <t>baldwinforestry@gmail.com</t>
  </si>
  <si>
    <t>+12298695111</t>
  </si>
  <si>
    <t>Duties may include: Sort tree seedlings, discarding substandard seedlings, prepare the ground, and plant trees in reforestation areas, using manual and/or mechanical planting tools and equipment. Check equipment to ensure that it is operating properly &amp; other related Forestry Worker activities as per SOC/OES 45-4011 (onetonline.org). Standard/Expected Schedule: Monday-Friday 7:00AM-6:00PM.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Job Classification: 45-4011.00 - Forest and Conservation Workers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Must be 18 due to travel. Must show proof of legal authorization to work in the United States. Drug/alcohol/tobacco free work zone. Must walk substantially (up to 15 miles/day), also stoop, bend while carrying a pack (up to 50lbs) thru rough terrain (non-trail). All applicants must be able, willing and qualified to perform work described and must be available for the entire period specified and work throughout all areas of intended employment.Based on Employer's discretion/cost: Worker may have random drug/alcohol testing during employment: positive test/refusal to abide = dismissal. Work is performed outdoors, exposed to weather; must be capable of doing physically strenuous labor for long hours, occasionally in extreme heat or cold. Variable weather conditions apply; hours may fluctuate (+/-), possible downtime and/or overtime. Number of Hours Per Week: 40 Work Schedule (Start/End time): 7:00 A.M. - 6:00 P.M.</t>
  </si>
  <si>
    <t>H-400-26184-075867</t>
  </si>
  <si>
    <t>Basin Contractors, LLC</t>
  </si>
  <si>
    <t>15/12/2026</t>
  </si>
  <si>
    <t>tara@basincontractors.com</t>
  </si>
  <si>
    <t>+12256252942</t>
  </si>
  <si>
    <t>Landscape Worker</t>
  </si>
  <si>
    <t>Duties may include: Mowing, bush hogging, hand trimming, sweeping, shoveling, blowing, painting line markers, removing debris and cleaning/clearing worksites/equipment/facilities, operate/maintain a variety of hand and power equipment &amp; other related Landscape Worker activities as per SOC/OES 37-3011 (onetonline.org). Standard/Expected Schedule: Monday-Friday 6:00AM-4:00PM.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Optional, shared housing available at no cost to the worker. Job Classification: 37-3011.00 - Landscaping and Groundskeeping Workers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Must be 18 due to state labor laws. Must show proof of legal authorization to work in the United States. Drug/alcohol/tobacco free work zone. Perform physical activities: such as lift, balance, walk, stoop, handle, position, move, manipulate materials use static strength to exert maximum muscle force to lift, push, pull, carry objects up to 50lbs. All applicants must be able, willing and qualified to perform work described and must be available for the entire period specified and work throughout all areas of intended employment.Based on Employer's discretion/cost: Worker may have random drug/alcohol testing during employment: positive test/refusal to abide = dismissal. Possible background check post hire at employer's expense.Work is performed outdoors, exposed to weather; must be capable of doing physically strenuous labor for long hours, occasionally in extreme heat or cold. Variable weather conditions apply; hours may fluctuate (+/-), possible downtime and/or overtime. Number of Hours Per Week: 40 Work Schedule (Start/End time): 6:00 A.M. - 4:00 P.M.</t>
  </si>
  <si>
    <t>H-400-26184-075843</t>
  </si>
  <si>
    <t>Best Window Company</t>
  </si>
  <si>
    <t>Laura Jennings</t>
  </si>
  <si>
    <t>OKLAHOMA</t>
  </si>
  <si>
    <t>31/03/2027</t>
  </si>
  <si>
    <t>service@bestwindowco.com</t>
  </si>
  <si>
    <t>+19185616200</t>
  </si>
  <si>
    <t>Door/window Installer</t>
  </si>
  <si>
    <t>Installs prefabricated vinyl windows and doors in residential, commercial, and institutional buildings. Performs layout, measurement, fitting, and installation of pre-manufactured window and door units into prepared openings. Job duties: Measures and verifies rough openings for proper fit of prefabricated window and door units Installs prefabricated windows, doors, storefronts, and related assemblies into prepared openings. Sets units into position using hand tools, levels, and measuring devices. Plumbs, levels, and squares window and door frames to ensure proper operation. Secures units using shims, fasteners, screws, nails, or anchors as specified. Installs interior and exterior trim, casing, and molding around installed units. Applies caulking, sealants, and weatherstripping to ensure weathertight installations. Removes existing windows and doors when required for renovation work. Prepares rough openings by cleaning, repairing, or modifying as needed. Installs flashing, building paper, and moisture barriers per manufacturer specifications. Adjusts and aligns hardware including locks, handles, hinges, and operators. Tests installed units for proper operation, fit, and weatherproofing. Performs minor repairs and adjustments to ensure quality installation. Job Classification: 47-2031.00 - Carpenters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12 Special Requirements: Applicants must have a minimum of 12 months of experience installing prefabricated vinyl window and door units including setting, plumbing, leveling, and securing units into prepared openings. Must be able to lift and carry up to 75 lbs repeatedly throughout the workday. Must be able to work on ladders and scaffolding at varying heights. Must be able to kneel, bend, stoop, and work in awkward positions for extended periods. Must be able to work outdoors in varying weather conditions including heat, cold, and rain. Must be proficient in the use of hand and power tools including drills, circular saws, nail guns, caulking guns, levels, and measuring devices. Must have experience applying flashing, sealants, weatherstripping, and moisture barriers per manufacturer specifications. Must be able to install interior and exterior trim, casing, and molding. Must comply with all applicable OSHA safety standards and wear required personal protective equipment (PPE) at all times on the job site. Number of Hours Per Week: 40 Work Schedule (Start/End time): 7:30 A.M. - 4:30 P.M.</t>
  </si>
  <si>
    <t>H-400-26184-075866</t>
  </si>
  <si>
    <t>Bradford Snow and Ice Management, Inc.</t>
  </si>
  <si>
    <t>14/03/2027</t>
  </si>
  <si>
    <t>clantzman@snowandicemgmt.com</t>
  </si>
  <si>
    <t>+16102699800</t>
  </si>
  <si>
    <t>Snow Removal Laborer</t>
  </si>
  <si>
    <t>Workers will perform commercial and residential maintenance including fall/winter storm cleanup, shovel, throw, and plow snow. Chip ice, spread salt, apply salt treatments to pavement and walks. Snow/ice equipment maintenance. Use hand tools and equipment such as snow shovel, plow, snow thrower, salt spreader, and ice chippers. The workers will not be operating a truck with a snowplow attached to the front of the truck and will not be spreading salt via truck. Entry level; requires supervision. Job Classification: 37-3011.00 - Landscaping and Groundskeeping Workers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Must lift/carry 50 lbs., when necessary. Saturday and Sunday work required, when necessary. Post-hire employment eligibility (e-Verify) check required of foreign and domestic workers. Employer may offer more than the stated work hours, depending on weather, business needs, and other conditions. Extreme heat, cold, rain, or drought may affect exact working hours. Number of Hours Per Week: 40 Work Schedule (Start/End time): 6:30 A.M. - 3:00 P.M.</t>
  </si>
  <si>
    <t>H-400-26184-075848</t>
  </si>
  <si>
    <t>Burk Landscaping LLC</t>
  </si>
  <si>
    <t>Cooper Hufman</t>
  </si>
  <si>
    <t>burklandscape@gmail.com</t>
  </si>
  <si>
    <t>Site Preparation Worker</t>
  </si>
  <si>
    <t>***RFI Response*** When assisting with installation of the snow plows and spreaders, site preparation workers guide the driver of the vehicle into the snowplow connection and then use hand tools (hammer/screwdriver) to insert safety pins to secure the snow plow and spreader to the vehicle. Site preparation workers do not drive trucks or equipment, but instead clear snow from sidewalks with snow shovels and push spreader ***Original F.a.2*** Laborers will perform cleaning of commercial and residential properties including trash/debris pickup; leaf drop cleanup and dormant tree/shrub winter pruning incidental to site preparation in advance of the snow removal season. Laborers will perform cleaning of private properties resulting from inclement weather to include snow/ice removal from walkways/sidewalks using snow shovels, snow blowers, or walk behind salt spreaders in addition to snow melt/ice melt application; and trash/debris pickup from grounds. Workers may also place plastic snow markers at worksites to aid company’s separate snowplow drivers with identifying correct areas to clear. Workers may also installl plow and salt spreader mounting on trucks. Workers will clean equipment after use, to include power washing and cleaning of vehicle interiors in addition to power washing tools/equipment to remove salt. Winter laborers to organize and clean up debris in shop, ensure proper storage of tools/equipment and clean office areas. Entry level; requires supervision. Job Classification: 37-3011.00 - Landscaping and Groundskeeping Workers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Must lift/carry 50 lbs., when necessary. Saturday and Sunday work required, when necessary. Shift schedules may vary and workers are on call during inclement weather. Post-hire drug testing required of foreign and domestic workers upon suspicion of use. Post-hire background check required of foreign and domestic workers. Employer may offer more than the stated work hours depending on weather, business needs, and other conditions. Extreme heat, cold, rain, or drought may affect exact working hours. Number of Hours Per Week: 40 Work Schedule (Start/End time): 7:30 A.M. - 4:00 P.M.</t>
  </si>
  <si>
    <t>H-400-26184-075855</t>
  </si>
  <si>
    <t>C &amp; E Sales &amp; Services LLC</t>
  </si>
  <si>
    <t>06/06/2027</t>
  </si>
  <si>
    <t>cesalesservices@gmail.com</t>
  </si>
  <si>
    <t>Housekeepers</t>
  </si>
  <si>
    <t>Clean homes, cottages, rental properties, and commercial properties. Duties include general housekeeping, carpet/floor cleaning/vacuuming, washing dishes, making beds, washing/replenishing linens. Job Classification: 37-2012.00 - Maids and Housekeeping Cleaners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Must lift/carry 50 lbs., when necessary. Saturday and Sunday work required, when necessary. Employer may offer more than the stated work hours, depending on weather, business needs, and other conditions. Extreme heat, cold, rain, or drought may affect exact working hours. Number of Hours Per Week: 40 Work Schedule (Start/End time): 8:00 A.M. - 5:00 P.M.</t>
  </si>
  <si>
    <t>H-400-26184-075831</t>
  </si>
  <si>
    <t>Cabot Landscaping, LLC</t>
  </si>
  <si>
    <t>18/12/2026</t>
  </si>
  <si>
    <t>careers@hivelylandscapes.com</t>
  </si>
  <si>
    <t>Landscape or maintain grounds of property using hand or power tools or equipment. Workers will mow, edge, trim, water, fertilize, dig, rake, plant and remove trees and shrubs, prune ornamental plant material, install mulch, and remove leaves and debris. Job Classification: 37-3011.00 - Landscaping and Groundskeeping Workers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6 Special Requirements: Requires six months of previous landscape experience. Must lift/carry 50 lbs., when necessary. Ability to work outside in hot, cold, wet, dry conditions is required. Saturday work required, when necessary. Post-hire random and post-accident drug testing required of foreign and domestic workers. Two 15 minute paid breaks per day in addition to 30 minute unpaid lunch break. Driver's license required only of foreign and domestic workers who drive company vehicles (driving is not a requirement of all workers in the position). Employer may offer more than the stated work hours depending on weather, business needs, and other conditions. Extreme heat, cold, rain, or drought may affect exact working hours. Number of Hours Per Week: 45 Work Schedule (Start/End time): 6:45 A.M. - 6:00 P.M.</t>
  </si>
  <si>
    <t>H-400-26184-075854</t>
  </si>
  <si>
    <t>Charles Anderson Lawn Care Service Inc.</t>
  </si>
  <si>
    <t>VIRGINIA</t>
  </si>
  <si>
    <t>calawn@comcast.net</t>
  </si>
  <si>
    <t>+14345755296</t>
  </si>
  <si>
    <t>Landscape or maintain grounds of property using hand/power tools or equipment such as mowers, edgers and blowers. Activities may include any combination of the following: digging, planting, cultivating, raking, mulching, trimming, weeding, mowing, pruning, seeding, sod laying and spraying. Load/unload/move trees, shrubs, and landscape materials; remove debris; maintain, clean, and repair equipment/tools when not in use. Job Classification: 37-3011.00 - Landscaping and Groundskeeping Workers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Requires three months of previous landscape experience. Must lift/carry 50 lbs., when necessary. Saturday and Sunday work required, when necessary. Employer-paid drug testing required of foreign and domestic workers prior to commencing work and post-hire post-accident. Must bend, kneel, stoop, and walk for 8 hrs or longer in hot climate. Workers that are able to obtain a valid U.S. driver's license may drive company vehicles (driving is not a requirement of all workers in the position). Employer may offer more than the stated work hours depending on weather, business needs, and other conditions. Extreme heat, cold, rain, or drought may affect exact working hours. Number of Hours Per Week: 40 Work Schedule (Start/End time): 7:00 A.M. - 3:30 P.M.</t>
  </si>
  <si>
    <t>H-400-26184-075862</t>
  </si>
  <si>
    <t>DAY LANDSCAPING INSTALLS</t>
  </si>
  <si>
    <t>daylandscaping@hotmail.com</t>
  </si>
  <si>
    <t>+17243504116</t>
  </si>
  <si>
    <t>Duties include dormant season installation of trees, shrubs, or flowers in the appropriate design pattern. Unloading materials, digging holes for root systems, properly covering the holes and sometimes sod laying, planting grass seed or connecting irrigation. Leaf removal, lawn seed and straw, lawn aeration, planting shrubbery, digging, raking, and installation of mortarless segmental concrete masonry wall units. Workers may gather and remove litter, water seeded lawns, trees, plants and prune or trim trees, shrubs, or hedges. Workers may operate powered equipment, and drive vehicles to customer locations. Duties may include sod laying, mowing, watering plants &amp; lawns, plant transplanting, fertilizing, digging, raking, sprinkler installation. Employees will be digging trenches no larger than 6 - 12 inches deep and 6 - 12 inches wide with shovels and hand tools. These trenches are used to hold tubing used in the installation of irrigation systems. All the trimming/pruning will take place on the ground. The workers will not perform any pruning or trimming activities above ground level. The worker may transport other workers to and from job sites on occasion, however this will not be their primary job duty. Job Classification: 37-3011.00 - Landscaping and Groundskeeping Workers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Must have a valid drivers license. Post-hire drug screen at employers expense. 3 months experience required. Must be able to lift &amp; carry 50 lbs., repetitive movements, extensive pushing/pulling, extensive walking, frequent stooping, exposure to extreme temperatures. Number of Hours Per Week: 40 Work Schedule (Start/End time): 7:00 A.M. - 4:00 P.M.</t>
  </si>
  <si>
    <t>H-400-26184-075860</t>
  </si>
  <si>
    <t>EMERALD DUNES, LLC</t>
  </si>
  <si>
    <t>JOHN GISMONDI</t>
  </si>
  <si>
    <t>15/06/2027</t>
  </si>
  <si>
    <t>KGREEN@EMERALDDUNESCLUB.COM</t>
  </si>
  <si>
    <t>+15616871700</t>
  </si>
  <si>
    <t>Servers</t>
  </si>
  <si>
    <t>TAKE FOOD AND BEVERAGE ORDERS, BRING FOOD AND DRINKS FROM KITCHEN TO TABLES, CLEAN OFF AND SET TABLES. TAKE PAYMENTS. KEEP ALL STATIONS CLEANED AND STOCKED. SET UP BANQUET ROOMS Job Classification: 35-3031.00 - Waiters and Waitresses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ROTATING SHIFTS MON-SUN AND HOURS 6AM-10PM Pre-hire background check required for US workers and H2B workers Number of Hours Per Week: 40 Work Schedule (Start/End time): 6:00 A.M. - 10:00 P.M.</t>
  </si>
  <si>
    <t>H-400-26184-075859</t>
  </si>
  <si>
    <t>Elite Holiday Decor, Inc.</t>
  </si>
  <si>
    <t>Kymberly Lovoi</t>
  </si>
  <si>
    <t>info@elitechristmaslighting.com</t>
  </si>
  <si>
    <t>+17729339349</t>
  </si>
  <si>
    <t>Installer</t>
  </si>
  <si>
    <t>Duties may include: Organize and transfer Christmas lights, plastic mounting clips, decorations, ladders, tools and supplies from warehouse to work sites. Install, adjust, test and replace Christmas lights and decorations on roof-lines, fences, structures, trees, and bushes per customer’s request. Hold, assist or supply Christmas lights, plastic mounting clips, decorations, extension and step ladders, installation pole with hook, and supplies for other installers. Install and adjust extension cords and automatic timers. Uninstall, remove, organize and store Christmas lights and decorations after the holiday season. Clean and maintain work site &amp; other related Installer activities as per SOC/OES 49-9099 (onetonline.org). Standard/Expected Schedule: Monday-Friday 7:00AM-7:00PM.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Job Classification: 49-9099.00 - Installation, Maintenance, and Repair Workers, All Other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Must be 18 due to state labor laws. Must show proof of legal authorization to work in the United States. Drug/alcohol/tobacco free work zone. Perform physical activities such as: lift, balance, walk, stoop, handle, position, move, manipulate materials use static strength to exert max muscle force to lift, push, pull, carry objects up to 60lbs (possible 2-person). All applicants must be able, willing and qualified to perform work described and must be available for the entire period specified and work throughout all areas of intended employment. Work is performed outdoors, exposed to weather; must be capable of doing physically strenuous labor for long hours, occasionally in extreme heat or cold. Variable weather conditions apply; hours may fluctuate (+/-), possible downtime and/or overtime. Number of Hours Per Week: 40 Work Schedule (Start/End time): 7:00 A.M. - 7:00 P.M.</t>
  </si>
  <si>
    <t>H-400-26184-075830</t>
  </si>
  <si>
    <t>FLYNN TREE SPEACIALIST LLC</t>
  </si>
  <si>
    <t>01/06/2027</t>
  </si>
  <si>
    <t>michael@flynntreespecialist.com</t>
  </si>
  <si>
    <t>+16362197111</t>
  </si>
  <si>
    <t>Cleanup Worker</t>
  </si>
  <si>
    <t>CLEANING, REMOVAL OF STICKS &amp; BRANCHES FROM PROPERTIES. LOADING &amp; UNLOADING MATERIALS FROM TRUCKS. USING OF RAKES, BROOMS &amp; SHOVELS ON JOB SITES. Job Classification: 37-3011.00 - Landscaping and Groundskeeping Workers The job/industry classification and description includes general information on the position from ONET/OES and the North American Industry Classification System. Please review Job Duties and Job Order for more information. Job Requirements Experience Required: No Number of Hours Per Week: 40 Work Schedule (Start/End time): 8:00 A.M. - 5:00 P.M.</t>
  </si>
  <si>
    <t>H-400-26184-075824</t>
  </si>
  <si>
    <t>GARDENS OF BABYLON, LLC</t>
  </si>
  <si>
    <t>henisa.lopez@gardensofbabylon.com</t>
  </si>
  <si>
    <t>+16152448949</t>
  </si>
  <si>
    <t>Duties include dormant season installation of trees, shrubs, or flowers in the appropriate design pattern. Unloading materials, digging holes for root systems, properly covering the holes and sometimes sod laying, planting grass seed or connecting irrigation. Leaf removal, lawn seed and straw, lawn aeration, planting shrubbery, digging, raking, and installation of mortarless segmental concrete masonry wall units. Workers may gather and remove litter, water seeded lawns, trees, plants and prune or trim trees, shrubs, or hedges. Workers may operate powered equipment, and drive vehicles to customer locations. Duties may include sod laying, mowing, watering plants &amp; lawns, plant transplanting, fertilizing, digging, raking, sprinkler installation. Employees will be digging trenches no larger than 6 - 12 inches deep and 6 - 12 inches wide with shovels and hand tools. These trenches are used to hold tubing used in the installation of irrigation systems. All the trimming/pruning will take place on the ground. The workers will not perform any pruning or trimming activities above ground level. The worker may transport other workers to and from job sites on occasion, however this will not be their primary job duty. Job Classification: 37-3011.00 - Landscaping and Groundskeeping Workers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Must be able to lift 60 lbs., repetitive movements, extensive pushing/pulling, extensive walking, frequent stooping, exposure to extreme temperatures. Must have valid drivers license, post- hire drug screen at employers expense, 3 months experience required. Number of Hours Per Week: 40 Work Schedule (Start/End time): 7:00 A.M. - 4:00 P.M.</t>
  </si>
  <si>
    <t>H-400-26184-075842</t>
  </si>
  <si>
    <t>Garretson Farms LLC</t>
  </si>
  <si>
    <t>garretsonstonellc@gmail.com</t>
  </si>
  <si>
    <t>+19316352450</t>
  </si>
  <si>
    <t>Clear land of stones, rock and other debris using hand tools, such as shovels and rakes. Gather stones and rocks into baskets for removal. Dispose of trash or waste materials. Workers may gather and remove litter, operate powered equipment, and drive company vehicles to worksites. Work will be performed along a creek bed on open, uncleared land. The workers will pick up litter left as a result of previous work performed at the site. This litter may include old pallets and old wire. The powered equipment operated is a small articulated loader used to pick up pallets of rock. All vehicles or equipment operated weigh less than 26,000 pounds GVW. The workers will not drive company vehicles to transfer other employees/workers to and from worksites. Job Classification: 37-3019.00 - Grounds Maintenance Workers, All Other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Must be able to lift and carry 75 pounds. Exposure to extreme temperatures. Extensive walking, frequent stooping and bending. Number of Hours Per Week: 40 Work Schedule (Start/End time): 7:00 A.M. - 4:00 P.M.</t>
  </si>
  <si>
    <t>H-400-26184-075829</t>
  </si>
  <si>
    <t>General Forestry and Right-of-Way Services, LLC</t>
  </si>
  <si>
    <t>15/11/2026</t>
  </si>
  <si>
    <t>jobsgeneralforestry@gmail.com</t>
  </si>
  <si>
    <t>+18439842180</t>
  </si>
  <si>
    <t>Brush Clearer For Utility Rights Of Way</t>
  </si>
  <si>
    <t>Duties may include: Spray fertilizers, herbicides or insecticides, shrubs, or trees, using hand or automatic sprayers or spreaders &amp; other related Brush Clearer for Utility Rights of Way activities as per SOC/OES 37-3011 (onetonline.org). Standard/Expected Schedule: Monday-Friday 7:00AM-7:00PM. Offering 35-35+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Piece rate may apply: worker will never make less than Prevailing Wage or Federal/State/Local minimum wage. Optional, shared housing available at no cost to the worker. Job Classification: 37-3011.00 - Landscaping and Groundskeeping Workers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Must be 18 due to travel. Must show proof of legal authorization to work in the United States. Drug/alcohol/tobacco free work zone. Must walk substantially (up to 15 miles/day), also stoop, bend while carrying a pack (up to 50lbs) thru rough terrain (non-trail). All applicants must be able, willing and qualified to perform work described and must be available for the entire period specified and work throughout all areas of intended employment. Work is performed outdoors, exposed to weather; must be capable of doing physically strenuous labor for long hours, occasionally in extreme heat or cold. Variable weather conditions apply; hours may fluctuate (+/-), possible downtime and/or overtime. Number of Hours Per Week: 35 Work Schedule (Start/End time): 7:00 A.M. - 7:00 P.M.</t>
  </si>
  <si>
    <t>H-400-26184-075840</t>
  </si>
  <si>
    <t>Greenscape Landcare, Inc.</t>
  </si>
  <si>
    <t>01/12/2026</t>
  </si>
  <si>
    <t>greenscapelandcare@yahoo.com</t>
  </si>
  <si>
    <t>+14125512664</t>
  </si>
  <si>
    <t>Grounds/maintenance Specialist</t>
  </si>
  <si>
    <t>Landscape or maintain grounds of property using hand or power tools or equipment. Workers must be able to perform a variety of tasks without close supervision, which may include any combination of the following: sod laying, mowing, trimming, planting, watering, fertilizing, digging, raking, assists with sprinkler installation, and installation of mortarless segmental concrete masonry wall units. Entry level; requires supervision. Job Classification: 37-3011.00 - Landscaping and Groundskeeping Workers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Must lift/carry 50 lbs., when necessary. Saturday and Sunday work required, when necessary. Post-hire drug testing required of foreign and domestic workers upon suspicion of use and post-accident. Post-hire background check required of foreign and domestic workers. Employer may offer more than the stated work hours, depending on weather, business needs, and other conditions. Extreme heat, cold, rain, or drought may affect exact working hours. Number of Hours Per Week: 40 Work Schedule (Start/End time): 7:00 A.M. - 3:30 P.M.</t>
  </si>
  <si>
    <t>H-400-26184-075833</t>
  </si>
  <si>
    <t>HERITAGE LANDSCAPE SERVICES, INC.</t>
  </si>
  <si>
    <t>holly@heritagelandcare.com</t>
  </si>
  <si>
    <t>+18035691710</t>
  </si>
  <si>
    <t>Duties include dormant season installation of trees, shrubs, or flowers in the appropriate design pattern. Unloading materials, digging holes for root systems, properly covering the holes and sometimes sod laying, planting grass seed or connecting irrigation. Leaf removal, lawn seed and straw, lawn aeration, planting shrubbery, digging, raking, and installation of mortarless segmental concrete masonry wall units. Workers may gather and remove litter, water seeded lawns, trees, plants and prune or trim trees, shrubs, or hedges. Workers may operate powered equipment, and drive vehicles to customer locations. Duties may include sod laying, mowing, watering plants &amp; lawns, plant transplanting, fertilizing, digging, raking, sprinkler installation. Employees will be digging trenches no larger than 6 - 12 inches deep and 6 - 12 inches wide with shovels and hand tools. These trenches are used to hold tubing used in the installation of irrigation systems. All the trimming/pruning will take place on the ground. The workers will not perform any pruning or trimming activities above ground level. The worker may transport other workers to and from job sites on occasion, however this will not be their primary job duty. Job Classification: 37-3011.00 - Landscaping and Groundskeeping Workers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Must have valid drivers license. Must be able to lift 75 lbs. Repetitive movements, extensive pushing/pulling, extensive walking, frequent stooping, exposure to extreme temperatures, 3 months landscaping experience required, Post Hire Drug screen at employers expense. Number of Hours Per Week: 40 Work Schedule (Start/End time): 7:00 A.M. - 4:00 P.M.</t>
  </si>
  <si>
    <t>H-400-26184-075868</t>
  </si>
  <si>
    <t>Hedge Landscape LLC</t>
  </si>
  <si>
    <t>Tristan Strong</t>
  </si>
  <si>
    <t>OHIO</t>
  </si>
  <si>
    <t>info@hedgelandscape.com</t>
  </si>
  <si>
    <t>Landscape or maintain grounds of property using hand or power tools or equipment. Workers typically perform a variety of tasks, which may include any combination of the following: sod laying, mowing, trimming, planting, watering, fertilizing, digging, raking, weeding, mulching, pruning. Job Classification: 37-3011.00 - Landscaping and Groundskeeping Workers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Must lift/carry 50 lbs., when necessary. Saturday and Sunday work required, when necessary. Motor vehicle check req'd for any employee who drives company vehicle (driving is not req'd of all workers in position). Employer may offer more than the stated work hours depending on weather, business needs, and other conditions. Extreme heat, cold, rain, or drought may affect exact working hours. Number of Hours Per Week: 40 Work Schedule (Start/End time): 7:30 A.M. - 4:15 P.M.</t>
  </si>
  <si>
    <t>H-400-26184-075844</t>
  </si>
  <si>
    <t>Holt's Lawn and Landscaping, LLC</t>
  </si>
  <si>
    <t>KENTUCKY</t>
  </si>
  <si>
    <t>lholt@holtslandscape.com</t>
  </si>
  <si>
    <t>+15026040316</t>
  </si>
  <si>
    <t>Duties include sod laying, mowing, trimming/pruning trees, shrubs and plants, installation of plants, trees and shrubbery, watering plants &amp; lawns, plant transplanting, fertilizing, digging, raking, sprinkler installation, and installation of mortarless segmental concrete masonry wall units. Workers may gather and remove litter and operate powered equipment and drive company vehicles to customer locations. All vehicles to be driven are company pick-up trucks, the Gross Vehicle Weight capacity of the vehicle to be driven in the job duties is less than26,000 lbs. Powered equipment used will include lawn mowers, weed eaters, and trimmers. All the trimming/pruning will take place on the ground. The workers will not perform any pruning or trimming activities above ground level. The worker may transport other workers to and from job sites on occasion, however this will not be their primary job duty. Workers may drive company pickup trucks and similar light-duty company vehicles, to and from customer job sites. Workers may occasionally transport other workers to and from job sites; however, transportation of workers is not a primary job duty. Workers may also occasionally transport landscaping materials, tools, and equipment to and from job sites, including mulch, potted plants, shovels, rakes, mowers, blowers, and trimmers. No hazardous materials will be transported by workers. All vehicles and equipment operated weigh less than 26,000 pounds GVW, including any attached trailers or transported materials Job Classification: 37-3011.00 - Landscaping and Groundskeeping Workers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Must be able to lift 50 pounds, extensive walking, exposure to extreme temperatures, repetitive movements, extensive sitting, extensive pushing and pulling, frequent stooping, driver's license required, 3 months experience required. Number of Hours Per Week: 40 Work Schedule (Start/End time): 7:00 A.M. - 4:00 P.M.</t>
  </si>
  <si>
    <t>H-400-26184-075821</t>
  </si>
  <si>
    <t>LEABARK, LLC</t>
  </si>
  <si>
    <t>bluehawaiian135@yahoo.com</t>
  </si>
  <si>
    <t>+17316689222</t>
  </si>
  <si>
    <t>Construction Laborer</t>
  </si>
  <si>
    <t>Perform tasks involving physical labor at construction sites. May operate hand and power tools of all types. Assist with mixing, pouring, and placing concrete (no finishing responsibilities) and perform construction related tasks such as cleanup work site, assist other craft workers, dig trenches, direct traffic. Assist with positioning or dismantling forms for pouring concrete, using saws, hammers, nails, or bolts. Help other construction laborers by performing duties of lesser skill. Workers may assist other craft workers, by preparing worksites; gathering, loading, unloading, and transporting tools, materials, and equipment; cleaning work areas; and performing manual labor tasks associated with construction projects. Workers may use common hand tools and basic power tools including shovels, rakes, wheelbarrows, brooms, drills, compactors, levels, and measuring tools. Materials handled may include lumber, concrete forms, gravel, sand, cement, concrete, rebar, pipes, and other common construction materials. Job Classification: 47-2061.00 - Construction Laborers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Must be able to lift 50 lbs., repetitive movements, extensive pushing/pulling, extensive walking, frequent stooping, exposure to extreme temperatures. 3 months concrete experience required. Number of Hours Per Week: 40 Work Schedule (Start/End time): 7:00 A.M. - 4:00 P.M.</t>
  </si>
  <si>
    <t>H-400-26184-075837</t>
  </si>
  <si>
    <t>LEGACY FIBERGLASS POOLS</t>
  </si>
  <si>
    <t>Duane@vickscapes.com</t>
  </si>
  <si>
    <t>+16364393973</t>
  </si>
  <si>
    <t>**RFI** “Work is performed at the employer's fiberglass pool manufacturing facility, storage yard, warehouse, and installation staging areas. Carries materials such as sand, stone, fiberglass pool components, and other construction materials used in the manufacturing and installation of fiberglass swimming pools. Loads bricks, pool materials, and other supplies onto pallets and trucks for transport. Cleans debris in yard and passage areas using shovels, brooms, and similar hand tools to maintain safe and organized work areas. Cleans machines used in the manufacturing and handling of fiberglass pools by removing dirt, dust, fiberglass residue, and other debris using brooms, brushes, rags, cleaning solutions, air hoses, and other basic cleaning tools to keep equipment clean and in proper working condition.” **Original** CARRIES MATERIALS SUCH AS SAND, STONE, LOADS BRICKS ON PALLETS &amp; TRUCKS FOR TRANSPORT, CLEANS DEBRIS IN YARD AND PASSAGE AREAS USING SHOVELS &amp; BROOMS, CLEANS MACHINES
Job Classification:
53-7062.00 - Laborers and Freight, Stock, and Material Movers, Hand
The job/industry classification and description includes general information on the position from ONET/OES and the North American Industry Classification System. Please review Job Duties and Job Order for more information.
Job Requirements
Experience Required:
No
Number of Hours Per Week:
40
Work Schedule (Start/End time):
8:00 A.M. - 5:00 P.M.</t>
  </si>
  <si>
    <t>H-400-26184-075841</t>
  </si>
  <si>
    <t>Little Lamb’s Laundry and Housekeeping, LLC</t>
  </si>
  <si>
    <t>ARIZONA</t>
  </si>
  <si>
    <t>JS_littlelambs@Outlook.com</t>
  </si>
  <si>
    <t>+16024023297</t>
  </si>
  <si>
    <t>Short-term Rental Cleaners</t>
  </si>
  <si>
    <t>Daily cleaning of short-term rental properties. Specific duties include cleaning the following: toilets, bathtubs/showers, vanities, light switches, light fixtures, dust exhaust fans, mop floors, walls, mirrors, underneath/inside accessible furniture/beds, accessible windows, doors, kitchen appliances, countertops, inside/outside of kitchen cabinets, running/emptying dishwasher, outdoor cooking grills, and sweeping exterior patios. Duties also include washing linens, making beds, and leaving out extra towels for incoming guests. This is a very physically demanding position. PLEASE NOTE: This position aligns more with JANITORAL CLEANERS (SOC Code 37-2011.00), NOT Maids and Housekeeping Cleaners. This is the same position I requested (and received) workers for during the October 1, 2025 - July 31, 2026 season. I will be using Registration Number H2B-REG-00023028 valid from July 23, 2025 - July 22, 2028. Job Classification: 37-2012.00 - Maids and Housekeeping Cleaners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Workdays may include weekends and holidays. Must have valid drivers license with clean driving record. Number of Hours Per Week: 40 Work Schedule (Start/End time): 10:00 A.M. - 4:30 P.M.</t>
  </si>
  <si>
    <t>H-400-26184-075839</t>
  </si>
  <si>
    <t>MR WILKE ENTERPRISES, LLC</t>
  </si>
  <si>
    <t>NEBRASKA</t>
  </si>
  <si>
    <t>info@aspmlandscapes.com</t>
  </si>
  <si>
    <t>+14023164272</t>
  </si>
  <si>
    <t>Duties include dormant season installation of trees, shrubs, or flowers in the appropriate design pattern. Unloading materials, digging holes for root systems, properly covering the holes and sometimes sod laying, planting grass seed or connecting irrigation. Leaf removal, lawn seed and straw, lawn aeration, planting shrubbery, and installation of mortarless segmental concrete masonry wall units. Workers may gather and remove litter, water seeded lawns, trees, plants and prune or trim trees, shrubs, or hedges. Duties may include sod laying, mowing, watering plants &amp; lawns, plant transplanting, fertilizing, digging, raking, sprinkler installation. Employees will be digging trenches no larger than 6 - 12 inches deep and 6 - 12 inches wide with shovels and hand tools. These trenches are used to hold tubing used in the installation of irrigation systems. All the trimming and/or pruning will take place on the ground. The workers will not perform any pruning or trimming activities above ground level. Workers may operate powered landscaping equipment, including mowers, edgers, blowers, weed eaters, trimmers, small tractors, and similar landscaping equipment, and drive vehicles to customer locations. Workers may drive company vehicles, including Ford F150, Ford F250, Ford F350, Ford F550 trucks, to and from customer job sites. Workers may occasionally transport other workers to and from job sites; however, transportation of workers is not a primary job duty. Workers may also occasionally transport landscaping materials, tools, and equipment to and from job sites, including mulch, potted plants, shovels, rakes, mowers, blowers, and trimmers. No hazardous materials will be transported by workers. All vehicles and equipment operated weigh less than 26,000 pounds GVW, including any attached trailers or transported materials. Job Classification: 37-3011.00 - Landscaping and Groundskeeping Workers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Must be able to lift 75 lbs., repetitive movements, extensive pushing/pulling, extensive walking, frequent stooping, exposure to extreme temperatures. 3 months landscape experience required. Number of Hours Per Week: 40 Work Schedule (Start/End time): 7:00 A.M. - 4:00 P.M.</t>
  </si>
  <si>
    <t>H-400-26184-075836</t>
  </si>
  <si>
    <t>MS Yard Barber, LLC</t>
  </si>
  <si>
    <t>MISSISSIPPI</t>
  </si>
  <si>
    <t>14/11/2026</t>
  </si>
  <si>
    <t>contact@mdes.ms.gov</t>
  </si>
  <si>
    <t>+16015665117</t>
  </si>
  <si>
    <t>Grounds Maintenance Specialist</t>
  </si>
  <si>
    <t>Landscape or maintain grounds of property using hand or power tools or equipment. Workers must be able to perform a variety of tasks without close supervision, which may include any combination of the following: sod laying, mowing, trimming, planting, watering, fertilizing, digging and raking. Duties may include cleaning residential/commercial properties/grounds using pressure washing equipment. Must exercise independent judgment; may be asked to demonstrate tasks to other employees but position does not include supervision of other workers. Job Classification: 37-3011.00 - Landscaping and Groundskeeping Workers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Must lift/carry 50 lbs., when necessary. Saturday and Sunday work required, when necessary. Post-hire post-accident drug testing required of foreign and domestic workers.Employer may offer more than the stated work hours, depending on weather, business needs, and other conditions. Extreme heat, cold, rain, or drought may affect exact working hours. Number of Hours Per Week: 40 Work Schedule (Start/End time): 6:00 A.M. - 2:30 P.M.</t>
  </si>
  <si>
    <t>H-400-26184-075838</t>
  </si>
  <si>
    <t>NANTUCKETS MEAT &amp; FISH MARKET OF SC</t>
  </si>
  <si>
    <t>20/04/2027</t>
  </si>
  <si>
    <t>sready100@gmail.com</t>
  </si>
  <si>
    <t>+18432784107</t>
  </si>
  <si>
    <t>Seasonal Assistant</t>
  </si>
  <si>
    <t>SERVE STORE CUSTOMERS BY PREPARING MEALS TO GO. CLEAN. ORGANIZE EATING SERVICE AND KITCHEN AREAS. PREPARE SANDWICHES, SALADS FOR CUSTOMERS. Job Classification: 35-2021.00 - Food Preparation Workers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DAYS VARY MON-SUN, ROTATING SHIFTS 6AM-9PM. Number of Hours Per Week: 40 Work Schedule (Start/End time): 6:00 A.M. - 9:00 P.M.</t>
  </si>
  <si>
    <t>H-400-26184-075856</t>
  </si>
  <si>
    <t>Opatril Concrete Construction Inc.</t>
  </si>
  <si>
    <t>MINNESOTA</t>
  </si>
  <si>
    <t>rodrigo@opatrilconcrete.com</t>
  </si>
  <si>
    <t>+12182332337</t>
  </si>
  <si>
    <t>Construction Laborers</t>
  </si>
  <si>
    <t>Perform tasks involving physical labor at construction sites. May operate hand and basic power tools of all types including air hammers, earth tampers, cement mixers, small mechanical hoists, shovels, rakes, wheelbarrows, brooms, drills, compactors, levels, and measuring tools, surveying and measuring equipment, and a variety of other equipment and instruments. Workers may operate basic measuring and layout equipment, including measuring tapes, laser levels, grade rods, and string lines, to assist supervisors and other construction personnel with measuring distances, checking grades, and marking work areas. Materials handled may include lumber, concrete forms, gravel, sand, cement, concrete, rebar, pipes, and other common construction materials. May clean and prepare sites, dig trenches, set braces to support the sides of excavations, erect scaffolding, and clean up rubble, debris, and other waste materials. Workers may assist other craft workers, by preparing worksites; gathering, loading, unloading, and transporting tools, materials, and equipment; cleaning work areas; and performing manual labor tasks associated with construction projects. Job Classification: 47-2061.00 - Construction Laborers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Must have valid drivers license. must be able to lift 100 lbs. repetitive movements, extensive pushing/pulling, extensive walking, frequent stooping, exposure to extreme temperatures, 3 months construction experience required, Post Hire Drug screen at employers expense. Number of Hours Per Week: 40 Work Schedule (Start/End time): 7:00 A.M. - 4:00 P.M.</t>
  </si>
  <si>
    <t>H-400-26184-075823</t>
  </si>
  <si>
    <t>PROLIFIC ENTERPRISES, INC.</t>
  </si>
  <si>
    <t>MICHIGAN</t>
  </si>
  <si>
    <t>31/12/2026</t>
  </si>
  <si>
    <t>greenturf454@gmail.com</t>
  </si>
  <si>
    <t>+19899657780</t>
  </si>
  <si>
    <t>Duties include dormant season installation of trees, shrubs, or flowers in the appropriate design pattern. Unloading materials, digging holes for root systems, properly covering the holes and sometimes sod laying, planting grass seed or connecting irrigation. Leaf removal, lawn seed and straw, lawn aeration, planting shrubbery, digging, raking, and installation of mortarless segmental concrete masonry wall units. Workers may gather and remove litter, water seeded lawns, trees, plants and prune or trim trees, shrubs, or hedges. Workers may operate powered equipment, and drive vehicles to customer locations. Duties may include sod laying, mowing, watering plants &amp; lawns, plant transplanting, fertilizing, digging, raking, sprinkler installation. Employees will be digging trenches no larger than 6 - 12 inches deep and 6 - 12 inches wide with shovels and hand tools. These trenches are used to hold tubing used in the installation of irrigation systems. All the trimming/pruning will take place on the ground. The workers will not perform any pruning or trimming activities above ground level. The worker may transport other workers to and from job sites on occasion, however this will not be their primary job duty. Workers may operate powered landscaping equipment, including mowers, edgers, blowers, weed eaters, trimmers, small tractors, and similar landscaping equipment. Workers may drive company pickup trucks and similar light-duty company vehicles, to and from customer job sites. Workers may occasionally transport other workers to and from job sites; however, transportation of workers is not a primary job duty. Workers may also occasionally transport landscaping materials, tools, and equipment to and from job sites, including mulch, potted plants, shovels, rakes, mowers, blowers, and trimmers. No hazardous materials will be transported by workers. All vehicles and equipment operated weigh less than 26,000 pounds GVW, including any attached trailers or transported materials. Job Classification: 37-3011.00 - Landscaping and Groundskeeping Workers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3 months landscaping experience required, Must be able to lift 50 lbs., repetitive movements, extensive pushing/pulling, extensive walking, frequent stooping, exposure to extreme temperatures. In accordance with applicable Michigan state law, Earned Sick Time Act 338, employers are required to provide earned sick time to their employees. The amount of paid sick leave provided may vary depending on the size of the business. Number of Hours Per Week: 40 Work Schedule (Start/End time): 7:00 A.M. - 4:00 P.M.</t>
  </si>
  <si>
    <t>H-400-26184-075864</t>
  </si>
  <si>
    <t>T&amp;D CONCRETE CONSTRUCTION LLC</t>
  </si>
  <si>
    <t>20/11/2026</t>
  </si>
  <si>
    <t>miguel@tdconcrete.us</t>
  </si>
  <si>
    <t>+15173919213</t>
  </si>
  <si>
    <t>Perform tasks involving physical labor at construction sites. May operate hand and power tools of all types: air hammers, earth tampers, cement mixers, small mechanical hoists, surveying and measuring equipment, and a variety of other equipment and instruments. May clean and prepare sites, dig trenches, unload concrete forms from truck and assist with installation at sites, assist with removal of forms using a hammer, load forms back on to truck, set braces to support the sides of excavations, erect scaffolding, and clean up rubble, debris, and other waste materials. May assist other craft workers. Will maintain a clean job site by picking up and cleaning all tools and equipment used on a daily basis. Other duties as assigned by Supervisor. Will adhere to all safety policies and procedures and be able to work both independently and as part of a team. Workers may assist other craft workers, by preparing worksites; gathering, loading, unloading, and transporting tools, materials, and equipment; cleaning work areas; and performing manual labor tasks associated with construction projects. Workers may use common hand tools and basic power tools including shovels, rakes, wheelbarrows, brooms, drills, compactors, levels, and measuring tools. Materials handled may include lumber, concrete forms, gravel, sand, cement, concrete, rebar, pipes, and other common construction materials. Workers may operate basic measuring and layout equipment, including measuring tapes, laser levels, grade rods, and string lines, to assist supervisors and other construction personnel with measuring distances, checking grades, and marking work areas. Job Classification: 47-2061.00 - Construction Laborers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Must be able to lift 50 lbs., repetitive movements, extensive pushing/pulling, extensive walking, frequent stooping, exposure to extreme temperatures. In accordance with applicable Michigan state law, Earned Sick Time Act 338, employers are required to provide earned sick time to their employees. The amount of paid sick leave provided may vary depending on the size of the business. Number of Hours Per Week: 40 Work Schedule (Start/End time): 7:00 A.M. - 4:00 P.M.</t>
  </si>
  <si>
    <t>H-400-26184-075858</t>
  </si>
  <si>
    <t>Alfonso &amp; Son Landscaping &amp; Lawn Service, Inc.</t>
  </si>
  <si>
    <t>support@clifrock.com</t>
  </si>
  <si>
    <t>+14129206665</t>
  </si>
  <si>
    <t>Landscape Laborers</t>
  </si>
  <si>
    <t>Landscape or maintain grounds of property using hand or power tools or equipment. Workers typically perform a variety of tasks, which may include any combination of the following: lay sod, mow, trim, plant, water, fertilize, dig, rake. Job Classification: 37-3011.00 - Landscaping and Groundskeeping Workers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Requires three months of previous landscape experience. Must lift/carry 50 lbs., when necessary. Saturday and Sunday work required, when necessary. Post-hire random and upon suspicion of use drug testing required of foreign and domestic workers. Post-hire background check required of foreign and domestic workers. Employer may offer more than the stated work hours depending on weather, business needs, and other conditions. Extreme heat, cold, rain, or drought may affect exact working hours. Number of Hours Per Week: 40 Work Schedule (Start/End time): 7:00 A.M. - 3:30 P.M.</t>
  </si>
  <si>
    <t>H-400-26184-075828</t>
  </si>
  <si>
    <t>Ulen Locker</t>
  </si>
  <si>
    <t>Michelle Scimecca</t>
  </si>
  <si>
    <t>ribeye@arvig.net</t>
  </si>
  <si>
    <t>+12185968841</t>
  </si>
  <si>
    <t>Meat Trimmer (seasonal Support For Mn Dnr Wild Game Season)</t>
  </si>
  <si>
    <t>Use hand or hand tools to perform routine cutting and trimming of meat and poultry. Ulen Locker services product during the MN DNR wild game season, available at https://www.dnr.state.mn.us/hunting/seasons.html. Sample past dates include: archery, Sept 18-Dec 31; firearm, Nov 6-28; Muzzleloader, Nov 27-Dec 12; Metro deer management, Nov 6-28; youth hunt Oct 21-24; early antlerless Oct 21-24. Additional season dates are available at http://www.huntingseasonhq.com/minnesota-hunting-seasons/ Services for wild game season slaughter are needed Oct 1 June 1. After receipt of wild game carcass/trim, trim and freeze occurs due to peak-load influx (i.e. game comes in too fast to process upon receipt). To process wild gam peak-load, trim comes out of the freezer and takes until June to fully process. The occupation is not year-round because the employers need to support MN DNR-designated wild game season is not year-round. While supporting MN DNR-designated wild game season, regular year-round beef and pork business is also serviced. Job Classification: 51-3022.00 - Meat, Poultry, and Fish Cutters and Trimmers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NO MINIMUM EDUCATION, TRAINING OR EXPERIENCE REQUIREMENTS FOR POSITION. MUST BE AT LEAST AGE 18 MUST BE ABLE TO FOLLOW WRITTEN AND VERBAL INSTRUCTION FROM SUPERVISOR. MUST BE ABLE TO PERFORM BASIC PHYSICAL MANEUVERS, SOME OF WHICH ARE REPETITIVE, INCLUDING STANDING FOR EXTENDED PERIODS OF TIME. LIFT UP TO 30 POUNDS CONSISTENTLY AND UP TO 75 POUNDS OCCASIONALLY. Number of Hours Per Week: 40 Work Schedule (Start/End time): 8:00 A.M. - 5:00 P.M.</t>
  </si>
  <si>
    <t>H-400-26184-075849</t>
  </si>
  <si>
    <t>Vertical Vegetation Management LLC</t>
  </si>
  <si>
    <t>info@verticalforestrydesign.com</t>
  </si>
  <si>
    <t>+14342164303</t>
  </si>
  <si>
    <t>Forest Workers</t>
  </si>
  <si>
    <t>Manual itinerant work hand planting tree seedlings to reforest and maintain timberlands. Plant tree seedlings in specified pattern using a shovel, mattock, planting hoe, or dibble. Transport trees in a tree bag. Dig holes at pre-determined intervals and insert seedling. Tamp soil around plant with foot and planting tool. Select optimum planting location to meet spacing, soil, and shade requirements. Bare soil. These jobs involve propagating, protecting, and managing forest tracts. Manual itinerant work to perform reforestation support activities including pre-commercial thinning and herbicide spraying to maintain timberlands. Mark boundary lines. Use a chainsaw, brush blade, or other hand-held equipment, including chemical applicators such as hypo hatchet and spot gun, to remove excess trees and other vegetation. Use a backpack sprayer or other hand held tools to spray or inject vegetation with pre-mixed herbicides to reduce competing vegetation. Determine which immature trees to leave for accelerated growth, depending on spacing, species, size, freedom from disease or other defect, and possible damage to remaining trees. As minor activities, clear and pile brush, limbs and other debris from planting areas and gather pine straw. Job Classification: 45-4011.00 - Forest and Conservation Workers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Must lift/carry 50 lbs., when necessary. Saturday and Sunday work required, when necessary. Post-hire random and post-accident drug testing required of foreign and domestic workers. Production standard of 3000 trees correctly planted per 8 hour day after one week of on the job training. Overnight travel is required. Employer may offer more than the stated work hours depending on weather, business needs, and other conditions. Extreme heat, cold, rain, or drought may affect exact working hours. Employer may offer more than the stated work hours depending on weather, business needs, and other conditions. Number of Hours Per Week: 40 Work Schedule (Start/End time): 7:00 A.M. - 4:00 P.M.</t>
  </si>
  <si>
    <t>H-400-26184-075863</t>
  </si>
  <si>
    <t>Weaver Management Group LLC</t>
  </si>
  <si>
    <t>weavermanagementgroup@gmail.com</t>
  </si>
  <si>
    <t>+16016803207</t>
  </si>
  <si>
    <t>Landscape or maintain grounds of property using hand or power tools or equipment. Workers typically perform a variety of tasks, which may include any combination of the following: mowing, trimming, pruning, weeding, mulching, sod laying, planting, digging, raking, caring for seasonal plant rotations, cutting brush and shrubs, and other landscape maintenance tasks as needed. Workers will load and unload tools and equipment from trucks. Entry level; requires supervision. Job Classification: 37-3011.00 - Landscaping and Groundskeeping Workers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Must lift/carry 50 lbs., when necessary. Saturday and Sunday work required, when necessary. Employer-paid drug testing required of foreign and domestic workers prior to commencing work and post-hire at random, upon suspicion of use, and post-accident. Post-hire employment eligibility (e-Verify) check required of foreign and domestic workers. Workers that are able to obtain a valid U.S. drivers license may drive company vehicles (driving is not a requirement of all workers in the position). Employer may offer more than the stated work hours depending on weather, business needs, and other conditions. Extreme heat, cold, rain, or drought may affect exact working hours. Number of Hours Per Week: 37 Work Schedule (Start/End time): 7:30 A.M. - 4:00 P.M.</t>
  </si>
  <si>
    <t>H-400-26184-075853</t>
  </si>
  <si>
    <t>World Food Enterprises, LLC.</t>
  </si>
  <si>
    <t>Joseph Michelotti</t>
  </si>
  <si>
    <t>ILLINOIS</t>
  </si>
  <si>
    <t>30/04/2027</t>
  </si>
  <si>
    <t>office@deli4youmarket.com</t>
  </si>
  <si>
    <t>+17734152400</t>
  </si>
  <si>
    <t>Kitchen Worker</t>
  </si>
  <si>
    <t>Clean and sanitize work areas, equipment, utensils, dishes, or silverware; Store food in designated containers and storage areas to prevent spoilage; Portion and wrap the food or place it directly on plates for service to patrons; Take and record temperature of food and food storage areas, such as refrigerators and freezers; Prepare a variety of foods, such as meats, vegetables, or desserts, according to customers' orders or supervisors' instructions, following approved procedures. Job Classification: 35-2021.00 - Food Preparation Workers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1 Number of Hours Per Week: 40 Work Schedule (Start/End time): 9:00 A.M. - 5:00 P.M.</t>
  </si>
  <si>
    <t>H-400-26184-075887</t>
  </si>
  <si>
    <t>A &amp; B Personnel Services LLC</t>
  </si>
  <si>
    <t>info@abpersonnelservices.com</t>
  </si>
  <si>
    <t>+18433859066</t>
  </si>
  <si>
    <t>Housekeeper</t>
  </si>
  <si>
    <t>Clean and maintain guest rooms, suites, cottages, and common areas, Make beds and change linens, Replace towels, toiletries, and guest supplies, Vacuum carpets and mop floors, Dust furniture, fixtures, vents, and surfaces, Clean bathrooms, sinks, showers, tubs, and mirrors, Remove trash and transport waste to designated disposal areas, Replenish housekeeping carts and cleaning supplies, Report maintenance issues, damages, or safety hazards to supervisors, Ensure rooms meet hotel cleanliness and sanitation standards, Clean hallways, stairwells, elevators, laundry areas, and public spaces, Operate cleaning equipment such as vacuums and floor cleaning tools, Follow OSHA safety procedures and chemical handling guidelines, Assist with laundry duties when needed, including washing, drying, folding, and organizing linens, Respond to guest requests in a professional and courteous manner, Work efficiently in a fast-paced hospitality environment during peak occupancy periods Job Classification: 37-2012.00 - Maids and Housekeeping Cleaners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Must be able to work under pressure and in fast pace environment. Number of Hours Per Week: 40 Work Schedule (Start/End time): 5:00 A.M. - 1:00 P.M.</t>
  </si>
  <si>
    <t>H-400-26184-075874</t>
  </si>
  <si>
    <t>AAI Landscape Installation Services LLC</t>
  </si>
  <si>
    <t>all_about_irrigation@yahoo.com</t>
  </si>
  <si>
    <t>+16787698865</t>
  </si>
  <si>
    <t>Duties include dormant season installation of trees, shrubs, or flowers in the appropriate design pattern. Unloading materials, digging holes for root systems, properly covering the holes and sometimes sod laying, planting grass seed or connecting irrigation. Leaf removal, lawn seed and straw, lawn aeration, planting shrubbery, digging, raking, and installation of mortarless segmental concrete masonry wall units. Workers may gather and remove litter, water seeded lawns, trees, plants and prune or trim trees, shrubs, or hedges. Workers may operate powered equipment, and drive vehicles to customer locations. Duties may include sod laying, mowing, watering plants &amp; lawns, plant transplanting, fertilizing, digging, raking, sprinkler installation. Employees will be digging trenches no larger than 6 - 12 inches deep and 6 - 12 inches wide with shovels and hand tools. These trenches are used to hold tubing used in the installation of irrigation systems. All of the trimming/pruning will take place on the ground. The workers will not perform any pruning or trimming activities above ground level. Job Classification: 37-3011.00 - Landscaping and Groundskeeping Workers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Drivers license required, must be able to lift &amp; carry 50 lbs., repetitive movements, extensive pushing/pulling, extensive walking, frequent stooping, exposure to extreme temperatures. Number of Hours Per Week: 40 Work Schedule (Start/End time): 7:00 A.M. - 4:00 P.M.</t>
  </si>
  <si>
    <t>H-400-26184-075911</t>
  </si>
  <si>
    <t>Absolute Forestry, LLC</t>
  </si>
  <si>
    <t>Lindsey McAvoy</t>
  </si>
  <si>
    <t>absoluteforestry@gmail.com</t>
  </si>
  <si>
    <t>+14582209578</t>
  </si>
  <si>
    <t>Duties may include: Tree planting, grubbing/scalping, tubbing, hand tree pruning, spraying, thinning, hand release, and fuels reduction via hand piling. UNDER THE DIRECTION OF FORESTRY TECHNICIANS: assist with clearing/disposing of brush, piling, and digging line/constructing fuel breaks &amp; other related Forestry Worker activities as per SOC/OES 45-4011 (onetonline.org). Standard/Expected Schedule: Monday-Friday 6:00AM-2:30PM.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Optional, shared housing available at no cost to the worker. Job Classification: 45-4011.00 - Forest and Conservation Workers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Must be 18 due to travel. Must show proof of legal authorization to work in the United States. Drug/alcohol/tobacco free work zone. Must walk substantially (up to 15 miles/day), also stoop, bend while carrying a pack (up to 50lbs) thru rough terrain (non-trail). All applicants must be able, willing and qualified to perform work described and must be available for the entire period specified and work throughout all areas of intended employment.Based on Employer's discretion/cost: Worker may have random drug/alcohol testing during employment: positive test/refusal to abide = dismissal. Work is performed outdoors, exposed to weather; must be capable of doing physically strenuous labor for long hours, occasionally in extreme heat or cold. Variable weather conditions apply; hours may fluctuate (+/-), possible downtime and/or overtime. Number of Hours Per Week: 40 Work Schedule (Start/End time): 6:00 A.M. - 2:30 P.M.</t>
  </si>
  <si>
    <t>H-400-26184-075889</t>
  </si>
  <si>
    <t>Ally Professional Services LLC</t>
  </si>
  <si>
    <t>15/03/2027</t>
  </si>
  <si>
    <t>agprosvcs@yahoo.com</t>
  </si>
  <si>
    <t>+13000140372</t>
  </si>
  <si>
    <t>Fall and Winter Services Laborer</t>
  </si>
  <si>
    <t>***RFI Response*** All pruning is done on the ground. We trim bushes, plants, and low-hanging tree branches. ***Original Duties*** Workers will perform cleaning of private properties including manual snow/ice/leaf removal from sidewalks, driveways, yards, or parking areas using snow shovels, snow blowers, leaf blowers, rakes, ice chippers, or salt spreaders; trash/debris pickup; potential late season mowing, fall/winter storm cleanup including clearing debris from grounds; and dormant tree/shrub winter pruning. Clean and perform routine maintenance on equipment and tools when not in use. Load/unload materials. Trim or pick flowers, clean flower beds, and decorate gardens with plants and flowers using gardening tools. Fill exterior floral containers and floral beds with seasonal floral arrangements and seasonal plants. Entry level; requires supervision. Job Classification: 37-3011.00 - Landscaping and Groundskeeping Workers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Must lift/carry 50 lbs., when necessary. Work shifts/hours vary by day and work days vary by week depending on snowfall. Saturday and Sunday work required, when necessary. Employer-paid drug testing required of foreign and domestic workers prior to commencing work and post-hire at random, upon suspicion of use, and post-accident. Post-hire background check and employment eligibility (e-Verify) check required of foreign and domestic workers. Post-hire motor vehicle record check required only of foreign and domestic workers who drive company vehicles (driving is not a requirement of all workers in the position). Employer may offer more than the stated work hours depending on weather, business needs, and other conditions. Extreme heat, cold, rain, or drought may affect exact working hours. Number of Hours Per Week: 40 Work Schedule (Start/End time): 7:00 A.M. - 4:30 P.M.</t>
  </si>
  <si>
    <t>H-400-26184-075877</t>
  </si>
  <si>
    <t>Alma Plantation, LLC</t>
  </si>
  <si>
    <t>Brenda DeArmas-Ricci</t>
  </si>
  <si>
    <t>30/06/2027</t>
  </si>
  <si>
    <t>achatman@almaplt.com</t>
  </si>
  <si>
    <t>+12256276666</t>
  </si>
  <si>
    <t>Maintenance Helpers</t>
  </si>
  <si>
    <t>Maintenance Helpers- Twelve (12) temporary full-time positions available in Lakeland, LA from 10/01/2026 to 06/30/2027 at Alma Plantation, LLC. Assists in making repairs, installations, and maintenance on various machinery used in the processing of sugar during harvest season. Supply workers with tools. Maintain clean work areas and sugar processing equipment. Assist in calibration of machinery. $18.53/Hour; $27.80/Hour OT based on single workweek (paid every 2 weeks by check). 48 hrs/wk. Overtime Hours will vary and are not guaranteed. The employer will make all deductions from the worker's paycheck required by law. Optional on-site lodging offered at no charge to workers hired in this temporary seasonal position. Shift work: will be required to work various 8 hr. shifts (7am to 3pm; 3pm-11pm; 11pm-7am). Must be willing to work 7 days per week during grinding. During downseason: 7am-4pm; 40hrs/wk. No minimum education required. No on-the-job training provided. Alma will provide U.S. workers at least the same benefits, wages, and working conditions that will be offered or provided to H-2B workers. Alma will provide to the worker, without charge or deposit charge, all tools, supplies, and equipment required to perform the duties assigned. The employer guarantees to offer employment equal to at least three-fourths (3/4's) of the workdays of each 12-week period of the total employment period; and, if the guarantee is not met, the employer will pay the worker what the worker would have earned if the employer had offered the guaranteed number of days. The 12-week period will begin the first workday after the worker's arrival or the advertised contractual first date of need, whichever is later. The worker will be reimbursed for transportation and subsistence expenses from the place from which the worker has come to work for the employer, whether in the U.S. or abroad, to the place of employment by check by the employer upon completion of 50% of the period of employment covered by the job order or earlier, if appropriate. This includes at least $16.78 per day during travel to a maximum of $68.00 per day with receipts. Also, the employer will provide or pay for the worker's outbound transportation and subsistence if the worker completes the job order period or is dismissed early. The employer will reimburse the H-2B worker in the first workweek the full cost for all visa, visa processing, border crossing, and other related fees, including those mandated by the government. Alma will provide or reimburse inbound and outbound transportation and daily subsistence costs for corresponding U.S. workers who are not reasonably able to return to their residence within the same workday. As applicable, daily transportation to and from worksite will be provided by employer. Three (3) months' employment experience in job offered in a raw sugar mill is the minimum required. Higher pay may be available to workers with extensive experience. Send resumes/inquiries to Mr. Alan Chatman at Alma Plantation, LLC, 4612 Alma Road, Lakeland, LA 70752 Tel: 225-627-6666 Ext. 228 Fax: 225-627-5138 Email: achatman@almaplt.com. Applicants may inquire about the job opportunity or send resumes/applications directly to Iberville /West Baton Rouge American Job Center, 23510 Railroad Avenue, Plaquemine, LA 70764 (Ms. Lana D’ Albor, Tel: 225-687-0969; Email: iberville@geauxjobs.org); reference job order#: 1641079. Job Classification: 49-9098.00 - Helpers--Installation, Maintenance, and Repair Workers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Number of Hours Per Week: 48 Work Schedule (Start/End time): 7:00 A.M. - 3:00 P.M.</t>
  </si>
  <si>
    <t>H-400-26184-075898</t>
  </si>
  <si>
    <t>Aramark Educational Services, LLC - JMU</t>
  </si>
  <si>
    <t>15/05/2027</t>
  </si>
  <si>
    <t>jmudininghrpayroll@jmu.edu</t>
  </si>
  <si>
    <t>+15405683595</t>
  </si>
  <si>
    <t>Job Order Not Available</t>
  </si>
  <si>
    <t>This position is in a cafeteria setting at the bustling James Madison University (JMU) college campus dining hall kitchens. The work environment is a full-service, industrial-grade kitchen equipped with modern appliances and tools typical of large-scale, cafeteria food service operations. Cook and prepare a variety of food according to production guidelines and standardized recipes in full kitchens. Cooks will safely utilize a variety of utensils and equipment to prepare, store, and cook food such as: prep stations, ovens, grills, refrigerators/freezers, blenders, general food prep utensils and machinery found in your typical full-service kitchen, and storage units. Arrange, garnish, portion, and serve food according to established guidelines. Properly store food by adhering to food safety policies and procedures. Clean and sanitize work areas, equipment, and utensils. Monitor and record food temperatures to ensure food safety. Compile and maintain records of food production and waste. Job Classification: 35-2012.00 - Cooks, Institution and Cafeteria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Requires three months of cook experience. Must lift/carry 25 lbs., when necessary. Saturday and Sunday work required, when necessary. The actual work schedule for each day of the week is subject to change. An employee may work alternating days or shifts. Employer paid post-hire upon suspicion of use and post-accident drug testing required of foreign and domestic workers. Post-hire background check and employment eligibility (e-Verify) check required of foreign and domestic workers. We will offer at least 40 hours in a typical workweek. Employer offers a $2.00-$4.00/hour shift differential and incentive at Harrisonburg worksite locations depending on time and day of shift. Any shift ending past 11:30pm receives an extra $2.00/hour for the whole shift. All hours worked between 5:00pm Friday and 2:00am Monday receive and additional $2.00/hour (during these hours only). Both shift differentials can be earned for a total of an additional $4.00/hour when conditions are met. Employer may offer more than the stated work hours depending on weather, business needs, and other conditions. Extreme heat, cold, rain, or drought may affect exact working hours. Number of Hours Per Week: 40 Work Schedule (Start/End time): 6:00 A.M. - 2:30 P.M.</t>
  </si>
  <si>
    <t>H-400-26184-075915</t>
  </si>
  <si>
    <t>Archway Lawn and Landscaping ACQ LLC</t>
  </si>
  <si>
    <t>Veronica Birkenstock</t>
  </si>
  <si>
    <t>Customerservice@archwaylawncare.com</t>
  </si>
  <si>
    <t>+16362628319</t>
  </si>
  <si>
    <t>Crew Member</t>
  </si>
  <si>
    <t>Landscape or maintain grounds of property using hand or power tools or equipment. Mow, trim/edge, plant, lay sod, weeding, watering, rake, blow leaves; dig holes of approximately 24 inches in depth and 36 inches in width with a hand shovel for installing plants, trees, shrubs, or irrigation systems; spread seed, fertilizer and mulch; works on the ground to prune or trim trees, shrubs, or hedges using shears, pruners, or chain saws; core aerating; sprinkler installation/repair, installation of mortarless segmental concrete masonry wall units. Maintains equipment to ensure proper functioning. May drive a company truck or other vehicle to/from worksites. A driver’s license is not required; however, workers who possess a valid driver’s license may be assigned to drive a company pickup truck or other non-commercial vehicle. No commercial driver’s license (CDL) is required and workers will not be required to operate a commercial motor vehicle (CMV). The employer will offer 40 hours of work per week. Normal schedule Monday-Friday, 8am-4:30pm. Shift includes 30 minutes unpaid break time. Work on Saturdays may be required as necessary. Work days, hours and shift time may vary depending on weather. Employer may increase wage based on experience, market conditions, and/or provide additional pay for performance and tenure. Overtime may be available. An overtime premium will be paid when required by Federal, State, or local law, including at time-and-a-half after 40 hours in a workweek. Generally, when overtime is available it will be paid at $29.70 per hour. The employer will provide daily transportation from the main worksite to and from all worksite locations. Job Classification: 37-3011.00 - Landscaping and Groundskeeping Workers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Must be able to lift 50 lbs. Must be able to work a 5-day schedule, including weekends when needed. Applicant must complete an employment application. Required uniform provided at no charge to the worker. Number of Hours Per Week: 40 Work Schedule (Start/End time): 8:00 A.M. - 4:30 P.M.</t>
  </si>
  <si>
    <t>H-400-26184-075908</t>
  </si>
  <si>
    <t>Artistic Landscape Creations, LLC</t>
  </si>
  <si>
    <t>h2b@artisticlc.com</t>
  </si>
  <si>
    <t>Lead Landscape Laborers</t>
  </si>
  <si>
    <t>Landscape or maintain grounds of property using hand or power tools or equipment. Workers typically perform a variety of tasks, which may include any combination of the following: sod laying, grading, seeding, mowing, trimming, planting, watering, fertilizing, digging, raking and assist with installation of mortarless segmental concrete masonry wall units. Ensure tools and equipment are safely transported and accounted for between worksites. May be asked to demonstrate tasks to up to four peers but position does not include supervision of other workers. Job Classification: 37-3011.00 - Landscaping and Groundskeeping Workers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Requires three months of previous landscape experience. Must lift/carry 50 lbs., when necessary. Saturday and Sunday work required, when necessary. Employer-paid post-hire post-accident drug testing required of foreign and domestic workers. Lead Landscape Laborers who also drive company vehicles between worksites will be paid an extra $.25 per hour (driving is not a requirement of all workers in the position). Employer may offer more than the stated work hours depending on weather, business needs, and other conditions. Extreme heat, cold, rain, or drought may affect exact working hours. Number of Hours Per Week: 40 Work Schedule (Start/End time): 7:30 A.M. - 4:00 P.M.</t>
  </si>
  <si>
    <t>H-400-26184-075918</t>
  </si>
  <si>
    <t>Artistic Snow LLC</t>
  </si>
  <si>
    <t>MARYLAND</t>
  </si>
  <si>
    <t>15/04/2027</t>
  </si>
  <si>
    <t>RecruitingH2B@artisticlandscaping.com</t>
  </si>
  <si>
    <t>Laborer</t>
  </si>
  <si>
    <t>Employees will clean the outside of private, residential communities by performing manual snow/ice/leaf removal from sidewalks, driveways, yards, or parking areas using snow shovels, snow blowers, leaf blowers, rakes, ice chippers, or salt spreaders; trash/debris pickup; and fall/winter storm cleanup by clearing debris from grounds using their hands. Workers will perform cleaning of private properties including manual snow/ice/leaf removal from sidewalks, driveways, yards, or parking areas using snow shovels, snow blowers, leaf blowers, rakes, ice chippers, or salt spreaders; trash/debris pickup; potential late season mowing, fall/winter storm cleanup including clearing debris from grounds; and dormant tree/shrub winter pruning. Clean and perform routine maintenance on equipment and tools when not in use. Load/unload materials. Entry level; requires supervision. Job Classification: 37-2011.00 - Janitors and Cleaners, Except Maids and Housekeeping Cleaners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Must lift/carry 50 lbs., when necessary. Work shifts/hours vary by day and work days vary by week to include Saturday and Sunday work required, when necessary. Shift differential offered for snow events. Involves bending, stooping, lifting and stretching on a frequent basis; and may involve working in inclement weather, including rain and snow. Employer may offer more than the stated work hours depending on weather, business needs, and other conditions. Extreme heat, cold, rain, or drought may affect exact working hours. Number of Hours Per Week: 40 Work Schedule (Start/End time): 7:00 A.M. - 4:00 P.M.</t>
  </si>
  <si>
    <t>H-400-26184-075886</t>
  </si>
  <si>
    <t>Ayco Farms, Inc.</t>
  </si>
  <si>
    <t>shani.nir@aycofarms.com</t>
  </si>
  <si>
    <t>+19547886800</t>
  </si>
  <si>
    <t>Grader/quality Control</t>
  </si>
  <si>
    <t>Duties may include: Inspect incoming and outgoing produce shipments for quality, appearance, and temperature compliance. Document inspection results and report deviations to supervisors. Verify labels, packaging, and pallet configurations meet customer specifications. Assist in ensuring food safety and quality assurance protocols are followed throughout the facility. May provide feedback to line staff and help implement corrective actions as needed. Maintain records of inspection findings and support compliance with USDA, PACA, and customer standards &amp; other related Grader/Quality Control activities as per SOC/OES 45-2041 (onetonline.org). Multiple possible shifts: 7:00AM-4:00PM or 4:00PM-1:00AM. Standard/Expected Schedule: Monday-Friday 7:00AM-4:00PM or 4:00PM-1:00AM.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Job Classification: 45-2041.00 - Graders and Sorters, Agricultural Products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Must be 18 due to state labor laws. Must show proof of legal authorization to work in the United States. Drug/alcohol/tobacco free work zone. Perform physical activities: such as lift, balance, walk, stoop, handle, position, move, manipulate materials use static strength to exert maximum muscle force to lift, push, pull, carry objects up to 40lbs. All applicants must be able, willing and qualified to perform work described and must be available for the entire period specified. Possible background check post hire at employer's expense.Hours may fluctuate based on tourism peaks and valleys throughout the season (+/-), possible downtime and/or overtime. Number of Hours Per Week: 40 Work Schedule (Start/End time): 7:00 A.M. - 4:00 P.M.</t>
  </si>
  <si>
    <t>H-400-26184-075891</t>
  </si>
  <si>
    <t>BAS Land Group, Inc.</t>
  </si>
  <si>
    <t>apply@uslawnsbc.net</t>
  </si>
  <si>
    <t>+19107544494</t>
  </si>
  <si>
    <t>Duties may include: Cut/mow grass using walking-type or riding mowers. Install/maintain: irrigation systems including start up in the spring, and the winterizing in the fall. Edge around walks, flowerbeds, etc. Prune shrubs/trees/hedges to improve shape and growth. Spray lawn, shrubs, and trees. Follow landscape plans to: plant grass, flowers, trees, and shrubs. Gather/remove debris &amp; other related Landscape Worker activities as per SOC/OES 37-3011 (onetonline.org). Standard/Expected Schedule: Monday-Friday 6:45AM-5:30PM.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Job Classification: 37-3011.00 - Landscaping and Groundskeeping Workers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Must be 18 due to insurance. Must show proof of legal authorization to work in the United States. Drug/alcohol/tobacco free work zone. Perform physical activities: such as lift, balance, walk, stoop, handle, position, move, manipulate materials use static strength to exert maximum muscle force to lift, push, pull, carry objects up to 50lbs. All applicants must be able, willing and qualified to perform work described and must be available for the entire period specified and work throughout all areas of intended employment. Possible background check post hire at employer's expense.Work is performed outdoors, exposed to weather; must be capable of doing physically strenuous labor for long hours, occasionally in extreme heat or cold. Variable weather conditions apply; hours may fluctuate (+/-), possible downtime and/or overtime. Number of Hours Per Week: 40 Work Schedule (Start/End time): 6:45 A.M. - 5:30 P.M.</t>
  </si>
  <si>
    <t>H-400-26184-075870</t>
  </si>
  <si>
    <t>Baker Landscaping &amp; Concrete, LLC</t>
  </si>
  <si>
    <t>23/11/2026</t>
  </si>
  <si>
    <t>jlewis@bakerlandscaping.net</t>
  </si>
  <si>
    <t>+16362824140</t>
  </si>
  <si>
    <t>Duties may include: Care for established properties with grounds maintenance equipment: mow, trim, plant: seeds/bulbs/foliage/grass, lay sod, fertilize. Install/start-up/winterize: irrigation/sprinklers. Dig, rake, grade, and clean-up of litter, debris, &amp; worksite. Install for landscaping purposes: mortarless segmental concrete masonry wall units &amp; other related Landscape Laborer activities as per SOC/OES 37-3011 (onetonline.org). tandard/Expected Schedule: Monday-Friday 6:00AM-5:00PM.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For workers who are relocating to begin employment (those who are not reasonably able to return to their residence within the same day) --- OPTIONAL, shared housing available to the worker at a monthly housing rate up to $500; if optional housing is agreed upon by the worker, monthly housing rate will be deducted from worker's paycheck incrementally (bi-weekly). Job Classification: 37-3011.00 - Landscaping and Groundskeeping Workers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Must be 18 due to insurance. Must show proof of legal authorization to work in the United States. Drug/alcohol/tobacco free work zone. Perform physical activities: such as lift, balance, walk, stoop, handle, position, move, manipulate materials use static strength to exert maximum muscle force to lift, push, pull, carry objects up to 50lbs. All applicants must be able, willing and qualified to perform work described and must be available for the entire period specified and work throughout all areas of intended employment.Based on Employer's discretion/cost: Worker may have random drug/alcohol testing during employment: positive test/refusal to abide = dismissal. Possible background check post hire at employer's expense.Work is performed outdoors, exposed to weather; must be capable of doing physically strenuous labor for long hours, occasionally in extreme heat or cold. Variable weather conditions apply; hours may fluctuate (+/-), possible downtime and/or overtime. Number of Hours Per Week: 40 Work Schedule (Start/End time): 6:00 A.M. - 5:00 P.M.</t>
  </si>
  <si>
    <t>H-400-26184-075882</t>
  </si>
  <si>
    <t>C. W. Roberts Contracting, Inc.</t>
  </si>
  <si>
    <t>info@cwrcontracting.com</t>
  </si>
  <si>
    <t>+13862587911</t>
  </si>
  <si>
    <t>Perform tasks involving physical labor at construction sites. May operate hand and power tools of all types: air hammers, earth tampers, cement mixers, small mechanical hoists, surveying and measuring equipment, and a variety of other equipment and instruments. May clean and prepare sites, dig trenches, set braces to support the sides of excavations, erect scaffolding, and clean up rubble, debris, and other waste materials. Must exercise independent judgment; may be asked to demonstrate tasks to other employees but position does not include supervision of other workers. May assist other craft workers. Job Classification: 47-2061.00 - Construction Laborers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Requires three months of previous construction experience. Must lift/carry 50 lbs., when necessary. Saturday and Sunday work required, when necessary. Employer-paid drug testing required of foreign and domestic workers prior to commencing work and post-hire upon suspicion of use and post-accident. Post-hire employment eligibility (e-Verify) check required of foreign and domestic workers. Employer may offer more than the stated work hours depending on weather, business needs, and other conditions. Extreme heat, cold, rain, or drought may affect exact working hours. Number of Hours Per Week: 45 Work Schedule (Start/End time): 7:00 A.M. - 5:00 P.M.</t>
  </si>
  <si>
    <t>H-400-26184-075885</t>
  </si>
  <si>
    <t>CLS Group Inc.</t>
  </si>
  <si>
    <t>26/11/2026</t>
  </si>
  <si>
    <t>H2B@strathmeyer.com</t>
  </si>
  <si>
    <t>Landscape or maintain grounds of property using hand or power tools or equipment. Workers typically perform a variety of tasks without close supervision, which may include any combination of the following: sod laying, mowing, trimming, planting, watering, fertilizing, digging, raking, spreading straw. Job Classification: 37-3011.00 - Landscaping and Groundskeeping Workers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Must lift/carry 50 lbs., when necessary. Saturday work required, when necessary. Post-hire post-accident drug testing required of foreign and domestic workers. Employer may offer more than the stated work hours depending on weather, business needs, and other conditions. Extreme heat, cold, rain, or drought may affect exact working hours. Number of Hours Per Week: 40 Work Schedule (Start/End time): 7:30 A.M. - 4:30 P.M.</t>
  </si>
  <si>
    <t>H-400-26184-075907</t>
  </si>
  <si>
    <t>CRW Resources LLC</t>
  </si>
  <si>
    <t>30/07/2027</t>
  </si>
  <si>
    <t>sueworman@gmail.com</t>
  </si>
  <si>
    <t>+12086590386</t>
  </si>
  <si>
    <t>Pinestraw Worker</t>
  </si>
  <si>
    <t>***RFI Response*** The duties are taking place on privately owned pinestraw tracts or pine tree farms. ***Original F.a.2*** Duties may include: rake clean, pickup or remove debris. Apply pine straw for landscaping purposes: to enrich soil, prevent: plant disease, erosion, loss of topsoil, weed growth, and to retain a consistent temperature of protection during the winter. Gather, bail, load, apply and cut open pinestraw bales &amp; other related Pinestraw Worker activities as per SOC/OES 37-3011 (onetonline.org). Job Classification: 37-3011.00 - Landscaping and Groundskeeping Workers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Must be 18 due to insurance. Must show proof of legal authorization to work in the United States. Drug/alcohol/tobacco free work zone. Perform physical activities: such as lift, balance, walk, stoop, handle, position, move, manipulate materials use static strength to exert maximum muscle force to lift, push, pull, carry objects up to 50lbs. All applicants must be able, willing and qualified to perform work described and must be available for the entire period specified and work throughout all areas of intended employment. Work is performed outdoors, exposed to weather; must be capable of doing physically strenuous labor for long hours, occasionally in extreme heat or cold. Variable weather conditions apply; hours may fluctuate (+/-), possible downtime and/or overtime. Number of Hours Per Week: 40 Work Schedule (Start/End time): 7:00 A.M. - 3:30 P.M.</t>
  </si>
  <si>
    <t>H-400-26184-077475</t>
  </si>
  <si>
    <t>Bonilla Oyster LLC</t>
  </si>
  <si>
    <t>Dotti Kiser</t>
  </si>
  <si>
    <t>obonilla1335@yahoo.com</t>
  </si>
  <si>
    <t>+19858768990</t>
  </si>
  <si>
    <t>Oyster Boat Deckhand</t>
  </si>
  <si>
    <t>Harvest oysters from designated beds. Attach apparatus and devices to cables, booms, and hoists. Load and unload equipment and supplies. Attach nets and lines, haul in, sort, clean, and cull oysters. Return undersized or illegal oysters to the bay. Transplant oysters, shells, and rocks as directed. Place PVC pipe and oyster markers. Load and unload oyster sacks from vessel to dock, cooler, or freight trucks. Assist with securing and removing vessel docking lines. Wash down deck, equipment, cooler, and cabin areas used during harvesting operations. Perform basic, incidental, non‑mechanical upkeep such as rinsing gear, removing debris, and keeping work areas clean to maintain safe harvesting conditions. Comply with all U.S. Coast Guard safety procedures and Louisiana Parks and Wildlife regulations. Any vessel or equipment upkeep is strictly limited to basic cleaning and safety‑related tasks that are incidental to oyster harvesting and do not involve mechanical repair or skilled maintenance. Such tasks represent no more than 2% of the duration of the season if ever needed. Wage: Basic wage rate is $24.39/hr. An overtime premium at the rate of $36.59/hr., will be paid when required by Federal, State, or local law, including at time-and-a-half after 40 hours in a work week. The employer may offer raises/bonuses to temporary employees hired under this job order, at the company's sole discretion, based on individual factors such as performance, skill, and job tenure. Wages will be calculated based on a single workweek. Employees will be paid bi-weekly. Schedule: Shifts may vary, but an average scheduled workday can be from 7AM to 3PM, Mon-Fri. May be required to work extended hours and weekends as needed. The expected work schedule is approximately 35 hours per week. The employer may offer more hours than specified, depending on company needs, and other conditions. Employer will provide daily transportation to and from work site/docks to multiple locations in public and private waters off the Coast of Louisiana. Job Classification: 45-3031.00 - Fishing and Hunting Workers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Must be able to lift/carry 100 lbs. No infectious diseases; seafood allergies may be fatal. Number of Hours Per Week: 35 Work Schedule (Start/End time): 7:00 A.M. - 3:00 P.M.</t>
  </si>
  <si>
    <t>H-400-26184-075904</t>
  </si>
  <si>
    <t>Centenario Forestry, LLC</t>
  </si>
  <si>
    <t>centenarioforestry@gmail.com</t>
  </si>
  <si>
    <t>+15418214282</t>
  </si>
  <si>
    <t>Duties may include: Transport, soak, and sort tree seedlings, discarding substandard seedlings, according to standard charts or verbal instructions. Plant: seedlings/trees.Reduce competing vegetation: trim trees or other vegetation; cut trees or logs. Clear/dispose of brush via piling and lop &amp; scatter. Incidental driving possible &amp; other related Forestry Worker activities as per SOC/OES 45-4011 (onetonline.org). Standard/Expected Schedule: Monday-Friday 6:00AM-2:00PM.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Piece rate may apply: worker will never make less than Prevailing Wage or Federal/State/Local minimum wage. Optional, shared housing available at no cost to the worker. Job Classification: 45-4011.00 - Forest and Conservation Workers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Must be 18 due to travel. Must show proof of legal authorization to work in the United States. Drug/alcohol/tobacco free work zone. Must walk substantially (up to 15 miles/day), also stoop, bend while carrying a pack (up to 50lbs) thru rough terrain (non-trail). All applicants must be able, willing and qualified to perform work described and must be available for the entire period specified and work throughout all areas of intended employment.Based on Employer's discretion/cost: Worker may have random drug/alcohol testing during employment: positive test/refusal to abide = dismissal. Possible background check post hire at employer's expense.Work is performed outdoors, exposed to weather; must be capable of doing physically strenuous labor for long hours, occasionally in extreme heat or cold. Variable weather conditions apply; hours may fluctuate (+/-), possible downtime and/or overtime. Number of Hours Per Week: 40 Work Schedule (Start/End time): 6:00 A.M. - 2:00 P.M.</t>
  </si>
  <si>
    <t>H-400-26184-075910</t>
  </si>
  <si>
    <t>Clean Scapes - Austin, LLC</t>
  </si>
  <si>
    <t>careers@cleanscapes.net</t>
  </si>
  <si>
    <t>+15124481094</t>
  </si>
  <si>
    <t>Perform tasks involving physical labor at construction sites. May operate hand and power tools of all types: air hammers, earth tampers, cement mixers, small mechanical hoists, surveying and measuring equipment, and a variety of other equipment and instruments. May clean and prepare sites, dig trenches, set braces to support the sides of excavations, erect scaffolding, and clean up rubble, debris, and other waste materials. May assist other craft workers. Job Classification: 47-2061.00 - Construction Laborers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6 Special Requirements: Requires six months of construction experience. Must lift/carry 50 lbs., when necessary. Saturday and Sunday work required, when necessary. Employer-paid drug testing required of foreign and domestic workers prior to commencing work and post-hire at random, upon suspicion of use, and post-accident. Post-hire background check and employment eligibility (e-Verify) check required of foreign and domestic workers. Employer may offer more than the stated work hours depending on weather, business needs, and other conditions. Extreme heat, cold, rain, or drought may affect exact working hours. Number of Hours Per Week: 40 Work Schedule (Start/End time): 6:00 A.M. - 2:30 P.M.</t>
  </si>
  <si>
    <t>H-400-26184-075902</t>
  </si>
  <si>
    <t>Contreras Forestry</t>
  </si>
  <si>
    <t>c.forestryjobapplication@gmail.com</t>
  </si>
  <si>
    <t>+18647358016</t>
  </si>
  <si>
    <t>Tree Planter</t>
  </si>
  <si>
    <t>Duties may include: dig multiple holes per day/all day using a hoedad, shovel and/or dibble bar to plant seedling trees without J or U root, Worker's duties include securing seedling with soil carefully and then tamping soil around seedlings to ensure proper rooting. This is done to maintain seedling growth. Job duties also include vegetation reduction using back pack sprayers (with a spray wand) or spreaders, using a chemical solution to kill unwanted vegetation to protect against disease and/or reduce competing vegetation &amp; other related Tree Planter activities as per SOC/OES 45-4011 (onetonline.org). Standard/Expected Schedule: Monday-Friday 8:00AM-5:00PM.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Piece rate may apply: worker will never make less than Prevailing Wage or Federal/State/Local minimum wage. Optional, shared housing available at no cost to the worker. Job Classification: 45-4011.00 - Forest and Conservation Workers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Must be 18 due to travel. Must show proof of legal authorization to work in the United States. Drug/alcohol/tobacco free work zone. Perform physical activities such as: lift, balance, walk, stoop, handle, position, move, manipulate materials use static strength to exert max muscle force to lift, push, pull, carry objects up to 100lbs (possible 2-person). All applicants must be able, willing and qualified to perform work described and must be available for the entire period specified and work throughout all areas of intended employment. Based on Employer's discretion/cost: Worker may have random drug/alcohol testing during employment: positive test/refusal to abide = dismissal. Possible background check post hire at employer's expense. Work is performed outdoors, exposed to weather; must be capable of doing physically strenuous labor for long hours, occasionally in extreme heat or cold. Variable weather conditions apply; hours may fluctuate (+/-), possible downtime and/or overtime. Number of Hours Per Week: 40 Work Schedule (Start/End time): 8:00 A.M. - 5:00 P.M.</t>
  </si>
  <si>
    <t>H-400-26184-075903</t>
  </si>
  <si>
    <t>Core Ecology Group</t>
  </si>
  <si>
    <t>01/05/2027</t>
  </si>
  <si>
    <t>Cole@coreecologygroup.com</t>
  </si>
  <si>
    <t>+17062632482</t>
  </si>
  <si>
    <t>Duties may include: Follow safety or planting instructions and requirements. Sort, lift, &amp; transport trees and seedlings, to then select optimum planting location and requirements. Select tree seedlings, prepare the ground, and plant the trees in reforestation areas, using manual planting tools such as shovel, hoe-dad, and dibblebar. Site preparation and vegetation reduction: reduce competing and unwanted vegetation by trimming/cutting, thinning, and clearing. Apply herbicide via backpack sprayer or other appropriate equipment. Provide assistance to forest survey crews by clearing site-lines, holding measuring tools, or setting stakes &amp; other related Tree Planter activities as per SOC/OES 45-4011 (onetonline.org). Standard/Expected Schedule: Monday-Friday 6:30AM-5:00PM. Offering 35+ (plus) hours per week; not including applicable lunch and/or breaks. Hours may vary.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Piece rate may apply: worker will never make less than Prevailing Wage or Federal/State/Local minimum wage. Optional, shared housing available at no cost to the worker. Job Classification: 45-4011.00 - Forest and Conservation Workers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Must be 18 due to insurance. Must show proof of legal authorization to work in the United States. Drug/alcohol/tobacco free work zone. Perform physical activities: such as lift, balance, walk, stoop, handle, position, move, manipulate materials use static strength to exert maximum muscle force to lift, push, pull, carry objects up to 50lbs. All applicants must be able, willing and qualified to perform work described and must be available for the entire period specified and work throughout all areas of intended employment.Based on Employer's discretion/cost: Worker may have random drug/alcohol testing during employment: positive test/refusal to abide = dismissal. Possible background check post hire at employer's expense.Work is performed outdoors, exposed to weather; must be capable of doing physically strenuous labor for long hours, occasionally in extreme heat or cold. Variable weather conditions apply; hours may fluctuate (+/-), possible downtime and/or overtime. Number of Hours Per Week: 35 Work Schedule (Start/End time): 6:30 A.M. - 5:00 P.M.</t>
  </si>
  <si>
    <t>H-400-26184-075913</t>
  </si>
  <si>
    <t>Cousins Landscaping &amp; Hardscape LLC</t>
  </si>
  <si>
    <t>16/12/2026</t>
  </si>
  <si>
    <t>info@mdhardscape.com</t>
  </si>
  <si>
    <t>+14436153860</t>
  </si>
  <si>
    <t>***RFI Response*** Tree pruning duties will take place on the ground using a hedge trimmer. ***Original Duties*** Assist with performing a variety of landscaping tasks to support the development, installation, and upkeep of outdoor spaces. Duties include mowing lawns; trimming, edging, and pruning trees, shrubs, and other plant materials; mulching beds; planting flowers, shrubs, and trees; weeding; fertilizing; and assisting with general grounds maintenance to ensure healthy landscape conditions. Additional duties include assisting with the installation of landscape features by carrying blocks, spreading gravel, sweeping sand into joints, placing pins in segmental wall units, and cleaning the work area. Workers use hand and power tools such as shovels, rakes, wheelbarrows, brooms, mallets, mowers, weed eaters, and gas-powered blowers to complete tasks safely and efficiently. Job Classification: 37-3011.00 - Landscaping and Groundskeeping Workers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Must lift/carry 50 lbs., when necessary. Saturday and Sunday work required, when necessary. Post-hire random DOT drug testing required of foreign and domestic workers. Workers that are able to obtain a valid U.S. driver's license may drive company vehicles (driving is not a requirement of all workers in the position). Employer may offer more than the stated work hours depending on weather, business needs, and other conditions. Extreme heat, cold, rain, or drought may affect exact working hours. Number of Hours Per Week: 40 Work Schedule (Start/End time): 7:00 A.M. - 3:30 P.M.</t>
  </si>
  <si>
    <t>H-400-26184-075872</t>
  </si>
  <si>
    <t>Covert Op LLC</t>
  </si>
  <si>
    <t>covertopllcmn@gmail.com</t>
  </si>
  <si>
    <t>+17017295595</t>
  </si>
  <si>
    <t>Kitchen Team Member (cook, Short Order)</t>
  </si>
  <si>
    <t>Responsible for food preparation and general kitchen sanitation. Responsible for maintaining a clean cooking and working area, including but not limited to the "dishbay" when a scheduled dishwasher isn't on premise. Prep work for Full Bar Menu, catering menu, and special events. Plating of individual customer orders as well as buffet style and plated style meals for large groups. Must maintain company standards of food quality and presentation. Follow company rules, regulations &amp; "Core" (Kindness, Communication, Timeliness, Positive Attitudes &amp; Personal Mental Health Awareness). Training course provided by Legends Bar &amp; Grill for safety in the kitchen to ensure that the highest level of sanitation and food handling. Team member will monitor inventory, receive incoming orders &amp; rotate stock. Required to maintain personal hygiene in accordance with state regulations. Food prep includes: Clean and sanitize work areas, equipment, utensils, and dishes. Weigh or measure ingredients, such as meats and liquids. Prepare fruit and vegetables for cooking. Cut meats, poultry, and seafood and prepare them for cooking. Mix ingredients for salads. Job Classification: 35-2021.00 - Food Preparation Workers The job/industry classification and description includes general information on the position from ONET/OES and the North American Industry Classification System. Please review Job Duties and Job Order for more information. Job Requirements Experience Required: No Number of Hours Per Week: 56 Work Schedule (Start/End time): 5:00 A.M. - 12:00 A.M.</t>
  </si>
  <si>
    <t>H-400-26184-075909</t>
  </si>
  <si>
    <t>Recreational Aides</t>
  </si>
  <si>
    <t>***RFI response*** WORK IS PERFORMED AT A PRIVATE COUNTRY CLUB RECREATIONAL FACILITY, INCLUDING THE POOL, FITNESS, AND TENNIS AREAS, WHERE WORKERS MONITOR MEMBER ACTIVITIES, ENSURE SAFETY, AND ENFORCE FACILITY RULES. WORKERS MAY PROVIDE ADMINISTRATIVE ASSISTANCE BY CHECKING MEMBERSHIP CARDS, CONFIRMING RESERVATIONS, ANSWERING MEMBER QUESTIONS, AND PROVIDING INFORMATION ABOUT CLUB FACILITIES AND SERVICES. ARRANGING MERCHANDISE INCLUDES ORGANIZING, STOCKING, AND DISPLAYING RETAIL ITEMS SUCH AS TOWELS, APPAREL, ACCESSORIES, AND SNACK ITEMS IN RECREATIONAL AREAS. MINOR CLEANING DUTIES INCLUDE CLEANING TABLES, COUNTERS, CHAIRS, FITNESS EQUIPMENT, AND COMMON AREAS USING STANDARD CLEANING PRODUCTS, DISINFECTANTS, MOPS, BROOMS, CLOTHS, AND VACUUMS. WORKERS ALSO MONITOR ACTIVITIES AT THE FACILITY AND ASSIST MEMBERS AS NEEDED TO MAINTAIN A CLEAN, SAFE, AND ORGANIZED ENVIRONMENT. ***Original*** MONITOR ACTIVITIES AT FACILITY. MAY PROVIDE ADMINISTRATIVE ASSISTANCE TO MEMBERSHIP, INCLUDING CHECKING MEMBERSHIP CARDS, CONFIRMING RESERVATIONS ARRANGING MERCHANDISE &amp; PROVIDING FACILITY INFO, MINOR CLEANING Job Classification: 37-2012.00 - Maids and Housekeeping Cleaners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Rotating shifts between 7AM-11PM. Pre-hire background check required for US workers and H2B workers Number of Hours Per Week: 35 Work Schedule (Start/End time): 7:00 A.M. - 11:00 P.M.</t>
  </si>
  <si>
    <t>H-400-26184-075919</t>
  </si>
  <si>
    <t>MAKE BEDS, CHANGE DIRTY LINEN, CLEAN BATHROOMS, VACUUME &amp; MOP FLOORS, CLEAN WINDOWS. TAKE GARBAGE OUT. WASH, DRY, FOLD SUCH ITEMS AS SHEETS, BLANKETS, PILLOW CASES Job Classification: 37-2012.00 - Maids and Housekeeping Cleaners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ROTATING SHIFTS MON-SUN AND HOURS 6AM-10PM Pre-hire background check required for US workers and H2B workers Number of Hours Per Week: 40 Work Schedule (Start/End time): 6:00 A.M. - 10:00 P.M.</t>
  </si>
  <si>
    <t>H-400-26184-075890</t>
  </si>
  <si>
    <t>Line Cooks</t>
  </si>
  <si>
    <t>PREPARE, SAUTE, BROIL COOK SUCH ITEMS AS MEATS, SEAFOOD, POULTRY, VEGETABLES, SOUPS, SALADS. KEEP ALL COOKING AND KITCHEN AREAS CLEAN AND SANITIZED Job Classification: 35-2014.00 - Cooks, Restaurant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ROTATING SHIFTS MON-SUN AND HOURS 6AM-10PM Pre-hire background check required for US workers and H2B workers Number of Hours Per Week: 40 Work Schedule (Start/End time): 6:00 A.M. - 10:00 P.M.</t>
  </si>
  <si>
    <t>H-400-26184-075875</t>
  </si>
  <si>
    <t>GEE FARMS NURSERY &amp; GREENHOUSE, LLC</t>
  </si>
  <si>
    <t>coniferkary@gmail.com</t>
  </si>
  <si>
    <t>+15177696772</t>
  </si>
  <si>
    <t>Duties include dormant season installation of trees, shrubs, or flowers in the appropriate design pattern. Unloading materials, digging holes for root systems, properly covering the holes and sometimes sod laying, planting grass seed or connecting irrigation. Leaf removal, lawn seed and straw, lawn aeration, planting shrubbery, digging, raking, and installation of mortarless segmental concrete masonry wall units. Workers may gather and remove litter, water seeded lawns, trees, plants and prune or trim trees, shrubs, or hedges. Workers may operate powered equipment, and drive vehicles to customer locations. Duties may include sod laying, mowing, watering plants &amp; lawns, plant transplanting, fertilizing, digging, raking, sprinkler installation. Employees will be digging trenches no larger than 6 - 12 inches deep and 6 - 12 inches wide with shovels and hand tools. These trenches are used to hold tubing used in the installation of irrigation systems. All the trimming/pruning will take place on the ground. The workers will not perform any pruning or trimming activities above ground level. The worker may transport other workers to and from job sites on occasion, however this will not be their primary job duty. Job Classification: 37-3011.00 - Landscaping and Groundskeeping Workers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Must have valid drivers license. must be able to lift 50 lbs. repetitive movements, extensive pushing/pulling, extensive walking, frequent stooping, exposure to extreme temperatures, 3 months landscaping experience required, Post Hire Drug screen at employers expense. In accordance with applicable Michigan state law, Earned Sick Time Act 338, employers are required to provide earned sick time to their employees. The amount of paid sick leave provided may vary depending on the size of the business. Number of Hours Per Week: 40 Work Schedule (Start/End time): 7:00 A.M. - 4:00 P.M.</t>
  </si>
  <si>
    <t>H-400-26184-075893</t>
  </si>
  <si>
    <t>Haybale Heights Campground &amp; Resort</t>
  </si>
  <si>
    <t>NORTH DAKOTA</t>
  </si>
  <si>
    <t>lucasmertens@hotmail.com</t>
  </si>
  <si>
    <t>+17013513130</t>
  </si>
  <si>
    <t>Maintenance Helper</t>
  </si>
  <si>
    <t>Duties may include: Help installation, maintenance, and repair workers in maintenance, parts replacement, and repair of ice fishing equipment. Perform duties such as furnishing tools, materials, and supplies to other workers; cleaning work area, machines, and tools; and holding materials or tools for other workers &amp; other related Maintenance Helper activities as per SOC/OES 49-9098 (onetonline.org). Standard/Expected Schedule: Monday-Saturday 7:00AM-4:00PM. Offering 48+ (plus) hours per week; not including applicable lunch and/or breaks. Weekly schedule may vary depending on business needs.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Limited optional, shared housing available to the worker (including: Water, Power and Garbage) at no cost. Job Classification: 49-9098.00 - Helpers--Installation, Maintenance, and Repair Workers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Must be 18 due to equipment use. Must show proof of legal authorization to work in the United States. Drug/alcohol/tobacco free work zone. Perform physical activities: such as lift, balance, walk, stoop, handle, position, move, manipulate materials use static strength to exert maximum muscle force to lift, push, pull, carry objects up to 50lbs. All applicants must be able, willing and qualified to perform work described and must be available for the entire period specified and work throughout all areas of intended employment.Based on Employer's discretion/cost: Worker may have random drug/alcohol testing during employment: positive test/refusal to abide = dismissal. Possible background check post hire at employer's expense.Work is performed outdoors, exposed to weather; must be capable of doing physically strenuous labor for long hours, occasionally in extreme heat or cold. Variable weather conditions apply; hours may fluctuate (+/-), possible downtime and/or overtime. Number of Hours Per Week: 48 Work Schedule (Start/End time): 7:00 A.M. - 4:00 P.M.</t>
  </si>
  <si>
    <t>H-400-26184-075900</t>
  </si>
  <si>
    <t>Cappelli Property Services, LLC</t>
  </si>
  <si>
    <t>DELAWARE</t>
  </si>
  <si>
    <t>05/12/2026</t>
  </si>
  <si>
    <t>info@cappelliservices.com</t>
  </si>
  <si>
    <t>+13023756938</t>
  </si>
  <si>
    <t>Landscape or maintain grounds of property using hand or power tools or equipment. Workers typically perform a variety of tasks, which may include any combination of the following: sod laying, mowing, trimming, planting, watering, fertilizing, digging, raking, mulching, and installation of mortarless segmental concrete masonry wall units. Entry level; requires supervision. Job Classification: 37-3011.00 - Landscaping and Groundskeeping Workers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Must lift/carry 50 lbs., when necessary. Saturday work required, when necessary. Employer may offer more than the stated work hours, depending on weather, business needs, and other conditions. Extreme heat, cold, rain, or drought may affect exact working hours. Number of Hours Per Week: 40 Work Schedule (Start/End time): 6:30 A.M. - 3:00 P.M.</t>
  </si>
  <si>
    <t>H-400-26184-075873</t>
  </si>
  <si>
    <t>Jason Lawn and Landscaping</t>
  </si>
  <si>
    <t>31/10/2026</t>
  </si>
  <si>
    <t>jasonlandscaping46@gmail.com</t>
  </si>
  <si>
    <t>+14435547128</t>
  </si>
  <si>
    <t>Duties may include: Care for established lawns by mowing, trimming, edging, mulching, aerating, weeding, removing thatch, litter, leaves and debris. Follow planned landscaping designs to determine where to lay sod, plant bulbs, flowers, foliage, grass, ground covers, shrubs, and trees (attach wires and support stakes). Deadhead, prune, or trim flowers, foliage, plants, shrubs and trees. Maintain or repair fences. Provide proper upkeep to sidewalks, driveways, parking lots, planters, or other grounds features. Use hand tools, such as shovels, rakes, pruners, shears, and wheelbarrows. May operate vehicles or powered equipment, such as work trucks with small utility trailers, mowers, trimmers, edgers, pruning saws and leaf blowers. Clean worksite to ensure safety &amp; other related Landscape Laborer activities as per SOC/OES 37-3011 (onetonline.org). Standard/Expected Schedule: Monday-Friday 6:45AM-4:00PM. Offering 40+ (plus) hours per week; not including applicable lunch and/or breaks. Possible weekend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Job Classification: 37-3011.00 - Landscaping and Groundskeeping Workers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Must be 18 due to insurance. Must show proof of legal authorization to work in the United States. Drug/alcohol/tobacco free work zone. Perform physical activities: such as lift, balance, walk, stoop, handle, position, move, manipulate materials use static strength to exert maximum muscle force to lift, push, pull, carry objects up to 50lbs. All applicants must be able, willing and qualified to perform work described and must be available for the entire period specified and work throughout all areas of intended employment. Work is performed outdoors, exposed to weather; must be capable of doing physically strenuous labor for long hours, occasionally in extreme heat or cold. Variable weather conditions apply; hours may fluctuate (+/-), possible downtime and/or overtime. Number of Hours Per Week: 40 Work Schedule (Start/End time): 6:45 A.M. - 4:00 P.M.</t>
  </si>
  <si>
    <t>H-400-26184-075895</t>
  </si>
  <si>
    <t>L &amp; H Contracting</t>
  </si>
  <si>
    <t>info@yandellconstruction.com</t>
  </si>
  <si>
    <t>+17314231870</t>
  </si>
  <si>
    <t>Perform tasks involving physical labor at construction sites. May operate hand and power tools of all types: air hammers, earth tampers, cement mixers, small mechanical hoists, surveying and measuring equipment, and a variety of other equipment and instruments. Pour concrete (no finishing responsibilities) and perform construction related tasks such as clean up work site, assist other craft workers, may clean and prepare sites, dig trenches, set braces to support the sides of excavations, erect scaffolding, and clean up rubble, debris, and other waste materials, direct traffic. Workers may operate basic measuring and layout equipment, including measuring tapes, laser levels, grade rods, and string lines, to assist supervisors and other construction personnel with measuring distances, checking grades, and marking work areas. Workers may assist other craft workers, by preparing worksites; gathering, loading, unloading, and transporting tools, materials, and equipment; cleaning work areas; and performing manual labor tasks associated with construction projects. Workers may use common hand tools and basic power tools including shovels, rakes, wheelbarrows, brooms, drills, compactors, levels, and measuring tools. Materials handled may include lumber, concrete forms, gravel, sand, cement, concrete, rebar, pipes, and other common construction materials. Job Classification: 47-2061.00 - Construction Laborers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Must have valid drivers license. Must be able to lift 75 lbs. repetitive movements, extensive pushing/pulling, extensive walking, frequent stooping, exposure to extreme temperatures, 3 months concrete experience required. Number of Hours Per Week: 40 Work Schedule (Start/End time): 7:00 A.M. - 4:00 P.M.</t>
  </si>
  <si>
    <t>H-400-26184-075912</t>
  </si>
  <si>
    <t>LA COSECHA X, LLC</t>
  </si>
  <si>
    <t>JOON JEONG</t>
  </si>
  <si>
    <t>31/05/2027</t>
  </si>
  <si>
    <t>flc@laparrilla.com</t>
  </si>
  <si>
    <t>+16783542700</t>
  </si>
  <si>
    <t>Dishwasher</t>
  </si>
  <si>
    <t>***RFI response*** 1. Specific Tasks, Tools, Equipment, and Materials Used The phrase “Assist kitchen staff with various tasks” refers explicitly to routine support duties required to maintain an orderly, sanitary, and efficient kitchen environment. The specific tasks, along with the tools, equipment, and materials utilized by the Dishwasher, include: A. Dishwashing and Equipment Cleaning: Washing, rinsing, and sanitizing dishes, glassware, silverware, pots, pans, and specialized kitchen equipment. For this task, commercial dishwashing machines, three-compartment deep sinks, scrub brushes, sponges, dish racks, and chemical sanitizers/detergents are used. B. Kitchen Sanitation and Waste Management: Emptying and cleaning trash receptacles, disposing of kitchen garbage, and maintaining the overall cleanliness of the kitchen floor and food service areas. For this task, trash cans, heavy-duty garbage bags, mops, buckets, brooms, and floor degreasers are used. C. Storage and Inventory Organization: Receiving cleaned dishware, utensils, and kitchen equipment from the washing area and transporting them safely to designated storage zones or kitchen prep lines to assist cooks and chefs. For this task, rolling utility carts, storage shelving, and organization racks are used. 2. Clarification on Food Preparation and Cooking Tasks The Employer explicitly clarifies that the Dishwasher position does not involve any cooking duties, nor does it entail independent or skilled food preparation. The assistance provided to the kitchen staff is purely supportive, low-skilled, and routine in nature. To the extent that a Dishwasher interacts with food items or assists the kitchen staff, it is limited to the following basic tasks: A. Clearing and Scraping: Scraping food scraps and residues from soiled plates, platters, and cooking vessels into garbage bins prior to washing. B. Basic Utility Assistance: Under the direct supervision of cooks, chefs, or food service managers, assisting with basic, routine utility tasks such as carrying bulk ingredients from storage or walk-in coolers to the prep area. They do not chop, season, cook, or plate food items. ***Original*** Wash dishes, utensils or kitchen equipment in storage areas. Maintain kitchen are clean and orderly condition. Assist kitchen staff with various tasks. Job Classification: 35-9021.00 - Dishwashers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NONE. Number of Hours Per Week: 40 Work Schedule (Start/End time): 10:00 A.M. - 7:00 P.M.</t>
  </si>
  <si>
    <t>H-400-26184-075884</t>
  </si>
  <si>
    <t>Napa Vineland Winery, LLC</t>
  </si>
  <si>
    <t>Jeanne Malitz</t>
  </si>
  <si>
    <t>CALIFORNIA</t>
  </si>
  <si>
    <t>michael@marcianoestate.com</t>
  </si>
  <si>
    <t>+17079670983</t>
  </si>
  <si>
    <t>Olive Mill Operator</t>
  </si>
  <si>
    <t>Engage in the milling of all olives to ensure efficient and high-quality processing. Implement a successful composting program to handle the olive pomace produced at the mill. Serve as the designated weighmaster for all fruit deliveries, ensuring accurate and compliant weight records. Inspect incoming fruit for quality and reject any that does not meet processing standards. Monitor olive oil quality and mill output, ensuring that all procedures are followed to produce high-quality, extra virgin olive oils Ensure compliance with all standards required by the California Certified Organic Farmers (CCOF) certification. Coordinate and schedule olive deliveries to minimize delays and ensure the shortest possible time from harvest to processing. The Olive Mill Operator supervises one seasonal employee classified under SOC 51-9198.00 - Helpers-Production Workers. This worker holds the title of Assistant Operator and performs milling-related support tasks under the direction of the Olive Mill Operator. The supervised tasks include: Receiving harvested olives from on-site and off-site sources Loading olives into the mill for processing Assisting with composting processes for olive waste Performing cleaning and sanitation of equipment and work areas The Olive Mill Operator is responsible for assigning and overseeing these tasks on a day-to-day basis during the milling season. Although the role does not involve hiring or formal performance management, the Olive Mill Operator supervises the Assistant Operator's work to ensure it is completed safely, correctly, and efficiently during the limited production window from October through December. Job Classification: 51-1011.00 - First-Line Supervisors of Production and Operating Workers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12 Special Requirements: Minimum of one year of hands-on experience in olive oil production. Experience to include work with olive oil milling equipment used for grinding of the fruit, oil extraction and filtering. Strong communication, critical thinking, and problem-solving abilities. Effective time management skills with the ability to prioritize tasks and meet deadlines. Commitment to maintaining privacy and confidentiality at all times. Number of Hours Per Week: 37 Work Schedule (Start/End time): 7:00 A.M. - 3:00 P.M.</t>
  </si>
  <si>
    <t>H-400-26184-075897</t>
  </si>
  <si>
    <t>PB Fire LLC</t>
  </si>
  <si>
    <t>AZpbfire@gmail.com</t>
  </si>
  <si>
    <t>+16023322215</t>
  </si>
  <si>
    <t>Duties may include: Select or cut trees according to marking or sizes, types, or grades. Identify diseased or undesirable tree and remove them (thin, prune) using power saws or hand saws. Drag cut trees from cutting area and load trees onto trucks. Identify diseased and undesirable trees, along with trees that will need to be thinned in the contracted locations. Cut all marked trees, additional trees will go through pre-commercial thinning &amp; other related Forestry Worker activities as per SOC/OES 45-4011 (onetonline.org). Standard/Expected Schedule: Monday-Friday 7:00AM-4:00PM.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Optional, shared housing available at no cost to the worker. Job Classification: 45-4011.00 - Forest and Conservation Workers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Must be 18 due to travel. Must show proof of legal authorization to work in the United States. Drug/alcohol/tobacco free work zone. Perform physical activities: such as lift, balance, walk, stoop, handle, position, move, manipulate materials use static strength to exert maximum muscle force to lift, push, pull, carry objects up to 50lbs. All applicants must be able, willing and qualified to perform work described and must be available for the entire period specified and work throughout all areas of intended employment.Based on Employer's discretion/cost: Worker may have random drug/alcohol testing during employment: positive test/refusal to abide = dismissal. Possible background check post hire at employer's expense.Work is performed outdoors, exposed to weather; must be capable of doing physically strenuous labor for long hours, occasionally in extreme heat or cold. Variable weather conditions apply; hours may fluctuate (+/-), possible downtime and/or overtime. Number of Hours Per Week: 40 Work Schedule (Start/End time): 7:00 A.M. - 4:00 P.M.</t>
  </si>
  <si>
    <t>H-400-26184-075971</t>
  </si>
  <si>
    <t>Carlisle Landscape Management of Virginia LLC</t>
  </si>
  <si>
    <t>awcarlisle04@yahoo.com</t>
  </si>
  <si>
    <t>+16623864672</t>
  </si>
  <si>
    <t>Landscape or maintain grounds of property using hand or power tools or equipment. Workers must be able to perform a variety of tasks without close supervision, which may include any combination of the following: mowing, trimming, planting, pruning, digging, mulching. Must exercise independent judgment; may be asked to demonstrate tasks to other employees but position does not include supervision of other workers. Job Classification: 37-3011.00 - Landscaping and Groundskeeping Workers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Must lift/carry 50 lbs., when necessary. Saturday and Sunday work required, when necessary. Post-hire random, post-accident and upon suspicion of use drug testing required of foreign and domestic workers. Employer may offer more than the stated work hours, depending on weather, business needs, and other conditions. Extreme heat, cold, rain, or drought may affect exact working hours. Number of Hours Per Week: 40 Work Schedule (Start/End time): 6:00 A.M. - 2:30 P.M.</t>
  </si>
  <si>
    <t>H-400-26184-075899</t>
  </si>
  <si>
    <t>PRATT'S LAWN INSTALLATION</t>
  </si>
  <si>
    <t>info@prattslandscape.com</t>
  </si>
  <si>
    <t>+15025700910</t>
  </si>
  <si>
    <t>Duties include dormant season installation of trees, shrubs, or flowers in the appropriate design pattern. Unloading materials, digging holes for root systems, properly covering the holes and sometimes sod laying, planting grass seed or connecting irrigation. Leaf removal, lawn seed and straw, lawn aeration, planting shrubbery, digging, raking, and installation of mortarless segmental concrete masonry wall units. Workers may gather and remove litter, water seeded lawns, trees, plants and prune or trim trees, shrubs, or hedges. Workers may operate powered equipment, and drive vehicles to customer locations. Duties may include sod laying, mowing, watering plants &amp; lawns, plant transplanting, fertilizing, digging, raking, sprinkler installation. Employees will be digging trenches no larger than 6 - 12 inches deep and 6 - 12 inches wide with shovels and hand tools. These trenches are used to hold tubing used in the installation of irrigation systems. All the trimming/pruning will take place on the ground. The workers will not perform any pruning or trimming activities above ground level. The worker may transport other workers to and from job sites on occasion, however this will not be their primary job duty. Workers may operate powered landscaping equipment, including mowers, edgers, blowers, weed eaters, trimmers, small tractors, and similar landscaping equipment. Workers may drive company pickup trucks and similar light-duty company vehicles, to and from customer job sites. Workers may occasionally transport other workers to and from job sites; however, transportation of workers is not a primary job duty. Workers may also occasionally transport landscaping materials, tools, and equipment to and from job sites, including mulch, potted plants, shovels, rakes, mowers, blowers, and trimmers. No hazardous materials will be transported by workers. All vehicles and equipment operated weigh less than 26,000 pounds GVW, including any attached trailers or transported materials. Job Classification: 37-3011.00 - Landscaping and Groundskeeping Workers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Must be able to lift 50 lbs. repetitive movements, extensive pushing/pulling, extensive walking, frequent stooping, exposure to extreme temperatures, 3 months landscaping experience required, Post Hire Drug screen at employers expense. Number of Hours Per Week: 40 Work Schedule (Start/End time): 7:00 A.M. - 4:00 P.M.</t>
  </si>
  <si>
    <t>H-400-26184-075906</t>
  </si>
  <si>
    <t>Perennial Pinestraw Inc.</t>
  </si>
  <si>
    <t>perennialpinestraw@gmail.com</t>
  </si>
  <si>
    <t>+19125395304</t>
  </si>
  <si>
    <t>Grounds Maintenance</t>
  </si>
  <si>
    <t>Duties may include: Prune or trim trees. Rake, bale pine straw using a box press and load into trailers. Keep grounds free of debris. Apply pine straw to flower beds. Clear undergrowth from straw fields using machetes, pole saws, leaf blowers and chain saws &amp; other related Grounds Maintenance activities as per SOC/OES 37-3011 (onetonline.org). Standard/Expected Schedule: Monday-Friday 8:00AM-4:30PM.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Piece rate may apply and varies from $1.00-$1.10 per bale baled proficiently. Workers will be given a 2-week OJT period, at which point a daily production standard of 15 bales per hour will be placed into effect. Failure to meet the production standard may result in a disciplinary notice. Baled bales are counted per hour; counted/reported by the worker and then verified by the loader. Worker will never make less than Prevailing Wage or Federal/State/Local minimum wage. Job Classification: 37-3011.00 - Landscaping and Groundskeeping Workers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Must show proof of legal authorization to work in the United States. Drug/alcohol/tobacco free work zone. Perform physical activities: such as lift, balance, walk, stoop, handle, position, move, manipulate materials use static strength to exert maximum muscle force to lift, push, pull, carry objects up to 50lbs. All applicants must be able, willing and qualified to perform work described and must be available for the entire period specified and work throughout all areas of intended employment. Work is performed outdoors, exposed to weather; must be capable of doing physically strenuous labor for long hours, occasionally in extreme heat or cold. Variable weather conditions apply; hours may fluctuate (+/-), possible downtime and/or overtime. Number of Hours Per Week: 40 Work Schedule (Start/End time): 8:00 A.M. - 4:30 P.M.</t>
  </si>
  <si>
    <t>H-400-26184-075914</t>
  </si>
  <si>
    <t>Planet Earth Lawncare, Inc.</t>
  </si>
  <si>
    <t>planetearthlawncare@gmail.com</t>
  </si>
  <si>
    <t>+12486896969</t>
  </si>
  <si>
    <t>Landscape or maintain grounds of property using hand or power tools or equipment. Workers must be able to perform a variety of tasks without close supervision, which may include any combination of the following: sod laying, trimming, planting, watering, fertilizing, digging, raking, and installation of mortarless segmental concrete masonry wall units. Must exercise independent judgment; may be asked to demonstrate tasks to other employees but position does not include supervision of other workers. Job Classification: 37-3011.00 - Landscaping and Groundskeeping Workers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Must lift/carry 50 lbs., when necessary. Saturday work required, when necessary.Employer may offer more than the stated work hours, depending on weather, business needs, and other conditions. Extreme heat, cold, rain, or drought may affect exact working hours. Number of Hours Per Week: 40 Work Schedule (Start/End time): 8:00 A.M. - 4:30 P.M.</t>
  </si>
  <si>
    <t>H-400-26184-075883</t>
  </si>
  <si>
    <t>Precision Lawn Care &amp; Landscaping Inc.</t>
  </si>
  <si>
    <t>info@precisionlawncare.us</t>
  </si>
  <si>
    <t>+12527462022</t>
  </si>
  <si>
    <t>Grounds Maintenance Worker</t>
  </si>
  <si>
    <t>Landscape or maintain grounds of properties. Workers typically perform a variety of tasks, which may include any combination of the following: Operate mechanized equipment such as lawn mowers, tractor-mounted mowers and bush hogs to mow grass/clear brush; edge/trim, remove litter. Load/unload equipment. Diagnose/make routine repairs to equipment as needed. Must exercise independent judgment; may be asked to demonstrate tasks to other employees but position does not include supervision of other workers. Job Classification: 37-3011.00 - Landscaping and Groundskeeping Workers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Must lift/carry 50 lbs., when necessary. Saturday and Sunday work required, when necessary. Post-hire random, post-accident and upon suspicion of use drug testing required of foreign and domestic workers. Post-hire employment eligibility (e-Verify) check required of foreign and domestic workers.Employer may offer more than the stated work hours, depending on weather, business needs, and other conditions. Extreme heat, cold, rain, or drought may affect exact working hours. Number of Hours Per Week: 40 Work Schedule (Start/End time): 8:00 A.M. - 4:30 P.M.</t>
  </si>
  <si>
    <t>H-400-26184-075894</t>
  </si>
  <si>
    <t>Progressive Solutions LLC</t>
  </si>
  <si>
    <t>ps.jobapplicants@gmail.com</t>
  </si>
  <si>
    <t>+16018071974</t>
  </si>
  <si>
    <t>Brush Clearer Utility Right Of Way</t>
  </si>
  <si>
    <t>Worker will use backpack sprayers and hand tools to apply herbicide to control or clear vegetation from utility rights of way, rangelands, wildlife areas, roadsides, industrial sites, and other areas carrying up to 35 lbs of equipment while walking up to ten miles a day on rough terrain often in adverse weather conditions (hot weather, poisonous plants, insects, and snakes). Worker must be able to apply 20 gallons of spray mix in an eight hour period after three weeks of training Work will be done on tracts of land varying in size from less than an acre to 1,000's of acres. Duties will be performed in areas as determined by an itinerary in accordance with Forestry Rules [Gal I-97] [FR Doc. E7-12766] [TEGL 27-6] and various other publications and established practices. See attachment CDR response P-400-13042-521868 November 14, 2013 Job Classification: 37-3011.00 - Landscaping and Groundskeeping Workers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Applicants must be 18 years of age and available to travel overnight for extended periods of time. Required skills are foliage identification, herbicide handling, safety procedures, and low volume herbicide techniques after three weeks of company training. No previous training required but must attend company paid training at the start location. Progressive Solutions maintains a drug free workplace, and workers may be subject to post-employment drug testing as required by government contracts. Trainees who hold a valid drivers license, meet all company driver standards and pass the company driver test may be offered additional work hours to transport workers and/or materials. Weekly work hours can fluctuate due to weather and contract schedules with some Sat and Sun work required. Number of Hours Per Week: 40 Work Schedule (Start/End time): 7:30 A.M. - 3:00 P.M.</t>
  </si>
  <si>
    <t>H-400-26184-075916</t>
  </si>
  <si>
    <t>Ruby's Academy</t>
  </si>
  <si>
    <t>04/06/2027</t>
  </si>
  <si>
    <t>rubysoperations@gmail.com</t>
  </si>
  <si>
    <t>Child Care Development Specialist</t>
  </si>
  <si>
    <t>Provide daily care for preschool aged children in an early childhood development program. Speak and read to children. Monitor children for health, behavioral, and emotional issues and report concerns to management. Communicate with children's parents or guardians' information on how the child's day went, including daily activities, behaviors, and related issues. Prepare and serve school provided breakfast, lunch, and afternoon snack. Develop a cleaning routine throughout the day that keeps all areas sanitary and safe. Perform additional housekeeping duties including laundry, dish washing, and changing of linens as needed. Assist teachers in facilitating classroom activities and assignments. Workers will be required to change diapers and/or children’s clothing should the need arise. Job Classification: 39-9011.00 - Childcare Workers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Must lift/carry 50 lbs., when necessary. Must be able to stand for to extended periods of time throughout the day, be able to reach 20-30 feet away within 15 seconds in case of emergency, able to crouch to childs eye level, sit on the floor, able to observe, see, hear, and respond to childs needs, and to communicate. Post-hire drug testing required of foreign and domestic workers upon suspicion of use. Post-hire background check and employment eligibility (e-Verify) check required of foreign and domestic workers. Ability to speak basic English preferred. Must be able to provide transcripts translated into English language from highest level of education completed, high school diploma or equivalent required. Complete health assessment required. Once in the US, the applicant must register with our local workforce agency to participate in our On-JobTraining program. This program provides consistent support from a mentor. Employer may offer more than the stated work hours depending on weather, business needs, and other conditions. Number of Hours Per Week: 40 Work Schedule (Start/End time): 8:00 A.M. - 5:00 P.M.</t>
  </si>
  <si>
    <t>H-400-26184-075888</t>
  </si>
  <si>
    <t>SHR FPH, LLC</t>
  </si>
  <si>
    <t>Jerome Grzeca</t>
  </si>
  <si>
    <t>scp.talentandculture@fairmont.com</t>
  </si>
  <si>
    <t>+14805854848</t>
  </si>
  <si>
    <t>Line Cook</t>
  </si>
  <si>
    <t>Perform all methods of cookery, portion control and garnish for all dishes in accordance with the standards set by the executive chef; maintain high standards of quality food production to ensure guest satisfaction; inspect and clean food preparation areas, such as equipment and work service or serving areas to ensure safe and sanitary food-handling practices; prepare, cook and season food according to recipes; bake, roast, broil and steam meats, fish, vegetables, breads, desserts and other foods; ensure food is stored and cooked at the correct temperature by regulating temperature of ovens, broilers, grills and roasters; and, ensure freshness of food and ingredients by checking for quality, keeping track of old and new items and rotating stock. Job Classification: 35-2014.00 - Cooks, Restaurant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12 Special Requirements: Must be able to lift, pull or push between 30-50 pounds of equipment or trash. Must be available to work all shifts, including weekends, evenings, overnights and holiday. Number of Hours Per Week: 40 Work Schedule (Start/End time): 8:00 A.M. - 4:00 P.M.</t>
  </si>
  <si>
    <t>H-400-26184-075876</t>
  </si>
  <si>
    <t>SWEET LIFE SERVICES LLC</t>
  </si>
  <si>
    <t>meghan@sweetlife.life</t>
  </si>
  <si>
    <t>+12195546740</t>
  </si>
  <si>
    <t>Production Laborers</t>
  </si>
  <si>
    <t>Prepare and load liquid sugar tankers for shipment, make batches as directed per production schedule, including handling ingredients in different pack sizes, dry and liquid form properly measure and add ingredients to the batch according to the mixing instructions. Conduct monitoring of batches using basic analytical equipment (ph. meter, thermometer, refractometer), complete quality assurance testing on goods and products, organize inventory in an easy-to-access process, maintain the quality and upkeep of warehouse equipment including machinery, conform to all food safety, quality and human safety standards. Prepare and load liquid sugar tankers for shipment including make batches as directed per production schedule, including handling materials and ingredients in different pack sizes, dry and liquid form that are used in sugar production and distribution, properly measure and add ingredients to the batch according to mixing instructions, conduct monitoring of batches using basic analytical equipment including pH meter, thermometer, and refractometer. Additional duties include loading, unloading, moving and staging piping, hoses, valves, pumps, conveyors, packaging materials, structural components and sugar transfer equipment; assisting with installation and assembly of production and loading line components. Workers will use hand tools, power tools, pallet jacks, forklifts, carts, hoists, measuring devices, packaging equipment, pumps, conveyors, piping systems and basic analytical equipment. Maintaining the quality and upkeep of warehouse equipment including machinery consists of: Workers will clean, inspect, monitor, and perform basic operational upkeep of warehouse and production equipment used in sugar refinery operations. Specific tasks include cleaning machinery and work areas; removing sugar residue, dust, debris, and packaging materials; inspecting equipment for visible wear, leaks, or operational issues; checking fluid levels and reporting maintenance needs to supervisors; assisting with routine equipment setup and shutdown; lubricating accessible machine parts as directed; and ensuring equipment and warehouse areas remain organized and safe for operations. Workers may assist with upkeep of conveyors, pumps, pallet jacks, forklifts, tanker loading systems, packaging equipment, mixers, hoses, piping systems, and other sugar handling and warehouse machinery. Workers do not perform licensed mechanical, electrical, or technical repair work. Tools, equipment, and materials used include brooms, mops, hoses, cleaning solutions, pressure washers, rags, grease guns, hand tools such as wrenches and screwdrivers, pallets, pallet jacks, forklifts, conveyors, pumps, loading equipment, packaging machinery. Job Classification: 53-7072.00 - Pump Operators, Except Wellhead Pumpers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Experience in the food industry is preferred; sugar or sweeteners industry is a plus. Must display reasonable mechanical aptitude to work with and understand processing equipment. Must have reliable attendance. Work may require bending, stooping, squatting, kneeling, and crouching; ability to receive detailed information through verbal and written communication in either English or Spanish; ability to express or exchange ideas through the spoken word either in English or Spanish; ability to lift to 50lbs. Use of both hands is required. The work is primarily indoors, with some work to be performed outdoors. 3 months experience required. Number of Hours Per Week: 40 Work Schedule (Start/End time): 7:00 A.M. - 4:00 P.M.</t>
  </si>
  <si>
    <t>H-400-26184-075917</t>
  </si>
  <si>
    <t>Seasons East Lawn Care LLC</t>
  </si>
  <si>
    <t>NEW YORK</t>
  </si>
  <si>
    <t>jpmcgrath@seasonseast.com</t>
  </si>
  <si>
    <t>+15188573837</t>
  </si>
  <si>
    <t>Landscape grounds of property using hand or power tools or equipment. Workers typically perform a variety of tasks, which may include any combination of the following: grade/seed/lay sod, planting, watering, digging, raking, and mulching. Job Classification: 37-3011.00 - Landscaping and Groundskeeping Workers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Must lift/carry 50 lbs., when necessary. Saturday and Sunday work required, when necessary. Employer may offer more than the stated work hours depending on weather, business needs, and other conditions. Extreme heat, cold, rain, or drought may affect exact working hours. Number of Hours Per Week: 40 Work Schedule (Start/End time): 8:00 A.M. - 4:30 P.M.</t>
  </si>
  <si>
    <t>H-400-26184-075901</t>
  </si>
  <si>
    <t>Stanton Landscaping &amp; Irrigation, LLC</t>
  </si>
  <si>
    <t>NEW HAMPSHIRE</t>
  </si>
  <si>
    <t>justin@stantonlandscape.com</t>
  </si>
  <si>
    <t>+16032331637</t>
  </si>
  <si>
    <t>Landscape or maintain grounds of property using hand or power tools or equipment. Workers typically perform a variety of tasks, which may include any combination of the following: sod laying, mowing, trimming, planting, watering, fertilizing, digging, and raking; assist with sprinkler installation. Entry level; requires supervision. Job Classification: 37-3011.00 - Landscaping and Groundskeeping Workers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Saturday and Sunday work required when necessary. Must lift/carry 50 lbs when necessary. Post-hire random drug testing required for both domestic and foreign workers. Employer may offer more than the stated work hours depending on weather, business needs, and other conditions. Extreme heat, cold, rain, or drought may affect exact working hours. Number of Hours Per Week: 40 Work Schedule (Start/End time): 6:30 A.M. - 3:00 P.M.</t>
  </si>
  <si>
    <t>H-400-26184-075905</t>
  </si>
  <si>
    <t>T ROCK CONSTRUCTION INC</t>
  </si>
  <si>
    <t>tim@trockconstruction.com</t>
  </si>
  <si>
    <t>+17249389246</t>
  </si>
  <si>
    <t>Perform tasks involving physical labor at construction sites. Assist with setting forms and preparing worksite for concrete pours. May operate hand and power tools of all types: air hammers, earth tampers, cement mixers, concrete saws, mixers, vibrators, small mechanical hoists, surveying and measuring equipment, and a variety of other equipment and instruments. May clean and prepare sites, dig trenches, set braces to support the sides of excavations, erect scaffolding, and clean up rubble, debris, and other waste materials. May assist other craft workers and tradesmen with various tasks. Follow safety guidelines and wear appropriate PPE. Perform other labor-related duties as needed. Workers may assist other craft workers, by preparing worksites; gathering, loading, unloading, and transporting tools, materials, and equipment; cleaning work areas; and performing manual labor tasks associated with construction projects. Workers may use common hand tools and basic power tools including shovels, rakes, wheelbarrows, brooms, drills, compactors, levels, and measuring tools. Materials handled may include lumber, concrete forms, gravel, sand, cement, concrete, rebar, pipes, and other common construction materials. Workers may operate basic measuring and layout equipment, including measuring tapes, laser levels, grade rods, and string lines, to assist supervisors and other construction personnel with measuring distances, checking grades, and marking work areas Job Classification: 47-2061.00 - Construction Laborers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Must have valid drivers license. Must be able to lift &amp; carry 50 lbs. repetitive movements, extensive pushing/pulling, extensive walking, frequent stooping, exposure to extreme temperatures, 3 months construction experience required. Number of Hours Per Week: 40 Work Schedule (Start/End time): 7:00 A.M. - 4:00 P.M.</t>
  </si>
  <si>
    <t>H-400-26184-075892</t>
  </si>
  <si>
    <t>TMGUSA, LLC</t>
  </si>
  <si>
    <t>contact@tmgdoingitright.com</t>
  </si>
  <si>
    <t>Fall and Winter General Laborer</t>
  </si>
  <si>
    <t>Perform manual labor tasks to support snow removal operations, winter weather preparation, and related property readiness activities on commercial and multifamily properties. Tasks include snow and ice removal, spreading salt/deicing chemicals on walkways, roads, driveways, and parking lots. Clean and perform routine maintenance to snow/ice equipment, refilling spreaders, shovel, throw, plow snow. Use snow shovels, rakes, plows, snow throwers, salt spreaders, and ice chippers. Clean and perform routine maintenance and/or minor repairs on snow removal equipment and tools when not in use. Perform commercial and residential fall/winter storm maintenance and winterization. Tasks include clearing debris and obstructions from walkways, access points, and drainage areas; load and unload equipment/materials/supplies; and organizing deicing materials. Assist with setting up and repositioning markers, cones, and safety signage; Perform general manual labor tasks supporting winter operations, including assisting skilled tradesmen with site preparation, cleanup, arranging and moving materials, clearing work areas, removing debris, handing tools, holding materials in place, covering flooring, furniture, or materials with plastic sheeting, drop cloths, or protective coverings to prevent dust or debris accumulation, scraping ice, dirt, old caulk, or loose materials from surfaces using ice chippers, hand scrapers, putty knives, wire brushes, or similar hand tools, and cleaning work areas. Entry level; requires supervision. Job Classification: 47-2061.00 - Construction Laborers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Must lift/carry 50 lbs., when necessary. Saturday and Sunday work required, when necessary. Post-hire post-accident drug testing required of foreign and domestic workers. Employer may offer more than the stated work hours depending on weather, business needs, and other conditions. Extreme heat, cold, rain, or drought may affect exact working hours. Number of Hours Per Week: 40 Work Schedule (Start/End time): 8:00 A.M. - 4:30 P.M.</t>
  </si>
  <si>
    <t>H-400-26184-075880</t>
  </si>
  <si>
    <t>Texana Outdoor Services LLC</t>
  </si>
  <si>
    <t>Tim@texanaoutdoorservices.com</t>
  </si>
  <si>
    <t>+19795510214</t>
  </si>
  <si>
    <t>Christmas Light Installer</t>
  </si>
  <si>
    <t>Unpack, inspect and test holiday decorations, replace them if needed. Hang decors on exterior landscape and buildings. Maintain/service decor that break. Remove decor, inspect and pack for storage. Involves bending, stooping, lifting and stretching on a frequent basis and may involve working in inclement weather and working at heights. Maintain a clean worksite; pick up trash and debris as necessary. Job Classification: 49-9099.00 - Installation, Maintenance, and Repair Workers, All Other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Must lift/carry 50 lbs., when necessary. Saturday and Sunday work required, when necessary. Post-hire post-accident drug testing required of foreign and domestic workers. Employer may offer more than the stated work hours depending on weather, business needs, and other conditions. Extreme heat, cold, rain, or drought may affect exact working hours. Number of Hours Per Week: 45 Work Schedule (Start/End time): 7:00 A.M. - 5:00 P.M.</t>
  </si>
  <si>
    <t>H-400-26184-076019</t>
  </si>
  <si>
    <t>Carlisle Landscape Management, LLC- MS</t>
  </si>
  <si>
    <t>H-400-26184-075871</t>
  </si>
  <si>
    <t>Vazquez Landscaping</t>
  </si>
  <si>
    <t>30/12/2026</t>
  </si>
  <si>
    <t>vazquezlandscaping.treeservice@gmail.com</t>
  </si>
  <si>
    <t>+17572321768</t>
  </si>
  <si>
    <t>Landscape or maintain grounds of property using hand or power tools or equipment. Workers typically perform a variety of tasks, which may include any combination of the following: mowing, trimming, pruning, weeding, mulching, sod laying, planting, digging, raking, caring for seasonal plant rotations, cutting brush and shrubs, Debris cleanup, and other landscape maintenance tasks as needed. Entry level; requires supervision. Job Classification: 37-3011.00 - Landscaping and Groundskeeping Workers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Must lift/carry 50 lbs., when necessary. Saturday and Sunday work required, when necessary. Employer may offer more than the stated work hours depending on weather, business needs, and other conditions. Extreme heat, cold, rain, or drought may affect exact working hours. Number of Hours Per Week: 42 Work Schedule (Start/End time): 7:00 A.M. - 4:00 P.M.</t>
  </si>
  <si>
    <t>H-400-26184-075896</t>
  </si>
  <si>
    <t>WESTERN DUPAGE SERVICES, INC.</t>
  </si>
  <si>
    <t>CV@wdlinc.com</t>
  </si>
  <si>
    <t>+16303280217</t>
  </si>
  <si>
    <t>Duties include dormant season installation of trees, shrubs, or flowers in the appropriate design pattern. Unloading materials, digging holes for root systems, properly covering the holes and sometimes sod laying, planting grass seed or connecting irrigation. Leaf removal, lawn seed and straw, lawn aeration, planting shrubbery, digging, raking, and installation of mortarless segmental concrete masonry wall units. Workers may gather and remove litter, water seeded lawns, trees, plants and prune or trim trees, shrubs, or hedges. Workers may operate powered equipment, and drive vehicles to customer locations. Duties may include sod laying, mowing, watering plants &amp; lawns, plant transplanting, fertilizing, digging, raking, sprinkler installation. Employees will be digging trenches no larger than 6 - 12 inches deep and 6 - 12 inches wide with shovels and hand tools. These trenches are used to hold tubing used in the installation of irrigation systems. All the trimming/pruning will take place on the ground. The workers will not perform any pruning or trimming activities above ground level. The worker may transport other workers to and from job sites on occasion, however this will not be their primary job duty. Workers may operate powered landscaping equipment, including mowers, edgers, blowers, weed eaters, trimmers, small tractors, and similar landscaping equipment. Workers may drive company pickup trucks and similar light-duty company vehicles, to and from customer job sites. Workers may occasionally transport other workers to and from job sites; however, transportation of workers is not a primary job duty. Workers may also occasionally transport landscaping materials, tools, and equipment to and from job sites, including mulch, potted plants, shovels, rakes, mowers, blowers, and trimmers. No hazardous materials will be transported by workers. All vehicles and equipment operated weigh less than 26,000 pounds GVW, including any attached trailers or transported materials. Job Classification: 37-3011.00 - Landscaping and Groundskeeping Workers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Must be able to lift 100 lbs., repetitive movements, extensive pushing/pulling, extensive walking, frequent stooping, exposure to extreme temperatures. Number of Hours Per Week: 40 Work Schedule (Start/End time): 7:00 A.M. - 4:00 P.M.</t>
  </si>
  <si>
    <t>H-400-26184-075940</t>
  </si>
  <si>
    <t>ARCG, LLC</t>
  </si>
  <si>
    <t>patrickhenryobrien@gmail.com</t>
  </si>
  <si>
    <t>+15012580548</t>
  </si>
  <si>
    <t>Fast Food and Counter Workers</t>
  </si>
  <si>
    <t>Perform duties such as taking orders and serving food and beverages. Serve customers. May take payment. May prepare food and beverages. Accept payment from customers and make change as necessary. Serve customers in eating places that specialize in fast service and inexpensive carry-out food. Request and record customer orders. Communicate with customers regarding orders, comments, and complaints. Serve food, beverages, or desserts to customers in such settings as take-out counters and cars. Monitor and order supplies or food items and restock as necessary to maintain inventory. Perform cleaning duties, such as sweeping, mopping, and washing dishes, to keep equipment and facilities sanitary. Brew coffee and tea and fill containers with requested beverages. Clean and organize eating, service, and kitchen areas. Prepare daily food items, and cook simple foods and beverages, using proper safety precautions and sanitary measures. Prepare and serve cold drinks, frozen milk drinks, or desserts, using drink-dispensing, milkshake, or frozen-custard machines. Wrap menu items such as sandwiches, hot entrees, and desserts for serving or for takeout. Scrub and polish counters, steam tables, and other equipment, and clean glasses, dishes, and fountain equipment. Add relishes and garnishes to food orders, according to instructions. Distribute food to servers. Select food items from serving or storage areas and place them in dishes, on serving trays, or in take-out bags. Check and monitor food temperatures while cooking. Workers will primarily perform counter-service and customer-service duties, including taking customer orders, operating cash registers, serving food and beverages, preparing drinks, packaging food orders, restocking service areas, and maintaining cleanliness. Workers may perform limited and incidental food preparation duties such as assembling sandwiches, preparing salads, heating pre-made items, brewing coffee, or portioning simple menu items. Job Classification: 35-9021.00 - Dishwashers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Must be able to carry at least 20 lbs., repetitive movements, extensive pushing/pulling, extensive standing, frequent stooping, exposure to extreme temperatures. Number of Hours Per Week: 40 Work Schedule (Start/End time): 7:00 A.M. - 4:00 P.M.</t>
  </si>
  <si>
    <t>H-400-26184-075948</t>
  </si>
  <si>
    <t>ASPEN ASSIST, LLC</t>
  </si>
  <si>
    <t>steve@aspenpropertycare.com</t>
  </si>
  <si>
    <t>+12628352808</t>
  </si>
  <si>
    <t>Duties include dormant season installation of trees, shrubs, or flowers in the appropriate design pattern. Unloading materials, digging holes for root systems, properly covering the holes and sometimes sod laying, planting grass seed or connecting irrigation. Leaf removal, lawn seed and straw, lawn aeration, planting shrubbery, digging, raking, and installation of mortarless segmental concrete masonry wall units. Workers may gather and remove litter, water seeded lawns, trees, plants and prune or trim trees, shrubs, or hedges. Workers may operate powered equipment, and drive vehicles to customer locations. Duties may include sod laying, mowing, trimming/pruning trees, shrubs and plants, watering plants &amp; lawns, plant transplanting, fertilizing, digging, raking, sprinkler installation. All the trimming/pruning will take place on the ground. The workers will not perform any pruning or trimming activities above ground level. The worker may transport other workers to and from job sites on occasion, however this will not be their primary job duty. Job Classification: 37-3011.00 - Landscaping and Groundskeeping Workers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Must be able to lift 50 lbs. Must have 3 months experience. Must have valid drivers license, repetitive movements, extensive pushing/pulling, extensive walking, frequent stooping, exposure to extreme temperatures. Number of Hours Per Week: 40 Work Schedule (Start/End time): 7:00 A.M. - 4:00 P.M.</t>
  </si>
  <si>
    <t>H-400-26184-075965</t>
  </si>
  <si>
    <t>Acres Maintenance, Inc.</t>
  </si>
  <si>
    <t>13/11/2026</t>
  </si>
  <si>
    <t>maureen.scheitz@acresgroup.com</t>
  </si>
  <si>
    <t>+18475264554</t>
  </si>
  <si>
    <t>Assistant Maintenance Working Foreman</t>
  </si>
  <si>
    <t>Landscape or maintain grounds of property using hand or power tools or equipment. Workers typically perform a variety of tasks, which may include any combination of the following: sod laying, planting, mowing, trimming, mulching, watering, fertilizing, digging, raking, edging, weeding, cleaning up debris, and installation of mortarless segmental concrete masonry wall units. Must exercise independent judgment and may be asked to demonstrate tasks to other employees. Will assist with maintaining time sheets/records for their crew. May drive crew vehicles to transport workers and equipment from one worksite to the next. Driving of crew vehicle does not require a special driver's license. Job Classification: 37-1012.00 - First-Line Supervisors of Landscaping, Lawn Service, and Groundskeeping Workers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Must lift/carry 50 lbs., when necessary. Saturday and Sunday work required, when necessary. Employer-paid drug testing required of foreign and domestic workers prior to commencing work and post-hire upon suspicion of use, and post-accident. Post-hire background checks may be required of foreign and domestic workers based on contract requirements. Must possess or be able to obtain U.S. driver's license within 30 days of hire. Supervise up to 4 peers. Employer may offer more than the stated work hours, depending on weather, business needs, and other conditions. Extreme heat, cold, rain, or drought may affect exact working hours. Number of Hours Per Week: 35 Work Schedule (Start/End time): 6:30 A.M. - 2:00 P.M.</t>
  </si>
  <si>
    <t>H-400-26184-075932</t>
  </si>
  <si>
    <t>Maintenance Working Foreman</t>
  </si>
  <si>
    <t>Landscape or maintain grounds of property using hand or power tools or equipment. Workers typically perform a variety of tasks, which may include any combination of the following: sod laying, planting, mowing, trimming, mulching, watering, fertilizing, digging, raking, edging, weeding, cleaning up debris, and installation of mortarless segmental concrete masonry wall units. Must exercise independent judgment and may be asked to demonstrate tasks to other employees. Will maintain time sheets/records for their crew. Drives crew vehicles to transport workers and equipment from one worksite to the next. Driving of crew vehicle does not require a special driver's license. Job Classification: 37-1012.00 - First-Line Supervisors of Landscaping, Lawn Service, and Groundskeeping Workers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Must lift/carry 50 lbs., when necessary. Saturday and Sunday work required, when necessary. Employer-paid drug testing required of foreign and domestic workers prior to commencing work and post-hire upon suspicion of use and post-accident. Post-hire background checks may be required of foreign and domestic workers based on contract requirements. Must possess or be able to obtain U.S. driver's license within 30 days of hire. Supervise up to 4 peers. Employer may offer more than the stated work hours, depending on weather, business needs, and other conditions. Extreme heat, cold, rain, or drought may affect exact working hours. Number of Hours Per Week: 35 Work Schedule (Start/End time): 6:30 A.M. - 2:00 P.M.</t>
  </si>
  <si>
    <t>H-400-26184-075954</t>
  </si>
  <si>
    <t>Alpha Landscape Contractors, Inc.</t>
  </si>
  <si>
    <t>info@alphalanscp.com</t>
  </si>
  <si>
    <t>Landscape or maintain grounds of property using hand or power tools or equipment. Workers typically perform a variety of tasks, which may include any combination of the following: sod laying, mowing, trimming, planting, watering, fertilizing, digging, raking; assist with sprinkler installation and installation of mortarless segmental concrete masonry wall units. Entry level: requires supervision. Job Classification: 37-3011.00 - Landscaping and Groundskeeping Workers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Must lift/carry 50 lbs., when necessary. Saturday and Sunday work required, when necessary. Employer paid Post-hire random and post-accident drug testing required of foreign and domestic workers. Post-hire background check required of foreign and domestic workers. Employer may offer more than the stated work hours depending on weather, business needs, and other conditions. Extreme heat, cold, rain, or drought may affect exact working hours. Number of Hours Per Week: 40 Work Schedule (Start/End time): 7:30 A.M. - 4:00 P.M.</t>
  </si>
  <si>
    <t>H-400-26184-075949</t>
  </si>
  <si>
    <t>Aspen Forestry, LLC</t>
  </si>
  <si>
    <t>Samuel Berkshire</t>
  </si>
  <si>
    <t>IDAHO</t>
  </si>
  <si>
    <t>Aspenforestry23@gmail.com</t>
  </si>
  <si>
    <t>+15415319478</t>
  </si>
  <si>
    <t>Duties may include: Planting of trees, grubbing/scalping, tubbing, hand tree pruning, hand piling, tree thinning/TSI, fuel reduction, bud coping,lift and pack baby trees &amp; other related Forestry Worker activities as per SOC/OES 45-4011 (onetonline.org). Standard/Expected Schedule: Monday-Friday 6:00AM-4:00PM.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Optional, shared housing available at no cost to the worker. Job Classification: 45-4011.00 - Forest and Conservation Workers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Must be 18 due to travel. Must show proof of legal authorization to work in the United States. Drug/alcohol/tobacco free work zone. Must walk substantially (up to 15 miles/day), also stoop, bend while carrying a pack (up to 50lbs) thru rough terrain (non-trail). All applicants must be able, willing and qualified to perform work described and must be available for the entire period specified and work throughout all areas of intended employment.Based on Employer's discretion/cost: Worker may have random drug/alcohol testing during employment: positive test/refusal to abide = dismissal. Work is performed outdoors, exposed to weather; must be capable of doing physically strenuous labor for long hours, occasionally in extreme heat or cold. Variable weather conditions apply; hours may fluctuate (+/-), possible downtime and/or overtime. Number of Hours Per Week: 40 Work Schedule (Start/End time): 6:00 A.M. - 4:00 P.M.</t>
  </si>
  <si>
    <t>H-400-26184-075958</t>
  </si>
  <si>
    <t>B &amp; L COMPANY, LLC</t>
  </si>
  <si>
    <t>carrie@brothersoutdoorworld.com</t>
  </si>
  <si>
    <t>+15177954366</t>
  </si>
  <si>
    <t>Duties include dormant season installation of trees, shrubs, or flowers in the appropriate design pattern. Unloading materials, digging holes for root systems, properly covering the holes and sometimes sod laying, planting grass seed or connecting irrigation. Leaf removal, lawn seed and straw, lawn aeration, planting shrubbery, digging, raking, and installation of mortarless segmental concrete masonry wall units. Workers may gather and remove litter, water seeded lawns, trees, plants and prune or trim trees, shrubs, or hedges. Workers may operate powered equipment, and drive vehicles to customer locations. Duties may include sod laying, mowing, watering plants &amp; lawns, plant transplanting, fertilizing, digging, raking, sprinkler installation. Employees will be digging trenches no larger than 6 - 12 inches deep and 6 - 12 inches wide with shovels and hand tools. These trenches are used to hold tubing used in the installation of irrigation systems. All the trimming/pruning will take place on the ground. The workers will not perform any pruning or trimming activities above ground level. The worker may transport other workers to and from job sites on occasion, however this will not be their primary job duty. Job Classification: 37-3011.00 - Landscaping and Groundskeeping Workers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Must have 3 months experience, Must be able to lift 50 lbs., repetitive movements, extensive pushing/pulling, extensive walking, frequent stooping, exposure to extreme temperatures. In accordance with applicable Michigan state law, Earned Sick Time Act 338, employers are required to provide earned sick time to their employees. The amount of paid sick leave provided may vary depending on the size of the business. Number of Hours Per Week: 40 Work Schedule (Start/End time): 7:00 A.M. - 4:00 P.M.</t>
  </si>
  <si>
    <t>H-400-26184-075926</t>
  </si>
  <si>
    <t>B&amp;J Landscaping &amp; Lawn Service LLC</t>
  </si>
  <si>
    <t>brianlukes0126@gmail.com</t>
  </si>
  <si>
    <t>+16123285091</t>
  </si>
  <si>
    <t>Landscaping and Groundskeeping Workers</t>
  </si>
  <si>
    <t>Duties include dormant season installation of trees, shrubs, or flowers in the appropriate design pattern. Unloading materials, digging holes for root systems, properly covering the holes and sometimes sod laying, planting grass seed or connecting irrigation. Leaf removal, lawn seed and straw, lawn aeration, planting shrubbery, digging, raking, and installation of mortarless segmental concrete masonry wall units. Workers may gather and remove litter, water seeded lawns, trees, plants and prune or trim trees, shrubs, or hedges. Workers may operate powered equipment, and drive vehicles to customer locations. Duties may include sod laying, mowing, watering plants &amp; lawns, plant transplanting, fertilizing, digging, raking, sprinkler installation. Employees will be digging trenches no larger than 6 - 12 inches deep and 6 - 12 inches wide with shovels and hand tools. These trenches are used to hold tubing used in the installation of irrigation systems. All the trimming/pruning will take place on the ground. The workers will not perform any pruning or trimming activities above ground level. The worker may transport other workers to and from job sites on occasion, however this will not be their primary job duty. Job Classification: 37-3011.00 - Landscaping and Groundskeeping Workers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MUST HAVE A VALID DRIVER'S LICENSE. MUST BE ABLE TO LIFT 50 LBS., REPETITIVE MOVEMENTS, EXTENSIVE WALKING, FREQUENT STOOPING, EXPOSURE TO EXTREME TEMPERATURES. Number of Hours Per Week: 40 Work Schedule (Start/End time): 7:00 A.M. - 4:00 P.M.</t>
  </si>
  <si>
    <t>H-400-26184-075960</t>
  </si>
  <si>
    <t>BDG Trees, LLC - Baton Rouge, LA</t>
  </si>
  <si>
    <t>yessenyagarcia@bdgtrees.com</t>
  </si>
  <si>
    <t>+17138477120</t>
  </si>
  <si>
    <t>***RFI response*** 1. Equipment Types Vehicles: Pickup/service/mechanic/crew/flatbed/dump/grapple/chip/bucket trucks, backyard lifts, trailers, vans &amp; co. fleet vehicles supporting utility vegetation mgmt. ops. Industrial Machinery/Equipment: Wood chippers, stump grinders, backyard/aerial lifts, bucket truck components, hydraulic equip., forestry mowers, skid steers, tractors, compressors, pumps &amp; support equip. used in tree trimming, vegetation mgmt. &amp; fleet ops. Electrical/Electronic Equipment: Vehicle/trailer lighting, backup alarms, safety beacons/strobe lights, battery cables, batteries, fuses, basic wiring, camera/GPS units, telematics devices &amp; basic elec. components on co. vehicles/equip. 2. Duties &amp; Tools Tasks: Furnish/carry tools, parts, materials &amp; supplies to mechanics/maint. workers; hold/position/secure parts during repair/maint.; assist w/ basic parts replacement (light bulbs, batteries, filters, wiper blades, tires, belts, hoses, trailer lights, reflective tape, routine items); assist w/ fluid checks/replenishment (engine oil, coolant, washer fluid, hydraulic fluid, DEF); remove/reinstall panels, covers, guards, tires &amp; components; assist w/ preventive maint. (grease fittings, check tire pressure, clean battery terminals, organize parts, prep equip.); move parts/supplies; clean/organize tools, maint./parts areas &amp; equip.; prep vehicles/equip. for inspection/service/repair. Tools/Materials: Hand tools incl. wrenches, sockets, ratchets, screwdrivers, pliers, hammers, grease guns, air hoses, battery testers, tire pressure gauges, funnels, drain pans, shop towels, brooms, degreasers, cleaning supplies, replacement bulbs, batteries, filters, belts, hoses, fluids &amp; maint. supplies. Assist w/ jacks, jack stands, lifts, carts, creepers &amp; shop support equip. as directed. 3. Diesel Engine Work Co. vehicles/equip. may contain diesel engines (trucks, bucket trucks, chip trucks, dump trucks, chippers, fleet equip.). Diesel work limited to helper-level support under supervision of mechanic/qualified maint. employee (furnish tools/parts, hold components, clean areas/equip., assist w/ fluid checks, replace basic service items, prep vehicles/equip.). No advanced diesel mechanic duties. 4. Facilities/Worksites Work at co. fleet yards, maint. shops, branch locations, equip. storage yards &amp; designated worksites. Field work at utility vegetation mgmt. job sites, staging areas, customer service areas &amp; roadside/jobsite locations for basic support/prep. Stationary work at co. yards/shops/branch facilities. Field work limited to supporting mechanics/fleet personnel w/ maint.-related tasks for co. vehicles/equip. 5. Cleaning Tasks Cleaning = basic helper-level cleaning/housekeeping related to vehicles, equip., tools &amp; maint. areas. Remove dirt, grease, debris, sawdust, leaves, mud, oil residue &amp; job-related buildup from equip. surfaces, tools, floors, benches &amp; work areas. Tools incl.: brooms, shop towels, rags, brushes, scrapers, buckets, water hoses, degreasers, absorbent pads, spill kits, trash containers, gloves, safety glasses &amp; cleaning supplies. ***Original*** Help installation, maintenance, and repair workers in maintenance, parts replacement, and repair of vehicles, industrial machinery, and electrical and electronic equipment. Perform duties such as furnishing tools, materials, and supplies to other workers; cleaning work area, machines, and tools; and holding materials or tools for other workers. Job Classification: 49-9098.00 - Helpers--Installation, Maintenance, and Repair Workers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Must lift/carry 50 lbs., or more, when necessary. Saturday and Sunday work required, when necessary. Employer-paid drug testing required of foreign and domestic workers prior to commencing work and post-hire at random, upon suspicion of use, and post-accident. Post-hire background check and employment eligibility (e-Verify) check required of foreign and domestic workers. Employer-paid physical required prior to beginning work to ensure worker can safely perform the job. Incidental limited travel and double time pay may be available under certain emergent conditions and holidays, and as per specific utility contractual requirements. Employer may offer more than the stated work hours depending on weather, business needs, and other conditions. Extreme heat, cold, rain, or drought may affect exact working hours. Number of Hours Per Week: 35 Work Schedule (Start/End time): 7:00 A.M. - 3:00 P.M.</t>
  </si>
  <si>
    <t>H-400-26184-075950</t>
  </si>
  <si>
    <t>BDG Trees, LLC - Beaumont, TX</t>
  </si>
  <si>
    <t>Help installation, maintenance, and repair workers in maintenance, parts replacement, and repair of vehicles, industrial machinery, and electrical and electronic equipment. Perform duties such as furnishing tools, materials, and supplies to other workers; cleaning work area, machines, and tools; and holding materials or tools for other workers. Job Classification: 49-9098.00 - Helpers--Installation, Maintenance, and Repair Workers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Must lift/carry 50 lbs., or more, when necessary. Saturday and Sunday work required, when necessary. Employer-paid drug testing required of foreign and domestic workers prior to commencing work and post-hire at random, upon suspicion of use, and post-accident. Post-hire background check and employment eligibility (e-Verify) check required of foreign and domestic workers. Employer-paid physical required prior to beginning work to ensure worker can safely perform the job. Incidental limited travel and double time pay may be available under certain emergent conditions and holidays, and as per specific utility contractual requirements. Employer may offer more than the stated work hours depending on weather, business needs, and other conditions. Extreme heat, cold, rain, or drought may affect exact working hours. Number of Hours Per Week: 35 Work Schedule (Start/End time): 7:00 A.M. - 3:00 P.M.</t>
  </si>
  <si>
    <t>H-400-26184-075944</t>
  </si>
  <si>
    <t>BDG Trees, LLC - Hammond, LA</t>
  </si>
  <si>
    <t>H-400-26184-075936</t>
  </si>
  <si>
    <t>BDG Trees, LLC - Little Rock, AR</t>
  </si>
  <si>
    <t>H-400-26184-075964</t>
  </si>
  <si>
    <t>Botanico of the Ozarks</t>
  </si>
  <si>
    <t>lana.botanico@gmail.com</t>
  </si>
  <si>
    <t>+14178729414</t>
  </si>
  <si>
    <t>Duties may include: Lawn and landscape clean up, care for established properties to prepare for winter by mowing, trimming, edging, mulching, aerating, weeding, fall leaf removal, removing thatch, litter &amp; debris. Follow planned landscape design to plant or install fall plants/flowers/foliage. Prune or trim trees, shrubs, or hedges, using shears &amp; pruners to prepare for dormancy season. Spray or spread fertilizer onto trees, shrubs &amp; lawns to prepare for winter. Winterize irrigation system &amp; other related Landscape Laborer activities as per SOC/OES 37-3011 (onetonline.org). Standard/Expected Schedule: Monday-Friday 7:00AM-5:00PM.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Job Classification: 37-3011.00 - Landscaping and Groundskeeping Workers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Must show proof of legal authorization to work in the United States. Drug/alcohol/tobacco free work zone. Perform physical activities: such as lift, balance, walk, stoop, handle, position, move, manipulate materials use static strength to exert maximum muscle force to lift, push, pull, carry objects up to 50lbs. All applicants must be able, willing and qualified to perform work described and must be available for the entire period specified and work throughout all areas of intended employment. Possible background check post hire at employer's expense.Work is performed outdoors, exposed to weather; must be capable of doing physically strenuous labor for long hours, occasionally in extreme heat or cold. Variable weather conditions apply; hours may fluctuate (+/-), possible downtime and/or overtime. Number of Hours Per Week: 40 Work Schedule (Start/End time): 7:00 A.M. - 5:00 P.M.</t>
  </si>
  <si>
    <t>H-400-26184-075952</t>
  </si>
  <si>
    <t>C&amp;C Excavating LLC</t>
  </si>
  <si>
    <t>curt@hongfarms.com</t>
  </si>
  <si>
    <t>+12187790366</t>
  </si>
  <si>
    <t>Duties may include: Workers will perform manual labor tasks at construction sites to support equipment operations and general site activities. Assist equipment operators by directing the movement of machinery through the use of standardized hand signals. Load, unload, and move materials, tools, and equipment by hand or using basic material-handling methods. Tools utilized may include, but are not limited to, DeWalt drills, grinders, hand saws, and shovels. Perform routine maintenance on tools and equipment, including maintaining DeWalt drills, grinders, hand saws, and shovels by charging batteries, replacing grinding wheels, and ensuring tools are kept clean and free of debris. May use light-duty work trucks, including Ford F-150, Chevrolet 2500, and Chevrolet 3500 models, to transport workers, tools, and materials to and from job sites. General site cleanup and other manual tasks as needed to maintain a safe, clean, and organized work environment &amp; other related Construction Laborers activities as per SOC/OES 47-2031 (onetonline.org). Standard/Expected Schedule: Monday-Friday 6:00AM-6:00PM.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Optional, shared housing available at no cost to the worker. Job Classification: 47-2031.00 - Carpenters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Must be 18 due to equipment use. Must show proof of legal authorization to work in the United States. Drug/alcohol/tobacco free work zone. Perform physical activities: such as lift, balance, walk, stoop, handle, position, move, manipulate materials use static strength to exert maximum muscle force to lift, push, pull, carry objects up to 50lbs. All applicants must be able, willing and qualified to perform work described and must be available for the entire period specified and work throughout all areas of intended employment. Work is performed outdoors, exposed to weather; must be capable of doing physically strenuous labor for long hours, occasionally in extreme heat or cold. Variable weather conditions apply; hours may fluctuate (+/-), possible downtime and/or overtime. Number of Hours Per Week: 40 Work Schedule (Start/End time): 6:00 A.M. - 6:00 P.M.</t>
  </si>
  <si>
    <t>H-400-26184-075929</t>
  </si>
  <si>
    <t>Duties may include: sowing seed; lifting seedlings from nursery beds, placing shading materials beside seedlings, netting or tubing (placing small plastic tubes over seedlings); mulching (placing mulching materials around seedlings), post-planting hand scalping (removing excessive vegetation around seedlings); applying repellent or fertilizer to seedlings. May include: propagating, protecting, managing forest tracts, using hand tools to perform such activities as preparing sites for planting, thinning, tending crop trees, reduce competing vegetation, removing brush, planting seedlings &amp; trees, gathering forest products &amp; other related Forestry Worker activities as per SOC/OES 45-4011 (onetonline.org). Standard/Expected Schedule: Monday-Friday 7:00AM-3:30PM.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Piece rate may apply: worker will never make less than Prevailing Wage or Federal/State/Local minimum wage. Optional, shared housing available at no cost to the worker. Job Classification: 45-4011.00 - Forest and Conservation Workers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Must be 18 due to travel. Must show proof of legal authorization to work in the United States. Drug/alcohol/tobacco free work zone. Must walk substantially (up to 15 miles/day), also stoop, bend while carrying a pack (up to 50lbs) thru rough terrain (non-trail). All applicants must be able, willing and qualified to perform work described and must be available for the entire period specified and work throughout all areas of intended employment. Work is performed outdoors, exposed to weather; must be capable of doing physically strenuous labor for long hours, occasionally in extreme heat or cold. Variable weather conditions apply; hours may fluctuate (+/-), possible downtime and/or overtime. Number of Hours Per Week: 40 Work Schedule (Start/End time): 7:00 A.M. - 3:30 P.M.</t>
  </si>
  <si>
    <t>H-400-26184-075935</t>
  </si>
  <si>
    <t>Clean Scapes - Dallas LLC</t>
  </si>
  <si>
    <t>H-400-26184-075943</t>
  </si>
  <si>
    <t>Clean Scapes - San Antonio LLC</t>
  </si>
  <si>
    <t>H-400-26184-075927</t>
  </si>
  <si>
    <t>Collier's Reserve Country Club, Inc.</t>
  </si>
  <si>
    <t>Angela Ward</t>
  </si>
  <si>
    <t>hr@colliersreserve.com</t>
  </si>
  <si>
    <t>+12395977200</t>
  </si>
  <si>
    <t>Prepares, seasons and cooks soups, meats, vegetables, desserts and other miscellaneous food items for consumption. Prepares food in accordance with club recipes and standards. Operates kitchen equipment. Notifies Supervisors of unexpected shortages. Consistently uses safe and sanitary food handling practices. Ensures workstations and equipment are clean and sanitary. Ensure orders are being prepared with the correct priority. Expedites food by ensuring food temperature is food safety and garnish plates to club and recipe standards. Assemble food on tray and assists in delivering food items ordered. Obtain and Maintain a working knowledge of all food menus including carryout. May be required to perform duties in an outdoor environment and at banquet events. Assist with clean up duties including cleaning kitchen and washing dishes, pots and pans, and other items as necessary in the order for the kitchen to run efficiently and smoothly. Organizes food and pantry items and breaks down boxes and disposes as necessary. Maintains communication with wait staff. Maintains security and safety in work area. Assist with setup and breakdown of action stations, buffet tables, and theme decorations. Job Classification: 35-2014.00 - Cooks, Restaurant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6 Special Requirements: 6-months of experience as a line cook or cook in a fine-dining or high-volume environment at a high-end restaurant, hotel, resort, or private club required. Number of Hours Per Week: 35 Work Schedule (Start/End time): 10:00 A.M. - 5:00 P.M.</t>
  </si>
  <si>
    <t>H-400-26184-075931</t>
  </si>
  <si>
    <t>Costa Pacifica Inc.</t>
  </si>
  <si>
    <t>11/07/2027</t>
  </si>
  <si>
    <t>costapacificainc@gmail.com</t>
  </si>
  <si>
    <t>+15416015963</t>
  </si>
  <si>
    <t>Duties may include: raising &amp; transporting seedlings; sort tree seedlings, discarding substandard seedlings, according to standard charts or verbal instructions. Plant: seedlings/trees. Spray or inject vegetation with insecticides to kill insects or to protect against disease or with herbicides to reduce competing vegetation; enhance growth. Trim trees or other vegetation; cut trees or logs; thinning, pruning, pile slash. Under the direction/supervision of forestry technicians: assist with clearing/disposing of brush, piling, and digging line/constructing fire breaks. Incidental driving possible &amp; other related Forestry Worker activities as per SOC/OES 45-4011 (onetonline.org). Standard/Expected Schedule: Monday-Friday 6:00AM-2:30PM.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Optional, shared housing available at no cost to the worker. Job Classification: 45-4011.00 - Forest and Conservation Workers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 MUST HAVE 3 MONTHS BRUSHSAW/CHAINSAW EXPERIENCE. *** Must be 18 due to travel. Must show proof of legal authorization to work in the United States. Drug/alcohol/tobacco free work zone. Must walk substantially (up to 15 miles/day), also stoop, bend while carrying a pack (up to 50lbs) thru rough terrain (non-trail). All applicants must be able, willing and qualified to perform work described and must be available for the entire period specified and work throughout all areas of intended employment.Based on Employer's discretion/cost: Worker may have random drug/alcohol testing during employment: positive test/refusal to abide = dismissal. Possible background check post hire at employer's expense.Work is performed outdoors, exposed to weather; must be capable of doing physically strenuous labor for long hours, occasionally in extreme heat or cold. Variable weather conditions apply; hours may fluctuate (+/-), possible downtime and/or overtime. Felony convictions related to fraud, theft, or violence are not allowed for this position. Number of Hours Per Week: 40 Work Schedule (Start/End time): 6:00 A.M. - 2:30 P.M.</t>
  </si>
  <si>
    <t>H-400-26184-075959</t>
  </si>
  <si>
    <t>Cutting Edge Forestry, Inc.</t>
  </si>
  <si>
    <t>cuttingedge.applicants@gmail.com</t>
  </si>
  <si>
    <t>+15415354878</t>
  </si>
  <si>
    <t>Duties may include: Raising &amp; transporting seedlings; sort tree seedlings, discarding substandard seedlings, according to standard charts or verbal instructions. Plant: seedlings/trees. Spray or inject vegetation with insecticides to kill insects or to protect against disease or with herbicides to reduce competing vegetation; enhance growth. Trim trees or other vegetation; cut trees or logs. UNDER THE DIRECTION OF FIRE SUPPRESSION OFFICERS OR FORESTRY TECHNICIANS: assist with clearing/disposing of brush, piling, and digging line/constructing fuel breaks. Incidental driving &amp; other related Forestry Worker activities as per SOC/OES 45-4011 (onetonline.org). Standard/Expected Schedule: Monday-Friday 6:00AM-2:30PM.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Optional, shared housing available at no cost to the worker. Job Classification: 45-4011.00 - Forest and Conservation Workers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***MUST HAVE 3 MONTHS BRUSHSAW/CHAINSAW EXPERIENCE. *** Cutting Edge Forestry Inc. is an Equal Opportunity Employer (EOE, including disability/vets). Felony convictions related to fraud, theft, or violence are not allowed for this position. We are a Federal Contractor (EOE, including disability/vets); any and all applicants/workers must follow all current laws/regulations/requirements/Emergency Temporary Standards (including OSHA). Safe work boots required, employer will provide via REIMBURSEMENT: each employee is eligible for one (1) pair of safe work boots per calendar year employee may purchase boots of their choice and Cutting Edge will reimburse up to $350.00 annually (from the date of purchase) upon submission of a verifiable receipt. Must be 18 due to travel. Must show proof of legal authorization to work in the United States. Drug/alcohol/tobacco free work zone. Must walk substantially (up to 15 miles/day), also stoop, bend while carrying a pack (up to 50lbs) thru rough terrain (non-trail). All applicants must be able, willing and qualified to perform work described and must be available for the entire period specified and work throughout all areas of intended employment.Based on Employer's discretion/cost: Worker may have random drug/alcohol testing during employment: positive test/refusal to abide = dismissal. Possible background check post hire at employer's expense.Work is performed outdoors, exposed to weather; must be capable of doing physically strenuous labor for long hours, occasionally in extreme heat or cold. Variable weather conditions apply; hours may fluctuate (+/-), possible downtime and/or overtime. Number of Hours Per Week: 40 Work Schedule (Start/End time): 6:00 A.M. - 2:30 P.M.</t>
  </si>
  <si>
    <t>H-400-26184-075923</t>
  </si>
  <si>
    <t>D and L Forestry Services, LLC</t>
  </si>
  <si>
    <t>dandlforestry@gmail.com</t>
  </si>
  <si>
    <t>Forest Worker</t>
  </si>
  <si>
    <t>Itinerant work reforesting variety of terrain. Under supervision: Clear and prepare forests, forested areas, woodlands, wetlands and rangelands for planting; use dozer/crawler in conjunction with planter to hand and machine plant loblolly pine, longleaf pine or seedling requested, Person sitting in planter to consistently place trees (approx 1 foot long) in apparatus at appropriate time. Clean/maintain equipment. After planting season: Bed rows for next planting season and prepare fire lanes for burning. Walk along seedling tree rows, stoops, and pull clumps of seedlings from loosened soil. Knock clumps together to dislodge soil and loosen roots, and place seedlings in field trays. Tamp soil around plant with foot and planting tool. Use a chainsaw, brush blade, power thinning saws or other hand-held equipment to prepare site by thinning, spacing and removing excess trees and other vegetation. Select and cut out diseased, weak, or undesirable trees, according to markings or size, species, and grade using hand or powered saw. Spray or inject trees, brush, and weeds with herbicides to combat insects, pests, and harmful diseases using hand or powered sprayers or tree injector tool. Use a backpack sprayer or other hand held tools to spray or inject vegetation with herbicides to kill insects, protect against disease, and to reduce competing vegetation. Prune limbs of young trees to deter knot growth using handsaw, power saw and pruning tools or other hand held equipment. Job Classification: 45-4011.00 - Forest and Conservation Workers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Requires three months of forestry experience, to include operating a bulldozer/crawler and planter. Must lift/carry 50 lbs., when necessary. Substantial walking (approximately 15 miles per day) carrying pack through rough terrain. Repetitive stooping/bending. Saturday and Sunday work required, when necessary. Post-hire random drug testing required of foreign and domestic workers. Post-hire employment eligibility (e-Verify) check required of foreign and domestic workers. May be asked to drive company vehicles if worker has valid driver's license/FLCE authorization. (Driving is not a requirement of all workers in this position.) Employer may offer more than the stated work hours depending on weather, business needs, and other conditions. Extreme heat, cold, rain, or drought may affect exact working hours. Number of Hours Per Week: 40 Work Schedule (Start/End time): 7:00 A.M. - 3:30 P.M.</t>
  </si>
  <si>
    <t>H-400-26184-075968</t>
  </si>
  <si>
    <t>Diaz Insulation, LLC</t>
  </si>
  <si>
    <t>diazinsulationllc@gmail.com</t>
  </si>
  <si>
    <t>+15303216221</t>
  </si>
  <si>
    <t>Insulation Installer</t>
  </si>
  <si>
    <t>Line and cover structures with insulating materials. May work with batt, roll, or blown insulation materials. Remove old insulation following safety procedures. Prepare surfaces for insulation application by brushing or spreading on adhesives or by attaching metal pins to surfaces. Measure and cut insulation for covering surfaces, using tape measures, handsaws, or scissors. Cover and line structures with blown or rolled forms of materials to insulate against cold, heat, or moisture, using saws, knives, rasps, trowels, blowers, or other tools and implements. Distribute insulating materials evenly into small spaces within floors, ceilings, or walls, using blowers and hose attachments, or cement mortars. Move controls, buttons, or levers to start blowers and regulate flow of materials through nozzles. Cover, seal, or finish insulated surfaces or access holes with plastic covers, canvas strips, sealants, tape, cement or asphalt mastic. Load and unload materials from company vehicles. Worker will need to utilize safety glasses, fluorescent vest, measurement tape, blade, gloves, and hard hat. Job Classification: 47-2131.00 - Insulation Workers, Floor, Ceiling, and Wall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Must lift/carry 50 lbs., when necessary. Saturday and Sunday work required, when necessary. Employer may offer more than the stated work hours depending on weather, business needs, and other conditions. Extreme heat, cold, rain, or drought may affect exact working hours. Number of Hours Per Week: 40 Work Schedule (Start/End time): 7:30 A.M. - 3:30 P.M.</t>
  </si>
  <si>
    <t>H-400-26184-075945</t>
  </si>
  <si>
    <t>Dixon V Management, Inc.</t>
  </si>
  <si>
    <t>Jaeger Rau</t>
  </si>
  <si>
    <t>tim.schaadt@marriott.com</t>
  </si>
  <si>
    <t>+19126297777</t>
  </si>
  <si>
    <t>Duties may include: Keep storage areas and carts well-stocked, clean, and tidy. Clean rooms, hallways, lobbies, lounges, restrooms, corridors, elevators, stairways, locker rooms, and other work areas so that health standards are met. Dust and polish furniture and equipment. Replenish supplies, such as drinking glasses, linens, writing supplies, and bathroom items. Clean rugs, carpets, upholstered furniture, and draperies, using vacuum cleaners and shampooers &amp; other related Housekeeper activities as per SOC/OES 37-2012 (onetonline.org). Standard/Expected Schedule: Monday-Friday 9:00AM-5:00PM. Offering 40+ (plus) hours per week; not including applicable lunch and/or breaks. Scheduled days/hours includes weekends; possible holiday work. Varying schedule depending on occupancy &amp; checkouts.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Additional compensation possible/available in the form of piece rate (not guaranteed): piece rate may apply once the worker cleans/completes/exceeds the daily “production” standard or quota for rooms cleaned. Standard practice or production standard is to clean/complete 16 rooms per each 8-hour shift. Worker will never make less than the required Prevailing Wage or Federal/state/local minimum wage. If a worker completes/cleans additional rooms, a piece rate of 0.5x the worker’s standard hourly wage at the time cleaning may apply; piece rate is not available if worker is already working OT. For example, if a worker being paid $14.00/hr cleaned a total of 18 rooms in an 8-hour shift, worker could earn a piece rate of $7.00 per room, totaling $14.00 piece rate earned. Job Classification: 37-2012.00 - Maids and Housekeeping Cleaners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Must show proof of legal authorization to work in the United States. Drug/alcohol/tobacco free work zone. Perform physical activities: such as lift, balance, walk, stoop, handle, position, move, manipulate materials use static strength to exert maximum muscle force to lift, push, pull, carry objects up to 40lbs. All applicants must be able, willing and qualified to perform work described and must be available for the entire period specified and work throughout all areas of intended employment. Hours may fluctuate based on tourism peaks and valleys throughout the season (+/-), possible downtime and/or overtime. Number of Hours Per Week: 40 Work Schedule (Start/End time): 9:00 A.M. - 5:00 P.M.</t>
  </si>
  <si>
    <t>H-400-26184-075928</t>
  </si>
  <si>
    <t>Bartenders</t>
  </si>
  <si>
    <t>TAKE DRINK ORDERS, PREPARE, GARNISH &amp; SERVE BEVERAGES SUCH AS WINE, MIXED DRINKS, BEER TO GUESTS. CUT FRUITS FOR DRINKS. KEEP BARS STOCKED AND SANITIZED Job Classification: 35-3011.00 - Bartenders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ROTATING SHIFTS MON-SUN AND HOURS 6AM-10PM Pre-hire background check required for US workers and H2B workers Number of Hours Per Week: 40 Work Schedule (Start/End time): 6:00 A.M. - 10:00 P.M.</t>
  </si>
  <si>
    <t>H-400-26184-075957</t>
  </si>
  <si>
    <t>GM Forestry Services, LLC</t>
  </si>
  <si>
    <t>gmforestry20@outlook.com</t>
  </si>
  <si>
    <t>+19034314318</t>
  </si>
  <si>
    <t>Duties may include: Plant pine trees by hand or with a machine. Lift and carry bundles of trees or limbs. Maintain seedling growth, spray fertilizers, herbicides or insecticides, and/or prune limbs on trees. Use a chainsaw, brush blade, or other hand-held equipment to remove excess trees and other vegetation. Clean and maintain equipment. Site preparation/reduce competing vegetation via tree trimming, thinning, clearing, and herbicide/fertilization &amp; other related Forestry Worker activities as per SOC/OES 45-4011 (onetonline.org). Standard/Expected Schedule: Monday-Friday 7:00AM-4:00PM.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Optional, shared housing available at no cost to the worker. Job Classification: 45-4011.00 - Forest and Conservation Workers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Must be 18 due to travel. Must show proof of legal authorization to work in the United States. Drug/alcohol/tobacco free work zone. Must walk substantially (up to 15 miles/day), also stoop, bend while carrying a pack (up to 50lbs) thru rough terrain (non-trail). All applicants must be able, willing and qualified to perform work described and must be available for the entire period specified and work throughout all areas of intended employment. Work is performed outdoors, exposed to weather; must be capable of doing physically strenuous labor for long hours, occasionally in extreme heat or cold. Variable weather conditions apply; hours may fluctuate (+/-), possible downtime and/or overtime. Number of Hours Per Week: 40 Work Schedule (Start/End time): 7:00 A.M. - 4:00 P.M.</t>
  </si>
  <si>
    <t>H-400-26184-075937</t>
  </si>
  <si>
    <t>GREENPRO ENTERPRISES LLC</t>
  </si>
  <si>
    <t>bryan.wilcox@uslawns.net</t>
  </si>
  <si>
    <t>+17315064410</t>
  </si>
  <si>
    <t>Duties include dormant season installation of trees, shrubs, or flowers in the appropriate design pattern. Unloading materials, digging holes for root systems, properly covering the holes and sometimes sod laying, planting grass seed or connecting irrigation. Leaf removal, lawn seed and straw, lawn aeration, planting shrubbery, and installation of mortarless segmental concrete masonry wall units. Workers may gather and remove litter, water seeded lawns, trees, plants and prune or trim trees, shrubs, or hedges. Duties may include sod laying, mowing, watering plants &amp; lawns, plant transplanting, fertilizing, digging, raking, sprinkler installation. Employees will be digging trenches no larger than 6 - 12 inches deep and 6 - 12 inches wide with shovels and hand tools. These trenches are used to hold tubing used in the installation of irrigation systems. All the trimming and/or pruning will take place on the ground. The workers will not perform any pruning or trimming activities above ground level. Workers may operate powered landscaping equipment, including mowers, edgers, blowers, weed eaters, trimmers, small tractors, and similar landscaping equipment, and drive vehicles to customer locations. Workers may drive company pickup trucks and similar light-duty company vehicles to and from customer job sites. Workers may occasionally transport other workers to and from job sites; however, transportation of workers is not a primary job duty. Workers may also occasionally transport landscaping materials, tools, and equipment to and from job sites, including mulch, potted plants, shovels, rakes, mowers, blowers, and trimmers. No hazardous materials will be transported by workers. All vehicles and equipment operated weigh less than 26,000 pounds GVW, including any attached trailers or transported materials. Job Classification: 37-3011.00 - Landscaping and Groundskeeping Workers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3 months landscaping experience required. Must be able to lift 50 lbs., repetitive movements, extensive pushing/pulling, extensive walking, frequent stooping, exposure to extreme temperatures. Number of Hours Per Week: 40 Work Schedule (Start/End time): 7:00 A.M. - 4:00 P.M.</t>
  </si>
  <si>
    <t>H-400-26184-075963</t>
  </si>
  <si>
    <t>HERNAM INTERNATIONAL LLC</t>
  </si>
  <si>
    <t>Maria INEGOL</t>
  </si>
  <si>
    <t>hercam2024@hotmail.com</t>
  </si>
  <si>
    <t>+13468075825</t>
  </si>
  <si>
    <t>Helpers--production Workers</t>
  </si>
  <si>
    <t>This duty consists of routine, manual cleaning and sanitation tasks performed under supervision in a facility that packages pet treats (final product). The worker will: • Clean and sanitize production areas, including floors, walls, and workstations, using water, approved cleaning agents, sanitizing solutions, and disinfectants. • Clean and maintain packaging machinery, including sealing and cutting machines used for pet treat packaging, by removing dust and residue using brushes and air blowers, and wiping surfaces with approved sanitizing and sterilizing solutions. Pressure washers are not used on machinery; however, floors and walls are cleaned using water hoses, pressure washers, and approved cleaning solutions at the end of each workday. • Clean tools and equipment manually using scrub brushes, cloths, and appropriate cleaning or degreasing agents to ensure proper functionality and compliance with safety and hygiene standards. Employees use personal protective equipment, including gloves, face masks, and non-slip boots. • Wash company vehicles and transport units (delivery vans) as needed using water hoses, pressure washers, and cleaning and disinfecting products to maintain operational readiness. Refrigeration systems are not required. • Clean and wipe the exterior packaging of sealed pet treat products, when applicable, using gloves and sanitary procedures to ensure compliance with quality and hygiene standards. Tools and equipment used: mops, buckets, cloths, scrub brushes, air blowers, water hoses, pressure washers (for floors and facility cleaning only), and approved cleaning, sanitizing, and disinfecting solutions. These tasks are routine, do not require specialized skills, and are performed to maintain basic sanitation and safe production conditions, consistent with Helpers—Production Workers. Job Classification: 51-9198.00 - Helpers--Production Workers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24 Number of Hours Per Week: 40 Work Schedule (Start/End time): 8:00 A.M. - 5:00 P.M.</t>
  </si>
  <si>
    <t>H-400-26184-075920</t>
  </si>
  <si>
    <t>Motel Clerk</t>
  </si>
  <si>
    <t>Duties may include: Greet, register, and assign rooms to motel/camping guests. Issue room keys and instructions to guests. Make and confirm reservations. Establish how the customer will pay for accommodation and verify customer’s payment information. Review accounts and charges with guests during the check out process. Compute bills, collect payments, and make change for guests. Answer phones and take messages. Advise housekeeping staff when rooms are ready for cleaning. Clean and maintain lobby and common areas &amp; other related Motel Clerk activities as per SOC/OES 43-4081 (onetonline.org). Standard/Expected Schedule: Monday-Saturday 7:00AM-4:00PM. Offering 40+ (plus) hours per week; not including applicable lunch and/or breaks. Weekly schedule may vary depending on business needs.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Limited optional, shared housing available to the worker (including: Water, Power and Garbage) at no cost. Job Classification: 43-4081.00 - Hotel, Motel, and Resort Desk Clerks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Must show proof of legal authorization to work in the United States. Drug/alcohol/tobacco free work zone. Perform physical activities: such as lift, balance, walk, stoop, handle, position, move, manipulate materials use static strength to exert maximum muscle force to lift, push, pull, carry objects up to 30lbs. All applicants must be able, willing and qualified to perform work described and must be available for the entire period specified and work throughout all areas of intended employment.Based on Employer's discretion/cost: Worker may have random drug/alcohol testing during employment: positive test/refusal to abide = dismissal. Possible background check post hire at employer's expense.Hours may fluctuate based on tourism peaks and valleys throughout the season (+/-), possible downtime and/or overtime. Number of Hours Per Week: 40 Work Schedule (Start/End time): 7:00 A.M. - 4:00 P.M.</t>
  </si>
  <si>
    <t>H-400-26184-075947</t>
  </si>
  <si>
    <t>Herron Landscape, LLC</t>
  </si>
  <si>
    <t>jackie@herronlandscape.com</t>
  </si>
  <si>
    <t>Landscape or maintain grounds of property using hand or power tools or equipment. Workers typically perform a variety of tasks, which may include any combination of the following: sod laying, mowing, trimming, planting, watering, fertilizing, digging, raking, assists with sprinkler installation, and installation of mortarless segmental concrete masonry wall units. Job Classification: 37-3011.00 - Landscaping and Groundskeeping Workers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Must lift/carry 50 lbs., when necessary. Saturday work required, when necessary. Employer may offer more than the stated work hours, depending on weather, business needs, and other conditions. Extreme heat, cold, rain, or drought may affect exact working hours. Number of Hours Per Week: 40 Work Schedule (Start/End time): 7:00 A.M. - 3:00 P.M.</t>
  </si>
  <si>
    <t>H-400-26184-075969</t>
  </si>
  <si>
    <t>J4K Preschool Murrieta, Inc</t>
  </si>
  <si>
    <t>28/05/2027</t>
  </si>
  <si>
    <t>alvin@j4kpreschool.com</t>
  </si>
  <si>
    <t>Childcare Worker</t>
  </si>
  <si>
    <t>Assist the Lead Teacher in implementing daily lessons and structured learning activities aligned with the California Preschool Learning Foundations and Just 4 Kids Preschool’s CCTR-approved academic curriculum. Support the facilitation of developmentally appropriate activities across learning domains, including language arts, early mathematics, science exploration, arts and crafts, music, movement, and social play. Prepare and organize classroom materials, learning centers, and instructional supplies under the Lead Teacher or Site Director’s direction to ensure a structured and stimulating daily learning environment. Reinforce foundational academic and social skills introduced by the Lead Teacher or Site Director, including color, shape, number, and letter recognition, personal hygiene, self-regulation, and cooperative interaction with peers. Assist in setting up and cleaning the classroom environment before, during, and after program hours in accordance with Title 5 health, safety, and environmental standards. Provide attentive, continuous supervision of children at all times during program hours, including classroom instruction, transitions between activities, outdoor play, and meal and rest periods. Attend to children’s basic daily care needs, including nutrition, hygiene, diapering (where applicable), and age-appropriate self-care routines. Support children’s social-emotional development by modeling positive behavior, de-escalating conflicts, and reinforcing social skills under the guidance of the Lead Teacher. Maintain consistent, nurturing relationships with enrolled children throughout the full academic program year, contributing to the continuity of care required under CCTR program quality standards. Assist the Lead Teacher in observing and documenting children’s developmental progress, daily behavior, and participation across program activities. Communicate observations of child behavior, health concerns, or developmental indicators to the Lead Teacher promptly and in accordance with established program protocols.Communicate observations of child behavior, health concerns, or developmental indicators to the Lead Teacher promptly and in accordance with established program protocols. Assist in maintaining required attendance records. Maintain active presence and supervision across all program settings, including indoor classrooms, outdoor play areas, transitions, and any off-site program activities, to ensure uninterrupted ratio coverage. Maintain a current and valid CTC Child Development Associate Teacher Permit in good standing for the full duration of the academic program year. Adhere to all applicable California childcare licensing regulations, CCTR program standards, and Just 4 Kids Preschool organizational policies and procedures at all times. Interact with enrolled families in a professional, respectful, and welcoming manner during daily drop-off, pick-up, and incidental contact, consistent with the Center’s family engagement standards. Participate in family engagement events, program celebrations, and school-wide activities as directed by the Lead Teacher or Site Director. Direct family inquiries regarding curriculum, child progress, or program matters to the Lead Teacher or Site Director as appropriate. Participate in required professional development activities, staff meetings, and program training sessions as directed by the Site Director. Collaborate with the Lead Teacher and fellow staff members to support classroom goals, program initiatives, and the overall academic program. Accept and implement instructional feedback and guidance from the Lead Teacher in a professional and constructive manner. Job Classification: 39-9011.00 - Childcare Workers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CPR and first aid certified, pass child abuse background check, pass medical examination, CPR and first aid certified, completion of reporter training on child abuse recognition, completion of health and safety training, and a valid child development associate teacher permit (requires 12 college credits in early childhood education/development). There are various shifts available as follows: 6:00 AM to 3:00 PM, 7:15 AM to 4:15 PM, 8:30 AM to 5:30 PM, 9:00 AM to 6:00 PM, and 9:30 AM to 6:30 PM. Workers must be available to work any of these shifts as demand requires. Number of Hours Per Week: 40 Work Schedule (Start/End time): 6:00 A.M. - 6:30 P.M.</t>
  </si>
  <si>
    <t>H-400-26184-075966</t>
  </si>
  <si>
    <t>Louisiana Sugar Cane Cooperative, Inc.</t>
  </si>
  <si>
    <t>aboudreaux@lasuca.com</t>
  </si>
  <si>
    <t>+13373943255</t>
  </si>
  <si>
    <t>Evaporator Attendant/sugar Boiler</t>
  </si>
  <si>
    <t>Evaporator Attendants/Sugar Boilers - 30 temporary full-time positions available in St. Martinville, LA From 10/01/2026 to 01/31/2027 at LASUCA. Operate steam pressure vessels to concentrate and cook sugar containing products. Follow cooking procedures to achieve the correct combination of temperatures and pressure to concentrate and crystallize sugar. 48 hrs/wk plus OT. OT Hours will vary and are not guaranteed. $16.16/hr; $24.24/hr OT based on a single workweek. Will be paid every 2 weeks via check by employer. LASUCA will make all deductions from worker's paycheck required by law. Shift work: will be required to work various 8 and 12 hr. shifts (12:00am-12:00pm; 12:00pm-12:00am; 4:30am-4:30pm; 4:30pm-4:30am; 6:00am-6:00pm; 6:00pm-6:00am; 8:00am-4:00pm; 4:00pm-12:00am; 12:00am-8:00am). Must be willing to work 7 days per week throughout grinding. No minimum education required. No on-the-job training provided. LASUCA will provide U.S. workers at least the same benefits, wages, and working conditions that will be offered or provided to H-2B workers. LASUCA will provide to the worker, without charge or deposit charge, all tools, supplies, and equipment required to perform the duties assigned. LASUCA guarantees to offer employment equal to at least 3/4's of the workdays of each 12-week period of the total employment period; and, if the guarantee is not met, the employer will pay the worker what the worker would have earned if the employer had offered the guaranteed number of days. The 12-week period will begin the first workday after the worker's arrival or the advertised contractual first date of need, whichever is later. Optional on-site lodging available to each temporary seasonal employee hired in the position. However, the reasonable cost of board ($141.39 per pay period), lodging, and facilities furnished to the employee will be deducted from the worker's paycheck (paid every 2 weeks). Although not required, transportation to and from living quarters to worksite will be available. However, the reasonable cost ($26.12 per pay period) of daily transportation to the worksite will be deducted from the worker's paycheck (paid every 2 weeks). Although not required, employees may take a bona fide meal period for 60 mins. on a daily basis. If voluntarily taken, the worker will not be compensated during the 60 min. period. Uniforms available for purchase voluntarily. If purchased, amount for uniform and cost of laundering ($16.90 per pay period) may be deducted from the worker's paycheck (paid every 2 weeks). Employees will not be required to wear uniforms. The worker will be reimbursed for transportation and subsistence expenses from the place from which the worker has come to work for LASUCA, whether in the U.S. or abroad, to the place of employment by check by the employer upon completion of 50% of the period of employment covered by the job order or earlier, if appropriate. This includes at least $16.78 per day during travel to a maximum of $68.00 per day with receipts. Also, LASUCA will provide or pay for the worker's outbound transportation and subsistence if the worker completes the job order period or is dismissed early. LASUCA will reimburse the H-2B worker in the first workweek the full cost for all visa, visa processing, border crossing, and other related fees, including those mandated by the government. LASUCA will provide or reimburse inbound and outbound transportation and daily subsistence costs for corresponding U.S. workers who are not reasonably able to return to their residence within the same workday. All applicants (U.S. workers or H-2B workers) must pass a drug test before being hired in the proffered position (pre-employment drug test required). One (1) month employment experience in job offered in a raw sugar mill is the minimum required. Higher pay may be available to workers with extensive experience. Job Classification: 51-3093.00 - Food Cooking Machine Operators and Tenders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1 Number of Hours Per Week: 48 Work Schedule (Start/End time): 8:00 A.M. - 4:00 P.M.</t>
  </si>
  <si>
    <t>H-400-26184-075941</t>
  </si>
  <si>
    <t>Orillac Garcia de Paredes (household)</t>
  </si>
  <si>
    <t>imagen@teresitaorillac.com</t>
  </si>
  <si>
    <t>+17135691231</t>
  </si>
  <si>
    <t>Live-in Nanny (young Children)</t>
  </si>
  <si>
    <t>Responsible, caring, and proactive live-in nanny to support family and help care for young children in a safe, structured, and nurturing environment. Key Responsibilities: • Provide attentive, loving care for children • Prepare kids for school (morning routines, meals, backpacks, etc.) • Safely accompany children to and from school (by bicycle) • Plan and engage in age-appropriate activities (educational, outdoor, creative) • Maintain a clean and organized environment for the children (toys, laundry, bedrooms) • Prepare simple, healthy meals and snacks for the kids • Support evening routines (dinner, baths, bedtime when needed) • Accompany children at religious events and religious education opportunities Job Classification: 39-9011.01 - Nannies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Comfortable and confident riding a bicycle regularly (required for school transportation) Non-smoker Agree to live-in arrangement Number of Hours Per Week: 48 Work Schedule (Start/End time): 7:00 A.M. - 7:30 P.M.</t>
  </si>
  <si>
    <t>H-400-26184-075933</t>
  </si>
  <si>
    <t>H-400-26184-075962</t>
  </si>
  <si>
    <t>Pro Stone LLC</t>
  </si>
  <si>
    <t>info@proterrazzo.com</t>
  </si>
  <si>
    <t>Precast Terrazzo Fabricator</t>
  </si>
  <si>
    <t>***RFI response*** Workers will be required to operate forklifts. ***Original*** Workers will handle the production of precast Terrazzo. Production involves the precise measurement and mixing of raw materials, including cementitious components, epoxy resins, and marble chips, in accordance with established formulas and specifications. Materials are measured using calibrated scales and containers and mixed using industrial equipment to ensure consistency and quality control. The mixed material is then placed into molds and consolidated using trowels to ensure proper embedment of aggregates. Surfaces are then spread, leveled, and finished using hand tools such as brushes and trowels by trained surface finishers. After curing, the terrazzo products are processed using specialized machinery, including line polishers, bridge saws, and bed polishers, as well as electric and pneumatic hand tools, to achieve the required finish and dimensional accuracy. Upon completion, the finished products are cleaned and sealed in accordance with manufacturer specifications using brush or spray application methods. Job Classification: 47-2053.00 - Terrazzo Workers and Finishers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Must lift/carry 50 lbs., when necessary. Saturday and Sunday work required, when necessary. Employer-paid drug testing required of foreign and domestic workers prior to commencing work and post-hire at random. Operation of forklifts required for position. Employer paid forklift training/certification available upon job commencement. Employer may offer more than the stated work hours depending on weather, business needs, and other conditions. Number of Hours Per Week: 40 Work Schedule (Start/End time): 8:00 A.M. - 5:00 P.M.</t>
  </si>
  <si>
    <t>H-400-26184-075938</t>
  </si>
  <si>
    <t>+16016836466</t>
  </si>
  <si>
    <t>H-400-26184-075942</t>
  </si>
  <si>
    <t>Realty Holdings LTD</t>
  </si>
  <si>
    <t>NEVADA</t>
  </si>
  <si>
    <t>lvholidaysales@gmail.com</t>
  </si>
  <si>
    <t>Amusements Ride Operator</t>
  </si>
  <si>
    <t>Employees may be assigned to work in various areas and asked to perform all tasks necessary to work in mobile food stands, carnival rides and/or games. Specifically, employees may be required to assist in setting-up and tearing down mobile food stand, cleaning said stands together with the equipment inside said stands, prepare and/or serve various food items ranging from popcorn and cotton candy to hamburgers, hot dogs and French fries. Note: “cooking” is not required. For example, one employee may be required to pour sugar into the cotton candy spinning machine, while another may be required to pour popcorn kernels into the popcorn popping machine. Other employees may be asked to put French fries into a deep-fryer while another may be asked to warm-up hot dogs or hamburgers. Employees assigned to carnival rides may be required to assist in setting-up and tearing down said rides, as well as attend the rides by collecting fees and/or tickets from patrons and assist patrons in boarding and exiting rides. For example, one employee may stand at the front entrance to a ride and collect tickets from patrons while another employee may assist patrons in getting into cars or tubs of a ride. Employees assigned to carnival games may be require to assist in setting-up and tearing down said games, as well as attending the games by collecting fees and/or tickets, making change for cash payments, explaining the rules of the game to patrons, assisting patrons in playing the games (such as handing a patron a ball to throw or ring to toss), retrieving and providing prizes for winners at said games. Employees may also be assigned to work in pumpkin patches and/or Christmas tree sales locations. Job Classification: 35-2019.00 - Cooks, All Other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The standard workweek is 6 days per week, Tuesday through Sunday. Must lift/carry 50 lbs., when necessary. Employer may offer more than the stated work hours depending on weather, business needs, and other conditions. Extreme heat, cold, rain, or drought may affect exact working hours. Number of Hours Per Week: 36 Work Schedule (Start/End time): 3:00 P.M. - 9:00 P.M.</t>
  </si>
  <si>
    <t>H-400-26184-075961</t>
  </si>
  <si>
    <t>Reforestation Specialists, Inc.</t>
  </si>
  <si>
    <t>16/05/2027</t>
  </si>
  <si>
    <t>reforestationspecialists@gmail.com</t>
  </si>
  <si>
    <t>Forest &amp; Conservation Workers</t>
  </si>
  <si>
    <t>Manual itinerant work mechanically planting tree seedlings, pre-commercial thinning, applying herbicides, pruning, and maintaining boundary lines to reforest and maintain timberlands. Use equipment in planting and thinning trees, spreading or spraying chemicals, preparing sites for planting, or performing other forestry services. Operate a rubber-tired or crawler-type tractor. Lubricate equipment, fuel equipment, adjust equipment, and make emergency repairs to equipment. 2022 John Deere 3105E Cab Tractor: 161 inches long &amp; 96 wide, weighing 10,240 lbs, 105 horsepower and a 2024 D3-12L crawler dozer, 129 inches long &amp; 83 wide mid-size, weighs 21,369 lbs, 104 horsepower. Mechanically plant on a prescribed tree spacing of 14ft, 20ft, etc., row width. Rubber-Tire planting is used on open-field areas where no trees, heavy brush, or stumps are present. Establish a starting point of areas needing planting, maintaining straight rows as planting is being performed, and maintaining planting quality. Crawler type planting is used to mechanically plant trees in areas that are not open-field or may not have been site-prepared. The front of the crawler-type tractor has a v-blade that removes dirt, brush, fallen timber, or any other type of debris across the planting areas. Walk-around equipment to make sure the machine is sound and safe to run. Check engine oil, hydraulic fluid, transmission fluid, grease fitting points, and engine coolant by removing cap with hand tools such as a wrench. Undercarriage and tire inspection tasks consist of checking track tension and monitoring wear on rollers, idlers, and sprockets; inspecting tire pressure with tire gauge, checking for deep cuts or embedded debris, and ensuring wheel lug nuts are tight using wrench. Check air and fuel filters. Select and cut trees according to markings or sizes, types, and grades. Identify diseased or undesirable trees, and remove them, using power saws or hand saws. Spray vegetation with herbicides to reduce competing vegetation. Thin and space trees, using power thinning saws. Mark boundary lines. As a minor activity gather pine straw, pull seedlings from nursery beds, perform prescribed burning tasks under the direction of fire suppression officers or forestry technicians and right of way maintenance to gain access to tracts to plant. Workers who hold or obtain a MSPA certificate with driving authorization may transport workers, count and check, and be offered additional work hours. Drug free workplace. Drug testing may be conducted throughout the employment period at employer's expense. These jobs involve propagating, protecting, and managing forest tracts. Workers who possess a Farm Labor Contractor Employee Certificate and operate an inspected company vehicle may transport crew members from their housing location to the initial worksite and between worksites during the workday, as necessary, under manager supervision. Transportation duties are incidental to the primary forestry work being performed. “Count and check” refers to verifying crew attendance by counting workers before departure, upon arrival at the worksite, and as needed throughout the workday. Workers who hold a valid FLCE Certificate may be offered additional hours associated with transporting crew from their housing location to the initial worksite before the start of the workday, under manager supervision. These duties are limited to authorized transportation activities and any related attendance verification necessary to ensure all workers arrive safely and are accounted for prior to commencing forestry operations. May transport workers using a standard motor vehicle using a Class D license. Job Classification: 45-4011.00 - Forest and Conservation Workers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No education or experience required. Must be 18 years or older. Requires physical stamina. Extensive walking over rough terrain. Work is in adverse weather. Must lift and carry 50 lbs. Production standard of 7,500 seedlings mechanically planted per 7.5 hr day after one week of on the job training. Work schedule and locations dependent on weather conditions. Must pass drug screenings. Saturday and Sunday work required, when necessary. Employer may offer more than the stated work hours depending on weather, business needs, and other conditions. Extreme heat, cold, rain, or drought may affect exact working hours. Number of Hours Per Week: 36 Work Schedule (Start/End time): 8:00 A.M. - 4:00 P.M.</t>
  </si>
  <si>
    <t>H-400-26184-075946</t>
  </si>
  <si>
    <t>16/04/2027</t>
  </si>
  <si>
    <t>Manual itinerant work hand planting tree seedlings, pre-commercial thinning, applying herbicides, pruning, and maintaining boundary lines to reforest and maintain timberlands. Sow seeds and raise and transport tree seedlings in a tree bag. Plant bare-root or containerized tree seedling using a shovel, hoe dad, dibble bar, or hoe. Dig holes at pre-determined intervals and insert seedling. Tamp soil around plant with foot and planting tool. Select optimum planting location to meet spacing, soil, and shade requirements. Bare soil. Worker may perform only part of the planting function such as bearing soil, operating auger, or tamping soil around plant. Identify diseased or undesirable trees, and remove them, using power saws or hand saws. Use a backpack sprayer or other hand held tools to spray or inject vegetation with insecticides to kill insects and to protect against disease and with herbicides to reduce competing vegetation. Thin and space trees, using power thinning saws. Mark boundary lines. Cut brush and other vegetation and may chip debris and move slash away from planting areas, roads, fire trails, and remaining trees (excludes workers cutting mature trees). Prune or shear tree tops and limbs to control growth and increase density and prune limbs of young trees to deter knot growth using handsaw, power saw and pruning tools or other hand held equipment. As minor activities gather pine straw, pull tree seedlings from nursery beds or tree rows and place tree seedlings in field trays, sort tree seedlings in forest or nursery, remove tree seedlings from field trays, discard substandard tree seedlings, apply repellent or fertilizer to tree seedlings, and confer with other workers to discuss issues such as safety. These jobs involve propagating, protecting, and managing forest tracts. Drug testing may be conducted throughout the employment period at no cost to the worker. Employer may pay piece rates of $30.00 - $35.00 per 1000 trees planted correctly, or the prevailing wage in the area of intended employment, whichever is higher. Job Classification: 45-4011.00 - Forest and Conservation Workers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No education or experience required. Must be 18 years or older. Requires physical stamina. Extensive walking over rough terrain. Work is in adverse weather. Must lift and carry 50 lbs. Production standard of 1875 trees correctly planted per 7.5 hour day after one week of on the job training. Work schedule and locations dependent on weather conditions. Must pass drug screenings. Employer may offer more than the stated work hours depending on weather, business needs, and other conditions. Extreme heat, cold, rain, or drought may affect exact working hours. Number of Hours Per Week: 36 Work Schedule (Start/End time): 8:00 A.M. - 4:00 P.M.</t>
  </si>
  <si>
    <t>H-400-26184-075939</t>
  </si>
  <si>
    <t>River Valley Forestry, LLC</t>
  </si>
  <si>
    <t>titorvf@live.com</t>
  </si>
  <si>
    <t>+14797474547</t>
  </si>
  <si>
    <t>General Forestry Laborer</t>
  </si>
  <si>
    <t>Duties may include: Operate forestry equipment, Plant trees or other plants using dibble bars or hoedads, Apply chemical solutions to plants to protect against disease or insects or to enhance growth using backpack sprayers &amp; other related General Forestry Laborer activities as per SOC/OES 45-4011 (onetonline.org). Standard/Expected Schedule: Monday-Friday 7:30AM-4:30PM.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Piece rate may apply: worker will never make less than Prevailing Wage or Federal/State/Local minimum wage. Optional, shared housing available at no cost to the worker. Job Classification: 45-4011.00 - Forest and Conservation Workers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Must be 18 due to travel. Must show proof of legal authorization to work in the United States. Drug/alcohol/tobacco free work zone. Must walk substantially (up to 15 miles/day), also stoop, bend while carrying a pack (up to 40lbs) thru rough terrain (non-trail). All applicants must be able, willing and qualified to perform work described and must be available for the entire period specified and work throughout all areas of intended employment. Work is performed outdoors, exposed to weather; must be capable of doing physically strenuous labor for long hours, occasionally in extreme heat or cold. Variable weather conditions apply; hours may fluctuate (+/-), possible downtime and/or overtime. Number of Hours Per Week: 40 Work Schedule (Start/End time): 7:30 A.M. - 4:30 P.M.</t>
  </si>
  <si>
    <t>H-400-26184-075924</t>
  </si>
  <si>
    <t>SMITH GARDEN CENTER &amp; LANDSCAPING, INC.</t>
  </si>
  <si>
    <t>justin@smithgardenmacomb.com</t>
  </si>
  <si>
    <t>+13098371982</t>
  </si>
  <si>
    <t>Helper/production Laborer</t>
  </si>
  <si>
    <t>Help production workers with ornamental concrete statue production including mixing, casting, &amp; vibrating molds, and removal of statues from molds by performing duties requiring less skill. Workers will be supplying or holding materials or tools, and cleaning work area and equipment. Workers will load raw materials (rock, sand and cement, and water) into a rotary drum cement mixer using buckets, to assist skilled workers with preparation of a mix of concrete within the mixer. Workers will assist skilled production workers with ornamental concrete statue production including mixing, casting, &amp; vibrating molds, removal of statues from molds. To assist with casting, the workers will use hand scoops to place cement inside molds utilizing a vibration table. The workers will use battery operated handheld drill to remove nuts/bolts from mold to assist with statue removal. Workers will then re-assemble molds using same tools once statue has been removed by senior, skilled employees. The work will be performed at a fixed-site production facility. Job Classification: 51-9195.00 - Molders, Shapers, and Casters, Except Metal and Plastic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Must be able to lift 30 lbs. repetitively &amp; 75lbs occasionally, repetitive movements, extensive pushing/pulling, frequent stooping, extensive walking. Number of Hours Per Week: 40 Work Schedule (Start/End time): 7:00 A.M. - 4:00 P.M.</t>
  </si>
  <si>
    <t>H-400-26184-075922</t>
  </si>
  <si>
    <t>SWEET LIFE, LLC</t>
  </si>
  <si>
    <t>INNA@SUCRO.US</t>
  </si>
  <si>
    <t>+13059015222</t>
  </si>
  <si>
    <t>Production Laborer</t>
  </si>
  <si>
    <t>H-400-26184-075930</t>
  </si>
  <si>
    <t>Starkville Country Club</t>
  </si>
  <si>
    <t>jlanford33@gmail.com</t>
  </si>
  <si>
    <t>+16623231733</t>
  </si>
  <si>
    <t>Golf Course Maintenance</t>
  </si>
  <si>
    <t>Maintain grounds and turf of golf course in playing condition using hand/power tools and equipment such as weedeaters, blowers, and zero turn mowers. Mow/rake rough, greens and fairway. Dig/rake/weed/mulch surrounding areas. Connect hose/sprinkler systems. Clean traps/fill divots. May plant/trim/water trees, shrubs, and flowers. Entry level, requires supervision. Job Classification: 37-3011.00 - Landscaping and Groundskeeping Workers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Must lift/carry 100 lbs., when necessary. Saturday and Sunday work required, when necessary. Post-hire background check required of foreign and domestic workers. Must possess or be able to obtain U.S. driver's license within 30 days of hire. Employer may offer more than the stated work hours depending on weather, business needs, and other conditions. Extreme heat, cold, rain, or drought may affect exact working hours. Number of Hours Per Week: 42 Work Schedule (Start/End time): 6:30 A.M. - 3:00 P.M.</t>
  </si>
  <si>
    <t>H-400-26184-075921</t>
  </si>
  <si>
    <t>Stretch's Well Service, Inc.</t>
  </si>
  <si>
    <t>SOUTH DAKOTA</t>
  </si>
  <si>
    <t>stretchswell@yahoo.com</t>
  </si>
  <si>
    <t>+16052662128</t>
  </si>
  <si>
    <t>Helper-plumber</t>
  </si>
  <si>
    <t>Assist foreman by performing a variety of physical labor and basic plumbing tasks involved in the maintenance of water wells and pump installation. Dig trenches using shovels or picks, clean work area and equipment, lift/carry/hold/cut materials. Job Classification: 47-3015.00 - Helpers--Pipelayers, Plumbers, Pipefitters, and Steamfitters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Must lift/carry 50 lbs., when necessary. Saturday and Sunday work required, when necessary. Post-hire upon suspicion of use and post-accident drug testing required of foreign and domestic workers. Driver's license required only of foreign and domestic workers who drive company vehicles (driving is not a requirement of all workers in the position). Employer may offer more than the stated work hours depending on weather, business needs, and other conditions. Extreme heat, cold, rain, or drought may affect exact working hours. Number of Hours Per Week: 40 Work Schedule (Start/End time): 7:30 A.M. - 5:00 P.M.</t>
  </si>
  <si>
    <t>H-400-26184-075956</t>
  </si>
  <si>
    <t>THORN HOLLOW, LLC</t>
  </si>
  <si>
    <t>hrd@everettslandscape.com</t>
  </si>
  <si>
    <t>+16166988064</t>
  </si>
  <si>
    <t>Duties include dormant season installation of trees, shrubs, or flowers in the appropriate design pattern. Unloading materials, digging holes for root systems, properly covering the holes and sometimes sod laying, planting grass seed or connecting irrigation. Leaf removal, lawn seed and straw, lawn aeration, planting shrubbery, digging, raking, and installation of mortarless segmental concrete masonry wall units. Workers may gather and remove litter, water seeded lawns, trees, plants and prune or trim trees, shrubs, or hedges. Workers may operate powered equipment, and drive vehicles to customer locations. Duties may include sod laying, mowing, watering plants &amp; lawns, plant transplanting, fertilizing, digging, raking, sprinkler installation. Employees will be digging trenches no larger than 6 - 12 inches deep and 6 - 12 inches wide with shovels and hand tools. These trenches are used to hold tubing used in the installation of irrigation systems. All the trimming/pruning will take place on the ground. The workers will not perform any pruning or trimming activities above ground level. The worker may transport other workers to and from job sites on occasion, however this will not be their primary job duty. Workers may operate powered landscaping equipment, including mowers, edgers, blowers, weed eaters, trimmers, small tractors, and similar landscaping equipment. Workers may drive company pickup trucks and similar light-duty company vehicles, to and from customer job sites. Workers may occasionally transport other workers to and from job sites; however, transportation of workers is not a primary job duty. Workers may also occasionally transport landscaping materials, tools, and equipment to and from job sites, including mulch, potted plants, shovels, rakes, mowers, blowers, and trimmers. No hazardous materials will be transported by workers. All vehicles and equipment operated weigh less than 26,000 pounds GVW, including any attached trailers or transported materials. Job Classification: 37-3011.00 - Landscaping and Groundskeeping Workers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Must have valid drivers license. must be able to lift 50 lbs. repetitive movements, extensive pushing/pulling, extensive walking, frequent stooping, exposure to extreme temperatures, 3 months landscaping experience required, Post Hire Drug screen at employers expense. In accordance with applicable Michigan state law, Earned Sick Time Act 338, employers are required to provide earned sick time to their employees. The amount of paid sick leave provided may vary depending on the size of the business. Number of Hours Per Week: 40 Work Schedule (Start/End time): 7:00 A.M. - 4:00 P.M.</t>
  </si>
  <si>
    <t>H-400-26184-075925</t>
  </si>
  <si>
    <t>TOTAL ASPHALT PAVING</t>
  </si>
  <si>
    <t>joyce@totalasphalt.com</t>
  </si>
  <si>
    <t>+15867529060</t>
  </si>
  <si>
    <t>Perform tasks involving physical labor at construction sites. Assist with setting forms and preparing worksite for concrete pours. May operate hand and power tools of all types: air hammers, earth tampers, cement mixers, concrete saws, mixers, vibrators, small mechanical hoists, surveying and measuring equipment, and a variety of other equipment and instruments. Load &amp; unload tools, sweeping, raking, tamping, shoveling. May clean and prepare sites, dig trenches, set braces to support the sides of excavations, erect scaffolding, and clean up rubble, debris, and other waste materials. May assist other craft workers and tradesmen with various tasks. Perform other labor-related duties as needed. Workers may assist other craft workers, by preparing worksites; gathering, loading, unloading, and transporting tools, materials, and equipment; cleaning work areas; and performing manual labor tasks associated with construction projects. Workers may use common hand tools and basic power tools including shovels, rakes, wheelbarrows, brooms, drills, compactors, levels, and measuring tools. Materials handled may include lumber, concrete forms, gravel, sand, cement, concrete, rebar, pipes, and other common construction materials. Workers may operate basic measuring and layout equipment, including measuring tapes, laser levels, grade rods, and string lines, to assist supervisors and other construction personnel with measuring distances, checking grades, and marking work areas. Job Classification: 47-2061.00 - Construction Laborers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Post Hire Drug screen at employers expense. Must be able to lift 50 lbs., repetitive movements, extensive pushing/pulling, extensive walking, frequent stooping, exposure to extreme temperatures. In accordance with applicable Michigan state law, Earned Sick Time Act 338, employers are required to provide earned sick time to their employees. The amount of paid sick leave provided may vary depending on the size of the business. Number of Hours Per Week: 40 Work Schedule (Start/End time): 7:00 A.M. - 4:00 P.M.</t>
  </si>
  <si>
    <t>H-400-26184-075951</t>
  </si>
  <si>
    <t>TRUSCAPES SW FLA INC</t>
  </si>
  <si>
    <t>LLLORCA@TRUSCAPESINDUSTRIES.COM</t>
  </si>
  <si>
    <t>+12392254039</t>
  </si>
  <si>
    <t>INSTALLATION OF ANNUALS FOR FALL &amp; WINTER SEASONS, MULCHING OF RESIDENTIAL &amp; COMMERCIAL PROPERTIES. WATERING OF ANNUALS. CLEANING OF PROPERTIES WITH BROOMS &amp; SHOVELS Job Classification: 37-3011.00 - Landscaping and Groundskeeping Workers The job/industry classification and description includes general information on the position from ONET/OES and the North American Industry Classification System. Please review Job Duties and Job Order for more information. Job Requirements Experience Required: No Number of Hours Per Week: 40 Work Schedule (Start/End time): 7:30 A.M. - 4:30 P.M.</t>
  </si>
  <si>
    <t>H-400-26184-075934</t>
  </si>
  <si>
    <t>The Biltmore Company, LLC</t>
  </si>
  <si>
    <t>careercenter@biltmore.com</t>
  </si>
  <si>
    <t>+18282256723</t>
  </si>
  <si>
    <t>Duties may include: Prepare, season and cook dishes such as meats, soups, desserts, salads, starters, ect. Cooks will be expected to use standard commercial cooking, cleaning and other equipment to prep, store, plate, and garnish dishes according to recipes and presentation standards. Cooks will adhere to all food safety and storage regulations, and local and state health codes; and will be expected to clean, store, and maintain dishes, cooking implements, equipment, pots and pans, and all areas of the kitchen as directed by management &amp; other related Cook activities as per SOC/OES 35-2014 (onetonline.org). Multiple possible shifts: 6:00AM-2:00PM or 2:00PM-10:00PM. Standard/Expected Schedule: Monday-Friday 6:00AM-2:00PM or 2:00PM-10:00PM. Offering 35+ (plus) hours per week; not including applicable lunch and/or breaks. Employees can be expected to work various shifts, which may include opening shift, day shift, and closing shift. Work week is Thursday through Wednesday. Weekly schedule may vary based on business needs including weekend and/or holidays as required. Shifts include times outlined above as well as closing shift from 4PM- 12 AM.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Biltmore’s work week is Thursday – Wednesday; overtime is calculated based on this payroll period. Wage may vary depending on shift differential. Job Classification: 35-2014.00 - Cooks, Restaurant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Must be 18 due to state labor laws. Must show proof of legal authorization to work in the United States. Drug/alcohol/tobacco free work zone. Perform physical activities: such as lift, balance, walk, stoop, handle, position, move, manipulate materials use static strength to exert maximum muscle force to lift, push, pull, carry objects up to 50lbs. All applicants must be able, willing and qualified to perform work described and must be available for the entire period specified. Hours may fluctuate based on tourism peaks and valleys throughout the season (+/-), possible downtime and/or overtime. Background checks are required. Number of Hours Per Week: 35 Work Schedule (Start/End time): 6:00 A.M. - 2:00 P.M.</t>
  </si>
  <si>
    <t>H-400-26184-075967</t>
  </si>
  <si>
    <t>W R MATICE LANDSCAPING ASSOCIATES, LLC</t>
  </si>
  <si>
    <t>25/12/2026</t>
  </si>
  <si>
    <t>Maticelandscaping@aol.com</t>
  </si>
  <si>
    <t>+12487869738</t>
  </si>
  <si>
    <t>Duties include dormant season installation of trees, shrubs, or flowers in the appropriate design pattern. Unloading materials, digging holes for root systems, properly covering the holes and sometimes sod laying, planting grass seed or connecting irrigation. Leaf removal, lawn seed and straw, lawn aeration, planting shrubbery, digging, raking, and installation of mortarless segmental concrete masonry wall units. Workers may gather and remove litter, water seeded lawns, trees, plants and prune or trim trees, shrubs, or hedges. Workers may operate powered equipment, and drive vehicles to customer locations. Duties may include sod laying, mowing, watering plants &amp; lawns, plant transplanting, fertilizing, digging, raking, sprinkler installation. Employees will be digging trenches no larger than 6 - 12 inches deep and 6 - 12 inches wide with shovels and hand tools. These trenches are used to hold tubing used in the installation of irrigation systems. All the trimming/pruning will take place on the ground. The workers will not perform any pruning or trimming activities above ground level. The worker may transport other workers to and from job sites on occasion, however this will not be their primary job duty. Workers may operate powered landscaping equipment, Workers may operate powered landscaping equipment, including mowers, edgers, blowers, weed eaters, trimmers, small tractors, and similar landscaping equipment. Workers may drive company pickup trucks and similar light-duty company vehicles, to and from customer job sites. Workers may occasionally transport other workers to and from job sites; however, transportation of workers is not a primary job duty. Workers may also occasionally transport landscaping materials, tools, and equipment to and from job sites, including mulch, potted plants, shovels, rakes, mowers, blowers, and trimmers. No hazardous materials will be transported by workers. All vehicles and equipment operated weigh less than 26,000 pounds GVW, including any attached trailers or transported materials. Job Classification: 37-3011.00 - Landscaping and Groundskeeping Workers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Must have valid drivers license. Must be able to lift 80 lbs., repetitive movements, extensive pushing/pulling, extensive walking, frequent stooping, exposure to extreme temperatures. 3 months landscaping experience required. In accordance with applicable Michigan state law, Earned Sick Time Act 338, employers are required to provide earned sick time to their employees. The amount of paid sick leave provided may vary depending on the size of the business. Number of Hours Per Week: 40 Work Schedule (Start/End time): 7:00 A.M. - 4:00 P.M.</t>
  </si>
  <si>
    <t>H-400-26184-075955</t>
  </si>
  <si>
    <t>WB SUPPLY CO., LLC</t>
  </si>
  <si>
    <t>Wbsupply15301@gmail.com</t>
  </si>
  <si>
    <t>+14124153633</t>
  </si>
  <si>
    <t>Duties include dormant season installation of trees, shrubs, or flowers in the appropriate design pattern. Unloading materials, digging holes for root systems, properly covering the holes and sometimes sod laying, planting grass seed or connecting irrigation. Leaf removal, lawn seed and straw, lawn aeration, planting shrubbery, digging, raking, and installation of mortarless segmental concrete masonry wall units. Workers may gather and remove litter, water seeded lawns, trees, plants and prune or trim trees, shrubs, or hedges. Workers may operate powered equipment, and drive vehicles to customer locations. Duties may include sod laying, mowing, watering plants &amp; lawns, plant transplanting, fertilizing, digging, raking, sprinkler installation. Employees will be digging trenches no larger than 6 - 12 inches deep and 6 - 12 inches wide with shovels and hand tools. These trenches are used to hold tubing used in the installation of irrigation systems. All the trimming/pruning will take place on the ground. The workers will not perform any pruning or trimming activities above ground level. The worker may transport other workers to and from job sites on occasion, however this will not be their primary job duty. Workers may operate powered landscaping equipment, including mowers, edgers, blowers, weed eaters, trimmers, small tractors, and similar landscaping equipment. Workers may drive company pickup trucks and similar light-duty company vehicles, to and from customer job sites. Workers may occasionally transport other workers to and from job sites; however, transportation of workers is not a primary job duty. Workers may also occasionally transport landscaping materials, tools, and equipment to and from job sites, including mulch, potted plants, shovels, rakes, mowers, blowers, and trimmers. No hazardous materials will be transported by workers. All vehicles and equipment operated weigh less than 26,000 pounds GVW, including any attached trailers or transported materials. Job Classification: 37-3011.00 - Landscaping and Groundskeeping Workers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3 months landscaping experience required, Post Hire Drug screen at employers expense. Must be able to lift 50 lbs., repetitive movements, extensive pushing/pulling, extensive walking, frequent stooping, exposure to extreme temperatures. Number of Hours Per Week: 40 Work Schedule (Start/End time): 7:00 A.M. - 4:00 P.M.</t>
  </si>
  <si>
    <t>H-400-26184-077495</t>
  </si>
  <si>
    <t>Cervantes Oysters, LLC</t>
  </si>
  <si>
    <t>19/07/2027</t>
  </si>
  <si>
    <t>ocervantes145@yahoo.com</t>
  </si>
  <si>
    <t>+13615521563</t>
  </si>
  <si>
    <t>Harvest oysters from designated beds. Attach apparatus and devices to cables, booms, and hoists. Load and unload equipment and supplies. Attach nets and lines, haul in, sort, clean, and cull oysters. Return undersized or illegal oysters to the bay. Transplant oysters, shells, and rocks as directed. Place PVC pipe and oyster markers. Load and unload oyster sacks from vessel to dock, cooler, or freight trucks. Assist with securing and removing vessel docking lines. Wash down deck, equipment, cooler, and cabin areas used during harvesting operations. Perform basic, incidental, non‑mechanical upkeep such as rinsing gear, removing debris, and keeping work areas clean to maintain safe harvesting conditions. Comply with all U.S. Coast Guard safety procedures and Texas Parks and Wildlife regulations. Any vessel or equipment upkeep is strictly limited to basic cleaning and safety‑related tasks that are incidental to oyster harvesting and do not involve mechanical repair or skilled maintenance. Such tasks represent no more than 2% of the duration of the season if ever needed. Wage: Basic wage rate is $17.18/hr. Overtime is not guaranteed. However, if overtime is worked, it will be paid at the rate of $25.77 per hour, in accordance with Federal, State, or local law, including payment at time‑and‑a‑half for all hours worked over 35 in a workweek. The employer may offer raises/bonuses to temporary employees hired under this job order, at the company's sole discretion, based on individual factors such as performance, skill, and job tenure. Wages will be calculated based on a single workweek. Employees will be paid bi-weekly. Schedule: Shifts may vary, but an average scheduled workday can be from 7AM to 3PM, Mon-Fri. May be required to work extended hours and weekends as needed. The expected work schedule is approximately 35 hours per week. The employer may offer more hours than specified, depending on company needs, and other conditions. Employer will provide daily transportation to and from work site/docks to multiple locations in public waters off the Coast of Texas. Job Classification: 45-3031.00 - Fishing and Hunting Workers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Lift/carry up to 100 pounds. No infectious diseases; seafood allergies may be fatal. Number of Hours Per Week: 35 Work Schedule (Start/End time): 7:00 A.M. - 3:00 P.M.</t>
  </si>
  <si>
    <t>H-400-26184-075985</t>
  </si>
  <si>
    <t>ATLAS OUTDOOR, LLC</t>
  </si>
  <si>
    <t>onlineapplications@myatlasoutdoor.com</t>
  </si>
  <si>
    <t>+18108775296</t>
  </si>
  <si>
    <t>Duties include dormant season installation of trees, shrubs, or flowers in the appropriate design pattern. Unloading materials, digging holes for root systems, properly covering the holes and sometimes sod laying, planting grass seed or connecting irrigation. Leaf removal, lawn seed and straw, lawn aeration, planting shrubbery, digging, raking, and installation of mortarless segmental concrete masonry wall units. Workers may gather and remove litter, water seeded lawns, trees, plants and prune or trim trees, shrubs, or hedges. Workers may operate powered equipment, and drive vehicles to customer locations. Duties may include sod laying, mowing, watering plants &amp; lawns, plant transplanting, fertilizing, digging, raking, sprinkler installation. Employees will be digging trenches no larger than 6 - 12 inches deep and 6 - 12 inches wide with shovels and hand tools. These trenches are used to hold tubing used in the installation of irrigation systems. All of the trimming/pruning will take place on the ground. The workers will not perform any pruning or trimming activities above ground level. The worker may transport other workers to and from job sites on occasion, however this will not be their primary job duty. Job Classification: 37-3011.00 - Landscaping and Groundskeeping Workers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3 months of landscape experience required. Must be able to lift 50lbs, Must be able to stand and walk for long periods of time, must be able to operate basic handheld power equipment and appropriate technology, repetitive movements, extensive pushing/pulling, frequent stooping, exposure to extreme temperatures. In accordance with applicable Michigan state law, Earned Sick Time Act 338, employers are required to provide earned sick time to their employees. The amount of paid sick leave provided may vary depending on the size of the business. Number of Hours Per Week: 40 Work Schedule (Start/End time): 7:00 A.M. - 4:00 P.M.</t>
  </si>
  <si>
    <t>H-400-26184-075983</t>
  </si>
  <si>
    <t>Acres Maintenance, Inc. - Milwaukee</t>
  </si>
  <si>
    <t>+18154392022</t>
  </si>
  <si>
    <t>Landscape or maintain grounds of property using hand or power tools or equipment. Workers typically perform a variety of tasks, which may include any combination of the following: sod laying, planting, mowing, trimming, mulching, watering, fertilizing, digging, raking, edging, weeding, cleaning up debris, and installation of mortarless segmental concrete masonry wall units. Entry level; requires supervision. Job Classification: 37-3011.00 - Landscaping and Groundskeeping Workers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Must lift/carry 50 lbs., when necessary. Saturday and Sunday work required, when necessary. Employer-paid drug testing required of foreign and domestic workers prior to commencing work and post-hire upon suspicion of use and post-accident. Post-hire background checks may be required of foreign and domestic workers based on contract requirements. Post-hire motor vehicle record check required only of foreign and domestic workers who drive company vehicles (driving is not a requirement of all workers in the position). Employer may offer more than the stated work hours, depending on weather, business needs, and other conditions. Extreme heat, cold, rain, or drought may affect exact working hours. Number of Hours Per Week: 35 Work Schedule (Start/End time): 6:30 A.M. - 2:00 P.M.</t>
  </si>
  <si>
    <t>H-400-26184-075987</t>
  </si>
  <si>
    <t>Addison Condominium Association Incorporated</t>
  </si>
  <si>
    <t>CAFE@ADDISONBOCA.COM</t>
  </si>
  <si>
    <t>+15613953848</t>
  </si>
  <si>
    <t>Take orders, bring food &amp; drinks to guests. Clean off &amp; set tables. Take payments, give receipts. Keep all stations stocked. Serve bread, water, coffee. Greet guests (6) workers needed. Dates of need: 10/1/26-5/31/27. 3 months experience necessary. Rotating shifts. Workdays: Mon-Sun. Work hours: 6am-10pm. Rate of pay: $10-$16/hr plus tips but no less than $18.71/hr, $28.07/hr overtime. Workers paid biweekly. 35 hours/wk. Optional housing provided for $150/week with a $350 deposit ($300 upon completion of contract and upon inspection of the housing/ $50 non refundable). Uniforms and shift meals provided. Job location: 1500 S. Ocean Blvd., Boca Raton, FL 33432 Work is temporary full time employment. A single workweek will be used to compute wages. May get up to 10 hours of overtime when available. All deductions from the worker's paycheck required by law will be made. The employer will provide workers at no charge all tools, supplies, and equipment required to perform the job. The worker will be provided with or reimbursed for transportation and subsistence (including reasonable cost of overnight lodging where necessary up to $110/night for lodging with receipts.) at a rate of $16.78 per day during travel to a maximum of $68.00 per day with receipts from the place from which the worker has come to work for the employer, whether in the U.S. or abroad, to the place of employment, if the worker completes 50 percent of the period of employment covered by the job order, consistent with 20 CFR 655.20(j)(1)(i) by inclusion in the paycheck for the applicable week. Employer will provide or pay for the worker's cost of return transportation and daily subsistence from the place of employment to the place from which the worker, disregarding intervening employment, departed to work for the employer, if the worker completes the certified period of employment or is dismissed from employment for any reason by the employer before the end of the period, consistent with § 655.20(j)(1)(ii); H-2B workers will be reimbursed in the first workweek for all visas, visa processing, border crossing, and other related fees, including those mandated by the government (excluding passport fees). The employer will provide workers all tools, supplies, and equipment required to perform the job at no charge to the worker, in accordance with 20 CFR 655.20(k). Qualified applicants may mail resume to Attn: Melissa Braden at 1500 S. Ocean Blvd., Boca Raton, FL 33432, email to CAFE@ADDISONBOCA.COM, or visit your local job center at 4941 Coconut Creek Parkway Coconut Creek, FL 33063. *Your security deposit is refundable upon completion of your contract and upon inspection of the housing. If a worker abandons their job without permission of the employer or a worker abandons their housing before the end of the petition date for any reason except employer termination, the workers forfeits all housing deposits, PTO, vacation and bonus pay. Upon termination of resignation, the worker must vacate the housing immediately thereafter unless agreed upon by the employer.* Job Classification: 35-3031.00 - Waiters and Waitresses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Number of Hours Per Week: 35 Work Schedule (Start/End time): 6:00 A.M. - 10:00 P.M.</t>
  </si>
  <si>
    <t>H-400-26184-075988</t>
  </si>
  <si>
    <t>Bell Landscaping and Property Management LLC</t>
  </si>
  <si>
    <t>info@bellscapes.com</t>
  </si>
  <si>
    <t>+17243444912</t>
  </si>
  <si>
    <t>Landscape or maintain grounds of property using hand or power tools or equipment. Workers typically perform a variety of tasks, which may include any combination of the following: sod laying, grading, seeding, mowing, trimming, planting, watering, fertilizing, digging, raking and assist with installation of mortarless segmental concrete masonry wall units. Entry level, requires supervision. Job Classification: 37-3011.00 - Landscaping and Groundskeeping Workers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Must lift/carry 50 lbs., when necessary. Saturday and Sunday work required, when necessary. Employer may offer more than the stated work hours depending on weather, business needs, and other conditions. Extreme heat, cold, rain, or drought may affect exact working hours. Number of Hours Per Week: 40 Work Schedule (Start/End time): 7:00 A.M. - 3:30 P.M.</t>
  </si>
  <si>
    <t>H-400-26184-075981</t>
  </si>
  <si>
    <t>Bright Event Rentals, LLC</t>
  </si>
  <si>
    <t>19/12/2026</t>
  </si>
  <si>
    <t>elena@bright.com</t>
  </si>
  <si>
    <t>Installers</t>
  </si>
  <si>
    <t>Assist with the delivery, set-up/installation, removal, and storage of event rental equipment for special events such as tents, dance foors, carpets, staging, tables, chairs, dinnerware etc.; loading &amp; unloading trucks; assisting with warehouse tasks such as cleaning rental equipment, organization, and inventory. Entry level; requires supervision. Job Classification: 53-7062.00 - Laborers and Freight, Stock, and Material Movers, Hand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Must lift/carry up to 50 lbs., when necessary for extended periods of time. Saturday and Sunday work required, when necessary. Employer-paid post-hire upon suspicion of use and post-accident drug testing required of foreign and domestic workers. Post-hire employment eligibility (e-Verify) check required of foreign and domestic workers. Post-hire motor vehicle record check required only of foreign and domestic workers who drive company vehicles (driving is not a requirement of all workers in the position), and workers who choose to receive their license and drive company vehicles are eligible for higher wages. Employer may offer more than the stated work hours depending on weather, business needs, and other conditions. Extreme heat, cold, rain, or drought may affect exact working hours. Number of Hours Per Week: 35 Work Schedule (Start/End time): 8:00 A.M. - 4:00 P.M.</t>
  </si>
  <si>
    <t>H-400-26184-075995</t>
  </si>
  <si>
    <t>Buyansky Brothers Landscaping Inc.</t>
  </si>
  <si>
    <t>10/12/2026</t>
  </si>
  <si>
    <t>hr@buyanskysupply.com</t>
  </si>
  <si>
    <t>Landscape or maintain grounds of property using hand or power tools or equipment. Workers typically perform a variety of tasks, which may include any combination of the following: leaf removal and cleanup, mulching, sod laying, mowing, trimming, planting, watering, fertilizing, digging, raking &amp; assist w/installation of mortarless segmental concrete masonry wall units. Entry level; requires supervision. Job Classification: 37-3011.00 - Landscaping and Groundskeeping Workers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Must lift/carry 50 lbs., when necessary. Saturday and Sunday work required, when necessary. Post-hire post-accident drug testing required of foreign and domestic workers. Employer may offer more than the stated work hours depending on weather, business needs, and other conditions. Extreme heat, cold, rain, or drought may affect exact working hours. Number of Hours Per Week: 40 Work Schedule (Start/End time): 7:30 A.M. - 4:00 P.M.</t>
  </si>
  <si>
    <t>H-400-26184-075975</t>
  </si>
  <si>
    <t>CAS Capital</t>
  </si>
  <si>
    <t>Fast Food and Counter Worker</t>
  </si>
  <si>
    <t>Perform duties such as taking orders and serving food and beverages. Serve customers. May take payment. May prepare food and beverages. Accept payment from customers and make change as necessary. Serve customers in eating places that specialize in fast service and inexpensive carry-out food. Request and record customer orders. Communicate with customers regarding orders, comments, and complaints. Serve food, beverages, or desserts to customers in such settings as take-out counters and cars. Monitor and order supplies or food items and restock as necessary to maintain inventory. Perform cleaning duties, such as sweeping, mopping, and washing dishes, to keep equipment and facilities sanitary. Brew coffee and tea and fill containers with requested beverages. Clean and organize eating, service, and kitchen areas. Prepare daily food items, and cook simple foods and beverages, using proper safety precautions and sanitary measures. Prepare and serve cold drinks, frozen milk drinks, or desserts, using drink-dispensing, milkshake, or frozen-custard machines. Wrap menu items such as sandwiches, hot entrees, and desserts for serving or for takeout. Scrub and polish counters, steam tables, and other equipment, and clean glasses, dishes, and fountain equipment. Add relishes and garnishes to food orders, according to instructions. Distribute food to servers. Select food items from serving or storage areas and place them in dishes, on serving trays, or in take-out bags. Check and monitor food temperatures while cooking. Workers will primarily perform counter-service and customer-service duties, including taking customer orders, operating cash registers, serving food and beverages, preparing drinks, packaging food orders, restocking service areas, and maintaining cleanliness. Workers may perform limited and incidental food preparation duties such as assembling sandwiches, preparing salads, heating pre-made items, brewing coffee, or portioning simple menu items. Job Classification: 35-9021.00 - Dishwashers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Must be able to lift &amp; Carry 20 lbs., repetitive movements, extensive pushing/pulling, extensive standing, frequent stooping, exposure to extreme temperatures. Number of Hours Per Week: 40 Work Schedule (Start/End time): 7:00 A.M. - 4:00 P.M.</t>
  </si>
  <si>
    <t>H-400-26184-076250</t>
  </si>
  <si>
    <t>Cornejo Forestry Service, Inc.</t>
  </si>
  <si>
    <t>29/04/2027</t>
  </si>
  <si>
    <t>https://alabamaworks.alabama.gov</t>
  </si>
  <si>
    <t>+12052700946</t>
  </si>
  <si>
    <t>Manual itinerant work hand planting tree seedlings, pre-commercial thinning, herbicide application, and pruning to reforest and maintain timberlands. Sow seeds, raise and transport seedlings in a tree bag. Walk along seedling tree rows, stoops, and pull clumps of seedlings from loosened soil. Knock clumps together to dislodge soil and loosen roots, and place seedlings in field trays. Plant tree seedlings in specified pattern, using a mattock, planting hoe or dibble. Dig holes at pre-determined intervals and insert seedling. Tamp soil around plant with foot and planting tool. Select optimum planting location to meet spacing, soil, and shade requirements. Bare soil. Use a chainsaw, brush blade, power thinning saws or other hand-held equipment to prepare site for planting by thinning, spacing and removing excess trees and other vegetation. Select and cut out diseased, weak, or undesirable trees, according to markings or size, species, and grade using hand or powered saw. Cut brush and other vegetation and may chip debris and move slash (wood debris) away from roads, fire trails, and remaining trees. Spray or inject trees, brush, and weeds with herbicides to combat insects, pests, and harmful diseases using hand or powered sprayers or tree injector tool. Use a backpack sprayer or other hand held tools to spray or inject vegetation with herbicides to kill insects, protect against disease, and to reduce competing vegetation. Prune limbs of young trees to deter knot growth using handsaw, power saw and pruning tools or other hand held equipment. These jobs involve propagating, protecting, and managing, forest tracts. Employer may pay piece rates of $33.00 per 1000 seedlings planted, $10.00 per acre fertilized, $4.50 per acre sprayed, and $20.00 per acre thinned correctly, depending on worksite location, but not less than the prevailing wage in the area of intended employment. Job Classification: 45-4011.00 - Forest and Conservation Workers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No education or experience required. Requires physical stamina. Extensive walking over rough terrain. Work is in adverse weather. Must lift and carry 50 lbs. Production standard of 1750 trees correctly planted per 7 hour day after one week of on the job training. Employer may offer more than the stated work hours depending on weather, business needs, and other conditions. Extreme heat, cold, rain, or drought may affect exact working hours. Number of Hours Per Week: 35 Work Schedule (Start/End time): 8:00 A.M. - 3:30 P.M.</t>
  </si>
  <si>
    <t>H-400-26184-075970</t>
  </si>
  <si>
    <t>Carlisle Landscape Management, LLC - MO</t>
  </si>
  <si>
    <t>support@carlisleps.com</t>
  </si>
  <si>
    <t>H-400-26185-078735</t>
  </si>
  <si>
    <t>EZClean Austin</t>
  </si>
  <si>
    <t>KEVIN LASHUS</t>
  </si>
  <si>
    <t>mikewilson1965@yahoo.com</t>
  </si>
  <si>
    <t>+15124669313</t>
  </si>
  <si>
    <t>Holiday Lighting</t>
  </si>
  <si>
    <t>ORGANIZE AND PREPARE STOCK OF HOLIDAY DECOR MATERIAL. HANG HOLIDAY LIGHTS. LOAD AND UNLOAD MATERIALS AND PREPARE FOR STORAGE. LIFTING REQUIRED UP TO 50 LBS. Job Classification: 49-9099.00 - Installation, Maintenance, and Repair Workers, All Other The job/industry classification and description includes general information on the position from ONET/OES and the North American Industry Classification System. Please review Job Duties and Job Order for more information. Job Requirements Experience Required: No Number of Hours Per Week: 40 Work Schedule (Start/End time): 7:00 A.M. - 4:00 P.M.</t>
  </si>
  <si>
    <t>H-400-26184-075978</t>
  </si>
  <si>
    <t>County Pie, LLC</t>
  </si>
  <si>
    <t>brian@countypie.com</t>
  </si>
  <si>
    <t>+16014420009</t>
  </si>
  <si>
    <t>Food Preparation Workers</t>
  </si>
  <si>
    <t>Duties may include: Assist cooks and kitchen staff with various tasks as needed, and provide cooks with needed items. Clean, cut, slice, or grind meat, poultry, and seafood to prepare for cooking or serving. Wash, peel, and cut various foods, such as fruits and vegetables, to prepare for cooking or serving. Mix weighed or measured ingredients for pizza doughs, breadsticks, wings, salads, and other menu items. Receive and store food, supplies, equipment, and utensils in designated containers, refrigerators, cupboards, and other storage areas. Load dishes, glasses, and tableware into dishwashing machines after scraping leftovers into garbage containers. Vacuum dining area and sweep and mop kitchen floor. Clean and sanitize work areas, equipment, utensils, dishes, or silverware &amp; other related Food Preparation Workers activities as per SOC/OES 35-9021 (onetonline.org). Standard/Expected Schedule: Monday-Saturday 9:00AM-3:00PM or 3:00PM-10:00PM. Offering 40+ (plus) hours per week; not including applicable lunch and/or breaks. Employees can be expected to work various shifts. Weekly schedule may vary. Up to 8-hour shifts with one 30-minute lunch break are standard.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Job Classification: 35-9021.00 - Dishwashers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Must be 18 due to state labor laws. Must show proof of legal authorization to work in the United States. Drug/alcohol/tobacco free work zone. Perform physical activities: such as lift, balance, walk, stoop, handle, position, move, manipulate materials use static strength to exert maximum muscle force to lift, push, pull, carry objects up to 40lbs. All applicants must be able, willing and qualified to perform work described and must be available for the entire period specified. Hours may fluctuate based on tourism peaks and valleys throughout the season (+/-), possible downtime and/or overtime. Number of Hours Per Week: 40 Work Schedule (Start/End time): 9:00 A.M. - 3:00 P.M.</t>
  </si>
  <si>
    <t>H-400-26184-076009</t>
  </si>
  <si>
    <t>Creative Image BMP LLC</t>
  </si>
  <si>
    <t>hr@creativeimagellc.com</t>
  </si>
  <si>
    <t>The plows used are walk-behind push mowers that have plow attachments and are used to clear sidewalks and small parking lots. Employees will keep the outside of both private commercial buildings (office buildings, retail centers, etc.) and residential buildings in clean and orderly condition by removing snow and leaves from sidewalks, driveways, yards, or parking areas, using snow shovels, snow blowers, snow plows, leaf blowers, rakes, ice chippers, or salt spreaders; gather and empty trash and debris by hand or with a trash picker; fall/winter storm cleanup including clearing debris from grounds; and dormant tree/shrub winter pruning. Clean and perform routine maintenance on equipment and tools when not in use. Job Classification: 37-3011.00 - Landscaping and Groundskeeping Workers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Must lift/carry 50 lbs., when necessary. Work shifts/hours vary by day and work days vary by week depending on snowfall. Saturday and Sunday work required, when necessary. Employer-paid drug testing required of foreign and domestic workers prior to commencing work and post-hire at random, upon suspicion of use, and post-accident. Post-hire background check and employment eligibility (e-Verify) check required of foreign and domestic workers. Post-hire motor vehicle record check required only of foreign and domestic workers who drive company vehicles (driving is not a requirement of all workers in the position). Employer may offer more than the stated work hours depending on weather, business needs, and other conditions. Extreme heat, cold, rain, or drought may affect exact working hours. Number of Hours Per Week: 40 Work Schedule (Start/End time): 7:30 A.M. - 4:00 P.M.</t>
  </si>
  <si>
    <t>H-400-26184-075997</t>
  </si>
  <si>
    <t>Custom Turf, Inc</t>
  </si>
  <si>
    <t>info@customturf.com</t>
  </si>
  <si>
    <t>+14123844111</t>
  </si>
  <si>
    <t>Landscape or maintain grounds of property using hand or power tools or equipment. Workers typically perform a variety of tasks, which may include any combination of the following: sod laying, mowing, trimming, planting, watering, fertilizing, digging, raking, pruning, weeding. Assist with installation of sprinkler and lighting systems. Loading/unloading landscape equipment/materials; clean equipment/worksite when job is complete. Entry level, requires supervision. Job Classification: 37-3011.00 - Landscaping and Groundskeeping Workers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Must lift/carry 50 lbs., when necessary. Saturday work required, when necessary. Post-hire motor vehicle record check required only of foreign and domestic workers who drive company vehicles (driving is not a requirement of all workers in the position). Employer may offer more than the stated work hours, depending on weather, business needs, and other conditions. Extreme heat, cold, rain, or drought may affect exact working hours. Number of Hours Per Week: 40 Work Schedule (Start/End time): 7:00 A.M. - 5:00 P.M.</t>
  </si>
  <si>
    <t>H-400-26184-075991</t>
  </si>
  <si>
    <t>Cypress Tents and Events, LLC</t>
  </si>
  <si>
    <t>cypresstentsandevents@gmail.com</t>
  </si>
  <si>
    <t>+12253081779</t>
  </si>
  <si>
    <t>Event Crew Member</t>
  </si>
  <si>
    <t>Duties may include: Entry level; requires supervision. Following instructions or direction: assist with the preparation, loading, delivery, staging, cleaning, and storage of event rental equipment. Maintain equipment storage areas to ensure that inventory is protected. Carry tools or supplies from trucks and return them after use. Assemble and inspect event rental equipment such as tents, tables, chairs, dance floors, and lighting. Clean work areas to ensure safety &amp; other related Event Crew Member activities as per SOC/OES 53-7062 (onetonline.org). Standard/Expected Schedule: Monday - Sunday 7:30AM-4:00PM. Offering 40+ (plus) hours per week; not including applicable lunch and/or breaks. Weekly schedule may vary. Employees can be expected to work various hours beyond standard operating hours dependent on business needs..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Job Classification: 53-7062.00 - Laborers and Freight, Stock, and Material Movers, Hand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Must be 18 due to insurance. Must show proof of legal authorization to work in the United States. Drug/alcohol/tobacco free work zone. Perform physical activities such as: lift, balance, walk, stoop, handle, position, move, manipulate materials use static strength to exert max muscle force to lift, push, pull, carry objects up to 100lbs (possible 2-person). All applicants must be able, willing and qualified to perform work described and must be available for the entire period specified and work throughout all areas of intended employment. Work is performed outdoors, exposed to weather; must be capable of doing physically strenuous labor for long hours, occasionally in extreme heat or cold. Variable weather conditions apply; hours may fluctuate (+/-), possible downtime and/or overtime. Number of Hours Per Week: 56 Work Schedule (Start/End time): 7:30 A.M. - 4:00 P.M.</t>
  </si>
  <si>
    <t>H-400-26184-075994</t>
  </si>
  <si>
    <t>Dasher Industries, Inc.</t>
  </si>
  <si>
    <t>debra@grfarms.com</t>
  </si>
  <si>
    <t>+19126542100</t>
  </si>
  <si>
    <t>Tree Planters</t>
  </si>
  <si>
    <t>Duties may include: Manual itinerant work planting and fertilizing pine seedlings to reforest and maintain timberlands by hand or machine. Workers will transport seedling and plant trees by hand using a dibble planting tool. Workers will also plant trees on mechanical planter being pulled by a tractor. This work is done in cut over forest lands on ground and/or wet area. Use equipment in planting and thinning trees, preparing sites for planting, or performing other forestry services. Attention must be paid to spacing, soil and shade requirements. Must be able to sort tree seedlings, discarding substandard seedlings according to verbal instructions. Place seedlings in hole and pack soil firmly around plant using foot and planting tool, covering roots with soil and compressing the loose soil around the seedlings. Will perform pre-commercial thinning, prune trees on the ground and mow. Clean up and maintain equipment during contract period. Must be pleasant with others on the job and have a cooperative attitude. Must be respectful of leadership and pay attention to detail. Must complete work tasks. Must comply with all safety requirements and briefings. These jobs involve propagating, protecting, and managing forest tracts. Workers who apply for and obtain, or currently hold a FLC or FLCE certificate of registration with driving authorized by the USDOL Wage and Hour Division during the employment period may transport workers, count and check, and may be offered additional work hours &amp; other related Tree Planters activities as per SOC/OES 45-4011 (onetonline.org). Standard/Expected Schedule: Monday-Friday 7:30AM-4:00PM.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Optional, shared housing available at no cost to the worker. Job Classification: 45-4011.00 - Forest and Conservation Workers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Must be 18 due to travel. Must show proof of legal authorization to work in the United States. Drug/alcohol/tobacco free work zone. Perform physical activities such as: lift, balance, walk, stoop, handle, position, move, manipulate materials use static strength to exert max muscle force to lift, push, pull, carry objects up to 60lbs (possible 2-person). All applicants must be able, willing and qualified to perform work described and must be available for the entire period specified and work throughout all areas of intended employment.Based on Employer's discretion/cost: Worker may have random drug/alcohol testing during employment: positive test/refusal to abide = dismissal. Possible background check post hire at employer's expense.Work is performed outdoors, exposed to weather; must be capable of doing physically strenuous labor for long hours, occasionally in extreme heat or cold. Variable weather conditions apply; hours may fluctuate (+/-), possible downtime and/or overtime. Number of Hours Per Week: 40 Work Schedule (Start/End time): 7:30 A.M. - 4:00 P.M.</t>
  </si>
  <si>
    <t>H-400-26184-075973</t>
  </si>
  <si>
    <t>Detailed Environments, Inc.</t>
  </si>
  <si>
    <t>contactus@detailedenvironments.com</t>
  </si>
  <si>
    <t>+12154911100</t>
  </si>
  <si>
    <t>***RFI response*** To install snow marking stakes, a worker uses just a hammer to anchor in a 3’ fiberglass stake to mark curbs, driveway and walkway edges, fire hydrants, storm drains, and other impediments so as to avoid damage from snow clearing equipment and mark the way for operators during snow operations. ***Original*** Laborers will perform cleaning of commercial and residential properties including trash/debris pickup; leaf drop cleanup and dormant tree/shrub winter pruning incidental to site preparation in advance of the snow removal season. As included on the ONET website for 53-7062 (Laborers and Freight, Stock, and Material Movers, Hand), ahead of the main snow season: laborers will assist with preparing and deployment of trucks to be parked on client sites for ready access by crews. These tasks include installing plow and salt spreader mounting on trucks, loading trailers with shovels, snowblowers, spreaders, blowers, and ice melt bags, installing snow marking stakes and helping offload/stage equipment/materials at the site. Laborers will clean and perform routine maintenance on equipment and tools when not in use and restock materials. Entry level; requires supervision. Job Classification: 37-3011.00 - Landscaping and Groundskeeping Workers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Must lift/carry 50 lbs., when necessary. Saturday and Sunday work required, when necessary. Employer may offer more than the stated work hours depending on weather, business needs, and other conditions. Extreme heat, cold, rain, or drought may affect exact working hours. Number of Hours Per Week: 40 Work Schedule (Start/End time): 6:30 A.M. - 3:30 P.M.</t>
  </si>
  <si>
    <t>H-400-26184-076013</t>
  </si>
  <si>
    <t>Elite Events &amp; Rentals, LLC</t>
  </si>
  <si>
    <t>leighanne@eliteeventsandrentals.com</t>
  </si>
  <si>
    <t>Load and unload supplies from trucks; carry, stage, install, and organize event components such as tents, stages, dance floors, lighting, tables, chairs, and other rental items. Workers will also assist with strike (removal), cleaning and organizing equipment, preparing inventory in the warehouse, maintaining a clean workspace, and following all safety procedures. Job Classification: 53-7062.00 - Laborers and Freight, Stock, and Material Movers, Hand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Must be able to lift, carry, push, and pull up to 75 lbs repeatedly throughout the day, over significant distances. Must be able to stand and be physically active for hours at at time. Saturday and Sunday work required, when necessary. Alternative shift times may be offered. Must be willing to work either day or night shift as needed. Post-hire post-accident drug testing required of foreign and domestic workers. Post-hire employment eligibility (e-Verify) check required of foreign and domestic workers. Must be able to work outdoors in all weather conditions and perform physical labor for extended periods. Employer may offer more than the stated work hours depending on weather, business needs, and other conditions. Extreme heat, cold, rain, or drought may affect exact working hours. Number of Hours Per Week: 35 Work Schedule (Start/End time): 8:00 A.M. - 4:00 P.M.</t>
  </si>
  <si>
    <t>H-400-26184-075972</t>
  </si>
  <si>
    <t>Envision Hardscape, LLC</t>
  </si>
  <si>
    <t>Margie Hawkins</t>
  </si>
  <si>
    <t>19/11/2026</t>
  </si>
  <si>
    <t>john@envisionlawnandtree.com</t>
  </si>
  <si>
    <t>+18162009757</t>
  </si>
  <si>
    <t>Duties may include: Landscape and maintain properties using tools or equipment. Tasks may include sod laying, mowing, trimming, planting, watering, fertilizing, digging, rake and blow leaves; seeding, mulching, hauling and spreading topsoil, installation of sprinklers &amp; mortarless segmental concrete masonry wall units &amp; other related Landscape Laborer activities as per SOC/OES 37-3011 (onetonline.org). Standard/Expected Schedule: Monday-Friday 7:30AM-5:00PM.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Optional, shared furnished housing available to the worker at a monthly housing rate up to $450.00; if optional housing is agreed upon by the worker, monthly housing rate is to be paid directly to the landlord each month. Job Classification: 37-3011.00 - Landscaping and Groundskeeping Workers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Must show proof of legal authorization to work in the United States. Drug/alcohol/tobacco free work zone. Perform physical activities: such as lift, balance, walk, stoop, handle, position, move, manipulate materials use static strength to exert maximum muscle force to lift, push, pull, carry objects up to 50lbs. All applicants must be able, willing and qualified to perform work described and must be available for the entire period specified and work throughout all areas of intended employment. Work is performed outdoors, exposed to weather; must be capable of doing physically strenuous labor for long hours, occasionally in extreme heat or cold. Variable weather conditions apply; hours may fluctuate (+/-), possible downtime and/or overtime. Number of Hours Per Week: 40 Work Schedule (Start/End time): 7:30 A.M. - 5:00 P.M.</t>
  </si>
  <si>
    <t>H-400-26184-076011</t>
  </si>
  <si>
    <t>Epic Landscape Productions LLC</t>
  </si>
  <si>
    <t>KANSAS</t>
  </si>
  <si>
    <t>tyconstant@epicland.net</t>
  </si>
  <si>
    <t>+19138973858</t>
  </si>
  <si>
    <t>Duties may include: Mow, edge, mulch, aerate, weed, trim, water, sod, rake, dig and maintain sprinklers. Drive vehicles and operate power equipment such as mowers and weed eaters. Perform the necessary preventative maintenance on tools/equipment by cleaning and inspecting before failure. Fertilize, grub, plant, and remove thatch/litter/debris. Provide proper upkeep to existing landscapes by mowing, weeding and trimming &amp; other related Landscape Laborer activities as per SOC/OES 37-3011 (onetonline.org). Standard/Expected Schedule: Monday-Friday 7:30AM-4:30PM.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Job Classification: 37-3011.00 - Landscaping and Groundskeeping Workers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Must be 18 due to equipment use. Must show proof of legal authorization to work in the United States. Drug/alcohol/tobacco free work zone. Perform physical activities such as: lift, balance, walk, stoop, handle, position, move, manipulate materials use static strength to exert max muscle force to lift, push, pull, carry objects up to 60lbs (possible 2-person). All applicants must be able, willing and qualified to perform work described and must be available for the entire period specified and work throughout all areas of intended employment. Work is performed outdoors, exposed to weather; must be capable of doing physically strenuous labor for long hours, occasionally in extreme heat or cold. Variable weather conditions apply; hours may fluctuate (+/-), possible downtime and/or overtime. Number of Hours Per Week: 40 Work Schedule (Start/End time): 7:30 A.M. - 4:30 P.M.</t>
  </si>
  <si>
    <t>H-400-26184-075980</t>
  </si>
  <si>
    <t>Estate Landscaping Inc.</t>
  </si>
  <si>
    <t>mikehetman@estateslandscaping.com</t>
  </si>
  <si>
    <t>Landscape or maintain grounds of property using hand or power tools or equipment. Workers typically perform a variety of tasks, which may include any combination of the following: weeding, planting, edging, mowing, trimming, blowing, raking, haul/spread topsoil/mulch. Perform seasonal clean-ups. Clean sticks and debris from the garden beds and lawn using rakes. Blow off garden beds and lawn for snow mold using backpack blowers. Cut down, or cut back, dead growth from perennials using clippers and tarps. Edge garden beds and clean up edge lines using weed eaters. Job Classification: 37-3011.00 - Landscaping and Groundskeeping Workers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Requires three months of previous landscape experience. Must lift/carry 50 lbs., when necessary. Saturday work required, when necessary. Employer may offer more than the stated work hours depending on weather, business needs, and other conditions. Extreme heat, cold, rain, or drought may affect exact working hours. Number of Hours Per Week: 40 Work Schedule (Start/End time): 8:00 A.M. - 4:00 P.M.</t>
  </si>
  <si>
    <t>H-400-26184-076018</t>
  </si>
  <si>
    <t>Exscape Group of Cleveland LLC</t>
  </si>
  <si>
    <t>hr@exscapedesigns.com</t>
  </si>
  <si>
    <t>+12164703866</t>
  </si>
  <si>
    <t>Duties may include: Perform commercial and residential snow/ice maintenance including winter storm clean-up, trash/debris pickup, and snow/ice removal and dormant tree/shrub winter pruning. Mark properties to allow plow operators to know where to plow. Use hand tools and equipment such as ice picks, shovels, and blowers. Spread salt/deicing chemicals on walkways, driveways, and parking lots. Workers with valid U.S. driver’s license may operate a 4-wheel drive pickup truck with front-end plow attachment (driving is not a requirement of all workers in the position). Clean and perform routine maintenance and/or minor repairs on equipment and tools when not in use &amp; other related Snow Removal Laborer activities as per SOC/OES 47-4051 (onetonline.org). Standard/Expected Schedule: Monday-Friday 7:00AM-3:30PM. Offering 35+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Job Classification: 47-4051.00 - Highway Maintenance Workers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Must be 18 due to insurance. Must show proof of legal authorization to work in the United States. Drug/alcohol/tobacco free work zone. Perform physical activities: such as lift, balance, walk, stoop, handle, position, move, manipulate materials use static strength to exert maximum muscle force to lift, push, pull, carry objects up to 50lbs. All applicants must be able, willing and qualified to perform work described and must be available for the entire period specified and work throughout all areas of intended employment.Based on Employer's discretion/cost: Worker may have random drug/alcohol testing during employment: positive test/refusal to abide = dismissal. Possible background check post hire at employer's expense.Work is performed outdoors, exposed to weather; must be capable of doing physically strenuous labor for long hours, occasionally in extreme heat or cold. Variable weather conditions apply; hours may fluctuate (+/-), possible downtime and/or overtime. Number of Hours Per Week: 35 Work Schedule (Start/End time): 7:00 A.M. - 3:30 P.M.</t>
  </si>
  <si>
    <t>H-400-26184-075992</t>
  </si>
  <si>
    <t>Family Gutters LLC</t>
  </si>
  <si>
    <t>Albany Rojas Carrero</t>
  </si>
  <si>
    <t>LIS@FAMILYGUTTERS.COM</t>
  </si>
  <si>
    <t>+15618892038</t>
  </si>
  <si>
    <t>Equipment Repair Technician</t>
  </si>
  <si>
    <t>1. Machine Maintenance &amp; Repair: Diagnose, troubleshoot, and repair Ironman Gutter Machines, Front Pull Guillotines, and other roll-forming and cutting equipment. Perform routine maintenance, including lubrication, alignment, and calibration of machinery. Replace or repair worn-out parts such as bearings, rollers, motors, belts, and cutting blades. Conduct electrical and mechanical diagnostics to address issues with machine performance. Maintain and repair pneumatic and hydraulic systems associated with forming machines. 2. Preventative Maintenance Program: Develop and implement a preventative maintenance schedule for roll-forming machines, including Ironman Gutter Machines, to minimize breakdowns. Regularly inspect Front Pull Guillotine Cutters to ensure precise cutting operations. Maintain service logs and records of all maintenance and repairs performed. 3. Machine Setup &amp; Calibration: Assist in setting up roll-forming machines for different gutter and downspout profiles. Calibrate Ironman Gutter Machines to ensure smooth and accurate forming of gutters. Adjust and maintain the Front Pull Guillotine Cutter for clean and precise cuts. Train operators on the proper use and maintenance of equipment to extend lifespan and improve efficiency. 4. Safety &amp; Compliance: Ensure all machinery, including Ironman Gutter Machines and Front Pull Guillotines, operates in compliance with OSHA and company safety standards. Conduct safety inspections and recommend necessary modifications to prevent workplace hazards. Implement lockout/tagout (LOTO) procedures when performing maintenance. 5. Emergency Repairs &amp; Production Support: Respond quickly to breakdowns of Ironman Gutter Machines and Front Pull Guillotines to minimize downtime in production. Work closely with production managers and operators to troubleshoot issues in real-time. Coordinate with outside vendors or service providers for complex repairs when necessary. Job Classification: 49-9041.00 - Industrial Machinery Mechanics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24 Special Requirements: Technical Skills: Strong knowledge of mechanical, hydraulic, pneumatic, and electrical systems. Ability to read and interpret mechanical drawings, schematics, and service manuals. Proficiency in using hand tools, power tools, and diagnostic equipment. Welding and fabrication skills are a plus. Physical Requirements: Ability to lift up to 50 lbs and work in a physically demanding environment. Comfortable working in a shop setting with exposure to noise, dust, and heavy machinery. Capable of standing, kneeling, and working in confined spaces as neede Number of Hours Per Week: 45 Work Schedule (Start/End time): 8:00 A.M. - 5:00 P.M.</t>
  </si>
  <si>
    <t>H-400-26184-076015</t>
  </si>
  <si>
    <t>Gem Home Maintenance</t>
  </si>
  <si>
    <t>NEW JERSEY</t>
  </si>
  <si>
    <t>13/03/2027</t>
  </si>
  <si>
    <t>mygemhome@gmail.com</t>
  </si>
  <si>
    <t>+16092673237</t>
  </si>
  <si>
    <t>Installer/decorator</t>
  </si>
  <si>
    <t>Duties may include: Under supervision, hang and remove exterior portable electronic Christmas lights on private homes, yards, and businesses. Load, unload, and place ladders and scaffolding. Under supervision, assemble scaffolding and hang Christmas lights using stays, hooks, and brackets. Under supervision decorate bushes, shrubs, and install ground, pathway /walkway lights. Under supervision, retrieve, prepare, assemble, disassemble, clean, and store Christmas lights supplies, tools, and equipment in warehouse. Under supervision, load and unload supplies, tools, and equipment onto and from work vehicles &amp; other related Installer/Decorator activities as per SOC/OES 49-9099 (onetonline.org). Standard/Expected Schedule: Monday-Friday 8:00AM-4:00PM.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Job Classification: 49-9099.00 - Installation, Maintenance, and Repair Workers, All Other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Must show proof of legal authorization to work in the United States. Drug/alcohol/tobacco free work zone. Perform physical activities: such as lift, balance, walk, stoop, handle, position, move, manipulate materials use static strength to exert maximum muscle force to lift, push, pull, carry objects up to 40lbs. All applicants must be able, willing and qualified to perform work described and must be available for the entire period specified and work throughout all areas of intended employment. Work is performed outdoors, exposed to weather; must be capable of doing physically strenuous labor for long hours, occasionally in extreme heat or cold. Variable weather conditions apply; hours may fluctuate (+/-), possible downtime and/or overtime. Number of Hours Per Week: 40 Work Schedule (Start/End time): 8:00 A.M. - 4:00 P.M.</t>
  </si>
  <si>
    <t>H-400-26184-075977</t>
  </si>
  <si>
    <t>Genuine Builders, Inc.</t>
  </si>
  <si>
    <t>Afhan Aman</t>
  </si>
  <si>
    <t>jim@gbiconcrete.com</t>
  </si>
  <si>
    <t>+16052031362</t>
  </si>
  <si>
    <t>Concrete Finishers</t>
  </si>
  <si>
    <t>Prepare construction site where concrete will be poured by directing concrete laborers to place materials on job site, measure forms, examine the grade and confirm proper form layout. Safely set and align wooden and metal forms that hold concrete. Spread, level and smooth concrete using rakes, walk-behind or riding screeds, power trowels, shovels or hand tools. Tear down concrete forms and cut concrete with concrete saws. Clean up construction site. Job Classification: 47-2051.00 - Cement Masons and Concrete Finishers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36 Special Requirements: Some weekend work. Must be able to lift and carry 75 lbs. for 50 yards. Must be able to handle extreme temperatures. Will travel to worksites within the area of intended employment. Number of Hours Per Week: 40 Work Schedule (Start/End time): 7:00 A.M. - 5:00 P.M.</t>
  </si>
  <si>
    <t>H-400-26184-076006</t>
  </si>
  <si>
    <t>Gorilla Contracting, LLC</t>
  </si>
  <si>
    <t>29/07/2027</t>
  </si>
  <si>
    <t>info@akagorillas.com</t>
  </si>
  <si>
    <t>+17579918250</t>
  </si>
  <si>
    <t>Perform tasks involving physical labor at construction sites by assisting other craft worker using hand tools of all types including measuring tapes, drills, saws, and hammers. Job Classification: 47-2061.00 - Construction Laborers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Must lift/carry 50 lbs., when necessary. Saturday and Sunday work required, when necessary. Employer paid post-hire random and post-accident drug testing required of foreign and domestic workers. Employer may offer more than the stated work hours depending on weather, business needs, and other conditions. Extreme heat, cold, rain, or drought may affect exact working hours. Number of Hours Per Week: 40 Work Schedule (Start/End time): 7:00 A.M. - 4:00 P.M.</t>
  </si>
  <si>
    <t>H-400-26184-076014</t>
  </si>
  <si>
    <t>Green Village Garden Center Inc</t>
  </si>
  <si>
    <t>Office@thefarmgv.com</t>
  </si>
  <si>
    <t>+16092925879</t>
  </si>
  <si>
    <t>Junior Nursery Laborer</t>
  </si>
  <si>
    <t>Perform tasks in garden center including: maintenance of plants/nursery stock (e.g., tagging orders, re-spacing, re-burlapping, covering/uncovering, etc.) and retail spaces. Prune, cut ties, hand water, irrigate, and weed plants; Prepare trees and shrubs for digging by tying or wrapping root balls as necessary; secure with twine; fill/lift pots with soil and plant material; place signage. Clean tools/equipment and maintain work space, including barns and storage areas. All work performed at nursery/retail yard. Majority of plant products are not grown by employer. Job Classification: 45-2092.00 - Farmworkers and Laborers, Crop, Nursery, and Greenhouse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Requires three months of prior experience. Must lift/carry 40 lbs., when necessary. Saturday and Sunday work required, when necessary. Employer may offer more than the stated work hours depending on weather, business needs, and other conditions. Extreme heat, cold, rain, or drought may affect exact working hours. Number of Hours Per Week: 45 Work Schedule (Start/End time): 7:00 A.M. - 4:45 P.M.</t>
  </si>
  <si>
    <t>H-400-26184-075996</t>
  </si>
  <si>
    <t>Greg Fortunato Landscaping</t>
  </si>
  <si>
    <t>greg@gregfortunatolandscaping.com</t>
  </si>
  <si>
    <t>+14129940995</t>
  </si>
  <si>
    <t>Landscaper</t>
  </si>
  <si>
    <t>Edging, mulching, tree planting,cleanup of job site, planting,maintaining grass and other plant-life, weeding, watering, mowing andtrimming of plants. Job Classification: 37-3011.00 - Landscaping and Groundskeeping Workers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Must lift/carry 50 lbs., when necessary. Saturday and Sunday work required, when necessary. Employer may offer more than the stated work hours depending on weather, business needs, and other conditions. Extreme heat, cold, rain, or drought may affect exact working hours. Number of Hours Per Week: 40 Work Schedule (Start/End time): 8:00 A.M. - 4:30 P.M.</t>
  </si>
  <si>
    <t>H-400-26184-076001</t>
  </si>
  <si>
    <t>Home City Grain Inc.</t>
  </si>
  <si>
    <t>brianwullschleger@gmail.com</t>
  </si>
  <si>
    <t>Grain Silo Laborer</t>
  </si>
  <si>
    <t>**RFI** 1. We handle corn, wheat, soybean, and milo. Cleaning tasks primarily involve sweeping loose grain into grain pits to ensure a clean workspace. This will be done with brooms. 2. Workers are expected to assist in greasing gears on machinery and performing minor repairs if necessary. Workers will use grease guns and hand tools such as screw drivers and hammers. Machinery includes grain legs (vertical conveyor systems). If some aspect of the conveyor fails, workers will assist in repairs. **Original** Workers are primarily responsible for loading and unloading product from trucks and cleaning the worksite. May occasionally be required to perform minor maintenance/repairs to mechanical components such as belt replacements, greasing machinery, etc. Job Classification: 53-7062.00 - Laborers and Freight, Stock, and Material Movers, Hand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Must lift/carry 50 lbs., when necessary. Saturday and Sunday work required, when necessary. Employer-paid drug testing required of foreign and domestic workers prior to commencing work and post-hire upon suspicion of use and post-accident. Must possess or be able to obtain U.S. driver's license within 30 days of hire. Employer may offer more than the stated work hours depending on weather, business needs, and other conditions. Extreme heat, cold, rain, or drought may affect exact working hours. Number of Hours Per Week: 45 Work Schedule (Start/End time): 8:00 A.M. - 5:00 P.M.</t>
  </si>
  <si>
    <t>H-400-26184-077807</t>
  </si>
  <si>
    <t>Garrick Construction, Inc.</t>
  </si>
  <si>
    <t>Anique Watson</t>
  </si>
  <si>
    <t>MASSACHUSETTS</t>
  </si>
  <si>
    <t>office@garrick-santo.com</t>
  </si>
  <si>
    <t>+17813220006</t>
  </si>
  <si>
    <t>Snow Removal</t>
  </si>
  <si>
    <t>Clear walkways, decks and driveways of snow using shovels, blowers, pushers and ice scrapers/choppers. Mow, cut, water, edge lawns: rake and blow leaves; pull, chop weeds, prune and haul topsoil and mulch. Involves loading and unloading tools and supplies and equipment weighing up to 50 lbs. Involves working outdoors in all types of weather. Involves extensive standing, sitting or walking. Involves frequent stooping or bending. Involves repetitive movements.. Optional health benefits if elected, amount depends on elected benefits, employer will pay 50%; paid holidays and PTO. Uniforms provided at no cost. Possibility of performance based raise, bonuses, overtime and Saturdays as required. Transportation provided to multiple worksites from central location in Wilmington, MA. 30 minutes of unpaid breaks throughout the day. Daily hours may vary between start and end times listed depending on weather or job assignments. Job Classification: 37-3011.00 - Landscaping and Groundskeeping Workers The job/industry classification and description includes general information on the position from ONET/OES and the North American Industry Classification System. Please review Job Duties and Job Order for more information. Job Requirements Experience Required: No Number of Hours Per Week: 40 Work Schedule (Start/End time): 6:30 A.M. - 4:00 P.M.</t>
  </si>
  <si>
    <t>H-400-26184-076003</t>
  </si>
  <si>
    <t>Horseshoe K Ranch &amp; Gun Club Inc.</t>
  </si>
  <si>
    <t>19/01/2027</t>
  </si>
  <si>
    <t>hkranch2@midstatesd.net</t>
  </si>
  <si>
    <t>+16057786714</t>
  </si>
  <si>
    <t>Duties may include: Care for and inspect rooms, hallways, lobbies, restrooms, and other work areas for cleanliness by making beds, sweeping, mopping, vacuuming, dusting, scrubbing, and polishing. Empty wastebaskets and other trash in disposal areas. Keep storage areas, carts, and guest rooms well-stocked with appropriate commodities and supplies. Report damage, theft, found articles, maintenance issues, and safety hazards to Supervisors. Handle guest requests and complaints in a professional manner &amp; other related Housekeeper activities as per SOC/OES 37-2012 (onetonline.org). Standard/Expected Schedule: Monday-Friday 8:00AM-5:00PM.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Job Classification: 37-2012.00 - Maids and Housekeeping Cleaners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Must show proof of legal authorization to work in the United States. Drug/alcohol/tobacco free work zone. Perform physical activities: such as lift, balance, walk, stoop, handle, position, move, manipulate materials use static strength to exert maximum muscle force to lift, push, pull, carry objects up to 50lbs. All applicants must be able, willing and qualified to perform work described and must be available for the entire period specified. Hours may fluctuate based on tourism peaks and valleys throughout the season (+/-), possible downtime and/or overtime. Number of Hours Per Week: 40 Work Schedule (Start/End time): 8:00 A.M. - 5:00 P.M.</t>
  </si>
  <si>
    <t>H-400-26184-075999</t>
  </si>
  <si>
    <t>LAKEWAY FOOD LLC</t>
  </si>
  <si>
    <t>ramonmery@lakewayproduce.com</t>
  </si>
  <si>
    <t>+15125352776</t>
  </si>
  <si>
    <t>Packers and Packagers</t>
  </si>
  <si>
    <t>1. Pack containers, materials, or products in accordance with established quality standards, including size, color, and condition specifications. 2. Measure, weigh, and count products and materials to ensure accuracy and compliance with order requirements. 3. Record product, packaging, and order information on designated forms and tracking systems. 4. Seal containers and packages using appropriate methods to ensure product integrity and safe handling. 5. Assemble and prepare cartons, crates, and containers for packaging and shipment. 6. Sort, move, and organize products, materials, and containers within the work area to support efficient packaging operations. 7. Label and mark containers, tags, and products in accordance with company and regulatory requirements. 8. Maintain cleanliness of work areas, containers, and materials in compliance with safety and hygiene standards. 9. Remove completed or defective products from production lines and place them in designated areas for distribution or quality control. 10. Fill containers with products or materials using appropriate equipment and procedures. 11. Load materials and packaged products into processing or packaging equipment as part of the production workflow. Job Classification: 53-7064.00 - Packers and Packagers, Hand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12 Special Requirements: No formal education, license, certification, or prior experience required. Workers must be able to lift up to 50 lbs., stand, bend, and perform repetitive movements for extended periods. Must be able to follow safety procedures and employer instructions while packing, sorting, labeling, organizing, and preparing products for shipment. Number of Hours Per Week: 40 Work Schedule (Start/End time): 8:00 A.M. - 5:00 P.M.</t>
  </si>
  <si>
    <t>H-400-26184-075993</t>
  </si>
  <si>
    <t>MT ST HELENS REFORESTATION INC</t>
  </si>
  <si>
    <t>RYAN HATTON</t>
  </si>
  <si>
    <t>WASHINGTON</t>
  </si>
  <si>
    <t>mtsthrin@compprime.com</t>
  </si>
  <si>
    <t>+13607488280</t>
  </si>
  <si>
    <t>Forest and Conservation Worker</t>
  </si>
  <si>
    <t>COMMERCIAL TREE PLANTING WILL BE CONDUCTED ON STEEP TERRAIN, 40%-50% IN SLOPE AND DONE WITH THE USE OF A PLANTING SHOVEL. THE EMPLOYEE WILL CLEAR A SPACE ON THE GROUND, DIG A HOLE, CORRECTLY PLACE THE SEEDLING TREE IN THE HOLE WITHOUT PLACING THE ROOT IN A "J" SHAPE, COVER THE ROOTS WITH THE SOIL, AND THEN TAMP THE SOIL AROUND THE NEWLY PLANTED SEEDLING. THE EMPLOYEE WILL BE REQUIRED TO CARRY A PLATING BAG WHICH WILL CONTAIN THE SEEDLINGS, COMBINED WEIGHT IS ABOUT 50-60 POUNDS, DEPENDING ON THE SIZE OF THE SEEDLINGS, UP AND DOWN THE STEEP TERRAIN, IN REMOTE MOUNTAINOUS AREAS. PRE-COMMERCIAL THINNING; THE CUTTING OF UNDESIRABLE AND DISEASED TREES, SPRAYING VEGETATION TO ELIMINATE UNWANTED UNDERBRUSH, BRUSH CUTTING/PILING OF LIMBS OF THE COMMERCIAL TIMBER WILL BE CONDUCTED IN ORDER TO PROMOTE THE GROWTH OF THE STANDING TIMBER. TREE LIMBS CUT AND BRUSH WILL BE PILED IN A PRESCRIBED MANNER FOR THE FUTURE DISPOSAL. THE THINNING WILL BE CONDUCTED WITH THE USE OF A CHAINSAW, EMPLOYEES ARE EXPECTED TO MAINTAIN THE SAW, SHARPEN THE CHAIN IN THE FIELD, MAINTAN CORRECT FLUID LEVELS, AND PROPERLY BREAK THE SAW DOWN FOR CLEANING. THE COMBINED WEIGHT OF THE SAW, FUEL AND OIL IS APPROXIMATELY 30 LBS AND MUST BE CARRIED UP AND DOWN DIFFICULT TERRAIN RANGING FROM 40%-50% SLOPE. THE EMPLOYEE MUST DEMOSTRATE THAT HE CAN WORK IN A SAFE AND EFFECTIVE MANNER., ACCESS IS GAINED TO THESE REMOTE AREAS BY TRAVELING ON ABANDONED, UNNAMED OR NUMBERED LOGGING ROADS THAT ARE MANTAINED. Job Classification: 45-4011.00 - Forest and Conservation Workers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F.A.5 OCCASIONAL OVERTIME, ANY HOURS OVER 40 IN A WORK WEEK WILL BE PAID AT 1 1/2 TIMES THE COUNTY RATE WERE THE JOB IS DONE AT THE TIME. F.A.9 3 MONTH EXPERIENCE REQUIRED CONDUCTING COMMERCIAL TREE PLANTING AND/OR PRE-COMMERCIAL TREE THINNING, F.A.11: SPECIAL REQUIREMENTS, EMPLOYEE MUST BE ABLE TO CORRECTLY PLANT THE FOLLOWING NUMBER OF TREES IN AN B HOUR DAY SHIFT BY THE END OF 1ST WEEK BOO SEEDLINGS 2ND WEEK 900 SEEDLINGS 3RD WEEK 1,000 SEEDLINGS Number of Hours Per Week: 48 Work Schedule (Start/End time): 7:00 A.M. - 3:30 P.M.</t>
  </si>
  <si>
    <t>H-400-26184-075998</t>
  </si>
  <si>
    <t>NORMAN KEIL NURSERIES INC</t>
  </si>
  <si>
    <t>22/12/2026</t>
  </si>
  <si>
    <t>h2a@normankeilnurseries.com</t>
  </si>
  <si>
    <t>+16315846330</t>
  </si>
  <si>
    <t>Nursery Worker</t>
  </si>
  <si>
    <t>Assembles greenery planters, using conifer boughs and artificial decorations: Cuts conifer boughs to length, using pruning shears, and sorts them according to size and color. Assembles boughs to attain uniform appearance. Attaches specified decorations, for example holly, artificial berries, glass balls, and ribbon. Job Classification: 27-1023.00 - Floral Designers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ROTATING HOURS AND SHIFTS MON-SUN 8AM-4PM. MAY INCLUDE WEEKEND AND HOLIDAY WORK Number of Hours Per Week: 40 Work Schedule (Start/End time): 8:00 A.M. - 4:00 P.M.</t>
  </si>
  <si>
    <t>H-400-26184-076004</t>
  </si>
  <si>
    <t>NORTHFRONT, LLC</t>
  </si>
  <si>
    <t>06/12/2026</t>
  </si>
  <si>
    <t>northfrontrecruit@gmail.com</t>
  </si>
  <si>
    <t>+16309695100</t>
  </si>
  <si>
    <t>Duties include dormant season installation of trees, shrubs, or flowers in the appropriate design pattern. Unloading materials, digging holes for root systems, properly covering the holes and sometimes sod laying, planting grass seed or connecting irrigation. Leaf removal, lawn seed and straw, lawn aeration, planting shrubbery, digging, raking, and installation of mortarless segmental concrete masonry wall units. Workers may gather and remove litter, water seeded lawns, trees, plants and prune or trim trees, shrubs, or hedges. Workers may operate powered equipment, and drive vehicles to customer locations. Duties may include sod laying, mowing, watering plants &amp; lawns, plant transplanting, fertilizing, digging, raking, sprinkler installation. Employees will be digging trenches no larger than 6 - 12 inches deep and 6 - 12 inches wide with shovels and hand tools. These trenches are used to hold tubing used in the installation of irrigation systems. All the trimming/pruning will take place on the ground. The workers will not perform any pruning or trimming activities above ground level. The worker may transport other workers to and from job sites on occasion, however this will not be their primary job duty. Workers may operate powered landscaping equipment, including mowers, edgers, blowers, weed eaters, trimmers, small tractors, and similar landscaping equipment. Workers may drive company pickup trucks and similar light-duty company vehicles, to and from customer job sites. Workers may occasionally transport other workers to and from job sites; however, transportation of workers is not a primary job duty. Workers may also occasionally transport landscaping materials, tools, and equipment to and from job sites, including mulch, potted plants, shovels, rakes, mowers, blowers, and trimmers. No hazardous materials will be transported by workers. All vehicles and equipment operated weigh less than 26,000 pounds GVW, including any attached trailers or transported materials. Job Classification: 37-3011.00 - Landscaping and Groundskeeping Workers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Post Hire Drug screen at employers expense. Must be able to lift 50 lbs., repetitive movements, extensive pushing/pulling, extensive walking, frequent stooping, exposure to extreme temperatures. Number of Hours Per Week: 40 Work Schedule (Start/End time): 7:00 A.M. - 4:00 P.M.</t>
  </si>
  <si>
    <t>H-400-26184-076005</t>
  </si>
  <si>
    <t>Olson Lawn Care LLC</t>
  </si>
  <si>
    <t>drewsabatos@olsonlandscape.com</t>
  </si>
  <si>
    <t>+17245311950</t>
  </si>
  <si>
    <t>Landscaping &amp; Groundskeeping Worker</t>
  </si>
  <si>
    <t>Duties include dormant season installation of trees, shrubs, or flowers in the appropriate design pattern. Unloading materials, digging holes for root systems, properly covering the holes and sometimes sod laying, planting grass seed or connecting irrigation. Leaf removal, lawn seed and straw, lawn aeration, planting shrubbery, digging, raking, and installation of mortarless segmental concrete masonry wall units. Workers may gather and remove litter, water seeded lawns, trees, plants and prune or trim trees, shrubs, or hedges. Workers may operate powered equipment, and drive vehicles to customer locations. Duties may include sod laying, mowing, watering plants &amp; lawns, plant transplanting, fertilizing, digging, raking, sprinkler installation. Employees will be digging trenches no larger than 6 - 12 inches deep and 6 - 12 inches wide with shovels and hand tools. These trenches are used to hold tubing used in the installation of irrigation systems. All the trimming/pruning will take place on the ground. The workers will not perform any pruning or trimming activities above ground level. The worker may transport other workers to and from job sites on occasion, however this will not be their primary job duty. Workers may operate powered landscaping equipment, including mowers, edgers, blowers, weed eaters, trimmers, small tractors, and similar landscaping equipment. Workers may drive company vehicles, including Ford F250, Ford F350, Ford F600, GMC Yukon, to and from customer job sites. Workers may occasionally transport other workers to and from job sites; however, transportation of workers is not a primary job duty. Workers may also occasionally transport landscaping materials, tools, and equipment to and from job sites, including mulch, potted plants, shovels, rakes, mowers, blowers, and trimmers. No hazardous materials will be transported by workers. All vehicles and equipment operated weigh less than 26,000 pounds GVW, including any attached trailers or transported materials Job Classification: 37-3011.00 - Landscaping and Groundskeeping Workers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Must be able to lift 80 lbs., repetitive movements, extensive pushing/pulling, extensive walking, frequent stooping, exposure to extreme temperatures. Number of Hours Per Week: 40 Work Schedule (Start/End time): 7:00 A.M. - 4:00 P.M.</t>
  </si>
  <si>
    <t>H-400-26184-075986</t>
  </si>
  <si>
    <t>PINNACLE LANDSCAPES</t>
  </si>
  <si>
    <t>tory@exteriordesignslandscaping.com</t>
  </si>
  <si>
    <t>+15022415334</t>
  </si>
  <si>
    <t>Duties include dormant season installation of trees, shrubs, or flowers in the appropriate design pattern. Unloading materials, digging holes for root systems, properly covering the holes and sometimes sod laying, planting grass seed or connecting irrigation. Leaf removal, lawn seed and straw, lawn aeration, planting shrubbery, digging, raking, and installation of mortarless segmental concrete masonry wall units. Workers may gather and remove litter, water seeded lawns, trees, plants and prune or trim trees, shrubs, or hedges. Workers may operate powered equipment, and drive vehicles to customer locations. Duties may include sod laying, mowing, watering plants &amp; lawns, plant transplanting, fertilizing, digging, raking, sprinkler installation. Employees will be digging trenches no larger than 6 - 12 inches deep and 6 - 12 inches wide with shovels and hand tools. These trenches are used to hold tubing used in the installation of irrigation systems. All the trimming/pruning will take place on the ground. The workers will not perform any pruning or trimming activities above ground level. The worker may transport other workers to and from job sites on occasion, however this will not be their primary job duty. Workers may operate powered landscaping equipment, including mowers, edgers, blowers, weed eaters, trimmers, small tractors, and similar landscaping equipment. Workers may drive company pickup trucks and similar light-duty company vehicles, to and from customer job sites. Workers may occasionally transport other workers to and from job sites; however, transportation of workers is not a primary job duty. Workers may also occasionally transport landscaping materials, tools, and equipment to and from job sites, including mulch, potted plants, shovels, rakes, mowers, blowers, and trimmers. No hazardous materials will be transported by workers. All vehicles and equipment operated weigh less than 26,000 pounds GVW, including any attached trailers or transported materials. Job Classification: 37-3011.00 - Landscaping and Groundskeeping Workers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Must be able to lift 50 lbs. repetitive movements, extensive pushing/pulling, extensive walking, frequent stooping, exposure to extreme temperatures, 3 months experience required, Post Hire Drug screen at employers expense. Number of Hours Per Week: 40 Work Schedule (Start/End time): 7:00 A.M. - 4:00 P.M.</t>
  </si>
  <si>
    <t>H-400-26184-076016</t>
  </si>
  <si>
    <t>Plyler’s Forestry Services, LLC</t>
  </si>
  <si>
    <t>evansha@musc.edu</t>
  </si>
  <si>
    <t>Pine Straw Baler</t>
  </si>
  <si>
    <t>Manually rake, bale and load bales of pine straw to trailer. Use hand tools such as rakes and hoes. These tasks will be performed on forested property, specifically within wooded areas where pine trees naturally shed their needles. Raises and/or bonuses may be offered at employer's discretion, based on individual factors such as performance, skill, and tenure. Job Classification: 45-4011.00 - Forest and Conservation Workers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Must lift/carry 50 lbs., when necessary. Saturday and Sunday work required, when necessary. Employer may offer more than the stated work hours depending on weather, business needs, and other conditions. Extreme heat, cold, rain, or drought may affect exact working hours. Number of Hours Per Week: 50 Work Schedule (Start/End time): 7:00 A.M. - 6:00 P.M.</t>
  </si>
  <si>
    <t>H-400-26184-075984</t>
  </si>
  <si>
    <t>Pritchett Forestry Services, Inc.</t>
  </si>
  <si>
    <t>gmees@pinebelt.net</t>
  </si>
  <si>
    <t>+13347364402</t>
  </si>
  <si>
    <t>Manual itinerant work hand tree seedling planting to reforest and maintain timberlands. Plant bare-root or containerized tree seedlings using a shovel, hoe dad, dibble bar, hoe, or powered auger. Transport trees in a tree bag. Select optimum planting location to meet spacing, soil, and shade requirements. Tamp soil around tree seedling with foot or planting tool. As minor activities, thin trees using a chainsaw, brush blade or other hand-held equipment to remove excess trees and other vegetation, determine which immature trees to leave for accelerated growth, depending on spacing, species, size, freedom from disease or other defect, and possible damage to remaining trees, cut brush and other vegetation and may chip debris and move slash away from roads, fire trails and remaining trees, which excludes workers cutting mature trees, apply repellent or fertilizer to tree seedlings, sow seeds, transport tree seedlings from nursery, discard substandard seedlings, and confer with other workers to discuss issues such as safety. Workers who apply for and obtain an FLC or FLC employee certificate of registration with driving authorization by the USDOL Wage and Hour Division during the employment period may transport workers, count and check and may be offered additional work hours. These jobs involve propagating, protecting, and managing forest tracts. Drug free workplace. Drug testing may be conducted throughout the employment period at no cost to the worker. Job Classification: 45-4011.00 - Forest and Conservation Workers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No education or experience required. Must be 18 years or older. Requires physical stamina. Extensive walking over rough terrain. Work is in adverse weather. Must lift and carry 50 lbs. Production standard of 2000 trees correctly planted per 8 hour day after one week of on the job training. Work schedule and locations dependent on weather conditions. Must pass drug screenings. Overnight travel required. Employer may offer more than the stated work hours depending on weather, business needs, and other conditions. Extreme heat, cold, rain, or drought may affect exact working hours. Number of Hours Per Week: 48 Work Schedule (Start/End time): 8:00 A.M. - 5:00 P.M.</t>
  </si>
  <si>
    <t>H-400-26184-076008</t>
  </si>
  <si>
    <t>Mechanical Tree Planters</t>
  </si>
  <si>
    <t>Manual itinerant work machine planting, thinning tree seedlings, applying insecticides and herbicides using equipment, removing brush and vegetation, and seedling pulling to reforest and maintain timberlands. Use equipment in planting and thinning trees, spreading or spraying chemicals, preparing sites for planting, or performing other forestry services. Operate a rubber-tired or crawler-type tractor or other heavy motorized equipment such as a grader, front-end loader, or backhoe. Lubricate equipment, fuel equipment, adjust equipment and make emergency repairs to equipment. Sow seeds, raise and transport seedlings in a tree bag, and discard substandard seedlings. Use a chainsaw, brush blade, or other hand-held equipment to remove excess trees and other vegetation. Determine which immature trees to leave for accelerated growth, depending on spacing, species, size, freedom from disease or other defect, and possible damage to remaining trees. Combat insects, pests, and diseases harmful to trees. Use a backpack sprayer or other hand held tools to spray or inject vegetation with insecticides to kill insects and to protect against disease, and with herbicides to reduce competing vegetation. May chip debris and move slash (wood debris) away from roads, fire trails and remaining trees. Excludes workers cutting mature trees. May plant tree seedlings by hand in specified pattern using mattock, planting hoe or dibble bar in case of mechanical failure. Confer with other workers to discuss issues such as safety. Workers who apply for and obtain an FLC or FLC employee certificate of registration with driving authorization by the USDOL Wage and Hour Division during the employment period may transport workers, count and check, and may be offered additional work hours. These jobs involve propagating, protecting, and managing forest tracts. Drug free workplace. Drug testing may be conducted throughout the employment period at no cost to the worker. Job Classification: 45-4011.00 - Forest and Conservation Workers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No education or experience required. Must be 18 years or older. Must lift and carry up to 50 lbs. Work is outdoors in extreme temperatures and adverse weather. Requires physical stamina. Extensive walking over rough terrain. Production standard of 8,000 seedlings mechanically planted per 8 hr day after one week of on the job training. Work schedule and locations dependent on weather conditions. Must pass drug screenings. Overnight travel required. Employer may offer more than the stated work hours depending on weather, business needs, and other conditions. Extreme heat, cold, rain, or drought may affect exact working hours. Number of Hours Per Week: 48 Work Schedule (Start/End time): 8:00 A.M. - 5:00 P.M.</t>
  </si>
  <si>
    <t>H-400-26184-075990</t>
  </si>
  <si>
    <t>+18657673888</t>
  </si>
  <si>
    <t>H-400-26184-075989</t>
  </si>
  <si>
    <t>Quantum Fulfillment and Support LLC</t>
  </si>
  <si>
    <t>contact@foodrecallwatch.com</t>
  </si>
  <si>
    <t>+15125493930</t>
  </si>
  <si>
    <t>Hand Packer</t>
  </si>
  <si>
    <t>Workers typically perform a variety of tasks related to the hand packing and/or repacking of dried fruits, vegetables, and/or grains from larger wholesale bags to smaller individual bags. Obtain, move, and sort products, materials, containers, and orders. Assemble, line, and pad cartons, crates, and containers. Clean containers, materials, supplies, or work areas. Place or pour products or materials into containers, using hand tools and equipment, or fill containers from spouts or chutes. Label and count containers/packages. Record product, packaging, and order information on specified forms and records. Must be able to read Spanish or English at a basic level. Job Classification: 53-7064.00 - Packers and Packagers, Hand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Requires three months of hand packer experience. Must lift/carry 50 lbs., when necessary. Employer may offer more than the stated work hours depending on weather, business needs, and other conditions. Number of Hours Per Week: 40 Work Schedule (Start/End time): 3:00 P.M. - 11:30 P.M.</t>
  </si>
  <si>
    <t>H-400-26184-076002</t>
  </si>
  <si>
    <t>RMD Management Inc.</t>
  </si>
  <si>
    <t>UTAH</t>
  </si>
  <si>
    <t>sarah@UtahStone.com</t>
  </si>
  <si>
    <t>+14356713000</t>
  </si>
  <si>
    <t>Helpers, Production Workers</t>
  </si>
  <si>
    <t>Mountain Valley Stone, Inc produces varies stone products from the stone it quarries. Workers will assist Machine Operators by using production tools to help prepare stone for purposes of producing, moving, and trimming raw stone and finished stone products. Specific tasks include: Load pieces of stone onto a conveyor system, the conveyor will then move the stone under a guillotine, the worker will then push a button or pull a lever on the guillotine which will lower the thin and flat piece of metal with a tapered edge to produce the finished stone product, he conveyor belt will then move the stone to the end of the belt where another worker will unload the stone, inspect it, and place it in pallets for sale. Lift/carry product by hand. Count/stack/sort materials on pallets for packaging and shipping. Clean and maintain the work area. Entry Level; requires supervision. Workers will complete a training period covering jobsite duties and MSHA compliance requirements. Employees must follow all company safety standards and maintain compliance with workplace regulations. A positive attitude and willingness to work as part of a team are required. Job Classification: 51-9195.03 - Stone Cutters and Carvers, Manufacturing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Must lift/carry 80 lbs., when necessary. Employer-paid drug testing required of foreign and domestic workers prior to commencing work and post-hire random and post-accident.Employer may offer more than the stated work hours, depending on weather, business needs, and other conditions. Extreme heat, cold, rain, or drought may affect exact working hours. Number of Hours Per Week: 40 Work Schedule (Start/End time): 7:30 A.M. - 4:30 P.M.</t>
  </si>
  <si>
    <t>H-400-26184-076010</t>
  </si>
  <si>
    <t>Richardson Lawn &amp; Landscape, LLC</t>
  </si>
  <si>
    <t>accounting@richardsonlandscapellc.com</t>
  </si>
  <si>
    <t>+19318885296</t>
  </si>
  <si>
    <t>Lawn Care Technician</t>
  </si>
  <si>
    <t>Duties include sod laying, mowing, trimming/pruning trees, shrubs and plants, installation of plants, trees and shrubbery, watering plants &amp; lawns, plant transplanting, fertilizing, digging, raking, sprinkler installation, outdoor lighting installation and installation of mortarless segmental concrete masonry wall units. Workers may gather and remove litter and operate powered equipment and drive company vehicles to customer locations. All vehicles to be driven are company pick-up trucks, the Gross Vehicle Weight capacity of the vehicle to be driven in the job duties is less than 26,000 lbs. Powered equipment used will include lawn mowers, weed eaters, and trimmers. All the trimming/pruning will take place on the ground. The workers will not perform any pruning or trimming activities above ground level. The worker may transport other workers to and from job sites on occasion, however this will not be their primary job duty. Irrigation duties include installing lawn irrigation systems to water lawns, trees, or plants, gather and remove litter, digs &amp; fills trenches with hand tools, cuts tubing to desired length using hand tools. Use irrigation methods to adjust the amount of water consumption and to prevent waste. Maintain irrigation systems, including winterizing systems and starting them up in spring. Job Classification: 37-3011.00 - Landscaping and Groundskeeping Workers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must be able to life 50 pounds. repetitive movements, extensive pushing/pulling, extensive walking, frequent stooping, exposure to extreme temperatures, driver's license required, 3 months experience required. Number of Hours Per Week: 40 Work Schedule (Start/End time): 7:00 A.M. - 4:00 P.M.</t>
  </si>
  <si>
    <t>H-400-26184-076000</t>
  </si>
  <si>
    <t>Rough Water Oyster Company, Inc</t>
  </si>
  <si>
    <t>WFCollier1972@gmail.com</t>
  </si>
  <si>
    <t>+12518244367</t>
  </si>
  <si>
    <t>Duties may include: Lack of or late delivery of seafood product @ dock may result in delay/downtime. Short period of OJT teach new hires needed skills: use knives or other equip. Possible duties: perform cut, trim. Sit and Shuck oysters (for our restaurant) into bucket using knife and slicker; weigh the oysters &amp; other related Oyster Shuckers activities as per SOC/OES 51-3022 (onetonline.org). Standard/Expected Schedule: Monday-Friday 6:00AM-2:00PM. Offering 35+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Optional, shared housing available at no cost to the worker. Job Classification: 51-3022.00 - Meat, Poultry, and Fish Cutters and Trimmers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Must be 18 due to insurance. Must show proof of legal authorization to work in the United States. Drug/alcohol/tobacco free work zone. Perform physical activities: such as lift, balance, walk, stoop, handle, position, move, manipulate materials use static strength to exert maximum muscle force to lift, push, pull, carry objects up to 50lbs. All applicants must be able, willing and qualified to perform work described and must be available for the entire period specified. Delivery and availability of seafood product from fisherman may result in possible downtimes due to weather conditions. Number of Hours Per Week: 35 Work Schedule (Start/End time): 6:00 A.M. - 2:00 P.M.</t>
  </si>
  <si>
    <t>H-400-26184-076017</t>
  </si>
  <si>
    <t>SHM  Construction Incorporated</t>
  </si>
  <si>
    <t>sondrahernandez@att.net</t>
  </si>
  <si>
    <t>+17316167757</t>
  </si>
  <si>
    <t>Perform tasks involving physical labor at construction sites. May operate hand and power tools of all types: air hammers, earth tampers, cement mixers, small mechanical hoists, surveying and measuring equipment, and a variety of other equipment and instruments. May clean and prepare sites, dig trenches, set braces to support the sides of excavations, erect scaffolding, and clean up rubble, debris, and other waste materials. May assist other craft workers. Workers may assist other craft workers, by preparing worksites; gathering, loading, unloading, and transporting tools, materials, and equipment; cleaning work areas; and performing manual labor tasks associated with construction projects. Workers may use common hand tools and basic power tools including shovels, rakes, wheelbarrows, brooms, drills, compactors, levels, and measuring tools. Materials handled may include lumber, concrete forms, gravel, sand, cement, concrete, rebar, pipes, and other common construction materials. Job Classification: 47-2061.00 - Construction Laborers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Must be able to lift 75 lbs., repetitive movements, extensive pushing/pulling, extensive walking, frequent stooping, exposure to extreme temperatures. Number of Hours Per Week: 40 Work Schedule (Start/End time): 7:00 A.M. - 4:00 P.M.</t>
  </si>
  <si>
    <t>H-400-26184-076012</t>
  </si>
  <si>
    <t>Signature Lawn &amp; Landscape, LLC</t>
  </si>
  <si>
    <t>brian@signaturelawnozark.com</t>
  </si>
  <si>
    <t>+14174293552</t>
  </si>
  <si>
    <t>Duties include dormant season installation of trees, shrubs, or flowers in the appropriate design pattern. Unloading materials, digging holes for root systems, properly covering the holes and sometimes sod laying, planting grass seed or connecting irrigation. Leaf removal, lawn seed and straw, lawn aeration, planting shrubbery, digging, raking, and installation of mortarless segmental concrete masonry wall units. Workers may gather and remove litter, water seeded lawns, trees, plants and prune or trim trees, shrubs, or hedges. Workers may operate powered equipment, and drive vehicles to customer locations. Duties may include sod laying, mowing, watering plants &amp; lawns, plant transplanting, fertilizing, digging, raking, sprinkler installation. Employees will be digging trenches no larger than 6 - 12 inches deep and 6 - 12 inches wide with shovels and hand tools. These trenches are used to hold tubing used in the installation of irrigation systems. All the trimming/pruning will take place on the ground. The workers will not perform any pruning or trimming activities above ground level. The worker may transport other workers to and from job sites on occasion, however this will not be their primary job duty. Workers may operate powered landscaping equipment, including mowers, edgers, blowers, weed eaters, trimmers, small tractors, and similar landscaping equipment. Workers may drive company pickup trucks and similar light-duty company vehicles, to and from customer job sites. Workers may occasionally transport other workers to and from job sites; however, transportation of workers is not a primary job duty. Workers may also occasionally transport landscaping materials, tools, and equipment to and from job sites, including mulch, potted plants, shovels, rakes, mowers, blowers, and trimmers. No hazardous materials will be transported by workers. All vehicles and equipment operated weigh less than 26,000 pounds GVW, including any attached trailers or transported materials. Job Classification: 37-3011.00 - Landscaping and Groundskeeping Workers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Must be able to lift 50 lbs., repetitive movements, extensive pushing/pulling, extensive walking, frequent stooping, exposure to extreme temperatures. Valid drivers license required. Number of Hours Per Week: 40 Work Schedule (Start/End time): 7:00 A.M. - 4:00 P.M.</t>
  </si>
  <si>
    <t>H-400-26184-076007</t>
  </si>
  <si>
    <t>Silver Creek Enterprises, LLC</t>
  </si>
  <si>
    <t>Devon Kenefick</t>
  </si>
  <si>
    <t>WEST VIRGINIA</t>
  </si>
  <si>
    <t>ecaldwell@silvercreekwv.com</t>
  </si>
  <si>
    <t>+13045726793</t>
  </si>
  <si>
    <t>Duties to include but are not limited to: changing all bed linens and towels in guest rooms, cleaning kitchens, bathrooms, dusting, sweeping, vacuuming and mopping floors, and replacing all amenity items for incoming guests. Clean and tidy up common areas and launder soiled linens and towels. Job Classification: 37-2012.00 - Maids and Housekeeping Cleaners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Must lift/carry 50 lbs., when necessary. Saturday and Sunday work required, when necessary. Post-employment drug testing required of all workers in the position, both foreign and domestic, at random and upon accident. Number of Hours Per Week: 35 Work Schedule (Start/End time): 10:00 A.M. - 5:00 P.M.</t>
  </si>
  <si>
    <t>H-400-26184-075974</t>
  </si>
  <si>
    <t>Three Stripes Contracting, LLC</t>
  </si>
  <si>
    <t>threestripescontracting@gmail.com</t>
  </si>
  <si>
    <t>+15413015128</t>
  </si>
  <si>
    <t>Forestry Workers</t>
  </si>
  <si>
    <t>Duties may include: Under supervision, perform manual labor necessary to maintain and protect timber tracts and forests; plant seedlings to reforest timberlands,trapping,tree planting,tree marking,dig holes for seedlings,pack soil around seedlings with planting tool and ensure protective maintenance of seedlings by spraying/clearing/thinning/brush cutting surrounding vegetation. Perform other tasks including pre-commercial brush cutting saw work.UNDER THE DIRECTION OF FIRE SUPPRESSION OFFICERS OR FORESTRY TECHNICIANS: disposing of brush and digging lines/constructing fire breaks &amp; other related Forestry Workers activities as per SOC/OES 45-4011 (onetonline.org). Standard/Expected Schedule: Monday-Friday 7:00AM-2:00PM. Offering 35+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Optional, shared housing available at no cost to the worker. Job Classification: 45-4011.00 - Forest and Conservation Workers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Must be 18 due to government contracts. Must show proof of legal authorization to work in the United States. Drug/alcohol/tobacco free work zone. Must walk substantially (up to 15 miles/day), also stoop, bend while carrying a pack (up to 50lbs) thru rough terrain (non-trail). All applicants must be able, willing and qualified to perform work described and must be available for the entire period specified and work throughout all areas of intended employment. Work is performed outdoors, exposed to weather; must be capable of doing physically strenuous labor for long hours, occasionally in extreme heat or cold. Variable weather conditions apply; hours may fluctuate (+/-), possible downtime and/or overtime. Number of Hours Per Week: 35 Work Schedule (Start/End time): 7:00 A.M. - 2:00 P.M.</t>
  </si>
  <si>
    <t>H-400-26184-075979</t>
  </si>
  <si>
    <t>UNILOCK CHICACO, INC. - AURORA</t>
  </si>
  <si>
    <t>Cristina.Roman@unilock.com</t>
  </si>
  <si>
    <t>+16303017167</t>
  </si>
  <si>
    <t>Strapper/operator</t>
  </si>
  <si>
    <t>Operate or tend machines to prepare industrial or consumer products for storage or shipment. Operating and monitoring of the strapping equipment and the placement and count of the bundle tags. Perform running adjustments, repairs and maintenance to the strapping equipment. Identify all products and their packaging specifications including strap patterns, wood packaging requirements, in between layer sheets and top sheets. Ensure the quality and soundness of all strapped bundles. Perform final quality control check before product leaves the plant building. Attach the proper bundle tags. The worker performs running adjustments, repairs, and routine maintenance on strapping equipment used to secure products for handling, storage, or shipment. Specific tasks include: Monitoring strapping machines during operation to ensure proper strap alignment, tension, and sealing, adjusting machine settings such as strap tension, feed length, and heat/seal controls based on product size and packaging requirements, clearing equipment jams and removing misfed, twisted, or broken strapping materials, replacing consumable components such as strapping coils, guides, cutters, and sealing heads, inspecting machinery before, during, and after operation to identify wear, misalignment, or malfunction, performing routine preventative maintenance, including cleaning debris, lubricating moving parts, and tightening bolts, using basic hand tools such as calipers, wrenches, pliers, screwdrivers, and adjustment tools to perform minor repairs, assisting in maintaining continuous equipment operation by making real-time adjustments, reporting equipment malfunctions requiring advanced repair to supervisors, maintaining simple production and maintenance records. The tools and equipment the workers will use are automatic or semi-automatic Signode and Stonepack strapping machines, strapping materials (plastic or steel straps, buckles, seals),basic hand tools (wrenches, screwdrivers, pliers, cutters), cleaning materials and lubricants, personal protective equipment (gloves, safety glasses). Job Classification: 51-9111.00 - Packaging and Filling Machine Operators and Tenders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Must be able to lift &amp; reach 50 lbs., Requires the ability to perform work with hands and/or arms in the same repetitive motion above and below shoulder level, extensive pushing/pulling, extensive standing, frequent stooping. Number of Hours Per Week: 40 Work Schedule (Start/End time): 7:00 A.M. - 4:00 P.M.</t>
  </si>
  <si>
    <t>H-400-26184-075982</t>
  </si>
  <si>
    <t>Umpqua Valley Forestry, Inc.</t>
  </si>
  <si>
    <t>umpquavalleyforestry@outlook.com</t>
  </si>
  <si>
    <t>+15419153286</t>
  </si>
  <si>
    <t>Duties may include: Under supervision, perform manual labor necessary to maintain and protect timber tracts and forests; plant seedlings to reforest timberlands,trapping,tree marking,dig holes for seedlings,pack soil around seedlings with planting tool and ensure protective maintenance of seedlings by spraying/clearing/thinning surrounding vegetation. Perform other tasks including pre-commercial brush cutting saw work. UNDER THE DIRECTION OF FIRE SUPPRESSION OFFICERS OR FORESTRY TECHNICIANS: Fuels reduction for fire prevention via clearing, disposing of, and piling brush. Digging and construction of fuel breaks &amp; other related Forestry Worker activities as per SOC/OES 45-4011 (onetonline.org). Standard/Expected Schedule: Monday-Friday 7:00AM-3:00PM.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Optional, shared housing available at no cost to the worker. Job Classification: 45-4011.00 - Forest and Conservation Workers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Must be 18 due to state labor laws. Must show proof of legal authorization to work in the United States. Drug/alcohol/tobacco free work zone. Must walk substantially (up to 15 miles/day), also stoop, bend while carrying a pack (up to 50lbs) thru rough terrain (non-trail). All applicants must be able, willing and qualified to perform work described and must be available for the entire period specified and work throughout all areas of intended employment.Based on Employer's discretion/cost: Worker may have random drug/alcohol testing during employment: positive test/refusal to abide = dismissal. Work is performed outdoors, exposed to weather; must be capable of doing physically strenuous labor for long hours, occasionally in extreme heat or cold. Variable weather conditions apply; hours may fluctuate (+/-), possible downtime and/or overtime. Number of Hours Per Week: 40 Work Schedule (Start/End time): 7:00 A.M. - 3:00 P.M.</t>
  </si>
  <si>
    <t>H-400-26184-077073</t>
  </si>
  <si>
    <t>GDR Inc.</t>
  </si>
  <si>
    <t>info@rcsfun.com</t>
  </si>
  <si>
    <t>+18006789908</t>
  </si>
  <si>
    <t>Carnival Worker</t>
  </si>
  <si>
    <t>Perform a variety of attending duties at amusement or recreation facility. Sell and collect tickets/fees, assist patrons, operate/attend amusement booths, rides, and games, sell and prepare food. Simple Carnival type food is prepared using pre-frozen and pre-packaged items that are cooked/heated, and assembled such as corn dogs, hot dogs, sausages. Using proper safety precautions and sanitary measures operate large-volume cooking equipment, such as grills, deep-fat fryers, griddles or hot plates. Wash, cut, and prepare foods designated for cooking using knives or slicers. Following simple specified instructions: Set up-and take down the booth, this consists of opening the awnings and closing them. No tools are needed. Replenish food, paper products, or prizes as needed. Using basic cleaning supplies and following proper safety precautions and sanitary measures ensure all items are cleaned and stored in a specified safe manner for transportation. Check for any food service equipment not working properly and report to maintenance personnel for repair or replacement. For example, watch for damage to electrical cords and report issues as needed. Assist patrons in getting into rides, inform patron to fasten belt, bar, or other safety device. Ensure safety at all times. Operate the control console to start and stop the ride. Attend games by explaining the rules of the games, assist in playing the games (such as handing a patron a ball to throw or ring to toss), retrieving and providing prizes for winners at games. Hours, schedule and days vary – Sample Shift 10am to 7pm, 1-hour unpaid break; 35 to 48hrs./wk., extra hours may be required or available, may include weekends and holidays. Work needs (i.e., hours, days, schedule, location, and work positions) vary. Work needs subject to industry practice and are not guaranteed per day, per week, per schedule, per location, or per worker, e.g., rainouts, brief periods without scheduled events, event dates and hours set by agreement with sponsor and subject to change (based upon adverse weather, hours of operation, day of the week, attendance, size of the event, school schedules, amount of equipment in operation, staffing, etc.), and unforeseen cancellations. In the event of approved, overlapping events, work needs may cause workers to be adjusted. Pay varies based on location of each worksite, $12.97 to $17.81 an hour. No overtime is expected, but if work necessitating OT occurs, it will be paid in accordance with applicable Federal, State, and Local laws. May increase wages for performance/tenure or changes in market conditions. Pay received weekly, single workweek used for computing wages. Travel required and provided to work in Maricopa Co., AZ; Harris Co., TX; Miami Dade, Co., FL and Bergen Co., NJ. Travel provided to all events as per itinerary. Must commute from home at prior worksite to next worksite. Optional transportation to worksites provided at no cost to the worker. Work is performed outside in all weather. Employer will provide workers at no charge all tools, supplies, equipment and uniform required to perform job. Job Classification: 39-3091.00 - Amusement and Recreation Attendants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The job requires that the applicant be qualified, ready, willing, able, and available to perform during the entire employment at the designated worksites under adverse weather; to enter into and comply with employment contracts; to follow workplace rules; and to meet job performance standards. Must comply with grooming requirements and dress code. Subject to discharge for cause. Must be willing to work up to 7days/wk. Post-employment/post-injury or incident and reasonable suspicion drug test required, cost paid by employer and applied equally to all workers, US and foreign/H2B. Applicants must cooperate with and complete job application and interview truthfully. Number of Hours Per Week: 40 Work Schedule (Start/End time): 10:00 A.M. - 7:00 P.M.</t>
  </si>
  <si>
    <t>H-400-26184-076062</t>
  </si>
  <si>
    <t>Commercial Land Management Systems</t>
  </si>
  <si>
    <t>office@clmslandscapes.com</t>
  </si>
  <si>
    <t>+16148892001</t>
  </si>
  <si>
    <t>Laborer; Landscaping and Groundskeeping</t>
  </si>
  <si>
    <t>Landscape or maintain grounds of property using hand or power tools or equipment. Workers typically perform a variety of tasks, which may include any combination of the following: sod laying, mowing, trimming, planting, watering, fertilizing, digging, raking, sprinkler installation, and installation of mortarless segmental concrete masonry wall units. Job Classification: 37-3011.00 - Landscaping and Groundskeeping Workers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Must lift/carry 50 lbs., when necessary. Saturday and Sunday work required, when necessary. Post-hire post-accident drug testing required of foreign and domestic workers. Driver's license preferred but not required. Workers who obtain a driver's license may be asked to perform driving duties. Employer may offer more than the stated work hours depending on weather, business needs, and other conditions. Extreme heat, cold, rain, or drought may affect exact working hours. Number of Hours Per Week: 41 Work Schedule (Start/End time): 7:30 A.M. - 4:30 P.M.</t>
  </si>
  <si>
    <t>H-400-26184-076040</t>
  </si>
  <si>
    <t>Earth Care Inc.</t>
  </si>
  <si>
    <t>kimrisbon@earthcareinc.org</t>
  </si>
  <si>
    <t>+18124559258</t>
  </si>
  <si>
    <t>Landscape or maintain grounds of property using hand or power tools or equipment. Workers typically perform a variety of tasks, which may include any combination of the following: sod laying, mowing, trimming, planting, watering, fertilizing, digging, raking. Entry level; requires supervision. Job Classification: 37-3011.00 - Landscaping and Groundskeeping Workers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Must lift/carry 50 lbs., when necessary. Post-hire random drug testing required of foreign and domestic workers. Post-hire employment eligibility (e-Verify) check may be required of foreign and domestic workers based on contract requirements. Employer may offer more than the stated work hours depending on weather, business needs, and other conditions. Extreme heat, cold, rain, or drought may affect exact working hours. Number of Hours Per Week: 40 Work Schedule (Start/End time): 6:30 A.M. - 3:00 P.M.</t>
  </si>
  <si>
    <t>H-400-26184-076034</t>
  </si>
  <si>
    <t>Ecoscape Solutions Group, LLC - RI</t>
  </si>
  <si>
    <t>RHODE ISLAND</t>
  </si>
  <si>
    <t>ecoscapesolutionsmail@gmail.com</t>
  </si>
  <si>
    <t>+14018867000</t>
  </si>
  <si>
    <t>Landscape or maintain grounds of property using hand or power tools or equipment. Workers typically perform a variety of tasks, which may include any combination of the following: lay sod, mulch, mow, trim, plant, water, fertilize, dig, rake, remove trash/debris, and installation of mortarless segmental concrete masonry wall units. Maintain/repair tools/equipment as needed. Entry level; requires supervision. Job Classification: 37-3011.00 - Landscaping and Groundskeeping Workers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Must lift/carry 50 lbs., when necessary. Saturday and Sunday work required, when necessary. Employer-paid drug testing required of foreign and domestic workers prior to commencing work and post-hire upon suspicion of use and post-accident. Post-hire background checks may be required of foreign and domestic workers based on contract requirements. Post-hire motor vehicle record check required only of foreign and domestic workers who drive company vehicles (driving is not a requirement of all workers in the position). Employer may offer more than the stated work hours, depending on weather, business needs, and other conditions. Extreme heat, cold, rain, or drought may affect exact working hours. Number of Hours Per Week: 40 Work Schedule (Start/End time): 7:00 A.M. - 4:00 P.M.</t>
  </si>
  <si>
    <t>H-400-26184-076050</t>
  </si>
  <si>
    <t>Ecoscape Solutions Group, LLC_New Jersey</t>
  </si>
  <si>
    <t>alienlaborcert@dol.state.nj.us</t>
  </si>
  <si>
    <t>+19088505516</t>
  </si>
  <si>
    <t>H-400-26184-076031</t>
  </si>
  <si>
    <t>Evergreen Nursery, Inc.</t>
  </si>
  <si>
    <t>paul@mcmurraynursery.com</t>
  </si>
  <si>
    <t>Landscape or maintain grounds of property using hand or power tools or equipment. Workers typically perform a variety of tasks, which may include any combination of the following: sod laying, grading, seeding, mowing, trimming, planting, watering, fertilizing, digging, raking and assist with installation of mortarless segmental concrete masonry wall units. Entry level, requires supervision. Job Classification: 37-3011.00 - Landscaping and Groundskeeping Workers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Must lift/carry 50 lbs., when necessary. Saturday and Sunday work required, when necessary. Employer may offer more than the stated work hours depending on weather, business needs, and other conditions. Extreme heat, cold, rain, or drought may affect exact working hours. Number of Hours Per Week: 40 Work Schedule (Start/End time): 7:30 A.M. - 4:00 P.M.</t>
  </si>
  <si>
    <t>H-400-26184-076039</t>
  </si>
  <si>
    <t>Facility Services Company of Maryland, Inc.</t>
  </si>
  <si>
    <t>FacilityServiceEmployment@gmail.com</t>
  </si>
  <si>
    <t>Landscape or maintain grounds of property using hand or power tools or equipment. Workers typically perform a variety of tasks, which may include any combination of the following: sod laying, mowing, trimming, planting, watering, fertilizing, digging, raking. Entry level; requires supervision. Job Classification: 37-3011.00 - Landscaping and Groundskeeping Workers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Must lift/carry 50 lbs., when necessary. Employer-paid drug test required of foreign and domestic workers prior to commencing work. Employer may offer more than the stated work hours depending on weather, business needs, and other conditions. Extreme heat, cold, rain, or drought may affect exact working hours. Number of Hours Per Week: 40 Work Schedule (Start/End time): 7:00 A.M. - 3:30 P.M.</t>
  </si>
  <si>
    <t>H-400-26184-076032</t>
  </si>
  <si>
    <t>Fair Weather Growers, LLC</t>
  </si>
  <si>
    <t>CONNECTICUT</t>
  </si>
  <si>
    <t>28/12/2026</t>
  </si>
  <si>
    <t>billy@fairweathergrowers.com</t>
  </si>
  <si>
    <t>Market Attendant</t>
  </si>
  <si>
    <t>***RFI response*** Workers will assist with picking up products and supplies for the farm market. Duties include loading, unloading, moving, and stocking produce, flowers, plants, food products, and other goods sold by the farm market. Workers will travel to local farms, vendors, wholesalers, and businesses throughout the area of intended employment to pick up products and bring them back to the farm market for sale. Tools and equipment used may include pickup trucks, small cargo vans, hand trucks, carts, dollies, price tags, inventory sheets, storage bins, display baskets, produce crates, boxes, and shelving used to organize and stock products in the farm market. Workers may drive a Ford F-150 pickup or a Chevy Express Cargo Van to transport produce, flowers, plants, food products, locally made products, and other goods purchased from local farms, vendors, wholesalers, and businesses within the area of intended employment, back to the farm market. Workers may also transport produce crates, boxes, display baskets, storage bins, shelving, signs, and tables used in farm market operations. Workers will not transport passengers as a job duty. ***Original*** Employees will set up and break down produce displays and plant tables; stock fruits, vegetables, flowers, herbs, and other products; oversee fertilization and irrigation of the retail greenhouse; and build and maintain plant and product displays throughout the market and greenhouse. Workers will maintain cleanliness of market areas, walkways, greenhouse benches, and workspaces; assist with deliveries, including picking up orders and unloading shipments; and receive, store, and restock products and produce. Duties also include ordering products and produce, organizing retail greenhouse work areas, and maintaining knowledge of products. Employees will operate cash registers and credit card machines, accurately handle U.S. currency, and run registers at festival events and markets across multiple locations. Workers will attend various farmers markets and represent the company in a professional manner while selling produce and related products. Job Classification: 53-3033.00 - Light Truck Drivers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Requires three months of retail experience. Applicants must be able to lift and carry 4050 pounds on a repetitive basis and stand for extended periods of time. Applicants must be able to work efficiently in a fast-paced environment while maintaining organization, a positive attitude, and a friendly demeanor. Candidates should enjoy interacting with customers and be able to work effectively as part of a team. Job requires basic English literacy, basic math skills, and an understanding of U.S. currency. Work schedule includes 8.5 hours on Monday and Wednesday, 8:00 AM to 3:00 PM, 6.5 hours on Tuesday, 8:00 AM to 4:00 PM, 7.5 hours on Friday, 8:00 AM to 6:00 PM, and 9.5 hours on Saturday and Sunday. Applicants must possess or be able to obtain a valid U.S. drivers license within 30 days of hire. Employer may offer more than the stated work hours depending on weather, business needs, and other conditions. Extreme heat, cold, rain, or drought may affect exact working hours. Number of Hours Per Week: 50 Work Schedule (Start/End time): 9:00 A.M. - 6:00 P.M.</t>
  </si>
  <si>
    <t>H-400-26184-076051</t>
  </si>
  <si>
    <t>Falcon Truck and Trailer Repair LLC</t>
  </si>
  <si>
    <t>MAINE</t>
  </si>
  <si>
    <t>Amy@falcontransllc.com</t>
  </si>
  <si>
    <t>+12077601223</t>
  </si>
  <si>
    <t>Mechanic</t>
  </si>
  <si>
    <t>Repair and maintain a fleet of trucks and refrigerated trailers. Perform duties such as repair, reline, replace, and adjust brakes; inspect vehicles for damage and record findings so that necessary repairs can be made; replace trailer/truck roofs, side panels, hoods, side fairings, cross members; prime and paint repaired surfaces as needed, replace/maintain tires and lighting. Job Classification: 49-3031.00 - Bus and Truck Mechanics and Diesel Engine Specialists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12 Special Requirements: Requires twelve months of Mechanic experience. Must lift/carry 50 lbs., when necessary. Saturday work required, when necessary. Employer may offer more than the stated work hours depending on weather, business needs, and other conditions. Extreme heat, cold, rain, or drought may affect exact working hours. Number of Hours Per Week: 40 Work Schedule (Start/End time): 8:00 A.M. - 5:00 P.M.</t>
  </si>
  <si>
    <t>H-400-26184-076045</t>
  </si>
  <si>
    <t>Fancy Farms Market LLC</t>
  </si>
  <si>
    <t>28/06/2027</t>
  </si>
  <si>
    <t>info@fancyfarmsmarket.com</t>
  </si>
  <si>
    <t>Server</t>
  </si>
  <si>
    <t>***2nd RFI response*** Serving duties are performed as part of a customer service role within a counter service model, not table service. Customers place their orders and receive an order number. Once the food is prepared by the kitchen, the employee uses a speaker system to call out the order number, places the food on a tray, and sets the tray on a counter located outside a designated serving window. Customers then retrieve their food from this counter. At no point do employees deliver food directly to tables or engage in traditional table service. An electric range will be used to boil chicken, for use on pre-made sandwiches and salads. An electric countertop food warmer will be used to heat pre-made meat. A sandwich press will be used to press pre-made sandwiches. A hot dog warmer will be used to warm pre-made sausages. ***1st RFI response*** Workers will clean bathrooms using all-purpose cleaner to wipe down counters and mirror. Using a toilet brush and toilet cleaner, workers will scrub the toilet with the brush. Workers will use a broom to sweep floor. Workers will use a mop bucket and floor cleaner to mop the bathroom floor. After food supplies are delivered, worker will take necessary supplies from our dry storage and our refrigerator storage and organize in their work space to use to properly serve customers. Workers that are able to obtain a valid U.S. driver's license may drive company vehicles was mistakenly included in the job requirements, however, it is not applicable to the position and job duties. Workers will not be requested to or allowed to drive any company vehicle. ***Original*** Workers will perform a variety of kitchen and serving duties, including but not limited to: Washing and processing fruit/vegetables, using blenders to make milkshakes, and serving food to patrons. Workers will assist with prepping and assembling lunch items. Duties include cutting/chopping fruit/vegetables, cutting meat, and assembling prepackaged lunch items for sale. Workers may be asked to assist in preparing and packaging homemade sauces, jams, and jellies for individual sale. Workers will also perform cleaning duties such as washing dishes, cleaning bathrooms, and intaking and organizing supplies. Serving duties are performed as part of a customer service role within a counter service model, not table service. Customers place their orders and receive an order number. Once the food is prepared, the employee uses a speaker system to call out the order number, places the food on a tray, and sets the tray on a counter located outside a designated serving window. Customers then retrieve their food from this counter. At no point do employees deliver food directly to tables or engage in traditional table service. Entry level, supervision required. Job Classification: 35-2015.00 - Cooks, Short Order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Must lift/carry 50 lbs., when necessary. Saturday work required, when necessary. Post-hire drug testing required of foreign and domestic workers upon suspicion of use. Position requires the ability to read a menu and ticket order in English and be able to call out order numbers in English. Employer may offer more than the stated work hours depending on weather, business needs, and other conditions. Extreme heat, cold, rain, or drought may affect exact working hours. Number of Hours Per Week: 35 Work Schedule (Start/End time): 8:30 A.M. - 4:00 P.M.</t>
  </si>
  <si>
    <t>H-400-26184-076026</t>
  </si>
  <si>
    <t>Fortec Forestry Inc</t>
  </si>
  <si>
    <t>fortecforestry1@gmail.com</t>
  </si>
  <si>
    <t>+15417330557</t>
  </si>
  <si>
    <t>Duties may include: Maintain/develop woodlands: hand-plant seedlings/trees. Dig holes, plant seedling, secure seedling by packing soil, maintain seedling growth. Reduce competing vegetation: spray/inject herbicides and trim trees or other vegetation via clearing/disposing of brush, piling, and pruning &amp; other related Forestry Worker activities as per SOC/OES 45-4011 (onetonline.org). Standard/Expected Schedule: Monday-Friday 7:00AM-3:30PM.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Optional, shared housing available at no cost to the worker. Job Classification: 45-4011.00 - Forest and Conservation Workers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Must be 18 due to travel. Must show proof of legal authorization to work in the United States. Drug/alcohol/tobacco free work zone. Must walk substantially (up to 15 miles/day), also stoop, bend while carrying a pack (up to 80lbs) thru rough terrain (non-trail). All applicants must be able, willing and qualified to perform work described and must be available for the entire period specified and work throughout all areas of intended employment. Work is performed outdoors, exposed to weather; must be capable of doing physically strenuous labor for long hours, occasionally in extreme heat or cold. Variable weather conditions apply; hours may fluctuate (+/-), possible downtime and/or overtime. Number of Hours Per Week: 40 Work Schedule (Start/End time): 7:00 A.M. - 3:30 P.M.</t>
  </si>
  <si>
    <t>H-400-26184-076027</t>
  </si>
  <si>
    <t>Perform lesser tasks involving manual labor at concrete construction site. Prepare the site for placing of concrete by loading and unloading materials, running string-lines, cutting wood with skill saw, using a sledgehammer to pound stakes into the ground, digging and leveling the earth using shovels, pickaxes and plate-packers. Under supervision, lift, carry, fasten, strip, oil and set wooden and metal concrete forms using simple hand and power tools. Assist with placing concrete by using wheelbarrows, concrete rakes, shovels, walk-behind concrete vibrator. Clean up waste materials and caulk joints. Job Classification: 47-2061.00 - Construction Laborers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Some weekend work. Must be able to handle temperature extremes. Must be able to lift and carry 75 lbs. for 50 yards. Will travel to worksites within the area of intended employment. Number of Hours Per Week: 40 Work Schedule (Start/End time): 7:00 A.M. - 5:00 P.M.</t>
  </si>
  <si>
    <t>H-400-26184-076036</t>
  </si>
  <si>
    <t>Glebe Point Aquaculture, Inc.</t>
  </si>
  <si>
    <t>glebepointaquaculture@gmail.com</t>
  </si>
  <si>
    <t>+18044365671</t>
  </si>
  <si>
    <t>Perform manual labor to shuck oysters using knife to gently pry open live oysters. Wash silt and muck from fresh oysters. Insert blade using moderate force and vibration if necessary, at the hinge between the two valves. Twist the blade until there is a slight pop. Slide the blade upward to cut the adductor muscle which holds the shell closed, separating the meat from the shell. Inspect oysters and remove clackers, shells, unresponsive/dead oysters and dry, gummy, or smelly meat. Meat will be frozen, canned, packed or otherwise disposed of as deemed necessary. Clean and sanitize work areas, aprons and knives. These jobs involve routine processing, preparing, and cleaning oysters. Drug free workplace. Post-accident drug testing conducted at employer's expense. Job Classification: 51-3022.00 - Meat, Poultry, and Fish Cutters and Trimmers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Saturday and Sunday work required, when necessary. Post-hire drug testing required of foreign and domestic workers upon suspicion of use. Must lift/carry 50 lbs., when necessary. Must possess or be able to obtain U.S. driver's license within 30 days of hire. Number of Hours Per Week: 40 Work Schedule (Start/End time): 8:00 A.M. - 5:00 P.M.</t>
  </si>
  <si>
    <t>H-400-26184-076058</t>
  </si>
  <si>
    <t>Grassbusters, Inc.</t>
  </si>
  <si>
    <t>05/04/2027</t>
  </si>
  <si>
    <t>office@grassbusterswv.com</t>
  </si>
  <si>
    <t>+13046977790</t>
  </si>
  <si>
    <t>Winter Services Technician</t>
  </si>
  <si>
    <t>Employees will keep the outside of both private commercial buildings (office buildings, retail centers) and residential buildings in clean and orderly condition by removing snow from sidewalks, driveways, or parking areas, using snow blowers, leaf blowers, rakes, ice chippers, or salt spreaders; gather and empty trash and debris by hand or with a trash picker. Workers will perform cleaning of private properties including manual snow/ice/leaf removal from sidewalks, driveways, yards, or parking areas using snow shovels, snow blowers, leaf blowers, rakes, ice chippers, or salt spreaders; trash/debris pickup; fall/winter storm cleanup including clearing debris from grounds; and dormant tree/shrub winter pruning. Clean and perform routine maintenance on equipment and tools when not in use. Entry level; requires supervision. Job Classification: 37-3011.00 - Landscaping and Groundskeeping Workers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Must lift/carry 50 lbs., when necessary. Standard workweek is 4 days per week, Monday - Thursday. Work shifts/hours vary by day and work days vary by week to include Friday, Saturday, and Sunday, when necessary. Employer-paid drug testing required of all new workers, foreign and domestic workers prior to commencing work and post-hire upon suspicion of use and post-accident. Post-hire background check required of foreign and domestic workers. Employer may offer more than the stated work hours depending on weather, business needs, and other conditions. Extreme heat, cold, rain, or drought may affect exact working hours. Number of Hours Per Week: 40 Work Schedule (Start/End time): 8:00 A.M. - 7:00 P.M.</t>
  </si>
  <si>
    <t>H-400-26184-076033</t>
  </si>
  <si>
    <t>Green Impressions of Cleveland LLC</t>
  </si>
  <si>
    <t>lori@exscapedesigns.com</t>
  </si>
  <si>
    <t>+14402408508</t>
  </si>
  <si>
    <t>H-400-26184-076069</t>
  </si>
  <si>
    <t>Green Oak Garden Center, LLC</t>
  </si>
  <si>
    <t>greenoak@greenoakms.com</t>
  </si>
  <si>
    <t>+16019565017</t>
  </si>
  <si>
    <t>Warehouse Helper and Material Mover</t>
  </si>
  <si>
    <t>Clean, organize, and maintain back stock of fresh product. Move product as needed to support proper flower rotation across all coolers and store locations. Pull and stage flowers for the design room to keep work areas stocked. Cut and process flowers on shipment days; rotate product within all coolers as needed. Maintain safe and clean work areas by emptying trash (twice daily), sweeping floors, and addressing spills/debris as needed. Prepare receiving carts and staging areas in advance of flower deliveries. Assist with manually unloading inventory and supply trucks; move and store inventory in the correct locations. Support holiday operations by moving, staging, and preparing seasonal inventory. Deliver holiday inventory to client job sites and assist with carrying product, tools, and supplies into facilities. Assist with holiday job-site cleanup by removing debris and loose items as needed. Support operations by moving, staging, and preparing landscape inventory and plants. Deliver landscape inventory to client job sites as needed. Maintain the greenhouse facility (interior and exterior) by keeping areas clear of debris and returning containers, supplies, and tools to proper storage. Job Classification: 53-7062.00 - Laborers and Freight, Stock, and Material Movers, Hand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Must lift/carry 50 lbs., when necessary. Saturday and Sunday work required, when necessary. Employer-paid drug testing required of foreign and domestic workers prior to commencing work and post-hire post-accident. Driver's license required only of foreign and domestic workers who drive company vehicles (driving is not a requirement of all workers in the position). Employer may offer more than the stated work hours depending on weather, business needs, and other conditions. Extreme heat, cold, rain, or drought may affect exact working hours. Number of Hours Per Week: 40 Work Schedule (Start/End time): 8:00 A.M. - 4:30 P.M.</t>
  </si>
  <si>
    <t>H-400-26184-076021</t>
  </si>
  <si>
    <t>Green Thumb Excavation, LLC</t>
  </si>
  <si>
    <t>greenthumbllc@live.com</t>
  </si>
  <si>
    <t>+12704699000</t>
  </si>
  <si>
    <t>Duties include dormant season installation of trees, shrubs, or flowers in the appropriate design pattern. Unloading materials, digging holes for root systems, properly covering the holes and sometimes sod laying, planting grass seed or connecting irrigation. Leaf removal, lawn seed and straw, lawn aeration, planting shrubbery, digging, raking, and installation of mortarless segmental concrete masonry wall units. Workers may gather and remove litter, water seeded lawns, trees, plants and prune or trim trees, shrubs, or hedges. Workers may operate powered equipment, and drive vehicles to customer locations. Duties may include sod laying, mowing, watering plants &amp; lawns, plant transplanting, fertilizing, digging, raking, sprinkler installation. Employees will be digging trenches no larger than 6 - 12 inches deep and 6 - 12 inches wide with shovels and hand tools. These trenches are used to hold tubing used in the installation of irrigation systems. All the trimming/pruning will take place on the ground. The workers will not perform any pruning or trimming activities above ground level. The worker may transport other workers to and from job sites on occasion, however this will not be their primary job duty. Job Classification: 37-3011.00 - Landscaping and Groundskeeping Workers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3 months landscaping experience required. Must be able to lift 50 lbs., repetitive movements, extensive pushing/pulling, extensive walking, frequent stooping, exposure to extreme temperatures. Number of Hours Per Week: 40 Work Schedule (Start/End time): 7:00 A.M. - 4:00 P.M.</t>
  </si>
  <si>
    <t>H-400-26184-076029</t>
  </si>
  <si>
    <t>Gro Tec, Inc.</t>
  </si>
  <si>
    <t>danielpennington@penningtonseed.com</t>
  </si>
  <si>
    <t>Production Worker</t>
  </si>
  <si>
    <t>Workers typically perform a variety of tasks in production facility which may include any of the following: filling bags with fertilizers or pesticides or by holding bag in place under spout/chute as product fills the bag; labelling and sealing bags using hot air sealer that heats the bag to seal with no added fasteners/materials required; and packing bags into boxes or stacking bags onto pallets. Maintain clean work area and equipment. Entry level; requires supervision. Job Classification: 53-7064.00 - Packers and Packagers, Hand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Must lift/carry 50 lbs., when necessary. Saturday and Sunday work required, when necessary. Employer-paid drug testing required of foreign and domestic workers prior to commencing work and post-hire at random and post-accident. Post-hire background check and employment eligibility (e-Verify) check required of foreign and domestic workers. Mandatory safety training for all new hires foreign and domestic. We are an equal opportunity employer, and all qualified applicants will receive consideration for employment without regard to race, color, religion, sex, national origin, disability status, protected veteran status, sexual orientation, gender identity, or any other characteristic protected by law. Employer may offer more than the stated work hours depending on weather, business needs, and other conditions. Extreme heat, cold, rain, or drought may affect exact working hours. Number of Hours Per Week: 40 Work Schedule (Start/End time): 7:00 A.M. - 4:00 P.M.</t>
  </si>
  <si>
    <t>H-400-26184-076052</t>
  </si>
  <si>
    <t>Ground Crew, LLC</t>
  </si>
  <si>
    <t>services@mygroundcrew.net</t>
  </si>
  <si>
    <t>+18703362424</t>
  </si>
  <si>
    <t>Landscape or maintain grounds of property using hand or power tools or equipment. Workers typically perform a variety of tasks, which may include any combination of the following: sod laying, mowing, string trimming, edging, planting, watering, fertilizing, digging, mulching, raking, applying pesticide using a sprayer, and assisting with installation of drainage systems and sprinklers. Job Classification: 37-3011.00 - Landscaping and Groundskeeping Workers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Must lift/carry 50 lbs., when necessary. Saturday and Sunday work required, when necessary. Employer-paid drug testing required of foreign and domestic workers prior to commencing work and post-hire upon suspicion of use. Post-hire background check and employment eligibility (e-Verify) check required of foreign and domestic workers. Employer may offer more than the stated work hours depending on weather, business needs, and other conditions. Extreme heat, cold, rain, or drought may affect exact working hours. Number of Hours Per Week: 40 Work Schedule (Start/End time): 7:00 A.M. - 3:30 P.M.</t>
  </si>
  <si>
    <t>H-400-26184-076049</t>
  </si>
  <si>
    <t>Heaven and Earth Landscaping, LLC</t>
  </si>
  <si>
    <t>sheri.henderson@heavenandearthlandscaping.com</t>
  </si>
  <si>
    <t>+17048212407</t>
  </si>
  <si>
    <t>Laborer, Landscape &amp; Irrigation</t>
  </si>
  <si>
    <t>Duties may include: Lawn maintenance of grounds/property using hand or power tools/equipment. Duties: lay sod, mow, trim, plant, water, fertilize, dig, rake, assist with sprinkler installation, mulch, shrub prune, weed, mulch, aerate, grub and remove thatch. Provide proper upkeep of sidewalks, driveways, parking lots, fountains, planters, burial sites, or other grounds features &amp; other related Laborer, Landscape &amp; Irrigation activities as per SOC/OES 37-3011 (onetonline.org). Standard/Expected Schedule: Monday-Friday 7:30AM-5:30PM.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Job Classification: 37-3011.00 - Landscaping and Groundskeeping Workers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Must be 18 due to state labor laws. Must show proof of legal authorization to work in the United States. Drug/alcohol/tobacco free work zone. Perform physical activities: such as lift, balance, walk, stoop, handle, position, move, manipulate materials use static strength to exert maximum muscle force to lift, push, pull, carry objects up to 50lbs. All applicants must be able, willing and qualified to perform work described and must be available for the entire period specified and work throughout all areas of intended employment. Work is performed outdoors, exposed to weather; must be capable of doing physically strenuous labor for long hours, occasionally in extreme heat or cold. Variable weather conditions apply; hours may fluctuate (+/-), possible downtime and/or overtime. Number of Hours Per Week: 40 Work Schedule (Start/End time): 7:30 A.M. - 5:30 P.M.</t>
  </si>
  <si>
    <t>H-400-26184-076063</t>
  </si>
  <si>
    <t>Hermes Landscaping, Inc.</t>
  </si>
  <si>
    <t>08/12/2026</t>
  </si>
  <si>
    <t>h2b@hermeslandscaping.com</t>
  </si>
  <si>
    <t>+19138882400</t>
  </si>
  <si>
    <t>Landscape Laborer/trimmer/pruner</t>
  </si>
  <si>
    <t>Combination role to include landscaping, tree groundsman and above ground tree trimming/pruning duties. Landscaping duties may include any combination of the following: cultivating lawns or gardens, planting, digging, irrigating, mowing, trimming, pruning, and fertilizing of growing plants and grasses, mulching, raking, seeding, sod laying, spraying, weeding and opening/filling shallow trenches for irrigation/watering systems. Use hand/power tools and equipment such as edgers, blowers and mowers to landscape and maintain grounds of property. Assist with sprinkler installation and maintenance (use hand shovel to dig trench approximately 6 inches wide and 12 inches deep, after lines are laid). Load/unload/move trees, shrubs, and landscape materials; remove debris; maintain, clean and repair equipment/tools when not in use. Using sophisticated climbing and rigging techniques, cut away dead or excess branches from trees or shrubs to maintain right-of-way for roads, sidewalks, or utilities, or to improve appearance, health, and value of tree. Prune or treat trees or shrubs using handsaws, hand pruners, clippers, and power pruners. Works off the ground in the tree canopy and may use truck-mounted lifts. May assist with tree trimming/pruning by cleaning up debris on ground using a woodchipper and chainsaw. Work is generally completed during the period specified for the requested workers. Job Classification: 37-3013.00 - Tree Trimmers and Pruners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Must lift/carry 50 lbs., when necessary. Saturday and Sunday work required, when necessary. Post-hire upon suspicion of use and post-accident drug testing required of foreign and domestic workers. Additional post-hire background check and drug testing required of all new foreign and domestic workers if worker is driving a company vehicle (driving is not a requirement of all workers in the position). Post-hire background checks may also be required of foreign and domestic workers based on contract requirements. Employer may offer more than the stated work hours depending on weather, business needs, and other conditions. Extreme heat, cold, rain, or drought may affect exact working hours. Number of Hours Per Week: 35 Work Schedule (Start/End time): 7:30 A.M. - 3:15 P.M.</t>
  </si>
  <si>
    <t>H-400-26184-076060</t>
  </si>
  <si>
    <t>Provide labor for landscape services which may include any combination of the following: cultivating lawns or gardens, planting, digging, irrigating, mowing, trimming, pruning and fertilizing of growing plants and grasses, mulching, raking, seeding, sod laying, spraying, weeding and opening/filling shallow trenches for irrigation/watering systems. Use hand/power tools and equipment such as edgers, blowers and mowers to landscape and maintain grounds of property. Assist with sprinkler installation and maintenance (use hand shovel to dig trench approximately 6 inches wide and 12 inches deep, after lines are laid). Load/unload/move trees, shrubs and landscape materials; remove debris; maintain, clean and repair equipment/tools when not in use. Work is generally completed during the period of time specified for the requested workers. Job Classification: 37-3011.00 - Landscaping and Groundskeeping Workers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Must lift/carry 50 lbs., when necessary. Saturday and Sunday work required, when necessary. Post-hire upon suspicion of use and post-accident drug testing required of foreign and domestic workers. Additional post-hire background check and drug testing required of all new foreign and domestic workers if worker is driving a company vehicle (driving is not a requirement of all workers in the position). Post-hire background checks may also be required of foreign and domestic workers based on contract requirements. Employer may offer more than the stated work hours depending on weather, business needs, and other conditions. Extreme heat, cold, rain, or drought may affect exact working hours. Number of Hours Per Week: 35 Work Schedule (Start/End time): 7:30 A.M. - 3:15 P.M.</t>
  </si>
  <si>
    <t>H-400-26184-076028</t>
  </si>
  <si>
    <t>JB Landscape Installations LLC</t>
  </si>
  <si>
    <t>11/12/2026</t>
  </si>
  <si>
    <t>jblawn54@gmail.com</t>
  </si>
  <si>
    <t>+18503283576</t>
  </si>
  <si>
    <t>Duties include dormant season installation of trees, shrubs, or flowers in the appropriate design pattern. Unloading materials, digging holes for root systems, properly covering the holes and sometimes sod laying, planting grass seed or connecting irrigation. Leaf removal, lawn seed and straw, lawn aeration, planting shrubbery, digging, raking, and installation of mortarless segmental concrete masonry wall units. Workers may gather and remove litter, water seeded lawns, trees, plants and prune or trim trees, shrubs, or hedges. Workers may operate powered equipment, and drive vehicles to customer locations. Duties may include sod laying, mowing, watering plants &amp; lawns, plant transplanting, fertilizing, digging, raking, sprinkler installation. Employees will be digging trenches no larger than 6 - 12 inches deep and 6 - 12 inches wide with shovels and hand tools. These trenches are used to hold tubing used in the installation of irrigation systems. All the trimming/pruning will take place on the ground. The workers will not perform any pruning or trimming activities above ground level. The worker may transport other workers to and from job sites on occasion, however this will not be their primary job duty. Workers may operate powered landscaping equipment, including mowers, edgers, blowers, weed eaters, trimmers, small tractors, and similar landscaping equipment. Workers may drive company vehicles, including Ford F450, Chevrolet Silverado 1500 and 2500, to and from customer job sites. Workers may occasionally transport other workers to and from job sites; however, transportation of workers is not a primary job duty. Workers may also occasionally transport landscaping materials, tools, and equipment to and from job sites, including mulch, potted plants, shovels, rakes, mowers, blowers, and trimmers. No hazardous materials will be transported by workers. All vehicles and equipment operated weigh less than 26,000 pounds GVW, including any attached trailers or transported materials. Job Classification: 37-3011.00 - Landscaping and Groundskeeping Workers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Must have valid drivers license. Must be able to lift 40 lbs., repetitive movements, extensive pushing/pulling, extensive walking, frequent stooping, exposure to extreme temperatures. Number of Hours Per Week: 40 Work Schedule (Start/End time): 7:00 A.M. - 4:00 P.M.</t>
  </si>
  <si>
    <t>H-400-26184-076065</t>
  </si>
  <si>
    <t>Lawn Tech Landscaping, Inc.</t>
  </si>
  <si>
    <t>lawn.tech463@gmail.com</t>
  </si>
  <si>
    <t>+17705833797</t>
  </si>
  <si>
    <t>Duties include dormant season installation of trees, shrubs, or flowers in the appropriate design pattern. Unloading materials, digging holes for root systems, properly covering the holes and sometimes sod laying, planting grass seed or connecting irrigation. Leaf removal, lawn seed and straw, lawn aeration, planting shrubbery, digging, raking, and installation of mortarless segmental concrete masonry wall units. Workers may gather and remove litter, water seeded lawns, trees, plants and prune or trim trees, shrubs, or hedges. Workers may operate powered equipment, and drive vehicles to customer locations. Duties may include sod laying, mowing, watering plants &amp; lawns, plant transplanting, fertilizing, digging, raking, sprinkler installation. Employees will be digging trenches no larger than 6 - 12 inches deep and 6 - 12 inches wide with shovels and hand tools. These trenches are used to hold tubing used in the installation of irrigation systems. All the trimming/pruning will take place on the ground. The workers will not perform any pruning or trimming activities above ground level. The worker may transport other workers to and from job sites on occasion, however this will not be their primary job duty. Job Classification: 37-3011.00 - Landscaping and Groundskeeping Workers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Must be able to lift 30 lbs., repetitive movements, extensive pushing/pulling, extensive walking, frequent stooping, exposure to extreme temperatures. Number of Hours Per Week: 40 Work Schedule (Start/End time): 7:00 A.M. - 4:00 P.M.</t>
  </si>
  <si>
    <t>H-400-26184-076057</t>
  </si>
  <si>
    <t>Ledesma Forestry Services, LLC</t>
  </si>
  <si>
    <t>01/08/2027</t>
  </si>
  <si>
    <t>ledesmaforestryservicesllc@gmail.com</t>
  </si>
  <si>
    <t>+19039523337</t>
  </si>
  <si>
    <t>Duties may include: Maintain and develop woodlands: Plant pine trees and seedlings by hand or machine. Sort, lift, &amp; transport trees and seedlings, then select optimum planting location to meet shade/soil requirements. Site preparation: reduce competing vegetation by trimming, thinning, clearing, piling slash, and herbicide application &amp; other related Forestry Worker activities as per SOC/OES 45-4011 (onetonline.org). Standard/Expected Schedule: Monday-Friday 7:00AM-3:30PM.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Optional, shared housing available at no cost to the worker. Job Classification: 45-4011.00 - Forest and Conservation Workers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Must be 18 due to travel. Must show proof of legal authorization to work in the United States. Drug/alcohol/tobacco free work zone. Must walk substantially (up to 15 miles/day), also stoop, bend while carrying a pack (up to 50lbs) thru rough terrain (non-trail). All applicants must be able, willing and qualified to perform work described and must be available for the entire period specified and work throughout all areas of intended employment. Work is performed outdoors, exposed to weather; must be capable of doing physically strenuous labor for long hours, occasionally in extreme heat or cold. Variable weather conditions apply; hours may fluctuate (+/-), possible downtime and/or overtime. Number of Hours Per Week: 40 Work Schedule (Start/End time): 7:00 A.M. - 3:30 P.M.</t>
  </si>
  <si>
    <t>H-400-26184-076041</t>
  </si>
  <si>
    <t>Lotus Lawncare &amp; Services LLC</t>
  </si>
  <si>
    <t>25/11/2026</t>
  </si>
  <si>
    <t>joann@lotuslawncare.com</t>
  </si>
  <si>
    <t>+18164836746</t>
  </si>
  <si>
    <t>Duties include sod laying, mowing, trimming/pruning trees, shrubs and plants, installation of plants, trees and shrubbery, watering plants &amp; lawns, plant transplanting, fertilizing, digging, raking, sprinkler installation, and installation of mortarless segmental concrete masonry wall units. Workers may gather and remove litter and operate powered equipment and drive company vehicles to customer locations. All vehicles to be driven are company pick-up trucks. The Gross Vehicle Weight capacity of the vehicle to be driven in the job duties is less than 26,000 lbs. Powered equipment used will include lawn mowers, weed eaters, and trimmers. All the trimming/pruning will take place on the ground. The workers will not perform any pruning or trimming activities above ground level. The worker may transport other workers to and from job sites on occasion, however this will not be their primary job duty. Workers may occasionally transport other workers to and from job sites; however, transportation of workers is not a primary job duty. Workers may also occasionally transport landscaping materials, tools, and equipment to and from job sites, including mulch, potted plants, shovels, rakes, mowers, blowers, trimmers, weed eaters, small tractors, and similar landscaping equipment. No hazardous materials will be transported by workers. All vehicles and equipment operated weigh less than 26,000 pounds GVW, including any attached trailers or transported materials. Job Classification: 37-3011.00 - Landscaping and Groundskeeping Workers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Must be able to lift 50 pounds; repetitive movements, extensive pushing/pulling, extensive walking, frequent stooping, exposure to extreme temperatures, 3 months experience required. Number of Hours Per Week: 40 Work Schedule (Start/End time): 7:00 A.M. - 4:00 P.M.</t>
  </si>
  <si>
    <t>H-400-26184-076054</t>
  </si>
  <si>
    <t xml:space="preserve">M.A. Patout &amp; Son, Limited </t>
  </si>
  <si>
    <t>lacevedo@mapatout.com</t>
  </si>
  <si>
    <t>+13372764592</t>
  </si>
  <si>
    <t>Maintenance Helper - Assists in making repairs, installations, and maintenance on various machinery used in the processing of sugar during Louisiana Harvest Season. Supply workers with tools. Maintain clean work areas and sugar processing equipment. Assist in calibration of machinery. Twelve (12) temporary, full-time positions; willing to work 7 days a week, varying 12 hour shifts (12pm-12am; 12am-12pm); $15.44/Hour; $23.16/Hour; 84 hrs a week during harvest season, 40 hrs a week after harvest season until the end of the contract, overtime paid after 48 hours during harvesting and after 40 hours after harvesting; Overtime Hours will vary and are not guaranteed; worker will have 30 minutes paid lunch break during the workday; job to begin on 10/01/26 and to end on 06/30/27. A minimum of 3 months experience required in job offered. No minimum education required. No on the job training provided. A single workweek will be used in computing wages due. Wages are paid bi-weekly. Optional on-site lodging offered at no charge to workers hired in this temporary seasonal position. All Local, State and Federal Taxes will be deducted from the employee’s paycheck as required by law. The employer guarantees to offer work for hours equal to at least three-fourths of the workdays in each 12-week period of the total employment period. The 12-week period will begin the first workday after the worker's arrival or the advertised contractual first date of need, whichever is later. As applicable, daily transportation to and from worksite will be provided by employer. The worker will be reimbursed for transportation and subsistence expenses from the place from which the worker has come to work for the employer, whether in the U.S. or abroad, to the place of employment by check by the employer upon completion of 50% of the period of employment covered by the job order or earlier, if appropriate. This includes at least $16.78 per day during travel to a maximum of $68.00 per day with receipts. Also, the employer will provide or pay for the worker's outbound transportation and subsistence if the worker completes the job order period or is dismissed early. The employer will reimburse the H-2B worker in the first workweek the full cost for all visa, visa processing, border crossing, and other related fees, including those mandated by the government. Employer will provide or reimburse inbound and outbound transportation and daily subsistence costs for corresponding U.S. workers who are not reasonably able to return to their residence within the same workday. Employment offered by M.A. Patout &amp; Son, Ltd. located at 3512 J. Patout Burns Rd., Jeanerette, LA 70544 in Iberia Parish, Louisiana. The employer will provide workers at no charge all tools, supplies, and equipment required to perform the job. Please send resumes or contact Mr. Luis Acevedo at M.A. Patout &amp; Son, LLC, 3512 J. Patout Burns Rd., Jeanerette, LA 70544 Tel: 337-276-4592 Email: lacevedo@mapatout.com. Applicants may inquire about the job opportunity or send resumes/applications directly to Iberia American Job Center, 609 Ember Drive, New Iberia, LA 70560; Tel: 337-347-9537; Email info@acadianaworkforce.org; reference job order#: 1641085. Job Classification: 49-9098.00 - Helpers--Installation, Maintenance, and Repair Workers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Number of Hours Per Week: 84 Work Schedule (Start/End time): 12:00 P.M. - 12:00 A.M.</t>
  </si>
  <si>
    <t>H-400-26184-076044</t>
  </si>
  <si>
    <t>MCKINLEY GARDEN CENTER</t>
  </si>
  <si>
    <t>INDIANA</t>
  </si>
  <si>
    <t>mckinleygardencenter@gmail.com</t>
  </si>
  <si>
    <t>+15742550114</t>
  </si>
  <si>
    <t>Duties include dormant season installation of trees, shrubs, or flowers in the appropriate design pattern. Unloading materials, digging holes for root systems, properly covering the holes and sometimes sod laying, planting grass seed or connecting irrigation. Leaf removal, lawn seed and straw, lawn aeration, planting shrubbery, digging, raking, and installation of mortarless segmental concrete masonry wall units. Workers may gather and remove litter, water seeded lawns, trees, plants and prune or trim trees, shrubs, or hedges. Workers may operate powered equipment, and drive vehicles to customer locations. Duties may include sod laying, mowing, watering plants &amp; lawns, plant transplanting, fertilizing, digging, raking, sprinkler installation. Employees will be digging trenches no larger than 6 - 12 inches deep and 6 - 12 inches wide with shovels and hand tools. These trenches are used to hold tubing used in the installation of irrigation systems. All the trimming/pruning will take place on the ground. The workers will not perform any pruning or trimming activities above ground level. The worker may transport other workers to and from job sites on occasion, however this will not be their primary job duty. Workers may operate powered landscaping equipment, including mowers, edgers, blowers, weed eaters, trimmers, small tractors, and similar landscaping equipment and may walk behind bobcat machines. Workers may drive company vehicles, including a Ford pickup truck, to and from customer job sites. Workers may occasionally transport other workers to and from job sites and to grocery stores; however, transportation of workers is not a primary job duty. Workers may also occasionally transport landscaping materials, tools, and equipment to and from job sites, including mulch, potted plants, shovels, rakes, mowers, blowers, and trimmers. No hazardous materials will be transported by workers. All vehicles and equipment operated weigh less than 26,000 pounds GVW, including any attached trailers or transported materials. Job Classification: 37-3011.00 - Landscaping and Groundskeeping Workers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Must be able to lift 50 lbs., repetitive movements, extensive pushing/pulling, extensive walking, frequent stooping, exposure to extreme temperatures. Number of Hours Per Week: 40 Work Schedule (Start/End time): 7:00 A.M. - 4:00 P.M.</t>
  </si>
  <si>
    <t>H-400-26184-076038</t>
  </si>
  <si>
    <t>MILOSI LAWN, LLC</t>
  </si>
  <si>
    <t>tkizer@milosi.com</t>
  </si>
  <si>
    <t>+16152640577</t>
  </si>
  <si>
    <t>Duties include dormant season installation of trees, shrubs, or flowers in the appropriate design pattern. Unloading materials, digging holes for root systems, properly covering the holes and sometimes sod laying, planting grass seed or connecting irrigation. Leaf removal, lawn seed and straw, lawn aeration, planting shrubbery, digging, raking, and installation of mortarless segmental concrete masonry wall units. Workers may gather and remove litter, water seeded lawns, trees, plants and prune or trim trees, shrubs, or hedges. Workers may operate powered equipment, and drive vehicles to customer locations. Duties may include sod laying, mowing, watering plants &amp; lawns, plant transplanting, fertilizing, digging, raking, sprinkler installation. Employees will be digging trenches no larger than 6 - 12 inches deep and 6 - 12 inches wide with shovels and hand tools. These trenches are used to hold tubing used in the installation of irrigation systems. All the trimming/pruning will take place on the ground. The workers will not perform any pruning or trimming activities above ground level. The worker may transport other workers to and from job sites on occasion, however this will not be their primary job duty. Workers may operate powered landscaping equipment, including mowers, edgers, blowers, weed eaters, trimmers, small tractors, and similar landscaping equipment. Workers may drive company pickup trucks and similar light-duty company vehicles to and from customer job sites. Workers may occasionally transport other workers to and from job sites; however, transportation of workers is not a primary job duty. Workers may also occasionally transport landscaping materials, tools, and equipment to and from job sites, including mulch, potted plants, shovels, rakes, mowers, blowers, and trimmers. No hazardous materials will be transported by workers. All vehicles and equipment operated weigh less than 26,000 pounds GVW, including any attached trailers or transported materials. Job Classification: 37-3011.00 - Landscaping and Groundskeeping Workers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A valid drivers license is required. Must be able to lift 50 lbs. repetitive movements, extensive pushing/pulling, extensive walking, frequent stooping, exposure to extreme temperatures, 3 months landscaping experience required, Post Hire Drug screen at employers expense. Number of Hours Per Week: 40 Work Schedule (Start/End time): 7:00 A.M. - 4:00 P.M.</t>
  </si>
  <si>
    <t>H-400-26184-076056</t>
  </si>
  <si>
    <t>MLD Group LLC</t>
  </si>
  <si>
    <t>jnmiranda1226@gmail.com</t>
  </si>
  <si>
    <t>Ground Person</t>
  </si>
  <si>
    <t>Maintain grounds of property using hand or power tools or equipment. Workers typically perform a variety of tasks, which may include any combination of the following: leaf removal, leaf raking, fall clean up, mulching, edging, and shrub pruning. Use leaf blowers to clear walkways and pedestrian areas. Entry level; requires supervision. Job Classification: 37-3011.00 - Landscaping and Groundskeeping Workers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Must lift/carry 50 lbs., when necessary. Saturday and Sunday work required, when necessary. Post-hire post-accident drug testing required of foreign and domestic workers. Post-hire background check required of foreign and domestic workers. Employer may offer more than the stated work hours depending on weather, business needs, and other conditions. Extreme heat, cold, rain, or drought may affect exact working hours. Number of Hours Per Week: 40 Work Schedule (Start/End time): 7:30 A.M. - 4:00 P.M.</t>
  </si>
  <si>
    <t>H-400-26184-076047</t>
  </si>
  <si>
    <t xml:space="preserve">MR GARDENS, LLC </t>
  </si>
  <si>
    <t>recruit1@417mrg.com</t>
  </si>
  <si>
    <t>+14174432648</t>
  </si>
  <si>
    <t>Duties: Duties include dormant season installation of trees, shrubs, or flowers in the appropriate design pattern. Unloading materials, digging holes for root systems, properly covering the holes and sometimes sod laying, planting grass seed or connecting irrigation. Leaf removal, lawn seed and straw, lawn aeration, planting shrubbery, digging, raking, and installation of mortarless segmental concrete masonry wall units. Workers may gather and remove litter, water seeded lawns, trees, plants and prune or trim trees, shrubs, or hedges. Workers may operate powered equipment, and drive vehicles to customer locations. Duties may include sod laying, mowing, watering plants &amp; lawns, plant transplanting, fertilizing, digging, raking, sprinkler installation. Employees will be digging trenches no larger than 6 - 12 inches deep and 6 - 12 inches wide with shovels and hand tools. These trenches are used to hold tubing used in the installation of irrigation systems. All the trimming/pruning will take place on the ground. The workers will not perform any pruning or trimming activities above ground level. The worker may transport other workers to and from job sites on occasion, however this will not be their primary job duty. Workers may operate powered landscaping equipment, including mowers, edgers, blowers, weed eaters, trimmers, chain saws, small tractors, and similar landscaping equipment. Workers may drive company vehicles, including Ford F150, Ford F250, Ford F350, Chevrolet Silverado, Dodge Durango, GMC 1500, GMC 2500, GMC 3500, to and from customer job sites. Workers may occasionally transport other workers to and from job sites; however, transportation of workers is not a primary job duty. Workers may also occasionally transport landscaping materials, tools, and equipment to and from job sites, including mulch, potted plants, shovels, rakes, mowers, blowers, and trimmers. No hazardous materials will be transported by workers. All vehicles and equipment operated weigh less than 26,000 pounds GVW, including any attached trailers or transported materials. Job Classification: 37-3011.00 - Landscaping and Groundskeeping Workers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Must be able to lift 80 lbs., repetitive movements, extensive pushing/pulling, extensive walking, frequent stooping, exposure to extreme temperatures. Number of Hours Per Week: 40 Work Schedule (Start/End time): 7:00 A.M. - 4:00 P.M.</t>
  </si>
  <si>
    <t>H-400-26184-076066</t>
  </si>
  <si>
    <t>MTH INSTALLATION LLC</t>
  </si>
  <si>
    <t>mthlandscaping@gmail.com</t>
  </si>
  <si>
    <t>+18104047607</t>
  </si>
  <si>
    <t>Duties include dormant season installation of trees, shrubs, or flowers in the appropriate design pattern. Unloading materials, digging holes for root systems, properly covering the holes and sometimes sod laying, planting grass seed or connecting irrigation. Leaf removal, lawn seed and straw, lawn aeration, planting shrubbery, digging, raking, and installation of mortarless segmental concrete masonry wall units. Workers may gather and remove litter, water seeded lawns, trees, plants and prune or trim trees, shrubs, or hedges. Workers may operate powered equipment, and drive vehicles to customer locations. Duties may include sod laying, mowing, watering plants &amp; lawns, plant transplanting, fertilizing, digging, raking, sprinkler installation. Employees will be digging trenches no larger than 6 - 12 inches deep and 6 - 12 inches wide with shovels and hand tools. These trenches are used to hold tubing used in the installation of irrigation systems. All the trimming/pruning will take place on the ground. The workers will not perform any pruning or trimming activities above ground level. The worker may transport other workers to and from job sites on occasion, however this will not be their primary job duty. Workers may operate powered landscaping equipment, including mowers, edgers, blowers, weed eaters, trimmers, small tractors, and similar landscaping equipment. Workers may drive company pickup trucks and similar light-duty company vehicles, to and from customer job sites. Workers may occasionally transport other workers to and from job sites; however, transportation of workers is not a primary job duty. Workers may also occasionally transport landscaping materials, tools, and equipment to and from job sites, including mulch, potted plants, shovels, rakes, mowers, blowers, and trimmers. No hazardous materials will be transported by workers. All vehicles and equipment operated weigh less than 26,000 pounds GVW, including any attached trailers or transported materials. Job Classification: 37-3011.00 - Landscaping and Groundskeeping Workers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Must be able to lift 50 lbs., repetitive movements, extensive pushing/pulling, extensive walking, frequent stooping, exposure to extreme temperatures. 3 months experience required. In accordance with applicable Michigan state law, Earned Sick Time Act 338, employers are required to provide earned sick time to their employees. The amount of paid sick leave provided may vary depending on the size of the business. Number of Hours Per Week: 40 Work Schedule (Start/End time): 7:00 A.M. - 4:00 P.M.</t>
  </si>
  <si>
    <t>H-400-26184-076068</t>
  </si>
  <si>
    <t>Marrows, LLC</t>
  </si>
  <si>
    <t>marrowsllc@outlook.com</t>
  </si>
  <si>
    <t>+18435108744</t>
  </si>
  <si>
    <t>Groundskeeper/laborer</t>
  </si>
  <si>
    <t>Duties may include: Under supervision, load or unload materials. Clear, pickup or remove litter and debris by hand. Mow using power mowers. Prune or trim trees, shrubs, or hedges using trimmers, shears and occasionally chainsaws. Dig holes, lay rock, sweep, and rake pinestraw/mulch. Lay pinestraw to enrich soil, prevent erosion and loss of topsoil to retain a consistent temperature of protection during winter &amp; other related Groundskeeper/Laborer activities as per SOC/OES 37-3011 (onetonline.org). Standard/Expected Schedule: Monday-Friday 7:30AM-3:00PM.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Job Classification: 37-3011.00 - Landscaping and Groundskeeping Workers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Must be 18 due to state labor laws. Must show proof of legal authorization to work in the United States. Drug/alcohol/tobacco free work zone. Perform physical activities: such as lift, balance, walk, stoop, handle, position, move, manipulate materials use static strength to exert maximum muscle force to lift, push, pull, carry objects up to 40lbs. All applicants must be able, willing and qualified to perform work described and must be available for the entire period specified and work throughout all areas of intended employment. Work is performed outdoors, exposed to weather; must be capable of doing physically strenuous labor for long hours, occasionally in extreme heat or cold. Variable weather conditions apply; hours may fluctuate (+/-), possible downtime and/or overtime. Number of Hours Per Week: 40 Work Schedule (Start/End time): 7:30 A.M. - 3:00 P.M.</t>
  </si>
  <si>
    <t>H-400-26184-076064</t>
  </si>
  <si>
    <t>McCaughey Brothers Landscaping, Inc.</t>
  </si>
  <si>
    <t>maria.lopez@terrenlandscapes.com</t>
  </si>
  <si>
    <t>+16102844400</t>
  </si>
  <si>
    <t>Landscape or maintain grounds of property using hand or power tools or equipment. Workers must be able to perform a variety of tasks without close supervision, which may include any combination of the following: sod laying, mowing, trimming, planting, watering, fertilizing, digging, raking, assists with installation of mortarless segmental concrete masonry wall units. Must exercise independent judgment; may be asked to demonstrate tasks to other employees but position does not include supervision of other workers. Job Classification: 37-3011.00 - Landscaping and Groundskeeping Workers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Must lift/carry 50 lbs., when necessary. Saturday and Sunday work required, when necessary. Employer-paid drug testing required of foreign and domestic workers prior to commencing work and post-hire at random, upon suspicion of use, and post-accident. Post-hire background check required of foreign and domestic workers. Employer may offer more than the stated work hours, depending on weather, business needs, and other conditions. Extreme heat, cold, rain, or drought may affect exact working hours. Number of Hours Per Week: 40 Work Schedule (Start/End time): 6:30 A.M. - 3:00 P.M.</t>
  </si>
  <si>
    <t>H-400-26184-076055</t>
  </si>
  <si>
    <t>Mercier Orchards, Inc.</t>
  </si>
  <si>
    <t>apply@mercierorchards.com</t>
  </si>
  <si>
    <t>+17066323411</t>
  </si>
  <si>
    <t>Retail Support Staff</t>
  </si>
  <si>
    <t>Support market staff to meet the demand of customers. Return items to proper storage areas and assist in refilling shelves. Lift boxes, pails, and baskets of fruit and product. Recommend, select, and help to locate merchandise. Prepare merchandise for purchase and prepare for sale. Label, arrange, and display merchandise to promote sales. Restock Inventory in market, produce, winery, and bakery including supplies. Maintain a clean and safe work place, floors and work spaces. Pick up trash, empty garbage containers and replace trash bags, breakdown empty boxes. Locate shopping carts and return to proper storage areas. Workers may recommend merchandise by identifying available items that match the customer's stated request, assist in selecting from available inventory, and help locate merchandise within the store or warehouse, when asked. Recommendations are limited to directing customers to products based on availability, location, and the customer's expressed preferences. This duty is incidental to the primary stocking and order-filling functions of the position and represents a minimal portion of overall job duties. Workers prepare merchandise for sale by receiving, unpacking, sorting, labeling, tagging, stocking, bagging, organizing, and displaying products in designated inventory or sales areas. Workers may also inspect merchandise for damage, replenish stock, and ensure products are properly arranged. These duties do not include sales, cashiering, or customer service functions. Job Classification: 53-7065.00 - Stockers and Order Fillers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Must be able to push, pull and lift up to 40 lbs. Walk, stand, bend, work with hands and fingers for long periods of time. Perform repetitive work. Exposure to extreme temperatures. Must be able to work in a fast passed environment. Maintain high standards of quality control, hygiene, health and safety and security procedures. Saturday and Sunday work required, when necessary. Employer-paid drug testing required of foreign and domestic workers prior to commencing work and post-hire at random, upon suspicion of use, and post-accident. Post-hire employment eligibility (e-Verify) check required of foreign and domestic workers. Employer may offer more than the stated work hours depending on weather, business needs, and other conditions. Number of Hours Per Week: 40 Work Schedule (Start/End time): 8:00 A.M. - 4:00 P.M.</t>
  </si>
  <si>
    <t>H-400-26184-076067</t>
  </si>
  <si>
    <t>NEWLAWN VENTURES LLC</t>
  </si>
  <si>
    <t>12/12/2026</t>
  </si>
  <si>
    <t>brian@newlawn.com</t>
  </si>
  <si>
    <t>+18106144994</t>
  </si>
  <si>
    <t>Lawn Sprinkler Installation Worker</t>
  </si>
  <si>
    <t>Working as a team of 4-7 people to fully install automatic lawn irrigation systems from start to finish. Your team is responsible for getting the underground sprinkler system (pipe, heads, wire, valves, and fittings) installed in the ground, functioning correctly, tested, &amp; adjusted for proper coverage. Dig holes and trenches no more than 1 foot deep using hand tools as needed to get sprinkler heads, tees, valves, and drainage pipes into the proper location and depth below the ground's surface. Install &amp; hook up plastic tees, sprinkler heads, and drainpipe using hand tools. Install appropriate nozzles into sprinkler heads. Backfill and compact holes &amp; trenches after fitting &amp; heads are installed. Rake &amp; hand- tamp the areas we messed up in the lawn to make it look as clean and smooth as it did upon arrival. Load debris from the Jobsite that we caused. Use a leaf blower to clear off sidewalks. Stock our organized install truck with parts from our shop. Unload garbage and lawn debris from the previous day's job into the dumpster Job Classification: 37-3011.00 - Landscaping and Groundskeeping Workers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Must be able to lift 50 lbs., repetitive movements, extensive walking, extensive pushing/pulling, frequent stooping, exposure to extreme temperatures. No prior experience required but outside landscape or lawn sprinkler work experience preferred. Valid Driver's License Required. In accordance with applicable Michigan state law, Earned Sick Time Act 338, employers are required to provide earned sick time to their employees. The amount of paid sick leave provided may vary depending on the size of the business. Number of Hours Per Week: 40 Work Schedule (Start/End time): 7:00 A.M. - 4:00 P.M.</t>
  </si>
  <si>
    <t>H-400-26184-076061</t>
  </si>
  <si>
    <t xml:space="preserve">OAKLEY PROPERTIES, LLC </t>
  </si>
  <si>
    <t>ry@ryoungblood.com</t>
  </si>
  <si>
    <t>+18106144894</t>
  </si>
  <si>
    <t>Duties include dormant season installation of trees, shrubs, or flowers in the appropriate design pattern. Unloading materials, digging holes for root systems, properly covering the holes and sometimes sod laying, planting grass seed or connecting irrigation. Leaf removal, lawn seed and straw, lawn aeration, planting shrubbery, digging, raking, and installation of mortarless segmental concrete masonry wall units. Workers may gather and remove litter, water seeded lawns, trees, plants and prune or trim trees, shrubs, or hedges. Workers may operate powered equipment, and drive vehicles to customer locations. Duties may include sod laying, mowing, watering plants &amp; lawns, plant transplanting, fertilizing, digging, raking, sprinkler installation. Employees will be digging trenches no larger than 6 - 12 inches deep and 6 - 12 inches wide with shovels and hand tools. These trenches are used to hold tubing used in the installation of irrigation systems. All the trimming/pruning will take place on the ground. The workers will not perform any pruning or trimming activities above ground level. The worker may transport other workers to and from job sites on occasion, however this will not be their primary job duty. Workers may operate powered landscaping equipment, including mowers, edgers, blowers, weed eaters, trimmers, small tractors, and similar landscaping equipment. Workers may drive company vehicles, including Ford F250 trucks, to and from customer job sites. Workers may occasionally transport other workers to and from job sites; however, transportation of workers is not a primary job duty. Workers may also occasionally transport landscaping materials, tools, and equipment to and from job sites, including mulch, potted plants, shovels, rakes, mowers, blowers, and trimmers. No hazardous materials will be transported by workers. All vehicles and equipment operated weigh less than 26,000 pounds GVW, including any attached trailers or transported materials. Job Classification: 37-3011.00 - Landscaping and Groundskeeping Workers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Post Hire Drug screen at employers expense. Must be able to lift 50 lbs., repetitive movements, extensive pushing/pulling, extensive walking, frequent stooping, exposure to extreme temperatures. In accordance with applicable Michigan state law, Earned Sick Time Act 338, employers are required to provide earned sick time to their employees. The amount of paid sick leave provided may vary depending on the size of the business. Number of Hours Per Week: 40 Work Schedule (Start/End time): 7:00 A.M. - 4:00 P.M.</t>
  </si>
  <si>
    <t>H-400-26184-076042</t>
  </si>
  <si>
    <t>OOLTEWAH NURSERY  &amp; LANDSCAPING CO INC</t>
  </si>
  <si>
    <t>H2B@Ooltewahnursery.com</t>
  </si>
  <si>
    <t>+14232389775</t>
  </si>
  <si>
    <t>Duties include dormant season installation of trees, shrubs, or flowers in the appropriate design pattern. Unloading materials, digging holes for root systems, properly covering the holes and sometimes sod laying, planting grass seed or connecting irrigation. Leaf removal, lawn seed and straw, lawn aeration, planting shrubbery, digging, raking, and installation of mortarless segmental concrete masonry wall units. Workers may gather and remove litter, water seeded lawns, trees, plants and prune or trim trees, shrubs, or hedges. Workers may operate powered equipment, and drive vehicles to customer locations. Duties may include sod laying, mowing, watering plants &amp; lawns, plant transplanting, fertilizing, digging, raking, sprinkler installation. Employees will be digging trenches no larger than 6 - 12 inches deep and 6 - 12 inches wide with shovels and hand tools. These trenches are used to hold tubing used in the installation of irrigation systems. All the trimming/pruning will take place on the ground. The workers will not perform any pruning or trimming activities above ground level. The worker may transport other workers to and from job sites on occasion, however this will not be their primary job duty. Workers may operate powered landscaping equipment, including mowers, edgers, blowers, weed eaters, trimmers, small tractors, and similar landscaping equipment. Workers may drive company vehicles, including Ford F250, Ford F450 Ford F550 trucks, to and from customer job sites. Workers may occasionally transport other workers to and from job sites; however, transportation of workers is not a primary job duty. Workers may also occasionally transport landscaping materials, tools, and equipment to and from job sites, including mulch, potted plants, shovels, rakes, mowers, blowers, and trimmers. No hazardous materials will be transported by workers. All vehicles and equipment operated weigh less than 26,000 pounds GVW, including any attached trailers or transported materials. Job Classification: 37-3011.00 - Landscaping and Groundskeeping Workers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3 months experience required, Post Hire Drug screen at employers expense. Must be able to lift 50 lbs., repetitive movements, extensive pushing/pulling, extensive walking, frequent stooping, exposure to extreme temperatures. Number of Hours Per Week: 40 Work Schedule (Start/End time): 7:00 A.M. - 4:00 P.M.</t>
  </si>
  <si>
    <t>H-400-26184-076046</t>
  </si>
  <si>
    <t>Ott Concrete Construction LLC</t>
  </si>
  <si>
    <t>kara@ottconcrete.com</t>
  </si>
  <si>
    <t>+14026946761</t>
  </si>
  <si>
    <t>Perform tasks involving physical labor at construction sites. May operate hand and power tools of all types: air hammers, earth tampers, cement mixers, small mechanical hoists, surveying and measuring equipment, and a variety of other equipment and instruments. May clean and prepare sites, dig trenches, set braces to support the sides of excavations, erect scaffolding, and clean up rubble, debris, and other waste materials. May assist other craft workers. Workers may assist other craft workers, by preparing worksites; gathering, loading, unloading, and transporting tools, materials, and equipment; cleaning work areas; and performing manual labor tasks associated with construction projects. Workers may use common hand tools and basic power tools including shovels, rakes, wheelbarrows, brooms, drills, compactors, levels, and measuring tools. Materials handled may include lumber, concrete forms, gravel, sand, cement, concrete, rebar, pipes, and other common construction materials. Workers may operate basic measuring and layout equipment, including measuring tapes, laser levels, grade rods, and string lines, to assist supervisors and other construction personnel with measuring distances, checking grades, and marking work areas. Job Classification: 47-2061.00 - Construction Laborers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Must be able to lift up to 100 pounds, repetitive movements, extensive pushing/pulling, extensive walking, frequent stooping, exposure to extreme temperatures, driver's license preferred, 3 months experience required. Number of Hours Per Week: 40 Work Schedule (Start/End time): 7:00 A.M. - 4:00 P.M.</t>
  </si>
  <si>
    <t>H-400-26184-076023</t>
  </si>
  <si>
    <t>PLR Enterprises, LLC</t>
  </si>
  <si>
    <t>info@proirrigation.us</t>
  </si>
  <si>
    <t>+14122647003</t>
  </si>
  <si>
    <t>Maintain irrigation systems, including winterizing systems. Duties include installing and maintaining lawn irrigation systems used to water lawns, trees, or plants, gather and remove litter, digs &amp; fills trenches with hand tools, cuts tubing to desired length using hand tools. Employees will be digging trenches no larger than 6 - 12 inches deep and 6 - 12 inches wide with shovels and hand tools. These trenches are used to hold tubing used in the installation of irrigation systems. Use irrigation methods to adjust the amount of water consumption and to prevent waste. Job Classification: 37-3011.00 - Landscaping and Groundskeeping Workers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Must be able to lift 50 lbs., repetitive movements, extensive pushing/pulling, extensive walking, frequent stooping, exposure to extreme temperatures. Number of Hours Per Week: 40 Work Schedule (Start/End time): 7:00 A.M. - 4:00 P.M.</t>
  </si>
  <si>
    <t>H-400-26184-076043</t>
  </si>
  <si>
    <t>+18702220060</t>
  </si>
  <si>
    <t>H-400-26184-076053</t>
  </si>
  <si>
    <t>Quality Turf Farms LC</t>
  </si>
  <si>
    <t>N. Mullinax</t>
  </si>
  <si>
    <t>sales@qualityturf.com</t>
  </si>
  <si>
    <t>+19793455392</t>
  </si>
  <si>
    <t>Installing landscape materials and doing maintenance on commercial and highway contracts. Prep work site, dig trenches for installation, laying sod, for commercial and residential property. Pick up and remove debris and trash on work site. Workers will use shovels that are 6 inches wide and 3 inches wide to dig trenches between 6-12 inches deep. The trenches are dug for the installation of laying sod. Job Classification: 37-3011.00 - Landscaping and Groundskeeping Workers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Drug test paid for by employer, post hire. Number of Hours Per Week: 35 Work Schedule (Start/End time): 7:00 A.M. - 3:00 P.M.</t>
  </si>
  <si>
    <t>H-400-26184-076035</t>
  </si>
  <si>
    <t>Quicksilver Contracting Company</t>
  </si>
  <si>
    <t>Dawn Forrester</t>
  </si>
  <si>
    <t>jamie@quicksilvercontracting.com</t>
  </si>
  <si>
    <t>+15413301930</t>
  </si>
  <si>
    <t>Duties may include: Workers will perform tree planting using hoedads, shovels, dibble bars, &amp;/or work on an auger crew as either: scalper; augerman; or planter. Work includes selecting plantable spot, clearing debris from spot, opening hole for seedling, planting and filling/firming soil around roots, smoothing the ground surface. Work includes helping with the handling of seedlings, bagging up seedlings, dipping seedlings in water, clean-up of job site. Hand cutting work for woody fuels reduction, density management, habitat improvement and similar Forestry treatments. Chainsaw and hand tools are used. Slash piling work may also be performed &amp; other related Forestry Worker activities as per SOC/OES 45-4011 (onetonline.org). Standard/Expected Schedule: Monday-Friday 6:00AM-3:00PM.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Optional, shared housing available at no cost to the worker. Job Classification: 45-4011.00 - Forest and Conservation Workers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Must be 18 due to government contracts. Must show proof of legal authorization to work in the United States. Drug/alcohol/tobacco free work zone. Must walk substantially (up to 15 miles/day), also stoop, bend while carrying a pack (up to 50lbs) thru rough terrain (non-trail). All applicants must be able, willing and qualified to perform work described and must be available for the entire period specified and work throughout all areas of intended employment. Work is performed outdoors, exposed to weather; must be capable of doing physically strenuous labor for long hours, occasionally in extreme heat or cold. Variable weather conditions apply; hours may fluctuate (+/-), possible downtime and/or overtime. Number of Hours Per Week: 40 Work Schedule (Start/End time): 6:00 A.M. - 3:00 P.M.</t>
  </si>
  <si>
    <t>H-400-26184-076037</t>
  </si>
  <si>
    <t>Reliable Irrigation &amp; Drainage</t>
  </si>
  <si>
    <t>jared@reliablelawncareandlandscaping.com</t>
  </si>
  <si>
    <t>+17312176139</t>
  </si>
  <si>
    <t>Duties include dormant season installation of trees, shrubs, or flowers in the appropriate design pattern. Unloading materials, digging holes for root systems, properly covering the holes and sometimes sod laying, planting grass seed or connecting irrigation. Leaf removal, lawn seed and straw, lawn aeration, planting shrubbery, digging, raking, and installation of mortarless segmental concrete masonry wall units. Workers may gather and remove litter, water seeded lawns, trees, plants and prune or trim trees, shrubs, or hedges. Workers may operate powered equipment, and drive vehicles to customer locations. Duties may include sod laying, mowing, watering plants &amp; lawns, plant transplanting, fertilizing, digging, raking, sprinkler installation. Employees will be digging trenches no larger than 6 - 12 inches deep and 6 - 12 inches wide with shovels and hand tools. These trenches are used to hold tubing used in the installation of irrigation systems. All the trimming/pruning will take place on the ground. The workers will not perform any pruning or trimming activities above ground level. The worker may transport other workers to and from job sites on occasion, however this will not be their primary job duty. Workers may operate powered landscaping equipment, including mowers, edgers, blowers, weed eaters, trimmers, small tractors, and similar landscaping equipment. Workers may drive company pickup trucks and similar light-duty company vehicles, to and from customer job sites. Workers may occasionally transport other workers to and from job sites; however, transportation of workers is not a primary job duty. Workers may also occasionally transport landscaping materials, tools, and equipment to and from job sites, including mulch, potted plants, shovels, rakes, mowers, blowers, and trimmers. No hazardous materials will be transported by workers. All vehicles and equipment operated weigh less than 26,000 pounds GVW, including any attached trailers or transported materials. Job Classification: 37-3011.00 - Landscaping and Groundskeeping Workers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Must have valid drivers license. Must be able to lift 80 lbs. repetitive movements, extensive pushing/pulling, extensive walking, extensive standing, frequent stooping, exposure to extreme temperatures, 3 months landscaping maintenance, hardscape installation &amp; irrigation experience required. Number of Hours Per Week: 40 Work Schedule (Start/End time): 7:00 A.M. - 4:00 P.M.</t>
  </si>
  <si>
    <t>H-400-26184-076030</t>
  </si>
  <si>
    <t>Roka Enterprises, LLC</t>
  </si>
  <si>
    <t>roka.enterprises@yahoo.com</t>
  </si>
  <si>
    <t>+12082776979</t>
  </si>
  <si>
    <t>Landscaping Row Worker</t>
  </si>
  <si>
    <t>Duties may include: Spray fertilizer, herbicide, insecticide on shrubs, trees, foliage, use hand/auto sprayers &amp; other related Landscaping Row Worker activities as per SOC/OES 37-3011 (onetonline.org). Standard/Expected Schedule: Monday-Friday 7:00AM-5:00PM. Offering 35+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Optional, shared housing available at no cost to the worker. Job Classification: 37-3011.00 - Landscaping and Groundskeeping Workers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Must be 18 due to travel. Must show proof of legal authorization to work in the United States. Drug/alcohol/tobacco free work zone. Perform physical activities: such as lift, balance, walk, stoop, handle, position, move, manipulate materials use static strength to exert maximum muscle force to lift, push, pull, carry objects up to 50lbs. All applicants must be able, willing and qualified to perform work described and must be available for the entire period specified and work throughout all areas of intended employment.Based on Employer's discretion/cost: Worker may have random drug/alcohol testing during employment: positive test/refusal to abide = dismissal. Work is performed outdoors, exposed to weather; must be capable of doing physically strenuous labor for long hours, occasionally in extreme heat or cold. Variable weather conditions apply; hours may fluctuate (+/-), possible downtime and/or overtime. Number of Hours Per Week: 35 Work Schedule (Start/End time): 7:00 A.M. - 5:00 P.M.</t>
  </si>
  <si>
    <t>H-400-26184-076022</t>
  </si>
  <si>
    <t>South Florida Lighting Team, LLC</t>
  </si>
  <si>
    <t>resume@miamichristmaslights.com</t>
  </si>
  <si>
    <t>Unpack, inspect and test holiday decorations, replace them if needed. Hang decors on exterior landscape and buildings. Maintain/service decor that break. Remove decor, inspect and pack for storage. Involves bending, stooping, lifting and stretching on a frequent basis; and may involve working in inclement weather, including rain. Job Classification: 49-9099.00 - Installation, Maintenance, and Repair Workers, All Other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1 Special Requirements: Requires one months of previous commercial holiday decorating experience. Must lift/carry 50 lbs., when necessary. Must be able to climb ladders up to 40 feet and reach high areas. Saturday and Sunday work required, when necessary. Post-hire random drug testing required of foreign and domestic workers. Post-hire background check required of foreign and domestic workers. Must obtain a valid drivers licenses within the first 60 days of employment. Drive manual transmission trucks. Must be available to work all shifts: 6:00AM-2:00PM; 2:00PM-9:00PM; 6:00PM-6:00AM. Employer may offer more than the stated work hours depending on weather, business needs, and other conditions. Extreme heat, cold, rain, or drought may affect exact working hours. Number of Hours Per Week: 35 Work Schedule (Start/End time): 6:00 A.M. - 2:00 P.M.</t>
  </si>
  <si>
    <t>H-400-26184-076020</t>
  </si>
  <si>
    <t>Sterling Sugars LLC</t>
  </si>
  <si>
    <t>dlange@sterlingsugars.com</t>
  </si>
  <si>
    <t>+13378280620</t>
  </si>
  <si>
    <t>Maintenance Helpers - 26 temporary full-time positions available in Franklin, LA from 10/01/2026 to 06/30/2027 at Sterling Sugars, LLC. Assists in making repairs, installations, and maintenance on various machinery used in the processing of sugar during harvest season. Supply workers with tools. Maintain clean work areas and sugar processing equipment. Assist in calibration of machinery. $15.44/Hour; $23.16/Hour OT based on single workweek (paid every 2 weeks by check). 48 hrs/wk. Overtime Hours will vary and are not guaranteed. The employer will make all deductions from the worker's paycheck required by law. Optional on-site lodging offered to each temporary seasonal employee hired in the position at no charge. Shift work: will be required to work various 8 hr. shifts (7am to 3pm; 3pm-11pm; 11pm-7am). Must be willing to work 7 days per week during grinding. During downseason: 7am-4pm; 40hrs/wk. No minimum education required. No on-the-job training provided. Sterling will provide U.S. workers at least the same benefits, wages, and working conditions that will be offered or provided to H-2B workers. Sterling will provide to the worker, without charge or deposit charge, all tools, supplies, and equipment required to perform the duties assigned. The employer guarantees to offer employment equal to at least three-fourths (3/4's) of the workdays of each 12-week period of the total employment period; and, if the guarantee is not met, the employer will pay the worker what the worker would have earned if the employer had offered the guaranteed number of days. The 12-week period will begin the first workday after the worker's arrival or the advertised contractual first date of need, whichever is later. The worker will be reimbursed for transportation and subsistence expenses from the place from which the worker has come to work for the employer, whether in the U.S. or abroad, to the place of employment by check by the employer upon completion of 50% of the period of employment covered by the job order or earlier, if appropriate. This includes at least $16.78 per day during travel to a maximum of $68.00 per day with receipts. Also, the employer will provide or pay for the worker's outbound transportation and subsistence if the worker completes the job order period or is dismissed early. The employer will reimburse the H-2B worker in the first workweek the full cost for all visa, visa processing, border crossing, and other related fees, including those mandated by the government. Sterling will provide or reimburse inbound and outbound transportation and daily subsistence costs for corresponding U.S. workers who are not reasonably able to return to their residence within the same workday. As applicable, daily transportation to and from worksite will be provided by employer. Three (3) months' employment experience in job offered in a raw sugar mill is the minimum required. Higher pay may be available to workers with extensive experience. Please send resumes or contact Mr. Jason Burke at Sterling Sugars LLC, 611 Irish Bend Road, Franklin, LA 70538 Tel: 337-828-0620 Fax: 337-828-1757 Email: dlange@sterlingsugars.com. Applicants may inquire about the job opportunity or send resumes/applications directly to St. Mary American Job Center, 600 Main Street, Franklin, LA 70538; Tel: 337-347-9648; Email: info@acadianaworkforce.org; reference job order#: 1641081. Job Classification: 49-9098.00 - Helpers--Installation, Maintenance, and Repair Workers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Number of Hours Per Week: 48 Work Schedule (Start/End time): 7:00 A.M. - 3:00 P.M.</t>
  </si>
  <si>
    <t>H-400-26184-076024</t>
  </si>
  <si>
    <t>Sylvan Gardens, LLC</t>
  </si>
  <si>
    <t>info@sylvangardenslandscape.com</t>
  </si>
  <si>
    <t>+14123667945</t>
  </si>
  <si>
    <t>Landscape or maintain grounds of property using hand or power tools or equipment. Workers typically perform a variety of tasks, which may include any combination of the following: sod laying, mowing, trimming, planting, watering, fertilizing, digging, raking, pruning, weeding. Job Classification: 37-3011.00 - Landscaping and Groundskeeping Workers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Must lift/carry 50 lbs., when necessary. Saturday work required, when necessary. Post-hire post-accident drug testing required of foreign and domestic workers. Employer may offer more than the stated work hours, depending on weather, business needs, and other conditions. Extreme heat, cold, rain, or drought may affect exact working hours. Number of Hours Per Week: 40 Work Schedule (Start/End time): 7:00 A.M. - 3:30 P.M.</t>
  </si>
  <si>
    <t>H-400-26184-076059</t>
  </si>
  <si>
    <t>THE CLUB AT BAREFOOT BEACH INC.</t>
  </si>
  <si>
    <t>agne@theclubatbarefootbeach.com</t>
  </si>
  <si>
    <t>+12399920024</t>
  </si>
  <si>
    <t>1. Greet members, customers and guests 2. Set up the dining areas, take and place orders 3. Carry trays and plates, serving food and beverages 4. Clean and clear tables. 5. Assist in other guest service activities for members, customers and guests related to food and beverage which may occur in non-traditional settings such as a poolside area, beach cabana, or private event space. These tasks include: • Delivering and presenting food and drink orders to guests at outdoor dining locations, such as poolside lounge chairs or beachside tables. • Setting up and breaking down temporary service stations for beverage or appetizer service during special events. • Refilling drinks or clearing used items at informal or mobile dining locations (e.g., outdoor receptions or cabana setups). • Assisting with the preparation and placement of basic service ware (napkins, utensils, glassware) at buffet or bar service areas. • Monitoring assigned outdoor tables for additional guest needs and coordinating with kitchen or bar staff for fulfillment. Job Classification: 35-3031.00 - Waiters and Waitresses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6 Special Requirements: AT LEAST SIX (6) MONTHS OF EXPERIENCE IN A FINE-DINING OR HIGH-VOLUME RESTAURANT, RESORT, OR PRIVATE CLUB OR HOSPITALITY SETTING WHICH REQUIRES STRONG CUSTOMER SERVICE. BASED ON COMPANY POLICY IN EFFECT AT THE TIME OF HIRING, APPLICANTS MAY BE REQUIRED TO PASS A PRE-EMPLOYMENT DRUG TEST; THIS INCLUDES DOMESTIC AND H2B VISA EMPLOYEES IN SEASONAL OR FULL-TIME AND ANNUAL POSITIONS AND IS APPLIED TO ALL APPLICANTS REGARDLESS OF THEIR NATIONAL ORIGIN, RACE, GENDER. Number of Hours Per Week: 35 Work Schedule (Start/End time): 7:00 A.M. - 2:00 P.M.</t>
  </si>
  <si>
    <t>H-400-26184-076048</t>
  </si>
  <si>
    <t>Transport Leasing Company LLP</t>
  </si>
  <si>
    <t>Jose Gomez-Urquiza</t>
  </si>
  <si>
    <t>10/04/2027</t>
  </si>
  <si>
    <t>kari.franks@transystemllc.com</t>
  </si>
  <si>
    <t>+14064547645</t>
  </si>
  <si>
    <t>Truck Driver</t>
  </si>
  <si>
    <t>Drive heavy and tractor-trailer trucks, belly dump trailers (singles and doubles) with a capacity of at least 26,001 pounds Gross Vehicle Weight (GVW) transporting agricultural commodity (mostly sugar beets). Regularly climb up and down, on, into and out of tractors and trailers, up to five (5) feet high. Must be able to read, write, and speak English sufficiently to perform job duties, including reading traffic signs, communicating with the public and law enforcement, and completing required reports in accordance with DOT and FMCSA requirements. Job Classification: 53-3032.00 - Heavy and Tractor-Trailer Truck Drivers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6 Special Requirements: Class A Commercial Driver's License or equivalent Must be able to sit and remain alert while driving for 12-hour day and/or night shifts as needed. Must pass background check and drug testing. English proficiency required to perform job duties. Number of Hours Per Week: 48 Work Schedule (Start/End time): 1:00 P.M. - 1:00 A.M.</t>
  </si>
  <si>
    <t>H-400-26184-076077</t>
  </si>
  <si>
    <t>ALPHA SERVICES LLC</t>
  </si>
  <si>
    <t>Virginia Muilenburg</t>
  </si>
  <si>
    <t>jobs@alphaservices.us</t>
  </si>
  <si>
    <t>+12087650880</t>
  </si>
  <si>
    <t>All applicants must be able, willing, qualified perform work described in this job description &amp; be available entire period specified. Duties may include: reforest, protect timber tracts, sow seed; lift seedlings from nursery beds, place shade materials beside seedlings, net/ tube (place small plastic tubes over seedlings); mulch, post-plant hand scalp (remove excess vegetation around seedlings); apply repellent or fertilizer to seedlings &amp; other forestry related activities as per Forestry &amp; Land Management General Forestry Laborer activities as per SOC/OES 45-4011 (onetonline.org). Perform physical activities: lift, balance, walk, stoop, handle, position, move, manipulate materials use static strength-exert max muscle force to lift, push, pull, or carry objects up to 50lbs. Attn to detail; complete work tasks timely. Outdoors, exposed to weather; must be capable physical strenuous labor long hrs, occasionally in extreme heat/cold. Variable weather conditions apply; hrs may fluctuate (+/-), possible downtime/ OT. Possible daily/wkly hrs: 7AM-3:30 PM. M-F 35-40 plus/hrs wkly, includes lunch break. No min. edu. No exp. reqd. OJT. Transport provided, designated locale to job site at no cost to worker. Employer provided tools, supplies/equipment w/o charge/deposit. The employer’s optional housing is provided at no cost to worker. Job Classification: 45-4011.00 - Forest and Conservation Workers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Must show proof of legal authority to work in U.S. Drug, Alcohol, Tobacco free work zone. Must be 18 yrs age due travel. Number of Hours Per Week: 35 Work Schedule (Start/End time): 7:00 A.M. - 3:30 P.M.</t>
  </si>
  <si>
    <t>H-400-26184-076073</t>
  </si>
  <si>
    <t>Boulder Contracting, LLC</t>
  </si>
  <si>
    <t>josie@bouldercontracting.net</t>
  </si>
  <si>
    <t>+13195055845</t>
  </si>
  <si>
    <t>Concrete forming, pouring, puddling and spreading. Raking and shoveling rock and dirt. Stripping concrete forms and stacking lumber and materials. Cleaning tools and materials. Cleaning and organizing job trailers. Covering subgrade and concrete with burlap and blankets. Job Classification: 47-2061.00 - Construction Laborers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Must be able to carry 75 lbs. 75 yds. Must be able to handle temperature extremes. Some weekend work. Must be able to read and understand tape measures, use hand and power tools and read blueprints. Will be required to bend, stoop, kneel, squat, reach, step-up, pull, push, lift and carry. Will travel to worksites within area of intended employment. Number of Hours Per Week: 40 Work Schedule (Start/End time): 6:00 A.M. - 6:00 P.M.</t>
  </si>
  <si>
    <t>H-400-26184-076102</t>
  </si>
  <si>
    <t>Carse, LLC</t>
  </si>
  <si>
    <t>HR@snookinn.com</t>
  </si>
  <si>
    <t>+16308906212</t>
  </si>
  <si>
    <t>Prepare, cook, saute, broil, fry such items as seafood, meats, poultry, vegetables, pastas, soups. Keeps kitchen areas clean &amp; sanitized. Stores all products in proper locations. (30) workers needed. Dates of need: 10/1/26-5/31/27. 3 months experience necessary. Rotating shifts. Workdays: Mon-Sun. Work hours: 9AM-12PM. Rate of pay: $19.88-$24/hr based on performance, $29.82-$36/hr overtime. Workers paid weekly. 35 hours/wk. Optional housing provided for $175/week with a $350 deposit ($300.00 upon completion of contract and upon inspection of the housing/ $50 non-refundable). End of Season bonus available upon performance and employer's discretion, returner Bonus of up to $500 employer's discretion. Uniforms provided. JOB LOCATION: 870 BALD EAGLE DRIVE, MARCO ISLAND, FL 34145 HOWEVER, EMPLOYEE MAY NEED TO TRAVEL BETWEEN RESTAURANT LOCATIONS WHICH INCLUDE: 599 S.COLLIER BLVD, 1215 BALD EAGLE DRIVE, AND 870 BALD EAGLE DRIVE IN MARCO ISLAND, FL 34145. Work is temporary full time employment. A single workweek will be used to compute wages. May get up to 10 hours of overtime when available. All deductions from the worker's paycheck required by law will be made. The employer will provide workers at no charge all tools, supplies, and equipment required to perform the job. The worker will be provided with or reimbursed for transportation and subsistence (including reasonable cost of overnight lodging where necessaryup to $110/night for lodging with receipts.) at a rate of $16.78 per day during travel to a maximum of $68.00 per day with receipts from the place from which the worker has come to work for the employer, whether in the U.S. or abroad, to the place of employment, if the worker completes 50 percent of the period of employment covered by the job order, consistent with 20 CFR 655.20(j)(1)(i) by inclusion in the paycheck for the applicable week. Employer will provide or pay for the worker's cost of return transportation and daily subsistence from the place of employment to the place from which the worker, disregarding intervening employment, departed to work for the employer, if the worker completes the certified period of employment or is dismissed from employment for any reason by the employer before the end of the period, consistent with § 655.20(j)(1)(ii); H-2B workers will be reimbursed in the first workweek for all visas, visa processing, border crossing, and other related fees, including those mandated by the government (excluding passport fees). The employer will provide workers all tools, supplies, and equipment required to perform the job at no charge to the worker, in accordance with 20 CFR 655.20(k). Qualified applicants may mail resume to Attn: Luigi Carvelli at 1215 Bald Eagle Drive, Marco Island Florida 33145, email to HR@snookinn.com or visit your local job center at 5040 NW 7th Street, Suite 200 Miami, FL 33126. *Your security deposit is refundable upon completion of your contract and upon inspection of the housing. If a worker abandons their job without permission of the employer or a worker abandons their housing before the end of the petition date for any reason except employer termination, the workers forfeits all housing deposits, PTO, vacation and bonus pay. Upon termination of resignation, the worker must vacate the housing immediately thereafter unless agreed upon by the employer.* Job Classification: 35-2014.00 - Cooks, Restaurant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Number of Hours Per Week: 35 Work Schedule (Start/End time): 9:00 A.M. - 12:00 P.M.</t>
  </si>
  <si>
    <t>H-400-26184-076108</t>
  </si>
  <si>
    <t xml:space="preserve">Copperleaf Golf Club Community Association, Inc. </t>
  </si>
  <si>
    <t>Employment@Copperleafgc.com</t>
  </si>
  <si>
    <t>+12393903400</t>
  </si>
  <si>
    <t>Take orders, serve food &amp; beverages to guests. Clean off &amp; set tables. Take payments, give receipts. Keep all stations stocked (11) workers needed. Dates of need: 10/1/26-5/31/27. 3 months experience necessary. Rotating shifts. Workdays: Mon-Sun. Work hours: 6am-10pm. Rate of pay: $13-$18/hr plus tips but no less than $18.95, $28.43/hr overtime. Workers paid biweekly. 35 hours/wk. Optional housing provided for $23-$26/day with a $450 deposit ($350.00 refundable/ $100 non-refundable. Refundable upon completion of contract). Christmas bonus available. Uniforms and shift meals provided. Job location: 23101 Copperleaf Blvd., Estero, FL 34135 Work is temporary full time employment. A single workweek will be used to compute wages. May get up to 10 hours of overtime when available. All deductions from the worker's paycheck required by law will be made. The employer will provide workers at no charge all /tools, supplies, and equipment required to perform the job. The worker will be provided with or reimbursed for transportation and subsistence (including reasonable cost of overnight lodging where necessary up to $110/night for lodging with receipts.) at a rate of $16.78 per day during travel to a maximum of $68.00 per day with receipts from the place from which the worker has come to work for the employer, whether in the U.S. or abroad, to the place of employment, if the worker completes 50 percent of the period of employment covered by the job order, consistent with 20 CFR 655.20(j)(1)(i) by inclusion in the paycheck for the applicable week. Employer will provide or pay for the worker's cost of return transportation and daily subsistence from the place of employment to the place from which the worker, disregarding intervening employment, departed to work for the employer, if the worker completes the certified period of employment or is dismissed from employment for any reason by the employer before the end of the period, consistent with § 655.20(j)(1)(ii); H-2B workers will be reimbursed in the first workweek for all visas, visa processing, border crossing, and other related fees, including those mandated by the government (excluding passport fees). The employer will provide workers all tools, supplies, and equipment required to perform the job at no charge to the worker, in accordance with 20 CFR 655.20(k). Qualified applicants may mail resume to Attn: Alex Diaz at 23101 Copperleaf Blvd., Estero, FL 34135, email to Employment@Copperleafgc.com, or visit your local job center at 3050 Horseshoe Drive North Building A Suite 110, Naples, FL 34104. *Your security deposit is refundable upon completion of your contract and upon inspection of the housing. If a worker abandons their job without permission of the employer or a worker abandons their housing before the end of the petition date for any reason except employer termination, the workers forfeits all housing deposits, PTO, vacation and bonus pay. Upon termination of resignation, the worker must vacate the housing immediately thereafter unless agreed upon by the employer.* Job Classification: 35-3031.00 - Waiters and Waitresses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Number of Hours Per Week: 35 Work Schedule (Start/End time): 6:00 A.M. - 10:00 P.M.</t>
  </si>
  <si>
    <t>H-400-26184-076089</t>
  </si>
  <si>
    <t>DANIELS LANDSCAPE SUPPLY</t>
  </si>
  <si>
    <t>VIRGINIA MUILENBURG</t>
  </si>
  <si>
    <t>15/01/2027</t>
  </si>
  <si>
    <t>sales@danielslandscapingsupply.com</t>
  </si>
  <si>
    <t>+12086872851</t>
  </si>
  <si>
    <t>Landscaping &amp; Groundskeeping</t>
  </si>
  <si>
    <t>All applicants must be able, willing, qualified to perform the work described and must be available the entire period specified. Temporary full-time seasonal position Landscaper as per Soc/OES 37-3011. Duties: spray fertilizer, herbicide, insecticide on shrubs, trees, foliage, use hand/auto sprayers. Perform physical activities: lift, balance, walk, stoop, handle, position, move, manipulate materials use static strength exert max muscle force to push, pull, carry objects up to 50 lbs. Outdoors exposed to weather. Hrs/Wage may vary climate and area of work. Transport to from job location provided by employer on daily work days no cost to worker. 7A-5P M-F Drug, alcohol, tobacco free work zone; if Supervisor observes worker possibly under influence drugs/alcohol employer paid testing, failure to participate, failed test=dismissal. Must show proof legal authority work in U.S. Min. age 18-yrs due to travel. No minimal ed. Exp. reqd. All work done w/employer provided tools, supplies, equip w/o charge or deposit in accordance. OJT. Employer offers assistance locating lodging by supplying list public accommodation options, cost varies by location. Workers not required to stay such housing. Job Classification: 37-3011.00 - Landscaping and Groundskeeping Workers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Must be at least 18 years old due to travel. Must show proof of legal authority to work in the U.S. Drug, alcohol, tobacco free work zone; if Supervisor observes worker possibly under influence drugs/alcohol employer paid testing, failure to participate, failed test=dismissal. Number of Hours Per Week: 35 Work Schedule (Start/End time): 7:00 A.M. - 5:00 P.M.</t>
  </si>
  <si>
    <t>H-400-26184-076117</t>
  </si>
  <si>
    <t>Eagle Creek Golf and Country Club, Inc.</t>
  </si>
  <si>
    <t>applicants@eaglecreekcc.org</t>
  </si>
  <si>
    <t>+12397932702</t>
  </si>
  <si>
    <t>Server-bartender</t>
  </si>
  <si>
    <t>Greet patrons, present menus, and answer questions about food and beverage offerings. Take customer orders and serve food and beverages at tables in a timely and courteous manner. Ensure customer satisfaction throughout the dining experience and promptly address any issues. Prepare and serve basic alcoholic and nonalcoholic beverages in accordance with company policies and local laws. Maintain cleanliness and organization of dining and service areas, including bar and beverage stations. Set and clear tables, restock supplies, and perform opening and closing side work. Operate point-of-sale systems, prepare checks, and process payments accurately. Follow all safety and sanitation guidelines, including responsible alcohol service standards. Job Classification: 35-3011.00 - Bartenders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6 Special Requirements: SIX (6) MONTHS OF CULINARY EXPERIENCE WHICH INCLUDES FOOD SERVICE, BARTENDING OR OTHER RELATED EXPERIENCE IN A FINE-DINING OR HIGH-VOLUME SETTING AT A RESTAURANT, RESORT, HOTEL, PRIVATE CLUB OR HOSPITALITY SETTING. BACAKGROUND CHECK MAY BE REQUIRED BASED ON COMPANY POLICY IN EFFECT AT TIME OF HIRING. Number of Hours Per Week: 35 Work Schedule (Start/End time): 11:00 A.M. - 6:00 P.M.</t>
  </si>
  <si>
    <t>H-400-26184-076104</t>
  </si>
  <si>
    <t>GREEN VENTURES</t>
  </si>
  <si>
    <t>Nick@greenventureslandscaping.com</t>
  </si>
  <si>
    <t>+16159184518</t>
  </si>
  <si>
    <t>Duties include dormant season installation of trees, shrubs, or flowers in the appropriate design pattern. Unloading materials, digging holes for root systems, properly covering the holes and sometimes sod laying, planting grass seed or connecting irrigation. Leaf removal, lawn seed and straw, lawn aeration, planting shrubbery, digging, raking, and installation of mortarless segmental concrete masonry wall units. Workers may gather and remove litter, water seeded lawns, trees, plants and prune or trim trees, shrubs, or hedges. Workers may operate powered equipment, and drive vehicles to customer locations. Duties may include sod laying, mowing, watering plants &amp; lawns, plant transplanting, fertilizing, digging, raking, sprinkler installation. Employees will be digging trenches no larger than 6 - 12 inches deep and 6 - 12 inches wide with shovels and hand tools. These trenches are used to hold tubing used in the installation of irrigation systems. All the trimming/pruning will take place on the ground. The workers will not perform any pruning or trimming activities above ground level. The worker may transport other workers to and from job sites on occasion, however this will not be their primary job duty. Job Classification: 37-3011.00 - Landscaping and Groundskeeping Workers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3 months landscaping experience required. Must have valid drivers license. Must be able to lift 50 lbs., repetitive movements, extensive pushing/pulling, extensive walking, frequent stooping, exposure to extreme temperatures. Number of Hours Per Week: 40 Work Schedule (Start/End time): 7:00 A.M. - 4:00 P.M.</t>
  </si>
  <si>
    <t>H-400-26184-076097</t>
  </si>
  <si>
    <t>GREENSCAPES LANDSCAPING II, INC.</t>
  </si>
  <si>
    <t>27/11/2026</t>
  </si>
  <si>
    <t>GREENSCAPESWI@GMAIL.COM</t>
  </si>
  <si>
    <t>+12622036420</t>
  </si>
  <si>
    <t>Duties include dormant season installation of trees, shrubs, or flowers in the appropriate design pattern. Unloading materials, digging holes for root systems, properly covering the holes and sometimes sod laying, planting grass seed or connecting irrigation. Leaf removal, lawn seed and straw, lawn aeration, planting shrubbery, digging, raking, and installation of mortarless segmental concrete masonry wall units. Workers may gather and remove litter, water seeded lawns, trees, plants and prune or trim trees, shrubs, or hedges. Workers may operate powered equipment, and drive vehicles to customer locations. Duties may include sod laying, mowing, watering plants &amp; lawns, plant transplanting, fertilizing, digging, raking, sprinkler installation. Employees will be digging trenches no larger than 6 - 12 inches deep and 6 - 12 inches wide with shovels and hand tools. These trenches are used to hold tubing used in the installation of irrigation systems. All the trimming/pruning will take place on the ground. The workers will not perform any pruning or trimming activities above ground level. The worker may transport other workers to and from job sites on occasion, however this will not be their primary job duty. Job Classification: 37-3011.00 - Landscaping and Groundskeeping Workers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Must be able to lift 50 lbs., repetitive movements, extensive pushing/pulling, extensive walking, frequent stooping, exposure to extreme temperatures. Post Hire Drug screen at employers expense. Number of Hours Per Week: 40 Work Schedule (Start/End time): 7:00 A.M. - 4:00 P.M.</t>
  </si>
  <si>
    <t>H-400-26184-076093</t>
  </si>
  <si>
    <t>Rebar Workers</t>
  </si>
  <si>
    <t>Position and secure steel bars or mesh in concrete forms in order to reinforce concrete. Able to operate wire reel, klein pliers and hand tools to fasten and bend rebar. Job Classification: 47-2171.00 - Reinforcing Iron and Rebar Workers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6 Special Requirements: Some weekend work. Must be able to handle temperature extremes. Must be able to lift and carry 75 lbs. 75 yds. Will travel to worksites within the area of intended employment. Number of Hours Per Week: 40 Work Schedule (Start/End time): 7:00 A.M. - 5:00 P.M.</t>
  </si>
  <si>
    <t>H-400-26184-076078</t>
  </si>
  <si>
    <t>HUFF &amp; PUFF TRUCKING, INC.</t>
  </si>
  <si>
    <t>mdaniel@huffpufftrucking.com</t>
  </si>
  <si>
    <t>+16157655033</t>
  </si>
  <si>
    <t>Helpers-installation, Maintenance, Repair Worker</t>
  </si>
  <si>
    <t>Help installation, maintenance, and repair workers in maintenance, parts replacement and repair of vehicles, industrial machinery, and electrical and electronic equipment. Perform duties such as furnishing tools, materials, and supplies to other workers, cleaning work area, machines, tool and holding materials or tools for other workers. Job Classification: 49-9098.00 - Helpers--Installation, Maintenance, and Repair Workers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Must be able to lift 30 pounds. 3 months experience required. Number of Hours Per Week: 40 Work Schedule (Start/End time): 7:00 A.M. - 4:00 P.M.</t>
  </si>
  <si>
    <t>H-400-26184-077237</t>
  </si>
  <si>
    <t>GTM LANDSCAPING INC</t>
  </si>
  <si>
    <t>CARL HEMPHILL</t>
  </si>
  <si>
    <t>gtmlandscapeinc@comcast.net</t>
  </si>
  <si>
    <t>+12153976928</t>
  </si>
  <si>
    <t>Landscaping Laborer</t>
  </si>
  <si>
    <t>LANDSCAPE OR MAINTAIN GROUNDS OF PROPERTY USING HAND OR POWER TOOLS OR EQUIPMENT. WORK TIPICALLY PERFORM A VARIETY OF TASKS, WHICH MAY INCLUDE ANY COMBINATION OF THE FOLLOWING: SOD LAYING. MOWING, TRIMMING, PLANTING, WATERING, FERTILIZING, DIGGING, RAKING, SPRINKLER, INSTALLATION OF MORTARLESS SEGMENTAL CONCRETE MASONRY WALL UNITS AND ANY OTHER RELATED TASKS. PERFORM PHYSICAL ACTIVITIES SUCH AS LIFT, BALANCE, WALK, STOOP, HANDLE POSITION, MOVE, MANIPULATE MATERIAL USE STATIC STRENGHT TO EXERT MAXIMUN MUSCLE FORCE TO LIFT, PUSH, PULL, CARRY OBJECTS UP TO 75 LBS. ALL APPLICANTS MUST BE ABLE WILLING, QUALIFIED TO PERFORM WORK DESCRIBED AND MUST BE AVAILABLE FOR THE ENTIRE PERIOD SPECIFIED AND WORK THROUGHOUT ALL AREAS OF INTENDED EMPLOYMENT. MONDAY THROUGH FRIDAY SCHEDULE MAY VARY. WEEKEND WORK REQUIRED WHEN NECESSARY. OT VARIES Job Classification: 37-3011.00 - Landscaping and Groundskeeping Workers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MUST VERIFY THREE MONTHS OF EXPERIENCE AS A LANDSCAPING LABORER. Number of Hours Per Week: 40 Work Schedule (Start/End time): 7:00 A.M. - 4:00 P.M.</t>
  </si>
  <si>
    <t>H-400-26184-076100</t>
  </si>
  <si>
    <t>H-400-26184-076072</t>
  </si>
  <si>
    <t>Holiday Inn Club Vacations - Orange Lake</t>
  </si>
  <si>
    <t>CIRecruitment@holidayinnclub.com</t>
  </si>
  <si>
    <t>+18668925890</t>
  </si>
  <si>
    <t>To prepare, season, and cook soups, meats, vegetables, desserts, and other food for consumption. Measures and mixes ingredients according to recipe, using variety of kitchen utensils/equipment, such as blenders, mixers, grinders, slicers, and tenderizers. Job Classification: 35-2014.00 - Cooks, Restaurant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Must lift/carry 50 lbs, when necessary. Requires certification in ServSafe Food Handling. Must adhere to local and state food safety guidelines. Fluent English skills required. Must pass a pre-employment criminal background check, paid by employer and applied equally to all workers, U.S. and foreign/H-2B. Must be able to work weekends and holidays, when required. Multiple shifts offered based on business needs. Applicants must complete an employment application. Employer may offer more than the stated work hours depending on weather, business needs, and other conditions. Extreme heat, cold, rain, or drought may affect exact working hours. Number of Hours Per Week: 40 Work Schedule (Start/End time): 7:00 A.M. - 3:30 P.M.</t>
  </si>
  <si>
    <t>H-400-26184-076079</t>
  </si>
  <si>
    <t>Holiday Inn Club Vacations - Tahoe Ridge</t>
  </si>
  <si>
    <t>Front Desk Specialists</t>
  </si>
  <si>
    <t>Check-in/check-out of guests, make and change room reservations, answer telephone, take messages, provide wake-up calls, issue room keys, post charges to room folios, make change for guests and provide information to guests. Follow required safe cleaning and sanitizing procedures. Job Classification: 43-4081.00 - Hotel, Motel, and Resort Desk Clerks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Must pass a pre-employment criminal background check, paid by employer and applied equally to all workers, U.S. and foreign/H-2B. Must be able to work weekends and holidays, when required. Multiple shifts offered based on business needs. Applicants must complete an employment application. Fluent English skills required. Must lift/carry up to 25 lbs, when necessary. Must be able to stand during entire shift. Basic knowledge of computers required as the position involves use of data management systems. Employer may offer more than the stated work hours depending on weather, business needs, and other conditions. Extreme heat, cold, rain, or drought may affect exact working hours. Number of Hours Per Week: 40 Work Schedule (Start/End time): 7:00 A.M. - 3:30 P.M.</t>
  </si>
  <si>
    <t>H-400-26184-076096</t>
  </si>
  <si>
    <t>Groundskeeper</t>
  </si>
  <si>
    <t>Work on resort maintaining the grounds of property using hand or power tools or equipment. Workers must be able to perform a variety of tasks without close supervision, which may include any combination of the following: mow, trim, dig, water, mulch, and rake. Snow removal. Workers will also collect and remove litter/debris and provide upkeep to building and resort grounds. Job Classification: 37-3011.00 - Landscaping and Groundskeeping Workers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Must be able to lift 50 lbs. Must be able to work outdoors in a non-climate-controlled environment. Fluent English skills required. Must pass a pre-employment criminal background check, paid by employer and applied equally to all workers, U.S. and foreign/H-2B. Must be able to work weekends and holidays, when required. Multiple shifts offered based on business needs. Applicants must complete an employment application. Employer may offer more than the stated work hours depending on weather, business needs, and other conditions. Extreme heat, cold, rain, or drought may affect exact working hours. Number of Hours Per Week: 40 Work Schedule (Start/End time): 7:00 A.M. - 3:30 P.M.</t>
  </si>
  <si>
    <t>H-400-26184-076082</t>
  </si>
  <si>
    <t>Hope Landscaping LLC</t>
  </si>
  <si>
    <t>shopelandscaping@hotmail.com</t>
  </si>
  <si>
    <t>+12312381266</t>
  </si>
  <si>
    <t>Hardscaping Crew Member</t>
  </si>
  <si>
    <t>The Hardscaping Crew Member performs manual labor in support of outdoor projects. Work is performed under the supervision of a crew leader and involves assisting with the installation, repair, and maintenance of patios, walkways, retaining walls, seawalls, steps, drainage systems, grading, and related site improvement projects. Duties include loading, unloading, moving, and staging tools, equipment, and materials; preparing and cleaning job sites; removing debris and existing materials; digging, shoveling, raking, grading, leveling, and compacting soil and aggregate materials; assisting with the placement of gravel, sand, drain stone, landscape fabric, pavers, concrete blocks, natural stone, edging materials, topsoil, and related materials; assisting with drainage pipe installation and water-control systems; operating hand tools and assisting in the operation of power tools and equipment as directed; maintaining safe access around work areas and equipment; protecting customer property and existing landscape features; and performing general site cleanup and material disposal. Workers are responsible for maintaining an organized work area and ensuring job sites are left in a clean and professional condition upon completion of work. Job Classification: 47-2061.00 - Construction Laborers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Must lift/carry 50 lbs., when necessary. Must be able to lift, carry, push, pull, bend, kneel, shovel, rake, dig, and stand for long periods. Must be able to work outside in changing weather conditions, including heat, cold, rain, mud, dust, snow, and uneven terrain. Must be comfortable using basic hand tools such as shovels, rakes, wheelbarrows, levels, tape measures, brooms, utility knives, and basic digging tools. Must be able to understand and follow established safety procedures and worksite rules; receive and carry out instructions from supervisors; work cooperatively with other crew members; maintain regular and punctual attendance; demonstrate professional conduct in the workplace; and exercise appropriate caution when working around tools, equipment, machinery, and active work areas. Saturday and Sunday work required, when necessary. Employer-paid drug testing required of foreign and domestic workers prior to commencing work and post-hire at random, upon suspicion of use, and post-accident. Post-hire background check and employment eligibility (e-Verify) check required of foreign and domestic workers. Workers that are able to obtain a valid U.S. driver's license may drive company vehicles (driving is not a requirement of all workers in the position). Employer may offer more than the stated work hours depending on weather, business needs, and other conditions. Extreme heat, cold, rain, or drought may affect exact working hours. Number of Hours Per Week: 42 Work Schedule (Start/End time): 8:00 A.M. - 5:00 P.M.</t>
  </si>
  <si>
    <t>H-400-26184-076084</t>
  </si>
  <si>
    <t>Howard Johnson's Enterprises, Inc.</t>
  </si>
  <si>
    <t>14/05/2027</t>
  </si>
  <si>
    <t>Workers typically perform a variety of tasks in production facility which may include any of the following: filling bags with fertilizers, pesticides or ice melt by holding bag in place under spout/chute as product fills the bag; labelling and sealing bags using hot air sealer that heats the bag to seal with no added fasteners/materials required; and packing bags into boxes or stacking bags onto pallets. Maintain clean work area and equipment. Entry level; requires supervision. After sealing, production workers hand stack bags onto pallets. The bag size determines what stacking pattern is needed. Workers compare the bag size against details posted with pictures in the production area, or as included in each daily production order paperwork to determine the correct pattern. Additionally correct stacking patterns are included as part of the new employee training process. Due to weight considerations, most pallets are stacked under 40 inches high, with the tallest pallet pattern being 42 inches. No additional machinery is needed by workers to stack the bags. Movement of the stacked pallets is completed by members in different positions than the production workers. The employee’s role(s) in the production process are as bagger, sealer and stacker. The employer packages pesticides typically used in the lawn and landscaping industry. All products follow all state and federal regulations and requirements. None of these products have any PPE requirements and no specific training or state or federal certification is required for handling of the products for this position. Job Classification: 53-7064.00 - Packers and Packagers, Hand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Must lift/carry up to 50 lbs., when necessary. Frequent sitting, standing, and walking required. Two shifts may be offered: 6AM - 3PM or 5PM - 1:30AM. Saturday work required, when necessary. Employer-paid drug testing required of foreign and domestic workers prior to commencing work and post-hire at random and post-accident. Post-hire background check and employment eligibility (e-Verify) check required of foreign and domestic workers. Mandatory safety training for all new hires foreign and domestic. We are an equal opportunity employer, and all qualified applicants will receive consideration for employment without regard to race, color, religion, sex, national origin, disability status, protected veteran status, sexual orientation, gender identity, or any other characteristic protected by law. Employer may offer more than the stated work hours depending on weather, business needs, and other conditions. Extreme heat, cold, rain, or drought may affect exact working hours. Number of Hours Per Week: 40 Work Schedule (Start/End time): 6:00 A.M. - 3:00 P.M.</t>
  </si>
  <si>
    <t>H-400-26184-076083</t>
  </si>
  <si>
    <t>J.J. Ferguson Prestress-Precast Co.</t>
  </si>
  <si>
    <t>10/07/2027</t>
  </si>
  <si>
    <t>H2B@jjferguson.net</t>
  </si>
  <si>
    <t>+16624535451</t>
  </si>
  <si>
    <t>General Laborers</t>
  </si>
  <si>
    <t>At a single worksite, perform tasks involved in helping with the production of concrete components for bridges. Workers will assist in guiding the concrete out of truck shutes into the bridge forms, tying rebar with wire twisters and pulling cable through the beams by hand. Workers will need to be able to use a shovel, clean and scrape concrete from the forms, patch concrete and finish concrete. May operate hand and power tools of all types in order to position, join, align, or seal concrete components during the process. Clean work station. Job Classification: 47-2051.00 - Cement Masons and Concrete Finishers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Must lift/carry 50 lbs., when necessary. Frequent bending and working with hands to tie steel. Saturday work required, when necessary. Employer-paid drug test required of foreign and domestic workers prior to commencing work. Employer may offer more than the stated work hours depending on weather, business needs, and other conditions. Extreme heat, cold, rain, or drought may affect exact working hours. Number of Hours Per Week: 40 Work Schedule (Start/End time): 7:30 A.M. - 4:15 P.M.</t>
  </si>
  <si>
    <t>H-400-26184-076106</t>
  </si>
  <si>
    <t>JACKSON INSTALLATIONS</t>
  </si>
  <si>
    <t>rhonda@jacksonsnursery.com</t>
  </si>
  <si>
    <t>+18125272459</t>
  </si>
  <si>
    <t>Duties include dormant season installation of trees, shrubs, or flowers in the appropriate design pattern. Unloading materials, digging holes for root systems, properly covering the holes and sometimes sod laying, planting grass seed or connecting irrigation. Leaf removal, lawn seed and straw, lawn aeration, planting shrubbery, digging, raking, and installation of mortarless segmental concrete masonry wall units. Workers may gather and remove litter, water seeded lawns, trees, plants and prune or trim trees, shrubs, or hedges. Workers may operate powered equipment, and drive vehicles to customer locations. Duties may include sod laying, mowing, watering plants &amp; lawns, plant transplanting, fertilizing, digging, raking, sprinkler installation. Employees will be digging trenches no larger than 6 - 12 inches deep and 6 - 12 inches wide with shovels and hand tools. These trenches are used to hold tubing used in the installation of irrigation systems. All the trimming/pruning will take place on the ground. The workers will not perform any pruning or trimming activities above ground level. The worker may transport other workers to and from job sites on occasion, however this will not be their primary job duty Job Classification: 37-3011.00 - Landscaping and Groundskeeping Workers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Must be able to lift 50 lbs., repetitive movements, extensive pushing/pulling, extensive walking, frequent stooping, exposure to extreme temperatures. Post Hire Drug screen at employers expense. Number of Hours Per Week: 40 Work Schedule (Start/End time): 7:00 A.M. - 4:00 P.M.</t>
  </si>
  <si>
    <t>H-400-26184-076103</t>
  </si>
  <si>
    <t>JCF Capital LLC</t>
  </si>
  <si>
    <t>supplier@broehlslawn.com</t>
  </si>
  <si>
    <t>Landscape or maintain grounds of property using hand or power tools or equipment. Workers must be able to perform a variety of tasks without close supervision, which may include any combination of the following: sod laying, mowing, trimming, planting, watering, fertilizing, digging and raking. Must exercise independent judgment; may be asked to demonstrate tasks to other employees but position does not include supervision of other workers. Job Classification: 37-3011.00 - Landscaping and Groundskeeping Workers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Requires three months of previous landscape experience. Must lift/carry 50 lbs., when necessary. Saturday and Sunday work required, when necessary. Employer may offer more than the stated work hours depending on weather, business needs, and other conditions. Extreme heat, cold, rain, or drought may affect exact working hours. Number of Hours Per Week: 40 Work Schedule (Start/End time): 8:00 A.M. - 4:30 P.M.</t>
  </si>
  <si>
    <t>H-400-26184-076087</t>
  </si>
  <si>
    <t>JDK ASSOCIATES, INC.</t>
  </si>
  <si>
    <t>steve@jdkinc.com</t>
  </si>
  <si>
    <t>Duties include dormant season installation of trees, shrubs, or flowers in the appropriate design pattern. Unloading materials, digging holes for root systems, properly covering the holes and sometimes sod laying, planting grass seed or connecting irrigation. Leaf removal, lawn seed and straw, lawn aeration, planting shrubbery, digging, raking, and installation of mortarless segmental concrete masonry wall units. Workers may gather and remove litter, water seeded lawns, trees, plants and prune or trim trees, shrubs, or hedges. Workers may operate powered equipment, and drive vehicles to customer locations. Duties may include sod laying, mowing, watering plants &amp; lawns, plant transplanting, fertilizing, digging, raking, sprinkler installation. Employees will be digging trenches no larger than 6 - 12 inches deep and 6 - 12 inches wide with shovels and hand tools. These trenches are used to hold tubing used in the installation of irrigation systems. All the trimming/pruning will take place on the ground. The workers will not perform any pruning or trimming activities above ground level. The worker may transport other workers to and from job sites on occasion, however this will not be their primary job duty. Workers may operate powered landscaping equipment, including mowers, edgers, blowers, weed eaters, trimmers, small tractors, and similar landscaping equipment. Workers may drive company pickup trucks and similar light-duty company vehicles to and from customer job sites. Workers may occasionally transport other workers to and from job sites; however, transportation of workers is not a primary job duty. Workers may also occasionally transport landscaping materials, tools, and equipment to and from job sites, including mulch, potted plants, shovels, rakes, mowers, blowers, and trimmers. No hazardous materials will be transported by workers. All vehicles and equipment operated weigh less than 26,000 pounds GVW, including any attached trailers or transported materials. Job Classification: 37-3011.00 - Landscaping and Groundskeeping Workers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Must be able to lift 60 lbs., repetitive movements, extensive pushing/pulling, extensive walking, frequent stooping, exposure to extreme temperatures. Mut have 3 months Hardscaping experience. Number of Hours Per Week: 40 Work Schedule (Start/End time): 7:00 A.M. - 4:00 P.M.</t>
  </si>
  <si>
    <t>H-400-26184-076086</t>
  </si>
  <si>
    <t>JM Forestry, LLC</t>
  </si>
  <si>
    <t>Jmforestry.services@gmail.com</t>
  </si>
  <si>
    <t>+18323341480</t>
  </si>
  <si>
    <t>Duties may include: Maintain and develop forested and conservation lands through manual labor and use of hand and mechanized equipment. Planting pine trees and seedlings by hand or with mechanical planters; sorting, lifting, loading, and transporting seedlings and materials; identifying and selecting optimal planting locations based on soil conditions, terrain, and shade requirements; and ensuring proper spacing and planting techniques to promote healthy growth. Workers must be able to perform physically demanding tasks in outdoor environments, including regularly lifting and carrying 50+ pounds of seedlings and equipment across uneven terrain and in varying weather conditions &amp; other related Forestry Worker activities as per SOC/OES 45-4011 (onetonline.org). Standard/Expected Schedule: Monday-Friday 7:00AM-5:00PM.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Optional, shared housing available at no cost to the worker. Job Classification: 45-4011.00 - Forest and Conservation Workers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Must be 18 due to travel. Must show proof of legal authorization to work in the United States. Drug/alcohol/tobacco free work zone. Must walk substantially (up to 15 miles/day), also stoop, bend while carrying a pack (up to 50lbs) thru rough terrain (non-trail). All applicants must be able, willing and qualified to perform work described and must be available for the entire period specified and work throughout all areas of intended employment. Work is performed outdoors, exposed to weather; must be capable of doing physically strenuous labor for long hours, occasionally in extreme heat or cold. Variable weather conditions apply; hours may fluctuate (+/-), possible downtime and/or overtime. Number of Hours Per Week: 40 Work Schedule (Start/End time): 7:00 A.M. - 5:00 P.M.</t>
  </si>
  <si>
    <t>H-400-26184-076111</t>
  </si>
  <si>
    <t>Jaymes Academy LLC</t>
  </si>
  <si>
    <t>mdoss@jaymesacademy.com</t>
  </si>
  <si>
    <t>+16156320855</t>
  </si>
  <si>
    <t>Childcare Providers</t>
  </si>
  <si>
    <t>As included on the ONET website for 39-9011.00 (Child Care Workers), the Child Care providers are to perform a variety of tasks/duties on behalf of the children within their assigned room. Providers will look after and spend time with preschool-aged children. Providers will help encourage and engage children in age-appropriate activities such as storytelling, singing, games, and guided play. Providers will read to children and guide them in simple painting, drawing, handicrafts, and songs. Providers will help children follow daily routines, encourage good behavior, and maintain order by supervising children to ensure they are safe at all times. Providers will assist in serving prepared meals/snacks provided by our facility cook. The cook will wash all food prep dishes/equipment in addition to sanitizing bottles/sippy cups after use. Our providers will ensure food safety during meals and follow health and safety guidelines, to include proper disposal of paper plates/plastic utensils. Our providers may handle laundry duties such as washing, drying, folding, and storing fitted sheets from room cots, cloth items (towels/blankets) from the baby room, and classroom soft materials such as clothes used for dressing up, plush toys and plush pillows used for sitting. Depending on scheduled time frame, a disinfectant machine, known as a Zono, is used to disinfect toys weekly. Job Classification: 39-9011.00 - Childcare Workers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Must be at least 18 years of age and have a High School Diploma or equivalent per state childcare facility licensing requirements. Must lift/carry 40 lbs., when necessary. Post-hire drug testing required of foreign and domestic workers upon suspicion of use. Post-hire background check required of foreign and domestic workers. Must be able to complete child abuse training as part of onboarding process. Employer may offer more than the stated work hours depending on weather, business needs, and other conditions. Number of Hours Per Week: 40 Work Schedule (Start/End time): 7:00 A.M. - 4:00 P.M.</t>
  </si>
  <si>
    <t>H-400-26184-076074</t>
  </si>
  <si>
    <t>LA COSECHA XII, LLC</t>
  </si>
  <si>
    <t>***RFI response*** 1. Specific Tasks, Tools, Equipment, and Materials Used The phrase “Assist kitchen staff with various tasks” refers explicitly to routine support duties required to maintain an orderly, sanitary, and efficient kitchen environment. The specific tasks, along with the tools, equipment, and materials utilized by the Dishwasher, include: A. Dishwashing and Equipment Cleaning: Washing, rinsing, and sanitizing dishes, glassware, silverware, pots, pans, and specialized kitchen equipment. For this task, commercial dishwashing machines, three-compartment deep sinks, scrub brushes, sponges, dish racks, and chemical sanitizers/detergents are used. B. Kitchen Sanitation and Waste Management: Emptying and cleaning trash receptacles, disposing of kitchen garbage, and maintaining the overall cleanliness of the kitchen floor and food service areas. For this task, trash cans, heavy-duty garbage bags, mops, buckets, brooms, and floor degreasers are used. C. Storage and Inventory Organization: Receiving cleaned dishware, utensils, and kitchen equipment from the washing area and transporting them safely to designated storage zones or kitchen prep lines to assist cooks and chefs. For this task, rolling utility carts, storage shelving, and organization racks are used. 2. Clarification on Food Preparation and Cooking Tasks The Employer explicitly clarifies that the Dishwasher position does not involve any cooking duties, nor does it entail independent or skilled food preparation. The assistance provided to the kitchen staff is purely supportive, low-skilled, and routine in nature. To the extent that a Dishwasher interacts with food items or assists the kitchen staff, it is limited to the following basic tasks: A. Clearing and Scraping: Scraping food scraps and residues from soiled plates, platters, and cooking vessels into garbage bins prior to washing. B. Basic Utility Assistance: Under the direct supervision of cooks, chefs, or food service managers, assisting with basic, routine utility tasks such as carrying bulk ingredients from storage or walk-in coolers to the prep area. They do not chop, season, cook, or plate food items. ***Original*** Wash dishes, utensils or kitchen equipment in storage area. Maintain kitchen area clean and orderly condition. Assist kitchen staff with various tasks. Job Classification: 35-9021.00 - Dishwashers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None. Number of Hours Per Week: 40 Work Schedule (Start/End time): 10:00 A.M. - 7:00 P.M.</t>
  </si>
  <si>
    <t>H-400-26184-076070</t>
  </si>
  <si>
    <t>LESTER BROTHERS EXCAVATION, INC.</t>
  </si>
  <si>
    <t>amy@lesterbros.com</t>
  </si>
  <si>
    <t>+15177647888</t>
  </si>
  <si>
    <t>Duties include sod laying, mowing, shoveling and spreading gravel, spreading grass seed, sod and/or straw, leaf removal, trimming/pruning trees, shrubs and plants, installation of plants, trees and shrubbery, watering plants &amp; lawns, plant transplanting, fertilizing, digging, raking, and shoveling. Leveling ground in preparation for sod, grass seed, or gravel. Workers may gather and remove litter. Powered equipment used will include lawn mowers, weed eaters, and trimmers. All the trimming/pruning will take place on the ground. The workers will not perform any pruning or trimming activities above ground level. Job Classification: 37-3011.00 - Landscaping and Groundskeeping Workers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Must have valid driver's license. Post-hire drug screen at employer's expense. Must be able to lift 50lbs, extensive sitting, extensive walking, frequent stooping, extensive pushing/pulling, exposure to extreme temperatures, 3 months experience required. In accordance with applicable Michigan state law, Earned Sick Time Act 338, employers are required to provide earned sick time to their employees. The amount of paid sick leave provided may vary depending on the size of the business. Number of Hours Per Week: 40 Work Schedule (Start/End time): 7:00 A.M. - 4:00 P.M.</t>
  </si>
  <si>
    <t>H-400-26184-076118</t>
  </si>
  <si>
    <t>LIGHT HILL MEATS</t>
  </si>
  <si>
    <t>ben@lighthillmeats.com</t>
  </si>
  <si>
    <t>+17314137609</t>
  </si>
  <si>
    <t>Slaughterers and Meat Packers</t>
  </si>
  <si>
    <t>Perform nonroutine or precision functions involving the preparation of large portions of meat. Work may include specialized slaughtering tasks, cutting standard pr premium cuts of meat for marketing, making sausage, or wrapping meats. Work typically occurs in slaughtering, meat packing, or wholesale establishments. Job Classification: 51-3023.00 - Slaughterers and Meat Packers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Must be able to lift 50 lbs., repetitive movements, extensive pushing/pulling, frequent stooping. Number of Hours Per Week: 40 Work Schedule (Start/End time): 7:00 A.M. - 4:00 P.M.</t>
  </si>
  <si>
    <t>H-400-26184-076112</t>
  </si>
  <si>
    <t>Lafourche Sugars, LLC</t>
  </si>
  <si>
    <t>bl@lafourchesugars.com</t>
  </si>
  <si>
    <t>+19854473210</t>
  </si>
  <si>
    <t>Maintenance Helper – Eighteen (18) temporary full-time positions available from 10/01/2026 to 06/30/2027 in Thibodaux, Louisiana with Lafourche Sugars, LLC. Help installation, maintenance, and repair workers in maintenance, parts replacement, and repair of industrial equipment used in the processing of raw sugar. Perform duties such as furnishing tools, materials, and supplies to other more experienced workers. Cleaning work area, machines, and tools, and holding materials or tools for other more experienced workers during the harvesting season and after harvesting in preparation for the upcoming season. $18.37/Hour; $27.55/Hour OT paid every 2 weeks by check. Will be required to work rotating 8-hour shifts including (6am-2pm; 2pm-10pm; 10pm -6am); 56 hrs a week during harvest season, 40 hrs a week after harvest season, OT paid after 48 hours during harvesting and after 40 hours after harvesting. Must be willing to work 7 days per week during grinding/harvesting. Overtime Hours will vary and are not guaranteed. The employer will make all deductions from the worker's paycheck required by law. Worker will have 30 minutes paid lunch break during the workday. A minimum of 3 months experience is required in the job offered with sugar mill equipment. No minimum education is required. No on-the-job training is provided. Optional on-site lodging offered to each temporary seasonal employee hired in the position at no charge. Lafourche will provide U.S. workers at least the same benefits, wages, and working conditions that will be offered or provided to H-2B workers. Lafourche will provide to the worker, without charge or deposit charge, all tools, supplies, and equipment required to perform the duties assigned. Employer guarantees to offer employment equal to at least three-fourths (3/4's) of the workdays of each 12-week period of the total employment period; and, if the guarantee is not met, the employer will pay the worker what the worker would have earned if the employer had offered the guaranteed number of days. The 12-week period will begin the first workday after the worker's arrival or the advertised contractual first date of need, whichever is later. The worker will be reimbursed for transportation and subsistence expenses from the place from which the worker has come to work for the employer, whether in the U.S. or abroad, to the place of employment by check by the employer upon completion of 50% of the period of employment covered by the job order or earlier, if appropriate. This includes at least $16.78 per day during travel to a maximum of $68.00 per day with documentation of actual expenses. Also, the employer will provide or pay for the worker's outbound transportation and subsistence if the worker completes the job order period or is dismissed early from employment for any reason by the employer before the end of the period. The employer will reimburse the H-2B worker in the first workweek the full cost for all visa, visa processing, border crossing, and other related fees, including those mandated by the government. Lafourche will provide or reimburse inbound and outbound transportation and daily subsistence costs for corresponding U.S. workers who are not reasonably able to return to their residence within the same workday. As applicable, daily transportation to and from worksite will be provided by employer. Higher pay may be available to workers with extensive experience. Please send resumes or contact Mr. Ben LeBlanc at Lafourche Sugars, LLC, 141 Leighton Quarters Rd, Thibodaux, LA 70301 Tel: (985) 447-3210 Email: bl@lafourchesugars.com. Applicants may inquire about the job opportunity or send resumes/applications directly to Lafourche AJC, 1425 Tiger Drive, Thibodaux, LA 70301 Tel: 985-227-7119 Email Hire_Houma@lwc.la.gov; reference job order#: 1641110. Job Classification: 49-9098.00 - Helpers--Installation, Maintenance, and Repair Workers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Number of Hours Per Week: 56 Work Schedule (Start/End time): 6:00 A.M. - 2:00 P.M.</t>
  </si>
  <si>
    <t>H-400-26184-076116</t>
  </si>
  <si>
    <t>Landscape Renovations, Inc.</t>
  </si>
  <si>
    <t>22/11/2026</t>
  </si>
  <si>
    <t>h2recruiting@landscaperenovations.com</t>
  </si>
  <si>
    <t>+16517690010</t>
  </si>
  <si>
    <t>Landscape or maintain grounds of property using hand or power tools or equipment. Workers typically perform a variety of tasks, which may include any combination of the following: sod laying, mowing, trimming, planting, watering, fertilizing, digging, raking, and installation of mortarless segmental concrete masonry wall units. Entry level; requires supervision. Job Classification: 37-3011.00 - Landscaping and Groundskeeping Workers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Must lift/carry 50 lbs., when necessary. Saturday work required, when necessary. Employer may offer more than the stated work hours depending on weather, business needs, and other conditions. Extreme heat, cold, rain, or drought may affect exact working hours. Number of Hours Per Week: 40 Work Schedule (Start/End time): 7:00 A.M. - 3:30 P.M.</t>
  </si>
  <si>
    <t>H-400-26184-076119</t>
  </si>
  <si>
    <t>Lovin Equipment and Sales, Inc.</t>
  </si>
  <si>
    <t>lovinequipmentandsales@aol.com</t>
  </si>
  <si>
    <t>+18284794788</t>
  </si>
  <si>
    <t>Highway Maintenance Worker</t>
  </si>
  <si>
    <t>Duties may include: Maintain grounds of commercial and public property; along roadways and interstates: cut grass, clear weeds, prune and trim trees, shrubs, and hedges at ground level. Gather, clean, clear and remove: litter and debris. Dispose of trash or waste materials. Use power equipment: riding lawn mowers, tractors with bush hogs, hedge trimmers, clippers, edging tools, weed-eaters &amp; other related Highway Maintenance Worker activities as per SOC/OES 47-4051 (onetonline.org). Standard/Expected Schedule: Monday-Friday 7:00AM-5:30PM.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Optional, shared housing available at no cost to the worker. Job Classification: 47-4051.00 - Highway Maintenance Workers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Must be 18 due to state labor laws. Must show proof of legal authorization to work in the United States. Drug/alcohol/tobacco free work zone. Perform physical activities: such as lift, balance, walk, stoop, handle, position, move, manipulate materials use static strength to exert maximum muscle force to lift, push, pull, carry objects up to 50lbs. All applicants must be able, willing and qualified to perform work described and must be available for the entire period specified and work throughout all areas of intended employment.Based on Employer's discretion/cost: Worker may have random drug/alcohol testing during employment: positive test/refusal to abide = dismissal. Work is performed outdoors, exposed to weather; must be capable of doing physically strenuous labor for long hours, occasionally in extreme heat or cold. Variable weather conditions apply; hours may fluctuate (+/-), possible downtime and/or overtime. Number of Hours Per Week: 40 Work Schedule (Start/End time): 7:00 A.M. - 5:30 P.M.</t>
  </si>
  <si>
    <t>H-400-26184-076092</t>
  </si>
  <si>
    <t>Lucas Lawn &amp; Landscape, LLC</t>
  </si>
  <si>
    <t>hr@lucaslandscape.com</t>
  </si>
  <si>
    <t>+17048829388</t>
  </si>
  <si>
    <t>Landscape Crew Member</t>
  </si>
  <si>
    <t>Landscape or maintain grounds of property using hand or power tools or equipment. Workers typically perform a variety of tasks, which may include any combination of the following: sod laying, mowing, trimming, planting, watering, fertilizing, digging, raking, spreading pine needles, mulching, remove trash/debris, installation and maintenance of irrigation systems; and assist with installation of mortarless segmental concrete masonry wall units/similar. Assist with irrigation installation and repair using a hand trench shovel. Entry level; requires supervision. Job Classification: 37-3011.00 - Landscaping and Groundskeeping Workers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Must lift/carry 50 lbs., when necessary. Saturday and Sunday work required, when necessary. Employer-paid drug testing required of foreign and domestic workers prior to commencing work and post-hire post-accident. Employer may offer more than the stated work hours depending on weather, business needs, and other conditions. Extreme heat, cold, rain, or drought may affect exact working hours. Number of Hours Per Week: 45 Work Schedule (Start/End time): 7:00 A.M. - 5:00 P.M.</t>
  </si>
  <si>
    <t>H-400-26184-076098</t>
  </si>
  <si>
    <t>MID WEST TREE FARMS, LLC</t>
  </si>
  <si>
    <t>midwesttreefarms@gmail.com</t>
  </si>
  <si>
    <t>+15865244399</t>
  </si>
  <si>
    <t>Duties include dormant season installation of trees, shrubs, or flowers in the appropriate design pattern. Unloading materials, digging holes for root systems, properly covering the holes and sometimes sod laying, planting grass seed or connecting irrigation. Leaf removal, lawn seed and straw, lawn aeration, planting shrubbery, digging, raking, and installation of mortarless segmental concrete masonry wall units. Workers may gather and remove litter, water seeded lawns, trees, plants and prune or trim trees, shrubs, or hedges. Workers may operate powered equipment, and drive vehicles to customer locations. Duties may include sod laying, mowing, watering plants &amp; lawns, plant transplanting, fertilizing, digging, raking, sprinkler installation. Employees will be digging trenches no larger than 6 - 12 inches deep and 6 - 12 inches wide with shovels and hand tools. These trenches are used to hold tubing used in the installation of irrigation systems. All the trimming/pruning will take place on the ground. The workers will not perform any pruning or trimming activities above ground level. The worker may transport other workers to and from job sites on occasion, however this will not be their primary job duty. Workers may operate powered landscaping equipment, including mowers, edgers, blowers, weed eaters, trimmers, small tractors, and similar landscaping equipment. Workers may drive company vehicles, including Ford F250 trucks, Ford E-350 Vans, to and from customer job sites. Workers may occasionally transport other workers to and from job sites; however, transportation of workers is not a primary job duty. Workers may also occasionally transport landscaping materials, tools, and equipment to and from job sites, including mulch, potted plants, shovels, rakes, mowers, blowers, and trimmers. No hazardous materials will be transported by workers. All vehicles and equipment operated weigh less than 26,000 pounds GVW, including any attached trailers or transported materials. Job Classification: 37-3011.00 - Landscaping and Groundskeeping Workers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Must be able to lift 50 lbs., repetitive movements, extensive pushing/pulling, extensive walking, frequent stooping, exposure to extreme temperatures. 3 months experience required. In accordance with applicable Michigan state law, Earned Sick Time Act 338, employers are required to provide earned sick time to their employees. The amount of paid sick leave provided may vary depending on the size of the business. Number of Hours Per Week: 40 Work Schedule (Start/End time): 7:00 A.M. - 4:00 P.M.</t>
  </si>
  <si>
    <t>H-400-26184-076095</t>
  </si>
  <si>
    <t>MJD WATERSCAPES, LLC</t>
  </si>
  <si>
    <t>info@mjdonas.com</t>
  </si>
  <si>
    <t>+14129131962</t>
  </si>
  <si>
    <t>Duties include dormant season installation of trees, shrubs, or flowers in the appropriate design pattern. Unloading materials, digging holes for root systems, properly covering the holes and sometimes sod laying, planting grass seed or connecting irrigation. Leaf removal, lawn seed and straw, lawn aeration, planting shrubbery, digging, raking, and installation of mortarless segmental concrete masonry wall units. Workers may gather and remove litter, water seeded lawns, trees, plants and prune or trim trees, shrubs, or hedges. Workers may operate powered equipment, and drive vehicles to customer locations. Duties may include sod laying, mowing, watering plants &amp; lawns, plant transplanting, fertilizing, digging, raking, sprinkler installation. Employees will be digging trenches no larger than 6 - 12 inches deep and 6 - 12 inches wide with shovels and hand tools. These trenches are used to hold tubing used in the installation of irrigation systems. All the trimming/pruning will take place on the ground. The workers will not perform any pruning or trimming activities above ground level. The worker may transport other workers to and from job sites on occasion, however this will not be their primary job duty. Workers may operate powered landscaping equipment, including mowers, edgers, blowers, weed eaters, trimmers, small tractors, and similar landscaping equipment. Workers may drive company vehicles, including trucks, vans, suv’s, to and from customer job sites. Workers may occasionally transport other workers to and from job sites; however, transportation of workers is not a primary job duty. Workers may also occasionally transport landscaping materials, tools, and equipment to and from job sites, including mulch, potted plants, shovels, rakes, mowers, blowers, and trimmers. No hazardous materials will be transported by workers. All vehicles and equipment operated weigh less than 26,000 pounds GVW, including any attached trailers or transported materials. Job Classification: 37-3011.00 - Landscaping and Groundskeeping Workers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Must be able to lift 50 lbs., repetitive movements, extensive pushing/pulling, extensive walking, frequent stooping, exposure to extreme temperatures. 3 months experience required. Number of Hours Per Week: 40 Work Schedule (Start/End time): 7:00 A.M. - 4:00 P.M.</t>
  </si>
  <si>
    <t>H-400-26184-076091</t>
  </si>
  <si>
    <t>Maryland Cleaning and Abatement Services Corp.</t>
  </si>
  <si>
    <t>info@mcacorp.net</t>
  </si>
  <si>
    <t>+14103770500</t>
  </si>
  <si>
    <t>Building Cleaner</t>
  </si>
  <si>
    <t>Perform post construction / renovation building maintenance and cleaning duties following standard construction work or equipment installation at client worksites, (residential &amp; commercial). Workers must perform a variety of tasks including any combination of the following: cleaning floors, washing walls, disposing of garbage, wiping down equipment, performing routine building maintenance and inspecting the premises. Entry level; requires supervision. The position of Building Cleaner involves a range of tasks associated with maintaining cleanliness and sanitation in commercial, residential, and post-construction environments. Post-construction cleaning : Removing dust, debris, and construction residue from surfaces, fixtures, and floors using industrial vacuums, wet wiping, and specialized cleaning agents. General cleaning and janitorial services : Sweeping, mopping, vacuuming, and disinfecting floors; cleaning restrooms, kitchens, and common areas; emptying trash receptacles and replacing liners. Surface and fixture maintenance : Wet wiping windows, walls, doors, baseboards, and light fixtures to remove grime and maintain appearance. Dusting and polishing : Cleaning furniture, vents, and other surfaces to reduce allergens and maintain hygiene. Supply restocking and reporting : Replenishing soap, paper products, and other consumables; reporting any maintenance issues such as broken fixtures or leaks to supervisors. Light building upkeep : Assisting with basic tasks such as changing light bulbs, replacing air filters, and ensuring cleaning equipment is properly maintained. Job Classification: 37-2011.00 - Janitors and Cleaners, Except Maids and Housekeeping Cleaners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Must lift/carry 50 lbs., when necessary. Standard 1st shift 7:00AM-3:30PM M-F or 2nd shift 3:30 PM-12:00 AM M-F pending shift assignment. Workers may be required to work either shift pending business needs. Employer-paid drug testing required of foreign and domestic workers prior to commencing work and post-hire upon suspicion of use. Post-hire background check required of foreign and domestic workers. Employer may offer more than the stated work hours depending on weather, business needs, and other conditions. Extreme heat, cold, rain, or drought may affect exact working hours. Number of Hours Per Week: 40 Work Schedule (Start/End time): 7:00 A.M. - 3:30 P.M.</t>
  </si>
  <si>
    <t>H-400-26184-076071</t>
  </si>
  <si>
    <t xml:space="preserve">Mendiola Forestry Services, LLC </t>
  </si>
  <si>
    <t>Abielmfs@yahoo.com</t>
  </si>
  <si>
    <t>Manual itinerant work to hand plant tree seedlings and perform pre-commercial thinning to reforest and maintain timberlands. Plant bare-root or containerized trees using a shovel, hoe dad, dibble bar, or hoe. Transport trees in a tree bag. Select optimum planting location to meet spacing, soil, and shade requirements. Dig holes at pre-determined intervals and insert seedling. Tamp soil around plant with foot and planting tool. Use a chainsaw, brush blade, or other hand-held equipment to remove excess trees and other vegetation. Determine which immature trees to leave for accelerated growth, depending on spacing, species, size, freedom from disease or other defect, and possible damage to remaining trees. Cut brush and other vegetation. Use a backpack sprayer or other hand held tools to spray or inject herbicides to reduce competing vegetation. Mark boundary lines. Workers who apply for and obtain, or currently hold a FLC or FLCE certificate of registration with driving authorized by the USDOL Wage and Hour Division during the employment period may transport workers, count and check, and may be offered additional work hours. These jobs involve propagating, protecting, and managing forest tracts. Workers who possess a Farm Labor Contractor Employee Certificate and operate an inspected company vehicle may transport crew members from their housing location to the initial worksite and between worksites during the workday, as necessary, under manager supervision. Transportation duties are incidental to the primary forestry work being performed. “Count and check” refers to verifying crew attendance by counting workers before departure, upon arrival at the worksite, and as needed throughout the workday. Workers who hold a valid FLCE Certificate may be offered additional hours associated with transporting crew from their housing location to the initial worksite before the start of the workday, under manager supervision. These duties are limited to authorized transportation activities and any related attendance verification necessary to ensure all workers arrive safely and are accounted for prior to commencing forestry operations. Employer may pay piece rates of $0.03 per tree planted correctly, $35.00 - $60.00 per acre thinned correctly and, $50.00 per mile to mark boundary lines; but not less than the highest prevailing wage in the area of intended employment, whichever is higher. Job Classification: 45-4011.00 - Forest and Conservation Workers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No education or experience required. Requires physical stamina. Must lift and carry 50 lbs. Extensive walking over rough terrain. Work is in adverse weather. Work schedule and locations dependent on weather conditions. Overnight travel required. Production standard of 3000 tree seedlings planted correctly per eight hour day after one week of on the job training. Employer provided uniforms are to be worn at all worksites. Employer may offer more than the stated work hours depending on weather, business needs, and other conditions. Extreme heat, cold, rain, or drought may affect exact working hours. Number of Hours Per Week: 40 Work Schedule (Start/End time): 7:30 A.M. - 4:30 P.M.</t>
  </si>
  <si>
    <t>H-400-26184-076110</t>
  </si>
  <si>
    <t>Mincin Landscaping &amp; Tree Service</t>
  </si>
  <si>
    <t>office@mincinlandscaping.net</t>
  </si>
  <si>
    <t>+14122335800</t>
  </si>
  <si>
    <t>Duties may include: Landscape or maintain properties using tools or equipment. Tasks may include cut, mow, water, edge lawns, rake &amp; blow leaves, plant, fertilize, pull, chop weeds, prune, seed, sod laying, haul topsoil and mulch; sprinkler installation, installation of mortarless segmental concrete masonry wall units &amp; other related Landscape Laborer activities as per SOC/OES 37-3011 (onetonline.org). Standard/Expected Schedule: Monday-Friday 8:00AM-4:30PM.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Job Classification: 37-3011.00 - Landscaping and Groundskeeping Workers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Must show proof of legal authorization to work in the United States. Drug/alcohol/tobacco free work zone. Perform physical activities: such as lift, balance, walk, stoop, handle, position, move, manipulate materials use static strength to exert maximum muscle force to lift, push, pull, carry objects up to 50lbs. All applicants must be able, willing and qualified to perform work described and must be available for the entire period specified and work throughout all areas of intended employment. Work is performed outdoors, exposed to weather; must be capable of doing physically strenuous labor for long hours, occasionally in extreme heat or cold. Variable weather conditions apply; hours may fluctuate (+/-), possible downtime and/or overtime. Number of Hours Per Week: 40 Work Schedule (Start/End time): 8:00 A.M. - 4:30 P.M.</t>
  </si>
  <si>
    <t>H-400-26184-076076</t>
  </si>
  <si>
    <t>Native Creations Landscape Services, Inc.</t>
  </si>
  <si>
    <t>contact@nativecreationspa.com</t>
  </si>
  <si>
    <t>+15705204154</t>
  </si>
  <si>
    <t>Duties may include: Workers will perform manual and semi-skilled forestry and conservation tasks including planting tree seedlings by hand and with mechanized equipment; loading and unloading trucks and trailers with tools, materials, and plant stock; applying pesticides and herbicides using backpack and mechanical sprayers in compliance with safety regulations; operating brush saws and chainsaws for site preparation, thinning, and vegetation control; collecting seeds, cones, and forest materials; conducting livestake collection; and digging, bundling, and preparing trees and plants for transport or replanting. Work is performed outdoors in varying weather conditions and terrain, requiring physical labor and adherence to safety protocols &amp; other related Forestry Worker activities as per SOC/OES 45-4011 (onetonline.org). Standard/Expected Schedule: Monday-Thursday 7:00AM-5:30PM.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Optional, shared housing available at no cost to the worker. Job Classification: 45-4011.00 - Forest and Conservation Workers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Must be 18 due to equipment use. Must show proof of legal authorization to work in the United States. Drug/alcohol/tobacco free work zone. Perform physical activities: such as lift, balance, walk, stoop, handle, position, move, manipulate materials use static strength to exert maximum muscle force to lift, push, pull, carry objects up to 50lbs. All applicants must be able, willing and qualified to perform work described and must be available for the entire period specified and work throughout all areas of intended employment.Based on Employer's discretion/cost: Worker may have random drug/alcohol testing during employment: positive test/refusal to abide = dismissal. Work is performed outdoors, exposed to weather; must be capable of doing physically strenuous labor for long hours, occasionally in extreme heat or cold. Variable weather conditions apply; hours may fluctuate (+/-), possible downtime and/or overtime. Number of Hours Per Week: 40 Work Schedule (Start/End time): 7:00 A.M. - 5:30 P.M.</t>
  </si>
  <si>
    <t>H-400-26184-076094</t>
  </si>
  <si>
    <t>Onions 52, Inc.</t>
  </si>
  <si>
    <t>13/04/2027</t>
  </si>
  <si>
    <t>Cody@onions52.com</t>
  </si>
  <si>
    <t>+18017730630</t>
  </si>
  <si>
    <t>Onion Packers</t>
  </si>
  <si>
    <t>Workers typically perform a variety of tasks in onion packaging facility which may include any of the following tasks: Pack onions into 2, 3, 5, and 10 pound bags and stack and/or secure finished goods. Entry level; requires supervision. Job Classification: 53-7064.00 - Packers and Packagers, Hand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Must lift/carry 50 lbs., when necessary. Work hours are 7:30AM-4PM M-F and 7:30AM-9:30AM Sat. Saturday work required, when necessary. Must be able to stand for long periods of time. Post-accident drug and alcohol testing required. Employer may offer more than the stated work hours depending on weather, business needs, and other conditions. Extreme heat, cold, rain, or drought may affect exact working hours. Number of Hours Per Week: 40 Work Schedule (Start/End time): 7:30 A.M. - 4:00 P.M.</t>
  </si>
  <si>
    <t>H-400-26184-076081</t>
  </si>
  <si>
    <t>Pontchartrain Blue Crab, Inc.</t>
  </si>
  <si>
    <t>garyb@pontchartrainbluecrab.com</t>
  </si>
  <si>
    <t>+19856496645</t>
  </si>
  <si>
    <t>Meat, Poultry, and Fish Cutters and Trimmers</t>
  </si>
  <si>
    <t>Duties may include: Use hands and knives to cut, and to pick meat from crabs and crawfish. Use hands and knives to trim and separate crabs, crawfish and byproducts. Rinse, weigh and prepare crabs and crawfish and crab meat and crawfish meat for picking and packing. Work area preparation and cleanup &amp; other related Meat, Poultry, and Fish Cutters and Trimmers activities as per SOC/OES 51-3022 (onetonline.org). Standard/Expected Schedule: Monday-Friday 6:00AM-3:00PM.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Piece rate may apply: worker will never make less than Prevailing Wage or Federal/State/Local minimum wage. Job Classification: 51-3022.00 - Meat, Poultry, and Fish Cutters and Trimmers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Must show proof of legal authorization to work in the United States. Drug/alcohol/tobacco free work zone. Perform physical activities: such as lift, balance, walk, stoop, handle, position, move, manipulate materials use static strength to exert maximum muscle force to lift, push, pull, carry objects up to 40lbs. All applicants must be able, willing and qualified to perform work described and must be available for the entire period specified.Based on Employer's discretion/cost: Worker may have random drug/alcohol testing during employment: positive test/refusal to abide = dismissal. Delivery and availability of seafood product from fisherman may result in possible downtimes due to weather conditions. Number of Hours Per Week: 40 Work Schedule (Start/End time): 6:00 A.M. - 3:00 P.M.</t>
  </si>
  <si>
    <t>H-400-26184-076090</t>
  </si>
  <si>
    <t>+19018071974</t>
  </si>
  <si>
    <t>Ft Temp Brush Clearer W/supervisory Resp.</t>
  </si>
  <si>
    <t>***RFI response*** Under supervision, worker will assist with directing, coordinating, monitoring, documenting activities, and motivating co-workers. Worker will coordinate with supervisor to determine work schedules and assign specific work locations. Worker will also check on workers/work progress throughout the day, complete daily field reports, help workers navigate the difficulties that can arise in the field, and assist in the handling of herbicides. Worker will be required to transport workers in company owned vehicles. They may also be required to transport job-specific materials, tools and/or equipment. ***Original*** Under supervision worker will assist with directing, coordinating, monitoring, documenting activities, motivating co-workers, and the handling of herbicides. Worker will be required to transport workers in company owned vehicles. E.A.4A is a typical number. Number may vary depending on manager being assisted. Work day will typically start between 6:00 and 7:00 in the morning and overtime will be required. Worker may be eligible to receive a discretionary bonus based on a percentage of total compensation upon completing their seasonal obligation. Work and travel will be done on tracts of land varying in size from less than an acre to 1,000's of acres as governed by Forestry Special Procedures. Worker may at times use backpack sprayer and hand tools to apply herbicide to clear vegetation or debris from utility rights of way, rangelands, wildlife areas, roadsides, industrial sites, and other areas carrying up to 35 lbs. of equipment while walking on rough terrain. Duties will be performed in areas as determined by an itinerary in accordance with Forestry Rules [GAL I-97 H2B] [FR DOC. E7-12766] [TEGL 27-6] and various other publications and established practices. See attachment CDR Response P-400-13042-521868 November 14, 2013 Job Classification: 37-1012.00 - First-Line Supervisors of Landscaping, Lawn Service, and Groundskeeping Workers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12 Special Requirements: Applicant must be 21 years of age and available to travel overnight for extended periods of time. Applicant must have a minimum of 1-year documented experience supervising a minimum of 6 brush clearers on utility rights of way or forested lands, and demonstrated competence identifying foliage, handling pesticides, and performing low volume herbicide application techniques to industry standards. Applicant must be able to obtain a state pesticide license in work areas where required by government regulation. Applicant must have a good driving record and drivers license, meet all company driver standards, pass a company driver test, complete company application and may be required to obtain a DOT medical card prior to driving. No previous training required but must attend company paid training at start location. Progressive Solutions maintains a drug free workplace, and workers may be subject to post-employment drug testing as required by government contracts. Number of Hours Per Week: 50 Work Schedule (Start/End time): 6:30 A.M. - 4:00 P.M.</t>
  </si>
  <si>
    <t>H-400-26184-076115</t>
  </si>
  <si>
    <t>ps.jobapplicants@progressivesolutions.net</t>
  </si>
  <si>
    <t>+18704483065</t>
  </si>
  <si>
    <t>H-400-26184-076113</t>
  </si>
  <si>
    <t>R&amp;R Contracting</t>
  </si>
  <si>
    <t>rrcontracting.mrocha@gmail.com</t>
  </si>
  <si>
    <t>+15412242602</t>
  </si>
  <si>
    <t>Duties may include: Tree planting, piling, thinning, harvesting, herbicide application, under the direction of fire suppression officers or forestry technicians: perform suppression/firefighting duties via clearing/disposing of brush &amp; other related Forestry Worker activities as per SOC/OES 45-4011 (onetonline.org). Standard/Expected Schedule: Monday-Friday 7:00AM-3:30PM.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Optional, shared housing available at no cost to the worker. Job Classification: 45-4011.00 - Forest and Conservation Workers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Must be 18 due to government contracts. Must show proof of legal authorization to work in the United States. Drug/alcohol/tobacco free work zone. Must walk substantially (up to 15 miles/day), also stoop, bend while carrying a pack (up to 50lbs) thru rough terrain (non-trail). All applicants must be able, willing and qualified to perform work described and must be available for the entire period specified and work throughout all areas of intended employment. Work is performed outdoors, exposed to weather; must be capable of doing physically strenuous labor for long hours, occasionally in extreme heat or cold. Variable weather conditions apply; hours may fluctuate (+/-), possible downtime and/or overtime. Number of Hours Per Week: 40 Work Schedule (Start/End time): 7:00 A.M. - 3:30 P.M.</t>
  </si>
  <si>
    <t>H-400-26184-076109</t>
  </si>
  <si>
    <t>Rainmaker Irrigation, Inc</t>
  </si>
  <si>
    <t>info@rainmakeronline.net</t>
  </si>
  <si>
    <t>+16109939909</t>
  </si>
  <si>
    <t>Landscape or maintain grounds of property using hand or power tools or equipment. Workers must be able to perform a variety of tasks without close supervision, which may include any combination of the following: sod laying, planting, watering, digging, raking, assists with installation/maintenance of sprinklers and mortarless segmental concrete masonry wall units. Must exercise independent judgment; may be asked to demonstrate tasks to other employees but position does not include supervision of other workers. Job Classification: 37-3011.00 - Landscaping and Groundskeeping Workers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Must lift/carry 50 lbs., when necessary. Saturday and Sunday work required, when necessary. Employer-paid post-hire random drug testing required of foreign and domestic workers. Employer-paid post-hire background checks may be required of foreign and domestic workers based on contract requirements. Employer may offer more than the stated work hours, depending on weather, business needs, and other conditions. Extreme heat, cold, rain, or drought may affect exact working hours. Number of Hours Per Week: 40 Work Schedule (Start/End time): 7:00 A.M. - 3:30 P.M.</t>
  </si>
  <si>
    <t>H-400-26184-076075</t>
  </si>
  <si>
    <t>Roux Brothers, LLC</t>
  </si>
  <si>
    <t>brian@roux61.com</t>
  </si>
  <si>
    <t>+16014450006</t>
  </si>
  <si>
    <t>Duties may include: Assist cooks and kitchen staff with various tasks as needed, and provide cooks with needed items. Wash, peel, and cut various foods, such as fruits and vegetables, to prepare for cooking or serving. Butcher and clean fowl, fish, poultry, and shellfish to prepare for cooking or serving. Cut, slice or grind meat, poultry, and seafood to prepare for cooking. Load dishes, glasses, and tableware into dishwashing machines &amp; other related Food Preparation Workers activities as per SOC/OES 35-9021 (onetonline.org). Standard/Expected Schedule: Monday-Saturday 9:00AM-3:00PM or 3:00PM-10:00PM.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Job Classification: 35-9021.00 - Dishwashers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Must be 18 due to state labor laws. Must show proof of legal authorization to work in the United States. Drug/alcohol/tobacco free work zone. Perform physical activities: such as lift, balance, walk, stoop, handle, position, move, manipulate materials use static strength to exert maximum muscle force to lift, push, pull, carry objects up to 40lbs. All applicants must be able, willing and qualified to perform work described and must be available for the entire period specified and work throughout all areas of intended employment. Hours may fluctuate based on tourism peaks and valleys throughout the season (+/-), possible downtime and/or overtime. Number of Hours Per Week: 40 Work Schedule (Start/End time): 9:00 A.M. - 3:00 P.M.</t>
  </si>
  <si>
    <t>H-400-26184-076080</t>
  </si>
  <si>
    <t>Steward</t>
  </si>
  <si>
    <t>Clean dishes, kitchen, food preparation equipment or utensils using dishwashers or by hand; maintain kitchen work areas, equipment or utensils in clean and orderly condition; place clean dishes, utensils or cooking equipment in storage areas; sort and remove trash, placing it in designated pick up areas; stock and transfer supplies to serving stations, cupboards, refrigerators, storage and work areas; take out garbage; prepare and package individual place settings; assist in the plating and dishing out of food; take food and equipment from banquet storage spaces to various locations on property; clean kitchen cooking equipment and other equipment used in the stewarding department; assist with picking up dirty trays; set up banquet tables and assist with preparing meeting space as assigned; and, assist with cleanliness of hotel, picking up trash, sweeping and other cleaning duties as assigned. Job Classification: 37-2011.00 - Janitors and Cleaners, Except Maids and Housekeeping Cleaners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Must be able to lift, pull or push between 30 - 50 pounds of equipment or trash. Must be available to work all shifts, including weekends, evenings, overnights and holidays. Number of Hours Per Week: 40 Work Schedule (Start/End time): 8:00 A.M. - 4:00 P.M.</t>
  </si>
  <si>
    <t>H-400-26184-076101</t>
  </si>
  <si>
    <t>THE CLUB AT BAREFOOT BEACH</t>
  </si>
  <si>
    <t>ANGELA WARD</t>
  </si>
  <si>
    <t>Food Runner</t>
  </si>
  <si>
    <t>1. Set tables, carry trays and plates to members, customers and guests. 2. Clean and clear tables. 3. Serve water, coffee and other beverages. 4. Assist in setting up for banquets, special events and/or large parties. The duties for the Food Runner position are supportive in nature, designed to assist the primary service staff and kitchen team. We provide the following elaborations: • Assist in setting up for banquets, special events and/or large parties: Tasks include arranging tables and chairs according to floor plans, laying linens, and pre-setting non-perishable items such as salt/pepper shakers, centerpieces, and folded napkins. • Assist in other food running/serving activities for members, customers and guests: This involves maintaining the cleanliness of the dining area, transporting clean linens to service stations, and ensuring condiment containers are filled and ready for service. • Coordinating with kitchen staff to ensure timely delivery of food orders and assisting in expediting service during high-volume periods: The worker will monitor the "expediter" station to identify completed plates, ensure the correct garnishes are present as directed by the Chef, and promptly carry trays to the designated dining area to maintain food temperature. • Providing basic guest assistance such as confirming delivery of ordered items or responding to immediate re-service needs (e.g., replacing dropped utensils, offering water refills) under the supervision of waitstaff or banquet captain.): Under the strict supervision of a waiter or banquet captain, the worker may fulfill immediate, non-complex requests such as replacing a dropped fork, refilling water glasses, or informing a server that a guest requires further assistance. Response to Specific Inquiries • Order Taking: The Food Runner will not take food or drink orders from guests at any time, whether inside or outside the establishment. All ordering is handled exclusively by waitstaff. • Duties in Outside/Beach Settings: When performing duties in "outside within the club grounds, including in a beach like setting," the tasks remain identical to indoor service: carrying food trays from the kitchen to outdoor tables, clearing used dishes/trash from the area, and ensuring outdoor service stations are stocked with clean utensils and napkins. 5. Assist in other food running/serving activities for members, customers and guests. Tasks may be performed inside or outside within the club grounds, including in a beach like setting. Including but not limited to: a. Restocking server stations with silverware, napkins, condiments, and water pitchers during service periods. b. Delivering bread baskets, pre-set appetizers, or condiments to tables upon direction of waitstaff or kitchen. c. Coordinating with kitchen staff to ensure timely delivery of food orders and assisting in expediting service during high-volume periods. d. Assisting in the polishing and placement of glassware and utensils at active dining tables or banquet setups. e. Transporting dirty dishes, glassware, and utensils back to designated dishwashing areas during or after service. f. Providing basic guest assistance such as confirming delivery of ordered items or responding to immediate re-service needs (e.g., replacing dropped utensils, offering water refills) under the supervision of waitstaff or banquet captain. Job Classification: 53-7062.00 - Laborers and Freight, Stock, and Material Movers, Hand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THREE (3) MONTHS OF EXPERIENCE IN A HIGH-VOLUME RESTAURANT, RESORT OR PRIVATE CLUB ENVIRONMENT OR OTHER HOSPITALITY SERVICE SETTING REQUIRING GUEST SERVICE, FOOD SERVICE OR EVENT SERVICE DUTIES. Number of Hours Per Week: 35 Work Schedule (Start/End time): 7:00 A.M. - 2:00 P.M.</t>
  </si>
  <si>
    <t>H-400-26184-076114</t>
  </si>
  <si>
    <t>TJM Tree Service and Landscape Design</t>
  </si>
  <si>
    <t>tjmtreeservice14@gmail.com</t>
  </si>
  <si>
    <t>+14127993090</t>
  </si>
  <si>
    <t>Duties may include: Care for established lawns by mowing, trimming (from ground level), edging, mulching, raking, composting leaves, aerating, weeding, removing thatch, litter, leaves and debris. Deadhead, prune, or trim flowers, foliage, plants, shrubs and trees. Plant grass, seeds, bulbs, foliage, flowers, ground covers, shrubs, and trees. Haul or spread landscape material such as mulch, rock and topsoil. Water/irrigate lawns, plants and trees using portable sprinkler systems, hoses or watering cans. Provide proper upkeep to sidewalks, driveways, parking lots, planters, or other grounds features. Use hand tools, such as shovels, rakes, pruners, shears, and wheelbarrows. May operate powered equipment, such as mowers, trimmers, edgers, pruning saws and leaf blowers. Occasional snow shoveling from walks, driveways or parking lots with hand shovels or small hand blow. Clean worksite to ensure safety &amp; other related Landscape Laborer activities as per SOC/OES 37-3011 (onetonline.org). Standard/Expected Schedule: Monday-Friday 8:00AM-5:00PM.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Optional, shared housing available to the worker at a monthly housing rate up to $300.00; if optional housing is agreed upon by the worker, monthly housing rate is to be paid directly to the landlord each month. Job Classification: 37-3011.00 - Landscaping and Groundskeeping Workers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Must be 18 due to equipment use. Must show proof of legal authorization to work in the United States. Drug/alcohol/tobacco free work zone. Perform physical activities such as: lift, balance, walk, stoop, handle, position, move, manipulate materials use static strength to exert max muscle force to lift, push, pull, carry objects up to 75lbs (possible 2-person). All applicants must be able, willing and qualified to perform work described and must be available for the entire period specified and work throughout all areas of intended employment. Work is performed outdoors, exposed to weather; must be capable of doing physically strenuous labor for long hours, occasionally in extreme heat or cold. Variable weather conditions apply; hours may fluctuate (+/-), possible downtime and/or overtime. Number of Hours Per Week: 40 Work Schedule (Start/End time): 8:00 A.M. - 5:00 P.M.</t>
  </si>
  <si>
    <t>H-400-26184-076088</t>
  </si>
  <si>
    <t>Telluride Nivalis, Inc</t>
  </si>
  <si>
    <t>07/04/2027</t>
  </si>
  <si>
    <t>heatherboucher1@gmail.com</t>
  </si>
  <si>
    <t>+19703893334</t>
  </si>
  <si>
    <t>Snow Shoveler</t>
  </si>
  <si>
    <t>Duties may include: Under supervision, maintain and perform general groundskeeping for existing residential properties by providing upkeep. Shovel snow from walkways and driveways; apply de-icer/spread salt by hand. Operate snow removal tools and equipment such as hand held snow shovels and low-power snow blowers/bobcat (small, entry-level tractor) with attachments such as a blower. Prepare/cleanup for upcoming inclement weather events after snow/ice events &amp; other related Snow Shoveler activities as per SOC/OES 37-3011 (onetonline.org). Standard/Expected Schedule: Monday-Friday 6:00AM-1:00PM. Offering 35+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Job Classification: 37-3011.00 - Landscaping and Groundskeeping Workers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Must be 18 due to equipment use. Must show proof of legal authorization to work in the United States. Drug/alcohol/tobacco free work zone. Perform physical activities such as: lift, balance, walk, stoop, handle, position, move, manipulate materials use static strength to exert max muscle force to lift, push, pull, carry objects up to 100lbs (possible 2-person). All applicants must be able, willing and qualified to perform work described and must be available for the entire period specified and work throughout all areas of intended employment. Work is performed outdoors, exposed to weather; must be capable of doing physically strenuous labor for long hours, occasionally in extreme heat or cold. Variable weather conditions apply; hours may fluctuate (+/-), possible downtime and/or overtime. Number of Hours Per Week: 35 Work Schedule (Start/End time): 6:00 A.M. - 1:00 P.M.</t>
  </si>
  <si>
    <t>H-400-26184-076099</t>
  </si>
  <si>
    <t>Tradewater Outfitters LLC</t>
  </si>
  <si>
    <t>rack9outdoors@gmail.com</t>
  </si>
  <si>
    <t>+12708367998</t>
  </si>
  <si>
    <t>Tour Guides and Escorts</t>
  </si>
  <si>
    <t>Duties may include: Hunting guide duties to include working and maintaining hunting dogs, stock hunting fields, assist hunters in the field, clean birds. Maintain and clean all work areas. Clean dog kennels and feed dogs. Load and unload birds. Feed and water bird stock &amp; other related Tour Guides and Escorts activities as per SOC/OES 39-2021 (onetonline.org). Standard/Expected Schedule: Monday-Saturday 6:00AM-4:00PM. Offering 40+ (plus) hours per week; not including applicable lunch and/or breaks. Weekly schedule may vary depending on business needs. Workdays may begin/end earlier or later on any given day depending on season demands..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Optional, shared housing available at no cost to the worker. Job Classification: 39-2021.00 - Animal Caretakers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Must show proof of legal authorization to work in the United States. Drug/alcohol/tobacco free work zone. Perform physical activities: such as lift, balance, walk, stoop, handle, position, move, manipulate materials use static strength to exert maximum muscle force to lift, push, pull, carry objects up to 40lbs. All applicants must be able, willing and qualified to perform work described and must be available for the entire period specified and work throughout all areas of intended employment.Based on Employer's discretion/cost: Worker may have random drug/alcohol testing during employment: positive test/refusal to abide = dismissal. Possible background check post hire at employer's expense.Work is performed outdoors, exposed to weather; must be capable of doing physically strenuous labor for long hours, occasionally in extreme heat or cold. Variable weather conditions apply; hours may fluctuate (+/-), possible downtime and/or overtime. Number of Hours Per Week: 40 Work Schedule (Start/End time): 6:00 A.M. - 4:00 P.M.</t>
  </si>
  <si>
    <t>H-400-26184-076107</t>
  </si>
  <si>
    <t>10/05/2027</t>
  </si>
  <si>
    <t>Drive heavy and tractor-trailer trucks, belly dump trailers (singles and doubles) with a capacity of at least 26,001 pounds Gross Vehicle Weight (GVW) transporting agricultural commodity (mostly sugar beets). Regularly climb up and down, on, into and out of tractors and trailers, up to five (5) feet high. Must be able to read, write, and speak English sufficiently to perform job duties, including reading traffic signs, communicating with the public and law enforcement, and completing required reports in accordance with DOT and FMCSA requirements. Job Classification: 53-3032.00 - Heavy and Tractor-Trailer Truck Drivers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6 Special Requirements: Class A Commercial Driver's License or equivalent Must be able to sit and remain alert while driving for 12-hour day and/or night shifts as needed. Must pass background check and drug testing. English proficiency required to perform job duties. Number of Hours Per Week: 48 Work Schedule (Start/End time): 5:00 P.M. - 5:00 A.M.</t>
  </si>
  <si>
    <t>H-400-26184-076105</t>
  </si>
  <si>
    <t>Williams Forestry and Associates LLC</t>
  </si>
  <si>
    <t>john@wfatrees.com</t>
  </si>
  <si>
    <t>+15704580766</t>
  </si>
  <si>
    <t>Duties may include: Dig holes all day: approximately 1200-1500 per day to then plant tree seedlings w/o J/U root using hand planting tool(s) in forest environment in various weather/terrain conditions &amp; other related Forestry Worker activities as per SOC/OES 45-4011 (onetonline.org). Standard/Expected Schedule: Monday-Friday 7:30AM-4:30PM.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Piece rate may apply: worker will never make less than Prevailing Wage or Federal/State/Local minimum wage. Optional, shared housing available at no cost to the worker. Job Classification: 45-4011.00 - Forest and Conservation Workers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Must be 18 due to travel. Must show proof of legal authorization to work in the United States. Drug/alcohol/tobacco free work zone. Must walk substantially (up to 15 miles/day), also stoop, bend while carrying a pack (up to 50lbs) thru rough terrain (non-trail). All applicants must be able, willing and qualified to perform work described and must be available for the entire period specified and work throughout all areas of intended employment.Based on Employer's discretion/cost: Worker may have random drug/alcohol testing during employment: positive test/refusal to abide = dismissal. Possible background check post hire at employer's expense.Work is performed outdoors, exposed to weather; must be capable of doing physically strenuous labor for long hours, occasionally in extreme heat or cold. Variable weather conditions apply; hours may fluctuate (+/-), possible downtime and/or overtime. Number of Hours Per Week: 40 Work Schedule (Start/End time): 7:30 A.M. - 4:30 P.M.</t>
  </si>
  <si>
    <t>H-400-26184-076134</t>
  </si>
  <si>
    <t>All applicants must be able, willing, qualified perform work described in this job description &amp; be available entire period specified. Duties may include: reforest, protect timber tracts, sow seed; lift seedlings from nursery beds, place shade materials beside seedlings, net/ tube (place small plastic tubes over seedlings); mulch, post-plant hand scalp (remove excess vegetation around seedlings); apply repellent or fertilizer to seedlings &amp; other forestry related activities as per Forestry &amp; Land Management General Forestry Laborer activities as per SOC/OES 45-4011 (onetonline.org). Perform physical activities: lift, balance, walk, stoop, handle, position, move, manipulate materials use static strength-exert max muscle force to lift, push, pull, or carry objects up to 50lbs. Attn to detail; complete work tasks timely. Outdoors, exposed to weather; must be capable physical strenuous labor long hrs, occasionally in extreme heat/cold. Variable weather conditions apply; hrs may fluctuate (+/-), possible downtime/ OT. Possible daily/wkly hrs: 7AM-3:30 PM. M-F 35-40 plus/hrs wkly, includes lunch break. No min. edu. No exp. reqd. OJT. Transport provided, designated locale to job site at no cost to worker. Employer provided tools, supplies/equipment w/o charge/deposit. The employer’s optional housing is provided at no cost to worker. Job Classification: 45-4011.00 - Forest and Conservation Workers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Must be at least 18 years old due to travel. Must show proof of legal authority to work in U.S. Drug, Alcohol, Tobacco free work zone. Number of Hours Per Week: 35 Work Schedule (Start/End time): 7:00 A.M. - 3:30 P.M.</t>
  </si>
  <si>
    <t>H-400-26184-076142</t>
  </si>
  <si>
    <t>BUCK ENTERPRISES, LLC</t>
  </si>
  <si>
    <t>sabuck76@yahoo.com</t>
  </si>
  <si>
    <t>+13043743513</t>
  </si>
  <si>
    <t>H-400-26184-076136</t>
  </si>
  <si>
    <t>Cajun Sugar Company, LLC</t>
  </si>
  <si>
    <t>info@cajunsugar.net</t>
  </si>
  <si>
    <t>+13373653401</t>
  </si>
  <si>
    <t>Maintenance Helpers - Twenty (24) temporary full-time positions available from 10/01/2026 to 06/30/2027 in New Iberia, Louisiana with Cajun Sugar Company, LLC. Help installation, maintenance, and repair workers in maintenance, parts replacement, and repair of industrial equipment used in the processing raw sugar. Perform duties such as furnishing tools, materials, and supplies to other more experienced workers. Cleaning work area, machines, and tools, and holding materials or tools for other more experienced workers during the harvesting season and after harvesting in preparation for the upcoming season. A minimum of 3 months experience required in the job offered in sugar mill equipment. No minimum education required. No on-the-job training provided. $15.44/Hour; $23.16/Hour OT (paid every 2 weeks by check). Will be required to work rotating 8-hour shifts including 11:00 a.m.–7:00 p.m., 7:00 p.m.–3:00 a.m., and 3:00 a.m.–11:00 a.m. 56 hrs a week during harvest season, 40 hrs a week after harvest season, overtime paid after 48 hours during harvesting and after 40 hours after harvesting. Must be willing to work 7 days per week. Overtime Hours will vary and are not guaranteed. The employer will make all deductions from the worker's paycheck required by law. Worker will have 30 minutes paid lunch break during the workday. Optional on-site lodging offered at no charge to workers hired in this temporary seasonal position. Cajun will provide U.S. workers at least the same benefits, wages, and working conditions that will be offered or provided to H-2B workers. Cajun will provide to the worker, without charge or deposit charge, all tools, supplies, and equipment required to perform the duties assigned. Employer guarantees to offer employment equal to at least three-fourths (3/4's) of the workdays of each 12-week period of the total employment period; and, if the guarantee is not met, the employer will pay the worker what the worker would have earned if the employer had offered the guaranteed number of days. The 12-week period will begin the first workday after the worker's arrival or the advertised contractual first date of need, whichever is later. The worker will be reimbursed for transportation and subsistence expenses from the place from which the worker has come to work for the employer, whether in the U.S. or abroad, to the place of employment by check by the employer upon completion of 50% of the period of employment covered by the job order or earlier, if appropriate. This includes at least $16.78 per day during travel to a maximum of $68.00 per day with documentation of actual expenses. Also, the employer will provide or pay for the worker's outbound transportation and subsistence if the worker completes the job order period or is dismissed early from employment for any reason by the employer before the end of the period. The employer will reimburse the H-2B worker in the first workweek the full cost for all visa, visa processing, border crossing, and other related fees, including those mandated by the government. Cajun will provide or reimburse inbound and outbound transportation and daily subsistence costs for corresponding U.S. workers who are not reasonably able to return to their residence within the same workday. As applicable, daily transportation to and from worksite will be provided by employer. Higher pay may be available to workers with extensive experience. Please send resumes or contact Mr. Dirk Boudreaux at Cajun Sugar Company, LLC, 2711 Northside Road, New Iberia, LA 70563 Tel: 337-365-3401 Fax: 337-365-7820 Email: info@cajunsugar.net. Website: https://www.cajunsugar.net/. Applicants may inquire about the job opportunity or send resumes/applications directly to Iberia American Job Center, 609 Ember Drive, New Iberia, LA 70560; Tel: 337-347-9537; Email info@acadianaworkforce.org. reference job order #1641090. Job Classification: 49-9098.00 - Helpers--Installation, Maintenance, and Repair Workers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Number of Hours Per Week: 56 Work Schedule (Start/End time): 11:00 A.M. - 7:00 P.M.</t>
  </si>
  <si>
    <t>H-400-26184-076148</t>
  </si>
  <si>
    <t>Collier's Reserve Country Club, Inc</t>
  </si>
  <si>
    <t>Servers who will be responsible for: • greeting customers, guests and members • setting up the dining areas • taking and placing food and beverage orders and accurately entering orders into the POS system • carrying trays and plates • serving meals and beverages • cleaning, clearing tables and resetting tables • clearing and resetting tables • running food accurately and promptly • refilling water • maintaining clean service stations • polishing glassware and silverware • assisting with dining room • dining room or event space setup and breakdown Depending on level of experience primary duties Server may be assigned the following primary duties: • clearing and resetting tables • running food accurately and promptly • refilling water • maintaining clean service stations • polishing glassware and silverware • assisting with dining room • dining room or event space setup and breakdown Job Classification: 35-3031.00 - Waiters and Waitresses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6 Special Requirements: Six (6) months of experience in fine dining, or high volume environment at high end restaurant, resort or private club. Number of Hours Per Week: 35 Work Schedule (Start/End time): 10:00 A.M. - 5:00 P.M.</t>
  </si>
  <si>
    <t>H-400-26184-076130</t>
  </si>
  <si>
    <t>Bartender</t>
  </si>
  <si>
    <t>Takes orders, prepares and serves drinks to the clients. Keeps bar stocked and clean, brings food from kitchen to bar and takes payments (5) workers needed. Dates of need: 10/1/26-5/31/27. 3 months experience necessary. Rotating shifts. Workdays: Mon-Sun. Work hours: 10am-11pm. Rate of pay: $13-$18 plus tips but no less than $19.39/hr, $29.09/hr overtime. Workers paid biweekly. 35 hours/wk. Optional housing provided for $23-$26/day with a $450 deposit ($350.00 refundable/ $100 non-refundable. Refundable upon completion of contract). Christmas bonus available. Uniforms and shift meals provided. Job location: 23101 Copperleaf Blvd., Estero, FL 34135 Work is temporary full time employment. A single workweek will be used to compute wages. May get up to 10 hours of overtime when available. All deductions from the worker's paycheck required by law will be made. The employer will provide workers at no charge all /tools, supplies, and equipment required to perform the job. The worker will be provided with or reimbursed for transportation and subsistence (including reasonable cost of overnight lodging where necessary up to $110/night for lodging with receipts.) at a rate of $16.78 per day during travel to a maximum of $68.00 per day with receipts from the place from which the worker has come to work for the employer, whether in the U.S. or abroad, to the place of employment, if the worker completes 50 percent of the period of employment covered by the job order, consistent with 20 CFR 655.20(j)(1)(i) by inclusion in the paycheck for the applicable week. Employer will provide or pay for the worker's cost of return transportation and daily subsistence from the place of employment to the place from which the worker, disregarding intervening employment, departed to work for the employer, if the worker completes the certified period of employment or is dismissed from employment for any reason by the employer before the end of the period, consistent with § 655.20(j)(1)(ii); H-2B workers will be reimbursed in the first workweek for all visas, visa processing, border crossing, and other related fees, including those mandated by the government (excluding passport fees). The employer will provide workers all tools, supplies, and equipment required to perform the job at no charge to the worker, in accordance with 20 CFR 655.20(k). Qualified applicants may mail resume to Attn: Alex Diaz at 23101 Copperleaf Blvd., Estero, FL 34135, email to Employment@Copperleafgc.com, or visit your local job center at 3050 Horseshoe Drive North Building A Suite 110, Naples, FL 34104. *Your security deposit is refundable upon completion of your contract and upon inspection of the housing. If a worker abandons their job without permission of the employer or a worker abandons their housing before the end of the petition date for any reason except employer termination, the workers forfeits all housing deposits, PTO, vacation and bonus pay. Upon termination of resignation, the worker must vacate the housing immediately thereafter unless agreed upon by the employer.* Job Classification: 35-3011.00 - Bartenders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Number of Hours Per Week: 35 Work Schedule (Start/End time): 10:00 A.M. - 11:00 P.M.</t>
  </si>
  <si>
    <t>H-400-26184-076147</t>
  </si>
  <si>
    <t>Captain</t>
  </si>
  <si>
    <t>Perform various financial activities, such as cash handling. Resolve customer complaints regarding food service. Compile and balance cash receipts at the end of the day or shift. Present bills and accept payments. Make schedule for dining room employees (2) workers needed. Dates of need: 10/1/26-5/31/27. 3 months experience necessary. Rotating shifts. Workdays: Mon-Sun. Work hours: 6am-10pm. Rate of pay: $23-$28/hr based on performance, $34.50-$42/hr overtime. Workers paid biweekly. 35 hours/wk. Optional housing provided for $23-$26/day with a $450 deposit ($350.00 refundable/ $100 non-refundable. Refundable upon completion of contract). Christmas bonus available. Uniforms and shift meals provided. Job location: 23101 Copperleaf Blvd., Estero, FL 34135 Work is temporary full time employment. A single workweek will be used to compute wages. May get up to 10 hours of overtime when available. All deductions from the worker's paycheck required by law will be made. The employer will provide workers at no charge all /tools, supplies, and equipment required to perform the job. The worker will be provided with or reimbursed for transportation and subsistence (including reasonable cost of overnight lodging where necessary up to $110/night for lodging with receipts.) at a rate of $16.78 per day during travel to a maximum of $68.00 per day with receipts from the place from which the worker has come to work for the employer, whether in the U.S. or abroad, to the place of employment, if the worker completes 50 percent of the period of employment covered by the job order, consistent with 20 CFR 655.20(j)(1)(i) by inclusion in the paycheck for the applicable week. Employer will provide or pay for the worker's cost of return transportation and daily subsistence from the place of employment to the place from which the worker, disregarding intervening employment, departed to work for the employer, if the worker completes the certified period of employment or is dismissed from employment for any reason by the employer before the end of the period, consistent with § 655.20(j)(1)(ii); H-2B workers will be reimbursed in the first workweek for all visas, visa processing, border crossing, and other related fees, including those mandated by the government (excluding passport fees). The employer will provide workers all tools, supplies, and equipment required to perform the job at no charge to the worker, in accordance with 20 CFR 655.20(k). Qualified applicants may mail resume to Attn: Alex Diaz at 23101 Copperleaf Blvd., Estero, FL 34135, email to Employment@Copperleafgc.com, or visit your local job center at 3050 Horseshoe Drive North Building A Suite 110, Naples, FL 34104. *Your security deposit is refundable upon completion of your contract and upon inspection of the housing. If a worker abandons their job without permission of the employer or a worker abandons their housing before the end of the petition date for any reason except employer termination, the workers forfeits all housing deposits, PTO, vacation and bonus pay. Upon termination of resignation, the worker must vacate the housing immediately thereafter unless agreed upon by the employer.* Job Classification: 35-1012.00 - First-Line Supervisors of Food Preparation and Serving Workers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Number of Hours Per Week: 35 Work Schedule (Start/End time): 6:00 A.M. - 10:00 P.M.</t>
  </si>
  <si>
    <t>H-400-26184-076166</t>
  </si>
  <si>
    <t>Dining Room Attendant</t>
  </si>
  <si>
    <t>Clean off &amp; set tables, bring food out from kitchen to tables &amp; bars, serve coffee/ water. (4) workers needed. Dates of need: 10/1/26-5/31/27. 3 months experience necessary. Rotating shifts. Workdays: Mon-Sun. Work hours: 6am-10pm. Rate of pay: $14-$19 plus tips but no less than $16.04/hr, $24.06/hr overtime. Workers paid biweekly. 35 hours/wk. Optional housing provided for $23-$26/day with a $450 deposit ($350.00 refundable/ $100 non-refundable. Refundable upon completion of contract). Christmas bonus available. Uniforms and shift meals provided. Job location: 23101 Copperleaf Blvd., Estero, FL 34135 Work is temporary full time employment. A single workweek will be used to compute wages. May get up to 10 hours of overtime when available. All deductions from the worker's paycheck required by law will be made. The employer will provide workers at no charge all /tools, supplies, and equipment required to perform the job. The worker will be provided with or reimbursed for transportation and subsistence (including reasonable cost of overnight lodging where necessary up to $110/night for lodging with receipts.) at a rate of $16.78 per day during travel to a maximum of $68.00 per day with receipts from the place from which the worker has come to work for the employer, whether in the U.S. or abroad, to the place of employment, if the worker completes 50 percent of the period of employment covered by the job order, consistent with 20 CFR 655.20(j)(1)(i) by inclusion in the paycheck for the applicable week. Employer will provide or pay for the worker's cost of return transportation and daily subsistence from the place of employment to the place from which the worker, disregarding intervening employment, departed to work for the employer, if the worker completes the certified period of employment or is dismissed from employment for any reason by the employer before the end of the period, consistent with § 655.20(j)(1)(ii); H-2B workers will be reimbursed in the first workweek for all visas, visa processing, border crossing, and other related fees, including those mandated by the government (excluding passport fees). The employer will provide workers all tools, supplies, and equipment required to perform the job at no charge to the worker, in accordance with 20 CFR 655.20(k). Qualified applicants may mail resume to Attn: Alex Diaz at 23101 Copperleaf Blvd., Estero, FL 34135, email to Employment@Copperleafgc.com, or visit your local job center at 3050 Horseshoe Drive North Building A Suite 110, Naples, FL 34104. *Your security deposit is refundable upon completion of your contract and upon inspection of the housing. If a worker abandons their job without permission of the employer or a worker abandons their housing before the end of the petition date for any reason except employer termination, the workers forfeits all housing deposits, PTO, vacation and bonus pay. Upon termination of resignation, the worker must vacate the housing immediately thereafter unless agreed upon by the employer.* Job Classification: 35-9011.00 - Dining Room and Cafeteria Attendants and Bartender Helpers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Number of Hours Per Week: 35 Work Schedule (Start/End time): 6:00 A.M. - 10:00 P.M.</t>
  </si>
  <si>
    <t>H-400-26184-076126</t>
  </si>
  <si>
    <t>Prepare, cook, saute, broil, fry such items as seafood, meats, poultry, vegetables, pastas, soups. Keeps kitchen areas clean &amp; sanitized. Stores all products in proper locations (12) workers needed. Dates of need: 10/1/26-5/31/27. 3 months experience necessary. Rotating shifts. Workdays: Mon-Sun. Work hours: 6am-10pm. Rate of pay: $21-$26 based on performance, $31.50-$39/hr overtime. Workers paid biweekly. 35 hours/wk. Optional housing provided for $23-$26/day with a $450 deposit ($350.00 refundable/ $100 non-refundable. Refundable upon completion of contract). Christmas bonus available. Uniforms and shift meals provided. Job location: 23101 Copperleaf Blvd., Estero, FL 34135 Work is temporary full time employment. A single workweek will be used to compute wages. May get up to 10 hours of overtime when available. All deductions from the worker's paycheck required by law will be made. The employer will provide workers at no charge all /tools, supplies, and equipment required to perform the job. The worker will be provided with or reimbursed for transportation and subsistence (including reasonable cost of overnight lodging where necessary up to $110/night for lodging with receipts.) at a rate of $16.78 per day during travel to a maximum of $68.00 per day with receipts from the place from which the worker has come to work for the employer, whether in the U.S. or abroad, to the place of employment, if the worker completes 50 percent of the period of employment covered by the job order, consistent with 20 CFR 655.20(j)(1)(i) by inclusion in the paycheck for the applicable week. Employer will provide or pay for the worker's cost of return transportation and daily subsistence from the place of employment to the place from which the worker, disregarding intervening employment, departed to work for the employer, if the worker completes the certified period of employment or is dismissed from employment for any reason by the employer before the end of the period, consistent with § 655.20(j)(1)(ii); H-2B workers will be reimbursed in the first workweek for all visas, visa processing, border crossing, and other related fees, including those mandated by the government (excluding passport fees). The employer will provide workers all tools, supplies, and equipment required to perform the job at no charge to the worker, in accordance with 20 CFR 655.20(k). Qualified applicants may mail resume to Attn: Alex Diaz at 23101 Copperleaf Blvd., Estero, FL 34135, email to Employment@Copperleafgc.com, or visit your local job center at 3050 Horseshoe Drive North Building A Suite 110, Naples, FL 34104. *Your security deposit is refundable upon completion of your contract and upon inspection of the housing. If a worker abandons their job without permission of the employer or a worker abandons their housing before the end of the petition date for any reason except employer termination, the workers forfeits all housing deposits, PTO, vacation and bonus pay. Upon termination of resignation, the worker must vacate the housing immediately thereafter unless agreed upon by the employer.* Job Classification: 35-2014.00 - Cooks, Restaurant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Number of Hours Per Week: 35 Work Schedule (Start/End time): 6:00 A.M. - 10:00 P.M.</t>
  </si>
  <si>
    <t>H-400-26184-076135</t>
  </si>
  <si>
    <t>DESIGNIA, INC.</t>
  </si>
  <si>
    <t>Employment@DeSigniaLandscape.com</t>
  </si>
  <si>
    <t>+17044948877</t>
  </si>
  <si>
    <t>H-400-26184-076133</t>
  </si>
  <si>
    <t>Elite Outdoor Enterprises LLC</t>
  </si>
  <si>
    <t>23/12/2026</t>
  </si>
  <si>
    <t>nate65804@gmail.com</t>
  </si>
  <si>
    <t>+14178859898</t>
  </si>
  <si>
    <t>Duties include dormant season installation of trees, shrubs, or flowers in the appropriate design pattern. Unloading materials, digging holes for root systems, properly covering the holes and sometimes sod laying, planting grass seed or connecting irrigation. Leaf removal, lawn seed and straw, lawn aeration, planting shrubbery, digging, raking, and installation of mortarless segmental concrete masonry wall units. Workers may gather and remove litter, water seeded lawns, trees, plants and prune or trim trees, shrubs, or hedges. Workers may operate powered equipment, and drive vehicles to customer locations. Duties may include sod laying, mowing, watering plants &amp; lawns, plant transplanting, fertilizing, digging, raking, sprinkler installation. Employees will be digging trenches no larger than 6 - 12 inches deep and 6 - 12 inches wide with shovels and hand tools. These trenches are used to hold tubing used in the installation of irrigation systems. All the trimming/pruning will take place on the ground. The workers will not perform any pruning or trimming activities above ground level. The worker may transport other workers to and from job sites on occasion, however this will not be their primary job duty. Job Classification: 37-3011.00 - Landscaping and Groundskeeping Workers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Must have valid drivers license, Post-hire drug screen at employers expense, Must be able to lift 80 lbs., repetitive movements, extensive pushing/ pulling, extensive walking, frequent stooping, exposure to extreme temperatures. Number of Hours Per Week: 40 Work Schedule (Start/End time): 7:00 A.M. - 4:00 P.M.</t>
  </si>
  <si>
    <t>H-400-26184-076140</t>
  </si>
  <si>
    <t>Eternally Grateful, LLC</t>
  </si>
  <si>
    <t>14/04/2027</t>
  </si>
  <si>
    <t>FLC@jfs.ohio.gov</t>
  </si>
  <si>
    <t>+13307149570</t>
  </si>
  <si>
    <t>Laborers</t>
  </si>
  <si>
    <t>Perform commercial and residential snow/ice maintenance including winter storm clean-up, snow/ice removal, dormant tree/shrub winter pruning, and winterize/repair lawn sprinkler systems and make and repairs to the systems as necessary. Aerate and overseed lawns. Use hand tools and equipment such as ice picks, shovels, and blowers. Spread salt/deicing chemicals on walkways, driveways, and parking lots. Clean and perform routine maintenance and/or minor repairs on equipment and tools when not in use. Weather permitting - bed clean ups and the removal of shrubs and bushes. Job Classification: 37-3011.00 - Landscaping and Groundskeeping Workers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Must lift/carry 50 lbs., when necessary. Saturday and Sunday work required, when necessary. Workers with valid U.S. drivers license may operate a vehicle (driving is not a requirement of all workers in the position). Employer may offer more than the stated work hours, depending on weather, business needs, and other conditions. Extreme heat, cold, rain, or drought may affect exact working hours. Number of Hours Per Week: 40 Work Schedule (Start/End time): 8:00 A.M. - 4:30 P.M.</t>
  </si>
  <si>
    <t>H-400-26184-076146</t>
  </si>
  <si>
    <t>Evergreen Tree and Shrub Care, Inc</t>
  </si>
  <si>
    <t>Blake Ridgewell</t>
  </si>
  <si>
    <t>evergreentreeandshrub@gmail.com</t>
  </si>
  <si>
    <t>+13144950549</t>
  </si>
  <si>
    <t>Tree Trimmer</t>
  </si>
  <si>
    <t>Duties may include: Maintain grounds. Use: hand tools to: trim &amp; prune:trees/shrubs/hedges. Gather &amp; remove: litter, debris; including branches/limbs of trees. Clean facilities/work sites. Load wheelbarrows, secure w/ tarps, and dispose of debris in correct waste container or landfill area &amp; other related Tree Trimmer activities as per SOC/OES 37-3011 (onetonline.org). Standard/Expected Schedule: Monday-Friday 8:00AM-4:30PM.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Job Classification: 37-3011.00 - Landscaping and Groundskeeping Workers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Must show proof of legal authorization to work in the United States. Drug/alcohol/tobacco free work zone. Perform physical activities: such as lift, balance, walk, stoop, handle, position, move, manipulate materials use static strength to exert maximum muscle force to lift, push, pull, carry objects up to 50lbs. All applicants must be able, willing and qualified to perform work described and must be available for the entire period specified and work throughout all areas of intended employment. Work is performed outdoors, exposed to weather; must be capable of doing physically strenuous labor for long hours, occasionally in extreme heat or cold. Variable weather conditions apply; hours may fluctuate (+/-), possible downtime and/or overtime. Number of Hours Per Week: 40 Work Schedule (Start/End time): 8:00 A.M. - 4:30 P.M.</t>
  </si>
  <si>
    <t>H-400-26184-076123</t>
  </si>
  <si>
    <t>Falls Framing LLC</t>
  </si>
  <si>
    <t>Carpenter Helpers</t>
  </si>
  <si>
    <t>Perform lesser tasks including loading and unloading building materials, laying out lumber, siding, trusses and other components for structure. Assisting lead carpenters with basic carpentry tasks such as holding, cutting, and nailing lumber for frameworks such as walls, concrete forms and door frames according to lead carpenter instructions. Assembling prepared components at construction site. Job Classification: 47-3012.00 - Helpers--Carpenters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Must be able to lift and carry 75 lbs. 75 yds. Some weekend work. Must be able to handle temperature extremes. Will travel to worksites within area of intended employment. Number of Hours Per Week: 40 Work Schedule (Start/End time): 7:00 A.M. - 5:00 P.M.</t>
  </si>
  <si>
    <t>H-400-26184-076157</t>
  </si>
  <si>
    <t>Futuro Forestry Services LLC</t>
  </si>
  <si>
    <t>fabian_ldzm@icloud.com</t>
  </si>
  <si>
    <t>Manual itinerant work mechanically planting tree seedlings, pre-commercial thinning, applying herbicides, pruning, and maintaining boundary lines to reforest and maintain timberlands. Use equipment in planting and thinning trees, spreading or spraying chemicals, preparing sites for planting, or performing other forestry services. Spray vegetation with herbicides to reduce competing vegetation. Lubricate equipment, fuel equipment, adjust equipment, and make emergency repairs to equipment. Conduct safety checks pre-operation, keeping job site clean, handplanting skips, assisting site foreman with any task when asked. Employer may pay a piece rate of $15.00 - $80.00 per 1000 trees hand planted correctly or the NPWC issued prevailing wage for the area of employment, whichever is greater. Raises and/or bonuses may be offered at employer's discretion, based on individual factors such as performance, skill, and tenure. Job Classification: 45-4011.00 - Forest and Conservation Workers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Must lift/carry 50 lbs., when necessary. Saturday and Sunday work required, when necessary. Employer-paid drug test required of foreign and domestic workers prior to commencing work. Post-hire employment eligibility (e-Verify) check required of foreign and domestic workers. Employer may offer more than the stated work hours depending on weather, business needs, and other conditions. Extreme heat, cold, rain, or drought may affect exact working hours. Number of Hours Per Week: 54 Work Schedule (Start/End time): 7:00 A.M. - 5:00 P.M.</t>
  </si>
  <si>
    <t>H-400-26184-076138</t>
  </si>
  <si>
    <t>H-400-26184-076152</t>
  </si>
  <si>
    <t>HCP Maintenance Inc</t>
  </si>
  <si>
    <t>hubcitypoolsinc@yahoo.com</t>
  </si>
  <si>
    <t>+17313941683</t>
  </si>
  <si>
    <t>Duties: Perform work related to swimming pool install tasks to include cleaning work site, collecting and disposing of trash and debris. Dig trenches for piping using trencher equipment. Hand bore under driveways and sidewalks, assist with mixing, pouring, and placing concrete. Help other construction workers by performing duties of lesser skill. Workers will dig trenches that are 36” wide by 24” deep. Tools to be used are shovels &amp; hand picks. The tools that are used in boring under driveways are shovels, hand picks, and wheelbarrows. The workers will be placing concrete by bringing the concrete from the truck to the site in wheelbarrows and shoveling the concrete in place Job Classification: 47-2061.00 - Construction Laborers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Must be able to lift 50 lbs., repetitive movements, extensive pushing/pulling, extensive walking, frequent stooping, exposure to extreme temperatures. 3 months experience required. Post Hire Drug screen at employers expense. Number of Hours Per Week: 40 Work Schedule (Start/End time): 7:00 A.M. - 4:00 P.M.</t>
  </si>
  <si>
    <t>H-400-26184-076155</t>
  </si>
  <si>
    <t>HHH Landscapes LLC</t>
  </si>
  <si>
    <t>careers@southernlandscape.com</t>
  </si>
  <si>
    <t>+15122638450</t>
  </si>
  <si>
    <t>Duties may include: Care for established lawns/provide proper upkeep: mulching, aerating, weeding, watering, fertilizing, shrub/tree pruning, edging around flower beds/walls/walks. Follow landscape plans: lay sod, plant: shrubs/plants/trees, install mortarless segmental concrete masonry wall units for landscaping purposes, Install irrigation: winterize &amp; start-up included &amp; other related Landscape Laborer activities as per SOC/OES 37-3011 (onetonline.org). Standard/Expected Schedule: Monday-Friday 6:00AM-6:00PM.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Job Classification: 37-3011.00 - Landscaping and Groundskeeping Workers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Must show proof of legal authorization to work in the United States. Drug/alcohol/tobacco free work zone. Perform physical activities: such as lift, balance, walk, stoop, handle, position, move, manipulate materials use static strength to exert maximum muscle force to lift, push, pull, carry objects up to 50lbs. All applicants must be able, willing and qualified to perform work described and must be available for the entire period specified and work throughout all areas of intended employment. Work is performed outdoors, exposed to weather; must be capable of doing physically strenuous labor for long hours, occasionally in extreme heat or cold. Variable weather conditions apply; hours may fluctuate (+/-), possible downtime and/or overtime. Number of Hours Per Week: 40 Work Schedule (Start/End time): 6:00 A.M. - 6:00 P.M.</t>
  </si>
  <si>
    <t>H-400-26184-076167</t>
  </si>
  <si>
    <t>HLM INCORPORATED</t>
  </si>
  <si>
    <t>holdenlandscapingmi@gmail.com</t>
  </si>
  <si>
    <t>+12486509378</t>
  </si>
  <si>
    <t>Duties include dormant season installation of trees, shrubs, or flowers in the appropriate design pattern. Unloading materials, digging holes for root systems, properly covering the holes and sometimes sod laying, planting grass seed or connecting irrigation. Leaf removal, lawn seed and straw, lawn aeration, planting shrubbery, digging, raking, and installation of mortarless segmental concrete masonry wall units. Workers may gather and remove litter, water seeded lawns, trees, plants and prune or trim trees, shrubs, or hedges. Workers may operate powered equipment, and drive vehicles to customer locations. Duties may include sod laying, mowing, watering plants &amp; lawns, plant transplanting, fertilizing, digging, raking, sprinkler installation. Employees will be digging trenches no larger than 6 - 12 inches deep and 6 - 12 inches wide with shovels and hand tools. These trenches are used to hold tubing used in the installation of irrigation systems. All the trimming/pruning will take place on the ground. The workers will not perform any pruning or trimming activities above ground level. The worker may transport other workers to and from job sites on occasion, however this will not be their primary job duty. Job Classification: 37-3011.00 - Landscaping and Groundskeeping Workers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3 months landscaping experience required. Must have valid drivers license. Must be able to lift 50 lbs., repetitive movements, extensive pushing/pulling, extensive walking, frequent stooping, exposure to extreme temperatures. In accordance with applicable Michigan state law, Earned Sick Time Act 338, employers are required to provide earned sick time to their employees. The amount of paid sick leave provided may vary depending on the size of the business. Number of Hours Per Week: 40 Work Schedule (Start/End time): 7:00 A.M. - 4:00 P.M.</t>
  </si>
  <si>
    <t>H-400-26184-076132</t>
  </si>
  <si>
    <t>Hawkins &amp; Price LLC</t>
  </si>
  <si>
    <t>HR@HPMAIL.US</t>
  </si>
  <si>
    <t>+19312059777</t>
  </si>
  <si>
    <t>Perform tasks involving physical labor at construction sites: shoveling, brooming, raking, and luting. May operate hand and power tools of all types: air hammers, earth tampers, cement mixers, small mechanical hoists, surveying and measuring equipment, and a variety of other equipment and instruments. May clean and prepare sites, dig trenches, set braces to support the sides of excavations, erect scaffolding, and clean up rubble, debris and other waste materials. May assist other craft workers. Workers may assist other craft workers, by preparing worksites; gathering, loading, unloading, and transporting tools, materials, and equipment; cleaning work areas; and performing manual labor tasks associated with construction projects. Workers may use common hand tools and basic power tools including shovels, rakes, wheelbarrows, brooms, drills, compactors, levels, and measuring tools. Materials handled may include lumber, concrete forms, gravel, sand, cement, concrete, rebar, pipes, and other common construction materials. Workers may operate basic measuring and layout equipment, including measuring tapes, laser levels, grade rods, and string lines, to assist supervisors and other construction personnel with measuring distances, checking grades, and marking work areas. Job Classification: 47-2061.00 - Construction Laborers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Must be able to lift 50lbs. Post-hire drug screen at employer's expense. Repetitive movements. Extensive pushing/pulling. Extensive walking. Exposure to extreme temperatures. 3 months road or concrete construction experience required. Number of Hours Per Week: 40 Work Schedule (Start/End time): 7:00 A.M. - 4:00 P.M.</t>
  </si>
  <si>
    <t>H-400-26184-076168</t>
  </si>
  <si>
    <t>Hoffman &amp; McNamara Co</t>
  </si>
  <si>
    <t>info@hoffmanandmcnamara.com</t>
  </si>
  <si>
    <t>+16514379463</t>
  </si>
  <si>
    <t>Duties may include: Care for established lawns by mulching, aerating, weeding, removing thatch, litter &amp; debris. Operate some equipment to mow or edge lawns. Follow planned landscaping designs to determine where to lay sod, plant trees, shrubs &amp; flowers. Install drainage &amp; sprinkler systems, mortarless segmental concrete masonry wall units for landscaping purposes. Prune or trim trees, shrubs, or hedges. Water trees, shrubs, flowers, &amp; lawns &amp; other related Landscape Laborer activities as per SOC/OES 37-3011 (onetonline.org). Standard/Expected Schedule: Monday-Friday 6:00AM-6:00PM.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Job Classification: 37-3011.00 - Landscaping and Groundskeeping Workers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Must be 18 due to insurance. Must show proof of legal authorization to work in the United States. Drug/alcohol/tobacco free work zone. Perform physical activities such as: lift, balance, walk, stoop, handle, position, move, manipulate materials use static strength to exert max muscle force to lift, push, pull, carry objects up to 60lbs (possible 2-person). All applicants must be able, willing and qualified to perform work described and must be available for the entire period specified and work throughout all areas of intended employment. Work is performed outdoors, exposed to weather; must be capable of doing physically strenuous labor for long hours, occasionally in extreme heat or cold. Variable weather conditions apply; hours may fluctuate (+/-), possible downtime and/or overtime. Number of Hours Per Week: 40 Work Schedule (Start/End time): 6:00 A.M. - 6:00 P.M.</t>
  </si>
  <si>
    <t>H-400-26184-076150</t>
  </si>
  <si>
    <t>Hunter Scapes</t>
  </si>
  <si>
    <t>accounting@hunterscapes.com</t>
  </si>
  <si>
    <t>+16159941175</t>
  </si>
  <si>
    <t>Duties include sod laying, mowing, trimming/pruning trees, shrubs and plants, installation of plants, trees and shrubbery, watering plants &amp; lawns, plant transplanting, fertilizing, digging, raking, sprinkler installation, and installation of mortarless segmental concrete masonry wall units. Workers may gather and remove litter and operate powered equipment and drive company vehicles to customer locations. All vehicles to be driven are company pick-up trucks, the Gross Vehicle Weight capacity of the vehicle to be driven in the job duties is less than 26,000 lbs. Powered equipment used will include lawn mowers, weed eaters, and trimmers. All the trimming/pruning will take place on the ground. The workers will not perform any pruning or trimming activities above ground level. The worker may transport other workers to and from job sites on occasion, however this will not be their primary job duty. Workers may occasionally transport other workers to and from job sites; however, transportation of workers is not a primary job duty. Workers may also occasionally transport landscaping materials, tools, and equipment to and from job sites, including mulch, potted plants, shovels, rakes, mowers, blowers, trimmers, weed eaters, small tractors, and similar landscaping equipment. No hazardous materials will be transported by workers. All vehicles and equipment operated weigh less than 26,000 pounds GVW, including any attached trailers or transported materials. Job Classification: 37-3011.00 - Landscaping and Groundskeeping Workers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Must be able to lift 50 pounds, repetitive movements, extensive pushing/pulling, extensive walking, frequent stooping, exposure to extreme temps, 3 months experience required. Number of Hours Per Week: 40 Work Schedule (Start/End time): 7:00 A.M. - 4:00 P.M.</t>
  </si>
  <si>
    <t>H-400-26184-076163</t>
  </si>
  <si>
    <t>INSTANT SHADE MAINTENANCE COMPANY, LLC</t>
  </si>
  <si>
    <t>instantshade.mi@outlook.com</t>
  </si>
  <si>
    <t>+15176416693</t>
  </si>
  <si>
    <t>Duties include dormant season installation of trees, shrubs, or flowers in the appropriate design pattern. Unloading materials, digging holes for root systems, properly covering the holes and sometimes sod laying, planting grass seed or connecting irrigation. Leaf removal, lawn seed and straw, lawn aeration, planting shrubbery, digging, raking, and installation of mortarless segmental concrete masonry wall units. Workers may gather and remove litter, water seeded lawns, trees, plants and prune or trim trees, shrubs, or hedges. Workers may operate powered equipment, and drive vehicles to customer locations. Duties may include sod laying, mowing, watering plants &amp; lawns, plant transplanting, fertilizing, digging, raking, sprinkler installation. Employees will be digging trenches no larger than 6 - 12 inches deep and 6 - 12 inches wide with shovels and hand tools. These trenches are used to hold tubing used in the installation of irrigation systems. All the trimming/pruning will take place on the ground. The workers will not perform any pruning or trimming activities above ground level. The worker may transport other workers to and from job sites on occasion, however this will not be their primary job duty. Job Classification: 53-3053.00 - Shuttle Drivers and Chauffeurs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3 months landscaping experience required. Must be able to lift 75 lbs., repetitive movements, extensive pushing/pulling, extensive walking, frequent stooping, exposure to extreme temperatures. In accordance with applicable Michigan state law, Earned Sick Time Act 338, employers are required to provide earned sick time to their employees. The amount of paid sick leave provided may vary depending on the size of the business. Number of Hours Per Week: 40 Work Schedule (Start/End time): 7:00 A.M. - 4:00 P.M.</t>
  </si>
  <si>
    <t>H-400-26184-076164</t>
  </si>
  <si>
    <t>JAG'S INSTALLS, LLC</t>
  </si>
  <si>
    <t>24/12/2026</t>
  </si>
  <si>
    <t>JAGSLAWN@GMAIL.COM</t>
  </si>
  <si>
    <t>+14178447644</t>
  </si>
  <si>
    <t>Duties include dormant season installation of trees, shrubs, or flowers in the appropriate design pattern. Unloading materials, digging holes for root systems, properly covering the holes and sometimes sod laying, planting grass seed or connecting irrigation. Leaf removal, lawn seed and straw, lawn aeration, planting shrubbery, digging, raking, and installation of mortarless segmental concrete masonry wall units. Workers may gather and remove litter, water seeded lawns, trees, plants and prune or trim trees, shrubs, or hedges. Workers may operate powered equipment, and drive vehicles to customer locations. Duties may include sod laying, mowing, watering plants &amp; lawns, plant transplanting, fertilizing, digging, raking, sprinkler installation. Employees will be digging trenches no larger than 6 - 12 inches deep and 6 - 12 inches wide with shovels and hand tools. These trenches are used to hold tubing used in the installation of irrigation systems. All the trimming/pruning will take place on the ground. The workers will not perform any pruning or trimming activities above ground level. The worker may transport other workers to and from job sites on occasion, however this will not be their primary job duty. Job Classification: 37-3011.00 - Landscaping and Groundskeeping Workers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Must be able to lift 50 lbs., repetitive movements, extensive pushing/pulling, extensive walking, frequent stooping, exposure to extreme temperatures. Valid drivers license required. Number of Hours Per Week: 40 Work Schedule (Start/End time): 7:00 A.M. - 4:00 P.M.</t>
  </si>
  <si>
    <t>H-400-26184-076145</t>
  </si>
  <si>
    <t>KOENIG PROPERTIES</t>
  </si>
  <si>
    <t>koenigslandscaping@yahoo.com</t>
  </si>
  <si>
    <t>+14125226448</t>
  </si>
  <si>
    <t>Duties include dormant season installation of trees, shrubs, or flowers in the appropriate design pattern. Unloading materials, digging holes for root systems, properly covering the holes and sometimes sod laying, planting grass seed or connecting irrigation. Leaf removal, lawn seed and straw, lawn aeration, planting shrubbery, digging, raking, and installation of mortarless segmental concrete masonry wall units. Workers may gather and remove litter, water seeded lawns, trees, plants and prune or trim trees, shrubs, or hedges. Workers may operate powered equipment, and drive vehicles to customer locations. Duties may include sod laying, mowing, watering plants &amp; lawns, plant transplanting, fertilizing, digging, raking, sprinkler installation. Employees will be digging trenches no larger than 6 - 12 inches deep and 6 - 12 inches wide with shovels and hand tools. These trenches are used to hold tubing used in the installation of irrigation systems. All the trimming/pruning will take place on the ground. The workers will not perform any pruning or trimming activities above ground level. The worker may transport other workers to and from job sites on occasion, however this will not be their primary job duty. Workers may operate powered landscaping equipment, including mowers, blowers, trimmers, small tractors, and similar landscaping equipment. Workers may drive company vehicles, including Ford F-350 and Ford F-550 trucks, to and from customer job sites. Workers may occasionally transport other workers to and from job sites; however, transportation of workers is not a primary job duty. Workers may also occasionally transport landscaping materials, tools, and equipment to and from job sites, including mulch, potted plants, shovels, rakes, mowers, blowers, and trimmers. No hazardous materials will be transported by workers. All vehicles and equipment operated weigh less than 26,000 pounds GVW, including any attached trailers or transported materials. Job Classification: 37-3011.00 - Landscaping and Groundskeeping Workers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Must be able to lift 80 lbs., repetitive movements, extensive pushing/pulling, extensive walking, frequent stooping, exposure to extreme temperatures. Post Hire Drug screen at employers expense. Number of Hours Per Week: 40 Work Schedule (Start/End time): 7:00 A.M. - 4:00 P.M.</t>
  </si>
  <si>
    <t>H-400-26184-076128</t>
  </si>
  <si>
    <t>LINDEN VALLEY INC</t>
  </si>
  <si>
    <t>serenescapes@sbcglobal.net</t>
  </si>
  <si>
    <t>+15742311941</t>
  </si>
  <si>
    <t>Duties include dormant season installation of trees, shrubs, or flowers in the appropriate design pattern. Unloading materials, digging holes for root systems, properly covering the holes and sometimes sod laying, planting grass seed or connecting irrigation. Leaf removal, lawn seed and straw, lawn aeration, planting shrubbery, digging, raking, and installation of mortarless segmental concrete masonry wall units. Workers may gather and remove litter, water seeded lawns, trees, plants and prune or trim trees, shrubs, or hedges. Workers may operate powered equipment, and drive vehicles to customer locations. Duties may include sod laying, mowing, watering plants &amp; lawns, plant transplanting, fertilizing, digging, raking, sprinkler installation. Employees will be digging trenches no larger than 6 - 12 inches deep and 6 - 12 inches wide with shovels and hand tools. These trenches are used to hold tubing used in the installation of irrigation systems. All the trimming/pruning will take place on the ground. The workers will not perform any pruning or trimming activities above ground level. The worker may transport other workers to and from job sites on occasion, however this will not be their primary job duty. Workers may operate powered landscaping equipment, including mowers, edgers, blowers, weed eaters, trimmers, small tractors, and similar landscaping equipment. Workers may drive company pickup trucks and similar light-duty company vehicles to and from customer job sites. Workers may occasionally transport other workers to and from job sites; however, transportation of workers is not a primary job duty. Workers may also occasionally transport landscaping materials, tools, and equipment to and from job sites, including mulch, potted plants, shovels, rakes, mowers, blowers, and trimmers. No hazardous materials will be transported by workers. All vehicles and equipment operated weigh less than 26,000 pounds GVW, including any attached trailers or transported materials. Job Classification: 37-3011.00 - Landscaping and Groundskeeping Workers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Must be able to lift 70 lbs., repetitive movements, extensive pushing/pulling, extensive walking, frequent stooping, exposure to extreme temperatures. 3 months experience required. Number of Hours Per Week: 40 Work Schedule (Start/End time): 7:00 A.M. - 4:00 P.M.</t>
  </si>
  <si>
    <t>H-400-26184-076139</t>
  </si>
  <si>
    <t>Landscape Concepts Management, Inc.</t>
  </si>
  <si>
    <t>info@landscapeconcepts.com</t>
  </si>
  <si>
    <t>+18472233800</t>
  </si>
  <si>
    <t>Lead Landscapers</t>
  </si>
  <si>
    <t>Landscape or maintain grounds of property using hand or power tools or equipment. Workers typically perform a variety of tasks, which may include any combination of the following: mowing, trimming, watering, edging, weeding, dormant pruning; remove leaves and debris clean up. Ensure tools and equipment are and accounted for between worksites. May be asked to demonstrate tasks to up to four peers but position does not include supervision of other workers. Job Classification: 37-3011.00 - Landscaping and Groundskeeping Workers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Requires three months of previous landscape experience. Requires three months of previous landscape experience. Must lift/carry 50 lbs., when necessary. Standard workweek is 4 days per week. Friday and Saturday work required, when necessary. Employer-paid post-hire upon suspicion of use and post-accident drug testing required of foreign and domestic workers. Post-hire motor vehicle record check required only of foreign and domestic workers who drive company vehicles (driving is not a requirement of all workers in the position). Employer may offer more than the stated work hours depending on weather, business needs, and other conditions. Extreme heat, cold, rain, or drought may affect exact working hours. Number of Hours Per Week: 40 Work Schedule (Start/End time): 6:00 A.M. - 4:00 P.M.</t>
  </si>
  <si>
    <t>H-400-26184-076137</t>
  </si>
  <si>
    <t>Leavins Seafood, Inc.</t>
  </si>
  <si>
    <t>14/07/2027</t>
  </si>
  <si>
    <t>lsi@fairpoint.net</t>
  </si>
  <si>
    <t>Perform manual labor to shuck oysters using knife to gently pry open live oysters. Wash silt and muck from fresh oysters. Insert blade using moderate force and vibration if necessary, at the hinge between the two valves. Twist the blade until there is a slight pop. Slide the blade upward to cut the adductor muscle which holds the shell closed, separating the meat from the shell. Inspect oysters and remove clackers, shells, unresponsive/dead oysters and dry, gummy, or smelly meat. Meat will be frozen, canned, packed or otherwise disposed of as deemed necessary. Clean and sanitize work areas, aprons and knives. These jobs involve routine processing, preparing, and cleaning oysters. Drug free workplace. Post-accident drug testing conducted at employer's expense. Job Classification: 51-3022.00 - Meat, Poultry, and Fish Cutters and Trimmers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No education or experience required. Requires manual dexterity and prolonged standing. Must lift and carry 25 lbs. Workers must use extreme care using knife as a lever to pry oysters open and shells can split into razor-like shards, both of which can cause injury to hands. Must be 18 years old or older. FDA sanitation standards and requirements including personal hygiene and communicable disease apply. Safety gear that includes, rubber gloves, goggles, apron and cap must be worn at all times. Must pass drug screenings. Saturday and Sunday work required, when necessary. Employer provided uniforms are to be worn at all worksites. Employer may offer more than the stated work hours depending on weather, business needs, and other conditions. Extreme heat, cold, rain, or drought may affect exact working hours. Number of Hours Per Week: 35 Work Schedule (Start/End time): 7:00 A.M. - 2:30 P.M.</t>
  </si>
  <si>
    <t>H-400-26184-076131</t>
  </si>
  <si>
    <t>Lee Highway Nursery, LLC</t>
  </si>
  <si>
    <t>14/12/2026</t>
  </si>
  <si>
    <t>lisajordan@leehighwaynursery.com</t>
  </si>
  <si>
    <t>+15403475640</t>
  </si>
  <si>
    <t>Landscaping/grounds Maintenance Specialist</t>
  </si>
  <si>
    <t>Landscape or maintain grounds of property using hand or power tools or equipment. Workers must be able to perform a variety of tasks without close supervision, which may include any combination of the following: sod laying, mowing, trimming, edging, planting, watering, pruning, mulching, fertilizing, digging, raking, and installation of mortarless segmental concrete masonry wall units/similar. Must exercise independent judgment; may be asked to demonstrate tasks to other employees but position does not include supervision of other workers. Job Classification: 37-3011.00 - Landscaping and Groundskeeping Workers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Requires three months of previous landscape experience. Must lift/carry 50 lbs., when necessary. Saturday and Sunday work required, when necessary. Employer-paid drug testing required of foreign and domestic workers prior to commencing work and post-hire post-accident. Employer may offer more than the stated work hours depending on weather, business needs, and other conditions. Extreme heat, cold, rain, or drought may affect exact working hours. Number of Hours Per Week: 40 Work Schedule (Start/End time): 8:00 A.M. - 4:30 P.M.</t>
  </si>
  <si>
    <t>H-400-26184-076124</t>
  </si>
  <si>
    <t>Lewis Grounds Maintenance</t>
  </si>
  <si>
    <t>lewisgroundsva@gmail.com</t>
  </si>
  <si>
    <t>+17575766199</t>
  </si>
  <si>
    <t>**RFI Response** Our workers do not fell trees or trim/remove above canopy limbs branches. These tasks are limited to subcontracted experienced arborist personnel. Our landscape laborers use pruning saws, pruning poles, electric clippers, brush trimmers and rakes to prune lower level tree limbs/branches or large bushes from ground level only. **Original** Workers typically perform a variety of tasks which include strategic pruning of shrubs and trees, tree and leaf removal, property clean up, aeration and seeding and irrigation system winterization activities. Workers may also spread ice melt or remove snow from sidewalks and parking lots using shovels, snow blowers and ride-on mowers with an attachment. Job Classification: 37-3011.00 - Landscaping and Groundskeeping Workers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Requires three months of previous landscape experience. Must lift/carry 50 lbs., when necessary. Saturday and Sunday work required, when necessary. Post-hire drug testing required of foreign and domestic workers upon suspicion of use. Must possess or be able to obtain U.S. driver's license within 30 days of hire. Employer may offer more than the stated work hours depending on weather, business needs, and other conditions. Extreme heat, cold, rain, or drought may affect exact working hours. Number of Hours Per Week: 42 Work Schedule (Start/End time): 7:00 A.M. - 4:00 P.M.</t>
  </si>
  <si>
    <t>H-400-26184-076160</t>
  </si>
  <si>
    <t>Little Believer’s Academy Inc.</t>
  </si>
  <si>
    <t>thelittlebelievers@gmail.com</t>
  </si>
  <si>
    <t>+19193598939</t>
  </si>
  <si>
    <t>Child Care Worker</t>
  </si>
  <si>
    <t>As included on the ONET website for 39-9011.00 (Child Care Workers), the Child Care Workers are to perform a variety of tasks/duties on behalf of the infant/children within their assigned room. Assistants will look after and spend time with infants/children aged 6 weeks – 5 years old. Child Care Workers will help encourage and engage children in age-appropriate activities such as storytelling, singing, games, and guided play; and help children learn basic concepts such as colors, numbers, letters, shapes, and days of the week. Workers will help children follow daily routines, encourage good behavior and maintain order by supervising children to ensure they are safe at all times indoors and outdoors. Providers will assist in serving prepared meals/snacks provided by our facility cook. The cook will wash all food prep dishes/equipment in addition to sanitizing bottles/sippy cups after use. Our Child Care Workers will ensure food safety during meals and follow health and safety guidelines, to include proper disposal of paper plates/plastic utensils; and rinse cups/sippy bottles if needed in at the room’s sink. Workers may handle laundry duties such as washing, drying, folding, and storing fitted sheets from room cots and classroom soft materials such as clothes used for dressing up, plush toys and plush pillows used for sitting. Additionally, Child Care Workers bear responsibility to daily room cleanup at the end of the day. Job Classification: 39-9011.00 - Childcare Workers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Must lift/carry 40 lbs., when necessary. Must be available to work all staggered 9 hour shifts to ensure children are supervised from drop off through the latest pick-up times. The academy is open M-F from 6:30 AM-6:00 pm. Must be at least 18 years of age and have a High School Diploma or equivalent. Must complete company provided and paid New Orientation prior to working with summer camp participants. Must complete all state mandated SIDS, CPR, health and safety, and state pre-service training as paid for the employer within 60 days of hire and ongoing industry training requirements. Post-hire background check and employment eligibility (e-Verify) check required of foreign and domestic workers. Must pass State mandated Staff Health Assessment and Medical Report, to include TB test prior to beginning work. Employer may offer more than the stated work hours, depending on weather, business needs, and other conditions. Number of Hours Per Week: 40 Work Schedule (Start/End time): 8:00 A.M. - 5:00 P.M.</t>
  </si>
  <si>
    <t>H-400-26184-076161</t>
  </si>
  <si>
    <t>Luchette Concrete, Inc.</t>
  </si>
  <si>
    <t>chadlci@msn.com</t>
  </si>
  <si>
    <t>+14127196560</t>
  </si>
  <si>
    <t>Pour concrete into forms. Carry, hold, position and remove forms from set concrete using saws, hammers, nails or bolts. Clean work sites. Grade land; spread straw. Load/unload equipment from trucks. Job Classification: 47-2061.00 - Construction Laborers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12 Special Requirements: Requires twelve months of construction laborer experience. Must lift/carry 60 lbs., when necessary. Saturday work required, when necessary. Employer may offer more than the stated work hours depending on weather, business needs, and other conditions. Extreme heat, cold, rain, or drought may affect exact working hours. Number of Hours Per Week: 40 Work Schedule (Start/End time): 7:00 A.M. - 4:00 P.M.</t>
  </si>
  <si>
    <t>H-400-26184-076162</t>
  </si>
  <si>
    <t>M&amp;A Transports LLC</t>
  </si>
  <si>
    <t>MNATRANSPORTSLLC@GMAIL.COM</t>
  </si>
  <si>
    <t>Driver</t>
  </si>
  <si>
    <t>Drive a truck with a capacity of at least 26,001 pounds Gross Vehicle Weight to transport concrete and aggregates from yard to jobsite. Load/unload concrete and aggregates from truck. Perform basic vehicle maintenance on truck and trailer. The trucks used have internal controls that allow the driver to monitor and operate the loading and unloading functions. At the plant, dedicated plant workers are responsible for loading the truck with aggregate materials. The Drivers do not handle the materials during this process. Instead, they remain in the truck and monitor the status of the load using in-truck monitoring systems. Once the truck is loaded, the Drivers transport the materials to the designated job site. Upon arrival, they use the in-truck controls to unload the materials. Again, they do not handle the materials directly. After unloading, on-site workers take over handling and use of the materials. Drivers are not responsible for operating a concrete pump truck or performing any manual labor related to loading or unloading the materials. Their duties are limited to transportation and operation of the truck’s onboard systems. Job Classification: 53-3032.00 - Heavy and Tractor-Trailer Truck Drivers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6 Special Requirements: Requires six months of experience driving concrete and aggregates with a CDL license. Must lift/carry 50 lbs., when necessary. Example shifts: 9:00pm to 5:00am, 3:00am to 11:00am. Shift hours may vary based on business needs and weather conditions. Saturday and Sunday work required, when necessary. Post-hire random drug testing required of foreign and domestic workers. Valid CDL or equivalent required. Employee must adhere to any federal/state regulations pertaining to the holding of CDL licensure. The occupation requires the driving of trucks. Employee will return to the worksite at the end of every work day. The worker must be able to read and speak the English language sufficiently to converse with the general public, understand highway traffic signs and signals in English, respond to official inquiries, and make entries on reports and records. Employer may offer more than the stated work hours depending on weather, business needs, and other conditions. Extreme heat, cold, rain, or drought may affect exact working hours. Number of Hours Per Week: 40 Work Schedule (Start/End time): 3:00 A.M. - 11:00 A.M.</t>
  </si>
  <si>
    <t>H-400-26184-076129</t>
  </si>
  <si>
    <t>Martin Landscaping Inc.</t>
  </si>
  <si>
    <t>martinlandscaping2005@yahoo.com</t>
  </si>
  <si>
    <t>Landscape grounds of property using hand or power tools or equipment. Workers typically perform a variety of tasks, which may include any combination of the following:grade/seed/lay sod, planting, watering, mowing, digging, raking, mulching, and installation of mortarless segmental concrete masonry wall units. Must exercise independent judgment; may be asked to demonstrate tasks to other employees but position does not include supervision of other workers. Job Classification: 37-3011.00 - Landscaping and Groundskeeping Workers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Requires three months of previous landscape experience. Must lift/carry 50 lbs., when necessary. Saturday and Sunday work required, when necessary. Employer may offer more than the stated work hours depending on weather, business needs, and other conditions. Extreme heat, cold, rain, or drought may affect exact working hours. Number of Hours Per Week: 40 Work Schedule (Start/End time): 8:00 A.M. - 4:30 P.M.</t>
  </si>
  <si>
    <t>H-400-26184-076120</t>
  </si>
  <si>
    <t>May's Lawn Care, Inc.</t>
  </si>
  <si>
    <t>office@mayslawncare.com</t>
  </si>
  <si>
    <t>+13365852000</t>
  </si>
  <si>
    <t>Duties include dormant season installation of trees, shrubs, or flowers in the appropriate design pattern. Unloading materials, digging holes for root systems, properly covering the holes and sometimes sod laying, planting grass seed or connecting irrigation. Leaf removal, lawn seed and straw, lawn aeration, planting shrubbery, digging, raking, and installation of mortarless segmental concrete masonry wall units. Workers may gather and remove litter, water seeded lawns, trees, plants and prune or trim trees, shrubs, or hedges. Workers may operate powered equipment, and drive vehicles to customer locations. Duties may include sod laying, mowing, watering plants &amp; lawns, plant transplanting, fertilizing, digging, raking, sprinkler installation. Employees will be digging trenches no larger than 6 - 12 inches deep and 6 - 12 inches wide with shovels and hand tools. These trenches are used to hold tubing used in the installation of irrigation systems. All the trimming/pruning will take place on the ground. The workers will not perform any pruning or trimming activities above ground level. The worker may transport other workers to and from job sites on occasion, however this will not be their primary job duty. Workers may operate powered landscaping equipment, including mowers, edgers, blowers, weed eaters, trimmers, small tractors, and similar landscaping equipment. Workers may drive company vehicles, including Ford F250, Chevrolet 2500, to and from customer job sites. Workers may occasionally transport other workers to and from job sites; however, transportation of workers is not a primary job duty. Workers may also occasionally transport landscaping materials, tools, and equipment to and from job sites, including mulch, potted plants, shovels, rakes, mowers, blowers, and trimmers. No hazardous materials will be transported by workers. All vehicles and equipment operated weigh less than 26,000 pounds GVW, including any attached trailers or transported materials. Job Classification: 37-3011.00 - Landscaping and Groundskeeping Workers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Must be able to lift 50 lbs., repetitive movements, extensive pushing/pulling, extensive walking, frequent stooping, exposure to extreme temperatures. Number of Hours Per Week: 40 Work Schedule (Start/End time): 7:00 A.M. - 4:00 P.M.</t>
  </si>
  <si>
    <t>H-400-26184-076144</t>
  </si>
  <si>
    <t>Michigan Holiday Lighting, LLC</t>
  </si>
  <si>
    <t>Sarah Ureno</t>
  </si>
  <si>
    <t>28/02/2027</t>
  </si>
  <si>
    <t>miholidaylighting@gmail.com</t>
  </si>
  <si>
    <t>+12486749627</t>
  </si>
  <si>
    <t>Duties may include: Under supervision organize and transfer Christmas lights, plastic mounting clips, decorations, ladders, tools and supplies from warehouse to work sites. Help to adjust, test, and replace Christmas lights and decorations on rooflines, fences, structures, trees, and bushes per customer’s request. Hold, assist or supply Christmas lights, plastic mounting clips, decorations, extension and step ladders, installation pole with hook, and supplies for other installers. Help adjust extension cords and automatic timers. Remove, organize, pack and store Christmas lights and decorations after the holiday season. Clean and maintain work site &amp; other related Installer/Decorator activities as per SOC/OES 49-9098 (onetonline.org). Standard/Expected Schedule: Monday-Friday 7:30AM-7:30PM.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Optional, shared furnished housing available to the worker at a monthly housing rate up to $325; if optional housing is agreed upon by the worker, monthly housing rate is to be paid directly to the landlord each month. Job Classification: 49-9098.00 - Helpers--Installation, Maintenance, and Repair Workers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Must be 18 due to insurance. Must show proof of legal authorization to work in the United States. Drug/alcohol/tobacco free work zone. Perform physical activities: such as lift, balance, walk, stoop, handle, position, move, manipulate materials use static strength to exert maximum muscle force to lift, push, pull, carry objects up to 40lbs. All applicants must be able, willing and qualified to perform work described and must be available for the entire period specified and work throughout all areas of intended employment. Work is performed outdoors, exposed to weather; must be capable of doing physically strenuous labor for long hours, occasionally in extreme heat or cold. Variable weather conditions apply; hours may fluctuate (+/-), possible downtime and/or overtime. Number of Hours Per Week: 40 Work Schedule (Start/End time): 7:30 A.M. - 7:30 P.M.</t>
  </si>
  <si>
    <t>H-400-26184-076158</t>
  </si>
  <si>
    <t>Mickman Brothers, Inc.</t>
  </si>
  <si>
    <t>uriel.blanco@mickman.com</t>
  </si>
  <si>
    <t>+17634344047</t>
  </si>
  <si>
    <t>Wreath Workers</t>
  </si>
  <si>
    <t>Wreath workers select a variety of holiday evergreens and trimmings, e.g., pinecones, juniper twigs, ribbons, and bows, to create decorative holiday arrangements such as Christmas wreaths, door sprays, and tabletop centerpieces. Wreath workers will be trained in the knowledge of plant properties and standard design patterns to create assigned arrangements. Wreath workers select evergreens and materials, use pruning shears to trim selected evergreen materials and ties and shape the materials into specified arrangements and art designs for retail customers. Wreath workers place the completed arrangements onto tables for the separate shipping department who then collects, packages and ships product to customers. Wreath workers clean up debris from tables and workspaces and ensure proper storage of evergreens and materials at the end of the day. Entry level; requires supervision. On the job training provided. Job Classification: 27-1023.00 - Floral Designers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Must regularly lift/carry 40 lbs. in raw materials and lift final products weighing up to 15 lbs. Position also requires prolonged standing and frequent bending, grabbing, pulling, and lifting. Saturday and Sunday work required, when necessary. Employer-paid drug testing required of foreign and domestic workers prior to commencing work and post-hire post-accident. Employer may offer more than the stated work hours depending on weather, business needs, and other conditions. Number of Hours Per Week: 40 Work Schedule (Start/End time): 8:00 A.M. - 4:30 P.M.</t>
  </si>
  <si>
    <t>H-400-26184-076153</t>
  </si>
  <si>
    <t>Morena Forests, LLC</t>
  </si>
  <si>
    <t>morenaforests@gmail.com</t>
  </si>
  <si>
    <t>+15412610463</t>
  </si>
  <si>
    <t>Duties may include: Under supervision, raising &amp; transporting seedlings; sort tree seedlings, discarding substandard seedlings, according to standard charts or verbal instructions. Plant: seedlings/trees. Spray or inject vegetation with insecticides to kill insects or to protect against disease or with herbicides to reduce competing vegetation; enhance growth. Trim trees or other vegetation; cut trees or logs. IF NECESSARY, OR ONLY IN THE EVENT OF UNFORESEEN FIRE: UNDER THE GUIDANCE OF FIRE SUPPRESSION OFFICERS OR FORESTRY TECHNICIANS- Minor suppression via clearing/disposing of brush and piling &amp; other related Forestry Worker activities as per SOC/OES 45-4011 (onetonline.org). Standard/Expected Schedule: Monday-Friday 8:00AM-3:00PM. Offering 35+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Optional, shared housing available at no cost to the worker. Job Classification: 45-4011.00 - Forest and Conservation Workers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Must be 18 due to travel. Must show proof of legal authorization to work in the United States. Drug/alcohol/tobacco free work zone. Must walk substantially (up to 15 miles/day), also stoop, bend while carrying a pack (up to 50lbs) thru rough terrain (non-trail). All applicants must be able, willing and qualified to perform work described and must be available for the entire period specified and work throughout all areas of intended employment. Work is performed outdoors, exposed to weather; must be capable of doing physically strenuous labor for long hours, occasionally in extreme heat or cold. Variable weather conditions apply; hours may fluctuate (+/-), possible downtime and/or overtime. Number of Hours Per Week: 40 Work Schedule (Start/End time): 8:00 A.M. - 3:00 P.M.</t>
  </si>
  <si>
    <t>H-400-26184-076156</t>
  </si>
  <si>
    <t>H-400-26184-076141</t>
  </si>
  <si>
    <t>RDO FISHERIES</t>
  </si>
  <si>
    <t>rebeca.oreamuno@hospitalitycapitalpartners.com</t>
  </si>
  <si>
    <t>+13057055067</t>
  </si>
  <si>
    <t>Deckhand</t>
  </si>
  <si>
    <t>Load and unload equipment &amp; supplies such as ropes, nets, traps, trash and catch, off the boat, at the beginning/end of each work day, at the loading dock and put in storage at 201 20 St, Lot 4, Marathon, FL 33050.. Assembling stone crab claw traps. Clean repair traps. Pull traps fish the stone crab claws. Classify the stone crab claws based on size and processing the product using the provided measuring tools such as crab gauges, and sort by size. Return by catch to water. Clean equipment and tools. Job Classification: 51-3022.00 - Meat, Poultry, and Fish Cutters and Trimmers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Hours vary due to weather, mechanical issues and other Acts of God. Number of Hours Per Week: 35 Work Schedule (Start/End time): 7:00 A.M. - 3:00 P.M.</t>
  </si>
  <si>
    <t>H-400-26184-076169</t>
  </si>
  <si>
    <t>Rainscape Lawn Sprinkler Systems LLC</t>
  </si>
  <si>
    <t>lc@rainscape.net</t>
  </si>
  <si>
    <t>+16034271390</t>
  </si>
  <si>
    <t>Irrigation Helper</t>
  </si>
  <si>
    <t>Landscape or maintain grounds of property using hand or power tools or equipment. Workers typically perform a variety of tasks, which may include any combination of the following: watering; digging; installing sprinkler/ irrigation systems; maintaining irrigation systems, including winterizing the systems, and adjusting the amount of water consumption to prevent waste. Job Classification: 37-3011.00 - Landscaping and Groundskeeping Workers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Must lift/carry 50 lbs., when necessary. Saturday work required, when necessary. Employer may offer more than the stated work hours, depending on weather, business needs, and other conditions. Extreme heat, cold, rain, or drought may affect exact working hours. Number of Hours Per Week: 40 Work Schedule (Start/End time): 7:00 A.M. - 4:00 P.M.</t>
  </si>
  <si>
    <t>H-400-26184-076127</t>
  </si>
  <si>
    <t>Re-Create Companies LLC</t>
  </si>
  <si>
    <t>29/05/2027</t>
  </si>
  <si>
    <t>H2B@recreatecompanies.com</t>
  </si>
  <si>
    <t>+16237804771</t>
  </si>
  <si>
    <t>Perform tasks involving physical labor at construction sites. May operate hand and power tools of all types. Mix mortar. May clean and prepare sites and clean up rubble, debris, and other waste materials. Load/unload equipment and materials from trucks and distribute to appropriate locations. Assist other craft workers. Job Classification: 47-2061.00 - Construction Laborers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Requires three months of construction experience. Must lift/carry 85 lbs., when necessary. Saturday and Sunday work required, when necessary. Employer-paid drug testing required of foreign and domestic workers prior to commencing work and post-hire at random, upon suspicion of use, and post-accident. Post-hire employment eligibility (e-Verify) check required of foreign and domestic workers. Employer may offer more than the stated work hours depending on weather, business needs, and other conditions. Extreme heat, cold, rain, or drought may affect exact working hours. Number of Hours Per Week: 40 Work Schedule (Start/End time): 7:00 A.M. - 3:30 P.M.</t>
  </si>
  <si>
    <t>H-400-26184-076125</t>
  </si>
  <si>
    <t xml:space="preserve">SHR FPH, LLC </t>
  </si>
  <si>
    <t>Attendant</t>
  </si>
  <si>
    <t>Assist with cleanliness of hotel, perform other sanitary and cleaning duties as needed; clean and service guest rooms, resort common areas and other assigned sections; remove and change bed linens, vacuum, dust, clean bathrooms, restock carts with cleaning supplies and work with cleaning chemicals; polish silver accessories and metalwork, such as fixtures and fittings; clean, press, sort, count and mark clean linens and store them in linen closets; prepare rooms for meetings and arrange decorations, media equipment, and furniture for social or business functions; remove debris from driveway, hallways, resort common areas and swimming pool areas; maintain pool and spa cleanliness; sort clean linens and store them in linen closets located in Spa; retrieve clean towels from laundry and deliver clean towels to guest lounge chairs and towel stands on pool decks and locker rooms for pool and spa; and, assist service staff with overall cleanliness of spa and pools in keeping the deck and spa locker rooms. Job Classification: 37-2011.00 - Janitors and Cleaners, Except Maids and Housekeeping Cleaners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Must be able to lift between 30-50 pounds and push, pull between 30-100 pounds of equipment or trash. Must be available to work all shifts, including weekends, evenings, overnights and holidays. Number of Hours Per Week: 40 Work Schedule (Start/End time): 8:00 A.M. - 4:00 P.M.</t>
  </si>
  <si>
    <t>H-400-26184-077945</t>
  </si>
  <si>
    <t>Gutter &amp; Leaf, LLC</t>
  </si>
  <si>
    <t>01/01/2027</t>
  </si>
  <si>
    <t>scapesincla@aol.com</t>
  </si>
  <si>
    <t>+13373451459</t>
  </si>
  <si>
    <t>Gutter Cleaner</t>
  </si>
  <si>
    <t>Clean gutters freeing them of leaves, twigs, organic matter like seedlings, and debris; flush out gutters and downspouts of any debris to ensure all is draining properly. Tools used will include: ladders, gloves, hand tools, buckets, leaf blowers, pressure washer, wet/dry vacuum, gutter attachments, garden hose, soft bristle brush, rakes and possibly special lifts where needed. Possibilty of Sat and Sun work. Hours are M-F form 7 AM to 3 P, Sat from 7 AM to 12 PM. Involves loading and unloading tools and supplies and equipment weighing up to 50 lbs. Involves working outdoors in all types of weather. Involves extensive standing, sitting or walking. Involves frequent stooping or bending. Involves repetitive movements. In Event of Accident or Suspection of Use/Employer Paid Drug Test. Optional housing if available at $70 per week, utilities included (subject to change based on local market/inflation). Possibility of performance based raise, bonuses, overtime and Saturdays as required. Transportation provided to multiple worksites from central location in Lafayette, LA. Daily hours may vary between start and end times listed depending on weather or job assignments. Job Classification: 37-2019.00 - Building Cleaning Workers, All Other The job/industry classification and description includes general information on the position from ONET/OES and the North American Industry Classification System. Please review Job Duties and Job Order for more information. Job Requirements Experience Required: No Number of Hours Per Week: 40 Work Schedule (Start/End time): 7:00 A.M. - 3:00 P.M.</t>
  </si>
  <si>
    <t>H-400-26184-076165</t>
  </si>
  <si>
    <t>Sugarland AG, LLC</t>
  </si>
  <si>
    <t>morgan@sugarlandag.com</t>
  </si>
  <si>
    <t>Patrol nets to inspect settings, remove catch, and reset or relocate nets. Steer vessels and operate navigational instruments. Put fishing equipment into the water and anchor or tow equipment, according to the fishing method used. Maintain engines, fishing gear, and other on-board equipment and perform minor repairs. Sort, pack, and store catch in holds with salt and ice. Remove catches from fishing equipment and measure them for size. Locate fish, using fish-finding equipment. Attach nets, slings, hooks, blades, or lifting devices to cables, booms, hoists, or dredges. Interpret weather and vessel conditions to determine appropriate responses. Wash decks, knives, and other equipment, using brushes, detergents, and water. Connect accessories such as floats, weights, flags, lights, or markers to nets, lines, or traps. Load and unload vessel equipment and supplies, by hand or using hoisting equipment. Job Classification: 45-3031.00 - Fishing and Hunting Workers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Requires three months of previous deckhand experience. Must lift/carry 50 lbs., when necessary. Saturday and Sunday work required, when necessary. Employer-paid post-hire random drug testing required of foreign and domestic workers. Employer may offer more than the stated work hours depending on weather, business needs, and other conditions. Extreme heat, cold, rain, or drought may affect exact working hours. Number of Hours Per Week: 40 Work Schedule (Start/End time): 6:00 A.M. - 2:30 P.M.</t>
  </si>
  <si>
    <t>H-400-26184-076151</t>
  </si>
  <si>
    <t>Swift Straw II, LLC</t>
  </si>
  <si>
    <t>HR@swiftstraw.com</t>
  </si>
  <si>
    <t>+17703734593</t>
  </si>
  <si>
    <t>Duties may include: Clean up work sites and areas to remove limbs, sticks, weeds, and shrubs, rake and bale pine straw with baler, load/unload pine straw bales, and drive ATV's on privately owned pinestraw tracts &amp; other related Groundskeeper activities as per SOC/OES 45-2092 (onetonline.org). Standard/Expected Schedule: Monday-Friday 8:00AM-5:00PM. Offering 35+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Piece Rate May Apply: Piece rate may apply: $.75 per roll for raking, $.20 per roll for baling, $.30 per roll for loading. Will never make less than Prevailing Wage/Federal/state/local minimum wage.. Job Classification: 45-2092.00 - Farmworkers and Laborers, Crop, Nursery, and Greenhouse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Must show proof of legal authorization to work in the United States. Drug/alcohol/tobacco free work zone. Perform physical activities: such as lift, balance, walk, stoop, handle, position, move, manipulate materials use static strength to exert maximum muscle force to lift, push, pull, carry objects up to 45lbs. All applicants must be able, willing and qualified to perform work described and must be available for the entire period specified and work throughout all areas of intended employment.Based on Employer's discretion/cost: Worker may have random drug/alcohol testing during employment: positive test/refusal to abide = dismissal. Work is performed outdoors, exposed to weather; must be capable of doing physically strenuous labor for long hours, occasionally in extreme heat or cold. Variable weather conditions apply; hours may fluctuate (+/-), possible downtime and/or overtime. Number of Hours Per Week: 40 Work Schedule (Start/End time): 8:00 A.M. - 5:00 P.M.</t>
  </si>
  <si>
    <t>H-400-26184-076121</t>
  </si>
  <si>
    <t>Duties may include: Clean up work sites and areas to remove limbs, sticks, weeds, and shrubs; rake and bale pine straw with baler, load/unload pine straw bales, and drive ATV's &amp; other related Groundskeeper activities as per SOC/OES 37-3011 (onetonline.org). Standard/Expected Schedule: Monday-Friday 8:00AM-5:00PM. Offering 35+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Piece rate may apply: $.75 per roll for raking, $.20 per roll for baling, $.30 per roll for loading. Will never make less than Prevailing Wage/Federal/state/local minimum wage.. Job Classification: 37-3011.00 - Landscaping and Groundskeeping Workers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Must show proof of legal authorization to work in the United States. Drug/alcohol/tobacco free work zone. Perform physical activities: such as lift, balance, walk, stoop, handle, position, move, manipulate materials use static strength to exert maximum muscle force to lift, push, pull, carry objects up to 45lbs. All applicants must be able, willing and qualified to perform work described and must be available for the entire period specified and work throughout all areas of intended employment.Based on Employer's discretion/cost: Worker may have random drug/alcohol testing during employment: positive test/refusal to abide = dismissal. Work is performed outdoors, exposed to weather; must be capable of doing physically strenuous labor for long hours, occasionally in extreme heat or cold. Variable weather conditions apply; hours may fluctuate (+/-), possible downtime and/or overtime. Number of Hours Per Week: 40 Work Schedule (Start/End time): 8:00 A.M. - 5:00 P.M.</t>
  </si>
  <si>
    <t>H-400-26184-076159</t>
  </si>
  <si>
    <t>Tony Guy Lawn &amp; Garden Services, LLC</t>
  </si>
  <si>
    <t>tonysgardens247@gmail.com</t>
  </si>
  <si>
    <t>+14127418959</t>
  </si>
  <si>
    <t>Landscape or maintain grounds of property using hand or power tools or equipment. Workers typically perform a variety of tasks, which may include any combination of the following: sod laying, mowing, trimming, planting, watering, fertilizing, digging, and raking. Entry level; requires supervision. Job Classification: 37-3011.00 - Landscaping and Groundskeeping Workers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Must lift/carry 50 lbs., when necessary. Saturday and Sunday work required, when necessary. Employer may offer more than the stated work hours depending on weather, business needs, and other conditions. Extreme heat, cold, rain, or drought may affect exact working hours. Number of Hours Per Week: 40 Work Schedule (Start/End time): 8:00 A.M. - 4:30 P.M.</t>
  </si>
  <si>
    <t>H-400-26184-076154</t>
  </si>
  <si>
    <t>Tony Guy Nurseries, LLC</t>
  </si>
  <si>
    <t>Tony.Guy@comcast.net</t>
  </si>
  <si>
    <t>+14128125614</t>
  </si>
  <si>
    <t>H-400-26184-076122</t>
  </si>
  <si>
    <t>Yellowstone Landscape - Central, Inc. - Phoenix</t>
  </si>
  <si>
    <t>ejohnson@yellowstonelandscape.com</t>
  </si>
  <si>
    <t>+14807825296</t>
  </si>
  <si>
    <t>Landscape or maintain grounds of property using hand or power tools or equipment. Workers typically perform a variety of tasks, which may include any combination of the following: lay sod, mulch, mow, trim, plant, water, fertilize, dig, rake, remove trash/debris, and installation of mortarless segmental concrete masonry wall units. Maintain/repair tools/equipment as needed. Entry level; requires supervision. Job Classification: 37-3011.00 - Landscaping and Groundskeeping Workers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Must lift/carry 50 lbs., when necessary. Saturday and Sunday work required, when necessary. Employer-paid drug testing required of foreign and domestic workers prior to commencing work and post-hire upon suspicion of use and post-accident. Post-hire background checks may be required of foreign and domestic workers based on contract requirements. Post-hire employment eligibility (e-Verify) check required of foreign and domestic workers. Post-hire motor vehicle record check required only of foreign and domestic workers who drive company vehicles (driving is not a requirement of all workers in the position). Employer may offer more than the stated work hours, depending on weather, business needs, and other conditions. Extreme heat, cold, rain, or drought may affect exact working hours. Number of Hours Per Week: 40 Work Schedule (Start/End time): 6:30 A.M. - 2:00 P.M.</t>
  </si>
  <si>
    <t>H-400-26184-076143</t>
  </si>
  <si>
    <t>Yellowstone Landscape - Central, Inc. - Tucson</t>
  </si>
  <si>
    <t>+15208880669</t>
  </si>
  <si>
    <t>H-400-26184-076198</t>
  </si>
  <si>
    <t>AG Forestry, LLC</t>
  </si>
  <si>
    <t>Zander Kerns</t>
  </si>
  <si>
    <t>AGForestry19@gmail.com</t>
  </si>
  <si>
    <t>+15416907734</t>
  </si>
  <si>
    <t>Duties may include: Duties may include: Raising &amp; Transporting seedlings, sort tree seedlings, discarding substandard seedlings, according to standard charts or verbal instructions. Plant: Seedlings/trees, Spray or inject vegetation with insecticides to kill insects or to protect against disease or with herbicides to reduce competing vegetation, or to enhance growth. Trim trees or other vegetation; cut trees or logs. Pile, chip or lop &amp; Scatter created slash. Maintain equipment to be used in the field. IF NECESSARY (ONLY IN THE EVENT OF AN UNFORESEEN FIRE) AND UNDER THE DIRECT SUPERVISION OF FIRE SUPPRESSION OFFICERS OR FORESTRY TECHNICIANS: minor suppression via clearing/disposing of brush and piling and digging line/constructing "fire breaks" (manually digging small trench as needed). Incidental driving possible &amp; other related Forestry Worker activities as per SOC/OES 45-4011 (onetonline.org). Standard/Expected Schedule: Monday-Friday 5:00AM-3:00PM. Offering 35+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Optional, shared housing available at no cost to the worker. Job Classification: 45-4011.00 - Forest and Conservation Workers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Must be 18 due to travel. Must show proof of legal authorization to work in the United States. Drug/alcohol/tobacco free work zone. Must walk substantially (up to 15 miles/day), also stoop, bend while carrying a pack (up to 50lbs) thru rough terrain (non-trail). All applicants must be able, willing and qualified to perform work described and must be available for the entire period specified and work throughout all areas of intended employment. Work is performed outdoors, exposed to weather; must be capable of doing physically strenuous labor for long hours, occasionally in extreme heat or cold. Variable weather conditions apply; hours may fluctuate (+/-), possible downtime and/or overtime. Number of Hours Per Week: 40 Work Schedule (Start/End time): 5:00 A.M. - 3:00 P.M.</t>
  </si>
  <si>
    <t>H-400-26184-076177</t>
  </si>
  <si>
    <t>+16014692851</t>
  </si>
  <si>
    <t>All applicants must be able, willing, qualified perform work described in this job description &amp; be available entire period specified. Duties may include: reforest, protect timber tracts, sow seed; lift seedlings from nursery beds, place shade materials beside seedlings, net/ tube (place small plastic tubes over seedlings); mulch, post-plant hand scalp (remove excess vegetation around seedlings); apply repellent or fertilizer to seedlings &amp; other forestry related activities as per Forestry &amp; Land Management General Forestry Laborer activities as per SOC/OES 45-4011 (onetonline.org). Perform physical activities: lift, balance, walk, stoop, handle, position, move, manipulate materials use static strength-exert max muscle force to lift, push, pull, or carry objects up to 50lbs. Attn to detail; complete work tasks timely. Outdoors, exposed to weather; must be capable physical strenuous labor long hrs, occasionally in extreme heat/cold. Variable weather conditions apply; hrs may fluctuate (+/-), possible downtime/ OT. Possible daily/wkly hrs: 7AM-3:30 PM. M-F 35-40 plus/hrs wkly, includes lunch break. No min. edu. No exp. reqd. OJT. Tools/equipment provided by employer at no cost to worker. Transport provided, designated locale to job site at no cost to worker. The employer’s optional housing is provided at no cost to worker. Job Classification: 45-4011.00 - Forest and Conservation Workers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Must be at least 18 years of age due to travel. Must show proof of legal authority to work in U.S. Drug, Alcohol, Tobacco free work zone. Number of Hours Per Week: 35 Work Schedule (Start/End time): 7:00 A.M. - 3:30 P.M.</t>
  </si>
  <si>
    <t>H-400-26184-076172</t>
  </si>
  <si>
    <t>All applicants must be able, willing, qualified perform work described in this job description &amp; be available entire period specified. Duties may include: reforest, protect timber tracts, sow seed; lift seedlings from nursery beds, place shade materials beside seedlings, net/ tube (place small plastic tubes over seedlings); mulch, post-plant hand scalp (remove excess vegetation around seedlings); apply repellent or fertilizer to seedlings &amp; other forestry related activities as per Forestry &amp; Land Management General Forestry Laborer activities as per SOC/OES 45-4011 (onetonline.org). Perform physical activities: lift, balance, walk, stoop, handle, position, move, manipulate materials use static strength-exert max muscle force to lift, push, pull, or carry objects up to 50lbs. Attn to detail; complete work tasks timely. Outdoors, exposed to weather; must be capable physical strenuous labor long hrs, occasionally in extreme heat/cold. Variable weather conditions apply; hrs may fluctuate (+/-), possible downtime/ OT. Possible daily/wkly hrs: 7AM-3:30 PM. M-F 35-40 plus/hrs wkly, includes lunch break. No min. edu. No exp. reqd. OJT. Employer provided tools, supplies/equipment w/o charge/deposit. The employer’s optional housing is provided at no cost to worker. Transport provided, designated locale to job site at no cost to worker Job Classification: 45-4011.00 - Forest and Conservation Workers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Must be at least 18 years old due to travel. Must show proof of legal authority to work in U.S. Drug, Alcohol, Tobacco free work zone. Number of Hours Per Week: 35 Work Schedule (Start/End time): 7:00 A.M. - 3:30 P.M.</t>
  </si>
  <si>
    <t>H-400-26184-076183</t>
  </si>
  <si>
    <t>Allscape Property Services LLC</t>
  </si>
  <si>
    <t>allscape.dayton@gmail.com</t>
  </si>
  <si>
    <t>+19379032687</t>
  </si>
  <si>
    <t>Landscape or maintain grounds of property using hand or power tools or equipment. Workers typically perform a variety of tasks, which may include any combination of the following: sod laying, mowing, trimming, planting, watering, fertilizing, digging, blowing, raking, and installation of mortarless segmental concrete masonry units. Job Classification: 37-3011.00 - Landscaping and Groundskeeping Workers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Must lift/carry 50 lbs., when necessary. Saturday and Sunday work required, when necessary. Number of Hours Per Week: 40 Work Schedule (Start/End time): 7:00 A.M. - 3:30 P.M.</t>
  </si>
  <si>
    <t>H-400-26184-076206</t>
  </si>
  <si>
    <t>Aqualawn, LLC</t>
  </si>
  <si>
    <t>jay@aqualawnllc.com</t>
  </si>
  <si>
    <t>+14198615296</t>
  </si>
  <si>
    <t>Winter Laborer</t>
  </si>
  <si>
    <t>Workers will perform commercial and residential maintenance including mulching, fall/winter storm cleanup, shovel, and throw snow. Chip ice, spread salt, apply salt treatments to pavement and walks. Snow/ice equipment maintenance. Use hand tools and equipment such as snow shovel, plow, snow thrower, salt spreader, and ice chippers. Entry level; requires supervision. Job Classification: 37-3011.00 - Landscaping and Groundskeeping Workers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Must lift/carry 50 lbs., when necessary. Saturday and Sunday work required, when necessary. Employer-paid post-hire upon suspicion of use and post-accident drug testing required of foreign and domestic workers. Employer may offer more than the stated work hours, depending on weather, business needs, and other conditions. Extreme heat, cold, rain, or drought may affect exact working hours. Number of Hours Per Week: 40 Work Schedule (Start/End time): 7:30 A.M. - 4:00 P.M.</t>
  </si>
  <si>
    <t>H-400-26184-076176</t>
  </si>
  <si>
    <t>CMG COMPANY</t>
  </si>
  <si>
    <t>mike@mgconstruct.com</t>
  </si>
  <si>
    <t>+17314670312</t>
  </si>
  <si>
    <t>Cement Masons and Concrete Finishers</t>
  </si>
  <si>
    <t>Pour smooth, finish concrete, and set forms. Clean work site, collect and dispose of trash and debris. Assist with mixing, pouring and placing concrete. Help other construction laborers by performing duties of lesser skill. Job Classification: 47-2051.00 - Cement Masons and Concrete Finishers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Must be able to bend, stoop, stand and lift 100 pounds frequently. Must be able to work in hot/cold weather. Post -hire drug screen at employers expense. Number of Hours Per Week: 40 Work Schedule (Start/End time): 7:00 A.M. - 4:00 P.M.</t>
  </si>
  <si>
    <t>H-400-26184-076210</t>
  </si>
  <si>
    <t>Dorchester Shooting Preserve LLC</t>
  </si>
  <si>
    <t>info@huntdsp.com</t>
  </si>
  <si>
    <t>Hunting Guides</t>
  </si>
  <si>
    <t>Workers will perform a combination of hunting guide, lodge support, food service, game processing, groundskeeping, and maintenance duties at a hunting lodge. Hunting guide duties include preparing hunting vehicles by cleaning and stocking vehicles with beverages, ice, fuel, oil, water, dogs, and necessary hunting supplies; transporting guests to and from hunting fields; ensuring hunters have required safety orange apparel, hunting gear, and ammunition; providing safety instruction prior to hunts; guiding hunters on foot through fields to locate birds; handling and directing pointing and flushing dogs during hunts; instructing hunters on proper and safe shooting practices; locating, counting, carrying, and transporting harvested quail and other fowl from fields to cleaning areas; assisting guests with post-hunt activities including photographs and cleaning guest firearms; and maintaining professional appearance in guide uniforms. Workers will also maintain hunting fields by transporting water with carts and trailers, collecting spent shotgun hulls from fields, maintaining sporting clays courses, cleaning range firearms, washing sporting clay carts with hose and rag, filling clay target machines, restocking clay targets, and monitoring inventory of birds, ammunition, clay targets, and beverages for reporting to management. Food service and kitchen duties include cleaning and sanitizing food preparation equipment, kitchen work areas, dining areas, counters, and tables; restocking and rotating food and kitchen supplies; labeling and dating food items stored in coolers; preparing, cooking, grilling, frying, and serving foods including sandwiches, soups, salads, meats, eggs, pancakes, breads, desserts, coffee, and tea; planning and coordinating food preparation to ensure timely service; taking customer orders and preparing foods according to customer requirements; stocking shelves and ordering supplies as needed; and performing general kitchen and dining area cleaning duties. Game processing duties include plucking and cleaning quail and other fowl, removing inedible portions, packaging and vacuum sealing cleaned birds, freezing packaged products, moving product to storage areas, maintaining accurate counts of processed birds, disposing of trash and waste materials, and cleaning and maintaining all related worksites, tools, and equipment. Additional lodge and property maintenance duties include replacing and inventorying air filters in cottages, making minor repairs to cottages and lodge facilities using hand tools, cleaning and maintaining work areas and equipment. Job Classification: 51-3022.00 - Meat, Poultry, and Fish Cutters and Trimmers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Must lift/carry 50 lbs., when necessary. Saturday work required, when necessary. Post-hire upon suspicion of use and post-accident drug testing required of foreign and domestic workers. Employer may offer more than the stated work hours depending on weather, business needs, and other conditions. Extreme heat, cold, rain, or drought may affect exact working hours. Number of Hours Per Week: 54 Work Schedule (Start/End time): 7:00 A.M. - 5:00 P.M.</t>
  </si>
  <si>
    <t>H-400-26184-076181</t>
  </si>
  <si>
    <t>EASTPOINTE COUNTRY CLUB, INC.</t>
  </si>
  <si>
    <t>Eastpointe1974@gmail.com</t>
  </si>
  <si>
    <t>+15613282845</t>
  </si>
  <si>
    <t>Prepare, cook, saute, broil, fry such items as seafood, meats, poultry, vegetables, pastas, soups. Keeps kitchen areas clean &amp; sanitized. Stores all products in proper locations (6) workers needed. Dates of need: 10/1/26-5/31/27. 3 months experience necessary. Rotating shifts. Workdays: Mon-Sun. Work hours: 6am-10pm. Rate of pay: $19-$23/hr based on performance, $28.50-$34.50/hr overtime. Workers paid biweekly. 35 hours/wk. Optional housing provided for $180/week with a $30 bi-weekly refundable deposit upon completing of contract &amp; housing. Uniform shirts and shift meals provided. Job location: 13535 Eastpointe Blvd, Palm Beach Gardens, FL 33418. Work is temporary full time employment. A single workweek will be used to compute wages. May get up to 10 hours of overtime when available. All deductions from the worker's paycheck required by law will be made. The employer will provide workers at no charge all tools, supplies, and equipment required to perform the job. The worker will be provided with or reimbursed for transportation and subsistence (including reasonable cost of overnight lodging where necessary up to $110/night for lodging with receipts.) at a rate of $16.78 per day during travel to a maximum of $68.00 per day with receipts from the place from which the worker has come to work for the employer, whether in the U.S. or abroad, to the place of employment, if the worker completes 50 percent of the period of employment covered by the job order, consistent with 20 CFR 655.20(j)(1)(i) by inclusion in the paycheck for the applicable week. Employer will provide or pay for the worker's cost of return transportation and daily subsistence from the place of employment to the place from which the worker, disregarding intervening employment, departed to work for the employer, if the worker completes the certified period of employment or is dismissed from employment for any reason by the employer before the end of the period, consistent with § 655.20(j)(1)(ii); H-2B workers will be reimbursed in the first workweek for all visas, visa processing, border crossing, and other related fees, including those mandated by the government (excluding passport fees). The employer will provide workers all tools, supplies, and equipment required to perform the job at no charge to the worker, in accordance with 20 CFR 655.20(k). Qualified applicants may mail resume to Attn: Juan Pinto at 13535 Eastpointe Blvd, Palm Beach Gardens, FL 33418, email to Eastpointe1974@gmail.com, or visit your local job center at 3400 Belvedere Road West Palm Beach, FL 33406. *Your security deposit is refundable upon completion of your contract and upon inspection of the housing. If a worker abandons their job without permission of the employer or a worker abandons their housing before the end of the petition date for any reason except employer termination, the workers forfeits all housing deposits, PTO, vacation and bonus pay. Upon termination of resignation, the worker must vacate the housing immediately thereafter unless agreed upon by the employer.* Job Classification: 35-2014.00 - Cooks, Restaurant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Number of Hours Per Week: 35 Work Schedule (Start/End time): 6:00 A.M. - 10:00 P.M.</t>
  </si>
  <si>
    <t>H-400-26184-076185</t>
  </si>
  <si>
    <t>Take orders, serve food &amp; beverages to guests. Clean off &amp; set tables. Take payments, give receipts. Keep all stations stocked (13) workers needed. Dates of need: 10/1/26-5/31/27. 3 months experience necessary. Rotating shifts. Workdays: Mon-Sun. Work hours: 6am-10pm. Rate of pay: $17-$20/hr plus tips but no less than $18.71/hr, $28.07/hr overtime. Workers paid biweekly. 35 hours/wk. Optional housing provided for $180/week with a $30 bi-weekly refundable deposit upon completing of contract &amp; housing. Uniform shirts and shift meals provided. Job location: 13535 Eastpointe Blvd, Palm Beach Gardens, FL 33418. Work is temporary full time employment. A single workweek will be used to compute wages. May get up to 10 hours of overtime when available. All deductions from the worker's paycheck required by law will be made. The employer will provide workers at no charge all tools, supplies, and equipment required to perform the job. The worker will be provided with or reimbursed for transportation and subsistence (including reasonable cost of overnight lodging where necessary up to $110/night for lodging with receipts.) at a rate of $16.78 per day during travel to a maximum of $68.00 per day with receipts from the place from which the worker has come to work for the employer, whether in the U.S. or abroad, to the place of employment, if the worker completes 50 percent of the period of employment covered by the job order, consistent with 20 CFR 655.20(j)(1)(i) by inclusion in the paycheck for the applicable week. Employer will provide or pay for the worker's cost of return transportation and daily subsistence from the place of employment to the place from which the worker, disregarding intervening employment, departed to work for the employer, if the worker completes the certified period of employment or is dismissed from employment for any reason by the employer before the end of the period, consistent with § 655.20(j)(1)(ii); H-2B workers will be reimbursed in the first workweek for all visas, visa processing, border crossing, and other related fees, including those mandated by the government (excluding passport fees). The employer will provide workers all tools, supplies, and equipment required to perform the job at no charge to the worker, in accordance with 20 CFR 655.20(k). Qualified applicants may mail resume to Attn: Juan Pinto at 13535 Eastpointe Blvd, Palm Beach Gardens, FL 33418, email to Eastpointe1974@gmail.com, or visit your local job center at 3400 Belvedere Road West Palm Beach, FL 33406. *Your security deposit is refundable upon completion of your contract and upon inspection of the housing. If a worker abandons their job without permission of the employer or a worker abandons their housing before the end of the petition date for any reason except employer termination, the workers forfeits all housing deposits, PTO, vacation and bonus pay. Upon termination of resignation, the worker must vacate the housing immediately thereafter unless agreed upon by the employer.* Job Classification: 35-3031.00 - Waiters and Waitresses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Number of Hours Per Week: 35 Work Schedule (Start/End time): 6:00 A.M. - 10:00 P.M.</t>
  </si>
  <si>
    <t>H-400-26184-076203</t>
  </si>
  <si>
    <t>Facilitate food service. Set up and clean tables; remove dirty dishes; replace soiled table linens; run food to tables; replenish supply of clean linens, silverware, glassware, and dishes; supply service bar with food; and serve items such as water, condiments, and coffee to patrons. (2) workers needed. Dates of need: 10/1/26-5/31/27. 3 months experience necessary. Rotating shifts. Workdays: Mon-Sun. Work hours: 6am-10pm. Rate of pay: $17-$19/hr plus tips but no less than $17.91/hr, $26.87/hr overtime. Workers paid biweekly. 35 hours/wk. Optional housing provided for $180/week with a $30 bi-weekly refundable deposit upon completing of contract &amp; housing. Uniform shirts and shift meals provided. Job location: 13535 Eastpointe Blvd, Palm Beach Gardens, FL 33418. Work is temporary full time employment. A single workweek will be used to compute wages. May get up to 10 hours of overtime when available. All deductions from the worker's paycheck required by law will be made. The employer will provide workers at no charge all tools, supplies, and equipment required to perform the job. The worker will be provided with or reimbursed for transportation and subsistence (including reasonable cost of overnight lodging where necessary up to $110/night for lodging with receipts.) at a rate of $16.78 per day during travel to a maximum of $68.00 per day with receipts from the place from which the worker has come to work for the employer, whether in the U.S. or abroad, to the place of employment, if the worker completes 50 percent of the period of employment covered by the job order, consistent with 20 CFR 655.20(j)(1)(i) by inclusion in the paycheck for the applicable week. Employer will provide or pay for the worker's cost of return transportation and daily subsistence from the place of employment to the place from which the worker, disregarding intervening employment, departed to work for the employer, if the worker completes the certified period of employment or is dismissed from employment for any reason by the employer before the end of the period, consistent with § 655.20(j)(1)(ii); H-2B workers will be reimbursed in the first workweek for all visas, visa processing, border crossing, and other related fees, including those mandated by the government (excluding passport fees). The employer will provide workers all tools, supplies, and equipment required to perform the job at no charge to the worker, in accordance with 20 CFR 655.20(k). Qualified applicants may mail resume to Attn: Juan Pinto at 13535 Eastpointe Blvd, Palm Beach Gardens, FL 33418, email to Eastpointe1974@gmail.com, or visit your local job center at 3400 Belvedere Road West Palm Beach, FL 33406. *Your security deposit is refundable upon completion of your contract and upon inspection of the housing. If a worker abandons their job without permission of the employer or a worker abandons their housing before the end of the petition date for any reason except employer termination, the workers forfeits all housing deposits, PTO, vacation and bonus pay. Upon termination of resignation, the worker must vacate the housing immediately thereafter unless agreed upon by the employer.* Job Classification: 35-9011.00 - Dining Room and Cafeteria Attendants and Bartender Helpers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Number of Hours Per Week: 35 Work Schedule (Start/End time): 6:00 A.M. - 10:00 P.M.</t>
  </si>
  <si>
    <t>H-400-26184-076215</t>
  </si>
  <si>
    <t>ESCOBAR REFORESTATION, LLC</t>
  </si>
  <si>
    <t>Ryan Hatton</t>
  </si>
  <si>
    <t>escobarreforestation@gmail.com</t>
  </si>
  <si>
    <t>+13608274021</t>
  </si>
  <si>
    <t>COMMERCIAL TREE PLANTING WILL BE CONDUCTED ON STEEP TERRAIN; 40%-60% IN SLOPE AND DONE WITH THE USE OF A PLANTING SHOVEL. THE EMPLOYEE WILL CLEAR A SPACE ON THE GROUND, DIG A HOLE, CORRECTLY PLACE THE SEEDLING TREE IN THE HOLE, COVER THE ROOTS WITH THE SOIL, AND THEN TAMP THE SOIL AROUND THE NEWLY PLANTED SEEDLING. THE EMPLOYEE WILL BE REQUIRED TO CARRY A PLANTING BAG WHICH WILL CONTAIN THE SEEDLINGS, COMBINED WEIGHT IS ABOUT 50-60 POUNDS, DEPENDING ON THE SIZE OF THE SEEDLINGS, UP AND DOWN THE STEEP TERRAIN IN REMOTE MOUNTAINOUS AREAS. PRE-COMMERCIAL THINNING: CUTTING OF UNDESIRABLE AND DISEASED TREES. SPRAYING VEGETATION TO ELIMINATE UNWANTED UNDERBRUSH. SPRAYING: (Only herbicides labeled for forestry applications are used. The position does not mix or load of any herbicide. Mixing and loading is done by a licensed herbicide applicator who oversees all aspects of application. Each worker who sprays herbicide must be licensed with the Washington Department of Agriculture. Workers are trained both for safety and for technical procedures. The worker will be trained, once hired, to obtain the spraying license.) BRUSH CUTTING/PILING AND THE CUTTING OF LIMBS OF THE COMMERCIAL TIMBER WILL BE CONDUCTED IN ORDER TO PROMOTE THE GROWTH OF THE STANDING TIMBER. TREE LIMBS CUT AND BRUSH WILL BE PILED IN A PRESCRIBED MANNER FOR FUTURE DISPOSAL. THE THINNING WILL BE CONDUCTED WITH THE USE OF A CHAINSAW. EMPLOYEES WILL PARTICIPATE IN MINIMUM SPRAYING. EMPLOYEES ARE EXPECTED TO MAINTAIN THE SAW, SHARPEN THE CHAIN IN THE FIELD, MAINTAIN CORRECT FLUID LEVELS, AND PROPERLY BREAK THE SAW DOWN FOR CLEANING. THE COMBINED WEIGHT OF THE SAW, FUEL AND OIL IS APPROXIMATELY 30 LBS AND MUST BE CARRIED UP AND DOWN DIFFICULT TERRAIN RANGING FROM 40%-60% IN SLOPE. THE EMPLOYEE MUST DEMONSTRATE THAT HE CAN WORK IN A SAFE AND EFFECTIVE MANNER. ACCESS IS GAINED TO THESE REMOTE AREAS BY TRAVELING ON ABANDONED, UNNAMED OR NUMBERED, LOGGING ROADS THAT ARE MAINTAINED. Job Classification: 45-4011.00 - Forest and Conservation Workers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MUST BE ABLE TO PLANT THE FOLLOWING NUMBER OF TREES IN AN 8 HOUR DAY: BY THE END OF THE 1ST WEEK-800 TREES. BY THE END OF THE 2ND WEEK-900 TREES. BY THE END OF THE 3RD WEEK-1,000 TREES Number of Hours Per Week: 40 Work Schedule (Start/End time): 7:00 A.M. - 3:30 P.M.</t>
  </si>
  <si>
    <t>H-400-26184-076218</t>
  </si>
  <si>
    <t>Prepare and cook food items according to standardized recipes and portion guidelines. Season and cook a variety of dishes including meats, poultry, seafood, vegetables, soups, salads, and desserts. Operate kitchen equipment such as ovens, grills, fryers, slicers, mixers, and ranges. Monitor food preparation and cooking times to ensure proper temperature, flavor, and presentation. Maintain cleanliness and organization of kitchen stations and follow proper sanitation procedures. Store food supplies and ingredients following proper rotation, labeling, and food safety standards. Assist in setting up and breaking down the kitchen line for service periods. Follow all health and safety protocols, including HACCP and local food safety regulations. Collaborate with kitchen team to ensure timely service and consistent food quality. Dispose of food waste and kitchen refuse in accordance with sanitation policies.. Job Classification: 35-2014.00 - Cooks, Restaurant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8 Special Requirements: culinary experience including Chef, Line or Prep Cook or other cooking experience dining or high-volume setting at a restaurant, resort, hotel, private club or other hospitality setting. Number of Hours Per Week: 35 Work Schedule (Start/End time): 9:00 A.M. - 4:00 P.M.</t>
  </si>
  <si>
    <t>H-400-26184-076201</t>
  </si>
  <si>
    <t>Carpenters</t>
  </si>
  <si>
    <t>Read and follow plans and measurements to construct, erect, install, or repair structures; building frameworks, including walls, concrete forms, windows, and door frames. Install metal siding and windows. Instruct less skilled workers on job duties. Will be exposed to heights, temperature extremes, strenuous physical activity, and repetitive motions. Proper and accurate use of tape measure required. Job Classification: 47-2031.00 - Carpenters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12 Special Requirements: Must be able to lift and carry 75 lbs 75 yds. Some weekend work. Must be able to handle temperature extremes. Will travel to worksites within area of intended employment. Number of Hours Per Week: 40 Work Schedule (Start/End time): 7:00 A.M. - 5:00 P.M.</t>
  </si>
  <si>
    <t>H-400-26184-076194</t>
  </si>
  <si>
    <t>Forestree Network Services, LLC</t>
  </si>
  <si>
    <t>office@forestreenetworkservices.com</t>
  </si>
  <si>
    <t>+13348638524</t>
  </si>
  <si>
    <t>Manual itinerant work hand planting tree seedlings to reforest and maintain timberlands. Plant tree seedlings in specified pattern using a shovel, mattock, planting hoe, or dibble. Transport trees in a tree bag. Dig holes at pre-determined intervals and insert seedling. Tamp soil around plant with foot and planting tool. Select optimum planting location to meet spacing, soil, and shade requirements. Bare soil. These jobs involve propagating, protecting, and managing forest tracts. Job Classification: 45-4011.00 - Forest and Conservation Workers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No education or experience required. Requires physical stamina. Extensive walking over rough terrain. Work is outdoors in extreme temperatures and adverse weather. Must lift and carry 50 lbs. Work schedule and locations dependent on weather conditions. Production standard of 2000 trees correctly planted per 8 hour day after one week of on the job training. Overnight travel is required. Saturday work required, when necessary. Employer may offer more than the stated work hours depending on weather, business needs, and other conditions. Extreme heat, cold, rain, or drought may affect exact working hours. Number of Hours Per Week: 40 Work Schedule (Start/End time): 8:00 A.M. - 4:30 P.M.</t>
  </si>
  <si>
    <t>H-400-26184-076219</t>
  </si>
  <si>
    <t>GREEN LINE TURF SEEDING, LLC</t>
  </si>
  <si>
    <t>office@mygreenlineturf.com</t>
  </si>
  <si>
    <t>+15867845785</t>
  </si>
  <si>
    <t>Duties include dormant season installation of trees, shrubs, or flowers in the appropriate design pattern. Unloading materials, digging holes for root systems, properly covering the holes and sometimes sod laying, planting grass seed or connecting irrigation. Leaf removal, lawn seed and straw, lawn aeration, planting shrubbery, digging, raking, and installation of mortarless segmental concrete masonry wall units. Workers may gather and remove litter, water seeded lawns, trees, plants and prune or trim trees, shrubs, or hedges. Workers may operate powered equipment, and drive vehicles to customer locations. Duties may include sod laying, mowing, watering plants &amp; lawns, plant transplanting, fertilizing, digging, raking, sprinkler installation. Employees will be digging trenches no larger than 6 - 12 inches deep and 6 - 12 inches wide with shovels and hand tools. These trenches are used to hold tubing used in the installation of irrigation systems. All the trimming/pruning will take place on the ground. The workers will not perform any pruning or trimming activities above ground level. The worker may transport other workers to and from job sites on occasion, however this will not be their primary job duty. Job Classification: 37-3011.00 - Landscaping and Groundskeeping Workers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Must be able to lift 50 lbs., repetitive movements, extensive pushing/pulling, extensive walking, frequent stooping, exposure to extreme temperatures. In accordance with applicable Michigan state law, Earned Sick Time Act 338, employers are required to provide earned sick time to their employees. The amount of paid sick leave provided may vary depending on the size of the business. Number of Hours Per Week: 40 Work Schedule (Start/End time): 7:00 A.M. - 4:00 P.M.</t>
  </si>
  <si>
    <t>H-400-26184-076170</t>
  </si>
  <si>
    <t>H-400-26184-076200</t>
  </si>
  <si>
    <t>Green Creations Landscape Services, LLC.</t>
  </si>
  <si>
    <t>kostabounos123@gmail.com</t>
  </si>
  <si>
    <t>+14126565517</t>
  </si>
  <si>
    <t>Duties include dormant season installation of trees, shrubs, or flowers in the appropriate design pattern. Unloading materials, digging holes for root systems, properly covering the holes and sometimes sod laying, planting grass seed or connecting irrigation. Leaf removal, lawn seed and straw, lawn aeration, planting shrubbery, digging, raking, and installation of mortarless segmental concrete masonry wall units. Workers may gather and remove litter, water seeded lawns, trees, plants and prune or trim trees, shrubs, or hedges. Workers may operate powered equipment, and drive vehicles to customer locations. Duties may include sod laying, mowing, watering plants &amp; lawns, plant transplanting, fertilizing, digging, raking, sprinkler installation. Employees will be digging trenches no larger than 6 - 12 inches deep and 6 - 12 inches wide with shovels and hand tools. These trenches are used to hold tubing used in the installation of irrigation systems. All the trimming/pruning will take place on the ground. The workers will not perform any pruning or trimming activities above ground level. The worker may transport other workers to and from job sites on occasion, however this will not be their primary job duty. Job Classification: 37-3011.00 - Landscaping and Groundskeeping Workers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Must be able to lift 80 lbs., repetitive movements, extensive pushing/pulling, extensive walking, frequent stooping, exposure to extreme temperatures. Number of Hours Per Week: 40 Work Schedule (Start/End time): 7:00 A.M. - 4:00 P.M.</t>
  </si>
  <si>
    <t>H-400-26184-076190</t>
  </si>
  <si>
    <t>Green Mountain Forestry, LLC</t>
  </si>
  <si>
    <t>todd@greenmountainforestry.com</t>
  </si>
  <si>
    <t>+17069377116</t>
  </si>
  <si>
    <t>Duties may include: Workers will carry set of planting bags with 500 to 1,000 tree seedlings to be planted using various planting techniques 1 seedling at a time, dig holes, plant using planting tools, pack seedling down to allow for optimal growth &amp; other related Tree Planter activities as per SOC/OES 45-4011 (onetonline.org). Standard/Expected Schedule: Monday-Friday 8:00AM-4:30PM.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Piece rate may apply: worker will never make less than Prevailing Wage or Federal/State/Local minimum wage. Optional, shared housing available at no cost to the worker. Job Classification: 45-4011.00 - Forest and Conservation Workers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Must be 18 due to travel. Must show proof of legal authorization to work in the United States. Drug/alcohol/tobacco free work zone. Must walk substantially (up to 15 miles/day), also stoop, bend while carrying a pack (up to 50lbs) thru rough terrain (non-trail). All applicants must be able, willing and qualified to perform work described and must be available for the entire period specified and work throughout all areas of intended employment. Work is performed outdoors, exposed to weather; must be capable of doing physically strenuous labor for long hours, occasionally in extreme heat or cold. Variable weather conditions apply; hours may fluctuate (+/-), possible downtime and/or overtime. Number of Hours Per Week: 40 Work Schedule (Start/End time): 8:00 A.M. - 4:30 P.M.</t>
  </si>
  <si>
    <t>H-400-26184-076085</t>
  </si>
  <si>
    <t>Heads Up Landscape Contractors, LLC</t>
  </si>
  <si>
    <t>NEW MEXICO</t>
  </si>
  <si>
    <t>info@yellowstonelandscape.com</t>
  </si>
  <si>
    <t>+15058989615</t>
  </si>
  <si>
    <t>Landscape or maintain grounds of property using hand or power tools or equipment. Workers typically perform a variety of tasks, which may include any combination of the following: lay sod, mulch, mow, trim, plant, water, fertilize, dig, rake, remove trash/debris, and installation of mortarless segmental concrete masonry wall units. Maintain/repair tools/equipment as needed. Entry level; requires supervision. Job Classification: 37-3011.00 - Landscaping and Groundskeeping Workers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Must lift/carry 50 lbs., when necessary. Saturday and Sunday work required, when necessary. Employer-paid drug testing required of foreign and domestic workers prior to commencing work and post-hire upon suspicion of use and post-accident. Post-hire background checks may be required of foreign and domestic workers based on contract requirements. Post-hire motor vehicle record check required only of foreign and domestic workers who drive company vehicles (driving is not a requirement of all workers in the position). Employer may offer more than the stated work hours, depending on weather, business needs, and other conditions. Extreme heat, cold, rain, or drought may affect exact working hours. Number of Hours Per Week: 40 Work Schedule (Start/End time): 6:30 A.M. - 2:00 P.M.</t>
  </si>
  <si>
    <t>H-400-26184-076180</t>
  </si>
  <si>
    <t>Hawkins Lawn and Landscape, LLC</t>
  </si>
  <si>
    <t>reed@hawkins-landscape.com</t>
  </si>
  <si>
    <t>+12512131031</t>
  </si>
  <si>
    <t>Duties include sod laying, mowing, trimming/pruning trees, shrubs and plants, installation of plants, trees and shrubbery, watering plants &amp; lawns, plant transplanting, fertilizing, digging, raking, sprinkler installation, outdoor lighting installation and installation of mortarless segmental concrete masonry wall units. Workers may gather and remove litter and operate powered equipment and drive company vehicles to customer locations. All vehicles to be driven are company pick-up trucks. The Gross Vehicle Weight capacity of the vehicle to be driven in the job duties is less than 26,000 lbs. Powered equipment used will include lawn mowers, weed eaters, and trimmers. All the trimming/pruning will take place on the ground. The workers will not perform any pruning or trimming activities above ground level. The worker may transport other workers to and from job sites on occasion, however this will not be their primary job duty. Irrigation duties include installing lawn irrigation systems to water lawns, trees, or plants, gather and remove litter, digs &amp; fills trenches with hand tools, cuts tubing to desired length using hand tools. Use irrigation methods to adjust the amount of water consumption and to prevent waste. Maintain irrigation systems, including winterizing systems and starting them up in spring. Workers may occasionally transport other workers to and from job sites; however, transportation of workers is not a primary job duty. Workers may also occasionally transport landscaping materials, tools, and equipment to and from job sites, including mulch, potted plants, shovels, rakes, mowers, blowers, trimmers, weed eaters, small tractors, and similar landscaping equipment. No hazardous materials will be transported by workers. All vehicles and equipment operated weigh less than 26,000 pounds GVW, including any attached trailers or transported materials. Job Classification: 37-3011.00 - Landscaping and Groundskeeping Workers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Must be able to lift 50 pounds, may be subject to random drug test, repetitive movements, extensive pushing/pulling, extensive walking, frequent stooping, exposure to extreme temperatures, driver's license required, 3 months experience required Number of Hours Per Week: 40 Work Schedule (Start/End time): 7:00 A.M. - 4:00 P.M.</t>
  </si>
  <si>
    <t>H-400-26184-076214</t>
  </si>
  <si>
    <t>HighGrove Partners, LLC</t>
  </si>
  <si>
    <t>Gary.Tomlinson@highgrove.net</t>
  </si>
  <si>
    <t>+16782980550</t>
  </si>
  <si>
    <t>Landscape or maintain grounds of property using hand or power tools or equipment. Tools may include mowers, weed eaters, shears, shovels, rakes, tampers, blowers, stick and hand power edgers, chainsaws (for light cutting and pruning), augers, and hand-held bed trenchers. Duties include laying sod, mulching, mowing, trimming, edging, planting, watering, fertilizing, digging, raking, pruning, and clearing debris. Workers may assist with installation of sprinkler systems and mortarless segmental concrete masonry wall units. This is an entry-level position; duties are performed under supervision and do not include higher-skilled construction trade work. Job Classification: 37-3011.00 - Landscaping and Groundskeeping Workers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Must lift/carry 50 lbs., when necessary. Saturday work required, when necessary. Employer-paid drug testing required of foreign and domestic workers prior to commencing work and posthire post-accident. Post-hire background check required of foreign and domestic workers. Number of Hours Per Week: 40 Work Schedule (Start/End time): 6:00 A.M. - 2:30 P.M.</t>
  </si>
  <si>
    <t>H-400-26184-076174</t>
  </si>
  <si>
    <t>JAMES' MEAT COMPANY, INC.</t>
  </si>
  <si>
    <t>info@goolsbysausage.com</t>
  </si>
  <si>
    <t>+19319345900</t>
  </si>
  <si>
    <t>Perform nonroutine or precision functions involving the preparation of large portions of meat. Work may include specialized slaughtering tasks, cutting standard or premium cuts of meat for marketing, making sausage, or wrapping meats. Work typically occurs in slaughtering, meat packing, or wholesale establishments. Job Classification: 51-3023.00 - Slaughterers and Meat Packers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Must be able to lift 50 lbs., repetitive movements, extensive pushing/pulling. Number of Hours Per Week: 40 Work Schedule (Start/End time): 7:00 A.M. - 4:00 P.M.</t>
  </si>
  <si>
    <t>H-400-26184-076220</t>
  </si>
  <si>
    <t>JRJ Constructors LLC</t>
  </si>
  <si>
    <t>jrjconstructorsllc@gmail.com</t>
  </si>
  <si>
    <t>+16157850838</t>
  </si>
  <si>
    <t>Perform tasks involving physical labor at construction sites. May operate hand and power tools of all types: air hammers, earth tampers, cement mixers, small mechanical hoists, surveying and measuring equipment, and a variety of other equipment and instruments. May clean and prepare sites, dig trenches, set braces to support the sides of excavations, erect scaffolding, and clean up rubble, debris, and other waste material. May assist other craft workers. Load, unload, or identify building materials, machinery, or tools, distribute them to the appropriate locations, according to projects plans, or specifications. Workers may assist other craft workers, by preparing worksites; gathering, loading, unloading, and transporting tools, materials, and equipment; cleaning work areas; and performing manual labor tasks associated with construction projects. Workers may use common hand tools and basic power tools including shovels, rakes, wheelbarrows, brooms, drills, compactors, levels, and measuring tools. Materials handled may include lumber, concrete forms, gravel, sand, cement, concrete, rebar, pipes, and other common construction materials. Workers may operate basic measuring and layout equipment, including measuring tapes, laser levels, grade rods, and string lines, to assist supervisors and other construction personnel with measuring distances, checking grades, and marking work areas. Workers may load, unload, identify, and transport building materials, tools, and equipment using manual labor, wheelbarrows, dollies, hand trucks, pallet jacks, or similar basic material-handling equipment. Materials handled may include lumber, concrete forms, tools, gravel, sand, rebar, cement, and other common construction materials used at the worksite. Job Classification: 47-2061.00 - Construction Laborers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Must be able to lift 25 lbs., repetitive movements, extensive pushing/pulling, extensive walking, frequent stooping, exposure to extreme temperatures. 3 months Construction experience required. Number of Hours Per Week: 40 Work Schedule (Start/End time): 7:00 A.M. - 4:00 P.M.</t>
  </si>
  <si>
    <t>H-400-26184-076217</t>
  </si>
  <si>
    <t>Junipers Reforestation LLC</t>
  </si>
  <si>
    <t>junipers.reforestation06@gmail.com</t>
  </si>
  <si>
    <t>+19512849641</t>
  </si>
  <si>
    <t>Duties may include: Duties may include: Raising &amp; Transporting seedlings, sort tree seedlings, discarding substandard seedlings, according to standard charts or verbal instructions. Plant: Seedlings/trees, Spray or inject vegetation with insecticides to kill insects or to protect against disease or with herbicides to reduce competing vegetation, or to enhance growth. Trim trees or other vegetation; cut trees or logs. Pile, chip or lop &amp; Scatter created slash. Maintain equipment to be used in the field. Clearing/disposing of brush and piling, manually digging small trenches as needed. Incidental driving possible &amp; other related Forestry Worker activities as per SOC/OES 45-4011 (onetonline.org). Standard/Expected Schedule: Monday-Friday 7:30AM-4:00PM.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Optional, shared housing available at no cost to the worker. Job Classification: 45-4011.00 - Forest and Conservation Workers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Must be 18 due to travel. Must show proof of legal authorization to work in the United States. Drug/alcohol/tobacco free work zone. Must walk substantially (up to 15 miles/day), also stoop, bend while carrying a pack (up to 50lbs) thru rough terrain (non-trail). All applicants must be able, willing and qualified to perform work described and must be available for the entire period specified and work throughout all areas of intended employment. Work is performed outdoors, exposed to weather; must be capable of doing physically strenuous labor for long hours, occasionally in extreme heat or cold. Variable weather conditions apply; hours may fluctuate (+/-), possible downtime and/or overtime. Number of Hours Per Week: 40 Work Schedule (Start/End time): 7:30 A.M. - 4:00 P.M.</t>
  </si>
  <si>
    <t>H-400-26184-076196</t>
  </si>
  <si>
    <t>L&amp;B REFORESTATION, INC</t>
  </si>
  <si>
    <t>josevidriopalomino@millertimber.com</t>
  </si>
  <si>
    <t>+15419292840</t>
  </si>
  <si>
    <t>Duties of the forest conservation worker are to develop and maintain woodlands. This includes: hand planting tree seedlings w/o J/U root using a planting hoe or a planting shovel. Tubing or netting may be performed to protect the seedlings. Spraying is performed to prep future planting sites and/or maintain current sites. SPRAYING: (Only herbicides labeled for forestry applications are used. The position does not mix or load of any herbicide. Mixing and loading is done by a licensed herbicide applicator who oversees all aspects of application. Each worker who sprays herbicide must be licensed with the Oregon Department of Agriculture. Workers are trained both for safety and for technical procedures. The worker will be trained, once hired, to obtain the spraying license.) Pruning, slashing, and trail construction is done with chainsaws and other hand-held equipment. Other duties of developing and maintaining woodlands include: clearing, brush piling, pile covering for future disposal, slash pile burning, and other activities as per Forestry Land Management Services (onetonline.org) 45-4011. All duties are performed in various weather conditions. The worker must be able to walk up to 15 miles a day and stoop and bend while carrying a pack weighing up to 50lbs. All duties are performed in rough terrain, up to 40-60% slopes. Locations may be in remote areas with no trails and accessed by unimproved roads Job Classification: 45-4011.00 - Forest and Conservation Workers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MUST BE ABLE TO PLANT THE FOLLOWING NUMBER OF TREES IN AN 8 HOUR DAY: BY END OF 1ST WEEK - 800, BY END OF 2ND WEEK - 900, BY END OF 3RD WEEK - 1000 TREES. Number of Hours Per Week: 40 Work Schedule (Start/End time): 7:00 A.M. - 3:30 P.M.</t>
  </si>
  <si>
    <t>H-400-26184-076216</t>
  </si>
  <si>
    <t>LAKEVIEW SOD FARMS</t>
  </si>
  <si>
    <t>brandy@tennesseed.com</t>
  </si>
  <si>
    <t>+14235070007</t>
  </si>
  <si>
    <t>Duties include dormant season installation of trees, shrubs, or flowers in the appropriate design pattern. Unloading materials, digging holes for root systems, properly covering the holes and sometimes sod laying, planting grass seed or connecting irrigation. Leaf removal, lawn seed and straw, lawn aeration, planting shrubbery, digging, raking, and installation of mortarless segmental concrete masonry wall units. Workers may gather and remove litter, water seeded lawns, trees, plants and prune or trim trees, shrubs, or hedges. Workers may operate powered equipment, and drive vehicles to customer locations. Duties may include sod laying, mowing, watering plants &amp; lawns, plant transplanting, fertilizing, digging, raking, sprinkler installation. Employees will be digging trenches no larger than 6 - 12 inches deep and 6 - 12 inches wide with shovels and hand tools. These trenches are used to hold tubing used in the installation of irrigation systems. All the trimming/pruning will take place on the ground. The workers will not perform any pruning or trimming activities above ground level. The worker may transport other workers to and from job sites on occasion, however this will not be their primary job duty. Job Classification: 37-3011.00 - Landscaping and Groundskeeping Workers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Must be able to lift 50 lbs. repetitive movements, extensive pushing/pulling, extensive walking, frequent stooping, exposure to extreme temperatures, 3 months experience required. Post Hire Drug screen at employers expense. Number of Hours Per Week: 40 Work Schedule (Start/End time): 7:00 A.M. - 4:00 P.M.</t>
  </si>
  <si>
    <t>H-400-26184-076187</t>
  </si>
  <si>
    <t>HN Mansion Operations LLC</t>
  </si>
  <si>
    <t>themansion@rosewoodhotels.com</t>
  </si>
  <si>
    <t>+12145592100</t>
  </si>
  <si>
    <t>Maintenance Porter</t>
  </si>
  <si>
    <t>Perform maintenance and cleaning tasks as directed by the facility manager/supervisor to ensure that all dirt, dust, litter and debris is removed from all areas of the facility using brooms, mops, brushes and other hand tools. Walk garage daily to note and correct any maintenance problems. Sweep and pick up around the entrances and exits to the garage and stairwells as well as clean surface area rails, etc. on all levels, the booth, the office and rest rooms. Empty all trashcans. Replace burned out bulbs, change filters, stock supplies, submit requests for repairs or maintenance. Keep an inventory of janitorial supplies. Report any unknown, observed or suspected violations of company policy, safety hazards or any unusual occurrence. The employer will offer 40 hours of work per week. Open 7 days a week, 5-day work schedule varies Sunday through Saturday. Normal shift times: 7:30am-4pm, 3pm-11:30pm, 11pm-7:30am. Shifts include 30 minutes unpaid break time. Hours and shift times may vary with occupancy. Employer may increase wage based on experience, change in market conditions, and/or provide additional pay for performance and tenure. One meal per shift provided at no cost to employee. Overtime may be available. An overtime premium will be paid when required by Federal, State, or local law, including at time-and-a-half after 40 hours per workweek. Generally, when overtime is available it will be paid at $24.65 wage per hour. Worker is responsible for their own daily transportation to and from the worksite. Job Classification: 37-2011.00 - Janitors and Cleaners, Except Maids and Housekeeping Cleaners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1 Special Requirements: 1-month hotel janitor experience required. Must be able to speak, read, and write English. Must be able to lift, pull, push 50 lbs. Must be able to continuously bend/stoop and stand/walk for prolong periods of time. Must be able to bend, squat and reach up/down/overhead. Must be able to withstand working with dust, chemicals and other possible irritants. Must be able to work in extreme weather conditions (rain, snow, cold, heat). Must be able to move in a relatively quick manner. Must be able to work a flexible 5-day schedule, including weekends and holidays as required. Pre-employment background check required, cost paid by employer and applied equally to all workers, U.S. and foreign/H-2B. Applicant must complete an employment application. Required uniform provided at no cost to employee. Number of Hours Per Week: 40 Work Schedule (Start/End time): 7:30 A.M. - 4:00 P.M.</t>
  </si>
  <si>
    <t>H-400-26184-076178</t>
  </si>
  <si>
    <t>MARS LANDSCAPE MANAGEMENT, LLC</t>
  </si>
  <si>
    <t>deana@funyaklandscapes.com</t>
  </si>
  <si>
    <t>+17244323232</t>
  </si>
  <si>
    <t>Duties include dormant season installation of trees, shrubs, or flowers in the appropriate design pattern. Unloading materials, digging holes for root systems, properly covering the holes and sometimes sod laying, planting grass seed or connecting irrigation. Leaf removal, lawn seed and straw, lawn aeration, planting shrubbery, digging, raking, and installation of mortarless segmental concrete masonry wall units. Workers may gather and remove litter, water seeded lawns, trees, plants and prune or trim trees, shrubs, or hedges. Workers may operate powered equipment, and drive vehicles to customer locations. Duties may include sod laying, mowing, watering plants &amp; lawns, plant transplanting, fertilizing, digging, raking, sprinkler installation. Employees will be digging trenches no larger than 6 - 12 inches deep and 6 - 12 inches wide with shovels and hand tools. These trenches are used to hold tubing used in the installation of irrigation systems. All the trimming/pruning will take place on the ground. The workers will not perform any pruning or trimming activities above ground level. The worker may transport other workers to and from job sites on occasion, however this will not be their primary job duty. Job Classification: 37-3011.00 - Landscaping and Groundskeeping Workers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Post Hire Drug screen at employers expense. Must be able to lift 50 lbs., repetitive movements, extensive pushing/pulling, extensive walking, frequent stooping, exposure to extreme temperatures. Number of Hours Per Week: 40 Work Schedule (Start/End time): 7:00 A.M. - 4:00 P.M.</t>
  </si>
  <si>
    <t>H-400-26184-076213</t>
  </si>
  <si>
    <t>MATHIS INSTALLS</t>
  </si>
  <si>
    <t>employment@mathislandscapes.com</t>
  </si>
  <si>
    <t>+18287430710</t>
  </si>
  <si>
    <t>Duties include dormant season installation of trees, shrubs, or flowers in the appropriate design pattern. Unloading materials, digging holes for root systems, properly covering the holes and sometimes sod laying, planting grass seed or connecting irrigation. Leaf removal, lawn seed and straw, lawn aeration, planting shrubbery, digging, raking, and installation of mortarless segmental concrete masonry wall units. Workers may gather and remove litter, water seeded lawns, trees, plants and prune or trim trees, shrubs, or hedges. Workers may operate powered equipment, and drive vehicles to customer locations. Duties may include sod laying, mowing, watering plants &amp; lawns, plant transplanting, fertilizing, digging, raking, sprinkler installation. Employees will be digging trenches no larger than 6 - 12 inches deep and 6 - 12 inches wide with shovels and hand tools. These trenches are used to hold tubing used in the installation of irrigation systems. All the trimming/pruning will take place on the ground. The workers will not perform any pruning or trimming activities above ground level. The worker may transport other workers to and from job sites on occasion, however this will not be their primary job duty. Workers may operate powered landscaping equipment, including mowers, edgers, blowers, weed eaters, trimmers, small tractors, and similar landscaping equipment. Workers may drive company pickup trucks and similar light-duty company vehicles to and from customer job sites. Workers may occasionally transport other workers to and from job sites; however, transportation of workers is not a primary job duty. Workers may also occasionally transport landscaping materials, tools, and equipment to and from job sites, including mulch, potted plants, shovels, rakes, mowers, blowers, and trimmers. No hazardous materials will be transported by workers. All vehicles and equipment operated weigh less than 26,000 pounds GVW, including any attached trailers or transported materials. Job Classification: 37-3011.00 - Landscaping and Groundskeeping Workers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Must be able to lift 50 lbs., repetitive movements, extensive pushing/pulling, extensive walking, frequent stooping, exposure to extreme temperatures. 3 months experience required. Number of Hours Per Week: 40 Work Schedule (Start/End time): 7:00 A.M. - 4:00 P.M.</t>
  </si>
  <si>
    <t>H-400-26184-076191</t>
  </si>
  <si>
    <t>MAYES PROPERTY MAINTENANCE LLC</t>
  </si>
  <si>
    <t>tristarnursery@gmail.com</t>
  </si>
  <si>
    <t>+14233848189</t>
  </si>
  <si>
    <t>Duties include dormant season installation of trees, shrubs, or flowers in the appropriate design pattern. Unloading materials, digging holes for root systems, properly covering the holes and sometimes sod laying, planting grass seed or connecting irrigation. Leaf removal, lawn seed and straw, lawn aeration, planting shrubbery, digging, raking, and installation of mortarless segmental concrete masonry wall units. Workers may gather and remove litter, water seeded lawns, trees, plants and prune or trim trees, shrubs, or hedges. Workers may operate powered equipment, and drive vehicles to customer locations. Duties may include sod laying, mowing, watering plants &amp; lawns, plant transplanting, fertilizing, digging, raking, sprinkler installation. Employees will be digging trenches no larger than 6 - 12 inches deep and 6 - 12 inches wide with shovels and hand tools. These trenches are used to hold tubing used in the installation of irrigation systems. All the trimming/pruning will take place on the ground. The workers will not perform any pruning or trimming activities above ground level. The worker may transport other workers to and from job sites on occasion, however this will not be their primary job duty. Workers may operate powered landscaping equipment, including mowers, edgers, blowers, weed eaters, trimmers, small tractors, and similar landscaping equipment. Workers may drive company pickup trucks and similar light-duty company vehicles to and from customer job sites. Workers may occasionally transport other workers to and from job sites; however, transportation of workers is not a primary job duty. Workers may also occasionally transport landscaping materials, tools, and equipment to and from job sites, including mulch, potted plants, shovels, rakes, mowers, blowers, and trimmers. No hazardous materials will be transported by workers. All vehicles and equipment operated weigh less than 26,000 pounds GVW, including any attached trailers or transported materials. Job Classification: 37-3011.00 - Landscaping and Groundskeeping Workers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Must be able to lift 50 lbs., repetitive movements, extensive pushing/pulling, extensive walking, frequent stooping, exposure to extreme temperatures. Number of Hours Per Week: 40 Work Schedule (Start/End time): 7:00 A.M. - 4:00 P.M.</t>
  </si>
  <si>
    <t>H-400-26184-076179</t>
  </si>
  <si>
    <t>MMC Land Management Inc</t>
  </si>
  <si>
    <t>03/11/2026</t>
  </si>
  <si>
    <t>millsf@mmcland.com</t>
  </si>
  <si>
    <t>+17244443033</t>
  </si>
  <si>
    <t>Lead Grounds/maintenance Specialist</t>
  </si>
  <si>
    <t>Landscape or maintain grounds of property using hand or power tools or equipment. Workers typically perform a variety of tasks, which may include any combination of the following: sod laying, mowing, trimming, planting, watering, fertilizing, digging, raking, and assist with installation of mortarless segmental concrete masonry wall units. Must exercise independent judgment; may be asked to demonstrate tasks to other employees but position does not include supervision of other workers. Ensure tools and equipment are safely transported and accounted for between worksites. Job Classification: 37-3011.00 - Landscaping and Groundskeeping Workers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Requires three months of previous landscape experience. Must lift/carry 50 lbs., when necessary. Saturday and Sunday work required, when necessary. Post-hire post-accident drug testing required of foreign and domestic workers. Must possess or be able to obtain U.S. driver's license within 30 days of hire. Employer may offer more than the stated work hours depending on weather, business needs, and other conditions. Extreme heat, cold, rain, or drought may affect exact working hours. Number of Hours Per Week: 40 Work Schedule (Start/End time): 7:00 A.M. - 3:30 P.M.</t>
  </si>
  <si>
    <t>H-400-26184-076212</t>
  </si>
  <si>
    <t>MORRIS GROUNDS MAINTENANCE LLC</t>
  </si>
  <si>
    <t>admin@morrisnursery.net</t>
  </si>
  <si>
    <t>+17316644455</t>
  </si>
  <si>
    <t>Duties include dormant season installation of trees, shrubs, or flowers in the appropriate design pattern. Unloading materials, digging holes for root systems, properly covering the holes and sometimes sod laying, planting grass seed or connecting irrigation. Leaf removal, lawn seed and straw, lawn aeration, planting shrubbery, digging, raking, and installation of mortarless segmental concrete masonry wall units. Workers may gather and remove litter, water seeded lawns, trees, plants and prune or trim trees, shrubs, or hedges. Workers may operate powered equipment, and drive vehicles to customer locations. Duties may include sod laying, mowing, watering plants &amp; lawns, plant transplanting, fertilizing, digging, raking, sprinkler installation. Employees will be digging trenches no larger than 6 - 12 inches deep and 6 - 12 inches wide with shovels and hand tools. These trenches are used to hold tubing used in the installation of irrigation systems. All the trimming/pruning will take place on the ground. The workers will not perform any pruning or trimming activities above ground level. The worker may transport other workers to and from job sites on occasion, however this will not be their primary job duty. Workers may operate powered landscaping equipment, including mowers, edgers, blowers, weed eaters, trimmers, small tractors, and similar landscaping equipment. Workers may drive company vehicles, including Isuzu NPR, Ford E350 box van, Ford F450 Honda Odessey, Toyota Tundra, Chevy 3500 trucks, to and from customer job sites. Workers may occasionally transport other workers to and from job sites; however, transportation of workers is not a primary job duty. Workers may also occasionally transport landscaping materials, tools, and equipment to and from job sites, including mulch, potted plants, shovels, rakes, mowers, blowers, and trimmers. No hazardous materials will be transported by workers. All vehicles and equipment operated weigh less than 26,000 pounds GVW, including any attached trailers or transported materials. Job Classification: 37-3011.00 - Landscaping and Groundskeeping Workers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Must be able to lift 50 lbs., repetitive movements, extensive pushing/pulling, extensive walking, frequent stooping, exposure to extreme temperatures. Number of Hours Per Week: 40 Work Schedule (Start/End time): 7:00 A.M. - 4:00 P.M.</t>
  </si>
  <si>
    <t>H-400-26184-076193</t>
  </si>
  <si>
    <t>McMillan Landscape Contractors LLC</t>
  </si>
  <si>
    <t>info@mcmillanlandscape.com</t>
  </si>
  <si>
    <t>Landscape or maintain grounds of property using hand/power tools or equipment such as mowers, edgers and blowers. Activities may include any combination of the following: digging, planting, cultivating, raking, mulching, trimming, weeding, mowing, pruning, seeding, sod laying and spraying. Load/unload/move trees, shrubs, and landscape materials; remove debris; maintain and clean equipment/tools when not in use. Job Classification: 37-3011.00 - Landscaping and Groundskeeping Workers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Must lift/carry 50 lbs., when necessary. Saturday and Sunday work required, when necessary. Employer may offer more than the stated work hours depending on weather, business needs, and other conditions. Extreme heat, cold, rain, or drought may affect exact working hours. Number of Hours Per Week: 40 Work Schedule (Start/End time): 7:00 A.M. - 3:30 P.M.</t>
  </si>
  <si>
    <t>H-400-26184-076207</t>
  </si>
  <si>
    <t>Minor's Landscaping LLC</t>
  </si>
  <si>
    <t>info@minors-landscaping.com</t>
  </si>
  <si>
    <t>+12487787776</t>
  </si>
  <si>
    <t>Landscape or maintain grounds of property using hand or power tools or equipment to include walk-behind mowers, ride-on mowers, and mechanical edging equipment. Workers typically perform a variety of tasks, which may include any combination of the following: leaf removal and cleanup, mulching, sod laying, mowing, trimming, planting, watering, fertilizing, digging, raking &amp; assist w/installation of mortarless segmental concrete masonry wall units. Job Classification: 37-3011.00 - Landscaping and Groundskeeping Workers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Must lift/carry 50 lbs., when necessary. Saturday and Sunday work required, when necessary. Employer may offer more than the stated work hours depending on weather, business needs, and other conditions. Extreme heat, cold, rain, or drought may affect exact working hours. Number of Hours Per Week: 40 Work Schedule (Start/End time): 8:00 A.M. - 5:00 P.M.</t>
  </si>
  <si>
    <t>H-400-26184-076211</t>
  </si>
  <si>
    <t>Orr Contracting, Inc.</t>
  </si>
  <si>
    <t>orrhouse@hughes.net</t>
  </si>
  <si>
    <t>+18284798868</t>
  </si>
  <si>
    <t>Duties may include: maintain grounds of industrial/commercial/public property: along roadways, parks, playgrounds. Cut grass, using walk/riding mowers, trim hedges and edge around walks. Prune: shrubs and trees to shape and improve growth. Gather and remove litter. Use: hedge trimmers, clippers, edging tools, tractors w/ bush hogs, weed eaters, lawn mowers &amp; other related Groundskeeper activities as per SOC/OES 37-3011 (onetonline.org). Standard/Expected Schedule: Monday-Friday 7:00AM-5:00PM.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Optional, shared housing available at no cost to the worker. Job Classification: 37-3011.00 - Landscaping and Groundskeeping Workers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Must be 18 due to insurance. Must show proof of legal authorization to work in the United States. Drug/alcohol/tobacco free work zone. Perform physical activities: such as lift, balance, walk, stoop, handle, position, move, manipulate materials use static strength to exert maximum muscle force to lift, push, pull, carry objects up to 50lbs. All applicants must be able, willing and qualified to perform work described and must be available for the entire period specified and work throughout all areas of intended employment.Based on Employer's discretion/cost: Worker may have random drug/alcohol testing during employment: positive test/refusal to abide = dismissal. Work is performed outdoors, exposed to weather; must be capable of doing physically strenuous labor for long hours, occasionally in extreme heat or cold. Variable weather conditions apply; hours may fluctuate (+/-), possible downtime and/or overtime. Number of Hours Per Week: 40 Work Schedule (Start/End time): 7:00 A.M. - 5:00 P.M.</t>
  </si>
  <si>
    <t>H-400-26184-076192</t>
  </si>
  <si>
    <t>H-400-26184-076197</t>
  </si>
  <si>
    <t>RENEWABLE ENERGY POWER PUERTO RICO LLC</t>
  </si>
  <si>
    <t>James Kunkel</t>
  </si>
  <si>
    <t>PUERTO RICO</t>
  </si>
  <si>
    <t>30/11/2027</t>
  </si>
  <si>
    <t>jagonzalez@grupodial.es</t>
  </si>
  <si>
    <t>+17876013247</t>
  </si>
  <si>
    <t>Quality Control Technician</t>
  </si>
  <si>
    <t>Inspects and monitors construction materials, processes, and completed work to ensure compliance with project specifications, quality standards, and applicable codes in industrial construction projects, including Battery Energy Storage System (BESS) facilities. Verifies incoming materials such as concrete, reinforcing steel, formwork, and electrical components for conformity with technical requirements. Performs field inspections of foundations, structural work, and electrical installations to identify defects, deviations, and non-conformities, and recommends corrective actions. Interprets drawings, specifications, and quality procedures to ensure proper execution of work. Maintains inspection records, test results, and quality documentation, including reports of non-conformance. Coordinates with project management, supervisors, and field personnel to resolve quality issues and ensure compliance throughout construction activities. In BESS projects, supports quality control of civil and electrical works, including verification of installation accuracy for equipment such as battery containers, inverters, and transformers, and assists in monitoring testing and commissioning activities. Job Classification: 51-9061.00 - Inspectors, Testers, Sorters, Samplers, and Weighers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36 Special Requirements: Minimum U.S. (or equivalent) education required: High School/GED. Minimum 36 months experience as Quality Control Technician. Basic English skills. Schedule may vary and can include weekends and holidays as needed. Ability to lift/carry/push/pull 50 lbs. Employer will rely on worker's own representations and observations of the worker to assess if worker meets the physical ability and eligibility requirements stated here. 5 days/wk., 8.5 hr./day. Expected daily hourly schedule from 7:00 AM to 1:00 PM and from 2:00 pm to 4:30pm Mon to Fri. Number of Hours Per Week: 42 Work Schedule (Start/End time): 7:00 A.M. - 4:30 P.M.</t>
  </si>
  <si>
    <t>H-400-26184-076184</t>
  </si>
  <si>
    <t>Raceland Raw Sugar, LLC</t>
  </si>
  <si>
    <t>hr@racelandrawsugar.com</t>
  </si>
  <si>
    <t>+19855373533</t>
  </si>
  <si>
    <t>Maintenance Helpers – Seventeen (17) temporary, full-time positions from October 1, 2026 to June 30, 2027 with Raceland Raw Sugar, LLC in Raceland, Louisiana. Help installation, maintenance, and repair workers in the maintenance, the parts replacement and the repair of industrial equipment used in the processing of raw sugar. Perform duties such as furnishing tools, materials, and supplies to other, more experienced workers. Cleaning work area, machines, and tools, and holding materials or tools for other more experienced workers during the harvesting season and after in preparation for the upcoming harvesting season. Higher pay may be available to workers with extensive experience. A minimum of 3 months experience is required in the job offered on sugar mill equipment. No minimum education is required. No on-the-job training is provided. Optional on-site lodging offered at no charge to workers hired in this temporary position. As applicable, daily transportation to and from worksite will be provided by employer. The employer will provide workers at no charge (or deposit charge) all tools, supplies, and equipment required to perform the job. Willing to work 7 days a week, varying 8 hour shifts (7am-3pm; 3pm-11pm; 11pm -7am); 56 hrs a week during harvest season, 40 hrs a week after harvest season until the end of the contract, overtime paid after 48 hours during harvesting and after 40 hours after harvesting. Overtime hours will vary and are not guaranteed. Workers will be paid no less than $18.37/Hour; $27.56/Hour overtime based on a single workweek. A single workweek will be used in computing wages due. Wages are paid bi-weekly. The employer will make all deductions from the worker's paycheck as required by law. Employer guarantees to offer employment equal to at least three-fourths (3/4's) of the workdays of each 12-week period of the total employment period; and, if the guarantee is not met, the employer will pay the worker what the worker would have earned if the employer had offered the guaranteed number of days. The 12-week period will begin the first workday after the worker's arrival or the advertised contractual first date of need, whichever is later. The employer will reimburse the H-2B worker (by check) in the first workweek the full cost for all visa, visa processing, border crossing, and other related fees, including those mandated by the government (except passport fees). Raceland will provide or reimburse inbound and outbound transportation and daily subsistence costs for corresponding U.S. workers who are not reasonably able to return to their residence within the same workday. The worker will be reimbursed for transportation and subsistence expenses from the place from which the worker has come to work for the employer, whether in the U.S. or abroad, to the place of employment by check by the employer upon completion of 50% of the period of employment covered by the job order or earlier, if appropriate. The employer will provide or pay for the worker's cost of return transportation and daily subsistence from the place of employment to the place from which the worker, disregarding intervening employment, departed to work for the employer, if the worker completes the certified period of employment or is dismissed from employment for any reason by the employer before the end of the period. The amount of transportation payment or reimbursement will be equal to the most economical and reasonable common carrier for the distances involved. This includes at least $16.78 per day during travel to a maximum of $68.00 per day with documentation of actual expenses. Raceland Raw Sugar, LLC is the same entity as Raceland Raw Sugar Corporation as listed in the State Workforce Agency job order. Job Classification: 49-9098.00 - Helpers--Installation, Maintenance, and Repair Workers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Number of Hours Per Week: 56 Work Schedule (Start/End time): 7:00 A.M. - 3:00 P.M.</t>
  </si>
  <si>
    <t>H-400-26184-076205</t>
  </si>
  <si>
    <t>Ruby &amp; Steven Swett, LLC</t>
  </si>
  <si>
    <t>rby756@hotmail.com</t>
  </si>
  <si>
    <t>+13058049727</t>
  </si>
  <si>
    <t>Duties may include: Preparation of trees to be planted, pruning of the roots, separation of the root systems for easy seedling retrieval, carrying seedlings in specialized carrying bags on the worker's person, extensive walking over rough terrain in extreme weather conditions, bending over and inserting a dibble bar or hoedad into the ground, proper placement of seedlings in hole in ground and proper packing of seedlings so as to ensure survivability. This is done on a consistent and continuous basis throughout the work day &amp; other related Forestry Worker activities as per SOC/OES 45-4011 (onetonline.org). Standard/Expected Schedule: Monday-Friday 8:00AM-5:00PM.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Piece rate may apply: worker will never make less than Prevailing Wage or Federal/State/Local minimum wage. Optional, shared housing available at no cost to the worker. Job Classification: 45-4011.00 - Forest and Conservation Workers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Must be 18 due to travel. Must show proof of legal authorization to work in the United States. Drug/alcohol/tobacco free work zone. Must walk substantially (up to 15 miles/day), also stoop, bend while carrying a pack (up to 50lbs) thru rough terrain (non-trail). All applicants must be able, willing and qualified to perform work described and must be available for the entire period specified and work throughout all areas of intended employment. Work is performed outdoors, exposed to weather; must be capable of doing physically strenuous labor for long hours, occasionally in extreme heat or cold. Variable weather conditions apply; hours may fluctuate (+/-), possible downtime and/or overtime. Number of Hours Per Week: 40 Work Schedule (Start/End time): 8:00 A.M. - 5:00 P.M.</t>
  </si>
  <si>
    <t>H-400-26184-076204</t>
  </si>
  <si>
    <t>Rye Tree Service Inc.</t>
  </si>
  <si>
    <t>ryetree@msn.com</t>
  </si>
  <si>
    <t>+15419990295</t>
  </si>
  <si>
    <t>Duties may include: Forestry support activities including, but not limited to, tree planting, precommercial thinning, slash piling, herbicide application, timber stand exams, timber marking &amp; other related Forestry Worker activities as per SOC/OES 45-4011 (onetonline.org). Standard/Expected Schedule: Monday-Friday 8:00AM-6:30PM.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Optional, shared housing available at no cost to the worker. Job Classification: 45-4011.00 - Forest and Conservation Workers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Must be 18 due to travel. Must show proof of legal authorization to work in the United States. Drug/alcohol/tobacco free work zone. Must walk substantially (up to 15 miles/day), also stoop, bend while carrying a pack (up to 85lbs) thru rough terrain (non-trail). All applicants must be able, willing and qualified to perform work described and must be available for the entire period specified and work throughout all areas of intended employment. Work is performed outdoors, exposed to weather; must be capable of doing physically strenuous labor for long hours, occasionally in extreme heat or cold. Variable weather conditions apply; hours may fluctuate (+/-), possible downtime and/or overtime. Number of Hours Per Week: 40 Work Schedule (Start/End time): 8:00 A.M. - 6:30 P.M.</t>
  </si>
  <si>
    <t>H-400-26184-076171</t>
  </si>
  <si>
    <t>SIERRA REFORESTATION, INC</t>
  </si>
  <si>
    <t>sierrarfhr@yahoo.com</t>
  </si>
  <si>
    <t>+13603597815</t>
  </si>
  <si>
    <t>Pre-Commercial Thinning: Carries fuel, oil, and operates a chainsaw, weighing approximately 30 pounds, cutting trees 14-16 years old, and brush clearing. Undesirable and diseased trees will be cut with the use of a chainsaw. Selected limbs of standing trees will also be cut to enhanced the trees growth, to enhance the density. Trees, limbs and brush that have been cut will be piled and covered for future disposal in a prescribed manner. Commercial Tree Planting: The employee will clear an area with a planting shovel, dig a hole, place a seedling in the hole and cover the hole back up to secure the seedling, ensuring that the seedling when planted does not have a "J" root. The employee must be able to carry a planting bag with a number of seedlings, weighing approximately 50 lbs, up and down steep, rugged terrain. Training provided if needed. All work performed in remote areas on steep, 30% - 50%, terrain. Job Classification: 45-4011.00 - Forest and Conservation Workers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1 Special Requirements: MUST BE ABLE TO PLANT THE FOLLOWING NUMBER OF TREES IN AN 8 HOUR DAY: BY END OF 1ST WEEK - 800, BY END OF 2ND WEEK - 900, BY END OF 3RD WEEK - 1000 TREES Number of Hours Per Week: 40 Work Schedule (Start/End time): 7:00 A.M. - 3:30 P.M.</t>
  </si>
  <si>
    <t>H-400-26184-076173</t>
  </si>
  <si>
    <t>Duties may include: Clean up work sites and areas to remove limbs, sticks, weeds, and shrubs; rake and bale pine straw with baler, load/unload pine straw bales, and drive ATV's &amp; other related Groundskeeper activities as per SOC/OES 37-3011 (onetonline.org). Standard/Expected Schedule: Monday-Friday 8:00AM-5:00PM. Offering 35+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Piece Rate May Apply: At employer's discretion: possible raises or bonuses (not guaranteed). Piece rate may apply: $.75 per roll for raking, $.20 per roll for baling, $.30 per roll for loading. Will never make less than Prevailing Wage/Federal/state/local minimum wage.. Job Classification: 37-3011.00 - Landscaping and Groundskeeping Workers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Must show proof of legal authorization to work in the United States. Drug/alcohol/tobacco free work zone. Perform physical activities: such as lift, balance, walk, stoop, handle, position, move, manipulate materials use static strength to exert maximum muscle force to lift, push, pull, carry objects up to 45lbs. All applicants must be able, willing and qualified to perform work described and must be available for the entire period specified and work throughout all areas of intended employment.Based on Employer's discretion/cost: Worker may have random drug/alcohol testing during employment: positive test/refusal to abide = dismissal. Work is performed outdoors, exposed to weather; must be capable of doing physically strenuous labor for long hours, occasionally in extreme heat or cold. Variable weather conditions apply; hours may fluctuate (+/-), possible downtime and/or overtime. Number of Hours Per Week: 40 Work Schedule (Start/End time): 8:00 A.M. - 5:00 P.M.</t>
  </si>
  <si>
    <t>H-400-26184-076188</t>
  </si>
  <si>
    <t>Helper- Production Worker</t>
  </si>
  <si>
    <t>Duties may include: Assist machine operators during pine straw bagging and production processes by loading raw pine straw materials into conveyors and unloading finished bagged products using forklifts, dollies, hand trucks, and other basic material handling equipment. Move raw materials and finished products between storage and work areas by hand or with powered lifting equipment. Monitor equipment operation and notify supervisors of basic machine issues or production interruptions. Clean work areas and production equipment using brooms, shovels, and pitchforks. Perform basic equipment cleaning, lubrication, and debris removal to maintain safe and efficient operations &amp; other related Helper- Production Worker activities as per SOC/OES 53-7051 (onetonline.org). Standard/Expected Schedule: Monday-Friday 8:00AM-5:00PM. Offering 35+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Job Classification: 53-7051.00 - Industrial Truck and Tractor Operators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Must show proof of legal authorization to work in the United States. Drug/alcohol/tobacco free work zone. Perform physical activities: such as lift, balance, walk, stoop, handle, position, move, manipulate materials use static strength to exert maximum muscle force to lift, push, pull, carry objects up to 45lbs. All applicants must be able, willing and qualified to perform work described and must be available for the entire period specified and work throughout all areas of intended employment. Hours may fluctuate based on tourism peaks and valleys throughout the season (+/-), possible downtime and/or overtime. Number of Hours Per Week: 40 Work Schedule (Start/End time): 8:00 A.M. - 5:00 P.M.</t>
  </si>
  <si>
    <t>H-400-26184-076199</t>
  </si>
  <si>
    <t>03/03/2027</t>
  </si>
  <si>
    <t>Maintenance Technician</t>
  </si>
  <si>
    <t>Aide seasoned mechanics in the lesser duties associated with the maintenance and repair of vehicles. Assist mechanics to diagnose, examine, test, adjust and repair various commercial vehicles and equipment such as, pick-up trucks, heavy tractor-trailer combinations, trucks with the Gross Vehicle Weight Rating (GVWR) over 26,001 pounds, loaders, trailers and other related machinery and equipment as required. Hold or supply tools and parts for higher skilled workers. Position vehicles and other objects such as tools, diagnostic equipment, supplies, etc., as necessary. Daily functions may include inspecting vehicles, machinery and equipment to ensure fully functional; Cleaning and lubricating vehicles and other equipment and tools; Keeping the maintenance area clear and safe by ensuring all diagnostic equipment, supplies, tools, large and small maintenance equipment, fluids, and supplies are stored and positioned as needed. Job Classification: 49-9098.00 - Helpers--Installation, Maintenance, and Repair Workers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6 Special Requirements: Driver's License Must pass background check and drug testing. Number of Hours Per Week: 45 Work Schedule (Start/End time): 4:00 P.M. - 1:00 A.M.</t>
  </si>
  <si>
    <t>H-400-26184-076182</t>
  </si>
  <si>
    <t>Trinity Water LLC</t>
  </si>
  <si>
    <t>H2b@libraryrestaurant.com</t>
  </si>
  <si>
    <t>Restaurant Support Staff</t>
  </si>
  <si>
    <t>**RFI Response** The cleaning of restrooms are basic in nature, and incidental to a restaurant support staff worker. Specific duties involve wiping down counters that have too much water on it using paper towels, looking in the cupboards to check stock of toilet paper and putting toilet paper or paper towels in the dispensers if they are empty, and if the floor looks wet, wipe it with a dry mop in order to dry the surface for guest safety. Preparation of desserts is also basic in nature, and incidental to a restaurant support staff worker. Specific duties involve cutting the cakes into slices using a cake cutter and putting the slices on plates, as well as scooping pre-cooked desserts or ice cream into bowls using a spoon. **Original** Assist other restaurant workers by serving food and beverages to guests, or by bussing tables. Prepare condiments and tableware for tables and service, provide water to guests, polish silverware and glassware, prepare desserts and coffees. Set up tables, inspect dining and serving areas to ensure cleanliness and proper setup. Water flowers. Inspect restrooms for cleanliness and availability of supplies, and clean restrooms when necessary. Welcome patrons, seat them at tables or in lounge, and help ensure quality of facilities and service. Provide guests with menus. Maintain contact with kitchen staff, management, serving staff, and customers to ensure that dining details are handled properly and customers' concerns are addressed. check customer reservations and assign servers, or assign patrons to tables suitable for their needs and according to rotation so that servers receive an appropriate number of seatings. Speak with patrons to ensure satisfaction with food and service, to respond to requests, or to make conversation. Job Classification: 35-2021.00 - Food Preparation Workers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Requires three months experience as a restaurant support staff worker or similar customer-facing service role. Fluent English speaking required. Must lift/carry 50 lbs., when necessary. Employer-paid post-hire drug testing required of foreign and domestic workers upon suspicion of use. Work schedule will vary and will include evenings, holidays, and Saturdays and Sundays. Work may be performed on any day of the week from Monday through Sunday. Shift hours may vary. Employer may offer more than the stated work hours depending on weather, business needs, and other conditions. Extreme heat, cold, rain, or drought may affect exact working hours. Number of Hours Per Week: 35 Work Schedule (Start/End time): 3:00 P.M. - 10:30 P.M.</t>
  </si>
  <si>
    <t>H-400-26184-076209</t>
  </si>
  <si>
    <t>Prepare, season, and cook dishes such as soups, meats, vegetables, or desserts in restaurants. Bake, grill, broil, and steam meats, fish, vegetables, and other foods. May order supplies, keep records, participate in inventory counts. Ensure food is stored and cooked at correct temperature by regulating temperature of ovens, broilers, grills, and roasters. Inspect and clean food preparation areas, such as equipment, work surfaces, and serving areas, to ensure safe and sanitary food-handling practices. Portion, arrange, and garnish food. Serve food to waiters or patrons. Ensure freshness of food and ingredients by checking for quality, keeping track of old and new items, and rotating stock. Season and cook food according to recipes. Weigh, measure, and mix ingredients according to recipes using various kitchen utensils and equipment. Turn or stir foods to ensure even cooking. Observe and test foods to determine if they have been cooked sufficiently, using methods such as tasting, smelling, or piercing them with utensils. Job Classification: 35-2014.00 - Cooks, Restaurant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Requires three months of experience as a cook or similar food service role. Intermediate English speaking required. Must lift/carry 50 lbs., when necessary. Saturday and Sunday work required, when necessary. Employer-paid post-hire drug testing required of foreign and domestic workers upon suspicion of use. Work schedule will vary and will include evenings, holidays, and Saturdays and Sundays. Work may be performed on any day of the week from Monday through Sunday. Shift hours may vary. Employer may offer more than the stated work hours depending on weather, business needs, and other conditions. Extreme heat, cold, rain, or drought may affect exact working hours. Number of Hours Per Week: 40 Work Schedule (Start/End time): 3:00 P.M. - 10:30 P.M.</t>
  </si>
  <si>
    <t>H-400-26184-076175</t>
  </si>
  <si>
    <t>UFL, INC</t>
  </si>
  <si>
    <t>unionforestry@aol.com</t>
  </si>
  <si>
    <t>+16602852292</t>
  </si>
  <si>
    <t>Landscaping &amp; Groundskeepers</t>
  </si>
  <si>
    <t>All applicants must be able, willing, qualified to perform the work described and must be available the entire period specified. Temporary full-time seasonal position Brush Clearer for utility Right of Way activities as per Soc/OES 37-3011. Duties: spray fertilizer, herbicide, insecticide on shrubs, trees, foliage, use hand/auto sprayers. Perform physical activities: lift, balance, walk, stoop, handle, position, move, manipulate materials use static strength exert max muscle force to push, pull, carry objects up to 50 lbs. Outdoors exposed to weather. All work done w/ provided tools, supplies, equip w/o charge or deposit in accordance. No minimal experience or education required. OJT Employer offers assistance locating lodging by supplying list public accommodation options, cost varies by location. Workers not reqd. to stay such housing. Employer pay cost of lodging to extent reqd. by law. Hours per week: 35+ Daily hours: 7a-5p M-F Job Classification: 37-3011.00 - Landscaping and Groundskeeping Workers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Must be at least 18 years or older due to travel. Drug, alcohol, tobacco free work zone; if Supervisor observes worker possibly under influence drugs/alcohol employer paid testing, failure to participate, failed test=dismissal. Must show proof legal authority work in U.S. Number of Hours Per Week: 35 Work Schedule (Start/End time): 7:00 A.M. - 5:00 P.M.</t>
  </si>
  <si>
    <t>H-400-26184-076189</t>
  </si>
  <si>
    <t>Watersmith Irrigation LLC</t>
  </si>
  <si>
    <t>ryanrook@watersmithirrigation.com</t>
  </si>
  <si>
    <t>+14172095779</t>
  </si>
  <si>
    <t>Duties include dormant season installation of trees, shrubs, or flowers in the appropriate design pattern. Unloading materials, digging holes for root systems, properly covering the holes and sometimes sod laying, planting grass seed or connecting irrigation. Leaf removal, lawn seed and straw, lawn aeration, planting shrubbery, digging, raking, and installation of mortarless segmental concrete masonry wall units. Workers may gather and remove litter, water seeded lawns, trees, plants and prune or trim trees, shrubs, or hedges. Workers may operate powered equipment, and drive vehicles to customer locations. Duties may include sod laying, mowing, watering plants &amp; lawns, plant transplanting, fertilizing, digging, raking, sprinkler installation. Employees will be digging trenches no larger than 6 - 12 inches deep and 6 - 12 inches wide with shovels and hand tools. These trenches are used to hold tubing used in the installation of irrigation systems. All the trimming/pruning will take place on the ground. The workers will not perform any pruning or trimming activities above ground level. The worker may transport other workers to and from job sites on occasion, however this will not be their primary job duty. Workers may operate powered landscaping equipment, including mowers, edgers, blowers, weed eaters, trimmers, small tractors, and similar landscaping equipment. Workers may drive company pickup trucks and similar light-duty company vehicles, to and from customer job sites. Workers may occasionally transport other workers to and from job sites; however, transportation of workers is not a primary job duty. Workers may also occasionally transport landscaping materials, tools, and equipment to and from job sites, including mulch, potted plants, shovels, rakes, mowers, blowers, and trimmers. No hazardous materials will be transported by workers. All vehicles and equipment operated weigh less than 26,000 pounds GVW, including any attached trailers or transported materials. Job Classification: 37-3011.00 - Landscaping and Groundskeeping Workers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Must be able to lift 50 lbs., repetitive movements, extensive pushing/pulling, extensive walking, frequent stooping, exposure to extreme temperatures Number of Hours Per Week: 40 Work Schedule (Start/End time): 7:00 A.M. - 4:00 P.M.</t>
  </si>
  <si>
    <t>H-400-26184-076186</t>
  </si>
  <si>
    <t>Winter Solutions</t>
  </si>
  <si>
    <t>applywintersolutionsllc@yahoo.com</t>
  </si>
  <si>
    <t>+16128020224</t>
  </si>
  <si>
    <t>Duties may include: Shovel snow and grounds maintenance including de-icing and removal of snow from walks, driveways, and parking lots for various residential and commercial properties using shovel and snow blower. Distribute de-icing solutions. Fall and spring cleanup involves winterizing and de-winterizing sprinkler systems. Will not operate a snow plow &amp; other related Landscaping and Groundskeeping Workers activities as per SOC/OES 37-3011 (onetonline.org). Standard/Expected Schedule: Monday - Sunday 5:00AM-10:00AM. Offering 35+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Job Classification: 37-3011.00 - Landscaping and Groundskeeping Workers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Must show proof of legal authorization to work in the United States. Drug/alcohol/tobacco free work zone. Perform physical activities: such as lift, balance, walk, stoop, handle, position, move, manipulate materials use static strength to exert maximum muscle force to lift, push, pull, carry objects up to 50lbs. All applicants must be able, willing and qualified to perform work described and must be available for the entire period specified and work throughout all areas of intended employment.Based on Employer's discretion/cost: Worker may have random drug/alcohol testing during employment: positive test/refusal to abide = dismissal. Possible background check post hire at employer's expense.Work is performed outdoors, exposed to weather; must be capable of doing physically strenuous labor for long hours, occasionally in extreme heat or cold. Variable weather conditions apply; hours may fluctuate (+/-), possible downtime and/or overtime. Number of Hours Per Week: 35 Work Schedule (Start/End time): 5:00 A.M. - 10:00 A.M.</t>
  </si>
  <si>
    <t>H-400-26184-076195</t>
  </si>
  <si>
    <t>Yellowstone Landscape - Southeast, LLC_Coffee</t>
  </si>
  <si>
    <t>+17069511789</t>
  </si>
  <si>
    <t>Landscape or maintain grounds of property using hand or power tools or equipment. Workers typically perform a variety of tasks, which may include any combination of the following: sod laying, mowing, mulching, trimming, planting, watering, digging, and raking; assist with sprinkler installation and installation of mortarless segmental concrete masonry wall units. Maintain/repair tools/equipment as needed. Entry level; requires supervision. Job Classification: 37-3011.00 - Landscaping and Groundskeeping Workers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Must lift/carry 50 lbs., when necessary. Saturday and Sunday work required, when necessary. Employer-paid drug testing required of foreign and domestic workers prior to commencing work and post-hire upon suspicion of use and post-accident. Post-hire background checks may be required of foreign and domestic workers based on contract requirements. Employment eligibility (e-Verify) check required of foreign and domestic workers. Post-hire motor vehicle record check required only of foreign and domestic workers who drive company vehicles (driving is not a requirement of all workers in the position). Employer may offer more than the stated work hours, depending on weather, business needs, and other conditions. Extreme heat, cold, rain, or drought may affect exact working hours. Number of Hours Per Week: 40 Work Schedule (Start/End time): 7:00 A.M. - 4:00 P.M.</t>
  </si>
  <si>
    <t>H-400-26184-076230</t>
  </si>
  <si>
    <t>All Regions Services, Inc.</t>
  </si>
  <si>
    <t>lorenzo@allregionsinc.com</t>
  </si>
  <si>
    <t>+13185491767</t>
  </si>
  <si>
    <t>Duties may include: Perform manual labor necessary to develop &amp; maintain forested areas/woodlands. Hand plant bare-root/containerized trees using shovel, Hoe-dad, dibble bar/power tools. Sowing seeds and lifting seedling from nursery beds. Transport tree in a tree bag, select optimum planting location, dig holes at predetermined intervals using mattock-like tool/dibble. Place seedling in hole &amp; pack soil firmly around plant using foot/planting tool. Worker may perform only part of the planting function such as baring soil, operating toll, or tramping soil around plant &amp; other related Forestry Worker activities as per SOC/OES 45-4011 (onetonline.org). Standard/Expected Schedule: Monday-Friday 8:00AM-3:00PM. Offering 35+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Piece rate may apply: worker will never make less than Prevailing Wage or Federal/State/Local minimum wage. Optional, shared housing available at no cost to the worker. Job Classification: 45-4011.00 - Forest and Conservation Workers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Must be 18 due to travel. Must show proof of legal authorization to work in the United States. Drug/alcohol/tobacco free work zone. Perform physical activities: such as lift, balance, walk, stoop, handle, position, move, manipulate materials use static strength to exert maximum muscle force to lift, push, pull, carry objects up to 50lbs. All applicants must be able, willing and qualified to perform work described and must be available for the entire period specified and work throughout all areas of intended employment. Work is performed outdoors, exposed to weather; must be capable of doing physically strenuous labor for long hours, occasionally in extreme heat or cold. Variable weather conditions apply; hours may fluctuate (+/-), possible downtime and/or overtime. Number of Hours Per Week: 40 Work Schedule (Start/End time): 8:00 A.M. - 3:00 P.M.</t>
  </si>
  <si>
    <t>H-400-26184-076249</t>
  </si>
  <si>
    <t>BROWN PLANTING &amp; LAND MANAGEMENT, LLC</t>
  </si>
  <si>
    <t>alex@landscapesbybrown.com</t>
  </si>
  <si>
    <t>+16069280030</t>
  </si>
  <si>
    <t>Duties include dormant season installation of trees, shrubs, or flowers in the appropriate design pattern. Unloading materials, digging holes for root systems, properly covering the holes and sometimes sod laying, planting grass seed or connecting irrigation. Leaf removal, lawn seed and straw, lawn aeration, planting shrubbery, digging, raking, and installation of mortarless segmental concrete masonry wall units. Workers may gather and remove litter, water seeded lawns, trees, plants and prune or trim trees, shrubs, or hedges. Workers may operate powered equipment, and drive vehicles to customer locations. Duties may include sod laying, mowing, watering plants &amp; lawns, plant transplanting, fertilizing, digging, raking, sprinkler installation. Employees will be digging trenches no larger than 6 - 12 inches deep and 6 - 12 inches wide with shovels and hand tools. These trenches are used to hold tubing used in the installation of irrigation systems. All the trimming/pruning will take place on the ground. The workers will not perform any pruning or trimming activities above ground level. The worker may transport other workers to and from job sites on occasion, however this will not be their primary job duty. Job Classification: 37-3011.00 - Landscaping and Groundskeeping Workers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Must have valid drivers license. Must have 3 months experience Must be able to lift 50 lbs., repetitive movements, extensive pushing/pulling, extensive walking, frequent stooping, exposure to extreme temperatures. Number of Hours Per Week: 40 Work Schedule (Start/End time): 7:00 A.M. - 4:00 P.M.</t>
  </si>
  <si>
    <t>H-400-26184-076263</t>
  </si>
  <si>
    <t>Bailey &amp; Harley Services, LLC</t>
  </si>
  <si>
    <t>baileyharley5857@gmail.com</t>
  </si>
  <si>
    <t>+14099945857</t>
  </si>
  <si>
    <t>Physical labor in digging trenches approximately 1 ft wide and 1 ft deep. Clean &amp; prepare work site. Carry pipe from truck to trench for threading in trench. Dig up leaks with shovel for repair. Clean up trash rubble &amp; debris. Load &amp; unload tools, supplies. Frequent bending &amp; stooping. Job Classification: 47-2061.00 - Construction Laborers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FREQUENT BENDING &amp; STOOPING. MUST PROVIDE OWN STEEL TOE BOOTS. NO ED, EXP, OR TRAINING REQ'D. 35HRS/WK NO OVERTIME PROMISED. DRUG TEST ADMINISTERED AT NO COST POST HIRE. TRANSPORTATION PROVIDED FROM CENTRALIZED LOCATION. Number of Hours Per Week: 35 Work Schedule (Start/End time): 6:00 A.M. - 2:00 P.M.</t>
  </si>
  <si>
    <t>H-400-26184-076240</t>
  </si>
  <si>
    <t>Bayer Crete Inc.</t>
  </si>
  <si>
    <t>bayercreteann@yahoo.com</t>
  </si>
  <si>
    <t>+17243078682</t>
  </si>
  <si>
    <t>Cement Masons &amp; Concrete Finishers</t>
  </si>
  <si>
    <t>Smooth, level, and finish surfaces of freshly poured concrete on construction projects such as foundations, floors, walks, sidewalks, curbs, driveways, roads, curbs, and other concrete surfaces. Workers perform manual labor using a variety of hand and power tools such as shovels, rakes, floats, straightedges, and trowels, as well as power screeds and power trowels to ensure concrete surfaces meet required grades, textures, and finishes. Align forms for sidewalks, curbs, or gutters; patch voids; and use saws to cut expansion joints. Finish concrete surfaces to specified textures by edging, jointing, floating, troweling, brooming, or stamping. Patch surface defects, fill cracks or voids, and repair damaged concrete areas. Remove forms following curing and clean work areas and tools. Job Classification: 47-2051.00 - Cement Masons and Concrete Finishers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Valid drivers license preferred. Must be able to lift 100 lbs. repetitive movements, extensive pushing/pulling, extensive walking, frequent stooping, exposure to extreme temperatures. Number of Hours Per Week: 40 Work Schedule (Start/End time): 7:00 A.M. - 4:00 P.M.</t>
  </si>
  <si>
    <t>H-400-26184-076268</t>
  </si>
  <si>
    <t>Kitchen Helper</t>
  </si>
  <si>
    <t>Load and unload dishwashing machine; clean and sanitize pots, pans, utensils and other kitchen equipment. Store/stock cleaned wares, utensils and equipment in designated areas. Clean work areas; clean dishwashing machine and change water/filters; maintain cleanliness and working condition of garbage disposal; clean garbage compactor and area as assigned. Load silver into burnishing (polish) machine and/or paste polish designated wares; clean burnishing machine. Set up wares for dining outlets and banquets, organize the breakdown area for drop off of dirty wares. Transport supplies and food to service areas and assist the kitchen with plating up of banquet meals by providing silverware, plates and covers for the culinary team to plate the meals; stack the plated meals in the banquet cabinet cart and push the cart to the banquet areas. The kitchen helper will move supplies (silverware, dishes, pans and utensils) by pushing a banquet cabinet cart. Remove/retrieve soiled wares from the kitchen line and banquet service area and transport to the dishwashing station. Maintain cleanliness and organization of supply/storage closets; remove trash, wipe down shelves/counters. Clean spills in kitchen and work areas, clean floors with broom, mop, buffer, etc. Kitchen Helper will push (transport) wheeled plastic trash cans with lids from kitchen and work areas to dumpster; empty and clean. The employer will offer 40 hours of work per week. Open 7 days a week, 5-day work schedule varies Sunday through Saturday. Normal shift times: 7am-3:30pm, 8am-4:30pm, 3pm-11:30pm, 4pm-12:30am. Shifts include 30-minute unpaid break time. Hours and shift times may vary with occupancy. Employer may increase wage based on experience, change in market conditions, and/or provide additional pay for performance and tenure. One meal per shift provided at no cost to employee. Overtime may be available. An overtime premium will be paid when required by Federal, State, or local law, including at time-and-a-half after 40 hours in a workweek. Generally, when overtime is available it will be paid at $23.28 wage per hour. Worker is responsible for their own daily transportation to and from the worksite. Job Classification: 35-9021.00 - Dishwashers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1 Special Requirements: Must be able to lift, push, and pull up to 50 lbs. Must be able to continuously bend/stoop and stand/walk for majority of shift. Must be able to work a flexible 5-day schedule, including weekends and holidays as needed. Pre-employment background check required, cost paid by employer and applied equally to all workers, U.S. and foreign/H-2B. Applicant must complete an employment application. Required uniform provided at no cost to employee. Number of Hours Per Week: 40 Work Schedule (Start/End time): 7:00 A.M. - 3:30 P.M.</t>
  </si>
  <si>
    <t>H-400-26184-076246</t>
  </si>
  <si>
    <t>DC DIVERSIFIED</t>
  </si>
  <si>
    <t>davidcracchiolo007@gmail.com</t>
  </si>
  <si>
    <t>+12483794926</t>
  </si>
  <si>
    <t>Duties include dormant season installation of trees, shrubs, or flowers in the appropriate design pattern. Unloading materials, digging holes for root systems, properly covering the holes and sometimes sod laying, planting grass seed or connecting irrigation. Leaf removal, lawn seed and straw, lawn aeration, planting shrubbery, digging, raking, and installation of mortarless segmental concrete masonry wall units. Workers may gather and remove litter, water seeded lawns, trees, plants and prune or trim trees, shrubs, or hedges. Workers may operate powered equipment, and drive vehicles to customer locations. Duties may include sod laying, mowing, watering plants &amp; lawns, plant transplanting, fertilizing, digging, raking, sprinkler installation. Employees will be digging trenches no larger than 6 - 12 inches deep and 6 - 12 inches wide with shovels and hand tools. These trenches are used to hold tubing used in the installation of irrigation systems. All the trimming/pruning will take place on the ground. The workers will not perform any pruning or trimming activities above ground level. The worker may transport other workers to and from job sites on occasion, however this will not be their primary job duty. Job Classification: 37-3011.00 - Landscaping and Groundskeeping Workers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Must be able to lift 50 lbs. Repetitive movements, extensive pushing/pulling, extensive walking, exposure to extreme temperatures. In accordance with applicable Michigan state law, Earned Sick Time Act 338, employers are required to provide earned sick time to their employees. The amount of paid sick leave provided may vary depending on the size of the business. Number of Hours Per Week: 40 Work Schedule (Start/End time): 7:00 A.M. - 4:00 P.M.</t>
  </si>
  <si>
    <t>H-400-26184-076221</t>
  </si>
  <si>
    <t>Perform a combination of kitchen support and housekeeping in lodge and dining environment. Place food servings on plates or trays according to orders. Clean or sterilize dishes, kitchen utensils, equipment, or facilities. Monitor food distribution, ensuring that meals are delivered to correct recipients and that guidelines such as allergies, are followed. Examine trays to ensure they contain required items. Load trays with eating utensils, napkins, or condiments. Take food orders and relay orders to kitchens or serving counters. Monitor food preparation or serving techniques to ensure that proper procedures are followed. Remove trays and stack dishes for return to kitchen. Carry food, silverware, or linen on trays or use carts to carry trays. Record amounts and types of special food items served. Stock service stations with items, such as ice, napkins, or straws. Prepare food items, such as sandwiches, salads, soups, or beverages. Determine where patrons would like to eat and help them get situated. Wash dishes, glassware, flatware, pots, or pans, using dishwashers or by hand. Maintain work areas, equipment, or utensils in clean and orderly condition. Place clean dishes, utensils, or cooking equipment in storage. Sweep or scrub floors. Stock supplies, such as food or utensils, in serving stations, cupboards, refrigerators, or salad bars. Clean or prepare various foods for cooking or serving. Sort and remove trash, placing in pickup areas. Transfer supplies or equipment between storage and work areas, by hand or using hand trucks. Receive and store supplies. Clean garbage cans with water or steam. Load or unload trucks that deliver or pick up food or supplies. Prepare and package individual place settings. Set up banquet tables. Clean and sanitize the dining area. Keep storage areas and carts well-stocked, clean, and tidy. Carry linens, towels, toilet items, and cleaning supplies, using wheeled carts. Clean rooms, hallways, lobbies, lounges, restrooms, corridors, elevators, stairways, locker rooms, and other work areas so that health standards are met. Empty wastebaskets, empty and clean ashtrays, and transport other trash and waste to disposal areas. Sweep, scrub, wax, or polish floors, using brooms, mops, or powered scrubbing and waxing machines. Replenish supplies, such as drinking glasses, linens, writing supplies, and bathroom items. Clean rugs, carpets, upholstered furniture, and draperies, using vacuum cleaners and shampooers. Wash windows, walls, ceilings, and woodwork, waxing and polishing. Dust and polish furniture and equipment. Disinfect equipment and supplies, using germicides or steam-operated sterilizers. Observe precautions required to protect hotel and guest property and report damage, theft, and found articles to supervisors. Sort, count, and mark clean linens and store them in closets. Sort clothing and other articles, load washing machines, and iron and fold dried items. Move and arrange furniture and turn mattresses. Replace light bulbs. Deliver TV sets, ironing boards, baby cribs, and rollaway beds to rooms. Hang draperies and dust window blinds. Request repair services and wait for repair workers to arrive. Prepare rooms for meetings and arrange decorations, media equipment, and furniture for social or business functions. Dining hall &amp; buffet serving area. Obtain &amp; communicate with guests' non-alcoholic beverage requests &amp; notify kitchen when buffet items are low. Workers don’t supervise employees. Observe &amp; monitor buffet to ensure food is served accordingly. Ensure serving utensils are available. Replace empty trays with pre-prepared trays. Does not involve cooking food. Worker is food handling &amp; doing buffet replenishment. Remove empty trays &amp; replace with pre-prepared trays. Transfer prepared food from serving containers into trays. Equipment includes buffet steam tables, serving utensils, food pans, trays, &amp; basic cleaning equipment. Job Classification: 37-2011.00 - Janitors and Cleaners, Except Maids and Housekeeping Cleaners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Must lift/carry 50 lbs., when necessary. Saturday and Sunday work required, when necessary. Post-hire upon suspicion of use and post-accident drug testing required of foreign and domestic workers. Employer may offer more than the stated work hours depending on weather, business needs, and other conditions. Extreme heat, cold, rain, or drought may affect exact working hours. Number of Hours Per Week: 54 Work Schedule (Start/End time): 7:00 A.M. - 5:00 P.M.</t>
  </si>
  <si>
    <t>H-400-26184-076239</t>
  </si>
  <si>
    <t>Prepare and serve drinks, enter drinks into pos system. Keep bar areas clean. Stock bar. (3) workers needed. Dates of need: 10/1/26-5/31/27. 3 months experience necessary. Rotating shifts. Workdays: Mon-Sun. Work hours: 11am-11pm. Rate of pay: $19-$20/hr plus tips but no less than $19.51/hr, $29.27/hr overtime. Workers paid biweekly. 35 hours/wk. Optional housing provided for $180/week with a $30 bi-weekly refundable deposit upon completing of contract &amp; housing. Uniform shirts and shift meals provided. Job location: 13535 Eastpointe Blvd, Palm Beach Gardens, FL 33418. Work is temporary full time employment. A single workweek will be used to compute wages. May get up to 10 hours of overtime when available. All deductions from the worker's paycheck required by law will be made. The employer will provide workers at no charge all tools, supplies, and equipment required to perform the job. The worker will be provided with or reimbursed for transportation and subsistence (including reasonable cost of overnight lodging where necessary up to $110/night for lodging with receipts.) at a rate of $16.78 per day during travel to a maximum of $68.00 per day with receipts from the place from which the worker has come to work for the employer, whether in the U.S. or abroad, to the place of employment, if the worker completes 50 percent of the period of employment covered by the job order, consistent with 20 CFR 655.20(j)(1)(i) by inclusion in the paycheck for the applicable week. Employer will provide or pay for the worker's cost of return transportation and daily subsistence from the place of employment to the place from which the worker, disregarding intervening employment, departed to work for the employer, if the worker completes the certified period of employment or is dismissed from employment for any reason by the employer before the end of the period, consistent with § 655.20(j)(1)(ii); H-2B workers will be reimbursed in the first workweek for all visas, visa processing, border crossing, and other related fees, including those mandated by the government (excluding passport fees). The employer will provide workers all tools, supplies, and equipment required to perform the job at no charge to the worker, in accordance with 20 CFR 655.20(k). Qualified applicants may mail resume to Attn: Juan Pinto at 13535 Eastpointe Blvd, Palm Beach Gardens, FL 33418, email to Eastpointe1974@gmail.com, or visit your local job center at 3400 Belvedere Road West Palm Beach, FL 33406. *Your security deposit is refundable upon completion of your contract and upon inspection of the housing. If a worker abandons their job without permission of the employer or a worker abandons their housing before the end of the petition date for any reason except employer termination, the workers forfeits all housing deposits, PTO, vacation and bonus pay. Upon termination of resignation, the worker must vacate the housing immediately thereafter unless agreed upon by the employer.* Job Classification: 35-3011.00 - Bartenders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Number of Hours Per Week: 35 Work Schedule (Start/End time): 11:00 A.M. - 11:00 P.M.</t>
  </si>
  <si>
    <t>H-400-26184-076253</t>
  </si>
  <si>
    <t>Express Forestry Service, LLC</t>
  </si>
  <si>
    <t>mail@expressforestry.com</t>
  </si>
  <si>
    <t>+15017458484</t>
  </si>
  <si>
    <t>Under supervision, perform manual work necessary using hand tools to develop and maintain woodlands. Plant bare-root or containerized trees using a shovel, hoe dad, dibble bar, or hoe. Transport trees in a tree bag. Select optimum planting location to meet spacing, soil, and shade requirements. Dig holes at pre-determined intervals and insert seedling. Tamp soil around plant with foot and planting tool. Identify diseased or undesirable trees and remove them, using handsaws or pruners. As a minor activity, weed by hand to reduce competing vegetation. These jobs involve propagating, protecting, and managing forest tracts. Drug free workplace. Random and upon suspicion drug testing is conducted at the employer's expense. Work is itinerant. Temporary workers will be paid either prevailing wage or the SCA wage and fringe benefits required in any Federal government contract, whichever is higher. Job Classification: 45-4011.00 - Forest and Conservation Workers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No education or experience required. Must be 18 years or older. Requires physical stamina. Extensive walking, bending, and lifting while carrying 50 lb tree bag and tool over rough terrain in adverse weather. Workers must be physically fit. Applicant must be available to work the entire contract period. Production standard of 2450 trees correctly planted per 7 hour day after one week of on the job training. Work schedule and locations dependent on weather conditions. Must pass drug screenings. Overnight travel required. Employer may offer more than the stated work hours depending on weather, business needs, and other conditions. Extreme heat, cold, rain, or drought may affect exact working hours. Number of Hours Per Week: 35 Work Schedule (Start/End time): 7:30 A.M. - 3:30 P.M.</t>
  </si>
  <si>
    <t>H-400-26184-076231</t>
  </si>
  <si>
    <t>FRANCO BOUNDARY LINE MAINTENANCE INC</t>
  </si>
  <si>
    <t>ESF35_FBLM@HOTMAIL.COM</t>
  </si>
  <si>
    <t>+18708143796</t>
  </si>
  <si>
    <t>Landscaping and Groundskeeping Row Workers</t>
  </si>
  <si>
    <t>All applicants must be able, willing, qualified to perform work described in this JO/Ad &amp; must be available for entire period specified. Duties: spray fertilizer herbicide, insecticide on shrubs, trees, use hand/automatic sprayers, spreaders, boundary line painting for securing accuracy and safety on the job site &amp; other related Brush Clearer for Utility Right of Way activities as per SOC/OES 37-3011 (onetonline.org). Perform physical activities: such as lift, balance, walk, stoop, handle, position, move, manipulate materials use static strength exert max muscle force to push, pull, carry objects up to 50lbs. Employer will provide worker at no charge all tools, supplies, equipment reqd. No edu. On the job training is provided. Employer assists finding optional Housing at no cost to worker. Hours: 7:00AM-3:30PM M-F. 35+ hours weekly. Employer provides transport daily for work from designated locale to job site at no cost to worker. Employer assists finding optional Housing at no cost to worker Job Classification: 37-3011.00 - Landscaping and Groundskeeping Workers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Must be at least 18 years old due to travel. Must show proof of legal authority to work in U.S. Drug/Alcohol Tobacco free work zone. Number of Hours Per Week: 35 Work Schedule (Start/End time): 7:00 A.M. - 3:30 P.M.</t>
  </si>
  <si>
    <t>H-400-26184-076242</t>
  </si>
  <si>
    <t>02/05/2027</t>
  </si>
  <si>
    <t>Perform lesser tasks including loading and unloading building materials, laying out lumber, siding, trusses and other components for structure. Assisting lead carpenters with basic carpentry tasks such as holding, cutting, and nailing lumber according to lead carpenter instructions. Assembling prepared components at construction site. Job Classification: 47-3012.00 - Helpers--Carpenters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Must be able to lift and carry 75 lbs 75 yds. Some weekend work. Must be able to handle temperature extremes. Will travel to worksites within the area of intended employment. Number of Hours Per Week: 40 Work Schedule (Start/End time): 7:00 A.M. - 5:00 P.M.</t>
  </si>
  <si>
    <t>H-400-26184-076255</t>
  </si>
  <si>
    <t xml:space="preserve">Fort Lauderdale Country Club </t>
  </si>
  <si>
    <t>h2bjobs@fortlauderdalecc.com</t>
  </si>
  <si>
    <t>+19545874700</t>
  </si>
  <si>
    <t>Take orders, serve food &amp; beverages to guests. Clean off &amp; set tables. Take payments, give receipts. Keep all stations stocked. (8) workers needed. Dates of need: 10/1/26-5/31/27. 3 months experience necessary. Rotating shifts. Workdays: Mon-Sun. Work hours: 7am-11pm. Rate of pay: $13-$15/hr plus tips but no less than $18.71, $28.07/hr overtime. Workers paid biweekly. 35 hours/wk. Optional housing provided for $28-$35/day with a $350 deposit ($300.00 refundable upon completing of contract/ $50 non-refundable). Uniforms and shift meals provided. Job location: 415 E Country Club Circle, Plantation FL, 33317 Work is temporary full time employment. A single workweek will be used to compute wages. May get up to 10 hours of overtime when available. All deductions from the worker's paycheck required by law will be made. The employer will provide workers at no charge all tools, supplies, and equipment required to perform the job. The worker will be provided with or reimbursed for transportation and subsistence (including reasonable cost of overnight lodging where necessaryup to $110/night for lodging with receipts.) at a rate of $16.78 per day during travel to a maximum of $68.00 per day with receipts from the place from which the worker has come to work for the employer, whether in the U.S. or abroad, to the place of employment, if the worker completes 50 percent of the period of employment covered by the job order, consistent with 20 CFR 655.20(j)(1)(i) by inclusion in the paycheck for the applicable week. Employer will provide or pay for the worker's cost of return transportation and daily subsistence from the place of employment to the place from which the worker, disregarding intervening employment, departed to work for the employer, if the worker completes the certified period of employment or is dismissed from employment for any reason by the employer before the end of the period, consistent with § 655.20(j)(1)(ii); H-2B workers will be reimbursed in the first workweek for all visas, visa processing, border crossing, and other related fees, including those mandated by the government (excluding passport fees). The employer will provide workers all tools, supplies, and equipment required to perform the job at no charge to the worker, in accordance with 20 CFR 655.20(k). Qualified applicants may mail resume to Attn: Joe Gamlin at 415 E Country Club Circle, Plantation FL, 33317, email to h2bjobs@fortlauderdalecc.comor visit your local job center at 2550 West Oakland Park Boulevard Oakland Park, FL. *Your security deposit is refundable upon completion of your contract and upon inspection of the housing. If a worker abandons their job without permission of the employer or a worker abandons their housing before the end of the petition date for any reason except employer termination, the workers forfeits all housing deposits, PTO, vacation and bonus pay. Upon termination of resignation, the worker must vacate the housing immediately thereafter unless agreed upon by the employer.* Job Classification: 35-3031.00 - Waiters and Waitresses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Number of Hours Per Week: 35 Work Schedule (Start/End time): 7:00 A.M. - 11:00 P.M.</t>
  </si>
  <si>
    <t>H-400-26184-076233</t>
  </si>
  <si>
    <t>Fremont Forest Systems, Inc.</t>
  </si>
  <si>
    <t>ffsi97351@yahoo.com</t>
  </si>
  <si>
    <t>+15036060152</t>
  </si>
  <si>
    <t>Duties may include: Cutting and bundling bough from trees and loading them into trucks, plant trees, dig holes, correctly placing trees in the hole for maximum planting success. IF NECESSARY, OR ONLY IN THE EVENT OF UNFORESEEN FIRE: UNDER THE GUIDANCE OF FIRE SUPPRESSION OFFICERS OR FORESTRY TECHNICIANS - Minor suppression via clearing/disposing of brush and piling &amp; other related Forestry Worker activities as per SOC/OES 45-4011 (onetonline.org). Standard/Expected Schedule: Monday-Friday 7:30AM-3:00PM. Offering 35+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Optional, shared housing available at no cost to the worker. Job Classification: 45-4011.00 - Forest and Conservation Workers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1 Special Requirements: Must be 18 due to travel. Must show proof of legal authorization to work in the United States. Drug/alcohol/tobacco free work zone. Must walk substantially (up to 15 miles/day), also stoop, bend while carrying a pack (up to 50lbs) thru rough terrain (non-trail). All applicants must be able, willing and qualified to perform work described and must be available for the entire period specified and work throughout all areas of intended employment.Based on Employer's discretion/cost: Worker may have random drug/alcohol testing during employment: positive test/refusal to abide = dismissal. Work is performed outdoors, exposed to weather; must be capable of doing physically strenuous labor for long hours, occasionally in extreme heat or cold. Variable weather conditions apply; hours may fluctuate (+/-), possible downtime and/or overtime. Number of Hours Per Week: 40 Work Schedule (Start/End time): 7:30 A.M. - 3:00 P.M.</t>
  </si>
  <si>
    <t>H-400-26184-076252</t>
  </si>
  <si>
    <t>H-400-26184-076227</t>
  </si>
  <si>
    <t>Prepare construction site where concrete will be poured by directing concrete laborers to place materials on job site, measure forms, examine the grade and confirm proper form layout. Safely set and align wooden and metal forms that hold concrete. Spread, level and smooth concrete using rakes, walk-behind or riding screeds, power trowels, shovels or hand tools. Tear down concrete forms and cut concrete with concrete saws. Clean up construction site. Job Classification: 47-2051.00 - Cement Masons and Concrete Finishers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36 Special Requirements: Some weekend work. Must be able to handle temperature extremes. Must be able to lift and carry 75 lbs. for 50 yards. Number of Hours Per Week: 40 Work Schedule (Start/End time): 7:00 A.M. - 5:00 P.M.</t>
  </si>
  <si>
    <t>H-400-26184-076352</t>
  </si>
  <si>
    <t>Perform any combination of light cleaning duties to maintain hotel in a clean and orderly manner. Clean and dust guest rooms; clean bathrooms including sink, vanity, shower, bathtub and toilet. Remove, sort, and fold linens; make beds, turn mattresses; replenish linens, towels, supplies and amenities within guest room. Clean hallways, elevators, stairways, lobbies, locker areas, conference facilities, and other public areas. Dust drapes and furniture; polish and move/rearrange furniture in guest rooms and meeting rooms. Wipe walls, clean windows and mirrors; mop and/or vacuum floors, extract/shampoo carpets. Remove trash, debris and cobwebs from guest room balcony/patio, planters and plants. Take dirty linen and trash from floors, public areas and offices. Empty and disinfect trash containers and ashtrays. Keep linen storeroom neat and clean and properly stocked. Take care of special requests for guests and deliver requested supplies/amenities to guests’ rooms. Report any observed damages or needed maintenance/repairs to Supervisor. ***When cleaning conference areas and public spaces, the employee uses a vacuum cleaner to vacuum carpets, uses a duster to dust, polish fixtures such as lamps, uses a broom and mop to sweep/clean floors, uses a cleaning cloth with approved cleaning chemicals to wipe down chair rails and all woodwork, coffee tables, meeting room tables, chairs, doors, windows, elevators and stairs. Per the standards for vacuuming public spaces, meeting rooms and guest rooms, the employee may lift, push, or pull meeting room chairs, ottomans and coffee tables by hand. They will not use any tools or equipment to perform this function. Tasks required to take care of special guests needs include the delivery of towels, irons, ironing boards, hangers, blankets/pillows, soap, shampoo, tissues, and portable cribs when requested. The employer will offer 40 hours of work per week. Open 7 days a week, 5-day work schedule varies Sunday through Saturday. Normal shift times: 8am-4:30pm, 3pm-11:30pm. Shifts include 30 minutes unpaid break time. Hours and shift times may vary with occupancy. Employer may increase wage based on experience, change in market conditions, and/or provide additional pay for performance and tenure. One meal per shift provided at no cost to employee. Overtime may be available. An overtime premium will be paid when required by Federal, State, or local law, including at time-and-a-half after 40 hours in a workweek. Generally, when overtime is available it will be paid at $23.18 wage per hour. Worker is responsible for their own daily transportation to and from the worksite. Job Classification: 37-2012.00 - Maids and Housekeeping Cleaners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1 Special Requirements: 1-month hotel Housekeeper experience required. Must be able to speak and understand some English. Must be able to lift, push, and pull up to 50 lbs. Must be able to stand for prolonged periods of time. Must be able to bend, squat, and reach up/down/overhead. Must be able to work a flexible 5-day schedule, including weekends and holidays as needed. Pre-employment background check required, cost paid by employer and applied equally to all workers, U.S. and foreign/H-2B. Applicant must complete an employment application. Required uniform provided at no cost to employee. Number of Hours Per Week: 40 Work Schedule (Start/End time): 8:00 A.M. - 4:30 P.M.</t>
  </si>
  <si>
    <t>H-400-26184-076245</t>
  </si>
  <si>
    <t>Operate one or several types of power construction equipment, such as motor graders, bulldozers, scrapers, compressors, pumps, derricks, shovels, tractors, or front- end loaders to excavate, move, and grade earth, erect structures, or pour concrete or other surface pavement. May repair and maintain equipment in addition to other duties. Job Classification: 47-2073.00 - Operating Engineers and Other Construction Equipment Operators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Must be able to lift 50 lbs., repetitive movements, extensive pushing/pulling, extensive walking, frequent stooping, exposure to extreme temperatures. 3 months construction experience required. Post Hire Drug screen at employers expense. Number of Hours Per Week: 40 Work Schedule (Start/End time): 7:00 A.M. - 4:00 P.M.</t>
  </si>
  <si>
    <t>H-400-26184-076270</t>
  </si>
  <si>
    <t>HighGrove Partners of Florida, LLC</t>
  </si>
  <si>
    <t>Landscapers</t>
  </si>
  <si>
    <t>Landscape or maintain grounds of property using hand or power tools or equipment. Tools may include mowers, weed eaters, shears, shovels, rakes, tampers, blowers, stick and hand power edgers, chainsaws (for light cutting and pruning), augers, and hand-held bed trenchers. Duties include laying sod, mulching, mowing, trimming, edging, planting, watering, fertilizing, digging, raking, pruning, and clearing debris. Workers may assist with installation of sprinkler systems and mortarless segmental concrete masonry wall units. This is an entry-level position; duties are performed under supervision and do not include higher-skilled construction trade work. Job Classification: 37-3011.00 - Landscaping and Groundskeeping Workers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Must lift/carry 50 lbs., when necessary. Saturday work required, when necessary. Employer-paid drug testing required of foreign and domestic workers prior to commencing work and post-hire post-accident. Post-hire background check required of foreign and domestic workers. Number of Hours Per Week: 40 Work Schedule (Start/End time): 6:30 A.M. - 5:00 P.M.</t>
  </si>
  <si>
    <t>H-400-26184-076260</t>
  </si>
  <si>
    <t>Ileana Y Lili</t>
  </si>
  <si>
    <t>emilypalma9702@gmail.com</t>
  </si>
  <si>
    <t>+13057432281</t>
  </si>
  <si>
    <t>Assembling lobster traps. Clean, repair traps. Pull traps and take out lobsters measure and return small lobsters to water. Return by catch to water. Clean equipment and tools. Unload catch at end of day. Job Classification: 45-3031.00 - Fishing and Hunting Workers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No ed, exp, or training req'd. 35hr/wk, no overtime promised. Number of Hours Per Week: 35 Work Schedule (Start/End time): 7:00 A.M. - 3:00 P.M.</t>
  </si>
  <si>
    <t>H-400-26184-076225</t>
  </si>
  <si>
    <t>Jeremiah 333 Capital Management Inc</t>
  </si>
  <si>
    <t>humanresources@jeremiah333capital.com</t>
  </si>
  <si>
    <t>+18889277649</t>
  </si>
  <si>
    <t>Maintenance and Repair Worker (hoa Maintenance Worker)</t>
  </si>
  <si>
    <t>Perform routine maintenance and minor repairs to residential buildings, common areas, and facilities within managed communities including carpentry, plumbing, painting, and electrical fixtures (non-licensed work only). Conduct property inspections, troubleshoot facility issues, and complete repair tasks as assigned by the employer's operations manager. Perform winter-related maintenance tasks, including snow removal from walkways, entryways, and common areas, and application of de-icing materials. Assist in maintaining safe access to buildings and community facilities during winter weather conditions. Perform preventative maintenance to protect property structures and systems during colder weather. Perform post-winter maintenance and repairs associated with freeze-thaw conditions and seasonal transition of managed properties. Respond to maintenance service requests submitted through the employer’s property management system in accordance with property management agreements. Assist in coordinating with vendors and contractors for specialized work. Operate hand and power tools safely and in accordance with company procedures. Maintain tools, equipment, and materials provided by the employer. Follow all workplace safety standards and report hazards or maintenance issues to supervisors. Job Classification: 49-9071.00 - Maintenance and Repair Workers, General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Must be able to lift and carry materials or equipment up to 50lbs. Must be able to perform physical labor, including standing, walking, bending, and working outdoors in winter conditions. Must be able to work in cold temperatures, snow, and varying weather conditions. Number of Hours Per Week: 40 Work Schedule (Start/End time): 8:00 A.M. - 5:00 P.M.</t>
  </si>
  <si>
    <t>H-400-26184-076241</t>
  </si>
  <si>
    <t>Food Preparer</t>
  </si>
  <si>
    <t>***RFI response*** 1. Specific Tasks, Tools, Equipment, and Materials Used The phrase “Assist kitchen staff with various tasks” refers explicitly to routine, repetitive, and supportive pre-kitchen duties performed under the direct supervision of cooks, chefs, or food service managers. These tasks, along with the corresponding tools, equipment, and materials, include: - Initial Produce Processing: Washing, peeling, cutting, slicing, and seeding fresh fruits and vegetables to prepare ingredients for subsequent cooking or assembly by kitchen staff. For this task, the following tools will be used: kitchen knives, vegetable peelers, corers, commercial cutting boards, colanders, and food prep sinks. Materials processed include vegetables, fruits, and grains. - Catering Order Fulfillment: Portioning, wrapping, and packaging prepared food items specifically for catering and large-scale event orders. For these tasks, the following tools/equipment/materials will be used: portion scales, measuring cups/spoons, plastic wrap, aluminum foil, catering trays, and food storage containers. - Workplace Sanitation: Cleaning, sanitizing, and maintaining the hygiene of work areas, food preparation counters, and kitchen surfaces to ensure an operational environment. For these tasks, the following tools/equipment/materials will be used: Sanitizing sprays, clean cloths, buckets, and food-safe chemical disinfectants. - Ingredient Transport: Assisting the head cook by retrieving and transporting raw ingredients, including meats, chicken, seafood, and grains, from walk-in coolers or dry storage to designated prep stations. For these tasks, the following tools/equipment/materials will be used: Rolling utility carts and food storage bins. 2. Clarification on Food Preparation and Cooking Tasks The Employer provides the following clarification regarding the physical interaction with food and cooking tasks: - Food Preparation: As detailed above, the worker's interaction with food is confined to routine, low-skilled pre-kitchen preparation. This involves the repetitive handling, washing, peeling, cutting, and seeding of ingredients, as well as the portioning and packaging of orders. - Cooking Tasks: The Food Preparer does not perform independent or skilled cooking duties, nor do they manage independent recipe execution. All work is strictly supportive and performed under the direct, constant supervision of the head cook or food service manager to meet the high volume demands of dine-in and catering operations. ***Original*** Prepare, wash, peel, cut, and seed fruits and vegetables and prepare for cooking. Maintain work area and counters clean and sanitary conditions. Portion, wrap, and package catering food orders. Assist head cook with various tasks. Job Classification: 35-2021.00 - Food Preparation Workers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NONE. Number of Hours Per Week: 40 Work Schedule (Start/End time): 10:00 A.M. - 7:00 A.M.</t>
  </si>
  <si>
    <t>H-400-26184-076262</t>
  </si>
  <si>
    <t>Industrial Truck and Tractor Operator</t>
  </si>
  <si>
    <t>Industrial Truck and Tractor Operator–5 temporary full-time positions available from 10/1/2026 to 1/31/2027 in Thibodaux, LA w/Lafourche Sugars, LLC. Help production workers by performing duties requiring less skill. Duties include supplying material and moving materials to proper destination. Workers will move harvested sugar cane, brought from farmers, from the dump area to mill for processing. Will either load feed table for mill processing as cane has been delivered or stack it for later feeding. Operate a tractor (front loader tractor) at mill yard bringing harvested sugar cane from where farmer has dumped the cane to location at factory to begin manufacturing process. Operates front loader tractor in mill yard only and it is never used on public streets. Mill receives an estimate of 12,000 tons of harvested sugar cane/day. The farmers' trucks are weighed and then dumped in a designated location where then the operators move harvested cane to mill, which all happens in immediate vicinity of sugar mill. The process is a 24/7 operation during harvesting and manufacturing season of Louisiana sugar cane. Minor maintenance to payloader (tractor) may include checking fluid levels, filling w/fuel, checking oil level, and greasing of mechanical parts. Payloader tractor is cleaned by removing debris w/brooms, towels, water hose, or by hand daily. $19.99/Hr; $29.99/Hr OT (paid every 2 weeks by check). Will be required to work rotating 8-hour shifts including (6am-2pm; 2pm-10pm; 10pm -6am); 56 hrs a week during harvest season, 40 hrs a week after harvest season, OT paid after 48 hours during harvesting and after 40 hours after harvesting. Must be willing to work 7 days/wk. OT Hours will vary and are not guaranteed. Employer will make all deductions from the worker's paycheck required by law. Worker will have 30 minutes paid lunch break during workday. A minimum of 3 months experience is required in job offered in a raw sugar mill. No minimum education is required. No on-the-job training is provided. Optional on-site lodging offered to each temporary seasonal employee hired in position at no charge. Lafourche will provide U.S. workers at least same benefits, wages, and working conditions that will be offered or provided to H-2B workers. Lafourche will provide to worker, w/out charge or deposit charge, all tools, supplies, and equipment required to perform the duties assigned. Employer guarantees to offer employment equal to at least three-fourths (3/4's) of the workdays of each 12-week period of total employment period; and, if guarantee is not met, the employer will pay worker what worker would have earned if employer had offered guaranteed number of days. 12-week period will begin first workday after worker's arrival or advertised contractual first date of need, whichever is later. Worker will be reimbursed for transportation and subsistence expenses from place from which worker has come to work for employer, whether in the U.S. or abroad, to place of employment by check by employer upon completion of 50% of the period of employment covered by job order or earlier, if appropriate. This includes at least $16.78/day during travel to a max of $68.00/day w/documentation of actual expenses. Employer will provide or pay for worker's outbound transportation and subsistence if worker completes job order period or is dismissed early from employment for any reason by employer before end of the period. Employer will reimburse the H-2B worker in the first workweek the full cost for all visa, visa processing, border crossing, and other related fees, including those mandated by the gov’t. Lafourche will provide or reimburse inbound and outbound transportation and daily subsistence costs for corresponding U.S. workers who are not reasonably able to return to their residence w/in same workday. As applicable, daily transportation to and from worksite will be provided by employer. Higher pay may be available to workers w/extensive experience. Job Classification: 53-7051.00 - Industrial Truck and Tractor Operators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Number of Hours Per Week: 56 Work Schedule (Start/End time): 6:00 A.M. - 2:00 P.M.</t>
  </si>
  <si>
    <t>H-400-26184-076236</t>
  </si>
  <si>
    <t>Legacy Forestry, LLC</t>
  </si>
  <si>
    <t>legacyforestry@gmail.com</t>
  </si>
  <si>
    <t>+15412610063</t>
  </si>
  <si>
    <t>Duties may include: Confer with other workers to discuss issues, such as safety, cutting heights, planting instructions and work needs. Ensure equipment is operating properly. Sort and select seedlings, prepare the ground, and plant the trees. Examine trees according to standard charts and identify and remove diseased or undesirable trees. Select or cut trees according to markings. Thin, space, trim, or shear trees, using thinning saws and other hand or power tools. UNDER DIRECT SUPERVISION OF FIRE SUPPRESSION OFFICERS, perform fire protection or suppression duties, such as constructing fire breaks or disposing of brush &amp; other related Forestry Worker activities as per SOC/OES 45-4011 (onetonline.org). Standard/Expected Schedule: Monday-Friday 7:00AM-3:00PM.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Optional, shared housing available at no cost to the worker. Job Classification: 45-4011.00 - Forest and Conservation Workers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Must be 18 due to travel. Must show proof of legal authorization to work in the United States. Drug/alcohol/tobacco free work zone. Perform physical activities: such as lift, balance, walk, stoop, handle, position, move, manipulate materials use static strength to exert maximum muscle force to lift, push, pull, carry objects up to 50lbs. All applicants must be able, willing and qualified to perform work described and must be available for the entire period specified and work throughout all areas of intended employment. Possible background check post hire at employer's expense.Work is performed outdoors, exposed to weather; must be capable of doing physically strenuous labor for long hours, occasionally in extreme heat or cold. Variable weather conditions apply; hours may fluctuate (+/-), possible downtime and/or overtime. Number of Hours Per Week: 40 Work Schedule (Start/End time): 7:00 A.M. - 3:00 P.M.</t>
  </si>
  <si>
    <t>H-400-26184-076267</t>
  </si>
  <si>
    <t>Mauna Kea Resort LLC</t>
  </si>
  <si>
    <t>HAWAII</t>
  </si>
  <si>
    <t>kpali-forth@maunakearesort.net</t>
  </si>
  <si>
    <t>+18088803410</t>
  </si>
  <si>
    <t>*** RFI Response *** The Stewards will prep, move, and set up the warmers, chaffing dishes, utensils, stenos, stand-up warmers, cambros, etc., for functions within the property by hand, hand carts, or electric carts. The Stewards will break down the function space and clean the equipment used for the function (warmers, chafing dishes, utensils, Sterno burners, stand-up warmers, Cam bros, etc.) using dishwashing machines, pressure washers, burnishing machines, brooms, and mops. The Stewards will also clean equipment in restaurants and kitchens, such as food warmers, chill boxes, speed racks, grills, portable freezers, and gas burners, using handwashing, dishwashing machines, and pressure washers. The Stewards will, when needed, assist in replenishing the food lines in the property's ballroom, outdoor functions (i.e. Luau), and employee cafeteria. *** Original F.a.2 *** Clean dishes, kitchen, food preparation equipment or utensils using dishwashers or by hand; maintain kitchen work areas, equipment or utensils in clean and orderly condition; place clean dishes, utensils or cooking equipment in storage areas; sort and remove trash, placing it in designated pick up areas; stock and transfer supplies to serving stations, cupboards, refrigerators, storage and work areas; take out garbage; prepare and package individual place settings; assist in the plating and dishing out of food; take food and equipment from banquet storage spaces to various locations on property; clean kitchen cooking equipment and other equipment used in the stewarding department; assist with picking up dirty trays; set up banquet tables and assist with preparing meeting space as assigned; and, assist with cleanliness of hotel, picking up trash, sweeping and other cleaning duties as assigned. Job Classification: 35-9011.00 - Dining Room and Cafeteria Attendants and Bartender Helpers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Must be able to lift, pull or push between 30 - 50 pounds of equipment or trash. Must be available to work all shifts, including weekends, evenings, overnights and holidays. All employees of the Hotel in this position are required to become members of the Labor Union (ILWU Local 142). Number of Hours Per Week: 40 Work Schedule (Start/End time): 6:00 A.M. - 2:00 P.M.</t>
  </si>
  <si>
    <t>H-400-26184-076264</t>
  </si>
  <si>
    <t>Clean and service guest rooms, resort common areas and other assigned sections; remove and change bed linens, vacuum, dust, clean bathrooms, restock housekeeping carts with cleaning supplies and work with cleaning chemicals; polish silver accessories and metalwork, such as fixtures and fittings; sort, count and mark clean linens and store them in linen closets; and, remove debris from corridors; and, perform other sanitary and cleaning duties as needed. Job Classification: 37-2012.00 - Maids and Housekeeping Cleaners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Must be able to lift, pull or push over 50 pounds of equipment or trash. Must be available to work all shifts, including weekends, evenings, overnights and holidays. All employees of the Hotel in this position are required to become members of the Labor Union (ILWU Local 142). Number of Hours Per Week: 40 Work Schedule (Start/End time): 6:00 A.M. - 2:00 P.M.</t>
  </si>
  <si>
    <t>H-400-26184-076232</t>
  </si>
  <si>
    <t>Murray's Landscaping &amp; Design, LLC</t>
  </si>
  <si>
    <t>lisa@murraydesignassociates.com</t>
  </si>
  <si>
    <t>+16103894684</t>
  </si>
  <si>
    <t>Assist with performing a variety of landscaping tasks to support the development, installation, and upkeep of outdoor spaces. Duties include mowing lawns; trimming, edging, and pruning trees, shrubs, and other plant materials; mulching beds; planting flowers, shrubs, and trees; weeding; fertilizing; and assisting with general grounds maintenance to ensure healthy landscape conditions. Additional duties include assisting with the installation of landscape features by carrying blocks, spreading gravel, sweeping sand into joints, placing pins in segmental wall units, and cleaning the work area, as well as supporting skilled staff in ground cover applications, grading and site preparation, and installation of water drainage solutions and landscape lighting. Workers use hand and power tools such as shovels, rakes, wheelbarrows, brooms, mallets, mowers, weed eaters, and gas-powered blowers to complete tasks safely and efficiently. Job Classification: 37-3011.00 - Landscaping and Groundskeeping Workers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Requires three months of previous landscape or related experience. Must lift/carry 50 lbs., when necessary. Saturday and Sunday work required, when necessary. Employer may offer more than the stated work hours depending on weather, business needs, and other conditions. Extreme heat, cold, rain, or drought may affect exact working hours. Number of Hours Per Week: 45 Work Schedule (Start/End time): 6:30 A.M. - 5:00 P.M.</t>
  </si>
  <si>
    <t>H-400-26184-076251</t>
  </si>
  <si>
    <t>Nelson's Landscaping LLC</t>
  </si>
  <si>
    <t>info@nelsonlandscapingllc.com</t>
  </si>
  <si>
    <t>+17243217630</t>
  </si>
  <si>
    <t>Laborers will perform cleaning of commercial and residential properties including trash/debris pickup; leaf drop cleanup and dormant tree/shrub winter pruning; and installing of snow marking stakes incidental to site preparation in advance of the snow removal season. Workers perform commercial and residential snow/ice maintenance including winter storm clean-up, trash/organic debris pickup, and snow/ice removal. Remove snow from sidewalks, driveways, or parking areas using snow plows, snow blowers or snow shovels, or spread snow-melting chemicals. Clean and perform routine maintenance and/or minor repairs on equipment and tools when not in use. Entry level; requires supervision. Job Classification: 47-4051.00 - Highway Maintenance Workers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Must lift/carry 50 lbs., when necessary. Saturday and Sunday work required, when necessary. Employer-paid drug testing required of foreign and domestic workers prior to commencing work and post-hire at random, upon suspicion of use, and post-accident. Must possess or be able to obtain U.S. driver's license within 30 days of hire. Employer may offer more than the stated work hours depending on weather, business needs, and other conditions. Extreme heat, cold, rain, or drought may affect exact working hours. Number of Hours Per Week: 40 Work Schedule (Start/End time): 8:00 A.M. - 5:00 P.M.</t>
  </si>
  <si>
    <t>H-400-26184-076234</t>
  </si>
  <si>
    <t>NovaNation, LLC</t>
  </si>
  <si>
    <t>brianvfrank@gmail.com</t>
  </si>
  <si>
    <t>+18473665069</t>
  </si>
  <si>
    <t>Grounds Keeper</t>
  </si>
  <si>
    <t>Duties may include: Maintain and perform duties for existing landscapes for Fall and Winter. Rake debris such as leaves and apply mulch as needed. Natural debris cleanup. Transport materials such as rocks,soil, and or stones using shovels, wheelbarrows, carts, dollies and hand lifting/carrying &amp; other related Grounds Keeper activities as per SOC/OES 37-3011 (onetonline.org). Standard/Expected Schedule: Monday-Friday 6:45AM-2:45PM.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Job Classification: 37-3011.00 - Landscaping and Groundskeeping Workers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Must show proof of legal authorization to work in the United States. Drug/alcohol/tobacco free work zone. Perform physical activities such as: lift, balance, walk, stoop, handle, position, move, manipulate materials use static strength to exert max muscle force to lift, push, pull, carry objects up to 75lbs (possible 2-person). All applicants must be able, willing and qualified to perform work described and must be available for the entire period specified and work throughout all areas of intended employment. Work is performed outdoors, exposed to weather; must be capable of doing physically strenuous labor for long hours, occasionally in extreme heat or cold. Variable weather conditions apply; hours may fluctuate (+/-), possible downtime and/or overtime. Number of Hours Per Week: 40 Work Schedule (Start/End time): 6:45 A.M. - 2:45 P.M.</t>
  </si>
  <si>
    <t>H-400-26184-076237</t>
  </si>
  <si>
    <t>PINE VALLEY CONTRACTING, LLC</t>
  </si>
  <si>
    <t>bhodgins@rederlandscaping.com</t>
  </si>
  <si>
    <t>+19898981694</t>
  </si>
  <si>
    <t>Duties include dormant season installation of trees, shrubs, or flowers in the appropriate design pattern. Unloading materials, digging holes for root systems, properly covering the holes and sometimes sod laying, planting grass seed or connecting irrigation. Leaf removal, lawn seed and straw, lawn aeration, planting shrubbery, digging, raking, and installation of mortarless segmental concrete masonry wall units. Workers may gather and remove litter, water seeded lawns, trees, plants and prune or trim trees, shrubs, or hedges. Workers may operate powered equipment, and drive vehicles to customer locations. Duties may include sod laying, mowing, watering plants &amp; lawns, plant transplanting, fertilizing, digging, raking, sprinkler installation. Employees will be digging trenches no larger than 6 - 12 inches deep and 6 - 12 inches wide with shovels and hand tools. These trenches are used to hold tubing used in the installation of irrigation systems. All the trimming/pruning will take place on the ground. The workers will not perform any pruning or trimming activities above ground level. The worker may transport other workers to and from job sites on occasion, however this will not be their primary job duty. Workers may operate powered landscaping equipment, including mowers, edgers, blowers, weed eaters, trimmers, small tractors, and similar landscaping equipment. Workers may drive company vehicles, including Ford F350 and Ford F250 trucks, to and from customer job sites. Workers may occasionally transport other workers to and from job sites; however, transportation of workers is not a primary job duty. Workers may also occasionally transport landscaping materials, tools, and equipment to and from job sites, including mulch, potted plants, shovels, rakes, mowers, blowers, and trimmers. No hazardous materials will be transported by workers. All vehicles and equipment operated weigh less than 26,000 pounds GVW, including any attached trailers or transported materials. Job Classification: 37-3011.00 - Landscaping and Groundskeeping Workers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Must be able to lift 50 lbs., repetitive movements, extensive pushing/pulling, extensive walking, frequent stooping, exposure to extreme temperatures. 3 months experience required. In accordance with applicable Michigan state law, Earned Sick Time Act 338, employers are required to provide earned sick time to their employees. The amount of paid sick leave provided may vary depending on the size of the business. Number of Hours Per Week: 40 Work Schedule (Start/End time): 7:00 A.M. - 4:00 P.M.</t>
  </si>
  <si>
    <t>H-400-26184-076228</t>
  </si>
  <si>
    <t>PREMIER INSTALLS, LLC</t>
  </si>
  <si>
    <t>04/01/2027</t>
  </si>
  <si>
    <t>jamienordike@gmail.com</t>
  </si>
  <si>
    <t>+16185948799</t>
  </si>
  <si>
    <t>H-400-26184-076243</t>
  </si>
  <si>
    <t>Pennington Seed, Inc. - GA</t>
  </si>
  <si>
    <t>25/06/2027</t>
  </si>
  <si>
    <t>H2BGrassSeed@penningtonseed.com</t>
  </si>
  <si>
    <t>+18002857333</t>
  </si>
  <si>
    <t>Warehouse Laborer</t>
  </si>
  <si>
    <t>Workers typically perform a variety of tasks in non-climate-controlled production facility packing and moving grass seed/fertilizer materials. Duties may include any of the following: gathering and preparing mixes by pouring grass seed into hopper, manually filling bags with mixed grass seed or fertilizer, sealing bags, manually moving stock, and stacking bags onto pallets or packing into boxes. Observe applied labels and date on each unit produced to ensure traceability for quality. Maintain clean work area and equipment. Exposure to extreme temperatures, dust and chemicals may be present in work environment. Entry level; requires supervision. Job Classification: 53-7062.00 - Laborers and Freight, Stock, and Material Movers, Hand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Must lift/carry 55 lbs., when necessary. Saturday work required, when necessary. Employer-paid drug testing required of foreign and domestic workers prior to commencing work and post-hire upon suspicion of use and post-accident. Post-hire background check and employment eligibility (e-Verify) check required of foreign and domestic workers. Mandatory safety training for all new hires foreign and domestic. We are an equal opportunity employer, and all qualified applicants will receive consideration for employment without regard to race, color, religion, sex, national origin, disability status, protected veteran status, sexual orientation, gender identity, or any other characteristic protected by law. Employer may offer more than the stated work hours depending on weather, business needs, and other conditions. Number of Hours Per Week: 40 Work Schedule (Start/End time): 7:00 A.M. - 3:30 P.M.</t>
  </si>
  <si>
    <t>H-400-26184-076265</t>
  </si>
  <si>
    <t>Presto Kitchen Service, Inc.</t>
  </si>
  <si>
    <t>Meagan Kirchner</t>
  </si>
  <si>
    <t>info@prestokitchen.com</t>
  </si>
  <si>
    <t>+19179745094</t>
  </si>
  <si>
    <t>Helpers--installation, Maintenance, and Repair Workers</t>
  </si>
  <si>
    <t>Perform duties such as furnishing tools, materials, and supplies to other workers; cleaning work areas, machines, and tools; and holding materials or tools for other workers. Help installation, maintenance, and repair workers in maintenance and parts replacement for industrial machinery including commercial kitchen equipment and food processing machinery, and electrical and electronic equipment including electronic controllers Commercial kitchen equipment and food processing machinery. Work performed in public and private school cafeterias, University cafeterias, chain and private restaurants, food commissaries, nursing homes, hospitals, airports, hotels, casinos and arenas. Examine and test refrigeration machinery, equipment, components, and parts for defects to ensure proper functioning under direction of maintenance workers. Tend and observe equipment and machinery to verify efficient and safe operation. Adjust, connect, or disconnect wiring, piping, tubing, and other parts, using hand or power tools. Disassemble broken or defective equipment to facilitate repair and reassemble equipment when repairs are complete. Adjust, maintain, and repair equipment and assist more skilled workers with similar tasks. Apply protective materials to equipment, components, and parts to prevent defects and corrosion. Prepare work stations for use by mechanics and repairers. Servicing, repairing, calibrating, regulating, fine-tuning, or testing machines, devices, and equipment that operate primarily on the basis of electrical or electronic principles. Tools used will include hand tools, drill sets, grinder, goggles, globes, knee-pads, belts, hammer, chisel, screw drivers, Allen Keys, rubber hammer, long noose, pliers, pipe wrench, channel locks, multi-meter, wire stripper, adjustable wrench, socket wrench set, measuring tape, level. Equipment used including: Dollies, hand-truck, hand-lifter, pallet jack, casters, service trucks. Materials: Electric tape, plumbing materials, electric materials, OEM food equipment replacement parts, sealants, cleaners, food grade lubricants &amp; stainless steel food grade hardware. No driver’s license is required as a condition of employment for the position. If the prospective worker already possesses a standard, noncommercial driver’s license they may be asked to drive a vehicle, as needed. If the worker has a driver’s license, the worker may drive crew vehicle to job sites to perform core duties for projects, as needed. Job Classification: 49-9099.00 - Installation, Maintenance, and Repair Workers, All Other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Lifting 50-75 lbs. with or without assistance Climbing up to 8 ft. with ladder. Occasional roof access may be necessary Kneeling, squatting, bending, pushing/pulling. Exposure to noise, heat, cold, slippery, wet, conditions. Saturday and Sunday work required, when necessary. Drug testing may be required of foreign and domestic workers post-hire upon suspicion, at random, and post accident at no cost to workers. Number of Hours Per Week: 40 Work Schedule (Start/End time): 7:00 A.M. - 4:00 P.M.</t>
  </si>
  <si>
    <t>H-400-26184-076261</t>
  </si>
  <si>
    <t>RCI Tropic LLC</t>
  </si>
  <si>
    <t>rcitropics@yahoo.com</t>
  </si>
  <si>
    <t>+17242519717</t>
  </si>
  <si>
    <t>Duties include dormant season installation of trees, shrubs, or flowers in the appropriate design pattern. Unloading materials, digging holes for root systems, properly covering the holes and sometimes sod laying, planting grass seed or connecting irrigation. Leaf removal, lawn seed and straw, lawn aeration, planting shrubbery, digging, raking, and installation of mortarless segmental concrete masonry wall units. Workers may gather and remove litter, water seeded lawns, trees, plants and prune or trim trees, shrubs, or hedges. Workers may operate powered equipment, and drive vehicles to customer locations. Duties may include sod laying, mowing, watering plants &amp; lawns, plant transplanting, fertilizing, digging, raking, sprinkler installation. Employees will be digging trenches no larger than 6 - 12 inches deep and 6 - 12 inches wide with shovels and hand tools. These trenches are used to hold tubing used in the installation of irrigation systems. All the trimming/pruning will take place on the ground. The workers will not perform any pruning or trimming activities above ground level. The worker may transport other workers to and from job sites on occasion, however this will not be their primary job duty. Workers may operate powered landscaping equipment, including mowers, edgers, blowers, weed eaters, trimmers, small tractors, and similar landscaping equipment. Workers may drive company pickup trucks and similar light-duty company vehicles, to and from customer job sites. Workers may occasionally transport other workers to and from job sites; however, transportation of workers is not a primary job duty. Workers may also occasionally transport landscaping materials, tools, and equipment to and from job sites, including mulch, potted plants, shovels, rakes, mowers, blowers, and trimmers. No hazardous materials will be transported by workers. All vehicles and equipment operated weigh less than 26,000 pounds GVW, including any attached trailers or transported materials. Job Classification: 37-3011.00 - Landscaping and Groundskeeping Workers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Must be able to lift 50 lbs., repetitive movements, extensive pushing/pulling, extensive walking, frequent stooping, exposure to extreme temperatures. Number of Hours Per Week: 40 Work Schedule (Start/End time): 7:00 A.M. - 4:00 P.M.</t>
  </si>
  <si>
    <t>H-400-26184-076229</t>
  </si>
  <si>
    <t>Ramirez Pinestraw LLC</t>
  </si>
  <si>
    <t>ramirezpinestraw2018@gmail.com</t>
  </si>
  <si>
    <t>+18038427386</t>
  </si>
  <si>
    <t>Duties may include: Rake, gather, and bale pinestraw; clean-up around trees to shape and improve growth (trimming/edging). Rake, mulch, and compost leaves. Gather and remove litter/debris. Manually load/unload trucks with bales and/or needed tools/equipment. Sweep and clean worksites. Apply pinestraw and/or mulch for landscaping purposes &amp; other related Groundskeeper activities as per SOC/OES 37-3011 (onetonline.org). Standard/Expected Schedule: Monday-Friday 7:00AM-5:00PM.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Job Classification: 37-3011.00 - Landscaping and Groundskeeping Workers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Must be 18 due to insurance. Must show proof of legal authorization to work in the United States. Drug/alcohol/tobacco free work zone. Perform physical activities: such as lift, balance, walk, stoop, handle, position, move, manipulate materials use static strength to exert maximum muscle force to lift, push, pull, carry objects up to 50lbs. All applicants must be able, willing and qualified to perform work described and must be available for the entire period specified and work throughout all areas of intended employment. Work is performed outdoors, exposed to weather; must be capable of doing physically strenuous labor for long hours, occasionally in extreme heat or cold. Variable weather conditions apply; hours may fluctuate (+/-), possible downtime and/or overtime. Number of Hours Per Week: 40 Work Schedule (Start/End time): 7:00 A.M. - 5:00 P.M.</t>
  </si>
  <si>
    <t>H-400-26184-076248</t>
  </si>
  <si>
    <t>Rubio Vegetation Management, INC</t>
  </si>
  <si>
    <t>rubio.mgmt@gmail.com</t>
  </si>
  <si>
    <t>+17043055672</t>
  </si>
  <si>
    <t>Duties may include: Hand plant tree seedlings w/o J/U root and pack soil to secure seedling using various planting tools. Handle dibble bars and hoe dads. Maintain surrounding vegetation by trimming, clearing, pruning, spraying and removing debris. Pre-commercial thinning. Pack soil to secure seedling using planting tools &amp; other related Forestry Worker activities as per SOC/OES 45-4011 (onetonline.org). Standard/Expected Schedule: Monday-Friday 8:00AM-5:00PM.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Optional, shared housing available at no cost to the worker. Job Classification: 45-4011.00 - Forest and Conservation Workers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Must be 18 due to travel. Must show proof of legal authorization to work in the United States. Drug/alcohol/tobacco free work zone. Must walk substantially (up to 15 miles/day), also stoop, bend while carrying a pack (up to 50lbs) thru rough terrain (non-trail). All applicants must be able, willing and qualified to perform work described and must be available for the entire period specified and work throughout all areas of intended employment. Work is performed outdoors, exposed to weather; must be capable of doing physically strenuous labor for long hours, occasionally in extreme heat or cold. Variable weather conditions apply; hours may fluctuate (+/-), possible downtime and/or overtime. Number of Hours Per Week: 40 Work Schedule (Start/End time): 8:00 A.M. - 5:00 P.M.</t>
  </si>
  <si>
    <t>H-400-26184-076222</t>
  </si>
  <si>
    <t>Seven Hills Forestry, LLC</t>
  </si>
  <si>
    <t>sevenhillsforestryjob@gmail.com</t>
  </si>
  <si>
    <t>+16788771602</t>
  </si>
  <si>
    <t>Duties may include: Plant seedlings/trees to reforest timberland: plant bare-root or containerized trees without J OR U root. Raise, transport, and sort seedlings to then select optimum planting location to meet shade/soil requirements. Reduce competing vegetation. Use: shovel, hoe-dad, dibblebar, hoe, or powered auger. Check equipment to ensure that it is operating properly. Incidental driving &amp; other related Forestry Worker activities as per SOC/OES 45-4011 (onetonline.org). Standard/Expected Schedule: Monday-Friday 8:00AM-4:00PM. Offering 35+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Piece rate may apply: worker will never make less than Prevailing Wage or Federal/State/Local minimum wage. Optional, shared housing available at no cost to the worker. Job Classification: 45-4011.00 - Forest and Conservation Workers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Must be 18 due to travel. Must show proof of legal authorization to work in the United States. Drug/alcohol/tobacco free work zone. Must walk substantially (up to 15 miles/day), also stoop, bend while carrying a pack (up to 50lbs) thru rough terrain (non-trail). All applicants must be able, willing and qualified to perform work described and must be available for the entire period specified and work throughout all areas of intended employment.Based on Employer's discretion/cost: Worker may have random drug/alcohol testing during employment: positive test/refusal to abide = dismissal. Possible background check post hire at employer's expense.Work is performed outdoors, exposed to weather; must be capable of doing physically strenuous labor for long hours, occasionally in extreme heat or cold. Variable weather conditions apply; hours may fluctuate (+/-), possible downtime and/or overtime. Number of Hours Per Week: 40 Work Schedule (Start/End time): 8:00 A.M. - 4:00 P.M.</t>
  </si>
  <si>
    <t>H-400-26184-076269</t>
  </si>
  <si>
    <t>Sposato Landscape Co., Inc.</t>
  </si>
  <si>
    <t>pgray@sposatolandscape.com</t>
  </si>
  <si>
    <t>+13026454773</t>
  </si>
  <si>
    <t>Duties may include: Care for established properties by mowing, weeding, mulching, trim/edging, clean-up of beds (including gather &amp; remove litter), rake, prune (trim/shape), &amp; fertilize/apply insect control. Follow planned landscape design to plant: seeds, bulbs, foliage, grasses, trees, shrubs. Irrigation system start-up &amp; winterization &amp; other related Landscape Laborer activities as per SOC/OES 37-3011 (onetonline.org). Standard/Expected Schedule: Monday-Friday 7:00AM-4:30PM.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Job Classification: 37-3011.00 - Landscaping and Groundskeeping Workers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Must be 18 due to insurance. Must show proof of legal authorization to work in the United States. Drug/alcohol/tobacco free work zone. Perform physical activities: such as lift, balance, walk, stoop, handle, position, move, manipulate materials use static strength to exert maximum muscle force to lift, push, pull, carry objects up to 50lbs. All applicants must be able, willing and qualified to perform work described and must be available for the entire period specified and work throughout all areas of intended employment.Based on Employer's discretion/cost: Worker may have random drug/alcohol testing during employment: positive test/refusal to abide = dismissal. Work is performed outdoors, exposed to weather; must be capable of doing physically strenuous labor for long hours, occasionally in extreme heat or cold. Variable weather conditions apply; hours may fluctuate (+/-), possible downtime and/or overtime. Number of Hours Per Week: 40 Work Schedule (Start/End time): 7:00 A.M. - 4:30 P.M.</t>
  </si>
  <si>
    <t>H-400-26184-076226</t>
  </si>
  <si>
    <t>Duties may include: Clean up work sites and areas to remove limbs, sticks, weeds, and shrubs, rake and bale pine straw with baler, load/unload pine straw bales, drive ATV's &amp; other related Groundskeeper activities as per SOC/OES 37-3011 (onetonline.org). Standard/Expected Schedule: Monday-Friday 8:00AM-5:00PM. Offering 35+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Piece rate may apply: $.75 per roll for raking, $.20 per roll for baling, $.30 per roll for loading. Will never make less than Prevailing Wage/Federal/state/local minimum wage.. Job Classification: 37-3011.00 - Landscaping and Groundskeeping Workers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Must show proof of legal authorization to work in the United States. Drug/alcohol/tobacco free work zone. Perform physical activities: such as lift, balance, walk, stoop, handle, position, move, manipulate materials use static strength to exert maximum muscle force to lift, push, pull, carry objects up to 45lbs. All applicants must be able, willing and qualified to perform work described and must be available for the entire period specified and work throughout all areas of intended employment.Based on Employer's discretion/cost: Worker may have random drug/alcohol testing during employment: positive test/refusal to abide = dismissal. Work is performed outdoors, exposed to weather; must be capable of doing physically strenuous labor for long hours, occasionally in extreme heat or cold. Variable weather conditions apply; hours may fluctuate (+/-), possible downtime and/or overtime. Number of Hours Per Week: 40 Work Schedule (Start/End time): 8:00 A.M. - 5:00 P.M.</t>
  </si>
  <si>
    <t>H-400-26184-076259</t>
  </si>
  <si>
    <t>H-400-26184-076254</t>
  </si>
  <si>
    <t>H-400-26184-076244</t>
  </si>
  <si>
    <t>Sommelier</t>
  </si>
  <si>
    <t>Sommelier job duties include helping customers and servers select wine pairings, procuring and managing wines, and conducting the wine service. A successful Sommelier has an in-depth knowledge of wines, as well as the ability to quickly recall and share complex information about different types of wines, wine pairings and tasting notes. Their main responsibility is to promote wine sales through staff and customer education, and by ordering wines, maintaining the wine stock, creating a wine list and writing wine descriptions, suggesting food and wine pairings to servers and customers, recommending wines based on customer preferences, and conducting wine tastings for staff and customers. Job Classification: 35-3031.00 - Waiters and Waitresses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12 Special Requirements: Requires twelve months experience as a sommelier or similar customer-facing service role. Fluent English speaking required. Must lift/carry 50 lbs., when necessary. Employer-paid post-hire drug testing required of foreign and domestic workers upon suspicion of use. Work schedule will vary and will include evenings, holidays, and Saturdays and Sundays. Work may be performed on any day of the week from Monday through Sunday. Shift hours may vary. Employer may offer more than the stated work hours depending on weather, business needs, and other conditions. Extreme heat, cold, rain, or drought may affect exact working hours. Number of Hours Per Week: 35 Work Schedule (Start/End time): 3:00 P.M. - 10:30 P.M.</t>
  </si>
  <si>
    <t>H-400-26184-076256</t>
  </si>
  <si>
    <t>Trost Irrigation, Inc.</t>
  </si>
  <si>
    <t>service@trostirrigation.com</t>
  </si>
  <si>
    <t>+12483912930</t>
  </si>
  <si>
    <t>Irrigation Technician</t>
  </si>
  <si>
    <t>Landscape or maintain grounds of property using hand or power tools or equipment. Workers typically perform a variety of tasks, which may include any combination of the following: winterize lawn sprinkler systems and make and repairs to the systems as necessary. Entry level, requires supervision. Job Classification: 37-3011.00 - Landscaping and Groundskeeping Workers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Must lift/carry 50 lbs., when necessary. Saturday work required, when necessary. Employer may offer more than the stated work hours, depending on weather, business needs, and other conditions. Extreme heat, cold, rain, or drought may affect exact working hours. Number of Hours Per Week: 40 Work Schedule (Start/End time): 6:30 A.M. - 3:00 P.M.</t>
  </si>
  <si>
    <t>H-400-26184-076257</t>
  </si>
  <si>
    <t>Vasari Country Club Master Association, Inc.</t>
  </si>
  <si>
    <t>asstcontroller@vasaricc.com</t>
  </si>
  <si>
    <t>+12395960645</t>
  </si>
  <si>
    <t>The Line Cook will be responsible for preparing, seasoning, and cooking soups, meats, vegetables, desserts, and other food items in a restaurant. Line Cooks will also be responsible for cleaning duties such as cleaning the kitchen, washing dishes, washing pots and pans, and other items as necessary for the kitchen to run efficiently and smoothly. Line Cooks may also prepare fresh food at action stations and buffets during meals and events. This may also include assisting with the general responsibility of setting up and breaking down banquet and catered areas by arranging tables and chairs, placing linens, silverware, glassware, serving utensils, centerpieces, and buffet stations, removing service items, returning equipment to storage, and cleaning the area. Workers use standard equipment and materials, including tables, chairs, linens, serving stations, trays, carts, glassware, silverware, china, serving utensils, centerpieces, and cleaning supplies. No specialized machinery or equipment is used. Job Classification: 53-7062.00 - Laborers and Freight, Stock, and Material Movers, Hand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6 Special Requirements: Must pass pre-employment drug test in accordance with company hiring policy in effect at time of hire. Must be able to read, write and communicate effectively. Number of Hours Per Week: 35 Work Schedule (Start/End time): 8:30 A.M. - 9:00 P.M.</t>
  </si>
  <si>
    <t>H-400-26184-075976</t>
  </si>
  <si>
    <t>Hopper Lawn &amp; Landscape Management, LLC</t>
  </si>
  <si>
    <t>info@froioslawn.com</t>
  </si>
  <si>
    <t>+16106923879</t>
  </si>
  <si>
    <t>Mowing lawns, trim hedges/shrubs, plant flowers/trees/, weeding, installing mulch, digging holes for plants/flowers, remove debris, operating power equipment like mowers and trimmers, maintaining irrigation systems Job Classification: 37-3011.00 - Landscaping and Groundskeeping Workers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Requires three months of previous landscape experience. Must lift/carry 50 lbs., when necessary. Saturday and Sunday work required, when necessary. Post-hire random, post-accident and upon suspicion of use drug testing required of foreign and domestic workers. Employer may offer more than the stated work hours depending on weather, business needs, and other conditions. Extreme heat, cold, rain, or drought may affect exact working hours. Number of Hours Per Week: 40 Work Schedule (Start/End time): 7:00 A.M. - 4:00 P.M.</t>
  </si>
  <si>
    <t>H-400-26184-076224</t>
  </si>
  <si>
    <t>Windswept Dunes, LLC</t>
  </si>
  <si>
    <t>wsdunes@aol.com</t>
  </si>
  <si>
    <t>+18504871395</t>
  </si>
  <si>
    <t>Ground Maintenance Workers</t>
  </si>
  <si>
    <t>Landscape or maintain grounds of property using hand or power tools or equipment. Workers typically perform a variety of tasks, which may include any combination of the following: sod laying, grading, seeding, mowing, trimming, planting, watering, fertilizing, digging, raking. Entry level, requires supervision. Job Classification: 37-3011.00 - Landscaping and Groundskeeping Workers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Must lift/carry 50 lbs., when necessary. Saturday and Sunday work required, when necessary. Employer may offer more than the stated work hours depending on weather, business needs, and other conditions. Extreme heat, cold, rain, or drought may affect exact working hours. Number of Hours Per Week: 40 Work Schedule (Start/End time): 6:00 A.M. - 2:30 P.M.</t>
  </si>
  <si>
    <t>H-400-26184-076266</t>
  </si>
  <si>
    <t>Winstead's Reforestation, L.L.C.</t>
  </si>
  <si>
    <t>Delaney Forrester</t>
  </si>
  <si>
    <t>winsteadsreforestation@gmail.com</t>
  </si>
  <si>
    <t>+12522055362</t>
  </si>
  <si>
    <t>Duties may include: Sort tree seedlings, discarding substandard seedlings, according to standard charts or verbal instructions. Select tree seedlings, prepare the ground, and plant the trees in reforestation areas. Maintain woodland areas by identifying diseased or undesirable trees and removing them and pre-commercial thinning. Use hand tools such as dibble bars, hoedads, picks, rakes, and shovels. May operate small work pickups, chainsaws, pruning saws &amp; other related Forestry Worker activities as per SOC/OES 45-4011 (onetonline.org). Standard/Expected Schedule: Monday-Saturday 8:00AM-4:00PM.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Workers may be paid on a piece-rate basis at a rate of $25.00 per acre. Optional, shared housing available at no cost to the worker. Job Classification: 45-4011.00 - Forest and Conservation Workers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Must be 18 due to government contracts. Must show proof of legal authorization to work in the United States. Drug/alcohol/tobacco free work zone. Must walk substantially (up to 15 miles/day), also stoop, bend while carrying a pack (up to 60lbs) thru rough terrain (non-trail). All applicants must be able, willing and qualified to perform work described and must be available for the entire period specified and work throughout all areas of intended employment. Work is performed outdoors, exposed to weather; must be capable of doing physically strenuous labor for long hours, occasionally in extreme heat or cold. Variable weather conditions apply; hours may fluctuate (+/-), possible downtime and/or overtime. Number of Hours Per Week: 40 Work Schedule (Start/End time): 8:00 A.M. - 4:00 P.M.</t>
  </si>
  <si>
    <t>H-400-26184-076238</t>
  </si>
  <si>
    <t>Yellowstone Landscape - Southeast, LLC_Fort Myers</t>
  </si>
  <si>
    <t>+18885815151</t>
  </si>
  <si>
    <t>Landscape or maintain grounds of property using hand or power tools or equipment. Workers typically perform a variety of tasks, which may include any combination of the following: lay sod, mulch, mow, trim, plant, water, fertilize, dig, rake, remove trash/debris, and installation of mortarless segmental concrete masonry wall units. Maintain/repair tools/equipment as needed. Entry level; requires supervision. Job Classification: 37-3011.00 - Landscaping and Groundskeeping Workers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Must lift/carry 50 lbs., when necessary. Saturday and Sunday work required, when necessary. Employer-paid drug testing required of foreign and domestic workers prior to commencing work and post-hire upon suspicion of use and post-accident. Post-hire background checks may be required of foreign and domestic workers based on contract requirements. Employment eligibility (e-Verify) check required of foreign and domestic workers. Post-hire motor vehicle record check required only of foreign and domestic workers who drive company vehicles (driving is not a requirement of all workers in the position). Employer may offer more than the stated work hours, depending on weather, business needs, and other conditions. Extreme heat, cold, rain, or drought may affect exact working hours. Number of Hours Per Week: 40 Work Schedule (Start/End time): 7:00 A.M. - 4:00 P.M.</t>
  </si>
  <si>
    <t>H-400-26184-076258</t>
  </si>
  <si>
    <t>Yellowstone Landscape - Southeast, LLC_Greenville</t>
  </si>
  <si>
    <t>H-400-26184-076247</t>
  </si>
  <si>
    <t>Yellowstone Landscape - Southeast, LLC_Hardin</t>
  </si>
  <si>
    <t>H-400-26184-076235</t>
  </si>
  <si>
    <t>horseOlogy, LLC - Gulfstream</t>
  </si>
  <si>
    <t>Leonard D'Arrigo</t>
  </si>
  <si>
    <t>30/05/2027</t>
  </si>
  <si>
    <t>info@horseologyinc.com</t>
  </si>
  <si>
    <t>+13522666555</t>
  </si>
  <si>
    <t>Horse Groom/stable Attendant</t>
  </si>
  <si>
    <t>As a Horse Groom/Stable Attendant, the worker will be responsible for and assist with the daily care of horses/preparation of horses for training. Feed/water horse, clean tack, bathe, brush, and clip horse, apply horse boots and prepare horse to be saddled for training. Clean horse's feet, apply/remove leg wraps/ boots and saddle for training. Bathe/cool down horse after training and exercise. Assist veterinarian while performing physical examinations by keeping the horse calm and under control. Assist farriers as they inspect, remove, apply, adjust, and work with horse's hooves and shoes by keeping the horse calm and under control. Clean/re-bed stalls. Hose down horse with cold/warm water. Wrap horse in brace or poultice bandages as necessary. Exercise/ride horses and assist trainer in preparing horses for daily training. Job Classification: 39-2021.00 - Animal Caretakers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Split shift, 5:00am-10:00am; 2:30pm-4:30pm (Tuesday-Sunday), optional hours available on Monday, but not required. Hours may vary based on the weather and racing schedule. Workers must be able to lift and carry weights of 150 lbs. with assistance. Workers should have the capability to lift, carry, and move equipment and materials needed to complete their assigned tasks. The employer will rely on workers' self-representations and observations to assess whether they meet this requirement. On-the-job training will not be provided. The employer will provide to the worker, without charge or deposit charge, all tools, supplies, and equipment required to perform the duties assigned, in accordance with 20 CFR 655.20(k). Random drug testing may be required post-hire for all workers, both U.S./domestic and H-2B workers, at employers expense. Number of Hours Per Week: 40 Work Schedule (Start/End time): 5:00 A.M. - 4:30 P.M.</t>
  </si>
  <si>
    <t>H-400-26184-076271</t>
  </si>
  <si>
    <t>ACC Forestry, LLC</t>
  </si>
  <si>
    <t>alvarocortes1@icloud.com</t>
  </si>
  <si>
    <t>+15418214932</t>
  </si>
  <si>
    <t>Duties may include: Under supervision, perform forestry support tasks including raising and sorting seedlings, discarding substandard stock according to standard charts or verbal instructions, and transporting seedlings. Plant seedlings and trees. Promote growth through the application of herbicides and insecticides to control competing vegetation and pests. Trim trees or other vegetation; cut logs or trees. Fuels reduction for fire prevention via clearing, disposing of, and piling brush. Digging and construction of fuel breaks. May operate work pickups &amp; other related Forestry Worker activities as per SOC/OES 45-4011 (onetonline.org). Standard/Expected Schedule: Monday-Friday 7:00AM-2:00PM.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Piece rate may apply: worker will never make less than Prevailing Wage or Federal/State/Local minimum wage. Optional, shared housing available at no cost to the worker. Job Classification: 45-4011.00 - Forest and Conservation Workers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Must be 18 due to insurance. Must show proof of legal authorization to work in the United States. Drug/alcohol/tobacco free work zone. Must walk substantially (up to 15 miles/day), also stoop, bend while carrying a pack (up to 40lbs) thru rough terrain (non-trail). All applicants must be able, willing and qualified to perform work described and must be available for the entire period specified and work throughout all areas of intended employment. Work is performed outdoors, exposed to weather; must be capable of doing physically strenuous labor for long hours, occasionally in extreme heat or cold. Variable weather conditions apply; hours may fluctuate (+/-), possible downtime and/or overtime. Number of Hours Per Week: 40 Work Schedule (Start/End time): 7:00 A.M. - 2:00 P.M.</t>
  </si>
  <si>
    <t>H-400-26184-076295</t>
  </si>
  <si>
    <t>Advanced Mulch, Inc.</t>
  </si>
  <si>
    <t>dawncorrado@advancedmulch.com</t>
  </si>
  <si>
    <t>+16152036655</t>
  </si>
  <si>
    <t>Install mulch as assigned in landscape beds. Install engineered wood fiber in playgrounds. Clean up areas where mulch installation has been completed with backpack blower. Assist teammates by pulling blower hoses around obstacles. Maintain clean and orderly equipment. Load trucks with material for installation. Job Classification: 37-3011.00 - Landscaping and Groundskeeping Workers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Must lift/carry 50 lbs., when necessary. Saturday and Sunday work required, when necessary. Post-hire random drug testing required of foreign and domestic workers. Post-hire background check and employment eligibility (e-Verify) check required of foreign and domestic workers. Employer may offer more than the stated work hours depending on weather, business needs, and other conditions. Extreme heat, cold, rain, or drought may affect exact working hours. Number of Hours Per Week: 52 Work Schedule (Start/End time): 6:00 A.M. - 5:00 P.M.</t>
  </si>
  <si>
    <t>H-400-26184-076293</t>
  </si>
  <si>
    <t>Arnoldo Valencia, Jr.</t>
  </si>
  <si>
    <t>30/03/2027</t>
  </si>
  <si>
    <t>valencia1977@live.com</t>
  </si>
  <si>
    <t>+14093734049</t>
  </si>
  <si>
    <t>Manual itinerant work hand tree planting, pre-commercial thinning, and applying herbicides to reforest and maintain timberlands. Plant tree seedlings in specified pattern, using a shovel, mattock, planting hoe, or dibble bar. Transport trees in a tree bag. Dig holes at pre-determined intervals and insert seedling. Tamp soil around plant with foot and planting tool. Select optimum planting location to meet spacing, soil, and shade requirements. Bare soil. Use a chainsaw, brush blade, power thinning saws, or other hand-held equipment to remove, thin and space excess trees and other vegetation. Clear and cut brush and other vegetation from planting areas. Spray or inject trees, brush, and weeds with herbicides to combat insects, pests, and harmful diseases using hand or powered sprayers or tree injector tool. Cut out diseased, weak or undesirable trees, and as a minor activity prune or shear tree tops and limbs to control growth and increase density using handsaw, power saw and pruning tools or other hand held equipment. These jobs involve propagating, protecting, and managing forest tracts. Count and check. Employer may pay piece rate of $25.00 per acre planted correctly or prevailing wage in the area of intended employment, whichever is higher. Job Classification: 45-4011.00 - Forest and Conservation Workers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No education or experience required. Must be 18 years or older. Requires physical stamina. Extensive walking over rough terrain. Work is outdoors in extreme temperatures and adverse weather. Must lift and carry 50 lbs. Production Standard of 1750 trees correctly planted per 7 hour day after one week of on the job training. Work schedule and locations dependent on weather conditions. Overnight travel required. Employer may offer more than the stated work hours depending on weather, business needs, and other conditions. Extreme heat, cold, rain, or drought may affect exact working hours. Number of Hours Per Week: 35 Work Schedule (Start/End time): 8:00 A.M. - 3:30 P.M.</t>
  </si>
  <si>
    <t>H-400-26184-076272</t>
  </si>
  <si>
    <t>Biotic Environmental Solutions, LLC</t>
  </si>
  <si>
    <t>jlisenby@coloredpinestraw.com</t>
  </si>
  <si>
    <t>+18553526567</t>
  </si>
  <si>
    <t>Landscape or maintain grounds of property using hand or power tools or equipment. Workers typically perform a variety of tasks, which may include any combination of the following: sod laying, mowing, trimming, planting, watering, fertilizing, digging, and raking. Manually rake, bale and load bales of pine straw to trailer. Use hand tools such as rakes and hoes. These tasks will be performed on forested property, specifically within wooded areas where pine trees naturally shed their needles. Operate small tractors under 30 HP, with mini-baler. Maintain cleanliness of work areas by clearing excess straw and debris. Assist with site preparation, including clearing underbrush or maintenance of harvesting areas. Job Classification: 45-4011.00 - Forest and Conservation Workers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Must lift/carry 50 lbs., when necessary. Saturday and Sunday work required, when necessary. Post-hire post-accident drug testing required of foreign and domestic workers. Post-hire employment eligibility (e-Verify) check required of foreign and domestic workers. Employer may offer more than the stated work hours depending on weather, business needs, and other conditions. Extreme heat, cold, rain, or drought may affect exact working hours. Number of Hours Per Week: 45 Work Schedule (Start/End time): 7:00 A.M. - 5:00 P.M.</t>
  </si>
  <si>
    <t>H-400-26184-076289</t>
  </si>
  <si>
    <t>Birdsong Corporation - SC</t>
  </si>
  <si>
    <t>gstanley@birdsongpeanuts.com</t>
  </si>
  <si>
    <t>Sanitation</t>
  </si>
  <si>
    <t>Manually clean, dry and store peanuts. Shovel peanuts. Sweep up spilled peanuts. Observe the continuous movement of peanuts as they pass through different stages of the cleaning process to ensure steady, uninterrupted operation so that malfunctions can be detected. As part of the production process, dump peanuts into trailers by pressing a button which electronically dumps the peanuts into the wagons. Hook up peanut dryer to trailers. Pull samples. Clean pits. Change tires on trailers and wagons. Hand wash wagons/trailers with a water hose. Clean up peanut spillage and any other post-harvest sanitation needed-general cleaning. Job Classification: 53-7063.00 - Machine Feeders and Offbearers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No education or experience required. Must lift/carry 50 lbs., when necessary. Employer-paid drug testing required of foreign and domestic workers prior to commencing work and post-hire upon suspicion of use and post-accident. Post-hire background check and employment eligibility (e-Verify) check required of foreign and domestic workers. Saturday and Sunday work required, when necessary. Employer may offer more than the stated work hours depending on weather, business needs, and other conditions. Extreme heat, cold, rain, or drought may affect exact working hours. Number of Hours Per Week: 42 Work Schedule (Start/End time): 7:00 A.M. - 4:00 P.M.</t>
  </si>
  <si>
    <t>H-400-26184-076318</t>
  </si>
  <si>
    <t>Birdsong Corporation - Wilmer</t>
  </si>
  <si>
    <t>jstraub@birdsongpeanuts.com</t>
  </si>
  <si>
    <t>General labor for cleaning, drying, and storing peanuts. Sanitation for post harvest. Shovel peanuts. Sweep up spilled peanuts. Dump peanuts out of trailers. Monitor flow of peanuts down thru pit up to elevator, thru all of cleaning system. Load clean peanuts back into trailers. Hook up peanut dryer to trailers. Pull samples. Clean pits. Change tires on trailers and wagons. Wash wagons/trailers. Load warehouses and dump wagons thru pits, monitor and position conveyor belts to load warehouse properly. Top off warehouse (clean peanuts off catwalks, clean out wells – general sanitation). Clean up peanut spillage and any other post harvest sanitation needed. Sanitation (clean up spillage, sweep, general cleaning). Job Classification: 53-7063.00 - Machine Feeders and Offbearers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Must lift/carry 50 lbs., when necessary. Employer-paid drug testing required of foreign and domestic workers prior to commencing work and post-hire upon suspicion of use and post-accident. Post-hire background check and employment eligibility (e-Verify) check required of foreign and domestic workers. Employer may offer more than the stated work hours depending on weather, business needs, and other conditions. Extreme heat, cold, rain, or drought may affect exact working hours. Number of Hours Per Week: 42 Work Schedule (Start/End time): 7:00 A.M. - 4:00 P.M.</t>
  </si>
  <si>
    <t>H-400-26184-076302</t>
  </si>
  <si>
    <t>CASCADIA FORESTRY</t>
  </si>
  <si>
    <t>cascadiaforestry@gmail.com</t>
  </si>
  <si>
    <t>+13604506855</t>
  </si>
  <si>
    <t>Commercial Tree Planting and Pre-Commercial Thinning. Both activities are conducted on steep terrain, 40% - 50% in grade. Tree planting: Clear an area on the ground with the use of a planting shovel, dig a hole deep enough that when the seedling is planted there is not a J-Root, place seedling in the ground and then cover the roots with the soil, tamping the soil to secure the seedling. Combined weight of the seedlings and the planting bag is 50 lbs depending of the size of the seedlings. Pre-Commercial thinning: Thinning is conducted with the use of a chainsaw, cutting undesirable and diseased trees, cutting and clearing brush and then hand piling the material in a prescribed manner for future disposal. Employee must maintain the chainsaw, sharpen the chain and ensure fluid levels are correct. Weight of the chainsaw and fluids in 30 lbs Job Classification: 45-4011.00 - Forest and Conservation Workers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MUST BE ABLE TO PLANT THE FOLLOWING NUMBER OF TREES IN AN 8 HOUR DAY: BY THE END OF THE 1ST WEEK, 800. BY THE END OF THE 2ND WEEK, 900. BY THE END OF THE 3RD WEEK, 1,000. ALL PLANTING TO BE CONDUCTED ON STEEP TERRAIN, 40% - 50% Number of Hours Per Week: 40 Work Schedule (Start/End time): 7:00 A.M. - 3:30 P.M.</t>
  </si>
  <si>
    <t>H-400-26184-076303</t>
  </si>
  <si>
    <t>CORRUCO REFORESTATION, INC</t>
  </si>
  <si>
    <t>corruco.reforestation@yahoo.com</t>
  </si>
  <si>
    <t>+13602623809</t>
  </si>
  <si>
    <t>WORK TO BE CONDUCTED IN REMOTE AREAS PERFORMING REFORESTATION WORK TO INCLUDE BRUSH CUTTING, LIMBING OF STANDING TIMBER, TOPPING TREES, SPRAYING HERBICIDE APPLICATION. SPRAYING: (Only herbicides labeled for forestry applications are used. The position does not mix or load of any herbicide. Mixing and loading is done by a licensed herbicide applicator who oversees all aspects of application. Each worker who sprays herbicide must be licensed with the Washington Department of Agriculture. Workers are trained both for safety and for technical procedures. The worker will be trained, once hired, to obtain the spraying license.) WORK REQUIRES THE USE OF A CHAIN SAW WHICH WEIGHS 30 POUNDS, CARRING FUEL AND BAR OIL WEIGHING APPROXIMATELY 10 POUNDS, UP AND DOWN STEEP TERRAIN, 30 - 50 PERCENT IN SLOPE. SPRAYING AS REQUIRED. WORK ISCONDUCTED IN ADVERSE WEATHER CONDITIONS, TO INCLUDE SNOW COVERED AREAS AND WET, SLIPPERY SLOPES. MUST BE ABLE TO BREAKDOWN THE SAW FOR CLEANING AND REPAIR IN THE FIELD WHEN REQUIRED. Job Classification: 45-4011.00 - Forest and Conservation Workers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Number of Hours Per Week: 40 Work Schedule (Start/End time): 7:00 A.M. - 3:30 P.M.</t>
  </si>
  <si>
    <t>H-400-26184-076274</t>
  </si>
  <si>
    <t>DTB Ventures, LLC</t>
  </si>
  <si>
    <t>mark.jacobs@dtb-ventures.com</t>
  </si>
  <si>
    <t>+13143146311</t>
  </si>
  <si>
    <t>Prepare &amp; cook food in a fast-food restaurant with a limited menu. Duties are limited to the preparation of few basic items &amp; normally involve operating large volume single purpose cooking equipment, cooking food &amp; assembling sandwiches, salads, wraps and packaging the final product. Add’l duties include ordering products, unloading deliveries, must maintaining a clean store environment &amp; adhere to all store safety policies &amp; health regulations. Job Classification: 35-2011.00 - Cooks, Fast Food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Must lift/carry 50 lbs., when necessary. Saturday work required. Typical schedule is 5:30 AM - 2:30 PM or 2:30 PM to 10:30 PM, Mon-Sat.Employer may offer more than the stated work hours, depending on weather, business needs, and other conditions. Extreme heat, cold, rain, or drought may affect exact working hours. Number of Hours Per Week: 40 Work Schedule (Start/End time): 5:30 A.M. - 2:30 P.M.</t>
  </si>
  <si>
    <t>H-400-26184-076273</t>
  </si>
  <si>
    <t>Decor IQ, LLC</t>
  </si>
  <si>
    <t>Brittany McCullick</t>
  </si>
  <si>
    <t>hr@decoriq.com</t>
  </si>
  <si>
    <t>+12106673603</t>
  </si>
  <si>
    <t>Holiday Lighting Laborer</t>
  </si>
  <si>
    <t>Position offered is for an experienced holiday lighting laborer with a minimum of three months experience in holiday lighting labor, which consists of organizing and preparing stock of holiday decor material, installing and/or removing materials from job sites, and loading and unloading materials and preparing for storage. Ability to load and unload materials and equipment that can weigh up to 50 pounds is required. The physical demand described here are representative of those that must be met by an employer to successfully perform the essential functions of this job. Job Classification: 49-9099.00 - Installation, Maintenance, and Repair Workers, All Other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3 months previous experience. Lifting up to 50 pounds. Overtime as needed. Shifts are from 8am-5pm and 9pm - 6am, Sunday-Saturday. Shifts will be assigned based on project demands. We want to clarify the information on item F.a.5. During the workweek, which runs from Sunday through Saturday, employees are scheduled to work a 40 hour week. F.a.5. does not allow us to enter such a work schedule. If we enter 8 hours each day, it would show 56 hours a week, which is not an accurate reflection of their work schedule. Number of Hours Per Week: 40 Work Schedule (Start/End time): 8:00 A.M. - 5:00 P.M.</t>
  </si>
  <si>
    <t>H-400-26184-076307</t>
  </si>
  <si>
    <t>GLEN EAGLE GOLF &amp; COUNTRY CLUB</t>
  </si>
  <si>
    <t>H2Bjobs@gleneaglecountryclub.com</t>
  </si>
  <si>
    <t>+12393543167</t>
  </si>
  <si>
    <t>Prepare, cook, saute, broil, fry such items as seafood, meats, poultry, vegetables, pastas, soups. Keeps kitchen areas clean &amp; sanitized. Stores all products in proper locations (6) workers needed. Dates of need: 10/1/26-5/31/27. 3 months experience necessary. Rotating shifts. Workdays: Mon-Sun. Work hours: 6am-10pm. Rate of pay: $20-$25/hr based on performance, $30-$37.50/hr overtime. Workers paid biweekly. 35 hours/wk. Optional housing provided for $700/month with a $350 deposit ($300 refundable upon completing of contract &amp; housing inspection/ $50 non refundable). Shift meals provided. Job location: 1403 Glen Eagle Blvd, Naples, FL 34104. Work is temporary full time employment. A single workweek will be used to compute wages. May get up to 10 hours of overtime when available. All deductions from the worker's paycheck required by law will be made. The employer will provide workers at no charge all tools, supplies, and equipment required to perform the job. The worker will be provided with or reimbursed for transportation and subsistence (including reasonable cost of overnight lodging where necessary up to $110/night for lodging with receipts.) at a rate of $16.78 per day during travel to a maximum of $68.00 per day with receipts from the place from which the worker has come to work for the employer, whether in the U.S. or abroad, to the place of employment, if the worker completes 50 percent of the period of employment covered by the job order, consistent with 20 CFR 655.20(j)(1)(i) by inclusion in the paycheck for the applicable week. Employer will provide or pay for the worker's cost of return transportation and daily subsistence from the place of employment to the place from which the worker, disregarding intervening employment, departed to work for the employer, if the worker completes the certified period of employment or is dismissed from employment for any reason by the employer before the end of the period, consistent with § 655.20(j)(1)(ii); H-2B workers will be reimbursed in the first workweek for all visas, visa processing, border crossing, and other related fees, including those mandated by the government (excluding passport fees). The employer will provide workers all tools, supplies, and equipment required to perform the job at no charge to the worker, in accordance with 20 CFR 655.20(k). Qualified applicants may mail resume to Attn: Jeff Keeler at 1403 Glen Eagle Blvd, Naples, FL 34104, email to H2Bjobs@gleneaglecountryclub.com or visit your local job center at 3050 Horseshoe Drive North Building A Suite 110, Naples, FL 34104. *Your security deposit is refundable upon completion of your contract and upon inspection of the housing. If a worker abandons their job without permission of the employer or a worker abandons their housing before the end of the petition date for any reason except employer termination, the workers forfeits all housing deposits, PTO, vacation and bonus pay. Upon termination of resignation, the worker must vacate the housing immediately thereafter unless agreed upon by the employer.* Job Classification: 35-2014.00 - Cooks, Restaurant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Number of Hours Per Week: 35 Work Schedule (Start/End time): 6:00 A.M. - 10:00 P.M.</t>
  </si>
  <si>
    <t>H-400-26184-076311</t>
  </si>
  <si>
    <t>Take orders, serve food &amp; beverages to guests. Clean off &amp; set tables. Take payments, give receipts. Keep all stations stocked (6) workers needed. Dates of need: 10/1/26-5/31/27. 3 months experience necessary. Rotating shifts. Workdays: Mon-Sun. Work hours: 6am-10pm. Rate of pay: $12-$14/hr plus tips but no less than $20.13/hr, $30.20/hr overtime. Workers paid biweekly. 35 hours/wk. Optional housing provided for $700/month with a $350 deposit ($300 refundable upon completing of contract &amp; housing inspection/ $50 non refundable). Shift meals provided. Job location: 1403 Glen Eagle Blvd, Naples, FL 34104. Work is temporary full time employment. A single workweek will be used to compute wages. May get up to 10 hours of overtime when available. All deductions from the worker's paycheck required by law will be made. The employer will provide workers at no charge all tools, supplies, and equipment required to perform the job. The worker will be provided with or reimbursed for transportation and subsistence (including reasonable cost of overnight lodging where necessary up to $110/night for lodging with receipts.) at a rate of $16.78 per day during travel to a maximum of $68.00 per day with receipts from the place from which the worker has come to work for the employer, whether in the U.S. or abroad, to the place of employment, if the worker completes 50 percent of the period of employment covered by the job order, consistent with 20 CFR 655.20(j)(1)(i) by inclusion in the paycheck for the applicable week. Employer will provide or pay for the worker's cost of return transportation and daily subsistence from the place of employment to the place from which the worker, disregarding intervening employment, departed to work for the employer, if the worker completes the certified period of employment or is dismissed from employment for any reason by the employer before the end of the period, consistent with § 655.20(j)(1)(ii); H-2B workers will be reimbursed in the first workweek for all visas, visa processing, border crossing, and other related fees, including those mandated by the government (excluding passport fees). The employer will provide workers all tools, supplies, and equipment required to perform the job at no charge to the worker, in accordance with 20 CFR 655.20(k). Qualified applicants may mail resume to Attn: Jeff Keeler at 1403 Glen Eagle Blvd, Naples, FL 34104, email to H2Bjobs@gleneaglecountryclub.com or visit your local job center at 3050 Horseshoe Drive North Building A Suite 110, Naples, FL 34104. *Your security deposit is refundable upon completion of your contract and upon inspection of the housing. If a worker abandons their job without permission of the employer or a worker abandons their housing before the end of the petition date for any reason except employer termination, the workers forfeits all housing deposits, PTO, vacation and bonus pay. Upon termination of resignation, the worker must vacate the housing immediately thereafter unless agreed upon by the employer.* Job Classification: 35-3031.00 - Waiters and Waitresses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Number of Hours Per Week: 35 Work Schedule (Start/End time): 6:00 A.M. - 10:00 P.M.</t>
  </si>
  <si>
    <t>H-400-26184-076286</t>
  </si>
  <si>
    <t>GREENSCAPE SOLUTIONS, LLC</t>
  </si>
  <si>
    <t>17/12/2026</t>
  </si>
  <si>
    <t>office@a1wallsandlandscaping.com</t>
  </si>
  <si>
    <t>+14178612784</t>
  </si>
  <si>
    <t>Duties include dormant season installation of trees, shrubs, or flowers in the appropriate design pattern. Unloading materials, digging holes for root systems, properly covering the holes and sometimes sod laying, planting grass seed or connecting irrigation. Leaf removal, lawn seed and straw, lawn aeration, planting shrubbery, digging, raking, and installation of mortarless segmental concrete masonry wall units. Workers may gather and remove litter, water seeded lawns, trees, plants and prune or trim trees, shrubs, or hedges. Workers may operate powered equipment, and drive vehicles to customer locations. Duties may include sod laying, mowing, watering plants &amp; lawns, plant transplanting, fertilizing, digging, raking, sprinkler installation. Employees will be digging trenches no larger than 6 - 12 inches deep and 6 - 12 inches wide with shovels and hand tools. These trenches are used to hold tubing used in the installation of irrigation systems. All the trimming/pruning will take place on the ground. The workers will not perform any pruning or trimming activities above ground level. The worker may transport other workers to and from job sites on occasion, however this will not be their primary job duty. Job Classification: 37-3011.00 - Landscaping and Groundskeeping Workers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Must be able to lift 50 lbs., repetitive movements, extensive pushing/pulling, extensive walking, frequent stooping, exposure to extreme temperatures. Post Hire Drug screen at employers expense. Post hire 10 Hour OSHA card training paid for by the employer. Post hire background check at employers expense as required by contractual obligations with customers. Number of Hours Per Week: 40 Work Schedule (Start/End time): 7:00 A.M. - 4:00 P.M.</t>
  </si>
  <si>
    <t>H-400-26184-076278</t>
  </si>
  <si>
    <t>Perform lesser tasks involving manual labor at concrete construction site. Prepare the site for placing of concrete by loading and unloading materials, running string-lines, cutting wood with skill saw, using a sledgehammer to pound stakes into the ground, digging and leveling the earth using shovels, pickaxes and plate-packers. Under supervision, lift, carry, fasten, strip, oil and set wooden and metal concrete forms using simple hand and power tools. Assist with placing concrete by using wheelbarrows, concrete rakes, shovels, walk-behind concrete vibrator. Clean up waste materials and caulk joints. Job Classification: 47-2061.00 - Construction Laborers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Some weekend work. Must be able to handle temperature extremes. Must be able to lift and carry 75 lbs. for 50 yards. Number of Hours Per Week: 40 Work Schedule (Start/End time): 7:00 A.M. - 5:00 P.M.</t>
  </si>
  <si>
    <t>H-400-26184-076288</t>
  </si>
  <si>
    <t>H-400-26184-076312</t>
  </si>
  <si>
    <t>H-400-26184-076314</t>
  </si>
  <si>
    <t>H-400-26184-076306</t>
  </si>
  <si>
    <t>H Forestry, LLC</t>
  </si>
  <si>
    <t>hforestry5@gmail.com</t>
  </si>
  <si>
    <t>+15055208075</t>
  </si>
  <si>
    <t>Duties may include: Raising &amp; Transporting seedlings, sort tree seedlings, discarding substandard seedlings, according to standard charts or verbal instructions. Plant: Seedlings/trees, Spray or inject vegetation with insecticides to kill insects or to protect against disease or with herbicides to reduce competing vegetation, or to enhance growth. Trim trees or other vegetation; cut trees or logs. Pile, chip or lop &amp; Scatter created slash. Maintain equipment to be used in the field. IF NECESSARY (ONLY IN THE EVENT OF AN UNFORESEEN FIRE) AND UNDER THE DIRECT SUPERVISION OF FIRE SUPPRESSION OFFICERS OR FORESTRY TECHNICIANS: minor suppression via clearing/disposing of brush and piling and digging line/constructing "fire breaks" (manually digging small trench as needed). Incidental driving possible &amp; other related Forestry Workers activities as per SOC/OES 45-4011 (onetonline.org). Standard/Expected Schedule: Monday-Friday 6:00AM-3:00PM. Offering 40+ (plus) hours per week; not including applicable lunch and/or breaks. Possible weekend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Optional, shared housing available at no cost to the worker. Job Classification: 45-4011.00 - Forest and Conservation Workers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Must be 18 due to travel. Must show proof of legal authorization to work in the United States. Drug/alcohol/tobacco free work zone. Perform physical activities: such as lift, balance, walk, stoop, handle, position, move, manipulate materials use static strength to exert maximum muscle force to lift, push, pull, carry objects up to 40lbs. All applicants must be able, willing and qualified to perform work described and must be available for the entire period specified and work throughout all areas of intended employment. Work is performed outdoors, exposed to weather; must be capable of doing physically strenuous labor for long hours, occasionally in extreme heat or cold. Variable weather conditions apply; hours may fluctuate (+/-), possible downtime and/or overtime. Number of Hours Per Week: 40 Work Schedule (Start/End time): 6:00 A.M. - 3:00 P.M.</t>
  </si>
  <si>
    <t>H-400-26184-076290</t>
  </si>
  <si>
    <t>Holcomb Reforestation, LLC</t>
  </si>
  <si>
    <t>Mckenze Berkshire</t>
  </si>
  <si>
    <t>holcombreforestation@yahoo.com</t>
  </si>
  <si>
    <t>+17068179436</t>
  </si>
  <si>
    <t>Duties may include: Plant seedling trees to reforest timberlands. Machine operated planting. Seedlings are planted per specifications of landowner &amp; other related Forestry Worker activities as per SOC/OES 45-4011 (onetonline.org). Standard/Expected Schedule: Monday-Friday 8:00AM-5:00PM.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Optional, shared housing available at no cost to the worker. Job Classification: 45-4011.00 - Forest and Conservation Workers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Must be 18 due to travel. Must show proof of legal authorization to work in the United States. Drug/alcohol/tobacco free work zone. Must walk substantially (up to 15 miles/day), also stoop, bend while carrying a pack (up to 50lbs) thru rough terrain (non-trail). All applicants must be able, willing and qualified to perform work described and must be available for the entire period specified and work throughout all areas of intended employment. Work is performed outdoors, exposed to weather; must be capable of doing physically strenuous labor for long hours, occasionally in extreme heat or cold. Variable weather conditions apply; hours may fluctuate (+/-), possible downtime and/or overtime. Number of Hours Per Week: 40 Work Schedule (Start/End time): 8:00 A.M. - 5:00 P.M.</t>
  </si>
  <si>
    <t>H-400-26184-076294</t>
  </si>
  <si>
    <t>HorseOlogy, LLC - Ocala</t>
  </si>
  <si>
    <t>As a Horse Groom/Stable Attendant, the worker will be responsible for and assist with the daily care of horses/preparation of horses for training. Feed/water horse, clean, tack, bathe, brush, and clip horse, apply horse boots and prepare horse to be saddled for training. Clean horse's feet, apply/remove leg wraps/ boots and saddle for training. Bathe/cool down horse after training and exercise. Assist veterinarian while performing physical examinations by keeping the horse calm and under control. Assist farriers as they inspect, remove, apply, adjust, and work with horse's hooves and shoes by keeping the horse calm and under control. Clean/re-bed stalls. Hose down horse with cold/warm water. Wrap horses in brace or poultice bandages as necessary. Exercise/ride horses and assist trainers in preparing horses for daily training. Job Classification: 39-2021.00 - Animal Caretakers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Split shift, 5:00am-10:00am; 2:30pm-4:30pm (Tuesday-Sunday), optional hours available on Monday, but not required. Hours may vary based on the weather and racing schedule. Workers must be able to lift and carry weights of 150 lbs. with assistance. Workers should have the capability to lift, carry, and move equipment and materials needed to complete their assigned tasks. The employer will rely on workers' self-representations and observations to assess whether they meet this requirement. On-the-job training will not be provided. The employer will provide to the worker, without charge or deposit charge, all tools, supplies, and equipment required to perform the duties assigned, in accordance with 20 CFR 655.20(k). Random drug testing may be required post-hire for all workers, both U.S./domestic and H-2B workers, at employers expense. Number of Hours Per Week: 40 Work Schedule (Start/End time): 5:00 A.M. - 4:30 P.M.</t>
  </si>
  <si>
    <t>H-400-26184-076308</t>
  </si>
  <si>
    <t>Maintenance Helper – Eight (8) temporary full-time positions available from 10/01/2026 to 01/31/2027 in Thibodaux, Louisiana with Lafourche Sugars, LLC. Help installation, maintenance, and repair workers in maintenance, parts replacement, and repair of industrial equipment used in the processing of raw sugar. Perform duties such as furnishing tools, materials, and supplies to other more experienced workers. Cleaning work area, machines, and tools, and holding materials or tools for other more experienced workers during the harvesting season. $18.37/Hour; $27.55/Hour OT paid every 2 weeks by check. Will be required to work rotating 8-hour shifts including (6am-2pm; 2pm-10pm; 10pm -6am); 56 hrs a week during harvest season, 40 hrs a week after harvest season, OT paid after 48 hours during harvesting and after 40 hours after harvesting. Must be willing to work 7 days per week during grinding/harvesting. Overtime Hours will vary and are not guaranteed. The employer will make all deductions from the worker's paycheck required by law. Worker will have 30 minutes paid lunch break during the workday. A minimum of 3 months experience is required in the job offered with sugar mill equipment. No minimum education is required. No on-the-job training is provided. Optional on-site lodging offered to each temporary seasonal employee hired in the position at no charge. Lafourche will provide U.S. workers at least the same benefits, wages, and working conditions that will be offered or provided to H-2B workers. Lafourche will provide to the worker, without charge or deposit charge, all tools, supplies, and equipment required to perform the duties assigned. Employer guarantees to offer employment equal to at least three-fourths (3/4's) of the workdays of each 12-week period of the total employment period; and, if the guarantee is not met, the employer will pay the worker what the worker would have earned if the employer had offered the guaranteed number of days. The 12-week period will begin the first workday after the worker's arrival or the advertised contractual first date of need, whichever is later. The worker will be reimbursed for transportation and subsistence expenses from the place from which the worker has come to work for the employer, whether in the U.S. or abroad, to the place of employment by check by the employer upon completion of 50% of the period of employment covered by the job order or earlier, if appropriate. This includes at least $16.78 per day during travel to a maximum of $68.00 per day with documentation of actual expenses. Also, the employer will provide or pay for the worker's outbound transportation and subsistence if the worker completes the job order period or is dismissed early from employment for any reason by the employer before the end of the period. The employer will reimburse the H-2B worker in the first workweek the full cost for all visa, visa processing, border crossing, and other related fees, including those mandated by the government. Lafourche will provide or reimburse inbound and outbound transportation and daily subsistence costs for corresponding U.S. workers who are not reasonably able to return to their residence within the same workday. As applicable, daily transportation to and from worksite will be provided by employer. Higher pay may be available to workers with extensive experience. Please send resumes or contact Mr. Ben LeBlanc at Lafourche Sugars, LLC, 141 Leighton Quarters Rd, Thibodaux, LA 70301 Tel: (985) 447-3210 Email: bl@lafourchesugars.com. Applicants may inquire about the job opportunity or send resumes/applications directly to Lafourche AJC, 1425 Tiger Drive, Thibodaux, LA 70301 Tel: 985-227-7119 Email Hire_Houma@lwc.la.gov; reference job order#: 1641114. Job Classification: 49-9098.00 - Helpers--Installation, Maintenance, and Repair Workers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Number of Hours Per Week: 56 Work Schedule (Start/End time): 6:00 A.M. - 2:00 P.M.</t>
  </si>
  <si>
    <t>H-400-26184-076282</t>
  </si>
  <si>
    <t>Industrial Truck and Tractor Operator - Duties include supplying material and moving harvested sugar cane to the proper destination. Workers will move harvested sugar cane, brought from farmers, from the dump area to the mill for processing. Employees will operate a front-end pay loader tractor to move cane from unloading area (feed and stack cane). Will either load the feed table for mill processing as cane has been delivered or stack it for later feeding. Minor maintenance to front-end payloader tractors as needed. Six (6) temporary, full-time positions, approx. 4 months of employment; willing to work 7 days a week, varying 12 hour shifts (12pm-12am; 12am-12pm); $21.68/Hour; $32.52//Hour; 84 hrs a week during harvest season, 40 hrs a week after harvest season until the end of the contract, overtime paid after 48 hours during harvesting and after 40 hours after harvesting; Overtime Hours will vary and are not guaranteed; worker will have 30 minutes paid lunchbreak during the workday; job to begin on 10/1/26 and to end on 1/31/27. A minimum of 3 months experience required in job offered. No minimum education required. No on the job training provided. A single workweek will be used in computing wages due. Wages are paid bi-weekly. Optional on-site lodging offered at no charge to workers hired in this temporary seasonal position. All Local, State and Federal Taxes will be deducted from the employee’s paycheck as required by law. The employer guarantees to offer work for hours equal to at least three-fourths of the workdays in each 12-week period of the total employment period. The 12-week period will begin the first workday after the worker's arrival or the advertised contractual first date of need, whichever is later. As applicable, daily transportation to and from worksite will be provided by employer. The worker will be reimbursed for transportation and subsistence expenses from the place from which the worker has come to work for the employer, whether in the U.S. or abroad, to the place of employment by check by the employer upon completion of 50% of the period of employment covered by the job order or earlier, if appropriate. This includes at least $16.78 per day during travel to a maximum of $68.00 per day with receipts. Also, the employer will provide or pay for the worker's outbound transportation and subsistence if the worker completes the job order period or is dismissed early. The employer will reimburse the H-2B worker in the first workweek the full cost for all visa, visa processing, border crossing, and other related fees, including those mandated by the government. Employer will provide or reimburse inbound and outbound transportation and daily subsistence costs for corresponding U.S. workers who are not reasonably able to return to their residence within the same workday. Employment offered by M.A. Patout &amp; Son, Ltd. located at 3512 J. Patout Burns Rd., Jeanerette, LA 70544 in Iberia Parish, Louisiana. The employer will provide workers at no charge all tools, supplies, and equipment required to perform the job. Please send resumes or contact Mr. Luis Acevedo at M.A. Patout &amp; Son, LLC, 3512 J. Patout Burns Rd., Jeanerette, LA 70544 Tel: 337-276-4592 Email: lacevedo@mapatout.com. Applicants may inquire about the job opportunity or send resumes/applications directly to Iberia American Job Center, 609 Ember Drive, New Iberia, LA 70560; Tel: 337-347-9537; Email info@acadianaworkforce.org; reference job order#: 1641087. Job Classification: 53-7051.00 - Industrial Truck and Tractor Operators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Number of Hours Per Week: 84 Work Schedule (Start/End time): 12:00 P.M. - 12:00 A.M.</t>
  </si>
  <si>
    <t>H-400-26184-076305</t>
  </si>
  <si>
    <t>MARTINEZ LANDSCAPING &amp; TREE SERVICE,LLC</t>
  </si>
  <si>
    <t>01Martinezllc@gmail.com</t>
  </si>
  <si>
    <t>+13607512689</t>
  </si>
  <si>
    <t>COMMERCIAL TREE PLANTING WILL BE CONDUCTED ON STEEP TERRAIN; 40%-50% IN SLOPE AND DONE WITH THE USE OF A PLANTING SHOVEL. THE EMPLOYEE WILL CLEAR A SPACE ON THE GROUND, DIG A HOLE, CORRECTLY PLACE THE SEEDLING TREE IN THE HOLE WITHOUT A "J" ROOT, COVER THE ROOTS WITH THE SOIL, AND THEN TAMP THE SOIL AROUND THE NEWLY PLANTED SEEDLING. THE EMPLOYEE WILL BE REQUIRED TO CARRY A PLANTING BAG WHICH WILL CONTAIN THE SEEDLINGS, COMBINED WEIGHT IS ABOUT 50-60 POUNDS, DEPENDING ON THE SIZE OF THE SEEDLINGS, UP AND DOWN THE STEEP TERRAIN IN REMOTE MOUNTAINOUS AREAS. PRE-COMMERCIAL THINNING: CUTTING OF UNDESIRABLE AND DISEASED TREES. SPRAYING VEGETATION TO ELIMINATE UNWANTED UNDERBRUSH. SPRAYING: (Only herbicides labeled for forestry applications are used. The position does not mix or load of any herbicide. Mixing and loading is done by a licensed herbicide applicator who oversees all aspects of application. Each worker who sprays herbicide must be licensed with the Washington Department of Agriculture. Workers are trained both for safety and for technical procedures. The worker will be trained, once hired, to obtain the spraying license.) BRUSH CUTTING/PILING AND THE CUTTING OF LIMBS OF THE COMMERCIAL TIMBER WILL BE CONDUCTED IN ORDER TO PROMOTE THE GROWTH OF THE STANDING TIMBER. TREE LIMBS CUT AND BRUSH WILL BE PILED IN A PRESCRIBED MANNER FOR FUTURE DISPOSAL. THE THINNING WILL BE CONDUCTED WITH THE USE OF A CHAINSAW. EMPLOYEES ARE EXPECTED TO MAINTAIN THE SAW, SHARPEN THE CHAIN IN THE FIELD, MAINTAIN CORRECT FLUID LEVELS, AND PROPERLY BREAK THE SAW DOWN FOR CLEANING. THE COMBINED WEIGHT OF THE SAW, FUEL AND OIL IS APPROXIMATELY 30 LBS AND MUST BE CARRIED UP AND DOWN DIFFICULT TERRAIN RANGING FROM 40%-50% IN SLOPE. A SMALL AMOUNT OF SPRAYING WILL BE CONDUCTED IF REQUIRED. THE EMPLOYEE MUST DEMONSTRATE THAT HE CAN WORK IN A SAFE AND EFFECTIVE MANNER. ACCESS IS GAINED TO THESE REMOTE AREAS BY TRAVELING ON ABANDONED, UNNAMED OR NUMBERED, LOGGING ROADS THAT ARE MAINTAINED. Job Classification: 45-4011.00 - Forest and Conservation Workers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MUST BE ABLE TO PLANT THE FOLLOWING NUMBER OF TREES IN AN 8 HOUR DAY: BY END OF 1ST WEEK - 800, BY END OF 2ND WEEK - 900, BY END OF 3RD WEEK - 1000 TREES. Number of Hours Per Week: 40 Work Schedule (Start/End time): 7:00 A.M. - 3:30 P.M.</t>
  </si>
  <si>
    <t>H-400-26184-076313</t>
  </si>
  <si>
    <t>Maco Holdings LLC</t>
  </si>
  <si>
    <t>greenthumblawn2@hotmail.com</t>
  </si>
  <si>
    <t>Laundry and Dry-cleaning Workers</t>
  </si>
  <si>
    <t>Operate or tend washing or dry-cleaning machines to wash or dry-clean industrial or household articles, such as cloth garments, suede, leather, furs, blankets, draperies, linens, rugs, and carpets. Includes spotters and dyers of these articles. Job Classification: 51-6011.00 - Laundry and Dry-Cleaning Workers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Must be able to lift 30lbs when necessary. Employer may offer more than the stated work hours, depending on weather, business needs, and other conditions. Extreme heat, cold, rain, or drought may affect exact working hours. Number of Hours Per Week: 35 Work Schedule (Start/End time): 7:00 A.M. - 4:00 P.M.</t>
  </si>
  <si>
    <t>H-400-26184-076287</t>
  </si>
  <si>
    <t>Cook Iv</t>
  </si>
  <si>
    <t>Perform all methods of cookery, portion control and garnish for all dishes in accordance with the standards set by the executive chef; maintain high standards of quality food production to ensure guest satisfaction; inspect and clean food preparation areas, such as equipment and work service or serving areas to ensure safe and sanitary food-handling practices; prepare, cook and season food according to recipes; bake, roast, broil and steam meats, fish, vegetables, breads, desserts and other foods; ensure food is stored and cooked at the correct temperature by regulating temperature of ovens, broilers, grills and roasters; and, ensure freshness of food and ingredients by checking for quality, keeping track of old and new items and rotating stock. Job Classification: 35-2014.00 - Cooks, Restaurant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Must be able to lift, pull or push between 30 - 50 pounds of equipment or trash. Must be available to work all shifts, including weekends, evenings, overnights and holidays. All employees of the Hotel in this position are required to become members of the Labor Union (ILWU Local 142). Number of Hours Per Week: 40 Work Schedule (Start/End time): 6:00 A.M. - 2:00 P.M.</t>
  </si>
  <si>
    <t>H-400-26184-076281</t>
  </si>
  <si>
    <t>Northern Nurseries, Inc. - NH</t>
  </si>
  <si>
    <t>JLaPorte@robertbaker.com</t>
  </si>
  <si>
    <t>Laborers will pack and unpack trucks with nursery stock and materials; assist customers with loading plant materials and supplies; and perform general nursery work including standing up plant material, tagging orders, re-spacing and blocking plants, re-burlapping balled and burlap stock, covering and uncovering houses, mowing, string trimming, pruning, cutting ties, hand watering, irrigation, weeding, and placing signage. Laborers will maintain tools and equipment, clean and organize work areas including offices, bathrooms, outdoor displays, walkways, barns, and storage areas by sweeping, mopping, hosing, emptying trash, and removing damaged or unusable materials. Workers will not plant, cultivate, or harvest field crops intended for consumption. All work is performed at the employer’s nursery and retail yard, in connection with the commercial sale and distribution of nursery stock. Job Classification: 45-2092.00 - Farmworkers and Laborers, Crop, Nursery, and Greenhouse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Must lift/carry 50 lbs., when necessary. Saturday and Sunday work required, when necessary. Post-hire background check required of foreign and domestic workers. Must be able to work in a fast-paced environment with workload demands, follow directions, and perform tasks independently with minimal supervision. Must be willing to work outdoors in all weather conditions. Employer may offer more than the stated work hours depending on weather, business needs, and other conditions. Extreme heat, cold, rain, or drought may affect exact working hours. Number of Hours Per Week: 45 Work Schedule (Start/End time): 7:00 A.M. - 4:30 P.M.</t>
  </si>
  <si>
    <t>H-400-26184-076320</t>
  </si>
  <si>
    <t>Overland Forestry LLC</t>
  </si>
  <si>
    <t>overlandforestry26@gmail.com</t>
  </si>
  <si>
    <t>+15416212226</t>
  </si>
  <si>
    <t>Duties may include: Select, prepare, and plant tree seedlings in reforestation areas. Maintain and develop woodland areas by pre-commercial thinning, pruning, piling brush, pile covering, scalping, and trail construction. Fuels reduction for fire prevention via clearing, disposing of, and piling brush. Digging and construction of fuel breaks. Use hand tools such as dibble bars, hoedads, picks, rakes, and shovels. May operate vehicles and powered equipment such as work pickups, chainsaws, mulchers, pruning saws &amp; other related Forestry Worker activities as per SOC/OES 45-4011 (onetonline.org). Standard/Expected Schedule: Monday-Friday 6:30AM-3:00PM.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Optional, shared housing available at no cost to the worker. Job Classification: 45-4011.00 - Forest and Conservation Workers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Must be 18 due to travel. Must show proof of legal authorization to work in the United States. Drug/alcohol/tobacco free work zone. Must walk substantially (up to 15 miles/day), also stoop, bend while carrying a pack (up to 50lbs) thru rough terrain (non-trail). All applicants must be able, willing and qualified to perform work described and must be available for the entire period specified and work throughout all areas of intended employment. Based on Employer's discretion/cost: Worker may have random drug/alcohol testing during employment: positive test/refusal to abide = dismissal. Work is performed outdoors, exposed to weather; must be capable of doing physically strenuous labor for long hours, occasionally in extreme heat or cold. Variable weather conditions apply; hours may fluctuate (+/-), possible downtime and/or overtime. Number of Hours Per Week: 40 Work Schedule (Start/End time): 6:30 A.M. - 3:00 P.M.</t>
  </si>
  <si>
    <t>H-400-26184-076300</t>
  </si>
  <si>
    <t>Partner's Produce, Inc.</t>
  </si>
  <si>
    <t>partnersproduce@srvinet.com</t>
  </si>
  <si>
    <t>+12086421200</t>
  </si>
  <si>
    <t>Line Worker</t>
  </si>
  <si>
    <t>Work in an onion processing facility. Duties to include grade, sort, and pack onions into bags/boxes by hand. Additional duties to include hand topping, tailing, and peeling the onion. Must keep a clean and orderly workstation and adhere to food and safety requirements. Cleaning duties may include the cleaning and sanitation of the work areas. Job Classification: 53-7064.00 - Packers and Packagers, Hand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Saturday and Sunday work required, when necessary. Post-hire random, post-accident and upon suspicion of use drug testing required of foreign and domestic workers. Must be able to stand for long periods of time. Must have strong odor tolerance and be able to handle a wet and cold environment. Must be available to work any/all 8 hour shifts. (7AM-3:30PM; 3:30PM-11PM) Employer may offer more than the stated work hours depending on weather, business needs, and other conditions. Extreme heat, cold, rain, or drought may affect exact working hours. Number of Hours Per Week: 40 Work Schedule (Start/End time): 7:00 A.M. - 3:30 P.M.</t>
  </si>
  <si>
    <t>H-400-26184-076292</t>
  </si>
  <si>
    <t>Pennington Seed, Inc. - MO</t>
  </si>
  <si>
    <t>Production Line Associate</t>
  </si>
  <si>
    <t>Workers typically perform a variety of tasks in non-climate-controlled production facility packing and moving grass seed/fertilizer materials. Duties may include any of the following: gathering and preparing mixes by pouring grass seed into hopper, manually filling bags with mixed grass seed or fertilizer, sealing bags, manually moving stock, and stacking bags onto pallets or packing into boxes. Observe applied labels and date on each unit produced to ensure traceability for quality. Maintain clean work area and equipment. Exposure to extreme temperatures, dust and chemicals may be present in work environment. Entry level; requires supervision. Job Classification: 53-7064.00 - Packers and Packagers, Hand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Must lift/carry 55 lbs., when necessary. Saturday work required, when necessary. Employer-paid drug testing required of foreign and domestic workers prior to commencing work and post-hire at random, upon suspicion of use, and post-accident. Post-hire background check and employment eligibility (e-Verify) check required of foreign and domestic workers. Mandatory safety training for all new hires foreign and domestic. We are an equal opportunity employer, and all qualified applicants will receive consideration for employment without regard to race, color, religion, sex, national origin, disability status, protected veteran status, sexual orientation, gender identity, or any other characteristic protected by law. Employer may offer more than the stated work hours depending on weather, business needs, and other conditions. Number of Hours Per Week: 40 Work Schedule (Start/End time): 8:00 A.M. - 4:30 P.M.</t>
  </si>
  <si>
    <t>H-400-26184-076297</t>
  </si>
  <si>
    <t>RAMIREZ REFORESTATION, INC</t>
  </si>
  <si>
    <t>ramirezref@localaccess.com</t>
  </si>
  <si>
    <t>+13602691769</t>
  </si>
  <si>
    <t>PERFORMING MANUAL LABOR THAT WILL DEVELOP &amp; PROTECT FORESTED AREAS DESIGNATED FOR HARVESTING COMMERCIAL TIMBER IN THE FUTURE. COMMERCIAL TREE PLANTING WILL BE CONDUCTED ON STEEP TERRAIN; 40% - 50% IN SLOPE AND DONE WITH THE USE OF A PLANTING SHOVEL. THE EMPLOYEE WILL CLEAR A SPACE ON THE GROUND, DIG A HOLE, CORRECTLY PLACE THE SEEDLING TREE IN THE HOLE, ENSURING THE SEEDLING DOES NOT HAVE A "J" ROOT, COVER THE ROOTS WITH THE SOIL, AND THEN TAMP THE SOIL AROUND THE NEWLY PLANTED SEEDLING. THE EMPLOYEE WILL BE REQUIRED TO CARRY A PLANTING BAG WHICH WILL CONTAIN THE SEEDLINGS, COMBINED WEIGHT OF 50 - 60 POUNDS, DEPENDING ON THE SIZE OF THE SEEDLINGS, UP AND DOWN THE STEEP TERRAIN IN REMOTE MOUNTAINOUS AREAS. ACCESS IS GAINED TO THESE REMOTE AREAS BY TRAVELING ON ABANDONED, UNNAMED OR NUMBERED, LOGGING ROADS THAT ARE NOT MAINTAINED. CUTTING OF UNDESIRABLE &amp; DISEASED TREES. BRUSH CUTTING/PILING AND THE CUTTING OF LIMBS OF THE COMMERCIAL TIMBER WILL BE CONDUCTED IN ORDER TO ENCOURAGE THE GROWTH OF THE TIMBER. WORK WILL BE CONDUCTED IN AREAS THAT WERE LOGGED OFF 12-15 YEARS OR SO AGO AND THE UNWANTED GROWTH WILL BE ELIMINATED IN ORDER FOR THE STANDING TIMBER TO BE ABLE TO MATURE AT A GREATER RATE. WHEN REQUIRED, SELECTED LIMBS OF THE REMAINING TREES WILL BE CUT. ALL OF THE CUTTING, TREES AND BRUSH, WILL BE PERFORMED WITH THE USE OF A CHAINSAW. EMPLOYEES ARE EXPECTED TO MAINTAIN THE SAW, SHARPEN THE CHAIN IN THE FIELD, MAINTAIN THE CORRECT FLUID LEVELS, AND PROPERLY BREAK THE SAW DOWN FOR CLEANING. THE COMBINED WEIGHT OF THE SAW, FUEL, AND OIL IS APPROXIMATELY 30 POUNDS AND MUST BE CARRIED UP AND DOWN DIFFICULT TERRAIN RANGING FROM 40% - 50% IN SLOPE. THE EMPLOYEE MUST DEMONSTRATE THAT HE CAN WORK IN A SAFE AND EFFECTIVE MANNER Job Classification: 45-4011.00 - Forest and Conservation Workers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MUST BE ABLE TO PLANT THE FOLLOWING NUMBER OF TREES IN AN 8 HOUR DAY: BY END OF 1ST WEEK - 800, BY END OF 2ND WEEK - 900, BY END OF 3RD WEEK - 1000 TREES ON 40% - 50% SLOPE Number of Hours Per Week: 40 Work Schedule (Start/End time): 7:00 A.M. - 3:30 P.M.</t>
  </si>
  <si>
    <t>H-400-26184-076309</t>
  </si>
  <si>
    <t>RWR Nest, LLC</t>
  </si>
  <si>
    <t>rick@eaglesnestyork.com</t>
  </si>
  <si>
    <t>***RFI Response*** Line Cooks perform a variety of tasks associated with line cook services in fine dining establishment. Prepare food accurately and efficiently from menu in coordination with all other cooks and management to exact specifications of the restaurant. Working from a daily prep list: prep vegetables, fruits and stocks/soups/sauces, appetizers, hors d’oeuvre, desserts from scratch; portion meat and seafood/fish; read and prepare orders in timely manner working grill, saute, and cold food lines. Set up and stock stations with necessary supplies. Set up food stations for catering and assist with food preparation and traying and plating. Clean station equipment, sanitize all surfaces, put away all bowls, pots, pans and utensils used in food preparation, and store leftover food as appropriate. Perform food safety and sanitation procedures including maintaining all health and safety guidelines. Assist in removing trash from kitchen to proper outdoor receptacles. Assist with cleaning kitchen floor areas and refrigeration interiors. Assist with receiving and storing food and beverage deliveries. Rotate products to ensure safe and fresh Ingredients. May also assist with dining room when needed, to include: cleaning tables; removing dirty dishes; replacing soiled table linens; setting tables; replenishing supply of clean linens, silverware, glassware, and dishes. ***Original Duties*** Cook and prepare a variety of food according to production guidelines and standardized recipes. Safely utilize a variety of utensils and equipment to prepare and cook all types of foods. Arrange, garnish, and portion food according to established guidelines. Properly store food by adhering to food safety policies and procedures. Cleans and sanitizes work areas, equipment, and utensils. Job Classification: 35-2014.00 - Cooks, Restaurant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Must lift/carry 50 lbs., when necessary. Standard workweek is Wednesday through Sunday. Post-hire upon suspicion of use and post-accident drug testing required of foreign and domestic workers. Employer may offer more than the stated work hours depending on weather, business needs, and other conditions. Number of Hours Per Week: 37 Work Schedule (Start/End time): 2:00 P.M. - 10:00 P.M.</t>
  </si>
  <si>
    <t>H-400-26184-076315</t>
  </si>
  <si>
    <t>Reforestation Solutions, Inc.</t>
  </si>
  <si>
    <t>05/06/2027</t>
  </si>
  <si>
    <t>blakeh@reforestationsolutions.com</t>
  </si>
  <si>
    <t>+14044381823</t>
  </si>
  <si>
    <t>Duties may include: Hand plant tree seedlings. Maintain surrounding vegetation by trimming, clearing, pruning, thinning and removing debris. Spray or inject herbicides to reduce competing vegetation. Identify diseased or undesirable trees and remove them, using power saws or hand saws. Select of cut trees according to markings or sizes, types, or grade &amp; other related Forestry Worker activities as per SOC/OES 45-4011 (onetonline.org). Standard/Expected Schedule: Monday-Friday 7:30AM-4:30PM.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Optional, shared housing available at no cost to the worker. Job Classification: 45-4011.00 - Forest and Conservation Workers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Must be 18 due to travel. Must show proof of legal authorization to work in the United States. Drug/alcohol/tobacco free work zone. Must walk substantially (up to 15 miles/day), also stoop, bend while carrying a pack (up to 50lbs) thru rough terrain (non-trail). All applicants must be able, willing and qualified to perform work described and must be available for the entire period specified and work throughout all areas of intended employment. Work is performed outdoors, exposed to weather; must be capable of doing physically strenuous labor for long hours, occasionally in extreme heat or cold. Variable weather conditions apply; hours may fluctuate (+/-), possible downtime and/or overtime. Number of Hours Per Week: 40 Work Schedule (Start/End time): 7:30 A.M. - 4:30 P.M.</t>
  </si>
  <si>
    <t>H-400-26184-076276</t>
  </si>
  <si>
    <t>SLS Fisheries INC</t>
  </si>
  <si>
    <t>18/05/2027</t>
  </si>
  <si>
    <t>pjshrimp@yahoo.com</t>
  </si>
  <si>
    <t>+13614638059</t>
  </si>
  <si>
    <t>Deckhands</t>
  </si>
  <si>
    <t>Attach &amp; detach apparatus devices to cable boom &amp; hoists, lines &amp; nets. Load and unload equipment &amp; supplies, such as ropes, nets, oyster sacks, trash and catch, off the boat, at the beginning/end of each work day. Haul in &amp; process/separate catch. Return specified items caught back in sea. Shuck oysters. Store catch on ice. Wash deck &amp; Equipment. May Lift to 70lbs Job Classification: 45-3031.00 - Fishing and Hunting Workers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No overtime promised . Hours vary due to weather &amp; unexpected weather &amp; mechanical repairs. Number of Hours Per Week: 35 Work Schedule (Start/End time): 6:00 A.M. - 1:00 P.M.</t>
  </si>
  <si>
    <t>H-400-26184-076304</t>
  </si>
  <si>
    <t>Shepherds View LLC</t>
  </si>
  <si>
    <t>sview0614@gmail.com</t>
  </si>
  <si>
    <t>+17176830614</t>
  </si>
  <si>
    <t>Duties may include: Care for established lawns by mowing, trimming, edging, mulching, aerating, weeding, removing thatch, litter, leaves and debris. Follow planned landscaping designs for planting trees, shrubs, foliage, flowers, sod, or seeding. Prune, trim, and water trees, shrubs, foliage, and flowers. Maintain residential and commercial sprinkler systems. Provide proper upkeep to flower beds, sidewalks, driveways, and parking lots. Use hand tools, such as shovels, rakes, wheelbarrows, pruning shears, and pruning saws. May operate powered equipment, such as mowers, trimmers, edgers, and leaf blowers &amp; other related Crew Member activities as per SOC/OES 37-3011 (onetonline.org). Standard/Expected Schedule: Monday-Friday 7:00AM-3:30PM.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Job Classification: 37-3011.00 - Landscaping and Groundskeeping Workers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Must show proof of legal authorization to work in the United States. Drug/alcohol/tobacco free work zone. Perform physical activities: such as lift, balance, walk, stoop, handle, position, move, manipulate materials use static strength to exert maximum muscle force to lift, push, pull, carry objects up to 40lbs. All applicants must be able, willing and qualified to perform work described and must be available for the entire period specified and work throughout all areas of intended employment. Work is performed outdoors, exposed to weather; must be capable of doing physically strenuous labor for long hours, occasionally in extreme heat or cold. Variable weather conditions apply; hours may fluctuate (+/-), possible downtime and/or overtime. Number of Hours Per Week: 40 Work Schedule (Start/End time): 7:00 A.M. - 3:30 P.M.</t>
  </si>
  <si>
    <t>H-400-26184-076298</t>
  </si>
  <si>
    <t>Snake River Meat Processing LLC</t>
  </si>
  <si>
    <t>Hufman Cooper</t>
  </si>
  <si>
    <t>WYOMING</t>
  </si>
  <si>
    <t>snakeriverpro@gmail.com</t>
  </si>
  <si>
    <t>Meat Processor</t>
  </si>
  <si>
    <t>Employees will use hands or knives to perform routine cutting, trimming, and packing of meat. Use mechanical hoists for helping in the skinning of animals. Load and lift 30-40 pound tubs of meat. Job Classification: 51-3023.00 - Slaughterers and Meat Packers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Requires three months of meat processing experience. Must lift/carry 50 lbs., when necessary. Saturday and Sunday work required, when necessary. Employer may offer more than the stated work hours depending on weather, business needs, and other conditions. Extreme heat, cold, rain, or drought may affect exact working hours. Number of Hours Per Week: 50 Work Schedule (Start/End time): 7:00 A.M. - 5:30 P.M.</t>
  </si>
  <si>
    <t>H-400-26184-076280</t>
  </si>
  <si>
    <t>Southeastern Landscape Concepts LLC</t>
  </si>
  <si>
    <t>southeasternlandscapeco@gmail.com</t>
  </si>
  <si>
    <t>+18433238918</t>
  </si>
  <si>
    <t>Duties may include: Under supervision of supervisor/crew leaders follow outlined landscaping designs to determine where to lay sod, sow grass, or plant flowers or foliage. Haul and/or spread topsoil or straw over seeded soil to hold in place. Plant seeds, bulbs, foliage, flowering plants, grass, ground covers, trees, or shrubs, and apply mulch for protection, using gardening tools such as shovels, rakes, or hand tools. Install rock gardens, drainage systems, irrigation systems, and planters. Attach wires from planted trees to support stakes. Trim or pick flowers, clean and cultivate lawns, gardens, and/or flower beds using pruning saws, saws, hedge or brush trimmers, or axes. Rake, mulch, and compost leaves &amp; other related Landscape Laborer activities as per SOC/OES 37-3011 (onetonline.org). Standard/Expected Schedule: Monday-Friday 7:00AM-3:30PM.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Job Classification: 37-3011.00 - Landscaping and Groundskeeping Workers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Must be 18 due to state labor laws. Must show proof of legal authorization to work in the United States. Drug/alcohol/tobacco free work zone. Perform physical activities: such as lift, balance, walk, stoop, handle, position, move, manipulate materials use static strength to exert maximum muscle force to lift, push, pull, carry objects up to 50lbs. All applicants must be able, willing and qualified to perform work described and must be available for the entire period specified and work throughout all areas of intended employment. Work is performed outdoors, exposed to weather; must be capable of doing physically strenuous labor for long hours, occasionally in extreme heat or cold. Variable weather conditions apply; hours may fluctuate (+/-), possible downtime and/or overtime. Number of Hours Per Week: 40 Work Schedule (Start/End time): 7:00 A.M. - 3:30 P.M.</t>
  </si>
  <si>
    <t>H-400-26184-076279</t>
  </si>
  <si>
    <t>Duties may include: Laying mulch, pinestraw, spreading pinestraw, trenching and tucking bedlines, blowing bedlines, blowing, tucking finished product. Unloading and loading bales &amp; mulch &amp; other related Landscape Worker activities as per SOC/OES 37-3011 (onetonline.org). Standard/Expected Schedule: Monday-Friday 8:00AM-5:00PM. Offering 35+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Piece Rate May Apply: $.75 / roll for raking, $.20 / roll for baling, $.30 / roll for loading, $.80 per bale installed, $.20 per bale trenched, $7.50 per mulch yard installed, $2.00 per mulch yard trenched. Will never make less than Prevailing Wage/Federal/state/local minimum wage.. Job Classification: 37-3011.00 - Landscaping and Groundskeeping Workers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Must show proof of legal authorization to work in the United States. Drug/alcohol/tobacco free work zone. Perform physical activities: such as lift, balance, walk, stoop, handle, position, move, manipulate materials use static strength to exert maximum muscle force to lift, push, pull, carry objects up to 45lbs. All applicants must be able, willing and qualified to perform work described and must be available for the entire period specified and work throughout all areas of intended employment.Based on Employer's discretion/cost: Worker may have random drug/alcohol testing during employment: positive test/refusal to abide = dismissal. Work is performed outdoors, exposed to weather; must be capable of doing physically strenuous labor for long hours, occasionally in extreme heat or cold. Variable weather conditions apply; hours may fluctuate (+/-), possible downtime and/or overtime. Number of Hours Per Week: 40 Work Schedule (Start/End time): 8:00 A.M. - 5:00 P.M.</t>
  </si>
  <si>
    <t>H-400-26184-076301</t>
  </si>
  <si>
    <t>Duties may include: Laying mulch, pinestraw, spreading pinestraw, trenching and tucking bedlines, blowing bedlines, blowing, tucking finished product. Unloading and loading bales &amp; mulch &amp; other related Landscape Worker activities as per SOC/OES 37-3011 (onetonline.org). Standard/Expected Schedule: Monday-Friday 8:00AM-5:00PM. Offering 35+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Piece Rate May Apply: $.80 per bale installed, $.20 per bale trenched, $7.50 per mulch yard installed, $2.00 per mulch yard trenched. Will never make less than Prevailing Wage/Federal/state/local minimum wage.. Job Classification: 37-3011.00 - Landscaping and Groundskeeping Workers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Must show proof of legal authorization to work in the United States. Drug/alcohol/tobacco free work zone. Perform physical activities such as: lift, balance, walk, stoop, handle, position, move, manipulate materials use static strength to exert max muscle force to lift, push, pull, carry objects up to 75lbs (possible 2-person). All applicants must be able, willing and qualified to perform work described and must be available for the entire period specified and work throughout all areas of intended employment.Based on Employer's discretion/cost: Worker may have random drug/alcohol testing during employment: positive test/refusal to abide = dismissal. Work is performed outdoors, exposed to weather; must be capable of doing physically strenuous labor for long hours, occasionally in extreme heat or cold. Variable weather conditions apply; hours may fluctuate (+/-), possible downtime and/or overtime. Number of Hours Per Week: 40 Work Schedule (Start/End time): 8:00 A.M. - 5:00 P.M.</t>
  </si>
  <si>
    <t>H-400-26184-076291</t>
  </si>
  <si>
    <t>H-400-26184-076319</t>
  </si>
  <si>
    <t>Traditional Landscaping &amp; Design, LLC</t>
  </si>
  <si>
    <t>traditionalandscaping@gmail.com</t>
  </si>
  <si>
    <t>+15188603596</t>
  </si>
  <si>
    <t>Segmental Paver</t>
  </si>
  <si>
    <t>Workers will lay out, cut, and place segmental paving units for outdoor spaces. Includes installers of bedding and restraining materials for the paving units. As included in ONET Classification 47-4091.00, workers will use hand and power tools/equip to include splitter and masonry saw. Clean work sites of debris; load/unload equipment from trucks. Job Classification: 47-4091.00 - Segmental Pavers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Requires three months of segmental paving experience. Must lift/carry 50 lbs., when necessary. Saturday and Sunday work required, when necessary. Post-hire upon suspicion of use and post-accident drug testing required of foreign and domestic workers. Employer may offer more than the stated work hours depending on weather, business needs, and other conditions. Extreme heat, cold, rain, or drought may affect exact working hours. Number of Hours Per Week: 35 Work Schedule (Start/End time): 8:00 A.M. - 3:30 P.M.</t>
  </si>
  <si>
    <t>H-400-26184-076317</t>
  </si>
  <si>
    <t>Unload sugar beets from a truck trailer. There is no use of tools or lifting required. The truck is unloaded with a push button on the side of the trailer that the Laborer pushes to activate the opening of the trailer gates, so the beets fall out the bottom of the trailer into the hopper. The Laborer slowly walks alongside the trailer as the beets fall into the hopper. Occasionally, beets will not make it from the trailer into the hopper. The Laborer will sweep the beets into the hopper with a shovel. Job Classification: 53-7199.00 - Material Moving Workers, All Other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Must pass standard company-required background check and drug testing. Number of Hours Per Week: 48 Work Schedule (Start/End time): 12:00 A.M. - 12:00 P.M.</t>
  </si>
  <si>
    <t>H-400-26184-076275</t>
  </si>
  <si>
    <t>Skip to main content</t>
  </si>
  <si>
    <t>H-400-26184-076277</t>
  </si>
  <si>
    <t>02/04/2027</t>
  </si>
  <si>
    <t>H-400-26184-076316</t>
  </si>
  <si>
    <t>Trico Peanut, LLC.</t>
  </si>
  <si>
    <t>h2btrico@gmail.com</t>
  </si>
  <si>
    <t>Day Worker</t>
  </si>
  <si>
    <t>Perform manual labor duties in a peanut packing facility related to peanut warehouse operations. Workers will load, unload, move, and handle peanuts and related materials. Duties include unloading peanut trailers, loading and moving product within warehouse and storage areas, receiving graded peanuts into storage, bagging and stacking peanuts, and organizing and moving stored peanut product and materials within warehouse areas. Workers will assist with rolling tarps from trailers by hand, lifting and securing trailer gate latches for peanut offloading operations, cleaning trailers using blowers and brooms, and maintaining clean and safe work and storage areas. Workers may assist with basic trailer upkeep and operate mule trucks/yard tractors used to move product within the worksite, in a safe manner as instructed. Workers will not plant, cultivate, or harvest field crops intended for consumption. Job Classification: 53-7062.00 - Laborers and Freight, Stock, and Material Movers, Hand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Must lift/carry 50 lbs., when necessary. Saturday and Sunday work required, when necessary. The position requires physical labor, including lifting, repetitive movement, working indoors and outdoors, and extended hours during peak harvest season. Workers that are able to obtain a valid U.S. driver's license may drive company vehicles (driving is not a requirement of all workers in the position). Employer may offer more than the stated work hours depending on weather, business needs, and other conditions. Extreme heat, cold, rain, or drought may affect exact working hours. Number of Hours Per Week: 40 Work Schedule (Start/End time): 8:00 A.M. - 5:00 P.M.</t>
  </si>
  <si>
    <t>H-400-26184-076299</t>
  </si>
  <si>
    <t>Upward Hospitality LLC</t>
  </si>
  <si>
    <t>UMGH2B@gmail.com</t>
  </si>
  <si>
    <t>+12079104225</t>
  </si>
  <si>
    <t>Perform a variety of cleaning activities such as sweeping, mopping, dusting and polishing, making beds, replenishing linens, and vacuuming. Ensure all rooms are cared for and inspected according to standards. Notify superiors on any damages, deficits, or disturbances. Deal with reasonable complaints/requests with professionalism and patience. Check stocking levels of all housekeeping-related consumables and replace when appropriate. Adhere strictly to rules regarding health and safety and be aware of any company-related practices Job Classification: 37-2012.00 - Maids and Housekeeping Cleaners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Must lift/carry 40 pounds, when necessary. Saturday and Sunday work required, when necessary. Number of Hours Per Week: 35 Work Schedule (Start/End time): 8:00 A.M. - 6:00 P.M.</t>
  </si>
  <si>
    <t>H-400-26184-076284</t>
  </si>
  <si>
    <t>Waiter/waitress</t>
  </si>
  <si>
    <t>Waiters/Waitresses will greet members and guests, present menus, answer questions about menu items, make recommendations upon request, take food and beverage orders, record orders for transmittal to kitchen staff, prepare checks that itemize meal costs and sales taxes, collect payments, check patrons' identification to ensure they meet minimum age requirements for the consumption of alcoholic beverages, serve food and beverages to patrons, prepare or serve specialty dishes at tables as required, prepare hot, cold, and mixed drinks, chill bottles of wine, refill beverages, check with members and guests to ensure they are enjoying their meals and take action to correct problems if needed, clear and wipe down tables and counters after patrons have finished dining, and perform other related duties. Waiters/Waitresses support all dining outlets, banquets, golf events, member functions, outdoor events, halfway house operations, golf course support, and special seasonal events as assigned. Duties include delivering food accurately and promptly using seat numbers and table position standards; clearing plates, glassware, and service items using proper service etiquette; resetting and preparing tables to club standards; assisting servers and bartenders with water, coffee, bread, and beverage service; preparing alcoholic and non-alcoholic beverages; assisting with beverage inventory management; maintaining service stations with proper stock levels throughout the shift; stocking and replenishing supplies; transporting food and beverage items to designated service locations; communicating with the kitchen and service team regarding ticket timing and guest needs; following side work and opening and closing checklists; following all food safety, sanitation, workplace safety, safety, and code of conduct policies; supporting teammates beyond assigned stations when business demands require; and upholding club appearance standards, including uniform, grooming, professionalism, and treating members, guests, and teammates with warmth and respect at all times. Waiters/Waitresses also assist with banquet room setup and breakdown by arranging and resetting banquet and event spaces, including placing tables, chairs, linens, silverware, glassware, centerpieces, and décor, restoring event spaces following completion of food service, turning over rooms between events, folding napkins, bundling silverware, and setting tables. Workers utilize standard food service tools, equipment, and materials, including point-of-sale (POS) systems, trays, order pads, banquet tables, chairs, linens, serving stations, service carts, portable serving stations, beverage dispensers, coolers, glassware, silverware, china, serving utensils, centerpieces, and cleaning supplies. Must be able to read and write in English. Job Classification: 35-3011.00 - Bartenders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6 Special Requirements: Must pass pre-employment drug test in accordance with company hiring policy in effect at time of hire. Must be able to read, write and communicate effectively to support work tasks. Number of Hours Per Week: 35 Work Schedule (Start/End time): 8:30 A.M. - 9:00 P.M.</t>
  </si>
  <si>
    <t>H-400-26184-076296</t>
  </si>
  <si>
    <t>Willow River Company LLC</t>
  </si>
  <si>
    <t>jimshimon@willowrivercompany.com</t>
  </si>
  <si>
    <t>+17153863196</t>
  </si>
  <si>
    <t>Workers will perform a variety of landscaping and groundskeeping duties to maintain and enhance outdoor areas. They will mow, edge, and maintain lawns and turf using mowers, trimmers, and edging tools, and perform turf care services including aeration, seeding, fertilization, dethatching, and weed control. Workers will install and maintain landscape features such as sod, plants, shrubs, mulch, and decorative beds, as well as prune trees, shrubs, and hedges to ensure proper growth and appearance. Duties also include removing weeds, debris, and litter from landscaped areas. Workers will operate and maintain landscaping equipment such as mowers, blowers, hedge trimmers, weed whackers, and will load and unload tools, materials, and equipment at each job site. Job Classification: 37-3011.00 - Landscaping and Groundskeeping Workers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Must lift/carry 50 lbs., when necessary. Saturday and Sunday work required, when necessary. Employer may offer more than the stated work hours depending on weather, business needs, and other conditions. Extreme heat, cold, rain, or drought may affect exact working hours. Number of Hours Per Week: 40 Work Schedule (Start/End time): 8:00 A.M. - 4:30 P.M.</t>
  </si>
  <si>
    <t>H-400-26184-076285</t>
  </si>
  <si>
    <t>Yellowstone Landscape - Southeast, LLC_Loudon</t>
  </si>
  <si>
    <t>H-400-26184-076283</t>
  </si>
  <si>
    <t>Yellowstone Landscape - Southeast, LLC_Naples</t>
  </si>
  <si>
    <t>H-400-26184-076310</t>
  </si>
  <si>
    <t>Zavala Forestry Services, LLC</t>
  </si>
  <si>
    <t>jjjzavala18@gmail.com</t>
  </si>
  <si>
    <t>+19032367005</t>
  </si>
  <si>
    <t>Duties may include: Develop &amp; reforest timberlands. Plant trees/seedlings: raise, sort, lift, &amp; transport seedlings/trees to then select optimum planting location to meet shade/soil requirements, apply mulch/netting/tubing as necessary. Mark forestry product for identification/boundary. Site preparation/reduce competing vegetation via tree trimming, thinning, clearing, and herbicide/fertilization application &amp; other related Forestry Worker activities as per SOC/OES 45-4011 (onetonline.org). Standard/Expected Schedule: Monday-Friday 8:00AM-5:00PM.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Piece rate may apply: worker will never make less than Prevailing Wage or Federal/State/Local minimum wage. Optional, shared housing available at no cost to the worker. Job Classification: 45-4011.00 - Forest and Conservation Workers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Must be 18 due to travel. Must show proof of legal authorization to work in the United States. Drug/alcohol/tobacco free work zone. Must walk substantially (up to 15 miles/day), also stoop, bend while carrying a pack (up to 50lbs) thru rough terrain (non-trail). All applicants must be able, willing and qualified to perform work described and must be available for the entire period specified and work throughout all areas of intended employment. Work is performed outdoors, exposed to weather; must be capable of doing physically strenuous labor for long hours, occasionally in extreme heat or cold. Variable weather conditions apply; hours may fluctuate (+/-), possible downtime and/or overtime. Number of Hours Per Week: 40 Work Schedule (Start/End time): 8:00 A.M. - 5:00 P.M.</t>
  </si>
  <si>
    <t>H-400-26184-076341</t>
  </si>
  <si>
    <t>All Star Concrete LLC</t>
  </si>
  <si>
    <t>alex@allstarconcreteiowa.com</t>
  </si>
  <si>
    <t>+15152246394</t>
  </si>
  <si>
    <t>***RFI response*** Place concrete” refers solely to manual labor associated with moving and positioning concrete under supervision. Construction Laborers: ● Use a sledgehammer to pound stakes or pins for concrete forms; ● Hold and guide the pump hose while concrete is discharged; ● Move and spread concrete using concrete rakes, shovels, and come-along tools; ● Consolidate concrete using hand-held or walk-behind vibrators; ● Use vibratory hand screeds or screed boards to help bring concrete to rough grade; ● Clean tools and stage finishing materials for skilled finishers. Workers do not perform any skilled concrete finishing, such as floating, troweling, edging, or applying surface treatments. These tasks are performed exclusively by separately qualified concrete finishers, not by Construction Laborers. ***Original*** Perform tasks involving manual labor at concrete construction site. Prepare the site for placing of concrete by loading and unloading materials, digging and leveling the earth, placing strengthening materials in concrete, and lifting, carrying and setting concrete forms. Place concrete. Clean up waste materials. Clean up construction sites. Job Classification: 47-2061.00 - Construction Laborers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Must be able to lift and carry 75 lbs 75 yds. Must be able to handle temperature extremes. 3 months concrete construction experience required. Some weekend work. Number of Hours Per Week: 40 Work Schedule (Start/End time): 7:00 A.M. - 5:00 P.M.</t>
  </si>
  <si>
    <t>H-400-26184-076325</t>
  </si>
  <si>
    <t>Aloma Land &amp; Forest LLC</t>
  </si>
  <si>
    <t>aloma20001@gmail.com</t>
  </si>
  <si>
    <t>+12084908434</t>
  </si>
  <si>
    <t>Duties may include: Hand Plant Seedlings with shovels and hoe dads, clear brush and debris by hand and mechanical means, apply herbicides w/ 5-gallon backpack sprayers, use chain saws to clear brush and vegetation from various sites &amp; other related Forestry Worker activities as per SOC/OES 45-4011 (onetonline.org). Standard/Expected Schedule: Monday-Friday 7:00AM-3:30PM.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Piece rate may apply: worker will never make less than Prevailing Wage or Federal/State/Local minimum wage. Optional, shared housing available at no cost to the worker. Job Classification: 45-4011.00 - Forest and Conservation Workers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2 Special Requirements: Must be 18 due to travel. Must show proof of legal authorization to work in the United States. Drug/alcohol/tobacco free work zone. Must walk substantially (up to 15 miles/day), also stoop, bend while carrying a pack (up to 55lbs) thru rough terrain (non-trail). All applicants must be able, willing and qualified to perform work described and must be available for the entire period specified and work throughout all areas of intended employment. Possible background check post hire at employer's expense.Work is performed outdoors, exposed to weather; must be capable of doing physically strenuous labor for long hours, occasionally in extreme heat or cold. Variable weather conditions apply; hours may fluctuate (+/-), possible downtime and/or overtime. Number of Hours Per Week: 40 Work Schedule (Start/End time): 7:00 A.M. - 3:30 P.M.</t>
  </si>
  <si>
    <t>H-400-26184-076333</t>
  </si>
  <si>
    <t>Amigo Forestry Service, Inc.</t>
  </si>
  <si>
    <t>amigoforestry@suddenlink.net</t>
  </si>
  <si>
    <t>Manual itinerant work to plant tree seedlings by hand and/or machine. Perform pre-commercial thinning, apply fertilizers and repellents, and operate machinery to reforest and maintain timberlands. Plant bare-root or containerized trees in a specified pattern using a mattock, dibble bar, hoedad or shovel. Dig holes at predetermined intervals and insert seedling. Tamp soil around plant with foot and planting tool. Select optimum planting location to meet spacing, soil, and shade requirements. Bare soil. Use a brush blade, or other hand held equipment including chemical applicators to spray or inject vegetation with premixed insecticides to kill insects or to protect against disease or with premixed herbicides to reduce competing vegetation. Apply repellent or fertilizer to seedlings. Minor activities include the following: Nursery activities, select or cut trees according to markings or sizes, types, or grades, thin and space trees using power saws; mark and maintain boundary lines; and sort tree seedlings, discarding substandard seedlings, according to standard charts or verbal instructions, perform utility right of way spraying. Confer with other workers to discuss issues such as safety, cutting heights or work needs. These jobs involve propagating, protecting, and managing forest tracts. Workers who apply for and obtain a FLC or FLCE certificate of registration with driving authorized by the USDOL Wage and Hour Division during the employment period may transport workers, count and check and may be offered additional work hours. Upon suspicion drug testing is conducted post-hire at the employer's expense and is not part of the interview process. Drug testing will be carried out equally between U.S. workers and H-2B workers at employer's expense. Employer may pay a piece rate of $20.00 - $100.00 per 1000 trees hand planted correctly or $10.00 - $100.00 per 1000 trees mechanically planted correctly, or the NPWC issued prevailing wage for the area of employment, whichever is greater. Raises and/or bonuses may be offered at employer's discretion, based on individual factors such as performance, skill, and tenure. Job Classification: 45-4011.00 - Forest and Conservation Workers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No education or experience required. Must be 18 years or older. Requires physical stamina. Extensive walking over rough terrain. Work is outdoors in extreme temperatures and adverse weather. Must lift and carry 50 lbs. Work schedule and locations dependent on weather conditions. Must pass drug screenings. Overnight travel required. Production standard of 2000 tree seedlings hand planted correctly per eight hour day after one week of on the job training. Production standard of 8,000 seedlings mechanically planted per 8 hr day after one week of on the job training. Number of Hours Per Week: 40 Work Schedule (Start/End time): 8:00 A.M. - 5:00 P.M.</t>
  </si>
  <si>
    <t>H-400-26184-076370</t>
  </si>
  <si>
    <t>BECKWITH FORESTRY SERVICE</t>
  </si>
  <si>
    <t>rbeckwith8401@gmail.com</t>
  </si>
  <si>
    <t>+16623108401</t>
  </si>
  <si>
    <t>All applicants must be able, willing, qualified perform work described in this JO/Ad &amp; be available entire period specified. Under Supervision, perform manual labor develop maintain, protect areas such as forests, forested areas, woodlands, rangelands various activities such as dig holes w/plant tool, plant tree seedlings no J or U root, fill in hole w/dirt secure seedling. Combat insects, pests, diseases harmful to seedling. May walk long distances through densely wooded areas &amp; remote areas; must perform extensive walking (approx. 15 miles/day), stoop, &amp; bend while carry 50lb pack &amp; tools through variable weather, terrain conditions, other forestry activities as per SOC/OES 45-4011 Daily Hrs. M-F 8AM-4PM, 35+ hrs weekly OT is available. On the job training provided. Daily transport provided from designated location to job site at no cost to worker. Employer provides tools/equipment at no cost to worker. No minimal experience or education required. Employer will provide optional housing at no cost to the worker. Job Classification: 45-4011.00 - Forest and Conservation Workers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Drug, alcohol, tobacco-free work zone. Must show proof of legal status to work in U.S. Must be 18+ due to travel. Number of Hours Per Week: 35 Work Schedule (Start/End time): 8:00 A.M. - 4:00 P.M.</t>
  </si>
  <si>
    <t>H-400-26184-076339</t>
  </si>
  <si>
    <t>Birdsong Corporation - AL</t>
  </si>
  <si>
    <t>jpeacock@birdsongpeanuts.com</t>
  </si>
  <si>
    <t>Manually clean, dry and store peanuts. Shovel peanuts. Sweep up spilled peanuts. Observe the continuous movement of peanuts as they pass through different stages of the cleaning process to ensure steady, uninterrupted operation so that malfunctions can be detected. As part of the production process, dump peanuts into trailers by pressing a button which electronically dumps the peanuts into the wagons. Hook up peanut dryer to trailers. Pull samples. Clean pits. Change tires on trailers and wagons. Hand wash wagons/trailers with a water hose. Job Classification: 53-7063.00 - Machine Feeders and Offbearers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No education or experience required. Must lift/carry 50 lbs., when necessary. Employer-paid drug testing required of foreign and domestic workers prior to commencing work and post-hire upon suspicion of use and post-accident. Employer may offer more than the stated work hours depending on weather, business needs, and other conditions. Extreme heat, cold, rain, or drought may affect exact working hours. Number of Hours Per Week: 42 Work Schedule (Start/End time): 7:00 A.M. - 4:00 P.M.</t>
  </si>
  <si>
    <t>H-400-26184-076356</t>
  </si>
  <si>
    <t>Brenneman Builders Plus Inc</t>
  </si>
  <si>
    <t>brennemanbuilders@gmail.com</t>
  </si>
  <si>
    <t>+13196565420</t>
  </si>
  <si>
    <t>Helpers--- Roofers</t>
  </si>
  <si>
    <t>Help roofers by performing duties requiring less skill such as using, supplying or holding materials or tools and light carpentry in preparation for and during roofing. Covering roofs with layers of roofing felt or asphalt strips before installing tile, slate, wood or composition materials and removing and replacing old roofing materials. Job Classification: 47-3016.00 - Helpers--Roofers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3-months roofing experience. Must be able to lift and carry 75lbs for 75 yds. Must be able to handle temperature extremes. Some weekend work. Number of Hours Per Week: 40 Work Schedule (Start/End time): 6:00 A.M. - 6:00 P.M.</t>
  </si>
  <si>
    <t>H-400-26184-076357</t>
  </si>
  <si>
    <t>Brown McKee Inc.</t>
  </si>
  <si>
    <t>soles@brownmckee.com</t>
  </si>
  <si>
    <t>+18067454511</t>
  </si>
  <si>
    <t>Perform lesser tasks involving manual labor at concrete construction sites. Prepare the sites for the placing of concrete by loading and unloading materials, running string-lines, cutting wood with skill saws, using a sledgehammer to pound stakes into the ground, digging and leveling the earth using shovels and plate packers. Under supervision, lift, carry, fasten, strip, oil and set wooden and metal concrete forms using simple hand and power tools. Assist with placing concrete by using wheelbarrows, concrete rakes, shovels and walk-behind concrete vibrators. Clean up waste materials and caulk joints. Job Classification: 47-2061.00 - Construction Laborers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6 Special Requirements: Some weekends work. Must be able to handle temperature extremes. Must be able to lift and carry 75 lbs. for 50 yards. 6 months of Concrete Construction experience required. Number of Hours Per Week: 40 Work Schedule (Start/End time): 7:00 A.M. - 6:00 P.M.</t>
  </si>
  <si>
    <t>H-400-26184-076329</t>
  </si>
  <si>
    <t>C&amp;V REFORESTATION, INC</t>
  </si>
  <si>
    <t>cnv.sanchez@yahoo.com</t>
  </si>
  <si>
    <t>+13607404493</t>
  </si>
  <si>
    <t>COMMERCIAL TREE PLANTING WILL BE CONDUCTED ON STEEP TERRAIN; 30%-50% IN SLOPE AND DONE WITH THE USE OF A PLANTING SHOVEL. THE EMPLOYEE WILL CLEAR A SPACE ON THE GROUND, DIG A HOLE, CORRECTLY PLACE THE SEEDLING TREE IN THE HOLE, COVER THE ROOTS WITH THE SOIL, AND THEN TAMP THE SOIL AROUND THE NEWLY PLANTED SEEDLING. THE EMPLOYEE WILL ENSURE THAT THE SEEDLING BEING PLANTED IS NOT IN A "J" SHAPE. THE EMPLOYEE WILL BE REQUIRED TO CARRY A PLANTING BAG WHICH WILL CONTAIN THE SEEDLINGS, COMBINED WEIGHT IS ABOUT 50-60 POUNDS, DEPENDING ON THE SIZE OF THE SEEDLINGS, UP AND DOWN THE STEEP TERRAIN IN REMOTE MOUNTAINOUS AREAS. PRE-COMMERCIAL THINNING: CUTTING OF UNDESIRABLE AND DISEASED TREES. BRUSH CUTTING/PILING AND THE CUTTING OF LIMBS OF THE COMMERCIAL TIMBER WILL BE CONDUCTED IN ORDER TO PROMOTE THE GROWTH OF THE STANDING TIMBER. TREE LIMBS CUT AND BRUSH WILL BE PILED IN A PRESCRIBED MANNER FOR FUTURE DISPOSAL. THE THINNING WILL BE CONDUCTED WITH THE USE OF A CHAINSAW. EMPLOYEES ARE EXPECTED TO MAINTAIN THE SAW, SHARPEN THE CHAIN IN THE FIELD, MAINTAIN CORRECT FLUID LEVELS, AND PROPERLY BREAK THE SAW DOWN FOR CLEANING. THE COMBINED WEIGHT OF THE SAW, FUEL AND OIL IS APPROXIMATELY 30 LBS AND MUST BE CARRIED UP AND DOWN DIFFICULT TERRAIN RANGING FROM 30%-50% IN SLOPE. THE EMPLOYEE MUST DEMONSTRATE THAT HE CAN WORK IN A SAFE AND EFFECTIVE MANNER. ACCESS IS GAINED TO THESE REMOTE AREAS BY TRAVELING ON ABANDONED, UNNAMED OR NUMBERED, LOGGING ROADS THAT ARE MAINTAINED Job Classification: 45-4011.00 - Forest and Conservation Workers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1 Special Requirements: MUST BE ABLE TO PLANT THE FOLLOWING NUMBER OF TREES IN AN 8 HOUR DAY: BY END OF 1ST WEEK - 800, BY END OF 2ND WEEK - 900, BY END OF 3RD WEEK - 1000 TREES ON 30% - 50% SLOPE Number of Hours Per Week: 40 Work Schedule (Start/End time): 7:00 A.M. - 3:30 P.M.</t>
  </si>
  <si>
    <t>H-400-26184-076344</t>
  </si>
  <si>
    <t>Evaporator Operator</t>
  </si>
  <si>
    <t>Evaporator Operators – Three (3) temporary full-time positions available from 10/01/2026 to 01/31/2027 in New Iberia, Louisiana with Cajun Sugar Company, LLC. To operate the evaporator station efficiently and keep the desired brix of syrup. Responsible for maintaining the juice pH to value in the evaporator while manufacturing raw sugar. $24.29/Hour; $36.44/Hour OT (paid every 2 weeks by check). Will be required to work rotating 8-hour shifts including 11:00 a.m.–7:00 p.m., 7:00 p.m.–3:00 a.m., and 3:00 a.m.–11:00 a.m. 56 hrs a week during harvest season, 40 hrs a week after harvest season, overtime paid after 48 hours during harvesting and after 40 hours after harvesting. Must be willing to work 7 days per week. Overtime Hours will vary and are not guaranteed. The employer will make all deductions from the worker's paycheck required by law. Worker will have 30 minutes paid lunch break during the workday. A minimum of 3 months experience is required in the job offered. No minimum education is required. No on-the-job training is provided. Optional on-site lodging offered to each temporary seasonal employee hired in the position at no charge. Cajun will provide U.S. workers at least the same benefits, wages, and working conditions that will be offered or provided to H-2B workers. Cajun will provide to the worker, without charge or deposit charge, all tools, supplies, and equipment required to perform the duties assigned. Employer guarantees to offer employment equal to at least three-fourths (3/4's) of the workdays of each 12-week period of the total employment period; and, if the guarantee is not met, the employer will pay the worker what the worker would have earned if the employer had offered the guaranteed number of days. The 12-week period will begin the first workday after the worker's arrival or the advertised contractual first date of need, whichever is later. The worker will be reimbursed for transportation and subsistence expenses from the place from which the worker has come to work for the employer, whether in the U.S. or abroad, to the place of employment by check by the employer upon completion of 50% of the period of employment covered by the job order or earlier, if appropriate. This includes at least $16.78 per day during travel to a maximum of $68.00 per day with documentation of actual expenses. Also, the employer will provide or pay for the worker's outbound transportation and subsistence if the worker completes the job order period or is dismissed early from employment for any reason by the employer before the end of the period. The employer will reimburse the H-2B worker in the first workweek the full cost for all visa, visa processing, border crossing, and other related fees, including those mandated by the government. Cajun will provide or reimburse inbound and outbound transportation and daily subsistence costs for corresponding U.S. workers who are not reasonably able to return to their residence within the same workday. As applicable, daily transportation to and from worksite will be provided by employer. Higher pay may be available to workers with extensive experience. Please send resumes or contact Mr. Dirk Boudreaux at Cajun Sugar Company, LLC, 2711 Northside Road, New Iberia, LA 70563 Tel: 337-365-3401 Fax: 337-365-7820 Email: info@cajunsugar.net. Website: https://www.cajunsugar.net/. Applicants may inquire about the job opportunity or send resumes/applications directly to Iberia American Job Center, 609 Ember Drive, New Iberia, LA 70560; Tel: 337-347-9537; Email info@acadianaworkforce.org reference job order #1641089. Job Classification: 51-9012.00 - Separating, Filtering, Clarifying, Precipitating, and Still Machine Setters, Operators, and Tenders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Number of Hours Per Week: 56 Work Schedule (Start/End time): 11:00 A.M. - 7:00 P.M.</t>
  </si>
  <si>
    <t>H-400-26184-076369</t>
  </si>
  <si>
    <t>Coral Ridge Golf Course Inc</t>
  </si>
  <si>
    <t>accounting@browardbiz.com</t>
  </si>
  <si>
    <t>+19544494400</t>
  </si>
  <si>
    <t>Prepare, season and cook soups, meats, vegetables, desserts and other foods. Measure and mix ingredients according to recipe; use a variety of kitchen utensils and equipment such as blenders, mixers, grinders, slicers, digital ovens, digital fryers and knives. Clean and organize coolers and freezers; put away ordered stock items. Clean food preparation areas such as work surfaces and serving areas; maintain clean work area including dishwashing and cleaning kitchen floors; take out trash. Must follow all sanitation policies and procedures. The employer will offer a minimum of 40 hours per week. Business is open 7 days a week. Scheduled workdays vary Sunday through Saturday, including holidays. Normal shift time 10am-6:30pm. Shift includes 30 minutes unpaid break time. Workdays, hours, and shift time may vary with business needs. The employer may increase wage based on experience, market conditions, and/or provide additional pay for performance and tenure. Holiday bonus pay is possible. One meal provided during shift at no cost. Overtime may be available. An overtime premium will be paid when required by Federal, State, or local law, including at time-and-a-half after 40 hours in a workweek. Generally, when overtime is available it will be paid at $26.24 per hour. The employer will provide a bicycle for daily transportation to and from the worksite. Job Classification: 35-2014.00 - Cooks, Restaurant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Must be at least 18 years old. Must be able to lift up to 50 lbs., bend, lift, move, push, pull and carry boxes. Must be able to work and stand in hot kitchen environment. Must have or be willing to obtain a valid Food Handler's certification once employed (provided by employer). Pre-employment criminal background check and drug test required, cost paid by employer and applied equally to all workers, U.S. and foreign/H-2B. Workers are subject to post employment, post-injury/incident drug testing, cost paid by employer and applied equally to all workers, U.S. and foreign/H-2B. Must be able to work a flexible 5-day schedule, including weekends and holidays. Applicant must complete an employment application. Required uniform provided at no charge to the worker. Number of Hours Per Week: 40 Work Schedule (Start/End time): 10:00 A.M. - 6:30 P.M.</t>
  </si>
  <si>
    <t>H-400-26184-076340</t>
  </si>
  <si>
    <t>DCS PACIFIC NORTHWEST, LLC</t>
  </si>
  <si>
    <t>DCS_PNW@OUTLOOK.COM</t>
  </si>
  <si>
    <t>+13605233400</t>
  </si>
  <si>
    <t>Planting seedling trees in areas that are designated as commercial timber zones. As required, the ground is prepared prior to the planting by clearing an area of brush with the use of the planting shovel, a hole is then dug, and then the seedling tree is planted into the hole. Once the seedling is in the hole, the worker uses the shovel to fill the hole up with the dirt and ensures the seedling is secure in being planted by tamping the soil about the newly planted tree. Measures are taken to protect the seedling by spraying and/or placing netting/tubing around the base of the seedling.SPRAYING: (Only herbicides labeled for forestry applications are used. The position does not mix or load of any herbicide. Mixing and loading is done by a licensed herbicide applicator who oversees all aspects of application. Each worker who sprays herbicide must be licensed with the Washington Department of Agriculture. Workers are trained both for safety and for technical procedures. The worker will be trained, once hired, to obtain the spraying license.) The worker must be able to carry the trees in a planting bag which when filled with trees can weigh up to 50 lbs. Thinning will be conducted with the use of a chainsaw. The worker must be able to carry chainsaw, fuel and oil, weighing about 30 pounds, up and down steep terrain, cutting undesirable and deceased trees, clearing brush and hand piling the material for future disposal. Spraying conducted as required. All work to be conducted on steep terrain, 30% - 50% in slope. Must be able to work in a safe manner. Job Classification: 45-4011.00 - Forest and Conservation Workers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MUST BE ABLE TO PLANT THE FOLLOWING NUMBER OF SEEDLING TREES IN AN 8 HOUR DAY: BY THE END OF THE 1ST WEEK, 800 TREES. BY THE END OF THE 2ND WEEK, 900 TREES. BY THE END OF THE 3RD WEEK, 1,000 TREES. Number of Hours Per Week: 40 Work Schedule (Start/End time): 7:00 A.M. - 3:30 P.M.</t>
  </si>
  <si>
    <t>H-400-26184-076361</t>
  </si>
  <si>
    <t>DL Reforestation, Inc</t>
  </si>
  <si>
    <t>04/12/2026</t>
  </si>
  <si>
    <t>dlreforestation_domingo@yahoo.com</t>
  </si>
  <si>
    <t>+15418790199</t>
  </si>
  <si>
    <t>Duties may include: Manual duties outdoors for reforestation: maintain, develop woodlands, hand plant tree seedlings w/out J or U root; maintain surrounding vegetation: prune, clear, spray, pile, clear debris, pull dyer woads &amp; other related Forestry Worker activities as per SOC/OES 45-4011 (onetonline.org). Standard/Expected Schedule: Monday-Friday 6:00AM-2:30PM.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Optional, shared housing available at no cost to the worker. Job Classification: 45-4011.00 - Forest and Conservation Workers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Must be 18 due to travel. Must show proof of legal authorization to work in the United States. Drug/alcohol/tobacco free work zone. Must walk substantially (up to 15 miles/day), also stoop, bend while carrying a pack (up to 50lbs) thru rough terrain (non-trail). All applicants must be able, willing and qualified to perform work described and must be available for the entire period specified and work throughout all areas of intended employment. Work is performed outdoors, exposed to weather; must be capable of doing physically strenuous labor for long hours, occasionally in extreme heat or cold. Variable weather conditions apply; hours may fluctuate (+/-), possible downtime and/or overtime. Number of Hours Per Week: 40 Work Schedule (Start/End time): 6:00 A.M. - 2:30 P.M.</t>
  </si>
  <si>
    <t>H-400-26184-076349</t>
  </si>
  <si>
    <t>EVEREST TREE SERVICE, LLC</t>
  </si>
  <si>
    <t>EVERESTTREESERVICE2021@GMAIL.COM</t>
  </si>
  <si>
    <t>+13605088533</t>
  </si>
  <si>
    <t>COMMERCIAL TREE PLANTING WILL BE CONDUCTED ON STEEP TERRAIN; 40%-50% IN SLOPE AND DONE WITH THE USE OF A PLANTING SHOVEL. THE EMPLOYEE WILL CLEAR A SPACE ON THE GROUND, DIG A HOLE, CORRECTLY PLACE THE SEEDLING TREE IN THE HOLE WITHOUT A "J" ROOT, COVER THE ROOTS WITH THE SOIL, AND THEN TAMP THE SOIL AROUND THE NEWLY PLANTED SEEDLING. THE EMPLOYEE WILL BE REQUIRED TO CARRY A PLANTING BAG WHICH WILL CONTAIN THE SEEDLINGS, COMBINED WEIGHT IS ABOUT 50-60 POUNDS, DEPENDING ON THE SIZE OF THE SEEDLINGS, UP AND DOWN THE STEEP TERRAIN IN REMOTE MOUNTAINOUS AREAS. PRE-COMMERCIAL THINNING: CUTTING OF UNDESIRABLE AND DISEASED TREES. SPRAYING VEGETATION TO ELIMINATE UNWANTED UNDERBRUSH.SPRAYING: (Only herbicides labeled for forestry applications are used. The position does not mix or load of any herbicide. Mixing and loading is done by a licensed herbicide applicator who oversees all aspects of application. Each worker who sprays herbicide must be licensed with the Washington Department of Agriculture. Workers are trained both for safety and for technical procedures. The worker will be trained, once hired, to obtain the spraying license.) BRUSH CUTTING/PILING AND THE CUTTING OF LIMBS OF THE COMMERCIAL TIMBER WILL BE CONDUCTED IN ORDER TO PROMOTE THE GROWTH OF THE STANDING TIMBER. TREE LIMBS CUT AND BRUSH WILL BE PILED IN A PRESCRIBED MANNER FOR FUTURE DISPOSAL. THE THINNING WILL BE CONDUCTED WITH THE USE OF A CHAINSAW. EMPLOYEES ARE EXPECTED TO MAINTAIN THE SAW, SHARPEN THE CHAIN IN THE FIELD, MAINTAIN CORRECT FLUID LEVELS, AND PROPERLY BREAK THE SAW DOWN FOR CLEANING. THE COMBINED WEIGHT OF THE SAW, FUEL AND OIL IS APPROXIMATELY 30 LBS AND MUST BE CARRIED UP AND DOWN DIFFICULT TERRAIN RANGING FROM 40%-50% IN SLOPE. THE EMPLOYEE MUST DEMONSTRATE THAT HE CAN WORK IN A SAFE AND EFFECTIVE MANNER. ACCESS IS GAINED TO THESE REMOTE AREAS BY TRAVELING ON ABANDONED, UNNAMED OR NUMBERED, LOGGING ROADS THAT ARE MAINTAINED. Job Classification: 45-4011.00 - Forest and Conservation Workers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MUST BE ABLE TO PLANT THE FOLLOWING NUMBER OF TREES IN AN 8 HOUR DAY: BY THE END OF THE 1ST WEEK 800, 2ND WEEK 900, 3RD WEEK 1000 Number of Hours Per Week: 40 Work Schedule (Start/End time): 7:00 A.M. - 3:30 P.M.</t>
  </si>
  <si>
    <t>H-400-26184-076371</t>
  </si>
  <si>
    <t>Eastern Carolina Pinestraw</t>
  </si>
  <si>
    <t>oskartello@gmail.com</t>
  </si>
  <si>
    <t>+12529475733</t>
  </si>
  <si>
    <t>Duties may include: Clean up work sites to remove limbs, sticks, weeds, litter, and debris. Rake, gather, and bale pinestraw. Load/unload trucks with bales and/or needed tools and equipment. Prune, trim, and edge around trees to shape and improve growth using shears or pruners. Apply pinestraw and/or mulch for landscaping purposes. Rake, mulch, and compost leaves. Use hand tools, such as shovels, rakes, saws, or trimmers. Operate vehicles or powered equipment, such as mobile balers, mowers, tractors, twin-axle vehicles, or blowers. Sweep, clean and maintain tools and workspace to ensure safety &amp; other related Landscape Laborer activities as per SOC/OES 37-3011 (onetonline.org). Standard/Expected Schedule: Monday-Saturday 7:00AM-5:30PM or 7:00AM-12:30PM. Offering 55+ (plus) hours per week; not including applicable lunch and/or breaks. Possible weekend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Job Classification: 37-3011.00 - Landscaping and Groundskeeping Workers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1 Special Requirements: Must be 18 due to equipment use. Must show proof of legal authorization to work in the United States. Drug/alcohol/tobacco free work zone. Perform physical activities: such as lift, balance, walk, stoop, handle, position, move, manipulate materials use static strength to exert maximum muscle force to lift, push, pull, carry objects up to 50lbs. All applicants must be able, willing and qualified to perform work described and must be available for the entire period specified and work throughout all areas of intended employment. Work is performed outdoors, exposed to weather; must be capable of doing physically strenuous labor for long hours, occasionally in extreme heat or cold. Variable weather conditions apply; hours may fluctuate (+/-), possible downtime and/or overtime. Number of Hours Per Week: 55 Work Schedule (Start/End time): 7:00 A.M. - 5:30 P.M.</t>
  </si>
  <si>
    <t>H-400-26184-076353</t>
  </si>
  <si>
    <t>FHR (ML) Operating Company, LLC</t>
  </si>
  <si>
    <t>Fairmont.Orchid.Applicants@fairmont.com</t>
  </si>
  <si>
    <t>+18083456146</t>
  </si>
  <si>
    <t>Clean and service guest rooms, resort common areas and other assigned sections; remove and change bed linens, vacuum, dust, clean bathrooms, restock housekeeping carts with cleaning supplies and work with cleaning chemicals; polish silver accessories and metalwork, such as fixtures and fittings; sort, count and mark clean linens and store them in linen closets; and, remove debris from corridors; and, perform other sanitary and cleaning duties as needed Job Classification: 37-2012.00 - Maids and Housekeeping Cleaners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6 Special Requirements: 6 months experience as housekeeper required. All applicants Must pass a pre-employment background check prior to starting (pursuant to companys hiring policies) including seasonal &amp; full-time annual positions regardless of their national origin, race, gender or visa status. Must be able to lift, pull or push between 30 - 50 pounds of equipment or trash. Must be available to work all shifts, including weekends, evenings, overnights and holidays. All employees of the Hotel in this position are required to become members of the Labor Union (ILWU Local 142). Number of Hours Per Week: 35 Work Schedule (Start/End time): 8:00 A.M. - 4:00 P.M.</t>
  </si>
  <si>
    <t>H-400-26184-076355</t>
  </si>
  <si>
    <t>Clean dishes, kitchen, food preparation equipment or utensils using dishwashers or by hand; maintain kitchen work areas, equipment or utensils in clean and orderly condition; place clean dishes, utensils or cooking equipment in storage areas; sort and remove trash, placing it in designated pick up areas; stock and transfer supplies to serving stations, cupboards, refrigerators, storage and work areas; take out garbage; prepare and package individual place settings; assist in the plating and dishing out of food; take food and equipment from banquet storage spaces to various locations on property; clean kitchen cooking equipment and other equipment used in the stewarding department; assist with picking up dirty trays; set up banquet tables and assist with preparing meeting space as assigned; and, assist with cleanliness of hotel, picking up trash, sweeping and other cleaning duties as assigned. Job Classification: 35-9011.00 - Dining Room and Cafeteria Attendants and Bartender Helpers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All applicants must pass a pre-employment background check prior to starting (pursuant to companys hiring policies) including seasonal &amp; full-time annual positions regardless of their national origin, race, and gender or visa status. Must be able to lift, pull or push between 30 - 50 pounds of equipment or trash. Must be available to work all shifts, including weekends, evenings, overnights and holidays. All employees of the Hotel in this position are required to become members of the Labor Union (ILWU Local 142). Number of Hours Per Week: 35 Work Schedule (Start/End time): 8:00 A.M. - 4:00 P.M.</t>
  </si>
  <si>
    <t>H-400-26184-076362</t>
  </si>
  <si>
    <t>Read and follow plans and measurements to construct, erect, install, or repair structures; building frameworks, including walls, windows, and door frames. Install metal siding and windows. Instruct less skilled workers on job duties. Will be exposed to heights, temperature extremes, strenuous physical activity, and repetitive motions. Proper and accurate use of tape measure required. Job Classification: 47-2031.00 - Carpenters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12 Special Requirements: Must be able to lift and carry 75 lbs 75 yds. Some weekend work. Must be able to handle temperature extremes. Will travel to worksites within the area of intended employment. Number of Hours Per Week: 40 Work Schedule (Start/End time): 7:00 A.M. - 5:00 P.M.</t>
  </si>
  <si>
    <t>H-400-26184-076367</t>
  </si>
  <si>
    <t>Perform lesser tasks including loading and unloading building materials, laying out lumber, siding, trusses and other components for structure. Assisting lead carpenters with basic carpentry tasks such as holding, cutting, and nailing lumber according to lead carpenter instructions. Assembling prepared components at construction site. Job Classification: 47-3012.00 - Helpers--Carpenters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Must be able to lift and carry 75 lbs. 75 yds. Must be able to handle temperature extremes. Some weekend work. Will travel to worksites within the area of intended employment. Number of Hours Per Week: 40 Work Schedule (Start/End time): 7:00 A.M. - 5:00 P.M.</t>
  </si>
  <si>
    <t>H-400-26184-076372</t>
  </si>
  <si>
    <t>Perform lesser tasks including loading and unloading building materials, laying out lumber, siding, trusses and other components for structure. Assisting lead carpenters with basic carpentry tasks such as holding, cutting, and nailing lumber for frameworks such as walls, concrete forms and door frames according to lead carpenter instructions. Assembling prepared components at construction site. Job Classification: 47-3012.00 - Helpers--Carpenters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Must be able to lift and carry 75 lbs. 75 yds. Some weekend work. Must be able to handle temperature extremes. Will travel to worksites within the area of intended employment. Number of Hours Per Week: 40 Work Schedule (Start/End time): 7:00 A.M. - 5:00 P.M.</t>
  </si>
  <si>
    <t>H-400-26184-076334</t>
  </si>
  <si>
    <t>Read and follow plans and measurements to construct, erect, install, or repair structures; building frameworks, including walls, windows, and door frames. Install metal siding and windows. Instruct less skilled workers on job duties. Will be exposed to heights, temperature extremes, strenuous physical activity, and repetitive motions. Proper and accurate use of tape measure required. Job Classification: 47-2031.00 - Carpenters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12 Special Requirements: Must be able to lift and carry 75 lbs. 75 yds. Some weekend work. Must be able to handle temperature extremes. Will travel to worksites within the area of intended employment. Number of Hours Per Week: 40 Work Schedule (Start/End time): 7:00 A.M. - 5:00 P.M.</t>
  </si>
  <si>
    <t>H-400-26184-076347</t>
  </si>
  <si>
    <t>Read and follow plans and measurements to construct, erect, install, or repair structures; building frameworks, including walls, concrete forms, windows, and door frames. Install metal siding and windows. Instruct less skilled workers on job duties. Will be exposed to heights, temperature extremes, strenuous physical activity, and repetitive motions. Proper and accurate use of tape measure required. Job Classification: 47-2031.00 - Carpenters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12 Special Requirements: Must be able to lift and carry 75 lbs. 75 yds. Some weekend work. Must be able to handle temperature extremes. Will travel to worksites within the area of intended employment. Number of Hours Per Week: 40 Work Schedule (Start/End time): 7:00 A.M. - 5:00 P.M.</t>
  </si>
  <si>
    <t>H-400-26184-076342</t>
  </si>
  <si>
    <t>H-400-26184-076326</t>
  </si>
  <si>
    <t>Gates Construction LLC</t>
  </si>
  <si>
    <t>colbylegate@ymail.com</t>
  </si>
  <si>
    <t>+14029922846</t>
  </si>
  <si>
    <t>Perform manual labor at the concrete construction site. Prepare the site for placing of concrete by loading and unloading materials, running string-lines, cutting wood with skill saw, using a sledgehammer to pound stakes into the ground, digging and leveling the earth using shovels and platepackers. Assist with placing concrete by using wheelbarrows, concrete rakes and shovels. Place concrete. Clean up waste materials. Job Classification: 47-2061.00 - Construction Laborers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Must be able to lift and carry 75lbs for 50 yards. Must be able to handle temperature extremes. Some weekend work. 3 months concrete construction experience required. Number of Hours Per Week: 40 Work Schedule (Start/End time): 6:30 A.M. - 4:30 P.M.</t>
  </si>
  <si>
    <t>H-400-26184-076366</t>
  </si>
  <si>
    <t>Position and secure steel bars or mesh in concrete forms in order to reinforce concrete. Able to operate wire reel, klein pliers and hand tools to fasten and bend rebar. Job Classification: 47-2171.00 - Reinforcing Iron and Rebar Workers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6 Special Requirements: Some weekend work. Must be able to handle temperature extremes. Must be able to lift and carry 75 lbs. for 75 yards. Will travel to worksites within the area of intended employment. Number of Hours Per Week: 40 Work Schedule (Start/End time): 7:00 A.M. - 5:00 P.M.</t>
  </si>
  <si>
    <t>H-400-26184-076363</t>
  </si>
  <si>
    <t>Grey Oaks Country Club, Inc</t>
  </si>
  <si>
    <t>H2Bjobs@greyoakscc.com</t>
  </si>
  <si>
    <t>+12392625550</t>
  </si>
  <si>
    <t>Bring food out to guests, keep bar stocked. Clean off and set tables. Keep work areas stocked, clean and sanitized. (19) workers needed. Dates of need: 10/1/26-5/31/27. 3 months experience necessary. Rotating shifts. Workdays: Mon-Sun. Work hours: 6am-3pm. Rate of pay: $16.35-$27/hr based on performance, $24.53-$40.50/hr overtime. Workers paid biweekly. 35 hours/wk. Optional housing provided for $675-$745/ month ($675 month/ double occupancy, $745 month / single occupancy) with a $350 deposit, refundable upon completing of contract &amp; housing inspection. Benefits include: 401k after working 1000 hours, Christmas Bonus, Dental, Vision and Health insurance, 8 hours PTO. Uniforms and shift meals provided. Job location: 2400 Grey Oaks Drive North, Naples, FL 34105. Work is temporary full time employment. A single workweek will be used to compute wages. May get up to 10 hours of overtime when available. All deductions from the worker's paycheck required by law will be made. The employer will provide workers at no charge all tools, supplies, and equipment required to perform the job. The worker will be provided with or reimbursed for transportation and subsistence (including reasonable cost of overnight lodging where necessary up to $110/night for lodging with receipts.) at a rate of $16.78 per day during travel to a maximum of $68.00 per day with receipts from the place from which the worker has come to work for the employer, whether in the U.S. or abroad, to the place of employment, if the worker completes 50 percent of the period of employment covered by the job order, consistent with 20 CFR 655.20(j)(1)(i) by inclusion in the paycheck for the applicable week. Employer will provide or pay for the worker's cost of return transportation and daily subsistence from the place of employment to the place from which the worker, disregarding intervening employment, departed to work for the employer, if the worker completes the certified period of employment or is dismissed from employment for any reason by the employer before the end of the period, consistent with § 655.20(j)(1)(ii); H-2B workers will be reimbursed in the first workweek for all visas, visa processing, border crossing, and other related fees, including those mandated by the government (excluding passport fees). The employer will provide workers all tools, supplies, and equipment required to perform the job at no charge to the worker, in accordance with 20 CFR 655.20(k). Qualified applicants may mail resume to Attn: Alexandra Schrögendorfer at 2400 Grey Oaks Drive North, Naples, FL 34105, email to H2Bjobs@greyoakscc.com or visit your local job center at 3050 Horseshoe Drive North Building A Suite 110 Naples, FL 34104. *Your security deposit is refundable upon completion of your contract and upon inspection of the housing. If a worker abandons their job without permission of the employer or a worker abandons their housing before the end of the petition date for any reason except employer termination, the workers forfeits all housing deposits, PTO, vacation and bonus pay. Upon termination of resignation, the worker must vacate the housing immediately thereafter unless agreed upon by the employer.* Job Classification: 35-9011.00 - Dining Room and Cafeteria Attendants and Bartender Helpers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Number of Hours Per Week: 35 Work Schedule (Start/End time): 6:00 A.M. - 3:00 P.M.</t>
  </si>
  <si>
    <t>H-400-26184-076368</t>
  </si>
  <si>
    <t>Perform various financial activities, such as cash handling. Resolve customer complaints regarding food service. Compile and balance cash receipts at the end of the day or shift. Present bills and accept payments. Make schedule for dining room employees (7) workers needed. Dates of need: 10/1/26-5/31/27. 3 months experience necessary. Rotating shifts. Workdays: Mon-Sun. Work hours: 6am-10pm. Rate of pay: $24.46-$31/hr based on performance, $36.69-$46.50/hr overtime. Workers paid biweekly. 35 hours/wk. Optional housing provided for $675-$745/ month ($675 month/ double occupancy, $745 month / single occupancy) with a $350 deposit, refundable upon completing of contract &amp; housing inspection. Benefits include: 401k after working 1000 hours, Christmas Bonus, Dental, Vision and Health insurance, 8 hours PTO. Uniforms and shift meals provided. Job location: 2400 Grey Oaks Drive North, Naples, FL 34105. Work is temporary full time employment. A single workweek will be used to compute wages. May get up to 10 hours of overtime when available. All deductions from the worker's paycheck required by law will be made. The employer will provide workers at no charge all tools, supplies, and equipment required to perform the job. The worker will be provided with or reimbursed for transportation and subsistence (including reasonable cost of overnight lodging where necessary up to $110/night for lodging with receipts.) at a rate of $16.78 per day during travel to a maximum of $68.00 per day with receipts from the place from which the worker has come to work for the employer, whether in the U.S. or abroad, to the place of employment, if the worker completes 50 percent of the period of employment covered by the job order, consistent with 20 CFR 655.20(j)(1)(i) by inclusion in the paycheck for the applicable week. Employer will provide or pay for the worker's cost of return transportation and daily subsistence from the place of employment to the place from which the worker, disregarding intervening employment, departed to work for the employer, if the worker completes the certified period of employment or is dismissed from employment for any reason by the employer before the end of the period, consistent with § 655.20(j)(1)(ii); H-2B workers will be reimbursed in the first workweek for all visas, visa processing, border crossing, and other related fees, including those mandated by the government (excluding passport fees). The employer will provide workers all tools, supplies, and equipment required to perform the job at no charge to the worker, in accordance with 20 CFR 655.20(k). Qualified applicants may mail resume to Attn: Alexandra Schrögendorfer at 2400 Grey Oaks Drive North, Naples, FL 34105, email to H2Bjobs@greyoakscc.com or visit your local job center at 3050 Horseshoe Drive North Building A Suite 110 Naples, FL 34104. *Your security deposit is refundable upon completion of your contract and upon inspection of the housing. If a worker abandons their job without permission of the employer or a worker abandons their housing before the end of the petition date for any reason except employer termination, the workers forfeits all housing deposits, PTO, vacation and bonus pay. Upon termination of resignation, the worker must vacate the housing immediately thereafter unless agreed upon by the employer.* Job Classification: 35-1012.00 - First-Line Supervisors of Food Preparation and Serving Workers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Number of Hours Per Week: 35 Work Schedule (Start/End time): 6:00 A.M. - 10:00 P.M.</t>
  </si>
  <si>
    <t>H-400-26184-076350</t>
  </si>
  <si>
    <t>Take orders, serve food &amp; beverages to guests. Clean off &amp; set tables. Take payments, give receipts. Keep all stations stocked (50) workers needed. Dates of need: 10/1/26-5/31/27. 3 months experience necessary. Rotating shifts. Workdays: Mon-Sun. Work hours: 6am-10pm. Rate of pay: $20.13-$32/hr based on performance, $30.20-$48/hr overtime. Workers paid biweekly. 35 hours/wk. Optional housing provided for $675-$745/ month ($675 month/ double occupancy, $745 month / single occupancy) with a $350 deposit, refundable upon completing of contract &amp; housing inspection. Benefits include: 401k after working 1000 hours, Christmas Bonus, Dental, Vision and Health insurance, 8 hours PTO. Uniforms and shift meals provided. Job location: 2400 Grey Oaks Drive North, Naples, FL 34105. Work is temporary full time employment. A single workweek will be used to compute wages. May get up to 10 hours of overtime when available. All deductions from the worker's paycheck required by law will be made. The employer will provide workers at no charge all tools, supplies, and equipment required to perform the job. The worker will be provided with or reimbursed for transportation and subsistence (including reasonable cost of overnight lodging where necessary up to $110/night for lodging with receipts.) at a rate of $16.78 per day during travel to a maximum of $68.00 per day with receipts from the place from which the worker has come to work for the employer, whether in the U.S. or abroad, to the place of employment, if the worker completes 50 percent of the period of employment covered by the job order, consistent with 20 CFR 655.20(j)(1)(i) by inclusion in the paycheck for the applicable week. Employer will provide or pay for the worker's cost of return transportation and daily subsistence from the place of employment to the place from which the worker, disregarding intervening employment, departed to work for the employer, if the worker completes the certified period of employment or is dismissed from employment for any reason by the employer before the end of the period, consistent with § 655.20(j)(1)(ii); H-2B workers will be reimbursed in the first workweek for all visas, visa processing, border crossing, and other related fees, including those mandated by the government (excluding passport fees). The employer will provide workers all tools, supplies, and equipment required to perform the job at no charge to the worker, in accordance with 20 CFR 655.20(k). Qualified applicants may mail resume to Attn: Alexandra Schrögendorfer at 2400 Grey Oaks Drive North, Naples, FL 34105, email to H2Bjobs@greyoakscc.com or visit your local job center at 3050 Horseshoe Drive North Building A Suite 110 Naples, FL 34104. *Your security deposit is refundable upon completion of your contract and upon inspection of the housing. If a worker abandons their job without permission of the employer or a worker abandons their housing before the end of the petition date for any reason except employer termination, the workers forfeits all housing deposits, PTO, vacation and bonus pay. Upon termination of resignation, the worker must vacate the housing immediately thereafter unless agreed upon by the employer.* Job Classification: 35-3031.00 - Waiters and Waitresses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Number of Hours Per Week: 35 Work Schedule (Start/End time): 6:00 A.M. - 10:00 P.M.</t>
  </si>
  <si>
    <t>H-400-26184-077545</t>
  </si>
  <si>
    <t>Hydro-Scapes LLC</t>
  </si>
  <si>
    <t>https://www.louisianaworks.net</t>
  </si>
  <si>
    <t>+12254453415</t>
  </si>
  <si>
    <t>Mow, cut, water, edge lawns: rake and blow leaves; dig trenches using hand tools, will dig trenches with a max depth/width of 3 ft, to install sprinkler systems and/or plant; install sprinkler systems, plant trees and shrubs. Involves loading and unloading tools and supplies and equipment weighing up to 50 lbs. Involves working outdoors in all types of weather. Involves extensive standing, sitting or walking. Involves frequent stooping or bending. Involves repetitive movements. Post Hire/Employer Paid Drug Test. Advance pay available upon arrival for settling expenses as needed. Optional housing available, $300 rent with utilities per worker per month. Rent comparable to other rental properties in the area (subject to change based on local inflation), rent will be paid to employer. Possibility of performance based raise, bonuses, overtime and Saturdays as required. Transportation provided to multiple worksites from central location in Baton Rouge, LA. 60 minutes of unpaid breaks throughout the day. Daily hours may vary between start and end times listed depending on weather or job assignments. Job Classification: 37-3011.00 - Landscaping and Groundskeeping Workers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None. Number of Hours Per Week: 35 Work Schedule (Start/End time): 7:00 A.M. - 4:00 P.M.</t>
  </si>
  <si>
    <t>H-400-26184-076331</t>
  </si>
  <si>
    <t>Ice Masters LLC</t>
  </si>
  <si>
    <t>mwalker@theicemasters.com</t>
  </si>
  <si>
    <t>+15137030200</t>
  </si>
  <si>
    <t>Snow removal, grounds maintenance, litter cleanup, and other duties as assigned related to facilities maintenance, such as clearing leaves, snow, or debris using hand tools or power equipment including but not limited to rakes, shovels, and snow/leaf blowers. Irrigation system winterization and activation. Removal or replacement of dead vegetation. Potential for fall and spring leaf clean-up, dormant pruning, perennial planting, leaf removal and landscape bed mulching. Tree and bush pruning. De-icing and removal of snow from walks, driveways, and parking lots for various residential, municipal and commercial properties, using hand tools such as snow brooms and shovels, and spreading deicing solutions, including calcium chloride or rock salt. May also use a walk behind electric or gas snow blower, as needed. May drive crew vehicles as needed. Job Classification: 37-3011.00 - Landscaping and Groundskeeping Workers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MUST BE 18 DUE TO INSURANCE. MUST SHOW PROOF OF LEGAL AUTHORIZATION TO WORK IN THE UNITED STATES. DRUG/ALCOHOL/TOBACCO FREE WORK ZONE. PERFORM PHYSICAL ACTIVITIES: SUCH AS LIFT, BALANCE, WALK, STOOP, HANDLE, POSITION, MOVE, MANIPULATE MATERIALS USE STATIC STRENGTH TO EXERT MAXIMUM MUSCLE FORCE TO LIFT, PUSH, PULL, CARRY OBJECTS UP TO 50LBS. ALL APPLICANTS MUST BE ABLE, WILLING, QUALIFIED TO PERFORM WORK DESCRIBED AND MUST BE AVAILABLE FOR THE ENTIRE PERIOD SPECIFIED. OUTDOORS, EXPOSED TO WEATHER; MUST BE CAPABLE OF DOING PHYSICALLY STRENUOUS LABOR FOR LONG HOURS, OCCASIONALLY IN EXTREME HEAT OR COLD. VARIABLE WEATHER CONDITIONS APPLY; HOURS MAY FLUCTUATE (+/-), POSSIBLE DOWNTIME AND/OR OT. Number of Hours Per Week: 35 Work Schedule (Start/End time): 7:00 A.M. - 4:00 P.M.</t>
  </si>
  <si>
    <t>H-400-26184-076358</t>
  </si>
  <si>
    <t>Interstate Forestry LLC</t>
  </si>
  <si>
    <t>inquiries@interstateforestry.com</t>
  </si>
  <si>
    <t>+15412005698</t>
  </si>
  <si>
    <t>Duties may include: Duties may include: Manual duties outdoors for reforestation: maintain, develop woodlands, hand plant tree seedlings without J or U root. IF NECESSARY (ONLY IN THE EVENT OF AN UNFORESEEN FIRE) AND UNDER THE DIRECT SUPERVISION OF FIRE SUPPRESSION OFFICERS OR FORESTRY TECHNICIANS: Support fire fighters by manually digging or building fire break lines and assisting with vegetation control. Dispose of brush by thinning and piling brush &amp; other related Forestry Worker activities as per SOC/OES 45-4011 (onetonline.org). Standard/Expected Schedule: Monday-Saturday 7:00AM-3:30PM.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Optional, shared housing available at no cost to the worker. Job Classification: 45-4011.00 - Forest and Conservation Workers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Must be 18 due to state labor laws. Must show proof of legal authorization to work in the United States. Drug/alcohol/tobacco free work zone. Must walk substantially (up to 15 miles/day), also stoop, bend while carrying a pack (up to 70lbs) thru rough terrain (non-trail). All applicants must be able, willing and qualified to perform work described and must be available for the entire period specified and work throughout all areas of intended employment. Work is performed outdoors, exposed to weather; must be capable of doing physically strenuous labor for long hours, occasionally in extreme heat or cold. Variable weather conditions apply; hours may fluctuate (+/-), possible downtime and/or overtime. Number of Hours Per Week: 40 Work Schedule (Start/End time): 7:00 A.M. - 3:30 P.M.</t>
  </si>
  <si>
    <t>H-400-26184-076327</t>
  </si>
  <si>
    <t>J. Hubler Landscaping, Inc.</t>
  </si>
  <si>
    <t>info@jhubler.com</t>
  </si>
  <si>
    <t>+17173676637</t>
  </si>
  <si>
    <t>Landscape or maintain grounds of property using hand or power tools or equipment. Workers typically perform a variety of tasks, which may include any combination of the following: sod laying, mowing, trimming, planting, watering, fertilizing, digging, raking. Assists with installation/maintenance of sprinklers and mortarless segmental concrete masonry wall units. Job Classification: 37-3011.00 - Landscaping and Groundskeeping Workers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Must lift/carry 50 lbs., when necessary. Saturday and Sunday work required, when necessary. Employer-paid drug testing required of foreign and domestic workers prior to commencing work and post-hire post-accident. Employer-paid background check required of foreign and domestic workers prior to commencing work. Employer may offer more than the stated work hours, depending on weather, business needs, and other conditions. Extreme heat, cold, rain, or drought may affect exact working hours. Number of Hours Per Week: 40 Work Schedule (Start/End time): 7:00 A.M. - 3:30 P.M.</t>
  </si>
  <si>
    <t>H-400-26184-075881</t>
  </si>
  <si>
    <t>Jacks Heritage Produce</t>
  </si>
  <si>
    <t>triplestreefarm@gmail.com</t>
  </si>
  <si>
    <t>+14352793723</t>
  </si>
  <si>
    <t>Onion Bagger</t>
  </si>
  <si>
    <t>Workers typically perform a variety of tasks in produce packing facility which may include any of the following tasks: Grade, size, sort, and pack onions. Pack produce 25 and up to 50 pound sacks/bags and stack and/or secure finished goods. Entry level; requires supervision. Job Classification: 53-7064.00 - Packers and Packagers, Hand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Must lift/carry 50 lbs., when necessary. Post-hire random and upon suspicion of use drug testing required of foreign and domestic workers. Post-hire background check and employment eligibility (e-Verify) check required of foreign and domestic workers. Employer may offer more than the stated work hours depending on weather, business needs, and other conditions. Extreme heat, cold, rain, or drought may affect exact working hours. Number of Hours Per Week: 40 Work Schedule (Start/End time): 8:00 A.M. - 4:45 P.M.</t>
  </si>
  <si>
    <t>H-400-26184-076343</t>
  </si>
  <si>
    <t>Natural Pack Inc.</t>
  </si>
  <si>
    <t>structure@naturalpackinc.com</t>
  </si>
  <si>
    <t>Warehouse Associate</t>
  </si>
  <si>
    <t>Hand bag and/or pack a variety of garden products such as mosses, house plants, and planters. Perform quality checks to ensure correct condition, counts, and packaging of finished goods. Promptly inform supervisor of any quality issues. Stack finished product in correct configuration. Ensure all necessary supplies are available at a workstation: packing boxes, packaging material, tape; replenish boxes/packaging material in production area as needed. Maintain a safe and clean work environment. Follow all established Safety Rules and Standard Operating Procedures. Job Classification: 53-7064.00 - Packers and Packagers, Hand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Requires three months of warehouse packing experience. Must lift/carry 30 lbs., when necessary. Saturday work required, when necessary. Post-hire employment eligibility (e-Verify) check required of foreign and domestic workers. Employer may offer more than the stated work hours depending on weather, business needs, and other conditions. Extreme heat, cold, rain, or drought may affect exact working hours. Number of Hours Per Week: 40 Work Schedule (Start/End time): 7:00 A.M. - 3:30 P.M.</t>
  </si>
  <si>
    <t>H-400-26184-076323</t>
  </si>
  <si>
    <t>Pennington Seed, Inc. - Penn Pak</t>
  </si>
  <si>
    <t>Workers typically perform a variety of tasks in production facility which may include any of the following: filling mixed grain bags by holding bag in place under spout/chute as seed fills the bag; sealing bags using hot air sealer that heats the bag to seal with no added fasteners/materials required; and packing bags into boxes or stacking bags onto pallets. Maintain clean work area and equipment. Entry level; requires supervision. Job Classification: 53-7064.00 - Packers and Packagers, Hand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Must lift/carry up to 50 lbs., when necessary. Two shifts may be offered: 6:30AM - 3:30PM M-F or 5PM - 4AM M-Th. Saturday and Sunday work required, when necessary. Employer-paid drug testing required of foreign and domestic workers prior to commencing work and post-hire at random and post-accident. Post-hire background check and employment eligibility (e-Verify) check required of foreign and domestic workers. Mandatory safety training for all new hires foreign and domestic. We are an equal opportunity employer, and all qualified applicants will receive consideration for employment without regard to race, color, religion, sex, national origin, disability status, protected veteran status, sexual orientation, gender identity, or any other characteristic protected by law. Employer may offer more than the stated work hours depending on weather, business needs, and other conditions. Extreme heat, cold, rain, or drought may affect exact working hours. Number of Hours Per Week: 40 Work Schedule (Start/End time): 6:30 A.M. - 3:30 P.M.</t>
  </si>
  <si>
    <t>H-400-26184-076324</t>
  </si>
  <si>
    <t>Pennington Seed, Inc. - Penn Pak II</t>
  </si>
  <si>
    <t>19/06/2027</t>
  </si>
  <si>
    <t>Workers typically perform a variety of tasks in production facility which may include any of the following: filling mixed grain bags by holding bag in place under spout/chute as seed fills the bag; sealing bags using hot air sealer that heats the bag to seal with no added fasteners/materials required; and packing bags into boxes or stacking bags onto pallets. Maintain clean work area and equipment. Entry level; requires supervision. Job Classification: 53-7064.00 - Packers and Packagers, Hand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Must lift/carry 50 lbs., when necessary. Two shifts may be offered: 6:30AM - 3:30PM M-F or 5PM - 4AM M-Th. Saturday and Sunday work required, when necessary. Employer-paid drug testing required of foreign and domestic workers prior to commencing work and post-hire at random and post-accident. Post-hire background check and employment eligibility (e-Verify) check required of foreign and domestic workers. Mandatory safety training for all new hires foreign and domestic. We are an equal opportunity employer, and all qualified applicants will receive consideration for employment without regard to race, color, religion, sex, national origin, disability status, protected veteran status, sexual orientation, gender identity, or any other characteristic protected by law. Employer may offer more than the stated work hours depending on weather, business needs, and other conditions. Extreme heat, cold, rain, or drought may affect exact working hours. Number of Hours Per Week: 40 Work Schedule (Start/End time): 6:30 A.M. - 3:30 P.M.</t>
  </si>
  <si>
    <t>H-400-26184-076330</t>
  </si>
  <si>
    <t>Porche LLC</t>
  </si>
  <si>
    <t>workatporche@gmail.com</t>
  </si>
  <si>
    <t>+12259335114</t>
  </si>
  <si>
    <t>Duties may include: Under direct supervision use hand tools such as rakes or debris blowers, pruners; gather and remove litter/debris/leaves, prune or trim small trees/shrubs at ground level, mowing, trimming, blowing, winterization of irrigation systems and decorate outdoor spaces and gardens with seasonally appropriate landscaping components such as mulch, ground cover, plants or (follow already outlined landscape design to assist with the placement of holiday items such as hay bales, pumpkins, holiday wreaths, etc.) &amp; other related Landscape Laborer activities as per SOC/OES 37-3011 (onetonline.org). Standard/Expected Schedule: Monday-Friday 6:30AM-4:30PM.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Job Classification: 37-3011.00 - Landscaping and Groundskeeping Workers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Must show proof of legal authorization to work in the United States. Drug/alcohol/tobacco free work zone. Perform physical activities: such as lift, balance, walk, stoop, handle, position, move, manipulate materials use static strength to exert maximum muscle force to lift, push, pull, carry objects up to 50lbs. All applicants must be able, willing and qualified to perform work described and must be available for the entire period specified and work throughout all areas of intended employment.Based on Employer's discretion/cost: Worker may have random drug/alcohol testing during employment: positive test/refusal to abide = dismissal. Possible background check post hire at employer's expense.Work is performed outdoors, exposed to weather; must be capable of doing physically strenuous labor for long hours, occasionally in extreme heat or cold. Variable weather conditions apply; hours may fluctuate (+/-), possible downtime and/or overtime. Number of Hours Per Week: 40 Work Schedule (Start/End time): 6:30 A.M. - 4:30 P.M.</t>
  </si>
  <si>
    <t>H-400-26184-076351</t>
  </si>
  <si>
    <t>Industrial Truck and Tractor Operator – Seven (7) temporary, full-time positions from October 1, 2026 to January 31, 2027 with Raceland Raw Sugar, LLC in Raceland, Louisiana. Help production workers by performing duties requiring less skill. Duties include supplying material and moving materials to the proper destination. Workers will move harvested sugar cane, brought from farmers, from the dump area to the mill for processing. Employees operate front end loader to pick up sugarcane delivered by trucks to the factory and place it on the cane conveyor. Will either load the feed table for mill processing as cane has been delivered or stack it for later feeding. Raceland receives 18,000 tons of sugarcane daily during this period. Workers will be paid no less than $19.99/Hour; $29.99/Hour overtime based on a single workweek. A single workweek will be used in computing wages due. Wages are paid bi-weekly. A minimum of 3 months experience is required in the job offered in the raw sugar mill industry. No minimum education is required. No on-the-job training is provided. Higher pay may be available to workers with extensive experience. Optional on-site lodging offered at no charge to workers hired in this temporary position. As applicable, daily transportation to and from worksite will be provided by employer. The employer will provide workers at no charge (or deposit charge) all tools, supplies, and equipment required to perform the job. Willing to work 7 days a week, varying 8-hour shifts (7am-3pm; 3pm-11pm; 11pm -7am); 56 hrs a week during harvest season, 40 hrs a week after harvest season until the end of the contract, overtime paid after 48 hours during harvesting and after 40 hours after harvesting; worker will have 30 minutes paid lunch break during harvesting season and a 30-minute unpaid lunch break before and after harvesting season. The employer will make all deductions from the worker's paycheck as required by law. The employer will reimburse the H-2B worker (by check) in the first workweek the full cost for all visa, visa processing, border crossing, and other related fees, including those mandated by the government (except passport fees). The worker will be reimbursed for transportation and subsistence expenses from the place from which the worker has come to work for the employer, whether in the U.S. or abroad, to the place of employment by check by the employer upon completion of 50% of the period of employment covered by the job order or earlier, if appropriate. The employer will provide or pay for the worker's cost of return transportation and daily subsistence from the place of employment to the place from which the worker, disregarding intervening employment, departed to work for the employer, if the worker completes the certified period of employment or is dismissed from employment for any reason by the employer before the end of the period. The amount of transportation payment or reimbursement will be equal to the most economical and reasonable common carrier for the distances involved. This includes at least $16.78 per day during travel to a maximum of $68.00 per day with documentation of actual expenses. Employer guarantees to offer employment equal to at least three-fourths (3/4's) of the workdays of each 12-week period of the total employment period; and, if the guarantee is not met, the employer will pay the worker what the worker would have earned if the employer had offered the guaranteed number of days. The 12-week period will begin the first workday after the worker's arrival or the advertised contractual first date of need, whichever is later. Raceland will provide or reimburse inbound and outbound transportation and daily subsistence costs for corresponding U.S. workers who are not reasonably able to return to their residence within the same workday. Raceland Raw Sugar, LLC is the same entity as Raceland Raw Sugar Corporation as listed in the State Workforce Agency job order. Job Classification: 53-7051.00 - Industrial Truck and Tractor Operators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Number of Hours Per Week: 56 Work Schedule (Start/End time): 7:00 A.M. - 3:00 P.M.</t>
  </si>
  <si>
    <t>H-400-26184-076336</t>
  </si>
  <si>
    <t>S and S Oyster House Inc.</t>
  </si>
  <si>
    <t>betsystanley@ymail.com</t>
  </si>
  <si>
    <t>+12513666033</t>
  </si>
  <si>
    <t>Duties may include: Use knives to shuck, clean, trim, and slice oysters from their shell into a bucket to be weighed and prepared for sale, clean-up working areas &amp; other related Oyster Shuckers activities as per SOC/OES 51-3022 (onetonline.org). Standard/Expected Schedule: Monday-Friday 5:00AM-12:00PM. Offering 35+ (plus) hours per week; not including applicable lunch and/or breaks. Possible weekend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Earn $2 per lb of oysters. One sack of oysters weighs 8lbs ($16 per sack). Worker expected to fill a sack every 30-45 minutes - roughly 12-14 sacks filled in a day per worker. Worker will never make less than the required Prevailing Wage or Federal/state/local minimum wage.. Optional, shared housing available at no cost to the worker. Job Classification: 51-3022.00 - Meat, Poultry, and Fish Cutters and Trimmers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1 Special Requirements: Must show proof of legal authorization to work in the United States. Drug/alcohol/tobacco free work zone. Perform physical activities: such as lift, balance, walk, stoop, handle, position, move, manipulate materials use static strength to exert maximum muscle force to lift, push, pull, carry objects up to 50lbs. All applicants must be able, willing and qualified to perform work described and must be available for the entire period specified and work throughout all areas of intended employment. Delivery and availability of seafood product from fisherman may result in possible downtimes due to weather conditions. Number of Hours Per Week: 35 Work Schedule (Start/End time): 5:00 A.M. - 12:00 P.M.</t>
  </si>
  <si>
    <t>H-400-26184-076345</t>
  </si>
  <si>
    <t>SOUTHWEST FORESTRY, LLC</t>
  </si>
  <si>
    <t>silvestre.bazan541@gmail.com</t>
  </si>
  <si>
    <t>+15418420038</t>
  </si>
  <si>
    <t>COMMERCIAL TREE PLANTING WILL BE CONDUCTED ON STEEP TERRAIN; 40%-50% IN SLOPE AND DONE WITH THE USE OF A PLANTING SHOVEL. THE EMPLOYEE WILL CLEAR A SPACE ON THE GROUND, DIG A HOLE, CORRECTLY PLACE THE SEEDLING TREE IN THE HOLE, ENSURING THE SEEDLING ROOTS ARE NOT IN A J OR U SHAPE, COVER THE ROOTS WITH THE SOIL, AND THEN TAMP THE SOIL AROUND THE NEWLY PLANTED SEEDLING. NETTING/TUBING MATERIAL INSTALLED AS REQUIRED. SPRAYING OF PESTICIDE FOLLOWS. THE EMPLOYEE WILL BE REQUIRED TO CARRY A PLANTING BAG WHICH WILL CONTAIN THE SEEDLINGS, COMBINED WEIGHT IS ABOUT 50-60 POUNDS, DEPENDING ON THE SIZE OF THE SEEDLINGS, UP AND DOWN THE STEEP TERRAIN IN REMOTE MOUNTAINOUS AREAS. PRE-COMMERCIAL THINNING: CUTTING OF UNDESIRABLE AND DISEASED TREES. SPRAYING VEGETATION TO ELIMINATE UNWANTED UNDERBRUSH.SPRAYING: (Only herbicides labeled for forestry applications are used. The position does not mix or load of any herbicide. Mixing and loading is done by a licensed herbicide applicator who oversees all aspects of application. Each worker who sprays herbicide must be licensed with the Oregon Department of Agriculture. Workers are trained both for safety and for technical procedures. The worker will be trained, once hired, to obtain the spraying license.) BRUSH CUTTING/PILING AND THE CUTTING OF LIMBS OF THE COMMERCIAL TIMBER WILL BE CONDUCTED IN ORDER TO PROMOTE THE GROWTH OF THE STANDING TIMBER. TREE LIMBS CUT AND BRUSH WILL BE PILED IN A PRESCRIBED MANNER FOR FUTURE DISPOSAL. THE THINNING WILL BE CONDUCTED WITH THE USE OF A CHAINSAW. EMPLOYEES ARE EXPECTED TO MAINTAIN THE SAW, SHARPEN THE CHAIN IN THE FIELD, MAINTAIN CORRECT FLUID LEVELS, AND PROPERLY BREAK THE SAW DOWN FOR CLEANING. THE COMBINED WEIGHT OF THE SAW, FUEL AND OIL IS APPROXIMATELY 30 LBS AND MUST BE CARRIED UP AND DOWN DIFFICULT TERRAIN RANGING FROM 40%-50% IN SLOPE. THE EMPLOYEE MUST DEMONSTRATE THAT HE CAN WORK IN A SAFE AND EFFECTIVE MANNER. ACCESS IS GAINED TO THESE REMOTE AREAS BY TRAVELING ON ABANDONED, UNNAMED OR NUMBERED, LOGGING ROADS THAT ARE MAINTAINED. WORKERS WILL BE REQUIRED TO HIKE FROM A ROAD SYSTEM TO WORKSITES THAT MAYBE LOCATED UP TO 3 MILES IN DISTANCE DUE TO THE REMOTENESS OF THE WORKSITE. Job Classification: 45-4011.00 - Forest and Conservation Workers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COMMERCIAL TREE PLANTING AND/OR PRE-COMMERCIAL THINNING Number of Hours Per Week: 40 Work Schedule (Start/End time): 7:00 A.M. - 3:30 P.M.</t>
  </si>
  <si>
    <t>H-400-26184-076348</t>
  </si>
  <si>
    <t>Schultz Builders, LLC</t>
  </si>
  <si>
    <t>tim@customlandscapessb.com</t>
  </si>
  <si>
    <t>+18323674740</t>
  </si>
  <si>
    <t>Assist with performing a variety of landscaping tasks to support the development, installation, and upkeep of outdoor spaces. Duties include mowing lawns; trimming, edging, and pruning trees, shrubs, and other plant materials; mulching beds; planting flowers, shrubs, and trees; weeding; fertilizing; and assisting with general grounds maintenance to ensure healthy landscape conditions. Additional duties include assisting with the installation of landscape features by carrying blocks, spreading gravel, sweeping sand into joints, placing pins in segmental wall units, and cleaning the work area, as well as supporting skilled staff in ground cover applications, grading and site preparation, and installation of water drainage solutions and landscape lighting. Workers use hand and power tools such as shovels, rakes, wheelbarrows, brooms, mallets, mowers, weed eaters, and gas-powered blowers to complete tasks safely and efficiently. Job Classification: 37-3011.00 - Landscaping and Groundskeeping Workers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Must lift/carry 75 lbs., when necessary. Saturday and Sunday work required, when necessary. Employer-paid drug testing required of foreign and domestic workers prior to commencing work and post-hire upon suspicion of use. Post-hire background check and employment eligibility (e-Verify) check required of foreign and domestic workers. Must possess or be able to obtain U.S. driver's license within 30 days of hire. Employer may offer more than the stated work hours depending on weather, business needs, and other conditions. Extreme heat, cold, rain, or drought may affect exact working hours. Number of Hours Per Week: 42 Work Schedule (Start/End time): 7:30 A.M. - 4:30 P.M.</t>
  </si>
  <si>
    <t>H-400-26184-076365</t>
  </si>
  <si>
    <t>Shellbelt Crab Co.</t>
  </si>
  <si>
    <t>megan.shellbeltseafood@gmail.com</t>
  </si>
  <si>
    <t>+12518246045</t>
  </si>
  <si>
    <t>Crab Picker</t>
  </si>
  <si>
    <t>Duties may include: Process blue crabs by picking and separating meat by hand. Maintain a clean and organized work area, and clean and sanitize the station when finished &amp; other related Crab Picker activities as per SOC/OES 51-3022 (onetonline.org). Standard/Expected Schedule: Monday-Friday 4:00AM-12:00PM. Offering 40+ (plus) hours per week; not including applicable lunch and/or breaks. Possible weekend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Crab Pickers are paid on a piece-rate basis and are guaranteed the prevailing wage of $12.39 per hour. Workers are paid $4.50 per pound for white crab meat picked and $3.50 per pound for dark crab meat picked. Product is weighed daily, and workers receive a daily ticket showing pounds picked. The Employer maintains daily time records and compares piece-rate earnings to the prevailing wage guarantee each pay period. If piece-rate earnings are less than $12.39 per hour worked, the Employer will pay the difference. . Job Classification: 51-3022.00 - Meat, Poultry, and Fish Cutters and Trimmers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Must be 18 due to equipment use. Must show proof of legal authorization to work in the United States. Drug/alcohol/tobacco free work zone. All applicants must be able, willing and qualified to perform work described and must be available for the entire period specified. Hours may fluctuate based on tourism peaks and valleys throughout the season (+/-), possible downtime and/or overtime. Number of Hours Per Week: 40 Work Schedule (Start/End time): 4:00 A.M. - 12:00 P.M.</t>
  </si>
  <si>
    <t>H-400-26184-076359</t>
  </si>
  <si>
    <t>St. Louis Tree And Shrub Care, Inc.</t>
  </si>
  <si>
    <t>stltreeandshrub@gmail.com</t>
  </si>
  <si>
    <t>+13145689134</t>
  </si>
  <si>
    <t>Duties may include: Maintain grounds. Trim &amp; prune trees, shrubs, and hedges at ground level. Use hand tools, such as wheelbarrows, pruning shears and pruning saws. Gather &amp; remove litter, leaves, and debris on facilities and work sites. Load wheelbarrows by hand, secure with tarps, and dispose of debris in correct waste container or landfill &amp; other related Tree Trimmer activities as per SOC/OES 37-3011 (onetonline.org). Standard/Expected Schedule: Monday-Friday 8:00AM-4:30PM.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Job Classification: 37-3011.00 - Landscaping and Groundskeeping Workers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Must show proof of legal authorization to work in the United States. Drug/alcohol/tobacco free work zone. Perform physical activities: such as lift, balance, walk, stoop, handle, position, move, manipulate materials use static strength to exert maximum muscle force to lift, push, pull, carry objects up to 50lbs. All applicants must be able, willing and qualified to perform work described and must be available for the entire period specified and work throughout all areas of intended employment. Work is performed outdoors, exposed to weather; must be capable of doing physically strenuous labor for long hours, occasionally in extreme heat or cold. Variable weather conditions apply; hours may fluctuate (+/-), possible downtime and/or overtime. Number of Hours Per Week: 40 Work Schedule (Start/End time): 8:00 A.M. - 4:30 P.M.</t>
  </si>
  <si>
    <t>H-400-26184-076364</t>
  </si>
  <si>
    <t>Storm Shelter Construction Inc.</t>
  </si>
  <si>
    <t>rebecca@shelterroofs.com</t>
  </si>
  <si>
    <t>+14235991550</t>
  </si>
  <si>
    <t>Roofer</t>
  </si>
  <si>
    <t>Duties may include: Prepare roofs for the application of new roofing materials by sweeping, cleaning, removing old or damaged roofing materials. Cover roofs with layers of felt or ice and water shield before installing composite shingles, metal, or membrane roofing. Assist roofers with installation of new roofs by hauling roofing materials and necessary supplies. Use hand tools such as caulking gun, flat bar, hammer tacker, nail gun, razor knife, roofing shovel, or tin snips. Clean up and remove any roofing debris to onsite trash receptacles to ensure clean and safe worksite &amp; other related Roofer activities as per SOC/OES 47-2181 (onetonline.org). Standard/Expected Schedule: Monday-Friday 8:00AM-5:00PM.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Job Classification: 47-2181.00 - Roofers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Must be 18 due to equipment use. Must show proof of legal authorization to work in the United States. Drug/alcohol/tobacco free work zone. Perform physical activities such as: lift, balance, walk, stoop, handle, position, move, manipulate materials use static strength to exert max muscle force to lift, push, pull, carry objects up to 70lbs (possible 2-person). All applicants must be able, willing and qualified to perform work described and must be available for the entire period specified and work throughout all areas of intended employment.Based on Employer's discretion/cost: Worker may have random drug/alcohol testing during employment: positive test/refusal to abide = dismissal. Possible background check post hire at employer's expense.Work is performed outdoors, exposed to weather; must be capable of doing physically strenuous labor for long hours, occasionally in extreme heat or cold. Variable weather conditions apply; hours may fluctuate (+/-), possible downtime and/or overtime. Number of Hours Per Week: 40 Work Schedule (Start/End time): 8:00 A.M. - 5:00 P.M.</t>
  </si>
  <si>
    <t>H-400-26184-076328</t>
  </si>
  <si>
    <t>The Olde Hickory Golf and Country Club</t>
  </si>
  <si>
    <t>careers@oldehickory.cc</t>
  </si>
  <si>
    <t>+12397682400</t>
  </si>
  <si>
    <t>Prepares, seasons and cooks’ soups, meats, vegetables, desserts and other miscellaneous food items for consumption. Prepares food in accordance with club recipes and standards. Operates kitchen equipment. Notifies Executive Chef or Sous Chef of unexpected shortages. Consistently uses safe and sanitary food handling practices. Ensures workstations and equipment are clean and sanitary. Clean up duties including cleaning kitchen and washing dishes, pots and pans and other items as necessary in the order for the kitchen to run efficiently and smoothly. Maintains communication with wait staff. Maintains security and safety in work area. Assist with setup and breakdown of action stations, buffet tables, and theme decorations. Job Classification: 35-2014.00 - Cooks, Restaurant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8 Special Requirements: Must pass pre-employment drug test in accordance with company hiring policy in effect at time of hire. Must be able to read, write and communicate effectively. Number of Hours Per Week: 35 Work Schedule (Start/End time): 9:00 A.M. - 9:00 P.M.</t>
  </si>
  <si>
    <t>H-400-26184-076338</t>
  </si>
  <si>
    <t>Servers will take, serve, and carry out food and beverage orders; answer questions regarding menu items and offer menu recommendations when appropriate; enter orders into the POS computer system; assemble food and beverages on trays; serve beverages and meals; replenish items as needed; prepare and serve hot, cold, and mixed drinks; operate the espresso machine; recommend and serve wine tableside to members and guests; remove dirty dishes; receive proper payment from guests; ensure the accuracy of guest checks, methods of payment, and member signatures; and obtain and maintain a working knowledge of all food menus, including carryout menus. Servers provide setup and cleanup activities for food and beverage outlets and assist in preparing and cleaning dining and event areas, including arranging banquet tables, chairs, decorations, displays, and related dining setup items, and breaking down and restoring event spaces following food service. Servers may be required to perform duties in outdoor dining environments, at banquet events, and may serve customers via golf cart. Servers ensure orders are prepared with the correct priority, assist with simple finishing touches before service, including garnishing plates and preparing items for presentation, check dishes before delivery for accuracy, presentation, and temperature, transfer important information between the kitchen and other waitstaff, replenish food and beverage items as needed, and attend all premeal meetings in person to enhance communication and product knowledge. Servers also perform restaurant and guest service duties as directed by supervisors or Food and Beverage management, including assisting guests, resetting tables, maintaining dining area cleanliness, supporting food and beverage service, and performing routine opening and closing duties, as well as other duties assigned, requested, or deemed necessary by Food and Beverage management. Job Classification: 35-3031.00 - Waiters and Waitresses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8 Special Requirements: Must pass pre-employment drug test in accordance with company hiring policy in effect at time of hire. Must be able to read, write and communicate effectively. Number of Hours Per Week: 35 Work Schedule (Start/End time): 9:00 A.M. - 9:00 P.M.</t>
  </si>
  <si>
    <t>H-400-26184-076354</t>
  </si>
  <si>
    <t>H-400-26184-076322</t>
  </si>
  <si>
    <t>H-400-26184-076321</t>
  </si>
  <si>
    <t>Vin Woods LLC</t>
  </si>
  <si>
    <t>vinwoodsllc@hotmail.com</t>
  </si>
  <si>
    <t>+17705747108</t>
  </si>
  <si>
    <t>Duties may include: Perform mechanized packaging of the crop, manual loading of the crop into bulk transport bins, mechanized transport of the bins to the pack room, manual loading of the crop onto the packing lines, manual sorting/aligning of the crop, packing the crop into bags, label, load and store packed bags. Clean work area &amp; other related Nursery Worker activities as per SOC/OES 45-2092 (onetonline.org). Standard/Expected Schedule: Monday-Friday 8:00AM-4:00PM. Offering 35+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Job Classification: 45-2092.00 - Farmworkers and Laborers, Crop, Nursery, and Greenhouse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Must be 18 due to insurance. Must show proof of legal authorization to work in the United States. Drug/alcohol/tobacco free work zone. Perform physical activities: such as lift, balance, walk, stoop, handle, position, move, manipulate materials use static strength to exert maximum muscle force to lift, push, pull, carry objects up to 50lbs. All applicants must be able, willing and qualified to perform work described and must be available for the entire period specified.Based on Employer's discretion/cost: Worker may have random drug/alcohol testing during employment: positive test/refusal to abide = dismissal. Work is performed outdoors, exposed to weather; must be capable of doing physically strenuous labor for long hours, occasionally in extreme heat or cold. Variable weather conditions apply; hours may fluctuate (+/-), possible downtime and/or overtime. Number of Hours Per Week: 40 Work Schedule (Start/End time): 8:00 A.M. - 4:00 P.M.</t>
  </si>
  <si>
    <t>H-400-26184-076332</t>
  </si>
  <si>
    <t>Wickman Gardens Inc.</t>
  </si>
  <si>
    <t>Dega14@icloud.com</t>
  </si>
  <si>
    <t>+14178623707</t>
  </si>
  <si>
    <t>Duties may include: Maintain grounds of industrial, commercial, public, private property; cut grass, use walk/riding mowers, install grass, seed, and straw. Mulching, edging, sodding, trimming, pruning, use hand/power tools, spray, Plant flowers, trees, shrubs, water, and pick up, burn, cart away leaves, paper or other litter &amp; other related Landscape Worker activities as per SOC/OES 37-3011 (onetonline.org). Job Classification: 37-3011.00 - Landscaping and Groundskeeping Workers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Must be 18 due to insurance. Must show proof of legal authorization to work in the United States. Drug/alcohol/tobacco free work zone. Perform physical activities such as: lift, balance, walk, stoop, handle, position, move, manipulate materials use static strength to exert max muscle force to lift, push, pull, carry objects up to 75lbs (possible 2-person). All applicants must be able, willing and qualified to perform work described and must be available for the entire period specified and work throughout all areas of intended employment. Based on Employer's discretion/cost: Worker may have random drug/alcohol testing during employment: positive test/refusal to abide = dismissal. Possible background check post hire at employer's expense. Work is performed outdoors, exposed to weather; must be capable of doing physically strenuous labor for long hours, occasionally in extreme heat or cold. Variable weather conditions apply; hours may fluctuate (+/-), possible downtime and/or overtime. Number of Hours Per Week: 40 Work Schedule (Start/End time): 7:30 A.M. - 4:30 P.M.</t>
  </si>
  <si>
    <t>H-400-26184-076360</t>
  </si>
  <si>
    <t>Horse Rider / Stable Attendant</t>
  </si>
  <si>
    <t>Responsible for the daily care, handling, and exercise of horses, including feeding, watering, grooming, bathing, and maintaining clean stalls and equipment. Prepares horses for training by tacking up, applying boots and wraps, and cooling them down afterward. Rides horses during morning workouts to build conditioning, assess performance, and support training plans. Adapt riding technique to individual horses and adhere to industry rules and weight requirements. Assists veterinarians and farriers by safely restraining horses during exams and hoof care. Monitors horse health, follows safety protocols, and communicates performance updates to trainers and owners. Job Classification: 39-2011.00 - Animal Trainers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6 Special Requirements: Split shift, 5:00am-10:00am; 2:30pm-4:30pm (Tuesday-Sunday), optional hours available on Monday, but not required. Hours may vary based on the weather and racing schedule. Workers must be able to lift and carry weights of 150 lbs. with assistance. Workers should have the capability to lift, carry, and move equipment and materials needed to complete their assigned tasks. The employer will rely on workers' self-representations and observations to assess whether they meet this requirement. Must be able to follow all safety and industry guidelines with respect to training and health practices for horses and riders. 6 months experience required as Horse Groom, Horse Rider, or Stable Attendant. On-the-job training will not be provided. The employer will provide to the worker, without charge or deposit charge, all tools, supplies, and equipment required to perform the duties assigned, in accordance with 20 CFR 655.20(k). Random drug testing may be required post-hire for all workers, both U.S./domestic and H-2B workers, at employer's expense. Number of Hours Per Week: 40 Work Schedule (Start/End time): 5:00 A.M. - 4:30 P.M.</t>
  </si>
  <si>
    <t>H-400-26184-076401</t>
  </si>
  <si>
    <t>A+ Builders</t>
  </si>
  <si>
    <t>julia.abuilders@gmail.com</t>
  </si>
  <si>
    <t>+18153191733</t>
  </si>
  <si>
    <t>Roofer Helper</t>
  </si>
  <si>
    <t>Employees perform general construction support duties, including maintaining clean and organized work areas, cleaning and maintaining tools and equipment, and unloading and distributing materials and supplies. They set up ladders, scaffolds, and hoists to facilitate the safe movement of materials and assist with transporting materials to designated work areas. Additionally, employees are responsible for clearing drains and downspouts and performing general site cleanup to ensure a safe and efficient work environment. Job Classification: 47-3016.00 - Helpers--Roofers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Must lift/carry 50 lbs., when necessary. Saturday and Sunday work required, when necessary. Post-hire post-accident drug testing required of foreign and domestic workers. Requires 3 months of roofer helper experience. Employer may offer more than the stated work hours depending on weather, business needs, and other conditions. Extreme heat, cold, rain, or drought may affect exact working hours. Number of Hours Per Week: 45 Work Schedule (Start/End time): 7:00 A.M. - 5:00 P.M.</t>
  </si>
  <si>
    <t>H-400-26184-076396</t>
  </si>
  <si>
    <t>ALFONSO GALLEGOS INC</t>
  </si>
  <si>
    <t>timbertamers@yahoo.com</t>
  </si>
  <si>
    <t>+17074892248</t>
  </si>
  <si>
    <t>All applicants must be able, willing, qualified to perform the work described and must be available the entire period specified. Temporary full-time seasonal position Brush Clearer for utility Right of Way activities as per Soc/OES 37-3011. Duties: spray fertilizer, herbicide, insecticide on shrubs, trees, foliage, use hand/auto sprayers. Perform physical activities: lift, balance, walk, stoop, handle, position, move, manipulate materials use static strength exert max muscle force to push, pull, carry objects up to 50 lbs. Outdoors exposed to weather. Hrs/Wage may vary climate and area of work. Transport to from job location provided by employer on daily work days no cost to worker. 7A-5P M-F Drug, alcohol, tobacco free work zone; if Supervisor observes worker possibly under influence drugs/alcohol employer paid testing, failure to participate, failed test=dismissal. Must show proof legal authority work in U.S. Min. age 18-yrs due to travel. OJT No minimal ed. Exp. reqd. All work done w/employer provided tools, supplies, equip w/o charge or deposit in accordance. Employer optional housing is provided at no cost to worker, employer will assist workers in securing board, lodging, etc. Job Classification: 37-3011.00 - Landscaping and Groundskeeping Workers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Drug, alcohol, tobacco-free work zone. Must show proof of legal status to work in U.S. Must be 18+ years of age due to travel. Number of Hours Per Week: 35 Work Schedule (Start/End time): 7:00 A.M. - 4:00 P.M.</t>
  </si>
  <si>
    <t>H-400-26184-076397</t>
  </si>
  <si>
    <t>Temporary Full time. All applicants must be able, willing, qualified perform work described in this job description &amp; be available entire period specified. Duties may include: reforest, protect timber tracts, sow seed; lift seedlings from nursery beds, place shade materials beside seedlings, net/ tube (place small plastic tubes over seedlings); mulch, post-plant hand scalp (remove excess vegetation around seedlings); apply repellent or fertilizer to seedlings &amp; other forestry related activities as per Forestry &amp; Land Management General Forestry Laborer activities as per SOC/OES 45-4011 (onetonline.org). Perform physical activities: lift, balance, walk, stoop, handle, position, move, manipulate materials use static strength-exert max muscle force to lift, push, pull, or carry objects up to 50lbs. Attn to detail; complete work tasks timely. Outdoors, exposed to weather; must be capable physical strenuous labor long hrs, occasionally in extreme heat/cold. Variable weather conditions apply; hrs may fluctuate (+/-), possible downtime/ OT. Possible daily/wkly hrs: 7AM-3:30 PM. M-F 35-40 plus/hrs wkly, includes lunch break. No min. edu. No exp. reqd. OJT. Transport provided, designated locale to job site at no cost to worker. The employer’s optional housing is provided at no cost to worker. Tools/equipment provided by employer at no cost to worker. Job Classification: 45-4011.00 - Forest and Conservation Workers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Must be at least 18 years old due to travel. Must show proof of legal authority to work in U.S. Drug, Alcohol, Tobacco free work zone. Number of Hours Per Week: 35 Work Schedule (Start/End time): 7:00 A.M. - 3:30 P.M.</t>
  </si>
  <si>
    <t>H-400-26184-076419</t>
  </si>
  <si>
    <t>AM Leonard, Inc.</t>
  </si>
  <si>
    <t>lwalker@amleo.com</t>
  </si>
  <si>
    <t>General Warehouse Laborer</t>
  </si>
  <si>
    <t>Work in warehouse environment for horticultural supply company that provides public with variety of tools/equipment/supplies to grow and maintain plants. Laborer warehouse assignments may vary daily or during shift between picker and shipper duties. Picker duties include: Using handheld scanner (which identifies item location, quantity and description) to fill carts with requested products for shipment. Group carts together behind golf cart. Shipping duties include: Removing items from carts, packaging items, and placing items on conveyor belt to be taken to loading/receiving area. Entry level; requires supervision. Job Classification: 53-7065.00 - Stockers and Order Fillers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Must lift/carry 70 lbs., when necessary. Employer-paid drug testing required of foreign and domestic workers prior to commencing work and post-hire upon suspicion of use and post-accident. Post-hire background check required of foreign and domestic workers. Standard 1st shift 8:00AM-4:30PM M-F or 8:30 AM-5:00 PM pending warehouse assignment. Saturday work required, when necessary. Infrequent 3rd shift work 10:00PM-7:00AM, Sun.-Thurs., only if necessary. Number of Hours Per Week: 40 Work Schedule (Start/End time): 8:00 A.M. - 4:30 P.M.</t>
  </si>
  <si>
    <t>H-400-26184-076385</t>
  </si>
  <si>
    <t>Blue Grass Collision LLC</t>
  </si>
  <si>
    <t>bluegrasscollision@outlook.com</t>
  </si>
  <si>
    <t>+12706410644</t>
  </si>
  <si>
    <t>Detail/collision Repair</t>
  </si>
  <si>
    <t>Duties may include: Prepare vehicle for body work, wash, and sand body areas to be painted and cover bumpers, windows, and trim with masking tape or paper to protect them from the paint. Position dolly blocks against surfaces of dented areas and beat opposite surfaces to remove dents, using hammers. Using pick hammers and punches, remove small pits and dimples in body metal. Fill small dents that cannot be worked out with plastic or solder. File, grind, sand, and smooth filled or repaired surfaces, using power tools and hand tools. Detail vehicle after it has been painted/refinished. Clean work areas, using air hoses, to remove damaged material and discarded fiberglass strips used in repair procedures &amp; other related Detail/Collision Repair activities as per SOC/OES 49-3021 (onetonline.org). Standard/Expected Schedule: Monday-Friday 8:00AM-5:00PM. Offering 40+ (plus) hours per week; not including applicable lunch and/or breaks. Possible weekend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Job Classification: 49-3021.00 - Automotive Body and Related Repairers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Must be 18 due to insurance. Must show proof of legal authorization to work in the United States. Drug/alcohol/tobacco free work zone. Perform physical activities: such as lift, balance, walk, stoop, handle, position, move, manipulate materials use static strength to exert maximum muscle force to lift, push, pull, carry objects up to 40lbs. All applicants must be able, willing and qualified to perform work described and must be available for the entire period specified. Hours may fluctuate based on tourism peaks and valleys throughout the season (+/-), possible downtime and/or overtime. Number of Hours Per Week: 40 Work Schedule (Start/End time): 8:00 A.M. - 5:00 P.M.</t>
  </si>
  <si>
    <t>H-400-26184-076391</t>
  </si>
  <si>
    <t>Bulk Transport Company East, Inc</t>
  </si>
  <si>
    <t>kgreenwood@btcbulkwest.com</t>
  </si>
  <si>
    <t>+13082355728</t>
  </si>
  <si>
    <t>Aide seasoned mechanics in the lesser duties associated with the maintenance and repair of vehicles. Assist mechanics to diagnose, examine, test, adjust and repair various commercial vehicles and equipment such as, pick-up trucks, heavy tractor-trailer combinations, trucks with the Gross Vehicle Weight Rating (GVWR) over 26,001 pounds, loaders, trailers and other related machinery and equipment as required. Hold or supply tools and parts for higher skilled workers. Position vehicles as well as tools, diagnostic equipment and supplies, as necessary. Daily functions may include inspecting vehicles, machinery and equipment to ensure fully functional; Engaging the engines and driving or operating the machinery or equipment or vehicle within the maintenance area to ensure it is operating properly, safely and fully functional for the work ahead; Cleaning and lubricating vehicles and other equipment and tools; Keeping the maintenance area clear and safe by ensuring all vehicles, machinery, diagnostic equipment, supplies, tools, large and small maintenance equipment, fluids, and supplies are stored and positioned as needed. Job Classification: 49-9098.00 - Helpers--Installation, Maintenance, and Repair Workers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6 Special Requirements: Must pass background check and drug testing. Number of Hours Per Week: 36 Work Schedule (Start/End time): 7:00 A.M. - 7:00 P.M.</t>
  </si>
  <si>
    <t>H-400-26184-076379</t>
  </si>
  <si>
    <t>Cresco Building Service, Inc.</t>
  </si>
  <si>
    <t>matt@crescobuildingservice.biz</t>
  </si>
  <si>
    <t>+15635472525</t>
  </si>
  <si>
    <t>Prepare the site for placing of concrete by loading and unloading materials, running string-lines, cutting wood with skill saw, using a sledgehammer to pound stakes into the ground, digging and leveling the earth using shovels and platepackers. Assist with placing concrete by using wheelbarrows, concrete rakes and shovels. Assist experienced concrete finishers in the lesser duties associated with concrete construction. Clean up construction site. Job Classification: 47-2061.00 - Construction Laborers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Must be able to lift and carry 75 lbs 75 yds and handle extreme temperatures. Will travel to worksites within the area of intended employment. Some weekend work. Number of Hours Per Week: 40 Work Schedule (Start/End time): 6:30 A.M. - 4:30 P.M.</t>
  </si>
  <si>
    <t>H-400-26184-076398</t>
  </si>
  <si>
    <t>Position offered is for an experienced holiday lighting laborer with a minimum of three months experience in holiday lighting labor, which consists of organizing and preparing stock of holiday decor material, installing and/or removing materials from job sites, and loading and unloading materials and preparing for storage. Ability to load and unload materials and equipment that can weigh up to 50 pounds is required. The physical demand described here are representative of those that must be met by an employer to successfully perform the essential functions of this job. Job Classification: 49-9099.00 - Installation, Maintenance, and Repair Workers, All Other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3 months previous experience. Lifting up to 50 pounds. Overtime as needed. Shifts are from 8am - 5pm and 9pm - 6am, Sunday - Saturday. Shifts will be assigned based on project demands. We want to clarify the information on item F.a.5. During the workweek, which runs from Sunday through Saturday, employees are scheduled to work a 40 hour week. F.a.5. does not allow us to enter such a work schedule. If we enter 8 hours each day, it would show 56 hours a week, which is not an accurate reflection of their work schedule. Number of Hours Per Week: 40 Work Schedule (Start/End time): 8:00 A.M. - 5:00 P.M.</t>
  </si>
  <si>
    <t>H-400-26184-076376</t>
  </si>
  <si>
    <t>Delaney Concrete Construction Company Inc.</t>
  </si>
  <si>
    <t>delaneyconcreteia@gmail.com</t>
  </si>
  <si>
    <t>+13193636970</t>
  </si>
  <si>
    <t>Residential and commercial concrete construction. Measure and layout footings and foundation. Excavate footings and level earth to grade specifications. Position aluminum wall forms and place all concrete. Clean site. Prepare the site for placing of concrete by loading and unloading materials, running string-lines, cutting wood with skill saw, using a sledgehammer to pound stakes into the ground, digging and leveling the earth using shovels and platepackers. Assist with placing concrete by using wheelbarrows, concrete rakes and shovels. Job Classification: 47-2061.00 - Construction Laborers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Must be able to lift and carry 75 lbs. 50 yds. Must be able to handle temperature extremes. 3 months aluminum wall form setting experience required. Number of Hours Per Week: 40 Work Schedule (Start/End time): 7:00 A.M. - 5:00 P.M.</t>
  </si>
  <si>
    <t>H-400-26184-076377</t>
  </si>
  <si>
    <t>Dickey Construction, Inc.</t>
  </si>
  <si>
    <t>dickeyconstruction@yahoo.com</t>
  </si>
  <si>
    <t>+15153681956</t>
  </si>
  <si>
    <t>Help carpenters by performing duties requiring less skill including using, supplying, or holding materials and tools used in framing, siding, roofing, concrete flatwork and other related activities. Clean work area and equipment. Job Classification: 47-3012.00 - Helpers--Carpenters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Must be able to lift and carry 75 lbs 75 yds. Must be able to handle temperature extremes. Some weekend work. 3 months carpentry experience required. Number of Hours Per Week: 40 Work Schedule (Start/End time): 7:00 A.M. - 6:00 P.M.</t>
  </si>
  <si>
    <t>H-400-26184-076422</t>
  </si>
  <si>
    <t>Earthscapes Pools, LLC</t>
  </si>
  <si>
    <t>office@earthscapesvb.com</t>
  </si>
  <si>
    <t>Pool Construction Laborer</t>
  </si>
  <si>
    <t>The Pool Construction Laborer assists with the physical tasks required for the construction of swimming pools, working under the direction of skilled workers. Responsibilities include preparing and cleaning construction sites; loading, unloading, and moving materials such as stone, dirt, concrete, and equipment; and operating basic tools and equipment including shovels, spades, brooms, wheelbarrows, electric jackhammers, grinders, and mini track loaders. Laborers will dig trenches, perform demolition, and assist with placing and securing reinforcement materials and PVC piping using general hand tools, PVC glue, and hydraulic cement. Workers will support the installation process by mixing, carrying, and supplying mortar, thin-set, plaster, and other materials, and will assist skilled workers by holding, positioning, and preparing tile, coping, and plaster materials for installation. Duties involve general site clean-up, material staging, and performing basic tasks that support the construction of concrete pool shells, structural elements and plumbing components. Job Classification: 47-2061.00 - Construction Laborers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Must lift/carry 50 lbs., when necessary. Saturday and Sunday work required, when necessary. Post-hire random, post-accident and upon suspicion of use drug testing required of foreign and domestic workers. Employer may offer more than the stated work hours depending on weather, business needs, and other conditions. Extreme heat, cold, rain, or drought may affect exact working hours. Number of Hours Per Week: 40 Work Schedule (Start/End time): 7:30 A.M. - 4:00 P.M.</t>
  </si>
  <si>
    <t>H-400-26184-076378</t>
  </si>
  <si>
    <t>Perform all methods of cookery, portion control and garnish for all dishes in accordance with the standards set by the executive chef; maintain high standards of quality food production to ensure guest satisfaction; inspect and clean food preparation areas, such as equipment and work service or serving areas to ensure safe and sanitary food-handling practices; prepare, cook and season food according to recipes; bake, roast, broil and steam meats, fish, vegetables, breads, desserts and other foods; ensure food is stored and cooked at the correct temperature by regulating temperature of ovens, broilers, grills and roasters; and, ensure freshness of food and ingredients by checking for quality, keeping track of old and new items and rotating stock. Job Classification: 35-2014.00 - Cooks, Restaurant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12 Special Requirements: 1 year of experience as a cook required. All applicants must pass a pre-employment background check prior to starting (pursuant to companys hiring policies) including seasonal &amp; full-time annual positions regardless of their national origin, race, and gender or visa status. Must be able to lift, pull or push between 30-50 pounds of equipment or trash. Must be available to work all shifts, including weekends, evenings, overnights and holidays. All employees of the Hotel in this positions are required to become member of the Labor Union (ILWU Local 142). Number of Hours Per Week: 35 Work Schedule (Start/End time): 8:00 A.M. - 4:00 P.M.</t>
  </si>
  <si>
    <t>H-400-26184-076420</t>
  </si>
  <si>
    <t>H-400-26184-076383</t>
  </si>
  <si>
    <t>Read and follow plans and measurements to construct, erect, install, or repair structures; building frameworks, including walls, concrete forms, windows, and door frames. Install metal siding and windows. Instruct less skilled workers on job duties. Will be exposed to heights, temperature extremes, strenuous physical activity, and repetitive motions. Proper and accurate use of tape measure required. Job Classification: 47-2031.00 - Carpenters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12 Special Requirements: Must be able to lift and carry 75 lbs 75 yds. Some weekend work. Must be able to handle temperature extremes. Will travel to worksites within the area of intended employment. Number of Hours Per Week: 40 Work Schedule (Start/End time): 7:00 A.M. - 5:00 P.M.</t>
  </si>
  <si>
    <t>H-400-26184-076390</t>
  </si>
  <si>
    <t>H-400-26184-076400</t>
  </si>
  <si>
    <t>H-400-26184-076380</t>
  </si>
  <si>
    <t>H-400-26184-076412</t>
  </si>
  <si>
    <t>H-400-26184-076414</t>
  </si>
  <si>
    <t>H-400-26184-076393</t>
  </si>
  <si>
    <t>Prepare construction site where concrete will be poured by directing concrete laborers to place materials on job site, measure forms, examine the grade and confirm proper form layout. Safely set and align wooden and metal forms that hold concrete. Spread, level and smooth concrete using rakes, walk-behind or riding screeds, power trowels, shovels or hand tools. Tear down concrete forms and cut concrete with concrete saws. Clean up construction site. Job Classification: 47-2051.00 - Cement Masons and Concrete Finishers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36 Special Requirements: Some weekend work. Must be able to lift and carry 75 lbs. for 50 yards. Must be able to handle extreme temperatures. Will travel to worksites within area of intended employment. Number of Hours Per Week: 40 Work Schedule (Start/End time): 7:00 A.M. - 5:00 P.M.</t>
  </si>
  <si>
    <t>H-400-26184-076387</t>
  </si>
  <si>
    <t>Greenline Services Inc.</t>
  </si>
  <si>
    <t>greenlineservicesinc1@gmail.com</t>
  </si>
  <si>
    <t>+15862757336</t>
  </si>
  <si>
    <t>Employees will keep the outside of both private commercial buildings (office buildings, retail centers, etc.) and residential buildings in clean and orderly condition by removing snow and leaves from sidewalks, driveways, yards, or parking areas, using snow shovels, snow blowers, leaf blowers, rakes, ice chippers, or salt spreaders; gather and empty trash and debris by hand or with a trash picker; fall/winter storm cleanup including clearing debris from grounds; and dormant tree/shrub winter pruning. May be asked to drive a crew vehicle to job sites if the worker already possesses a valid, noncommercial driver’s license; however, a driver’s license is not a condition of employment. Workers will not be required to operate a snow plow. Clean and perform routine maintenance on equipment and tools when not in use. Additionally, will perform support duties to assist painters indoors. Clean work areas and equipment. Apply protective coverings, such as masking tape, to articles or areas that could be damaged or stained by work processes. Supply or hold tools and materials. Smooth surfaces of articles to be painted, using sanding and buffing tools and equipment. Job Classification: 37-3011.00 - Landscaping and Groundskeeping Workers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Must lift/carry 50 lbs., when necessary. Saturday and Sunday work required, when necessary. Work hours may include nights and overtime during emergencies and winter storm conditions. Must be able to perform manual, physical labor outside during all weather conditions (hot, cold, rain, snow, etc.). Drug testing required of foreign and domestic workers post-accident as required by insurance at no cost to workers. Number of Hours Per Week: 35 Work Schedule (Start/End time): 7:00 A.M. - 4:30 P.M.</t>
  </si>
  <si>
    <t>H-400-26184-076394</t>
  </si>
  <si>
    <t>Prepare and serve drinks, enter drinks into pos system. Keep bar areas clean. Stock bar. (10) workers needed. Dates of need: 10/1/26-5/31/27. 3 months experience necessary. Rotating shifts. Workdays: Mon-Sun. Work hours: 7am-11pm. Rate of pay: $21.48-$32/hr based on performance, $32.22-$48/hr overtime. Workers paid biweekly. 35 hours/wk. Optional housing provided for $675-$745/ month ($675 month/ double occupancy, $745 month / single occupancy) with a $350 deposit, refundable upon completing of contract &amp; housing inspection. Benefits include: 401k after working 1000 hours, Christmas Bonus, Dental, Vision and Health insurance, 8 hours PTO. Uniforms and shift meals provided. Job location: 2400 Grey Oaks Drive North, Naples, FL 34105. Work is temporary full time employment. A single workweek will be used to compute wages. May get up to 10 hours of overtime when available. All deductions from the worker's paycheck required by law will be made. The employer will provide workers at no charge all tools, supplies, and equipment required to perform the job. The worker will be provided with or reimbursed for transportation and subsistence (including reasonable cost of overnight lodging where necessary up to $110/night for lodging with receipts.) at a rate of $16.78 per day during travel to a maximum of $68.00 per day with receipts from the place from which the worker has come to work for the employer, whether in the U.S. or abroad, to the place of employment, if the worker completes 50 percent of the period of employment covered by the job order, consistent with 20 CFR 655.20(j)(1)(i) by inclusion in the paycheck for the applicable week. Employer will provide or pay for the worker's cost of return transportation and daily subsistence from the place of employment to the place from which the worker, disregarding intervening employment, departed to work for the employer, if the worker completes the certified period of employment or is dismissed from employment for any reason by the employer before the end of the period, consistent with § 655.20(j)(1)(ii); H-2B workers will be reimbursed in the first workweek for all visas, visa processing, border crossing, and other related fees, including those mandated by the government (excluding passport fees). The employer will provide workers all tools, supplies, and equipment required to perform the job at no charge to the worker, in accordance with 20 CFR 655.20(k). Qualified applicants may mail resume to Attn: Alexandra Schrögendorfer at 2400 Grey Oaks Drive North, Naples, FL 34105, email to H2Bjobs@greyoakscc.com or visit your local job center at 3050 Horseshoe Drive North Building A Suite 110 Naples, FL 34104. *Your security deposit is refundable upon completion of your contract and upon inspection of the housing. If a worker abandons their job without permission of the employer or a worker abandons their housing before the end of the petition date for any reason except employer termination, the workers forfeits all housing deposits, PTO, vacation and bonus pay. Upon termination of resignation, the worker must vacate the housing immediately thereafter unless agreed upon by the employer.* Job Classification: 35-3011.00 - Bartenders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Number of Hours Per Week: 35 Work Schedule (Start/End time): 7:00 A.M. - 11:00 P.M.</t>
  </si>
  <si>
    <t>H-400-26184-076404</t>
  </si>
  <si>
    <t>Prepare, cook, saute, broil, fry such items as seafood, meats, poultry, vegetables, pastas, soups. Keeps kitchen areas clean &amp; sanitized. Stores all products in proper locations (48) workers needed. Dates of need: 10/1/26-5/31/27. 3 months experience necessary. Rotating shifts. Workdays: Mon-Sun. Work hours: 6am-10pm. Rate of pay: $19.88-$26/hr based on performance, $29.82-$39/hr overtime. Workers paid biweekly. 35 hours/wk. Optional housing provided for $675-$745/ month ($675 month/ double occupancy, $745 month / single occupancy) with a $350 deposit, refundable upon completing of contract &amp; housing inspection. Benefits include: 401k after working 1000 hours, Christmas Bonus, Dental, Vision and Health insurance, 8 hours PTO. Uniforms and shift meals provided. Job location: 2400 Grey Oaks Drive North, Naples, FL 34105. Work is temporary full time employment. A single workweek will be used to compute wages. May get up to 10 hours of overtime when available. All deductions from the worker's paycheck required by law will be made. The employer will provide workers at no charge all tools, supplies, and equipment required to perform the job. The worker will be provided with or reimbursed for transportation and subsistence (including reasonable cost of overnight lodging where necessary up to $110/night for lodging with receipts.) at a rate of $16.78 per day during travel to a maximum of $68.00 per day with receipts from the place from which the worker has come to work for the employer, whether in the U.S. or abroad, to the place of employment, if the worker completes 50 percent of the period of employment covered by the job order, consistent with 20 CFR 655.20(j)(1)(i) by inclusion in the paycheck for the applicable week. Employer will provide or pay for the worker's cost of return transportation and daily subsistence from the place of employment to the place from which the worker, disregarding intervening employment, departed to work for the employer, if the worker completes the certified period of employment or is dismissed from employment for any reason by the employer before the end of the period, consistent with § 655.20(j)(1)(ii); H-2B workers will be reimbursed in the first workweek for all visas, visa processing, border crossing, and other related fees, including those mandated by the government (excluding passport fees). The employer will provide workers all tools, supplies, and equipment required to perform the job at no charge to the worker, in accordance with 20 CFR 655.20(k). Qualified applicants may mail resume to Attn: Alexandra Schrögendorfer at 2400 Grey Oaks Drive North, Naples, FL 34105, email to H2Bjobs@greyoakscc.com or visit your local job center at 3050 Horseshoe Drive North Building A Suite 110 Naples, FL 34104. *Your security deposit is refundable upon completion of your contract and upon inspection of the housing. If a worker abandons their job without permission of the employer or a worker abandons their housing before the end of the petition date for any reason except employer termination, the workers forfeits all housing deposits, PTO, vacation and bonus pay. Upon termination of resignation, the worker must vacate the housing immediately thereafter unless agreed upon by the employer.* Job Classification: 35-2014.00 - Cooks, Restaurant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Number of Hours Per Week: 35 Work Schedule (Start/End time): 6:00 A.M. - 10:00 P.M.</t>
  </si>
  <si>
    <t>H-400-26184-076410</t>
  </si>
  <si>
    <t>Recreational Aide</t>
  </si>
  <si>
    <t>Conduct recreation activities with groups in public, private, or volunteer agencies or recreation facilities. Organize and promote activities, such as arts and crafts, sports, games, music, dramatics, social recreation, camping, and hobbies, taking into account the needs and interests of individual members (7) workers needed. Dates of need: 10/1/26-7/31/27. Rotating shifts. Workdays: Mon-Sun. Work hours: 8am-8pm. Rate of pay: $18-$26/hr based on performance, $27-$39/hr overtime. Workers paid biweekly. 35 hours/wk. Optional housing provided for $675-$745/ month ($675 month/ double occupancy, $745 month / single occupancy) with a $350 deposit, refundable upon completing of contract &amp; housing inspection. Benefits include: 401k after working 1000 hours, Christmas Bonus, Dental, Vision and Health insurance, 8 hours PTO. Uniforms and shift meals provided. Job location: 2400 Grey Oaks Drive North, Naples, FL 34105. Work is temporary full time employment. A single workweek will be used to compute wages. May get up to 10 hours of overtime when available. All deductions from the worker's paycheck required by law will be made. The employer will provide workers at no charge all tools, supplies, and equipment required to perform the job. The worker will be provided with or reimbursed for transportation and subsistence (including reasonable cost of overnight lodging where necessary up to $110/night for lodging with receipts.) at a rate of $16.78 per day during travel to a maximum of $68.00 per day with receipts from the place from which the worker has come to work for the employer, whether in the U.S. or abroad, to the place of employment, if the worker completes 50 percent of the period of employment covered by the job order, consistent with 20 CFR 655.20(j)(1)(i) by inclusion in the paycheck for the applicable week. Employer will provide or pay for the worker's cost of return transportation and daily subsistence from the place of employment to the place from which the worker, disregarding intervening employment, departed to work for the employer, if the worker completes the certified period of employment or is dismissed from employment for any reason by the employer before the end of the period, consistent with § 655.20(j)(1)(ii); H-2B workers will be reimbursed in the first workweek for all visas, visa processing, border crossing, and other related fees, including those mandated by the government (excluding passport fees). The employer will provide workers all tools, supplies, and equipment required to perform the job at no charge to the worker, in accordance with 20 CFR 655.20(k). Qualified applicants may mail resume to Attn: Alexandra Schrögendorfer at 2400 Grey Oaks Drive North, Naples, FL 34105, email to H2Bjobs@greyoakscc.com or visit your local job center at 3050 Horseshoe Drive North Building A Suite 110 Naples, FL 34104. *Your security deposit is refundable upon completion of your contract and upon inspection of the housing. If a worker abandons their job without permission of the employer or a worker abandons their housing before the end of the petition date for any reason except employer termination, the workers forfeits all housing deposits, PTO, vacation and bonus pay. Upon termination of resignation, the worker must vacate the housing immediately thereafter unless agreed upon by the employer.* Job Classification: 39-9032.00 - Recreation Workers The job/industry classification and description includes general information on the position from ONET/OES and the North American Industry Classification System. Please review Job Duties and Job Order for more information. Job Requirements Experience Required: No Number of Hours Per Week: 35 Work Schedule (Start/End time): 8:00 A.M. - 8:00 P.M.</t>
  </si>
  <si>
    <t>H-400-26184-076374</t>
  </si>
  <si>
    <t>Greet &amp; seat guests, take phone calls, make reservations (7) workers needed. Dates of need: 10/1/26-5/31/27. Rotating shifts. Workdays: Mon-Sun. Work hours: 6am-10pm. Rate of pay: $16-$21/hr based on performance, $24-$31.50/hr overtime. Workers paid biweekly. 35 hours/wk. Optional housing provided for $675-$745/ month ($675 month/ double occupancy, $745 month / single occupancy) with a $350 deposit, refundable upon completing of contract &amp; housing inspection. Benefits include: 401k after working 1000 hours, Christmas Bonus, Dental, Vision and Health insurance, 8 hours PTO. Uniforms and shift meals provided. Job location: 2400 Grey Oaks Drive North, Naples, FL 34105. Work is temporary full time employment. A single workweek will be used to compute wages. May get up to 10 hours of overtime when available. All deductions from the worker's paycheck required by law will be made. The employer will provide workers at no charge all tools, supplies, and equipment required to perform the job. The worker will be provided with or reimbursed for transportation and subsistence (including reasonable cost of overnight lodging where necessary up to $110/night for lodging with receipts.) at a rate of $16.78 per day during travel to a maximum of $68.00 per day with receipts from the place from which the worker has come to work for the employer, whether in the U.S. or abroad, to the place of employment, if the worker completes 50 percent of the period of employment covered by the job order, consistent with 20 CFR 655.20(j)(1)(i) by inclusion in the paycheck for the applicable week. Employer will provide or pay for the worker's cost of return transportation and daily subsistence from the place of employment to the place from which the worker, disregarding intervening employment, departed to work for the employer, if the worker completes the certified period of employment or is dismissed from employment for any reason by the employer before the end of the period, consistent with § 655.20(j)(1)(ii); H-2B workers will be reimbursed in the first workweek for all visas, visa processing, border crossing, and other related fees, including those mandated by the government (excluding passport fees). The employer will provide workers all tools, supplies, and equipment required to perform the job at no charge to the worker, in accordance with 20 CFR 655.20(k). Qualified applicants may mail resume to Attn: Alexandra Schrögendorfer at 2400 Grey Oaks Drive North, Naples, FL 34105, email to H2Bjobs@greyoakscc.com or visit your local job center at 3050 Horseshoe Drive North Building A Suite 110 Naples, FL 34104. *Your security deposit is refundable upon completion of your contract and upon inspection of the housing. If a worker abandons their job without permission of the employer or a worker abandons their housing before the end of the petition date for any reason except employer termination, the workers forfeits all housing deposits, PTO, vacation and bonus pay. Upon termination of resignation, the worker must vacate the housing immediately thereafter unless agreed upon by the employer.* Job Classification: 35-9031.00 - Hosts and Hostesses, Restaurant, Lounge, and Coffee Shop The job/industry classification and description includes general information on the position from ONET/OES and the North American Industry Classification System. Please review Job Duties and Job Order for more information. Job Requirements Experience Required: No Number of Hours Per Week: 35 Work Schedule (Start/End time): 6:00 A.M. - 10:00 P.M.</t>
  </si>
  <si>
    <t>H-400-26184-076375</t>
  </si>
  <si>
    <t>Kitchen Supervisor</t>
  </si>
  <si>
    <t>Directly supervise and coordinate activities of workers engaged in preparing and serving food. (7) workers needed. Dates of need: 10/1/26-5/31/27. 3 months experience necessary. Rotating shifts. Workdays: Mon-Sun. Work hours: 6am-10pm. Rate of pay: $24.46-$31/hr based on performance, $36.69-$46.50/hr overtime. Workers paid biweekly. 35 hours/wk. Optional housing provided for $675-$745/ month ($675 month/ double occupancy, $745 month / single occupancy) with a $350 deposit, refundable upon completing of contract &amp; housing inspection. Benefits include: 401k after working 1000 hours, Christmas Bonus, Dental, Vision and Health insurance, 8 hours PTO. Uniforms and shift meals provided. Job location: 2400 Grey Oaks Drive North, Naples, FL 34105. Work is temporary full time employment. A single workweek will be used to compute wages. May get up to 10 hours of overtime when available. All deductions from the worker's paycheck required by law will be made. The employer will provide workers at no charge all tools, supplies, and equipment required to perform the job. The worker will be provided with or reimbursed for transportation and subsistence (including reasonable cost of overnight lodging where necessary up to $110/night for lodging with receipts.) at a rate of $16.78 per day during travel to a maximum of $68.00 per day with receipts from the place from which the worker has come to work for the employer, whether in the U.S. or abroad, to the place of employment, if the worker completes 50 percent of the period of employment covered by the job order, consistent with 20 CFR 655.20(j)(1)(i) by inclusion in the paycheck for the applicable week. Employer will provide or pay for the worker's cost of return transportation and daily subsistence from the place of employment to the place from which the worker, disregarding intervening employment, departed to work for the employer, if the worker completes the certified period of employment or is dismissed from employment for any reason by the employer before the end of the period, consistent with § 655.20(j)(1)(ii); H-2B workers will be reimbursed in the first workweek for all visas, visa processing, border crossing, and other related fees, including those mandated by the government (excluding passport fees). The employer will provide workers all tools, supplies, and equipment required to perform the job at no charge to the worker, in accordance with 20 CFR 655.20(k). Qualified applicants may mail resume to Attn: Alexandra Schrögendorfer at 2400 Grey Oaks Drive North, Naples, FL 34105, email to H2Bjobs@greyoakscc.com or visit your local job center at 3050 Horseshoe Drive North Building A Suite 110 Naples, FL 34104. *Your security deposit is refundable upon completion of your contract and upon inspection of the housing. If a worker abandons their job without permission of the employer or a worker abandons their housing before the end of the petition date for any reason except employer termination, the workers forfeits all housing deposits, PTO, vacation and bonus pay. Upon termination of resignation, the worker must vacate the housing immediately thereafter unless agreed upon by the employer.* Job Classification: 35-1012.00 - First-Line Supervisors of Food Preparation and Serving Workers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Number of Hours Per Week: 35 Work Schedule (Start/End time): 6:00 A.M. - 10:00 P.M.</t>
  </si>
  <si>
    <t>H-400-26184-076416</t>
  </si>
  <si>
    <t>GroundSystems, Inc. - Hamilton</t>
  </si>
  <si>
    <t>chayes@groundsystems.net</t>
  </si>
  <si>
    <t>+18005700213</t>
  </si>
  <si>
    <t>Landscape or maintain grounds of property using hand or power tools or equipment. Workers typically perform a variety of tasks, which may include any combination of the following: sod laying, mowing, trimming, edging, planting, watering, fertilizing, digging, mulching, raking. Entry level; requires supervision. Job Classification: 37-3011.00 - Landscaping and Groundskeeping Workers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Must lift/carry 50 lbs., when necessary. Saturday and Sunday work required, when necessary. Employer-paid drug testing required of foreign and domestic workers prior to commencing work and post-hire post-accident. Post-hire background check required of foreign and domestic workers. Employer may offer more than the stated work hours depending on weather, business needs, and other conditions. Extreme heat, cold, rain, or drought may affect exact working hours. Number of Hours Per Week: 40 Work Schedule (Start/End time): 7:00 A.M. - 3:30 P.M.</t>
  </si>
  <si>
    <t>H-400-26184-076421</t>
  </si>
  <si>
    <t>Iowa Civil Contracting Inc.</t>
  </si>
  <si>
    <t>markr@iowacivil.com</t>
  </si>
  <si>
    <t>+13196473561</t>
  </si>
  <si>
    <t>Prepare construction site where concrete will be poured. Assist in pouring of concrete for finishers to complete. Use hand and power tools and carry various construction materials. Dig and level earth and gravel. Clean up construction site. Job Classification: 47-2061.00 - Construction Laborers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MUST HAVE NORMAL RANGE OF VISION AND HEARING. MUST BE CAPABLE OF STANDING, BENDING, KNEELING, REACHING AND LIFTING. MUST BE ABLE TO LIFT UP TO 50 POUNDS ON A REGULAR BASIS. 3 months of concrete construction experience required. Number of Hours Per Week: 40 Work Schedule (Start/End time): 6:00 A.M. - 5:00 P.M.</t>
  </si>
  <si>
    <t>H-400-26184-076413</t>
  </si>
  <si>
    <t>J&amp;J Hernandez Construction</t>
  </si>
  <si>
    <t>hernandezjuridiana1926@gmail.com</t>
  </si>
  <si>
    <t>+15634224603</t>
  </si>
  <si>
    <t>Residential and commercial concrete construction. Measure and layout footings and foundation. Excavate footings and level earth to grade specifications. Position aluminum wall forms and place all concrete. Clean up site. Job Classification: 47-2061.00 - Construction Laborers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Some weekend work. Must be able to lift and carry 75 lbs for 50 yards. Must be able to handle temperature extremes. Number of Hours Per Week: 40 Work Schedule (Start/End time): 6:00 A.M. - 5:00 P.M.</t>
  </si>
  <si>
    <t>H-400-26184-076415</t>
  </si>
  <si>
    <t>Oakes/Edgeley/Ellendale Veterinary Services</t>
  </si>
  <si>
    <t>oeevs@outlook.com</t>
  </si>
  <si>
    <t>+17017422486</t>
  </si>
  <si>
    <t>Veterinary Assistant</t>
  </si>
  <si>
    <t>Feed, water, and examine pets and other animals for signs of illness, disease, or injury in laboratories and animal hospitals and clinics. Clean and disinfect cages and work areas, and sterilize laboratory and surgical equipment. May provide routine postoperative care, administer medication orally or topically, or prepare samples for laboratory examination under the supervision of veterinary or laboratory animal technologists or technicians, veterinarians, or scientists. Job Classification: 31-9096.00 - Veterinary Assistants and Laboratory Animal Caretakers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Must lift/carry 50 lbs., when necessary. Employer may offer more than the stated work hours depending on weather, business needs, and other conditions. Extreme heat, cold, rain, or drought may affect exact working hours. Number of Hours Per Week: 35 Work Schedule (Start/End time): 9:00 A.M. - 5:00 P.M.</t>
  </si>
  <si>
    <t>H-400-26184-076381</t>
  </si>
  <si>
    <t>P&amp;S Contracting and Landscape LLC</t>
  </si>
  <si>
    <t>pscontractingandlandscape@gmail.com</t>
  </si>
  <si>
    <t>+17243828201</t>
  </si>
  <si>
    <t>Landscape or maintain grounds of property using hand or power tools or equipment. Workers typically perform a variety of tasks, which may include any combination of the following: sod laying, mowing, trimming, planting, watering, fertilizing, weeding, digging, raking, and leaf cleanup. Job Classification: 37-3011.00 - Landscaping and Groundskeeping Workers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1 Special Requirements: Must lift/carry 80 lbs., when necessary. Employer may offer more than the stated work hours, depending on weather, business needs, and other conditions. Extreme heat, cold, rain, or drought may affect exact working hours. Number of Hours Per Week: 40 Work Schedule (Start/End time): 7:30 A.M. - 4:00 P.M.</t>
  </si>
  <si>
    <t>H-400-26184-076373</t>
  </si>
  <si>
    <t>Pro Landscapers, LLC</t>
  </si>
  <si>
    <t>jon@prolandscapersnd.com</t>
  </si>
  <si>
    <t>+17012777001</t>
  </si>
  <si>
    <t>Duties may include: Mow, rake, trim, edge, mulch &amp; follow planned landscape design to determine where to lay sod, sow grass/install turf, decorate gardens with stones/plants, &amp; plant: flowers, landscape trees, &amp; foliage. Gather &amp; remove litter/unwanted debris &amp; other related Landscape Worker activities as per SOC/OES 37-3011 (onetonline.org). Standard/Expected Schedule: Monday-Friday 8:00AM-6:00PM.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Job Classification: 37-3011.00 - Landscaping and Groundskeeping Workers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Must be 18 due to insurance. Must show proof of legal authorization to work in the United States. Drug/alcohol/tobacco free work zone. Perform physical activities: such as lift, balance, walk, stoop, handle, position, move, manipulate materials use static strength to exert maximum muscle force to lift, push, pull, carry objects up to 50lbs. All applicants must be able, willing and qualified to perform work described and must be available for the entire period specified and work throughout all areas of intended employment.Based on Employer's discretion/cost: Worker may have random drug/alcohol testing during employment: positive test/refusal to abide = dismissal. Possible background check post hire at employer's expense.Work is performed outdoors, exposed to weather; must be capable of doing physically strenuous labor for long hours, occasionally in extreme heat or cold. Variable weather conditions apply; hours may fluctuate (+/-), possible downtime and/or overtime. Number of Hours Per Week: 40 Work Schedule (Start/End time): 8:00 A.M. - 6:00 P.M.</t>
  </si>
  <si>
    <t>H-400-26184-076417</t>
  </si>
  <si>
    <t>Professional Ground Services LLC</t>
  </si>
  <si>
    <t>swesserling@tpg-usa.com</t>
  </si>
  <si>
    <t>Winter Crew Member</t>
  </si>
  <si>
    <t>Workers will perform commercial maintenance including fall, winter, and spring cleanup, trash removal, shoveling, throwing, and snow blowing. Chip ice, spread salt, apply salt treatments to pavement and walks. Snow and ice equipment maintenance. Use hand tools and equipment such as snow shovel, snow thrower, salt spreader, rake, trash pickers, and ice chippers. Entry level; requires supervision. Job Classification: 37-2011.00 - Janitors and Cleaners, Except Maids and Housekeeping Cleaners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Must lift/carry 50 lbs., when necessary. Saturday and Sunday work required, when necessary. Post-hire upon suspicion of use and post-accident drug testing required of foreign and domestic workers. Post-hire background check and employment eligibility (e-Verify) check required of foreign and domestic workers. Employer may offer more than the stated work hours depending on weather, business needs, and other conditions. Extreme heat, cold, rain, or drought may affect exact working hours. In accordance with applicable Michigan state law, Earned Sick Time Act 338, employers are required to provide earned sick time to their employees. The amount of paid sick leave provided may vary depending on the size of the business Number of Hours Per Week: 40 Work Schedule (Start/End time): 7:30 A.M. - 4:30 P.M.</t>
  </si>
  <si>
    <t>H-400-26184-076406</t>
  </si>
  <si>
    <t>Electrician</t>
  </si>
  <si>
    <t>Installs, maintains, and repairs electrical wiring, systems, and equipment in construction and industrial projects to ensure safe and reliable operation of electrical power distribution. Reads and interprets blueprints, electrical drawings, and single-line diagrams to determine layout of electrical systems. Installs conduit, wiring, cable trays, panels, switches, outlets, grounding systems, and related electrical components in accordance with applicable codes and safety standards. Performs electrical connections, testing, and troubleshooting, including continuity checks, insulation resistance testing, voltage measurements, and verification of system functionality prior to energization. Coordinates work with other construction trades to ensure proper installation sequencing and compliance with project requirements. Job Classification: 47-2111.00 - Electricians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36 Special Requirements: Minimum 36 months experience as electrician. Schedule may vary and can include weekends and holidays as needed. Ability to lift/carry/push/pull 50 lbs. 5 days/wk., 8.5 hr./day. Expected daily hourly schedule from 7:00 AM to 1:00 PM and from 2:00 pm to 4:30pm Mon to Fri. Wage range at $21.35/hr for Ponce Locations and $18.36 for Caguas location. Possible overtime at $32.03/hr for Ponce locations and $27.54 for Caguas location. Workers will be paid on a: weekly basis. Worksites at: Guayanilla, Caguas, Ponce. Number of Hours Per Week: 42 Work Schedule (Start/End time): 7:00 A.M. - 4:30 P.M.</t>
  </si>
  <si>
    <t>H-400-26184-076409</t>
  </si>
  <si>
    <t>Rob Cronin, Inc.</t>
  </si>
  <si>
    <t>Btaylor@crpgh.com</t>
  </si>
  <si>
    <t>Landscape or maintain grounds of property using hand or power tools or equipment. Workers typically perform a variety of tasks, which may include any combination of the following: lay sod, mulch, mow, trim, plant, water, fertilize, dig, and rake. Entry level; requires supervision. Job Classification: 37-3011.00 - Landscaping and Groundskeeping Workers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Must lift/carry 50 lbs., when necessary. Saturday work required, when necessary. Post-hire random drug testing required of foreign and domestic workers. Employer may offer more than the stated work hours depending on weather, business needs, and other conditions. Extreme heat, cold, rain, or drought may affect exact working hours. Number of Hours Per Week: 40 Work Schedule (Start/End time): 7:30 A.M. - 4:00 P.M.</t>
  </si>
  <si>
    <t>H-400-26184-076405</t>
  </si>
  <si>
    <t>Shady Tree Lawn &amp; Garden LLC</t>
  </si>
  <si>
    <t>AlienLaborCert@dol.state.nj.us</t>
  </si>
  <si>
    <t>+12409176232</t>
  </si>
  <si>
    <t>Landscape or maintain grounds of property using hand or power tools or equipment. Workers typically perform a variety of tasks, which may include any combination of the following: sod laying, mowing, trimming, planting, watering, fertilizing, digging, raking. Must exercise independent judgment; may be asked to demonstrate tasks to other employees but position does not include supervision of other workers. Job Classification: 37-3011.00 - Landscaping and Groundskeeping Workers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Requires three months of previous landscape experience. Must lift/carry 50 lbs., when necessary. Saturday work required, when necessary. Employer paid post-hire drug testing required of foreign and domestic workers upon suspicion of use. Employer may offer more than the stated work hours depending on weather, business needs, and other conditions. Extreme heat, cold, rain, or drought may affect exact working hours. Number of Hours Per Week: 40 Work Schedule (Start/End time): 7:00 A.M. - 3:30 P.M.</t>
  </si>
  <si>
    <t>H-400-26184-076403</t>
  </si>
  <si>
    <t>Silhouette Farm &amp; Forestry, LLC</t>
  </si>
  <si>
    <t>apply.silhouetteff@gmail.com</t>
  </si>
  <si>
    <t>+15415352626</t>
  </si>
  <si>
    <t>Duties may include: Raising &amp; transporting seedlings; sort tree seedlings, discarding substandard seedlings, according to standard charts or verbal instructions. Plant: seedlings/trees (without J/U root). Clean and maintain equipment/job site, load/unload tools/equipment to be used. Spray or inject vegetation with insecticides/ herbicides to protect against disease or reduce competing vegetation; enhance growth. Trim trees or other vegetation; cut trees or logs. UNDER THE DIRECTION OF FIRE SUPPRESSION OFFICERS OR FORESTRY TECHNICIANS: assist with clearing/disposing of brush, piling, and digging line/constructing fuel breaks. Operate site preparation equipment as needed. Incidental driving &amp; other related Forestry Worker activities as per SOC/OES 45-4011 (onetonline.org). Standard/Expected Schedule: Monday-Friday 6:00AM-2:30PM.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Optional, shared housing available at no cost to the worker. Job Classification: 45-4011.00 - Forest and Conservation Workers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***MUST HAVE 3 MONTHS BRUSHSAW/CHAINSAW EXPERIENCE. *** Silhouette Farm &amp; Forestry, LLC is an Equal Opportunity Employer (EOE, including disability/vets). Felony convictions related to fraud, theft, or violence are not allowed for this position. We are a Federal Contractor (EOE, including disability/vets); any and all applicants/workers must follow all current laws/regulations/requirements/Emergency Temporary Standards (including OSHA). Safe work boots required, employer will provide via REIMBURSEMENT: each employee is eligible for one (1) pair of safe work boots per calendar year employee may purchase boots of their choice and Silhouette Farm &amp; Forestry, LLC will reimburse up to $350.00 annually (from the date of purchase) upon submission of a verifiable receipt. Must be 18 due to travel. Must show proof of legal authorization to work in the United States. Drug/alcohol/tobacco free work zone. Must walk substantially (up to 15 miles/day), also stoop, bend while carrying a pack (up to 50lbs) thru rough terrain (non-trail). All applicants must be able, willing and qualified to perform work described and must be available for the entire period specified and work throughout all areas of intended employment.Based on Employer's discretion/cost: Worker may have random drug/alcohol testing during employment: positive test/refusal to abide = dismissal. Possible background check post hire at employer's expense.Work is performed outdoors, exposed to weather; must be capable of doing physically strenuous labor for long hours, occasionally in extreme heat or cold. Variable weather conditions apply; hours may fluctuate (+/-), possible downtime and/or overtime. Number of Hours Per Week: 40 Work Schedule (Start/End time): 6:00 A.M. - 2:30 P.M.</t>
  </si>
  <si>
    <t>H-400-26184-076392</t>
  </si>
  <si>
    <t>Stan Sweeney, LLC</t>
  </si>
  <si>
    <t>ssweeney@sat-co.net</t>
  </si>
  <si>
    <t>+18704638101</t>
  </si>
  <si>
    <t>Duties may include: Raise, transport, and sort seedlings to then select optimum planting location to meet shade/soil requirements. Select tree seedlings, prepare the ground, and plant the trees in reforestation areas, using manual planting tools such as shovel, hoe-dad, and dibble bar. Caution must be taken with seedlings to prevent J or U rooting. Incidental driving &amp; other related Tree Planter activities as per SOC/OES 45-4011 (onetonline.org). Standard/Expected Schedule: Monday-Friday 7:00AM-3:00PM.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employer may pay a piece rate of between $13.00 per acre up to $57.00 per acre requiring the planting of 200 trees per acre up to 600 trees per acre. Worker will never make less than Prevailing Wage or Federal/State/Local minimum wage. Optional, shared housing available at no cost to the worker. Job Classification: 45-4011.00 - Forest and Conservation Workers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Must be 18 due to travel. Must show proof of legal authorization to work in the United States. Drug/alcohol/tobacco free work zone. Must walk substantially (up to 15 miles/day), also stoop, bend while carrying a pack (up to 75lbs) thru rough terrain (non-trail). All applicants must be able, willing and qualified to perform work described and must be available for the entire period specified and work throughout all areas of intended employment. Work is performed outdoors, exposed to weather; must be capable of doing physically strenuous labor for long hours, occasionally in extreme heat or cold. Variable weather conditions apply; hours may fluctuate (+/-), possible downtime and/or overtime. Number of Hours Per Week: 40 Work Schedule (Start/End time): 7:00 A.M. - 3:00 P.M.</t>
  </si>
  <si>
    <t>H-400-26184-076386</t>
  </si>
  <si>
    <t>Stanley Cary Inc.</t>
  </si>
  <si>
    <t>deborahcary@comcast.net</t>
  </si>
  <si>
    <t>Landscape or maintain grounds of property using hand or power tools or equipment. Workers typically perform a variety of tasks, which may include any combination of the following: sod laying, mowing, mulching, trimming, planting, watering, fertilizing, digging, raking, debris removal, and sprinkler maintenance. Entry level requires supervision. Job Classification: 37-3011.00 - Landscaping and Groundskeeping Workers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Must lift/carry 50 lbs., when necessary. Saturday and Sunday work required, when necessary. Employer may offer more than the stated work hours depending on weather, business needs, and other conditions. Extreme heat, cold, rain, or drought may affect exact working hours. Number of Hours Per Week: 40 Work Schedule (Start/End time): 6:30 A.M. - 3:00 P.M.</t>
  </si>
  <si>
    <t>H-400-26184-076395</t>
  </si>
  <si>
    <t>H-400-26184-076411</t>
  </si>
  <si>
    <t>Strongwood Forestry, Inc.</t>
  </si>
  <si>
    <t>strongwoodrecruits@gmail.com</t>
  </si>
  <si>
    <t>+16626434216</t>
  </si>
  <si>
    <t>Duties may include: Sort already harvested: seedlings, cuttings, trees, and shrubs. Move containerized seedlings and trees from bins to then sort, straighten, and align seedlings. Then perform packaging, label seedlings, and manually pack/load for transport. Clean equipment/work area. Incidental driving possible &amp; other related Nursery Worker activities as per SOC/OES 45-2092 (onetonline.org). Standard/Expected Schedule: Monday-Friday 8:00AM-4:00PM. Offering 35-35+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Piece rate may apply: worker will never make less than Prevailing Wage or Federal/State/Local minimum wage. Job Classification: 45-2092.00 - Farmworkers and Laborers, Crop, Nursery, and Greenhouse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Must show proof of legal authorization to work in the United States. Drug/alcohol/tobacco free work zone. Perform physical activities such as: lift, balance, walk, stoop, handle, position, move, manipulate materials use static strength to exert max muscle force to lift, push, pull, carry objects up to 60lbs (possible 2-person). All applicants must be able, willing and qualified to perform work described and must be available for the entire period specified and work throughout all areas of intended employment.Based on Employer's discretion/cost: Worker may have random drug/alcohol testing during employment: positive test/refusal to abide = dismissal. Work is performed outdoors, exposed to weather; must be capable of doing physically strenuous labor for long hours, occasionally in extreme heat or cold. Variable weather conditions apply; hours may fluctuate (+/-), possible downtime and/or overtime. Number of Hours Per Week: 35 Work Schedule (Start/End time): 8:00 A.M. - 4:00 P.M.</t>
  </si>
  <si>
    <t>H-400-26184-076407</t>
  </si>
  <si>
    <t>Sun Valley, LLC</t>
  </si>
  <si>
    <t>Ashley Dees</t>
  </si>
  <si>
    <t>04/04/2027</t>
  </si>
  <si>
    <t>HR@sunvalley.com</t>
  </si>
  <si>
    <t>+12086222061</t>
  </si>
  <si>
    <t>Ski Instructor Iii</t>
  </si>
  <si>
    <t>Job duties include instructing group and private ski lessons for guests of all ages and ability levels; adapting teaching methods to meet individual student needs and established lesson objectives; managing personal and guest safety while working in a dynamic mountain environment; and maintaining a professional and welcoming presence on the slopes and in all guest interactions. Responsibilities also include setting up, maintaining, and breaking down designated ski school teaching areas to ensure a safe and effective learning environment. Instructors are expected to communicate clearly and professionally with guests, peers, and supervisors. May be asked to work with Guest Services to assist guests by providing information, directions, and courteous service at all times; and act as brand ambassadors for Sun Valley Resort. Additional duties include attending department meetings and trainings as assigned, collaborating with mountain operations teams, and occasionally supporting the Sun Valley Race Department with course preparation and logistics. Job Classification: 25-3021.00 - Self-Enrichment Teachers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2 Special Requirements: Must have a valid Professional Ski Instructors of America (PSIA) Level 3 Certification. Applicant must complete pre-employment background check. Number of Hours Per Week: 36 Work Schedule (Start/End time): 8:00 A.M. - 2:00 P.M.</t>
  </si>
  <si>
    <t>H-400-26184-076408</t>
  </si>
  <si>
    <t>Tesoro Landscaping LLC</t>
  </si>
  <si>
    <t>tesorolandscaping@gmail.com</t>
  </si>
  <si>
    <t>Landscape or maintain grounds of property using hand or power tools or equipment. Workers typically perform a variety of tasks, which may include any combination of the following: sod laying, mowing, operating a zero-tuen lawn mower, edging, mulching, trimming, planting, watering, pruning, fertilizing, digging, raking, leaf cleanup, and installation of mortarless segmental concrete masonry wall units. (training provided if needed). Entry Level; requires supervision. Job Classification: 37-3011.00 - Landscaping and Groundskeeping Workers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Requires three months of previous landscape experience. Must lift/carry 50 lbs., when necessary. Saturday and Sunday work required, when necessary. Post-hire upon suspicion of use and post-accident drug testing required of foreign and domestic workers. Workers with valid U.S. drivers license may operate a 4-wheel drive pickup truck (driving is not a requirement of all workers in the position). Post-hire motor vehicle record check and drug test required for all foreign and domestic Landscape Laborers who drive company vehicles (driving is not a requirement of all workers in the position). Employer may offer more than the stated work hours depending on weather, business needs, and other conditions. Extreme heat, cold, rain, or drought may affect exact working hours. Number of Hours Per Week: 40 Work Schedule (Start/End time): 7:30 A.M. - 4:00 P.M.</t>
  </si>
  <si>
    <t>H-400-26184-076382</t>
  </si>
  <si>
    <t>Timber Trees, LLC</t>
  </si>
  <si>
    <t>timbertreesor@gmail.com</t>
  </si>
  <si>
    <t>+15413247635</t>
  </si>
  <si>
    <t>Duties may include: tree planting and thinning, herbicide spraying, spray or inject vegetation (hack &amp; Squirt) and gopher baiting &amp; other related Forestry Worker activities as per SOC/OES 45-4011 (onetonline.org). Standard/Expected Schedule: Monday-Friday 6:00AM-2:00PM.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Optional, shared housing available at no cost to the worker. Job Classification: 45-4011.00 - Forest and Conservation Workers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Must be 18 due to travel. Must show proof of legal authorization to work in the United States. Drug/alcohol/tobacco free work zone. Must walk substantially (up to 15 miles/day), also stoop, bend while carrying a pack (up to 50lbs) thru rough terrain (non-trail). All applicants must be able, willing and qualified to perform work described and must be available for the entire period specified and work throughout all areas of intended employment. Work is performed outdoors, exposed to weather; must be capable of doing physically strenuous labor for long hours, occasionally in extreme heat or cold. Variable weather conditions apply; hours may fluctuate (+/-), possible downtime and/or overtime. Number of Hours Per Week: 40 Work Schedule (Start/End time): 6:00 A.M. - 2:00 P.M.</t>
  </si>
  <si>
    <t>H-400-26184-076418</t>
  </si>
  <si>
    <t>Upward Management Group LLC</t>
  </si>
  <si>
    <t>umgh2b@gmail.com</t>
  </si>
  <si>
    <t>+12078317373</t>
  </si>
  <si>
    <t>Set up and stock assigned stations with all necessary supplies before service. Prepare ingredients by cleaning, cutting, chopping, mixing, and portioning according to established recipes. Cook menu items using proper techniques including grilling, frying, sautéing, and other applicable methods. Plate and present dishes according to established standards and chef direction. Maintain food quality, consistency, and timing to support an excellent guest experience. Communicate effectively with kitchen and front-of-house staff to ensure accurate and timely order completion. Maintain a clean and organized workstation throughout the shift and properly wash and store all equipment and utensils at close. Follow all food safety, sanitation, and storage procedures, including inventory checks and food rotation. Job Classification: 35-2014.00 - Cooks, Restaurant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Must lift/carry 40 lbs., when necessary. Saturday and Sunday work required, when necessary. Number of Hours Per Week: 35 Work Schedule (Start/End time): 9:00 A.M. - 5:00 P.M.</t>
  </si>
  <si>
    <t>H-400-26184-076389</t>
  </si>
  <si>
    <t>Greet guests and provide table service with efficiency and courtesy. Present menus, answer questions regarding items, daily specials, and beverages, and make recommendations upon request. Take and deliver accurate food and drink orders to customers in a timely, courteous, and professional manner. Be knowledgeable of all menu items, ingredients, and allergens. Check in with guests throughout the meal to ensure satisfaction and address concerns promptly. Maintain assigned station, including proper table setup, pre-bussing, cleaning, and resetting. Collaborate with kitchen, bar, host, and service staff to ensure smooth operations. Follow all health department regulations, safety guidelines, and customer service standards. Job Classification: 35-3031.00 - Waiters and Waitresses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Must lift/carry 20 lbs., when necessary. Saturday and Sunday work required, when necessary. Number of Hours Per Week: 35 Work Schedule (Start/End time): 7:00 A.M. - 3:00 P.M.</t>
  </si>
  <si>
    <t>H-400-26184-076384</t>
  </si>
  <si>
    <t>Walnut Ridge Landscape &amp; Design, Inc.</t>
  </si>
  <si>
    <t>ChrisK@WalnutRidge.com</t>
  </si>
  <si>
    <t>+18122886693</t>
  </si>
  <si>
    <t>Landscape or maintain grounds of property using hand or power tools or equipment. Workers typically perform a variety of tasks, which may include any combination of the following: sod laying, mowing, trimming, planting, watering, fertilizing, digging, raking. Entry level; requires supervision. Job Classification: 37-3011.00 - Landscaping and Groundskeeping Workers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Must lift/carry 50 lbs., when necessary. Saturday work required, when necessary. Employer may offer more than the stated work hours depending on weather, business needs, and other conditions. Extreme heat, cold, rain, or drought may affect exact working hours. Number of Hours Per Week: 40 Work Schedule (Start/End time): 7:30 A.M. - 3:30 P.M.</t>
  </si>
  <si>
    <t>H-400-26184-076399</t>
  </si>
  <si>
    <t>Warner Brothers Services</t>
  </si>
  <si>
    <t>hr@wbser.com</t>
  </si>
  <si>
    <t>+12486736092</t>
  </si>
  <si>
    <t>Duties may include: Care for established lawns by mowing, trimming, edging, mulching, aerating, weeding, removing thatch, litter, leaves and debris. Prune or trim trees, shrubs, and foliage at ground level. Water lawns, trees, and plants using portable sprinkler systems. Provide proper upkeep to flower beds, sidewalks, driveways, and parking lots, including shoveling and plowing snow and spreading salt. Use hand tools, such as shovels, rakes, wheelbarrows or pruning shears and pruning saws. May operate powered equipment, such as mowers, trimmers, edgers, leaf blowers, snow blowers &amp; other related Landscape Laborer activities as per SOC/OES 37-3011 (onetonline.org). Standard/Expected Schedule: Monday-Friday 7:00AM-5:00PM.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Job Classification: 37-3011.00 - Landscaping and Groundskeeping Workers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Must be 18 due to insurance. Must show proof of legal authorization to work in the United States. Drug/alcohol/tobacco free work zone. Perform physical activities: such as lift, balance, walk, stoop, handle, position, move, manipulate materials use static strength to exert maximum muscle force to lift, push, pull, carry objects up to 50lbs. All applicants must be able, willing and qualified to perform work described and must be available for the entire period specified and work throughout all areas of intended employment. Work is performed outdoors, exposed to weather; must be capable of doing physically strenuous labor for long hours, occasionally in extreme heat or cold. Variable weather conditions apply; hours may fluctuate (+/-), possible downtime and/or overtime. Number of Hours Per Week: 40 Work Schedule (Start/End time): 7:00 A.M. - 5:00 P.M.</t>
  </si>
  <si>
    <t>H-400-26184-076388</t>
  </si>
  <si>
    <t>Wish Farms Cooling and Packing, LLC</t>
  </si>
  <si>
    <t>22/05/2027</t>
  </si>
  <si>
    <t>Dgutierrez@wishfarms.com</t>
  </si>
  <si>
    <t>+18137525111</t>
  </si>
  <si>
    <t>Fruit Line Packer</t>
  </si>
  <si>
    <t>Assist with the packaging of produce in a climate-controlled production facility with rooms kept at 40- 50 degrees Fahrenheit. Tasks include: dumping product from bins onto processing and packing lines, handling, lifting, verifying and securing packaging materials in a warehouse, packing clamshells of product into shipping boxes, ensure presence of label/apply label if missing, stack finished product on pallets and label for shipping, and cleaning containers, materials, supplies, or work areas, using cleaning solutions and hand tools, sort fruit for processing or packing into clamshells. Must maintain a safe work area. Entry level; requires supervision. Job Classification: 53-7064.00 - Packers and Packagers, Hand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Job requires working frequent bending, grabbing, pulling, and lifting, to include repetitive overhead lifting. Must be able to lift/carry up to 50 lbs., when necessary. Must be able to stand for long periods of time. Work hours are 8:00AM-3:30PM M-F and 8:00AM-1:30PM Sat. Sunday work required, when necessary. Post-hire upon suspicion of use and post-accident drug testing required of foreign and domestic workers. Number of Hours Per Week: 40 Work Schedule (Start/End time): 8:00 A.M. - 3:30 P.M.</t>
  </si>
  <si>
    <t>H-400-26184-076402</t>
  </si>
  <si>
    <t>Zscape LLC</t>
  </si>
  <si>
    <t>aaron@zscapeohio.com</t>
  </si>
  <si>
    <t>+14403433180</t>
  </si>
  <si>
    <t>Landscape or maintain grounds of property using hand or power tools or equipment. Workers must be able to perform a variety of tasks, which may include any combination of the following: sod laying, mowing, trimming, planting, watering, fertilizing, digging, and raking; assists with sprinkler installation, and installation of mortarless segmental concrete masonry wall units. Entry Level, requires supervision. Job Classification: 37-3011.00 - Landscaping and Groundskeeping Workers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Must lift/carry 50 lbs., when necessary. Saturday and Sunday work required, when necessary. Employer-paid drug testing required of foreign and domestic workers prior to commencing work and post-hire at random, upon suspicion of use, and post-accident. Valid driver's license not required for position, however, a motor vehicle check will be required for foreign and domestic workers who voluntarily drive company vehicles. Employer may offer more than the stated work hours depending on weather, business needs, and other conditions. Extreme heat, cold, rain, or drought may affect exact working hours. Number of Hours Per Week: 40 Work Schedule (Start/End time): 7:30 A.M. - 4:00 P.M.</t>
  </si>
  <si>
    <t>H-400-26184-076459</t>
  </si>
  <si>
    <t>Copper Creek Landscaping, Inc</t>
  </si>
  <si>
    <t>Office@coppercreeklandscaping.com</t>
  </si>
  <si>
    <t>+18885867730</t>
  </si>
  <si>
    <t>Landscape or maintain grounds of property using hand or power tools or equipment. Workers typically perform a variety of tasks, which may include any combination of the following: sod laying, trimming, planting, watering, digging, spreading mulch and topsoil, raking, repairing fences, on-site installation/maintenance of trees, shrubs, and plants, leaf removal, installing mortarless segmental masonry units, assisting with installation and maintenance of irrigation systems, debris cleanup as part of installation or service process. Perform basic cleaning and maintenance of equipment when not in use. Workers with valid U.S. driver’s licenses may operate company vehicles, but driving is not a requirement of all workers in the position. Must exercise independent judgment; may be asked to demonstrate tasks to other employees but position does not include supervision of other workers. Must be able to understand basic instructions in English. Job Classification: 37-3011.00 - Landscaping and Groundskeeping Workers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Requires three months of previous landscape experience. Must lift/carry 70 lbs., when necessary. Saturday and Sunday work required, when necessary. Employer-paid drug test required of foreign and domestic workers prior to commencing work. Post-hire background check required of foreign and domestic workers. Employer may offer more than the stated work hours depending on weather, business needs, and other conditions. Extreme heat, cold, rain, or drought may affect exact working hours. The Employer will provide sick leave to employees. The employee will accrue paid sick leave at a minimum rate of 1 hour for every 40 hours worked. Employees are entitled to use accrued paid sick leave beginning on the 90th calendar day after the start of their employment, and sick leave will be paid at the employees normal hourly rate. Unused paid sick leave of 40 hours or less will be carried over to the following year for those workers returning to employment. The employer will deduct a portion of workers compensation premium from workers pay as specified in Washington law at RCW 51.61.140. The employer will withhold from the employees wages the maximum amount for the portion of employee premium required under WA State RCW 50A.04, Paid Family and Medical Leave Program. Number of Hours Per Week: 40 Work Schedule (Start/End time): 7:30 A.M. - 4:00 P.M.</t>
  </si>
  <si>
    <t>H-400-26184-076423</t>
  </si>
  <si>
    <t>Read and follow plans and measurements to construct, erect, install, or repair structures; building frameworks, including walls, concrete forms, windows, and door frames. Install metal siding and windows. Instruct less skilled workers on job duties. Will be exposed to heights, temperature extremes, strenuous physical activity, and repetitive motions. Proper and accurate use of tape measure required. Job Classification: 47-2031.00 - Carpenters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12 Special Requirements: Must be able to lift and carry 75 lbs. 75 yds. Some weekend work. Must be able to handle temperature extremes. Will travel to worksites within area of intended employment. Number of Hours Per Week: 40 Work Schedule (Start/End time): 7:00 A.M. - 5:00 P.M.</t>
  </si>
  <si>
    <t>H-400-26184-076437</t>
  </si>
  <si>
    <t>Perform lesser tasks involving manual labor at concrete construction site. Prepare the site for placing of concrete by loading and unloading materials, running string-lines, cutting wood with skill saw, using a sledgehammer to pound stakes into the ground, digging and leveling the earth using shovels, pickaxes and plate-packers. Under supervision, lift, carry, fasten, strip, oil and set wooden and metal concrete forms using simple hand and power tools. Assist with placing concrete by using wheelbarrows, concrete rakes, shovels, walk-behind concrete vibrator. Clean up waste materials and caulk joints. Job Classification: 47-2061.00 - Construction Laborers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Some weekend work. Must be able to handle temperature extremes. Must be able to lift and carry 75 lbs. for 50 yards. Will travel to worksites within area of intended employment. Number of Hours Per Week: 40 Work Schedule (Start/End time): 7:00 A.M. - 5:00 P.M.</t>
  </si>
  <si>
    <t>H-400-26184-076448</t>
  </si>
  <si>
    <t>Position and secure steel bars or mesh in concrete forms in order to reinforce concrete. Able to operate wire reel, klein pliers and hand tools to fasten and bend rebar. Job Classification: 47-2171.00 - Reinforcing Iron and Rebar Workers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6 Special Requirements: Some weekend work. Must be able to handle temperature extremes. Must be able to lift and carry 75 lbs. for 75 yards. Will travel to worksites within area of intended employment. Number of Hours Per Week: 40 Work Schedule (Start/End time): 7:00 A.M. - 5:00 P.M.</t>
  </si>
  <si>
    <t>H-400-26184-076439</t>
  </si>
  <si>
    <t>Green Teams, Inc.</t>
  </si>
  <si>
    <t>Office@greenteamsinc.com</t>
  </si>
  <si>
    <t>Landscape or maintain grounds of property using hand or power tools or equipment. Workers typically perform a variety of tasks, which may include any combination of the following: sod laying, mowing, trimming, planting, watering, fertilizing, digging, raking, assist with installation and repairs of sprinklers and mortarless segmental concrete masonry wall units. Entry level; requires supervision. Job Classification: 37-3011.00 - Landscaping and Groundskeeping Workers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Must lift/carry 50 lbs., when necessary. Saturday and Sunday work required, when necessary. Post-hire upon suspicion of use and post-accident drug testing required of foreign and domestic workers. Post-hire motor vehicle record check required only of foreign and domestic workers who drive company vehicles (driving is not a requirement of all workers in the position). Employer may offer more than the stated work hours depending on weather, business needs, and other conditions. Extreme heat, cold, rain, or drought may affect exact working hours. Number of Hours Per Week: 40 Work Schedule (Start/End time): 7:00 A.M. - 3:30 P.M.</t>
  </si>
  <si>
    <t>H-400-26184-076443</t>
  </si>
  <si>
    <t>Klein Trucking, LLC</t>
  </si>
  <si>
    <t>jacobklein2008@gmail.com</t>
  </si>
  <si>
    <t>+17125920319</t>
  </si>
  <si>
    <t>Semi-truck Drivers</t>
  </si>
  <si>
    <t>Load, transport, unload, export and process grains, feed, feed ingredients, bulk products, food grade products in intermodal container. Pick up empty intermodal containers. Transport products from producer and/or processor to end user, farms, further processor to end user, farms, further processor, and ware facilities. Product will be transported via tractors, manual transmission semi tractors and combination trailer such as bulk pneumatic tank, bulk and combination auger, bulk commodity and dry vans. Job Classification: 53-3032.00 - Heavy and Tractor-Trailer Truck Drivers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12 Special Requirements: MUST HAVE CDL CLASS A EXPERIENCE WITH AIR BRAKES AND COMBINATION ENDORSEMENTS. MUST BE ABLE TO LIFT AND CARRY 75 LBS. 75 YDS. MUST BE ABLE TO HANDLE TEMPERATURE EXTREMES. WORK HOURS VARY ACCORDING TO ROUTES AND CUSTOMER NEEDS, ROUGH WINDOW 5 AM - 7 PM. The worker must be able to read and speak the English language sufficiently to converse with the general public, understand highway traffic signs and signals in English, respond to official inquiries, and make entries on reports and records. Will travel to worksites within area of intended employment. Number of Hours Per Week: 50 Work Schedule (Start/End time): 7:00 A.M. - 6:00 P.M.</t>
  </si>
  <si>
    <t>H-400-26184-076435</t>
  </si>
  <si>
    <t>LGT Irrigation Inc.</t>
  </si>
  <si>
    <t>09/12/2026</t>
  </si>
  <si>
    <t>limonlandscaping@gmail.com</t>
  </si>
  <si>
    <t>Landscape or maintain grounds of property using hand or power tools or equipment. Workers typically perform a variety of tasks, which may include any combination of the following: sod laying, mowing, trimming, planting, watering, fertilizing, digging, mulching, weeding, raking, gardening, edging, planting, leaf removal; assisting with installation and maintenance of irrigation systems, to include backfilling soil with hand shovels, grading; installation of mortarless segmental concrete masonry wall units, installing rock gardens, decorating garden with stones, debris cleanup as part of installation or service process. Entry Level; requires supervision. Job Classification: 37-3011.00 - Landscaping and Groundskeeping Workers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Must lift/carry 50 lbs., when necessary. Saturday work required, when necessary. Employer may offer more than the stated work hours depending on weather, business needs, and other conditions. Extreme heat, cold, rain, or drought may affect exact working hours. Number of Hours Per Week: 40 Work Schedule (Start/End time): 7:30 A.M. - 4:30 P.M.</t>
  </si>
  <si>
    <t>H-400-26184-076468</t>
  </si>
  <si>
    <t>Leo O'Laughlin Inc.</t>
  </si>
  <si>
    <t>bterry@olaughlininc.com</t>
  </si>
  <si>
    <t>+15735884151</t>
  </si>
  <si>
    <t>Ready-mix and Heavy Truck Driver</t>
  </si>
  <si>
    <t>Operate ready-mix trucks and move ready mix and construction material to work sites. Drivers required to clean and maintain trucks including performing daily safety inspection of trucks, checking and refilling fuel and other fluid levels daily, performing minor maintenance on vehicles. Complete paperwork on loads hauled and turn in daily. Job Classification: 53-3032.00 - Heavy and Tractor-Trailer Truck Drivers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MUST BE ABLE TO PASS DEPARTMENT OF TRANSPORTATION PHYSICAL. MUST BE ABLE TO LIFT AND CARRY 40 LBS 30 FEET. CLASS B LICENSE REQUIRED, CLASS A OR INTERNATIONAL COMMERCIAL DRIVER'S LICENSE EQUIVALENT PREFERRED. GOOD DRIVING RECORD AND DRIVING SKILLS REQUIRED. MUST BE 21 YEARS OF AGE OR OLDER. MUST PASS PRE-EMPLOYMENT DRUG AND ALCOHOL TESTING. MUST BE ABLE TO HANDLE TEMPERATURE EXTREMES. The worker must be able to read and speak the English language sufficiently to converse with the general public, understand highway traffic signs and signals in English, respond to official inquiries, and make entries on reports and records. Number of Hours Per Week: 40 Work Schedule (Start/End time): 7:00 A.M. - 5:00 P.M.</t>
  </si>
  <si>
    <t>H-400-26184-076436</t>
  </si>
  <si>
    <t>McDonald Gardens LLC</t>
  </si>
  <si>
    <t>29/11/2026</t>
  </si>
  <si>
    <t>kkirk-swindle@mcdonaldgardencenter.com</t>
  </si>
  <si>
    <t>+17574645564</t>
  </si>
  <si>
    <t>***RFI response*** “build and tear down garden markets" Landscapers set up and dismantle market garden displays by hand by arranging tables and positioning plants on them. ***Original*** Landscape or maintain grounds of property using hand or power tools or equipment. Workers must be able to perform a variety of tasks as directed by crew leader which may include any combination of the following: sod laying, mowing, trimming, planting, weeding, mulching, edging, watering, fertilizing, digging, raking, clearing of debris; moving, lifting and unloading landscape supplies and products; build and tear down garden markets. Must exercise independent judgment and safety precautions when operating machinery as trained and instructed. Entry level; requires supervision. Job Classification: 53-7062.00 - Laborers and Freight, Stock, and Material Movers, Hand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Must lift/carry 70 lbs., when necessary. Ability to work outside in all weather conditions. Saturday and Sunday work required, when necessary. Post-hire upon suspicion of use and post-accident drug testing required of foreign and domestic workers. Post-hire employment eligibility (e-Verify) check required of foreign and domestic workers. Employer may offer more than the stated work hours depending on weather, business needs, and other conditions. Extreme heat, cold, rain, or drought may affect exact working hours. Number of Hours Per Week: 42 Work Schedule (Start/End time): 7:00 A.M. - 4:00 P.M.</t>
  </si>
  <si>
    <t>H-400-26184-076462</t>
  </si>
  <si>
    <t>Nolia Enterprises, Ltd.</t>
  </si>
  <si>
    <t>alex105so@gmail.com</t>
  </si>
  <si>
    <t>Perform a variety of tasks associated with line cook services in fine dining establishment. Prepare food accurately and efficiently from menu in coordination with all other cooks and management to exact specifications of the restaurant. Working from a daily prep list: prep vegetables, fruits and stocks/soups/sauces, appetizers, hors d’oeuvre, desserts from scratch; portion meat and seafood/fish; read and prepare orders in timely manner working grill, saute, and cold food lines. Set up and stock stations with necessary supplies. Set up food stations for catering and assist with food preparation and traying and plating. Clean station equipment, sanitize all surfaces, put away all bowls, pots, pans and utensils used in food preparation, and store leftover food as appropriate. Perform food safety and sanitation procedures including maintaining all health and safety guidelines. Assist in removing trash from kitchen to proper outdoor receptacles. Assist with cleaning kitchen floor areas and refrigeration interiors. Assist with receiving and storing food and beverage deliveries. Rotate products to ensure safe and fresh Ingredients. Job Classification: 35-2014.00 - Cooks, Restaurant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6 Special Requirements: Requires six months of resort hotel or fine dining kitchen experience. Must lift/carry 50 lbs. when necessary. Must be able to read/follow a recipe in English. Standard workweek is Tuesday-Saturday, 5 days per week. Management can adjust employee work hours with prior notice. Employees will be notified of their altered work schedule at least one day in advance. Post-hire drug testing required of foreign and domestic workers upon suspicion of use. Employer may offer more than the stated work hours depending on weather, business needs, and other conditions. Extreme heat, cold, rain, or drought may affect exact working hours. Number of Hours Per Week: 40 Work Schedule (Start/End time): 1:30 P.M. - 10:00 P.M.</t>
  </si>
  <si>
    <t>H-400-26184-076466</t>
  </si>
  <si>
    <t>Stizzy Works, LLC</t>
  </si>
  <si>
    <t>maggie@stizzyworks.com</t>
  </si>
  <si>
    <t>+14802423645</t>
  </si>
  <si>
    <t>PERFORM A VARIETY OF ATTENDING DUTIES AT AMUSEMENT FACILITY (TRAVELING CARNIVAL CONCESSIONS), SERVE CUSTOMERS IN EATING PLACES THAT SPECIALIZE IN FAST SERVICE AND INEXPENSIVE CARRY-OUT FOOD CARNIVAL SETTINGS FOOD STAND, ON-SITE CLEAN AND ORGANIZE, PREPARE SIMPLE DAILY FOOD ITEMS AND BEVERAGES-TYPICAL CARNIVAL FOODS SUCH AS SANDWICHES, SALADS, SOUPS, CORN-DOGS, PIZZA, USING PROPER SAFETY PRECAUTIONS AND SANITARY MEASURES. SET-UP STOCK/CLEAN AND READY FOR SERVICE, TEAR-DOWN PACK UP STOCK AND CLOSE DOWN BOOTH, HEAVY LIFTING &amp; PHYSICALLY MOBILE, OPERATE FOOD CONCESSIONS AND OR GAMES AND AMUSEMENT RIDES. ***RFI - For Clarification: 1. The specific tasks, types of preparation and cooking techniques and preparation equipment: prepare simple carnival type food that requires little preparation. Wash, cut, and prepare foods designated for cooking using knives, slicers, and hand-held vegetable cutters. Cooking equipment are deep-fat fryers, ovens and grills. 2. Food preparation and any cooking tasks: Sandwiches are made with sliced cold cuts, lettuce, and tomato, prepackaged fries, prepackaged hot dogs, corn dogs, fries, funnel cakes are made with pre-made batter, tacos are prepared meats and vegetables, corn is fresh corn on the cobb, lemonade is a pre-mix. 3. The specific tasks for set up – stock/clean: Food stands are set up using hand tools for the putting up the vinyl booth walls. A screwdriver is used to fasten nuts and bolts. Hammers are used to secure signage and menus. Ladders are used to put up Flags. Hand trucks are used to unload/load boxes. Unbox items and put them in appropriate storage locations within the booth for use. At the end of the event, put items in boxes and using tape dispenser, seal boxes. Take down is done in the reverse order. Using basic cleaning supplies and following proper safety precautions and sanitary measures ensure all items are cleaned and stored in a specified safe manner for transportation. 4. Operate food concessions and/or games and amusement rides is to prepare the food, sell and serve food/refreshments. Hours, schedule and days vary - sample shift time: 10am-7pm, 1-hour unpaid break; 40hrs./wk. extra hours may be required or available, may include weekends and holidays. Work needs (i.e., hours, days, schedule, location, and work positions) vary. Work needs subject to industry practice and are not guaranteed per day, per week, per schedule, per location, or per worker, e.g., rainouts, brief periods without scheduled events, event dates and hours set by agreement with sponsor and subject to change (based upon adverse weather, hours of operation, day of the week, attendance, size of the event, school schedules, amount of equipment in operation, staffing, etc.), and unforeseen cancellations. In the event of approved, overlapping events, work needs may cause workers to be adjusted. Work is performed outside in all weather. Pay varies based on location of each worksite, $17.80 to $26.50 per hour. No overtime is expected, but if work necessitating OT occurs, it will be paid in accordance with the applicable federal, state and local laws. Employer reserves the option to provide additional compensation for performance/tenure or may increase wages based on changes in market conditions. Employer is an outdoor traveling concessions provider with travel required from event location to event location and provided to work in Maricopa, Pinal and Pima counties in AZ; Alameda, Imperial, Los Angeles, Orange, Riverside, San Diego, San Luis Obispo, San Mateo, and Solano counties in CA; Deschutes county in OR; King and Pierce counties in WA. Travel provided to all events as per itinerary. Housing and transportation to/from each event location offered to all employees under this job order. Employer makes available transportation from venue to venue. The employer will provide worker at no charge all tools, supplies, and equipment required to perform job. Job Classification: 35-2019.00 - Cooks, All Other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The job requires that the applicant be qualified, ready, willing, able, and available to perform during the entire employment at the designated worksites under adverse weather; to enter into and comply with employment contracts; to follow workplace rules; and to meet job performance standards. Heavy lifting &amp; physically mobile. Must comply with grooming requirements and dress code. Subject to discharge for cause. Work is performed outside in all weather, must be willing to work up to 7days/wk. Post-employment drug testing required, cost paid by employer and applied to all workers, US and foreign/H2B. Post-injury or incident and reasonable suspicion drug test required, cost paid by employer and applied to all workers, US and foreign/H2B. Applicants must cooperate with and complete job application and interview truthfully. Required uniform provided at no charge to the worker. Number of Hours Per Week: 40 Work Schedule (Start/End time): 10:00 A.M. - 7:00 P.M.</t>
  </si>
  <si>
    <t>H-400-26184-076452</t>
  </si>
  <si>
    <t>Titanus Cement Wall, LLC</t>
  </si>
  <si>
    <t>ckotoucek@tcwall.com</t>
  </si>
  <si>
    <t>Perform tasks involving physical labor at construction sites. May operate hand and power tools of all types: air hammers, earth tampers, cement mixers, small mechanical hoists, surveying and measuring equipment, and a variety of other equipment and instruments. May clean and prepare sites, dig trenches, set braces to support the sides of excavations, erect scaffolding, and clean up rubble, debris, and other waste materials. May assist other craft workers. Job Classification: 47-2061.00 - Construction Laborers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Must lift/carry 75 lbs., when necessary. Saturday and Sunday work required, when necessary. Employer may offer more than the stated work hours depending on weather, business needs, and other conditions. Extreme heat, cold, rain, or drought may affect exact working hours. Number of Hours Per Week: 40 Work Schedule (Start/End time): 7:00 A.M. - 3:00 P.M.</t>
  </si>
  <si>
    <t>H-400-26184-076450</t>
  </si>
  <si>
    <t>Verde Landscaping, Inc.</t>
  </si>
  <si>
    <t>Bonnie Otto</t>
  </si>
  <si>
    <t>verdelandscapinginc@hotmail.com</t>
  </si>
  <si>
    <t>+13862050057</t>
  </si>
  <si>
    <t>Duties may include: Prune or trim trees to shape and improve growth. Clean work sites to remove limbs, sticks, weeds, litter, and debris. Rake, gather, and bale pinestraw. Load/unload trucks with bales and/or needed tools and equipment. Apply pinestraw for erosion control. Provide assistance to forest survey crews by clearing site-lines, holding measuring tools, or setting stakes. Use hand tools, such as dibble bars, rakes, saws, shears, or shovels. Operate vehicles or small powered equipment, such as pruning saws, mobile balers, tractors, twin-axle vehicles, or blowers. Clean and maintain tools and worksite to ensure safety &amp; other related Groundskeeper activities as per SOC/OES 37-3011 (onetonline.org). Standard/Expected Schedule: Monday-Friday 9:00AM-5:00PM.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Optional, shared furnished housing available to the worker (including: Utilities) at a monthly housing rate up to $200; if optional housing is agreed upon by the worker, monthly housing rate is to be paid directly to the landlord each month. Job Classification: 47-2073.00 - Operating Engineers and Other Construction Equipment Operators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Must be 18 due to state labor laws. Must show proof of legal authorization to work in the United States. Drug/alcohol/tobacco free work zone. Perform physical activities: such as lift, balance, walk, stoop, handle, position, move, manipulate materials use static strength to exert maximum muscle force to lift, push, pull, carry objects up to 45lbs. All applicants must be able, willing and qualified to perform work described and must be available for the entire period specified and work throughout all areas of intended employment. Work is performed outdoors, exposed to weather; must be capable of doing physically strenuous labor for long hours, occasionally in extreme heat or cold. Variable weather conditions apply; hours may fluctuate (+/-), possible downtime and/or overtime. Number of Hours Per Week: 40 Work Schedule (Start/End time): 9:00 A.M. - 5:00 P.M.</t>
  </si>
  <si>
    <t>H-400-26184-076454</t>
  </si>
  <si>
    <t>B&amp;H Services, LLC</t>
  </si>
  <si>
    <t>bandhservices.bb@gmail.com</t>
  </si>
  <si>
    <t>+18283877193</t>
  </si>
  <si>
    <t>Duties may include: Care for established lawns by mulching, aerating, weeding, removing thatch, or trimming. Prune or trim trees, shrubs, or hedges. Use hand tools, such as shovels, rakes, pruning saws, hedge or brush trimmers. Rake, mulch, and compost leaves. Provide proper upkeep of sidewalks, driveways, parking lots, or other grounds features. Gather and remove litter and debris. Shovel snow from walks, driveways, or parking lots, and spread salt in those areas. Operate vehicles or powered equipment &amp; other related Landscape Laborer activities as per SOC/OES 37-3011 (onetonline.org). Standard/Expected Schedule: Monday-Friday 7:30AM-4:00PM.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Job Classification: 37-3011.00 - Landscaping and Groundskeeping Workers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Must be 18 due to insurance. Must show proof of legal authorization to work in the United States. Drug/alcohol/tobacco free work zone. Perform physical activities such as: lift, balance, walk, stoop, handle, position, move, manipulate materials use static strength to exert max muscle force to lift, push, pull, carry objects up to 80lbs (possible 2-person). All applicants must be able, willing and qualified to perform work described and must be available for the entire period specified and work throughout all areas of intended employment. Possible background check post hire at employer's expense.Work is performed outdoors, exposed to weather; must be capable of doing physically strenuous labor for long hours, occasionally in extreme heat or cold. Variable weather conditions apply; hours may fluctuate (+/-), possible downtime and/or overtime. Number of Hours Per Week: 40 Work Schedule (Start/End time): 7:30 A.M. - 4:00 P.M.</t>
  </si>
  <si>
    <t>H-400-26184-076460</t>
  </si>
  <si>
    <t>Big Top Entertainment, Inc</t>
  </si>
  <si>
    <t>Accounting@bigtopentertainment.biz</t>
  </si>
  <si>
    <t>+17578750505</t>
  </si>
  <si>
    <t>Drive a light vehicle, such as a small truck, with a capacity of less than 26,001 pounds Gross Vehicle Weight (GVW), primarily to pick up rental items from a warehouse center and deliver to event sites or customers. May load and unload vehicle. The employee will only deliver and unload/load the rental items at event sites and other customer locations. When the rental time period has expired, workers will also pick up rental items from event sites and other customer locations by loading them into the truck. Workers will not be setting up or breaking down rental items at the event or customer sites. Job Classification: 53-3033.00 - Light Truck Drivers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Requires three months experience of driving small truck. Must lift/carry 50 lbs., when necessary and work in bending/standing positions for extended periods in all types of weather. Work schedule is at least 5 days/week with shifts varying by day and work days varying by week to include Saturday and Sunday. Post-hire drug testing required of foreign and domestic workers upon suspicion of use. Must possess or be able to obtain U.S. driver's license within 30 days of hire. Employer may offer more than the stated work hours depending on weather, business needs, and other conditions. Extreme heat, cold, rain, or drought may affect exact working hours. Number of Hours Per Week: 35 Work Schedule (Start/End time): 9:00 A.M. - 4:30 P.M.</t>
  </si>
  <si>
    <t>H-400-26184-076464</t>
  </si>
  <si>
    <t>Billy Heroman's Flowerland, Inc.</t>
  </si>
  <si>
    <t>ben@billyheromans.com</t>
  </si>
  <si>
    <t>+12252727673</t>
  </si>
  <si>
    <t>The Warehouse Helper will work in the warehouse department, holiday department, and plant scaping department by unloading trucks, moving the material to the appropriate locations, and pulling material for loading to ship to other locations. Materials include boxes/cases of flowers, artificial trees, wreaths/garland, ornaments, ribbon, and plants of all shapes and sizes. Types of machinery, tools, and/or equipment used include metal carts with adjustable shelves. The employee’s role is to physically handle the appropriate materials (boxes, buckets of flowers, cases of supplies or merchandise, and plants). Employee would be given instructions on what to find, how to sort it, where to bring it, and how to organize it in its final location. Landscaping tasks include unloading plant shipments, sorting and staging plants for the installation team, loading trucks with the same material. Employee will find and gather the appropriate boxes of materials, move them to the desired area, remove them from the boxes, and set them in place to be ready to be assessed. Additionally they would repack the finished items in boxes, move those to the staging area, and assist in loading trucks for delivery. This role involves physical labor and requires the ability to work in varying environments, both indoors and outdoors, as dictated by the project needs. Job Classification: 53-7062.00 - Laborers and Freight, Stock, and Material Movers, Hand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Must lift/carry 50 lbs., when necessary. Saturday and Sunday work required, when necessary. Employer-paid drug testing required of foreign and domestic workers prior to commencing work and post-hire post-accident. Employer may offer more than the stated work hours depending on weather, business needs, and other conditions. Extreme heat, cold, rain, or drought may affect exact working hours. Number of Hours Per Week: 40 Work Schedule (Start/End time): 8:00 A.M. - 5:00 P.M.</t>
  </si>
  <si>
    <t>H-400-26184-076429</t>
  </si>
  <si>
    <t>MONTANA</t>
  </si>
  <si>
    <t>H-400-26184-076442</t>
  </si>
  <si>
    <t>H-400-26184-076449</t>
  </si>
  <si>
    <t>H-400-26184-076472</t>
  </si>
  <si>
    <t>Cody Foster &amp; Co., Inc</t>
  </si>
  <si>
    <t>info@codyfoster.com</t>
  </si>
  <si>
    <t>Packer</t>
  </si>
  <si>
    <t>A warehouse employee picks and packs products, which consist of holiday ornaments, in a warehouse and prepares them for customer orders. Primary duties include locating and packaging items using the warehouse management system, checking order accuracy, packing boxes and making shipping labels. Assists in restocking shelves, loading and unloading trucks, and, other warehouse duties as assigned by the wholesale warehouse manager. Job Classification: 53-7062.00 - Laborers and Freight, Stock, and Material Movers, Hand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Must lift/carry 50 lbs., when necessary. Post-hire drug testing required of foreign and domestic workers upon suspicion of use. May be asked to drive company vehicles if worker has valid driver's license. (Driving is not a requirement of all workers in this position.) Bilingual preferred but not required. Employer may offer more than the stated work hours depending on weather, business needs, and other conditions. Extreme heat, cold, rain, or drought may affect exact working hours. Number of Hours Per Week: 40 Work Schedule (Start/End time): 8:00 A.M. - 5:00 P.M.</t>
  </si>
  <si>
    <t>H-400-26184-076424</t>
  </si>
  <si>
    <t>Golf Groundskeeping Worker</t>
  </si>
  <si>
    <t>Landscape or maintain golf course grounds using hand or power tools/equipment such as weed whackers, trimmers, San pros, and edgers. Mows golf greens, tees and fairways; works on the ground to prune or trim trees, shrubs, or hedges using shears, pruners, or chain saws; removes cuttings. Waters plants; cuts grass, weeds and bushes; rakes leaves; spreads fertilizer. Mulch beds around golf course. Collects and empties trash receptacles; cleans gutters, drains and culverts. Maintains maintenance and fluid use logs (gas and oil) on equipment. Cleans and inspects equipment after each use; reports equipment problems to supervisor. Makes minor adjustments to equipment as needed, by hand or with hand tools. Loads and unloads materials by hand or using a cart. Operates a golf cart or golf utility vehicle for various course maintenance needs. Other similar job-related duties as assigned. The employer will offer a minimum of 40 hours per week. Business is open 7 days a week. Scheduled workdays vary Sunday through Saturday, including holidays. Shifts: 6am-4:30pm; 6am-2:30pm, 6am-12:00pm and 6am-10am. Each 8 hr+ shift includes 30 minutes unpaid break time. Workdays, hours, and shift time may vary with business needs. The employer may increase wage based on experience, market conditions, and/or provide additional pay for performance and tenure. Holiday bonus pay is possible. Employee will receive a $10 meal allowance for every shift worked which is added to their paycheck. Overtime may be available. An overtime premium will be paid when required by Federal, State, or local law, including at time-and-a-half after 40 hours in a workweek. Generally, when overtime is available it will be paid at $27.38 per hour. The employer will provide a bicycle for daily transportation to and from the worksite. Job Classification: 37-3011.00 - Landscaping and Groundskeeping Workers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Must have a valid driver's license to drive golf cart or golf utility vehicle. Must be able to lift up to 50 lbs; bend, stoop, lift, move, push, pull and carry boxes, equipment, tools etc. Must be able to safely operate a golf cart and golf maintenance equipment; ride, walk and work outdoors as needed. Must be able to walk, stand and work in extremely hot, cold and rainy weather conditions for duration of shift. Must be able to read and speak in English for communication with managers and sufficiently to converse with the general public, understand traffic signs and signals in English. Must be able to maintain reasonably regular, punctual attendance. Pre-employment criminal background check and drug test required, cost paid by employer and applied equally to all workers, U.S. and foreign/H-2B. Workers are subject to post employment, post-injury/incident drug testing, cost paid by employer and applied equally to all workers, U.S. and foreign/H-2B. Must be able to work a flexible 5-day or 6-day work schedule, including weekends and holidays. Applicant must complete an employment application. Required uniform provided at no charge to the worker. Number of Hours Per Week: 40 Work Schedule (Start/End time): 6:00 A.M. - 4:30 P.M.</t>
  </si>
  <si>
    <t>H-400-26184-076457</t>
  </si>
  <si>
    <t>Cronin Enterprises Civil &amp; Rail Division, LLC</t>
  </si>
  <si>
    <t>civil-rail@crpgh.com</t>
  </si>
  <si>
    <t>+14123021341</t>
  </si>
  <si>
    <t>Landscape or maintain grounds of property using hand or power tools or equipment. Workers typically perform a variety of tasks, which may include any combination of the following: sod laying, planting, watering, fertilizing, digging, raking, seeding and concrete, and installation of mortarless segmental concrete masonry wall units. Job Classification: 37-3011.00 - Landscaping and Groundskeeping Workers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Must lift/carry 50 lbs., when necessary. Post-hire random drug testing required of foreign and domestic workers. Employer may offer more than the stated work hours depending on weather, business needs, and other conditions. Extreme heat, cold, rain, or drought may affect exact working hours. Number of Hours Per Week: 40 Work Schedule (Start/End time): 7:00 A.M. - 3:30 P.M.</t>
  </si>
  <si>
    <t>H-400-26184-076453</t>
  </si>
  <si>
    <t>Dan's Last Shot</t>
  </si>
  <si>
    <t>danslastshot@goldenwest.net</t>
  </si>
  <si>
    <t>+16058421828</t>
  </si>
  <si>
    <t>Perform non-routine or precision functions involving the preparation of game and livestock. Work may include specialized slaughtering tasks, cutting standard or premium cuts of meat for marketing, making sausage, or wrapping meats. Meat processor will gut, pelt, skin, cut, grind, package, and freeze game animals including pheasant, deer, elk, and buffalo using tools such as hoist, meat splitter, meat saw, meatgrinder, sausage stuffer, knives, knife sharpener, vacuum pack machine, power washer, smoker, &amp; air staple gun. Meat processor will also kill and process livestock including beef, pork, and sheep. Workers will clean up all areas and will be asked to help load customer vehicles by carrying boxes or trays. The processing areas are maintained at cold temperatures to ensure meat safety and quality. The work environment is fast-paced, especially during peak hunting seasons, and involves tasks such as deboning, grinding, and packaging meat products. Additionally, the employee will cut meats into parts per specifications for retail sales by following a cut sheet with the customers order. Job Classification: 51-3023.00 - Slaughterers and Meat Packers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Must lift/carry 50 lbs., when necessary. Saturday and Sunday work required, when necessary. Employer may offer more than the stated work hours depending on weather, business needs, and other conditions. Extreme heat, cold, rain, or drought may affect exact working hours. Number of Hours Per Week: 40 Work Schedule (Start/End time): 9:00 A.M. - 5:00 P.M.</t>
  </si>
  <si>
    <t>H-400-26184-076455</t>
  </si>
  <si>
    <t>FR Forestry LLC</t>
  </si>
  <si>
    <t>Frforestry@outlook.com</t>
  </si>
  <si>
    <t>+15039109473</t>
  </si>
  <si>
    <t>Duties may include: Commercial Tree Planting (clear an area with a planting shovel, dig a hole, place a seedling in the hole ensuring that the seedling is not in a J root position, and cover the hole back up to secure the seedling. Must be able to carry a planting bag with a number of seedlings, weighing up to 50 pounds, up and down steep, rugged terrain), Tubing, Spraying, Brush Cutting, Pre-Commercial Thinning (carrying fuel, oil, and operate a chainsaw weighing up to 30 pounds, cutting trees, and brush clearing. Undesirable and diseased trees are to be cut with a chainsaw. Selected limbs of standing trees will be cut). IF NECESSARY (ONLY IN THE EVENT OF AN UNFORESEEN FIRE) AND UNDER THE DIRECT SUPERVISION OF FIRE SUPPRESSION OFFICERS OR FORESTRY TECHNICIANS: fire mop-up duties such as utilizing hand tools such as shovels &amp; pulaskis to dig and turn over debris, clearing/disposing of brush, piling, and digging line or construction of fire breaks &amp; other related Forestry Worker activities as per SOC/OES 45-4011 (onetonline.org). Standard/Expected Schedule: Monday-Friday 7:00AM-3:00PM.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Optional, shared housing available at no cost to the worker. Job Classification: 45-4011.00 - Forest and Conservation Workers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Must be 18 due to travel. Must show proof of legal authorization to work in the United States. Drug/alcohol/tobacco free work zone. Perform physical activities: such as lift, balance, walk, stoop, handle, position, move, manipulate materials use static strength to exert maximum muscle force to lift, push, pull, carry objects up to 50lbs. All applicants must be able, willing and qualified to perform work described and must be available for the entire period specified and work throughout all areas of intended employment. Work is performed outdoors, exposed to weather; must be capable of doing physically strenuous labor for long hours, occasionally in extreme heat or cold. Variable weather conditions apply; hours may fluctuate (+/-), possible downtime and/or overtime. Number of Hours Per Week: 40 Work Schedule (Start/End time): 7:00 A.M. - 3:00 P.M.</t>
  </si>
  <si>
    <t>H-400-26184-076470</t>
  </si>
  <si>
    <t>Falcon Forestry Inc.</t>
  </si>
  <si>
    <t>falconforestry@gmail.com</t>
  </si>
  <si>
    <t>+15419443470</t>
  </si>
  <si>
    <t>Duties may include: Dig holes all day to then hand plant tree seedlings w/o J/U root using hand planting tool(s). Maintain surrounding vegetation by pruning, thinning, spraying, pile slash, clearing debris &amp; other related Forestry Worker activities as per SOC/OES 45-4011 (onetonline.org). Standard/Expected Schedule: Monday-Friday 7:00AM-3:30PM.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Optional, shared housing available at no cost to the worker. Job Classification: 45-4011.00 - Forest and Conservation Workers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Must be 18 due to travel. Must show proof of legal authorization to work in the United States. Drug/alcohol/tobacco free work zone. Must walk substantially (up to 15 miles/day), also stoop, bend while carrying a pack (up to 50lbs) thru rough terrain (non-trail). All applicants must be able, willing and qualified to perform work described and must be available for the entire period specified and work throughout all areas of intended employment.Based on Employer's discretion/cost: Worker may have random drug/alcohol testing during employment: positive test/refusal to abide = dismissal. Work is performed outdoors, exposed to weather; must be capable of doing physically strenuous labor for long hours, occasionally in extreme heat or cold. Variable weather conditions apply; hours may fluctuate (+/-), possible downtime and/or overtime. Number of Hours Per Week: 40 Work Schedule (Start/End time): 7:00 A.M. - 3:30 P.M.</t>
  </si>
  <si>
    <t>H-400-26184-076447</t>
  </si>
  <si>
    <t>Four Seasons Produce, Inc.</t>
  </si>
  <si>
    <t>yadirav@fsproduce.com</t>
  </si>
  <si>
    <t>+15175254075</t>
  </si>
  <si>
    <t>Operations Worker</t>
  </si>
  <si>
    <t>Work in a produce distribution center. Move product throughout the warehouse and load onto trucks by hand or hand operated/power equipment (such as pallet jacks). Operate radio frequency equipment such as hand scanners and voice selection units (available in Spanish). Handle input and finished product/supplies in packing. Select orders and load product onto outbound trailers. Job Classification: 53-7062.00 - Laborers and Freight, Stock, and Material Movers, Hand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Must lift/carry 65 lbs., when necessary. Friday, Saturday, and Sunday work required, when necessary. The actual work schedule for each day of the week is subject to change. Maximum shifts are 12 hours per day. Not every employee will work 12 hour shifts, 7 days a week. An employee may work up to 12 hours per day, but may work alternating days or may work a portion of a 12 hour shift. We will offer at least 40 hours in a typical workweek. Hours in excess of 40 will vary depending on staff, production quotas, and other factors to be evaluated on a daily basis. Employer offers a $3/hour shift differential and incentive. Employer-paid drug testing required of foreign and domestic workers prior to commencing work and post-hire at random, upon suspicion of use, and post-accident. Post-hire background check and employment eligibility (e-Verify) check required of foreign and domestic workers. Preferred three months of previous experience in operating end rider pallet jack or high-lift in a warehouse. Employer may offer more than the stated work hours depending on weather, business needs, and other conditions. Extreme heat, cold, rain, or drought may affect exact working hours. Number of Hours Per Week: 40 Work Schedule (Start/End time): 7:00 A.M. - 3:30 P.M.</t>
  </si>
  <si>
    <t>H-400-26184-076445</t>
  </si>
  <si>
    <t>G &amp; S Lawn Care, LLC</t>
  </si>
  <si>
    <t>brad@allyourlandcare.com</t>
  </si>
  <si>
    <t>Landscape or maintain grounds of property using hand or power tools or equipment. Workers typically perform a variety of tasks, which may include any combination of the following: sod laying, mowing, trimming, planting, watering, fertilizing, digging, raking, and installation of mortarless segmental concrete masonry wall units. Entry level; requires supervision. Job Classification: 37-3011.00 - Landscaping and Groundskeeping Workers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Must lift/carry 50 lbs., when necessary. Saturday work required, when necessary. Post-hire random drug testing required of foreign and domestic workers. Post-hire background check and employment eligibility (e-Verify) check required of foreign and domestic workers. Post-hire motor vehicle record check and Maryland DOT medical check required only of foreign and domestic workers who drive company vehicles (driving is not a requirement of all workers in the position). Employer may offer more than the stated work hours depending on weather, business needs, and other conditions. Extreme heat, cold, rain, or drought may affect exact working hours. Number of Hours Per Week: 40 Work Schedule (Start/End time): 7:00 A.M. - 3:30 P.M.</t>
  </si>
  <si>
    <t>H-400-26184-076427</t>
  </si>
  <si>
    <t>Prepare construction site where concrete will be poured by directing concrete laborers to place materials on job site, measure forms, examine the grade and confirm proper form layout. Safely set and align wooden and metal forms that hold concrete. Spread, level and smooth concrete using rakes, walk-behind or riding screeds, power trowels, shovels or hand tools. Tear down concrete forms and cut concrete with concrete saws. Clean up construction site. Job Classification: 47-2051.00 - Cement Masons and Concrete Finishers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36 Special Requirements: Some weekend work. Must be able to lift and carry 75 lbs. for 50 yards. Must be able to handle extreme temperatures. Number of Hours Per Week: 40 Work Schedule (Start/End time): 7:00 A.M. - 5:00 P.M.</t>
  </si>
  <si>
    <t>H-400-26184-076456</t>
  </si>
  <si>
    <t>H-400-26184-076426</t>
  </si>
  <si>
    <t>Harry Smith Contractors, Inc.</t>
  </si>
  <si>
    <t>hesmith01@aol.com</t>
  </si>
  <si>
    <t>Landscape or maintain grounds of property using hand or power tools or equipment. Workers must be able to perform a variety of tasks without close supervision, which may include any combination of the following: sod laying, mowing, trimming, planting, watering, fertilizing, digging, raking, mulching, pruning, and assisting with installation of mortarless segmental concrete masonry wall units. Must exercise independent judgment; may be asked to demonstrate tasks to other employees but position does not include supervision of other workers. Job Classification: 37-3011.00 - Landscaping and Groundskeeping Workers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Requires three months of previous landscape experience. Must lift/carry 50 lbs., when necessary. Saturday work required, when necessary. Employer may offer more than the stated work hours depending on weather, business needs, and other conditions. Extreme heat, cold, rain, or drought may affect exact working hours. Number of Hours Per Week: 40 Work Schedule (Start/End time): 7:30 A.M. - 4:00 P.M.</t>
  </si>
  <si>
    <t>H-400-26184-076438</t>
  </si>
  <si>
    <t>Hartman Lawn Care, LLC</t>
  </si>
  <si>
    <t>sales@hartman-landscaping.com</t>
  </si>
  <si>
    <t>Landscape or maintain grounds of property using hand or power tools or equipment. Workers typically perform a variety of tasks, which may include any combination of the following: sod laying, mowing, trimming, blowing, planting, watering, fertilizing, digging, raking, weeding, mulching, pruning. Safely and effectively operate a variety of lawncare equipment including chain saws, lawn mowers, tractors, clippers, and trimmers. Job Classification: 37-3011.00 - Landscaping and Groundskeeping Workers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Requires three months of previous landscape experience. Must lift/carry 50 lbs., when necessary. Saturday and Sunday work required, when necessary. Employer-paid drug testing required of foreign and domestic workers prior to commencing work and post-hire at random, upon suspicion of use, and post-accident. Employer may offer more than the stated work hours depending on weather, business needs, and other conditions. Extreme heat, cold, rain, or drought may affect exact working hours. Number of Hours Per Week: 40 Work Schedule (Start/End time): 7:00 A.M. - 3:30 P.M.</t>
  </si>
  <si>
    <t>H-400-26184-076463</t>
  </si>
  <si>
    <t>Hill Country Smoked Meats, LLC</t>
  </si>
  <si>
    <t>chadellis@qualityservice.com</t>
  </si>
  <si>
    <t>+18302498063</t>
  </si>
  <si>
    <t>Duties may include: Skin wild game. Cut, package and box cuts from wild game. Grind, stuff package and box sausage and hamburger from wild game. Clean processing equipment, floors and walls daily. Pull customer orders out of freezer for pickup &amp; other related Slaughterers and Meat Packers activities as per SOC/OES 51-3023 (onetonline.org). Standard/Expected Schedule: Monday - Sunday 8:00AM-6:00PM. Offering 56+ (plus) hours per week; not including applicable lunch and/or breaks. Weekly schedule may very depending on business needs. Weekends mandatory. Possible weekend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Job Classification: 51-3023.00 - Slaughterers and Meat Packers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Must show proof of legal authorization to work in the United States. Drug/alcohol/tobacco free work zone. Perform physical activities: such as lift, balance, walk, stoop, handle, position, move, manipulate materials use static strength to exert maximum muscle force to lift, push, pull, carry objects up to 50lbs. All applicants must be able, willing and qualified to perform work described and must be available for the entire period specified and work throughout all areas of intended employment.Based on Employer's discretion/cost: Worker may have random drug/alcohol testing during employment: positive test/refusal to abide = dismissal. Possible background check post hire at employer's expense.Hours may fluctuate based on tourism peaks and valleys throughout the season (+/-), possible downtime and/or overtime. Number of Hours Per Week: 56 Work Schedule (Start/End time): 8:00 A.M. - 6:00 P.M.</t>
  </si>
  <si>
    <t>H-400-26184-076444</t>
  </si>
  <si>
    <t>Integrity Builders &amp; Supply Inc.</t>
  </si>
  <si>
    <t>HR@integrity.build</t>
  </si>
  <si>
    <t>+13197529001</t>
  </si>
  <si>
    <t>Framers</t>
  </si>
  <si>
    <t>Measure and layout structures by reading and following plans, assemble and erect walls and trusses using hand, power and pneumatic tools to cut and fasten lumber, sheet roofs and walls, install doors, windows, caulk structure and clean-up the construction site. Job Classification: 47-2031.00 - Carpenters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Must be able to lift and carry 60 lbs, 60 yds. Proper and accurate use of tape measure is required. Will be exposed to heights, temperature extremes, strenuous physical activity and repetitive motions. Will travel to worksites within area of intended employment. Number of Hours Per Week: 40 Work Schedule (Start/End time): 7:00 A.M. - 5:00 P.M.</t>
  </si>
  <si>
    <t>H-400-26184-076431</t>
  </si>
  <si>
    <t>JCB Design and Build, LLC</t>
  </si>
  <si>
    <t>Office@jcbdesignandbuild.com</t>
  </si>
  <si>
    <t>+12487925368</t>
  </si>
  <si>
    <t>Landscape or maintain grounds of property using hand or power tools or equipment. Workers typically perform a variety of tasks, which may include any combination of the following: sod laying, planting, watering, fertilizing, digging, raking, assists with installation/maintenance of sprinklers and installation of mortarless segmental concrete masonry wall units. Loading/unloading equipment/materials; clean equipment/worksite when job is complete. Job Classification: 37-3011.00 - Landscaping and Groundskeeping Workers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Must lift/carry 75 lbs., when necessary. Saturday work required, when necessary. Employer may offer more than the stated work hours depending on weather, business needs, and other conditions. Extreme heat, cold, rain, or drought may affect exact working hours. Number of Hours Per Week: 40 Work Schedule (Start/End time): 7:00 A.M. - 3:30 P.M.</t>
  </si>
  <si>
    <t>H-400-26184-076440</t>
  </si>
  <si>
    <t>JJD Contracting Company</t>
  </si>
  <si>
    <t>hannah@jjd-contracting.com</t>
  </si>
  <si>
    <t>+13197505020</t>
  </si>
  <si>
    <t>Perform lesser tasks involving manual labor at concrete construction site. Prepare the site for placing of concrete by loading and unloading materials, running string-lines, cutting wood with skill saw, using a sledgehammer to pound stakes into the ground, digging and leveling the earth using shovels and platepackers. Assist with placing concrete by using wheelbarrows, concrete rakes and shovels. Place concrete. Clean up waste materials. Job Classification: 47-2061.00 - Construction Laborers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Some weekends work. Must be able to handle temperature extremes. Must be able to lift and carry 75 lbs. for 50 yards. 3 months of concrete construction experience required. Number of Hours Per Week: 40 Work Schedule (Start/End time): 7:00 A.M. - 5:00 P.M.</t>
  </si>
  <si>
    <t>H-400-26184-076433</t>
  </si>
  <si>
    <t>JPRIV Landscape LLC</t>
  </si>
  <si>
    <t>info@riepenhofflandscape.com</t>
  </si>
  <si>
    <t>Landscape or maintain grounds of property using hand or power tools or equipment. Workers typically perform a variety of tasks, which may include any combination of the following: sod laying, mowing, mulching, trimming, planting, watering, fertilizing, digging, raking, maintain irrigation systems, sprinkler installation, and installation of mortarless segmental concrete masonry wall units. Entry level, requires supervision. Job Classification: 37-3011.00 - Landscaping and Groundskeeping Workers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Must lift/carry 50 lbs., when necessary. Saturday and Sunday work required, when necessary. Employer-paid drug testing required of foreign and domestic workers prior to commencing work and post-hire at random, upon suspicion of use, and post-accident. Driver's license required only of foreign and domestic workers who drive company vehicles (driving is not a requirement of all workers in the position). Employer may offer more than the stated work hours depending on weather, business needs, and other conditions. Extreme heat, cold, rain, or drought may affect exact working hours. Number of Hours Per Week: 40 Work Schedule (Start/End time): 7:30 A.M. - 4:00 P.M.</t>
  </si>
  <si>
    <t>H-400-26184-076432</t>
  </si>
  <si>
    <t>Jasper Construction Services Inc.</t>
  </si>
  <si>
    <t>steve@jasperco.com</t>
  </si>
  <si>
    <t>+16417927088</t>
  </si>
  <si>
    <t>RFI Response: The demolition work performed by Construction Laborers consists solely of manual cleanup and support activities at concrete construction sites involving roadways and bridges. When deteriorated sections of concrete are removed, Construction Laborers do not operate saw-cutting equipment, concrete breaking machines, backhoes, end loaders, or dump trucks. Those activities are performed exclusively by separately qualified and licensed equipment operators or skilled trades. Construction Laborers assist only after mechanical removal has occurred, performing manual labor tasks to support site preparation and cleanup. These tasks include shoveling, raking, sweeping, and collecting small broken concrete pieces and debris that remain along the perimeter of the work area after heavy equipment has completed removal. The purpose of this work is to maintain a safe and clean jobsite and prepare surfaces for subsequent construction activities. Tools, Equipment, and Materials Used: For these demolition-related tasks, Construction Laborers use hand tools only, including shovels, push brooms, hand brooms, rakes, and wheelbarrows. No specialized demolition tools, heavy machinery, or powered breaking equipment are used or operated by Construction Laborers. Materials handled consist of small fragments of broken concrete and general construction debris. Processes, Projects, and Industry Context: The work occurs within the concrete construction industry, specifically on roadway and bridge repair projects. The Construction Laborers’ role is limited to manual labor support, site cleanup, debris removal, and surface preparation. They do not perform skilled demolition, structural removal, engineering work, or equipment operation. All duties are performed under the direction of supervisors and skilled trades and are consistent with the scope of SOC 47-2061. Confirmation of SOC Classification: All duties described above fall squarely within the definition of Construction Laborers (SOC 47-2061), involving physical labor, use of basic hand tools, and assistance with construction site preparation and cleanup. No duties associated with demolition workers, equipment operators, or other skilled construction occupations are performed. Original JDs: Perform a variety of manual labor tasks at concrete construction sites. Prepare sites for placing of concrete by loading and unloading materials, running string-lines, cutting wood with skill saw, and using sledgehammers to pound stakes into the ground. Excavate, dig, and level earth using shovels, plate packers, and air hammers. Perform blowing, chipping, shoveling, demolition, and excavation work to remove debris and prepare surfaces. Assist with placing concrete using wheelbarrows, concrete rakes, and shovels. Clean up job site and dispose of waste materials. Job Classification: 47-2061.00 - Construction Laborers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Must be able to handle temperature extremes, operate power tools, read and use measuring tape, and lift and carry 75 lbs. for 50 yards. Some weekend work. 3 months concrete construction experience required. Number of Hours Per Week: 40 Work Schedule (Start/End time): 7:00 A.M. - 5:00 P.M.</t>
  </si>
  <si>
    <t>H-400-26184-076467</t>
  </si>
  <si>
    <t>Ready Mix Driver</t>
  </si>
  <si>
    <t>Operate ready-mix trucks, moving ready mix to work sites. Drivers required to clean and maintain trucks including performing daily safety inspection of trucks, checking and refilling fuel and other fluid levels daily, performing minor maintenance on vehicles. Complete paperwork on loads hauled and turn in daily. Job Classification: 53-3032.00 - Heavy and Tractor-Trailer Truck Drivers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MUST BE ABLE TO PASS DEPARTMENT OF TRANSPORTATION PHYSICAL. MUST BE ABLE TO LIFT AND CARRY 40 LBS 30 FEET. CLASS B LICENSE OR INTERNATIONAL COMMERCIAL DRIVER'S LICENSE, GOOD DRIVING RECORD AND DRIVING SKILLS REQUIRED. MUST BE 21 YEARS OF AGE OR OLDER. MUST PASS PRE-EMPLOYMENT DRUG AND ALCOHOL TESTING. MUST BE ABLE TO HANDLE EXTREME TEMPERATURES. THE WORKER MUST BE ABLE TO READ AND SPEAK IN ENGLISH LANGUAGE SUFFICIENTLY TO CONVERSE WITH THE GENERAL PUBLIC, UNDERSTAND HIGHWAY TRAFFIC SIGNS AND SIGNALS IN ENGLISH, RESPOND TO OFFICIAL INQUIRIES, AND MAKE ENTRIES ON REPORTS AND RECORDS. Number of Hours Per Week: 40 Work Schedule (Start/End time): 7:00 A.M. - 5:00 P.M.</t>
  </si>
  <si>
    <t>H-400-26184-076434</t>
  </si>
  <si>
    <t>Martin J. Grunder Jr. Inc.</t>
  </si>
  <si>
    <t>careers@grunderlandscaping.com</t>
  </si>
  <si>
    <t>+19378478000</t>
  </si>
  <si>
    <t>Landscape or maintain grounds of property using hand or power tools or equipment. Workers typically perform a variety of tasks, which may include any combination of the following: lay sod, mow/trim/edge lawns, rake/blow leaves, plant, water, pull/chop weeds, prune, haul topsoil, mulch, fertilize, dig. Job Classification: 37-3011.00 - Landscaping and Groundskeeping Workers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Must lift/carry 50 lbs., when necessary. Saturday work required, when necessary. Employer-paid drug testing required of foreign and domestic workers prior to commencing work and post-hire at random, upon suspicion of use, and post-accident. Post-hire background check required of foreign and domestic workers. Employer may offer more than the stated work hours depending on weather, business needs, and other conditions. Extreme heat, cold, rain, or drought may affect exact working hours. Number of Hours Per Week: 40 Work Schedule (Start/End time): 7:00 A.M. - 3:30 P.M.</t>
  </si>
  <si>
    <t>H-400-26184-076465</t>
  </si>
  <si>
    <t>Outside Design, LLC</t>
  </si>
  <si>
    <t>steve@outsidedesignpools.com</t>
  </si>
  <si>
    <t>+14404785389</t>
  </si>
  <si>
    <t>Landscape or maintain grounds of property using hand or power tools or equipment. Workers typically perform a variety of tasks, which may include any combination of the following: sod laying, trimming, planting, watering, fertilizing, digging, raking, Lift/carry/hold materials/tools/supplies; clean equip/work areas; assist w/installation of mortarless segmental concrete masonry wall units and of drainage tile. Entry level; requires supervision. Job Classification: 37-3011.00 - Landscaping and Groundskeeping Workers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Must lift/carry 50 lbs., when necessary. Saturday work required, when necessary. Post-hire random, post-accident and upon suspicion of use drug testing required of foreign and domestic workers. Employer may offer more than the stated work hours depending on weather, business needs, and other conditions. Extreme heat, cold, rain, or drought may affect exact working hours. Number of Hours Per Week: 45 Work Schedule (Start/End time): 7:30 A.M. - 5:00 P.M.</t>
  </si>
  <si>
    <t>H-400-26184-076461</t>
  </si>
  <si>
    <t>PLL Land Management, LLC</t>
  </si>
  <si>
    <t>plllandmanagement@gmail.com</t>
  </si>
  <si>
    <t>Landscape or maintain grounds of property using hand or power tools or equipment. Cutting grass. Plan or cultivate lawns or gardens. Care for established lawns by mulching, aerating, weeding, grubbing ,removing thatch, or trimming or edging around shrubs, flower beds, walks, or walls. Job Classification: 37-3011.00 - Landscaping and Groundskeeping Workers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Requires three months of previous landscape experience. Must lift/carry 50 lbs., when necessary. Saturday and Sunday work required, when necessary. Driver's license required only of foreign and domestic workers who drive company vehicles (driving is not a require of all workers in the position). Employer may offer more than the stated work hours depending on weather, business needs, and other conditions. Extreme heat, cold, rain, or drought may affect exact working hours. Number of Hours Per Week: 40 Work Schedule (Start/End time): 7:30 A.M. - 4:00 P.M.</t>
  </si>
  <si>
    <t>H-400-26184-076469</t>
  </si>
  <si>
    <t>Rhodes Trucking LLC</t>
  </si>
  <si>
    <t>rockinrfarms.ok@gmail.com</t>
  </si>
  <si>
    <t>+15805422610</t>
  </si>
  <si>
    <t>Construction Helper</t>
  </si>
  <si>
    <t>Duties may include: Assist in post remediation of construction sites to ensure the construction area is back to original condition. Clean up construction sites. Operate various equipment such as tractors, seeders, hydro seeders, semi trucks, and trailers. Assist in reseeding, laying gravel. Pick up and haul materials (sand, gravel, concrete, sod) to/from work site and company warehouse. Load/unload materials. Maintain tools or equipment &amp; other related Construction Helper activities as per SOC/OES 47-2061 (onetonline.org). Standard/Expected Schedule: Monday-Saturday 7:00AM-4:00PM.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Job Classification: 47-2061.00 - Construction Laborers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Must show proof of legal authorization to work in the United States. Drug/alcohol/tobacco free work zone. Perform physical activities: such as lift, balance, walk, stoop, handle, position, move, manipulate materials use static strength to exert maximum muscle force to lift, push, pull, carry objects up to 50lbs. All applicants must be able, willing and qualified to perform work described and must be available for the entire period specified and work throughout all areas of intended employment. Work is performed outdoors, exposed to weather; must be capable of doing physically strenuous labor for long hours, occasionally in extreme heat or cold. Variable weather conditions apply; hours may fluctuate (+/-), possible downtime and/or overtime. Number of Hours Per Week: 40 Work Schedule (Start/End time): 7:00 A.M. - 4:00 P.M.</t>
  </si>
  <si>
    <t>H-400-26184-076458</t>
  </si>
  <si>
    <t>Silva &amp; Sons Landscaping, LLC</t>
  </si>
  <si>
    <t>silvansonslandscaping@gmail.com</t>
  </si>
  <si>
    <t>+12314127797</t>
  </si>
  <si>
    <t>Winter Technician</t>
  </si>
  <si>
    <t>Perform commercial and residential snow/ice maintenance including winter storm clean-up, trash/debris pickup, and snow/ice removal and dormant tree/shrub winter pruning. Use hand tools and equipment such as ice picks, shovels, and blowers. Remove snow from sidewalks, driveways, or parking areas, using snowplows, snow blowers, or snow shovels, or spread snow-melting chemicals. Workers with valid U.S. driver’s license may operate a truck with front-end plow attachment (driving is not a requirement of all workers in the position). Clean and perform routine maintenance and/or minor repairs on equipment and tools when not in use. Job Classification: 47-4051.00 - Highway Maintenance Workers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Must lift/carry 50 lbs., when necessary. Saturday and Sunday work required, when necessary. Employer may offer more than the stated work hours depending on weather, business needs, and other conditions. Extreme heat, cold, rain, or drought may affect exact working hours. Number of Hours Per Week: 35 Work Schedule (Start/End time): 8:00 A.M. - 3:30 P.M.</t>
  </si>
  <si>
    <t>H-400-26184-076425</t>
  </si>
  <si>
    <t>St. Louis Select Landscaping &amp; Lawn Care, LLC</t>
  </si>
  <si>
    <t>apply.stl6550@gmail.com</t>
  </si>
  <si>
    <t>+16363764089</t>
  </si>
  <si>
    <t>Duties may include: Mow, trim, edge, curb edge, bed edge prepare annual flowers, annual flower install, maintenance &amp; removal. Fall flower install/removal. Bed maintenance, pre-emergent application, fertilizer application. Mulching &amp; mulch cultivation. Trim/prune bushes, shrubs, &amp; trees. Spring/Fall clean ups: lawn restorations, aeration, slit-seeding, top dressing, &amp; de-thatching. Install &amp; maintain irrigation/drainage systems: winterize &amp; spring startup - adjust amount of water consumption &amp; prevent waste &amp; other related Landscape Laborers activities as per SOC/OES 37-3011 (onetonline.org). Standard/Expected Schedule: Monday-Friday 5:30AM-6:00PM.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Job Classification: 37-3011.00 - Landscaping and Groundskeeping Workers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Must show proof of legal authorization to work in the United States. Drug/alcohol/tobacco free work zone. Perform physical activities such as: lift, balance, walk, stoop, handle, position, move, manipulate materials use static strength to exert max muscle force to lift, push, pull, carry objects up to 90lbs (possible 2-person). All applicants must be able, willing and qualified to perform work described and must be available for the entire period specified and work throughout all areas of intended employment.Based on Employer's discretion/cost: Worker may have random drug/alcohol testing during employment: positive test/refusal to abide = dismissal. Work is performed outdoors, exposed to weather; must be capable of doing physically strenuous labor for long hours, occasionally in extreme heat or cold. Variable weather conditions apply; hours may fluctuate (+/-), possible downtime and/or overtime. Number of Hours Per Week: 40 Work Schedule (Start/End time): 5:30 A.M. - 6:00 P.M.</t>
  </si>
  <si>
    <t>H-400-26184-076430</t>
  </si>
  <si>
    <t>Duties may include: Duties may include: Prepare roofs for the application of new roofing materials by sweeping, cleaning, removing old or damaged roofing materials. Cover roofs with layers of felt or ice and water shield before installing composite shingles, metal, or membrane roofing. Assist roofers with installation of new roofs by hauling roofing materials and necessary supplies. Use hand tools such as caulking gun, flat bar, hammer tacker, nail gun, razor knife, roofing shovel, or tin snips. Clean up and remove any roofing debris to onsite trash receptacles to ensure clean and safe worksite &amp; other related Roofer activities as per SOC/OES 47-2181 (onetonline.org). Standard/Expected Schedule: Monday-Friday 8:00AM-5:00PM.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Job Classification: 47-2181.00 - Roofers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Must be 18 due to equipment use. Must show proof of legal authorization to work in the United States. Drug/alcohol/tobacco free work zone. Perform physical activities such as: lift, balance, walk, stoop, handle, position, move, manipulate materials use static strength to exert max muscle force to lift, push, pull, carry objects up to 70lbs (possible 2-person). All applicants must be able, willing and qualified to perform work described and must be available for the entire period specified and work throughout all areas of intended employment.Based on Employer's discretion/cost: Worker may have random drug/alcohol testing during employment: positive test/refusal to abide = dismissal. Possible background check post hire at employer's expense.Work is performed outdoors, exposed to weather; must be capable of doing physically strenuous labor for long hours, occasionally in extreme heat or cold. Variable weather conditions apply; hours may fluctuate (+/-), possible downtime and/or overtime. Number of Hours Per Week: 40 Work Schedule (Start/End time): 8:00 A.M. - 5:00 P.M.</t>
  </si>
  <si>
    <t>H-400-26184-076471</t>
  </si>
  <si>
    <t>Duties may include: Sort already harvested: seedlings, cuttings, trees, and shrubs. Move containerized seedlings and trees from bins to then sort, straighten, and align seedlings. Then perform packaging, label seedlings, and manually pack/load for transport. Clean equipment/work area. Incidental driving possible &amp; other related Nursery Worker activities as per SOC/OES 45-2092 (onetonline.org). Standard/Expected Schedule: Monday-Friday 8:00AM-4:00PM. Offering 35-35+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Piece rate may apply: worker will never make less than Prevailing Wage or Federal/State/Local minimum wage. Job Classification: 45-2092.00 - Farmworkers and Laborers, Crop, Nursery, and Greenhouse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Must show proof of legal authorization to work in the United States. Drug/alcohol/tobacco free work zone. Perform physical activities such as: lift, balance, walk, stoop, handle, position, move, manipulate materials use static strength to exert max muscle force to lift, push, pull, carry objects up to 60lbs (possible 2-person). All applicants must be able, willing and qualified to perform work described and must be available for the entire period specified.Based on Employer's discretion/cost: Worker may have random drug/alcohol testing during employment: positive test/refusal to abide = dismissal. Work is performed outdoors, exposed to weather; must be capable of doing physically strenuous labor for long hours, occasionally in extreme heat or cold. Variable weather conditions apply; hours may fluctuate (+/-), possible downtime and/or overtime. Number of Hours Per Week: 35 Work Schedule (Start/End time): 8:00 A.M. - 4:00 P.M.</t>
  </si>
  <si>
    <t>H-400-26184-076446</t>
  </si>
  <si>
    <t>H-400-26184-076428</t>
  </si>
  <si>
    <t>Sweeping Change LLC</t>
  </si>
  <si>
    <t>18/04/2027</t>
  </si>
  <si>
    <t>elisse@sweepingchangevail.com</t>
  </si>
  <si>
    <t>+19703908353</t>
  </si>
  <si>
    <t>Maids and Housekeeping Cleaners</t>
  </si>
  <si>
    <t>Duties may include: Perform any combination of light cleaning duties to maintain private households or commercial establishments in a clean and orderly manner. Duties may include making beds, replenishing linens, cleaning rooms and halls and vacuuming &amp; other related Maids and Housekeeping Cleaners activities as per SOC/OES 37-2012 (onetonline.org). Standard/Expected Schedule: Monday-Friday 8:00AM-4:00PM.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Job Classification: 37-2012.00 - Maids and Housekeeping Cleaners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Must be 18 due to state labor laws. Must show proof of legal authorization to work in the United States. Drug/alcohol/tobacco free work zone. Perform physical activities: such as lift, balance, walk, stoop, handle, position, move, manipulate materials use static strength to exert maximum muscle force to lift, push, pull, carry objects up to 40lbs. All applicants must be able, willing and qualified to perform work described and must be available for the entire period specified and work throughout all areas of intended employment. Hours may fluctuate based on tourism peaks and valleys throughout the season (+/-), possible downtime and/or overtime. Number of Hours Per Week: 40 Work Schedule (Start/End time): 8:00 A.M. - 4:00 P.M.</t>
  </si>
  <si>
    <t>H-400-26184-076441</t>
  </si>
  <si>
    <t>Ximena Oysters LLC</t>
  </si>
  <si>
    <t>ximenaoystersllc@yahoo.com</t>
  </si>
  <si>
    <t>+13614360321</t>
  </si>
  <si>
    <t>Oyster Boat Deckhands</t>
  </si>
  <si>
    <t>Responsibilities include attaching apparatus devices to cable, boom, and hoist; loading and unloading equipment and supplies; and fishing/dredging oysters by setting up nets and lines, hauling in the catch, sorting, cleaning, culling, transplanting, storing, and unloading oysters. Workers must sort and return undesirable and undersized/illegal oysters to the bay. Oysters that remain on deck are hosed down removing dirt, weighed, bagged, labeled and brought to port ready for pick-up by freezer trucks and brought to the processing plant for its process. Additional oyster-related duties include placing PVC pipe and/or oyster markers in private oyster leases and transplanting oysters, shells, and rocks. Workers are responsible for keeping all work areas clean, including the deck, equipment, iceboxes/coolers, and cabin. Duties include securing and removing mooring lines for vessels to and from the dock or other vessels. Shipyard work includes cleaning the vessel and equipment. Aboard the fishing vessel, duties may include standing lookout, steering (helmsman duties), and engine room watches. Workers will load and unload oyster sacks from the vessel to the dock cooler and/or freight trucks. The worker must comply at all times with the safety procedures established by the United States Coast Guard, as well as with the applicable laws of the Texas Department of Parks and Wildlife. The work will be carried out in multiple locations in Texas, including the addresses 732 Broadway St, Port Lavaca, TX 77979 and 825 2nd St, Seadrift, TX 77983. Work will also be performed in public and private waters off the Texas coast in Matagorda, and Calhoun counties. Job Classification: 45-3031.00 - Fishing and Hunting Workers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Must be able to lift and carry up to 100 pounds. Seafood allergies may be fatal. Hours vary due to weather, mechanical issues and other Acts of God. Weekend work and overtime possible. Willing to work outdoors on oyster boats, exposed to weather; must be capable of doing physically strenuous labor for long hours, occasionally in extreme heat. All applicants must be able, willing, qualified to perform work described and must be available for the entire period specified. Number of Hours Per Week: 40 Work Schedule (Start/End time): 6:00 A.M. - 2:00 P.M.</t>
  </si>
  <si>
    <t>H-400-26184-076476</t>
  </si>
  <si>
    <t>Aiello Landscape of Vero Beach, Inc.</t>
  </si>
  <si>
    <t>Ruis Jodi</t>
  </si>
  <si>
    <t>Nordia.cooper@aiellolandscape.com</t>
  </si>
  <si>
    <t>Gardeners</t>
  </si>
  <si>
    <t>Landscape or maintain grounds of property using hand or power tools or equipment. Workers typically perform a variety of tasks, which may include any combination of the following: sod laying, mowing, weeding, edging, mulching, fall clean up, trimming, planting, watering, fertilizing, seeding, digging, raking, installation of mortarless segmental concrete masonry wall units, and assisting with sprinkler installation. Entry Level, requires supervision. Job Classification: 37-3011.00 - Landscaping and Groundskeeping Workers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Must lift/carry 50 lbs., when necessary. Saturday work required, when necessary. Post-hire random drug testing required of foreign and domestic workers. Post-hire background check required of foreign and domestic workers. Employer may offer more than the stated work hours depending on weather, business needs, and other conditions. Extreme heat, cold, rain, or drought may affect exact working hours. Number of Hours Per Week: 40 Work Schedule (Start/End time): 7:15 A.M. - 3:45 P.M.</t>
  </si>
  <si>
    <t>H-400-26184-076501</t>
  </si>
  <si>
    <t>Bulk Transport Company East, Inc.</t>
  </si>
  <si>
    <t>Drive tractor-trailer trucks transporting agricultural commodity (sugar beets). Regularly climb up and down, on, into and out of tractors and trailers, up to 5 feet high. Must be able to read, write, and speak English sufficiently to perform job duties, including reading traffic signs, communicating with the public and law enforcement, and completing required reports in accordance with DOT and FMCSA requirements. Job Classification: 53-3032.00 - Heavy and Tractor-Trailer Truck Drivers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12 Special Requirements: Commercial Driver's License or equivalent Able to sit and remain alert while driving for an aggregate period of up to 11 hours. Must pass background check and drug testing. English proficiency required to perform job duties. Number of Hours Per Week: 36 Work Schedule (Start/End time): 7:00 A.M. - 7:00 P.M.</t>
  </si>
  <si>
    <t>H-400-26184-076512</t>
  </si>
  <si>
    <t>H-400-26184-076500</t>
  </si>
  <si>
    <t>Greet guests, take food and beverage orders, ring up orders in point of sale system; advise kitchen personnel of items ordered, serve/deliver requested items, present check to guest; clear tables, assist with running food, prepares side work. Assists with opening and closing of club restaurant, dining room, banquet room, and other food and beverage areas. All servers will be laterally trained and at times may operate in different areas of food and beverage service. Must follow all sanitation policies and procedures. ***For the clarification of the duties for opening and closing, the employee is responsible to prep the coffee machines, with adding water, stocking serving areas with coffees/teas, glassware, silverware, and condiments, pens, staples, printer paper, order pads, and napkins, straws, lids, pitchers, and food and beverage items such as butter, milk, soup crackers, oil and vinegar, hot fudge, lemonade and iced tea; fill ice bins, using a knife slice lemons, limes and oranges; using cleaning cloth and approved chemicals to wipe down check presenters, seat cushions and refrigerators; set food tables with tablecloths, displays and floral arrangements. In closing, clean coffee machines, empty and clean bins used for ice, teas, condiments, silverware, per standards ensure food items (milk, butter) are properly stored, restock items in serving areas, return dirty items to the dishwasher, remove tablecloths, displays; clean and polish counters, shelves, walls, furniture or equipment used in food service areas and the restaurant outlets. For clarification, the other Food and Beverage areas are the Carousel snack bar, Men’s Grill and Ladies Locker room. Employees are trained to be servers and trained to be server assistants. Server assistant duties include set tables with clean linens, condiments, or other supplies and wipe tables and seats with dampened cloths or to replace dirty linens before, during and after meal service; meet/greet members; serve bread/butter, hot/cold beverages, assists with carrying food trays to tables, carries supplies and stocks server station area as needed, collects trash from the food and beverage areas serviced by the servers, reports any complaints to supervisor and assists in the tasks for opening and closing procedures. The employer will offer a minimum of 40 hours per week. Business is open 7 days a week. Scheduled workdays vary Sunday through Saturday, including holidays. Normal shift time 9am-5:30pm. Shift includes 30 minutes unpaid break time. Workdays, hours, and shift time may vary with business needs. The employer may increase wage based on experience, market conditions, and/or provide additional pay for performance and tenure. May receive tips from customers. Holiday bonus pay is possible. One meal provided during shift at no cost. Overtime may be available. An overtime premium will be paid when required by Federal, State, or local law, including at time-and-a-half after 40 hours in a workweek. Generally, when overtime is available it will be paid at $28.07 per hour. The employer will provide a bicycle for daily transportation to and from the worksite. Job Classification: 35-3031.00 - Waiters and Waitresses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2 Special Requirements: Must be at least 18 years old. Must have or be willing to obtain a valid Food Handler's certification once employed (provided by employer). Must be able to lift up to 50 lbs., bend, lift, move, push, pull and carry boxes, banquet tables/chairs, serving trays etc. Pre-employment criminal background check and drug test required, cost paid by employer and applied equally to all workers, U.S. and foreign/H-2B. Workers are subject to post-employment, post-injury/incident drug testing, cost paid by employer and applied equally to all workers, U.S. and foreign/H-2B. Must be able to demonstrate good communication skills, including understanding directions, conveying information and conversing with Members in English. Must be able to work a flexible 5-day schedule, including weekends and holidays. Applicant must complete an employment application. Required uniform provided at no charge to the worker. Number of Hours Per Week: 40 Work Schedule (Start/End time): 9:00 A.M. - 5:30 P.M.</t>
  </si>
  <si>
    <t>H-400-26184-076493</t>
  </si>
  <si>
    <t>DUTCH TOTAL SOCCER, LLC</t>
  </si>
  <si>
    <t>STEVEN SKLAR</t>
  </si>
  <si>
    <t>tom@DutchTotalSoccer.com</t>
  </si>
  <si>
    <t>+18562386733</t>
  </si>
  <si>
    <t>Recreational Program Instructor, Soccer</t>
  </si>
  <si>
    <t>Conduct recreation activities with individual children and groups of children in the 3 to 14 year old age range at recreation facilities such as outdoor or indoor fields or recreation complexes. Activities are soccer games and programs, including recreational guided soccer games, and are aimed at building social and gross motor development in children participants. Activities are geared to the needs and interests of the participants. Items F.a.5-F.a.6, work hours, further detail (entered here due to format limitations at items F.a.5-F.a.6): Full time, 35 hours/week, typical schedule: Tu, Wed, Fri 4:30 - 9 pm, Thurs 11 am - 12 noon &amp; 4:30 pm - 9 pm, Sat 10 am - 6 pm (exact scheduling may shift occasionally. Items F.b.2 and F.c.1, further detail: travel to, work at, soccer fields and facilities in Somerset &amp; Union Counties, NJ. Occasional travel to tournament sites within 2 hours drive of Bridgewater, NJ. Job Classification: 39-9032.00 - Recreation Workers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12 Number of Hours Per Week: 35 Work Schedule (Start/End time): 4:30 P.M. - 9:00 P.M.</t>
  </si>
  <si>
    <t>H-400-26184-076496</t>
  </si>
  <si>
    <t>H-400-26184-076511</t>
  </si>
  <si>
    <t>H-400-26184-076516</t>
  </si>
  <si>
    <t>Position and secure steel bars or mesh in concrete forms in order to reinforce concrete. Able to operate wire reel, klein pliers and hand tools to fasten and bend rebar. Job Classification: 47-2171.00 - Reinforcing Iron and Rebar Workers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6 Special Requirements: Some weekend work. Must be able to handle temperature extremes. Must be able to lift and carry 75 lbs 75 yds. Will travel to worksites within the area of intended employment. Number of Hours Per Week: 40 Work Schedule (Start/End time): 7:00 A.M. - 5:00 P.M.</t>
  </si>
  <si>
    <t>H-400-26184-076474</t>
  </si>
  <si>
    <t>H-400-26184-076485</t>
  </si>
  <si>
    <t>H-400-26184-076522</t>
  </si>
  <si>
    <t>HUNTERS RUN PROPERTY OWNERS ASSOCIATION INC</t>
  </si>
  <si>
    <t>careers@huntersrun.net</t>
  </si>
  <si>
    <t>+15617354015</t>
  </si>
  <si>
    <t>Greet &amp; seat guests, take phone calls, make reservations which includes scheduling dining reservations for members and guests using the employer’s reservation system and coordinating table availability with dining staff. The worker will also confirm reservation details and assist with managing guest flow during service hours. (8) workers needed. Dates of need: 10/1/26-5/31/27. 3 months experience necessary. Rotating shifts. Workdays: Mon-Sun. Work hours: 6am-10pm. Rate of pay: $16.29-$22/hr based on performance, $24.44-$33/hr overtime. Workers paid biweekly. 35 hours/wk. Optional housing provided for $140/week with a $300 deposit, refundable upon completing of contract &amp; housing inspection. Bonus of $500 for first time returners, $1,000 for those who are returning for the 2nd time or more as well as Christmas bonus gift card on Thanksgiving. Uniforms and shift meals provided. Job location: 3500 Clubhouse Lane, Boynton Beach, FL 33436 Work is temporary full time employment. A single workweek will be used to compute wages. May get up to 10 hours of overtime when available. All deductions from the worker's paycheck required by law will be made. The employer will provide workers at no charge all tools, supplies, and equipment required to perform the job. The worker will be provided with or reimbursed for transportation and subsistence (including reasonable cost of overnight lodging where necessary up to $110/night for lodging with receipts.) at a rate of $16.78 per day during travel to a maximum of $68.00 per day with receipts from the place from which the worker has come to work for the employer, whether in the U.S. or abroad, to the place of employment, if the worker completes 50 percent of the period of employment covered by the job order, consistent with 20 CFR 655.20(j)(1)(i) by inclusion in the paycheck for the applicable week. Employer will provide or pay for the worker's cost of return transportation and daily subsistence from the place of employment to the place from which the worker, disregarding intervening employment, departed to work for the employer, if the worker completes the certified period of employment or is dismissed from employment for any reason by the employer before the end of the period, consistent with § 655.20(j)(1)(ii); H-2B workers will be reimbursed in the first workweek for all visas, visa processing, border crossing, and other related fees, including those mandated by the government (excluding passport fees). The employer will provide workers all tools, supplies, and equipment required to perform the job at no charge to the worker, in accordance with 20 CFR 655.20(k). Qualified applicants may mail resume to Attn: Emily Viviano Rockle at 3500 Clubhouse Lane, Boynton Beach, FL 33436, email to careers@huntersrun.net or visit your local job center at 3400 Belvedere Road West Palm Beach, FL 33406. *Your security deposit is refundable upon completion of your contract and upon inspection of the housing. If a worker abandons their job without permission of the employer or a worker abandons their housing before the end of the petition date for any reason except employer termination, the workers forfeits all housing deposits, PTO, vacation and bonus pay. Upon termination of resignation, the worker must vacate the housing immediately thereafter unless agreed upon by the employer.* Job Classification: 35-9031.00 - Hosts and Hostesses, Restaurant, Lounge, and Coffee Shop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Number of Hours Per Week: 35 Work Schedule (Start/End time): 6:00 A.M. - 10:00 P.M.</t>
  </si>
  <si>
    <t>H-400-26184-076495</t>
  </si>
  <si>
    <t>Mowing of greens, fairways using ride on mowers, greens cutters. Use of hedge trimmers, weedwackers. Planting of shrubs/flowers. Blowing off of walkways, greens, sidewalks. Laying of sod, spreading of mulch. (40) workers needed. Dates of need: 10/1/26-7/31/27. Rotating shifts. Workdays: Mon-Sun. Work hours: 6am-3pm. Rate of pay: $18.25-$22/hr based on performance, $27.38-$33/hr overtime. Workers paid biweekly. 35 hours/wk. Optional housing provided for $140/week with a $300 deposit, refundable upon completing of contract &amp; housing inspection. Bonus of $500 for first time returners, $1,000 for those who are returning for the 2nd time or more as well as Christmas bonus gift card on Thanksgiving. Uniforms and shift meals provided. Job location: 3500 Clubhouse Lane, Boynton Beach, FL 33436 Work is temporary full time employment. A single workweek will be used to compute wages. May get up to 10 hours of overtime when available. All deductions from the worker's paycheck required by law will be made. The employer will provide workers at no charge all tools, supplies, and equipment required to perform the job. The worker will be provided with or reimbursed for transportation and subsistence (including reasonable cost of overnight lodging where necessary up to $110/night for lodging with receipts.) at a rate of $16.78 per day during travel to a maximum of $68.00 per day with receipts from the place from which the worker has come to work for the employer, whether in the U.S. or abroad, to the place of employment, if the worker completes 50 percent of the period of employment covered by the job order, consistent with 20 CFR 655.20(j)(1)(i) by inclusion in the paycheck for the applicable week. Employer will provide or pay for the worker's cost of return transportation and daily subsistence from the place of employment to the place from which the worker, disregarding intervening employment, departed to work for the employer, if the worker completes the certified period of employment or is dismissed from employment for any reason by the employer before the end of the period, consistent with § 655.20(j)(1)(ii); H-2B workers will be reimbursed in the first workweek for all visas, visa processing, border crossing, and other related fees, including those mandated by the government (excluding passport fees). The employer will provide workers all tools, supplies, and equipment required to perform the job at no charge to the worker, in accordance with 20 CFR 655.20(k). Qualified applicants may mail resume to Attn: Emily Viviano Rockle at 3500 Clubhouse Lane, Boynton Beach, FL 33436, email to careers@huntersrun.net or visit your local job center at 3400 Belvedere Road West Palm Beach, FL 33406. *Your security deposit is refundable upon completion of your contract and upon inspection of the housing. If a worker abandons their job without permission of the employer or a worker abandons their housing before the end of the petition date for any reason except employer termination, the workers forfeits all housing deposits, PTO, vacation and bonus pay. Upon termination of resignation, the worker must vacate the housing immediately thereafter unless agreed upon by the employer.* Job Classification: 37-3011.00 - Landscaping and Groundskeeping Workers The job/industry classification and description includes general information on the position from ONET/OES and the North American Industry Classification System. Please review Job Duties and Job Order for more information. Job Requirements Experience Required: No Number of Hours Per Week: 35 Work Schedule (Start/End time): 6:00 A.M. - 3:00 P.M.</t>
  </si>
  <si>
    <t>H-400-26184-076504</t>
  </si>
  <si>
    <t>Front Desk</t>
  </si>
  <si>
    <t>The Front Desk Worker is responsible for providing excellent customer service and ensuring efficient front office operations. This role includes greeting guests, handling check-ins and check-outs, responding to inquiries, and performing various administrative and clerical tasks to support smooth daily operations. Greet guests professionally and provide friendly, helpful customer service. Perform check-in and check-out procedures using reservation or property management systems. Answer phones, respond to emails, and assist guests with questions, requests, or concerns. Handle payments, issue receipts, and maintain accurate records of transactions. (6) workers needed. Dates of need: 10/1/26-5/31/27. 3 months experience necessary. Rotating shifts. Workdays: Mon-Sun. Work hours: 7am-11pm. Rate of pay: $16.82-$26/hr based on performance, $25.23-$39/hr overtime. Workers paid biweekly. 35 hours/wk. Optional housing provided for $140/week with a $300 deposit, refundable upon completing of contract &amp; housing inspection. Bonus of $500 for first time returners, $1,000 for those who are returning for the 2nd time or more as well as Christmas bonus gift card on Thanksgiving. Uniforms and shift meals provided. Job location: 3500 Clubhouse Lane, Boynton Beach, FL 33436 Work is temporary full time employment. A single workweek will be used to compute wages. May get up to 10 hours of overtime when available. All deductions from the worker's paycheck required by law will be made. The employer will provide workers at no charge all tools, supplies, and equipment required to perform the job. The worker will be provided with or reimbursed for transportation and subsistence (including reasonable cost of overnight lodging where necessary up to $110/night for lodging with receipts.) at a rate of $16.78 per day during travel to a maximum of $68.00 per day with receipts from the place from which the worker has come to work for the employer, whether in the U.S. or abroad, to the place of employment, if the worker completes 50 percent of the period of employment covered by the job order, consistent with 20 CFR 655.20(j)(1)(i) by inclusion in the paycheck for the applicable week. Employer will provide or pay for the worker's cost of return transportation and daily subsistence from the place of employment to the place from which the worker, disregarding intervening employment, departed to work for the employer, if the worker completes the certified period of employment or is dismissed from employment for any reason by the employer before the end of the period, consistent with § 655.20(j)(1)(ii); H-2B workers will be reimbursed in the first workweek for all visas, visa processing, border crossing, and other related fees, including those mandated by the government (excluding passport fees). The employer will provide workers all tools, supplies, and equipment required to perform the job at no charge to the worker, in accordance with 20 CFR 655.20(k). Qualified applicants may mail resume to Attn: Emily Viviano Rockle at 3500 Clubhouse Lane, Boynton Beach, FL 33436, email to careers@huntersrun.net or visit your local job center at 3400 Belvedere Road West Palm Beach, FL 33406. *Your security deposit is refundable upon completion of your contract and upon inspection of the housing. If a worker abandons their job without permission of the employer or a worker abandons their housing before the end of the petition date for any reason except employer termination, the workers forfeits all housing deposits, PTO, vacation and bonus pay. Upon termination of resignation, the worker must vacate the housing immediately thereafter unless agreed upon by the employer.* Job Classification: 43-4081.00 - Hotel, Motel, and Resort Desk Clerks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Number of Hours Per Week: 35 Work Schedule (Start/End time): 7:00 A.M. - 11:00 P.M.</t>
  </si>
  <si>
    <t>H-400-26184-076475</t>
  </si>
  <si>
    <t>Henney's Custom Hardscapes, Inc.</t>
  </si>
  <si>
    <t>27/12/2026</t>
  </si>
  <si>
    <t>henneys.ch@gmail.com</t>
  </si>
  <si>
    <t>+17248255948</t>
  </si>
  <si>
    <t>Landscape or maintain grounds of property using hand or power tools or equipment. Workers typically perform a variety of tasks, which may include any combination of the following: sod laying, mowing, trimming, planting, watering, fertilizing, digging, raking, sprinkler installation, and installation of mortarless segmental concrete masonry wall units. Job Classification: 37-3011.00 - Landscaping and Groundskeeping Workers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Must be able to lift/carry 80 pounds, when necessary. Saturday work required, when necessary. Number of Hours Per Week: 40 Work Schedule (Start/End time): 7:00 A.M. - 4:00 P.M.</t>
  </si>
  <si>
    <t>H-400-26184-076520</t>
  </si>
  <si>
    <t>Hollandscaping LLC</t>
  </si>
  <si>
    <t>craig@hollandscaping.com</t>
  </si>
  <si>
    <t>Landscape Technician</t>
  </si>
  <si>
    <t>Landscape or maintain grounds of property using hand or power tools or equipment. Plan or cultivate lawns or gardens. Care for established lawns by mulching, aerating, weeding,pruning, grubbing, removing thatch, or trimming or edging around flower beds, walks, or walls. Remove debris. Install plants. Job Classification: 37-3011.00 - Landscaping and Groundskeeping Workers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6 Special Requirements: Must lift/carry 50 lbs., when necessary. Saturday and Sunday work required, when necessary. Post-hire upon suspicion of use and post-accident drug testing required of foreign and domestic workers. Driver's license required only of foreign and domestic workers who drive company vehicles (driving is not a requirement of all workers in the position). Requires six months of previous landscape experience. Employer may offer more than the stated work hours depending on weather, business needs, and other conditions. Extreme heat, cold, rain, or drought may affect exact working hours. Number of Hours Per Week: 42 Work Schedule (Start/End time): 8:00 A.M. - 5:00 P.M.</t>
  </si>
  <si>
    <t>H-400-26184-076508</t>
  </si>
  <si>
    <t>Hudgins Outdoor Solutions, Inc.</t>
  </si>
  <si>
    <t>alan@hudginsoutdoorsolutions.com</t>
  </si>
  <si>
    <t>+18047392500</t>
  </si>
  <si>
    <t>***RFI Response*** These tasks are performed across two operational settings: (1) the employer's landscape installation division, serving residential and commercial clients at off-site job locations, and (2) the employer's retail garden center, a commercial retail establishment where finished plant stock purchased from wholesale suppliers is sold to the public and to contractors. The employer does not cultivate, propagate, or harvest any plant stock. All plant material handled by workers is purchased wholesale and sold or installed as a finished commercial product. The retail garden center is a commercial retail business, not a farm or agricultural operation. Small power equipment may include, but is not limited to: string trimmers (purpose: trim turf edges and overgrown vegetation); backpack blowers (purpose: clear clippings and debris from job sites and hardscape surfaces); push mower (purpose: turf mowing at residential and commercial sites); plate compactor (purpose: compact soil and gravel base material during hardscape and retaining wall installations). All small power equipment is operated under supervisor direction. ***Original F.a.2*** Perform landscape enhancement and installation work at residential and commercial job sites using hand tools and power equipment, including shovels, rakes, tampers, levels, wheelbarrows, and hand compactors; may operate small power equipment as assigned. Landscape grounds of property using hand or power tools or equipment. Follow planned landscaping designs to determine where to lay sod or plant flowers or foliage. Install rock gardens, drainage systems, irrigation systems, and retaining walls. Plant seeds, bulbs, foliage, flowering plants, grass, ground covers, trees, or shrubs, and apply mulch for protection, using gardening tools. Haul or spread topsoil. Use irrigation methods to adjust the amount of water consumption and to prevent waste. Create and prepare new planting beds through digging, edging, and grading. Use hand tools such as shovels, rakes, pruning saws, hedge or brush trimmers, or axes. Water lawns, trees, or plants, using portable sprinkler systems, hoses, or watering cans.Assists with installation of mortarless segmental concrete masonry wall units. Move and stage finished plant materials designated for installation or sale; pull and organize plant orders in preparation for scheduled landscape installations. Workers will support landscaping operations by moving and staging finished plant stock designated for sale or field installation, watering container plants to maintain viability pending installation or sale, pulling and organizing plant orders in preparation for scheduled landscape installations, and relocating inventory within the shop as directed. Maintain cleanliness of work and staging areas. May drive crew vehicle. No driver’s license is required as a condition of employment for the position. If the prospective worker already possesses a standard, noncommercial driver’s license they may be asked to drive a vehicle to job sites, as needed. All duties performed under supervisor direction. Job Classification: 53-7062.00 - Laborers and Freight, Stock, and Material Movers, Hand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Must be 18 years or older. Must show proof of legal authorization to work in the United States. Perform physical activities: such as lift, balance, walk, stoop, handle, position, move, manipulate materials use static strength to exert maximum muscle force to lift, push, pull, carry objects up to 50lbs. All applicants must be able, willing, qualified to perform work described and must be available for the entire period specified.Outdoors, exposed to weather; must be capable of doing physically strenuous labor for long hours, occasionally in extreme heat or cold. Variable weather conditions apply; hours may fluctuate (+/-), possible downtime and/or OT. Number of Hours Per Week: 40 Work Schedule (Start/End time): 7:00 A.M. - 5:00 P.M.</t>
  </si>
  <si>
    <t>H-400-26184-076515</t>
  </si>
  <si>
    <t>JOHN'S ISLAND CLUB. INC.</t>
  </si>
  <si>
    <t>EMILIO MARTINEZ</t>
  </si>
  <si>
    <t>kmurphy@JohnsIslandClub.org</t>
  </si>
  <si>
    <t>+17722318556</t>
  </si>
  <si>
    <t>Floor Tech</t>
  </si>
  <si>
    <t>Ensures overall floor maintenance of hard surface and carpet (dust and wet mopping, stripping, waxing, vacuuming, shampooing, buffing and polishing using commercial machinery) of the dining, common and private areas at the clubs during busy seasonal period. Is responsible for the safe and proper mixing and use of cleaning solutions and adheres to all safety precautions. Performs additional janitorial services such as cleaning restrooms and other common areas, collecting towels and dirty linens, removing refuse, and blowing or pressure washing walkways. Utilizes protective gear in all appropriate functions. Performs cleaning activities within established guidelines and assigned areas to ensure that quality standards, safety guidelines, and customer service expectations are met. Responsible for satisfactory and timely completion of assigned cleaning area according to schedule. Work may be performed during all shifts, including the overnight shift. Must be able to lift/move 40 pounds and continuously stand, walk, bend and reach for 8 hours or more daily. Anticipated days and hours of work per week and schedule: 35 hours per week (no less than). Five shifts a week during the Seven-day workweek. Standard Shift Schedules are 9pm to 5am, 7am to 3pm, 2pm to 11pm. Work is primarily performed during the overnight shift, although some daytime work maybe required. Overtime: As Needed Only. SEE ATTACHED DOCUMENT UPLOAD FOR FULL COPY OF THE JOB OFFER - Note to Certifying Officer: Attached is a full copy of the job offer. If any information on this job offer needs to be added to the ETA-9142, we grant you permission to add the information listed in this attachment. Job Classification: 37-2011.00 - Janitors and Cleaners, Except Maids and Housekeeping Cleaners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Must be 18 years of age; pass pre-employment drug test (in accordance with companys Drug Free Workplace Policy) and background check. This includes seasonal and full-time annual positions and is applied to all applicants regardless of their national origin, race, gender, or visa status. Must be available to work all shifts, including weekends, evenings, overnight, and holidays. Must present a professional demeanor and appearance. Number of Hours Per Week: 56 Work Schedule (Start/End time): 9:00 P.M. - 5:00 A.M.</t>
  </si>
  <si>
    <t>H-400-26184-076519</t>
  </si>
  <si>
    <t>Performs serving, cleaning, set-up and stocking duties for the restaurant, as well as parties, weddings and banquets, and attends to club member’s dining requests. Serves and refills club member’s beverages, dinner rolls and all other dinner items. Cleans tables and resets dining and event areas, replaces table linens, and sets tables; carries dirty dishes; replenishes supply of clean linens, glassware, silverware, and dishes. Performs other dining room duties, which may include answering phones to take reservations or to-go orders, and by greeting, seating, and thanking guests. Anticipated days and hours of work per week and schedule: 35 hours per week (no less than). Five shifts a week during the Seven-day workweek. Hours of operation are 6am to 12am. Standard Shift Schedules are 7am to 3pm, 10am to 3pm, and 4pm to 1pm. Staff may be scheduled for double shifts. Early starts (6am) and late ends (12am) may be needed based on events (i.e., private parties, weddings, banquets). Overtime: As Needed Only. SEE ATTACHED DOCUMENT UPLOAD FOR FULL COPY OF THE JOB OFFER - Note to Certifying Officer: Attached is a full copy of the job offer. If any information on this job offer needs to be added to the ETA-9142, we grant you permission to add the information listed in this attachment. Job Classification: 35-9011.00 - Dining Room and Cafeteria Attendants and Bartender Helpers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Must be 18 years of age; pass pre-employment drug test (in accordance with companys Drug Free Workplace Policy) and background check. This includes seasonal and full-time annual positions and is applied to all applicants regardless of their national origin, race, gender, or visa status. Must be available to work all shifts, including weekends, evenings, and holidays. Must present a professional demeanor and appearance. Number of Hours Per Week: 56 Work Schedule (Start/End time): 7:00 A.M. - 3:00 P.M.</t>
  </si>
  <si>
    <t>H-400-26184-076521</t>
  </si>
  <si>
    <t>Performs all methods of cookery, portion control, and garnishes all dishes in accordance with the standards set by the Club. Maintains high standards of quality food production to ensure members/guests satisfaction. Inspects and cleans food preparation areas, such as equipment and work surfaces, or serving areas to ensure safe and sanitary food-handling practices. Prepares, cooks, seasons, and presents food according to recipes and Club standards. Bakes, roasts, broils, and steams meats, fish, vegetables, breads, desserts and other foods. Ensures food is stored and cooked at the correct temperature by regulating temperature of ovens, broilers, grills, and roasters. Ensures freshness of food and ingredients by checking for quality, keeping track of old and new items, and rotating stock. Anticipated days and hours of work per week and schedule: 40 hours per week. Five shifts a week during the Seven-day workweek. Hours of operation are 3am to 12am. Standard Shift Schedules are 7am to 3pm, 2pm to 10pm, and 3am to 11am. Early starts (3am) and late ends (12am) may be needed based on events (i.e., private parties, weddings, banquets). Overtime: Yes. As Needed. SEE ATTACHED DOCUMENT UPLOAD FOR FULL COPY OF THE JOB OFFER - Note to Certifying Officer: Attached is a full copy of the job offer. If any information on this job offer needs to be added to the ETA-9142, we grant you permission to add the information listed in this attachment. Job Classification: 35-2014.00 - Cooks, Restaurant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12 Special Requirements: One year of experience as a cook in a fine dining environment or alternatively, one year of formal culinary training. Must be 18 years of age; pass pre-employment drug test (in accordance with companys Drug Free Workplace Policy) and background check. This includes seasonal and full-time annual positions and is applied to all applicants regardless of their national origin, race, or gender or visa status. Must be available to work all shifts, including weekends, evenings, and holidays. Must present a professional demeanor and appearance. Number of Hours Per Week: 56 Work Schedule (Start/End time): 7:00 A.M. - 3:00 P.M.</t>
  </si>
  <si>
    <t>H-400-26184-076480</t>
  </si>
  <si>
    <t>H-400-26184-076482</t>
  </si>
  <si>
    <t>Lumber Specialties US LBM LLC</t>
  </si>
  <si>
    <t>dwesthoff@lbrspec.com</t>
  </si>
  <si>
    <t>+15638752858</t>
  </si>
  <si>
    <t>Help carpenters by performing duties requiring less skill including carrying tools and wood, making simple wood cuts, fastening lumber with staples and tack plates, positioning wood forms and holding lumber in place using a jig, and cleaning up job site. Job Classification: 47-3012.00 - Helpers--Carpenters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Must be able to lift and carry 75 lbs. for 75 yards. Must be able to handle temperature extremes. Some weekend work. Number of Hours Per Week: 40 Work Schedule (Start/End time): 6:45 P.M. - 5:15 A.M.</t>
  </si>
  <si>
    <t>H-400-26184-076494</t>
  </si>
  <si>
    <t>Help carpenters by performing duties requiring less skill including carrying tools and wood, making simple wood cuts, fastening lumber with staples and tack plates, positioning wood forms and holding lumber in place using a jig, and cleaning up job site. Job Classification: 47-3012.00 - Helpers--Carpenters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Must be able to lift and carry 75 lbs for 75 yds. Must be able to handle temperature extremes. Some weekend work. Number of Hours Per Week: 40 Work Schedule (Start/End time): 3:30 P.M. - 2:00 A.M.</t>
  </si>
  <si>
    <t>H-400-26184-076497</t>
  </si>
  <si>
    <t>Load and unload trusses. Strap down loads. Driving from plant to drop off location and returning to plant each day. Following DOT regulations. Widths may be oversize. The semitrucks weigh approximately 33,001 lbs. Job Classification: 53-3032.00 - Heavy and Tractor-Trailer Truck Drivers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Must be able to lift and carry 75 lbs for 75 yards. Must have class A or international commercial drivers license, good driving record and driving skills required. The worker must be able to read and speak the English language sufficiently to converse with the general public, understand highway traffic signs and signals in English, respond to official inquiries, and make entries on reports and records. Number of Hours Per Week: 40 Work Schedule (Start/End time): 6:00 A.M. - 4:00 P.M.</t>
  </si>
  <si>
    <t>H-400-26184-076499</t>
  </si>
  <si>
    <t>H-400-26184-076506</t>
  </si>
  <si>
    <t>Semi-truck Driver</t>
  </si>
  <si>
    <t>H-400-26184-076510</t>
  </si>
  <si>
    <t>Team Assemblers</t>
  </si>
  <si>
    <t>***RFI response*** Assembly Process A more in-depth description of the duties and functions of this job are as follows: a) Review pre-cut lumber to ensure lumber quality, flag wood-splitting, flag bad saw-cuts and flag any other quality control issue with the lumber. b) Arrange lumber on table pursuant to a specific pattern. A truss table with stoppers (auto-pucks) to ensure the proper truss configuration is used. The workers are provided gloves to prevent slivers, punctures and scratching. c) Fit lumber together snugly in the proper pattern prior to joining all the lumber components together. d) Ensure the proper type of nails and proper size truss plates are utilized. The proper nails and truss plates are provided to the workers and the workers are to double-check that the nails and the plates are the correct ones per design. The design is shown to the workers on an electronic screen. e) Ensure the plates and nails are put at the proper location in the proper amounts. The workers are provided electronic plans or maps on a TV-like screen that they can review and follow during the process. There are compressed nail guns, hoses, compressors, hammers, tool belts, hard hats, safety glasses and vests. f) Ensure that the lumber components are joined together properly with proper plate placement and no large gaps between components. g) Use the truss table roller gantry or gantry press as needed to ensure the truss components are flat and strong when joined together. h) Review entire truss for cracks, splitting or broken joints. i) Also review the final truss product to ensure that it meets the proper dimensions and configuration prior to shipment. Operate machinery and heavy equipment 1) Truss table roller gantry or gantry press. 2) A team of assemblers is responsible for the entire truss assembly process. This means that the team takes the different truss components and assembles them into a final truss product. Each team member must understand and be able to do each job in the assembly process. When there is a very large truss, or the truss wood is slightly twisted or is not taking the truss plates very well, the team assembler when needed, may operate a truss table roller gantry (or gantry press) which is a heavy-duty industrial machine used in truss manufacturing to embed metal connector plates into wood roof or floor trusses. With several safety stops and minimal employee risk, the gantry travels along the assembly table, using massive steel rollers to press plates on both sides of the joint. The worker only must press a single button to operate the truss table roller gantry or gantry press so minimal technical skill, experience or ability is required to operate the press. Because the workers rotate through the positions and since the truss table roller gantry is not used all the time, an individual team assembler would only use it intermittently. ***Original*** Work as part of a team to assemble roof and floor trusses or wall panels. Perform all tasks conducted by the team in the assembly process and rotate through multiple production lines. Perform quality checks during assembly. Operate machinery and heavy equipment. Clean work areas. Job Classification: 51-7042.00 - Woodworking Machine Setters, Operators, and Tenders, Except Sawing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Must be able to lift and carry 75 lbs 75 yds. Must be able to handle temperature extremes. Some weekend work. Number of Hours Per Week: 40 Work Schedule (Start/End time): 3:30 P.M. - 2:00 A.M.</t>
  </si>
  <si>
    <t>H-400-26184-076488</t>
  </si>
  <si>
    <t>Production Worker Helpers</t>
  </si>
  <si>
    <t>***RFI response*** Move Material from Saw Room to Production Tables Using Carts: Production Worker Helpers transport lumber and wood components from the saw room to designated production tables using manually operated carts and material handling equipment. Duties include loading, moving, staging, positioning, and delivering materials to production tables/workstations for machine operators and production personnel. Helpers perform material handling and support functions and do not independently operate primary production machinery. Banding of Raw Materials and Finished Products: Under the direction of a Supervisor, Production Worker Helpers assist with preparing raw materials and finished products for storage and movement by grouping, aligning, holding, and securing lumber and finished product bundles and related materials. Duties include positioning materials, placing banding around bundles, and preparing products for transport within and without the facility. The primary piece of equipment used for this duty is a metal banding clamper. Operate Hand-Held Banding Tools: Production Worker Helpers use hand-held banding tools (metal banding clampers) to tighten and secure metal or plastic bands around bundles of lumber and finished products. Duties include feeding banding material through the tool, applying tension, securing bands, trimming excess material, and assisting with packaging operations. Equipment includes hand-held metal banding clampers and cutters. Operate Hand-Held Pneumatic Tools at Production Tables: Production Worker Helpers use hand-held pneumatic tools (staple and nail guns) to fasten simple truss components at production tables. Small pneumatic wood routers cut simple openings in wall panels through OSB plywood. Duties include properly positioning materials under the direction of the table leads, placing and pounding metal connector plates, securing materials during fastening and performing repetitive production support tasks. Equipment includes pneumatic hand tools such as staple and nail guns, air hoses, routers, hammers, nails, connectors, metal plates and lumber. ***Original*** Assist machine operator by sorting, moving, and positioning lumber. Move material from saw room to the production tables using cards. Banding of raw materials and finished products. Operate hand held banding tools. Count and sort small metal plates. Operate hand held pneumatic tools at production tables. Clean up site. Job Classification: 51-2099.00 - Assemblers and Fabricators, All Other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Must be able to lift and carry 75 lbs 75 yds. Must be able to handle temperature extremes. Some weekend work. Number of Hours Per Week: 40 Work Schedule (Start/End time): 6:45 P.M. - 5:15 A.M.</t>
  </si>
  <si>
    <t>H-400-26184-076489</t>
  </si>
  <si>
    <t>***RFI response*** Assembly Process A more in-depth description of the duties and functions of this job are as follows: a) Review pre-cut lumber to ensure lumber quality, flag wood-splitting, flag bad saw-cuts and flag any other quality control issue with the lumber. b) Arrange lumber on table pursuant to a specific pattern. A truss table with stoppers (auto-pucks) to ensure the proper truss configuration is used. The workers are provided gloves to prevent slivers, punctures and scratching. c) Fit lumber together snugly in the proper pattern prior to joining all the lumber components together. d) Ensure the proper type of nails and proper size truss plates are utilized. The proper nails and truss plates are provided to the workers and the workers are to double-check that the nails and the plates are the correct ones per design. The design is shown to the workers on an electronic screen. e) Ensure the plates and nails are put at the proper location in the proper amounts. The workers are provided electronic plans or maps on a TV-like screen that they can review and follow during the process. There are compressed nail guns, hoses, compressors, hammers, tool belts, hard hats, safety glasses and vests. f) Ensure that the lumber components are joined together properly with proper plate placement and no large gaps between components. g) Use the truss table roller gantry or gantry press as needed to ensure the truss components are flat and strong when joined together. h) Review entire truss for cracks, splitting or broken joints. i) Also review the final truss product to ensure that it meets the proper dimensions and configuration prior to shipment. Operate machinery and heavy equipment 1) Truss table roller gantry or gantry press. 2) A team of assemblers is responsible for the entire truss assembly process. This means that the team takes the different truss components and assembles them into a final truss product. Each team member must understand and be able to do each job in the assembly process. When there is a very large truss, or the truss wood is slightly twisted or is not taking the truss plates very well, the team assembler when needed, may operate a truss table roller gantry (or gantry press) which is a heavy-duty industrial machine used in truss manufacturing to embed metal connector plates into wood roof or floor trusses. With several safety stops and minimal employee risk, the gantry travels along the assembly table, using massive steel rollers to press plates on both sides of the joint. The worker only must press a single button to operate the truss table roller gantry or gantry press so minimal technical skill, experience or ability is required to operate the press. Because the workers rotate through the positions and since the truss table roller gantry is not used all the time, an individual team assembler would only use it intermittently. ***Original*** Work as part of a team to assemble roof and floor trusses or wall panels. Perform all tasks conducted by the team in the assembly process and rotate through multiple production lines. Perform quality checks during assembly. Operate machinery and heavy equipment. Clean work areas. Job Classification: 51-7042.00 - Woodworking Machine Setters, Operators, and Tenders, Except Sawing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Must be able to lift and carry 75 lbs 75 yds. Must be able to handle temperature extremes. Some weekend work. Number of Hours Per Week: 40 Work Schedule (Start/End time): 6:45 P.M. - 5:15 A.M.</t>
  </si>
  <si>
    <t>H-400-26184-076502</t>
  </si>
  <si>
    <t>M.R. Mowing &amp; Landscaping</t>
  </si>
  <si>
    <t>mrmowing1@yahoo.com</t>
  </si>
  <si>
    <t>+17047188072</t>
  </si>
  <si>
    <t>Duties may include: All duties take place on interstate highways: Gather/remove litter, mowing, and snow removal. Use of hand tools, such as shovels, rakes, pruning saws, hedge or brush trimmers or axes, Operate vehicles or powered equipment such as mowers, tractors, twin-axle vehicles, snow blowers, chain-saws, electric clippers, sod cutters, or pruning saws &amp; other related Highway Maintenance Worker activities as per SOC/OES 47-4051 (onetonline.org). Standard/Expected Schedule: Monday-Friday 7:00AM-4:00PM.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Optional, shared housing available at no cost to the worker. Job Classification: 47-4051.00 - Highway Maintenance Workers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Must be 18 due to insurance. Must show proof of legal authorization to work in the United States. Drug/alcohol/tobacco free work zone. Perform physical activities: such as lift, balance, walk, stoop, handle, position, move, manipulate materials use static strength to exert maximum muscle force to lift, push, pull, carry objects up to 50lbs. All applicants must be able, willing and qualified to perform work described and must be available for the entire period specified and work throughout all areas of intended employment. Work is performed outdoors, exposed to weather; must be capable of doing physically strenuous labor for long hours, occasionally in extreme heat or cold. Variable weather conditions apply; hours may fluctuate (+/-), possible downtime and/or overtime. Number of Hours Per Week: 40 Work Schedule (Start/End time): 7:00 A.M. - 4:00 P.M.</t>
  </si>
  <si>
    <t>H-400-26184-076492</t>
  </si>
  <si>
    <t>Marshfield Forest Service, Inc.</t>
  </si>
  <si>
    <t>14/02/2027</t>
  </si>
  <si>
    <t>marshfieldforestservice@gmail.com</t>
  </si>
  <si>
    <t>+18034806927</t>
  </si>
  <si>
    <t>Duties may include: manual duties outdoors for reforestation: maintain and develop woodlands, including hand planting of tree seedlings &amp; other related Tree Planter activities as per SOC/OES 45-4011 (onetonline.org). Standard/Expected Schedule: Monday-Friday 8:00AM-4:30PM.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Piece rate may apply and varies from $10/1000 trees planted to $600/1000 trees planted. Workers will be given a 2-week OJT period, at which point a daily production standard of 2,200 trees planted per 8-hr day (275 trees planted per hour) will be placed in effect. Failure to meet the production standard may result in a discipline notice.. Optional, shared housing available at no cost to the worker. Job Classification: 45-4011.00 - Forest and Conservation Workers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Must be 18 due to travel. Must show proof of legal authorization to work in the United States. Drug/alcohol/tobacco free work zone. Must walk substantially (up to 15 miles/day), also stoop, bend while carrying a pack (up to 50lbs) thru rough terrain (non-trail). All applicants must be able, willing and qualified to perform work described and must be available for the entire period specified and work throughout all areas of intended employment.Based on Employer's discretion/cost: Worker may have random drug/alcohol testing during employment: positive test/refusal to abide = dismissal. Possible background check post hire at employer's expense.Work is performed outdoors, exposed to weather; must be capable of doing physically strenuous labor for long hours, occasionally in extreme heat or cold. Variable weather conditions apply; hours may fluctuate (+/-), possible downtime and/or overtime. Number of Hours Per Week: 40 Work Schedule (Start/End time): 8:00 A.M. - 4:30 P.M.</t>
  </si>
  <si>
    <t>H-400-26184-076479</t>
  </si>
  <si>
    <t>Napieralski Forestry Enterprise, Inc</t>
  </si>
  <si>
    <t>dennap@yahoo.com</t>
  </si>
  <si>
    <t>+14109134817</t>
  </si>
  <si>
    <t>Duties may include: Dig holes at determined intervals, place seedling tree without J or U root, pack soil to secure seedling using hand OR foot planting tool &amp; other related Forestry Worker activities as per SOC/OES 45-4011 (onetonline.org). Standard/Expected Schedule: Monday-Friday 8:00AM-4:30PM.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Optional, shared housing available at no cost to the worker. Job Classification: 45-4011.00 - Forest and Conservation Workers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Must be 18 due to travel. Must show proof of legal authorization to work in the United States. Drug/alcohol/tobacco free work zone. Perform physical activities: such as lift, balance, walk, stoop, handle, position, move, manipulate materials use static strength to exert maximum muscle force to lift, push, pull, carry objects up to 50lbs. All applicants must be able, willing and qualified to perform work described and must be available for the entire period specified and work throughout all areas of intended employment.Based on Employer's discretion/cost: Worker may have random drug/alcohol testing during employment: positive test/refusal to abide = dismissal. Possible background check post hire at employer's expense.Work is performed outdoors, exposed to weather; must be capable of doing physically strenuous labor for long hours, occasionally in extreme heat or cold. Variable weather conditions apply; hours may fluctuate (+/-), possible downtime and/or overtime. Number of Hours Per Week: 40 Work Schedule (Start/End time): 8:00 A.M. - 4:30 P.M.</t>
  </si>
  <si>
    <t>H-400-26184-076484</t>
  </si>
  <si>
    <t>Native Forest Nursery New York, LLC</t>
  </si>
  <si>
    <t>Casey@nativeforestnursery.com</t>
  </si>
  <si>
    <t>+17162699822</t>
  </si>
  <si>
    <t>Duties may include: Sort tree seedlings, discarding substandard seedlings, according to standard charts or verbal instructions. Collect/gather seeds to be used for reforestation or other forestry purposes. Select tree seedlings, prepare the ground, or plant the trees using manual planting tools. Cut small woody stems with hand and/or power tools to produce nursery stock to needed specifications. Thin or space trees. Identify diseased or undesirable trees and remove them &amp; other related Forestry Worker activities as per SOC/OES 45-4011 (onetonline.org). Standard/Expected Schedule: Monday-Friday 7:30AM-4:00PM.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Optional, shared housing available at no cost to the worker. Job Classification: 45-4011.00 - Forest and Conservation Workers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Must be 18 due to equipment use. Must show proof of legal authorization to work in the United States. Drug/alcohol/tobacco free work zone. Perform physical activities: such as lift, balance, walk, stoop, handle, position, move, manipulate materials use static strength to exert maximum muscle force to lift, push, pull, carry objects up to 50lbs. All applicants must be able, willing and qualified to perform work described and must be available for the entire period specified and work throughout all areas of intended employment. Work is performed outdoors, exposed to weather; must be capable of doing physically strenuous labor for long hours, occasionally in extreme heat or cold. Variable weather conditions apply; hours may fluctuate (+/-), possible downtime and/or overtime. Number of Hours Per Week: 40 Work Schedule (Start/End time): 7:30 A.M. - 4:00 P.M.</t>
  </si>
  <si>
    <t>H-400-26184-076477</t>
  </si>
  <si>
    <t>Paragon Construction Solutions LLC</t>
  </si>
  <si>
    <t>HR@paragonusa.net</t>
  </si>
  <si>
    <t>+13196482256</t>
  </si>
  <si>
    <t>Perform lesser tasks involving manual labor at concrete construction site. Measure and complete building layouts. Mix, pour or spread concrete using portable cement mixer. Tend water/concrete pumps and hoses and tend compressors and/or generators to provide air/power for tools, machinery or equipment. Use all types of hand, power and pneumatic tools. Position and dismantle forms for placing concrete using hammers, nails or bolts. Smooth and finish freshly poured cement or concrete using floats, trowels, screeds or powered cement finishing tools. Operate jackhammers or drills to break up concrete or pavement. Position, join, align or seal structural components such as concrete wall sections or pipes. Tie rebar, position aluminum wall forms and place all concrete. Clean up jobsite. Job Classification: 47-2051.00 - Cement Masons and Concrete Finishers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1 Special Requirements: Must be able to lift and carry 75 lbs 75 yds and work in temperature extremes. Will travel to worksites within area of intended employment. Number of Hours Per Week: 40 Work Schedule (Start/End time): 7:00 A.M. - 5:00 P.M.</t>
  </si>
  <si>
    <t>H-400-26184-076513</t>
  </si>
  <si>
    <t>Pelican’s Nest Golf Club, Inc</t>
  </si>
  <si>
    <t>hr@pelicansnest.org</t>
  </si>
  <si>
    <t>+12399472282</t>
  </si>
  <si>
    <t>Golf Course Maintenance Worker</t>
  </si>
  <si>
    <t>Golf Course Maintenance Workers will be responsible for maintaining golf course and common grounds using hand and power tools and equipment. Will perform a combination of the following: sod laying, mowing, trimming, planting, watering, fertilizing, digging, raking, and sprinkler installation. Anticipated days and hours of work per week and schedule: All workers will work a minimum of no less than 35 hours per week. Open seven days including holidays. Shift hours are the following: 6:30am to 4pm; 6am to 9:30am; 6am to11am. Longer shifts listed include breaks. Shift days and work hours vary and may include based on special events. Overtime: As Needed Only. SEE ATTACHED DOCUMENT UPLOAD FOR FULL COPY OF THE JOB OFFER - Note to Certifying Officer: Attached is a full copy of the job offer. If any information on this job offer needs to be added to the ETA-9142, we grant you permission to add the information listed in this attachment. Job Classification: 37-3011.00 - Landscaping and Groundskeeping Workers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Three months of experience maintaining grounds at a high-end hotel, resort, or private club is required. Must pass pre-employment drug and background check test; this includes seasonal and full-time annual positions and is applied to all applicants regardless of their national origin, race, gender, or visa status. Must be available to work all shifts, including weekends and holidays. Number of Hours Per Week: 35 Work Schedule (Start/End time): 6:00 A.M. - 11:00 A.M.</t>
  </si>
  <si>
    <t>H-400-26184-076481</t>
  </si>
  <si>
    <t>Pro-Agr, Inc.</t>
  </si>
  <si>
    <t>stephanie@walkerag.com</t>
  </si>
  <si>
    <t>+12173040404</t>
  </si>
  <si>
    <t>Load, transport, unload, export and process grains, feed, feed ingredients, bulk products, food grade products in intermodal containers. Pick up empty intermodal containers. Transport products from producer and/or processor to end user, farms, further processor to end user, further processor, and ware facilities. Product will be transported via manual transmission semi tractors and combination trailers such as bulk pneumatic tank, bulk and combination auger, bulk commodity and dry vans. Job Classification: 53-3032.00 - Heavy and Tractor-Trailer Truck Drivers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Must have CDL Class A experience. Must be able to lift and carry 75 lbs for 75 yards. Must be able to handle temperature extremes. Some weekend work. The vehicles the employees will be driving have a capacity of at least 26,001 pounds Gross Vehicle Weight (GVW). Other than a Class A CDL no other license or endorsement is required. The worker must be able to read and speak the English language sufficiently to converse with the general public, understand highway traffic signs and signals in English, respond to official inquiries, and make entries on reports and records. Number of Hours Per Week: 40 Work Schedule (Start/End time): 7:00 A.M. - 5:00 P.M.</t>
  </si>
  <si>
    <t>H-400-26184-076487</t>
  </si>
  <si>
    <t>Seaman Brand Oysters, Inc</t>
  </si>
  <si>
    <t>seamanalden@yahoo.com</t>
  </si>
  <si>
    <t>+12518027570</t>
  </si>
  <si>
    <t>Duties may include: Use knife/slicker to perform oyster shucking: cut, clean, trim, slice, shuck and remove oysters. Clean-up work area &amp; other related Oyster Shuckers activities as per SOC/OES 51-3022 (onetonline.org). Standard/Expected Schedule: Monday-Friday 6:00AM-1:30PM. Offering 35+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Piece rate may apply @ 1.50/lb of oyster meat. Worker will never make below prevailing wage.. Job Classification: 51-3022.00 - Meat, Poultry, and Fish Cutters and Trimmers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Must show proof of legal authorization to work in the United States. Drug/alcohol/tobacco free work zone. Perform physical activities: such as lift, balance, walk, stoop, handle, position, move, manipulate materials use static strength to exert maximum muscle force to lift, push, pull, carry objects up to 40lbs. All applicants must be able, willing and qualified to perform work described and must be available for the entire period specified. Delivery and availability of seafood product from fisherman may result in possible downtimes due to weather conditions. Number of Hours Per Week: 35 Work Schedule (Start/End time): 6:00 A.M. - 1:30 P.M.</t>
  </si>
  <si>
    <t>H-400-26184-076478</t>
  </si>
  <si>
    <t>Duties may include: Plant seedlings/trees to reforest timberland: plant bare-root or containerized trees without J OR U root. Raise, transport, and sort seedlings to then select optimum planting location to meet shade/soil requirements. Use: shovel, hoe-dad, dibblebar, hoe, or powered auger. Check equipment to ensure that it is operating properly and reduce competing vegetation. Incidental driving possible &amp; other related Forestry Worker activities as per SOC/OES 45-4011 (onetonline.org). Standard/Expected Schedule: Monday-Friday 8:00AM-4:00PM. Offering 35-35+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Piece rate may apply: worker will never make less than Prevailing Wage or Federal/State/Local minimum wage. Optional, shared housing available at no cost to the worker. Job Classification: 45-4011.00 - Forest and Conservation Workers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Must be 18 due to travel. Must show proof of legal authorization to work in the United States. Drug/alcohol/tobacco free work zone. Must walk substantially (up to 15 miles/day), also stoop, bend while carrying a pack (up to 50lbs) thru rough terrain (non-trail). All applicants must be able, willing and qualified to perform work described and must be available for the entire period specified and work throughout all areas of intended employment.Based on Employer's discretion/cost: Worker may have random drug/alcohol testing during employment: positive test/refusal to abide = dismissal. Work is performed outdoors, exposed to weather; must be capable of doing physically strenuous labor for long hours, occasionally in extreme heat or cold. Variable weather conditions apply; hours may fluctuate (+/-), possible downtime and/or overtime. Number of Hours Per Week: 35 Work Schedule (Start/End time): 8:00 A.M. - 4:00 P.M.</t>
  </si>
  <si>
    <t>H-400-26184-076483</t>
  </si>
  <si>
    <t>H-400-26184-076491</t>
  </si>
  <si>
    <t>H-400-26184-076505</t>
  </si>
  <si>
    <t>TG Administration LLC a Subsidiary of Troon Golf, LLC</t>
  </si>
  <si>
    <t>srevers@troon.com</t>
  </si>
  <si>
    <t>+12399844282</t>
  </si>
  <si>
    <t>Servers will be responsible for greeting members, presenting menus, answer questions about menu items, taking food or beverage orders, and serving food and beverage items customers at tables or the bar. Prepare checks and collect payments. Clean tables, counters, and bars after customers have finished dining. Remove dishes and glasses from tables, counters, bars, and take them to kitchen for cleaning. Stock service areas and bar with supplies. Mix and prepare flavors for mixed drinks. Wash glasses or other serving equipment at bars. Prepare tables and bar areas for meals, including setting up items such as linens, silverware, and glassware. May be required to perform duties in an outdoor environment and at banquet events; and may be required to serve customers via golf cart. Anticipated days and hours of work per week and schedule: All workers will work a minimum of no less than 35 hours per week and 5 shifts per week. Shifts: 10am to 5pm; 4pm to 10pm. Shift days and work hours vary. Different shifts not listed may be needed based on events. Overtime: As needed only. SEE ATTACHED DOCUMENT UPLOAD FOR FULL COPY OF THE JOB OFFER - Note to Certifying Officer: Attached is a full copy of the job offer. If any information on this job offer needs to be added to the ETA-9142, we grant you permission to add the information listed in this attachment. Job Classification: 35-3011.00 - Bartenders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6 Special Requirements: Six months of experience as server in a fine-dining or high-volume environment at a high-end restaurant, or private club. Must pass pre-employment background check; this includes seasonal and full-time annual positions and is applied to all applicants regardless of their national origin, race, gender, or visa status. Number of Hours Per Week: 49 Work Schedule (Start/End time): 10:00 A.M. - 5:00 P.M.</t>
  </si>
  <si>
    <t>H-400-26184-076507</t>
  </si>
  <si>
    <t>25/05/2027</t>
  </si>
  <si>
    <t>rnielsen@auduboncountryclub.org</t>
  </si>
  <si>
    <t>+12395669800</t>
  </si>
  <si>
    <t>Performs all methods of cookery, portion control, and garnishes all dishes in accordance with the standards set by the Club. Maintains high standards of quality food production to ensure members/guests satisfaction. Inspects and cleans food preparation areas, such as equipment and work surfaces, or serving areas to ensure safe and sanitary food-handling practices. Prepares, cooks and seasons food according to recipes. Bakes, roasts, broils, and steams meats, fish, vegetables, breads, desserts and other foods. Ensures food is stored and cooked at the correct temperature by regulating temperature of ovens, broilers, grills, and roasters. Ensures freshness of food and ingredients by checking for quality, keeping track of old and new items, and rotating stock. Anticipated days and hours of work per week and schedule: All workers will work a minimum of no less than 35 hours per week and five shifts per week. Open Seven days. Shifts 2pm to 10pm. Different shifts not listed may be needed based on events. Overtime: As needed only. SEE ATTACHED DOCUMENT UPLOAD FOR FULL COPY OF THE JOB OFFER - Note to Certifying Officer: Attached is a full copy of the job offer. If any information on this job offer needs to be added to the ETA-9142, we grant you permission to add the information listed in this attachment. Job Classification: 35-2014.00 - Cooks, Restaurant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6 Special Requirements: Six months of experience a cook. Must be available to work all shifts, including weekends, evenings, and holidays. Must present a professional demeanor and appearance. Number of Hours Per Week: 56 Work Schedule (Start/End time): 2:00 P.M. - 10:00 P.M.</t>
  </si>
  <si>
    <t>H-400-26184-076486</t>
  </si>
  <si>
    <t>sbelliveau@westbayclubs.com</t>
  </si>
  <si>
    <t>+12394442310</t>
  </si>
  <si>
    <t>Responsible for greeting customers, setting up the dining areas, taking and placing orders, carrying trays and plates, serving food and beverages, and cleaning and clearing tables. Anticipated days and hours of work per week and schedule: All workers will work a minimum of 35 hours per week (no less than) and 5 shifts per week. Shift days and work hours vary. Shifts - Morning: 7am to 1pm; Mid-day: 9am to 4pm; Evening: 2pm to 10pm. Different shifts not listed may be needed based on events. Overtime: As needed only. SEE ATTACHED DOCUMENT UPLOAD FOR FULL COPY OF THE JOB OFFER - Note to Certifying Officer: Attached is a full copy of the job offer. If any information on this job offer needs to be added to the ETA-9142, we grant you permission to add the information listed in this attachment. Job Classification: 35-3031.00 - Waiters and Waitresses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Three months of experience as server in a fine-dining or high-volume environment at a high-end restaurant, resort, or private club. Must pass pre-employment drug test in accordance with company hiring policy. Number of Hours Per Week: 49 Work Schedule (Start/End time): 9:00 A.M. - 4:00 P.M.</t>
  </si>
  <si>
    <t>H-400-26184-076490</t>
  </si>
  <si>
    <t>Responsible for preparing, seasoning, and cooking soups, meats, vegetables, desserts, and other food items in a restaurant. Anticipated days and hours of work per week and schedule: All workers will work a minimum of 35 hours per week (no less than) and 5 shifts per week. Shift days and work hours vary. Shifts - Morning: 7am to 1pm; Mid-day: 9am to 4pm; Evening: 2pm to 10pm. Different shifts not listed may be needed based on events. Overtime: As needed only. SEE ATTACHED DOCUMENT UPLOAD FOR FULL COPY OF THE JOB OFFER - Note to Certifying Officer: Attached is a full copy of the job offer. If any information on this job offer needs to be added to the ETA-9142, we grant you permission to add the information listed in this attachment. Job Classification: 35-2014.00 - Cooks, Restaurant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6 Special Requirements: Six months of experience a cook in a fine-dining or high-volume environment at a high-end restaurant, resort, or private club. Must pass pre-employment drug test in accordance with company hiring policy. Number of Hours Per Week: 49 Work Schedule (Start/End time): 9:00 A.M. - 4:00 P.M.</t>
  </si>
  <si>
    <t>H-400-26184-076518</t>
  </si>
  <si>
    <t>THE COUNTRY CLUB OF FLORIDA</t>
  </si>
  <si>
    <t>TCCF@ccfgolf.com</t>
  </si>
  <si>
    <t>+15617329771</t>
  </si>
  <si>
    <t>TAKE ORDERS, SERVE FOOD &amp; BEVERAGES TO GUESTS. CLEAN OFF &amp; SET TABLES. TAKE PAYMENTS, GIVE RECEIPTS. KEEP ALL STATIONS STOCKED (13) workers needed. Dates of need: 10/1/26-5/31/27. 3 months experience necessary. Rotating shifts. Workdays: Mon-Sun. Work hours: 7am-11pm. Rate of pay: $18.71-$24/hr based on performance, $28.07-$36/hr overtime. Workers paid biweekly. The Club offers a discretionary annual bonus at the end of the season, based on job performance and the condition of the corporate housing. Optional housing provided for $180/week, no deposit required however failed apartment/house inspections may result in disciplinary action, and/ or financial responsibility for replacing damaged or missing items. Upon termination of employment or resignation from your position, the worker must vacate housing immediately unless alternative arrangements have been approved and documented in writing by The Country Club of Florida. Uniforms and shift meals provided. Job location: 22 Country Road, Village of Golf, FL 33436. Work is temporary full time employment. A single workweek will be used to compute wages. May get up to 10 hours of overtime when available. All deductions from the worker's paycheck required by law will be made. The employer will provide workers at no charge all tools, supplies, and equipment required to perform the job. The worker will be provided with or reimbursed for transportation and subsistence (including reasonable cost of overnight lodging where necessary up to $110/night for lodging with receipts.) at a rate of $16.78 per day during travel to a maximum of $68.00 per day with receipts from the place from which the worker has come to work for the employer, whether in the U.S. or abroad, to the place of employment, if the worker completes 50 percent of the period of employment covered by the job order, consistent with 20 CFR 655.20(j)(1)(i) by inclusion in the paycheck for the applicable week. Employer will provide or pay for the worker's cost of return transportation and daily subsistence from the place of employment to the place from which the worker, disregarding intervening employment, departed to work for the employer, if the worker completes the certified period of employment or is dismissed from employment for any reason by the employer before the end of the period, consistent with § 655.20(j)(1)(ii); H-2B workers will be reimbursed in the first workweek for all visas, visa processing, border crossing, and other related fees, including those mandated by the government (excluding passport fees). The employer will provide workers all tools, supplies, and equipment required to perform the job at no charge to the worker, in accordance with 20 CFR 655.20(k). Qualified applicants may mail resume to Attn: John Collier at 22 Country Road, Village of Golf, FL 33436, email to TCCF@ccfgolf.com, or visit your local job center at 3400 Belvedere Road West Palm Beach, FL 33406. *Your security deposit is refundable upon completion of your contract and upon inspection of the housing. If a worker abandons their job without permission of the employer or a worker abandons their housing before the end of the petition date for any reason except employer termination, the workers forfeits all housing deposits, PTO, vacation and bonus pay. Upon termination of resignation, the worker must vacate the housing immediately thereafter unless agreed upon by the employer.* Job Classification: 35-3031.00 - Waiters and Waitresses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Number of Hours Per Week: 35 Work Schedule (Start/End time): 7:00 A.M. - 11:00 P.M.</t>
  </si>
  <si>
    <t>H-400-26184-076514</t>
  </si>
  <si>
    <t>Tanto Irrigation, LLC</t>
  </si>
  <si>
    <t>wbartels@tantoirrigation.com</t>
  </si>
  <si>
    <t>+19143475151</t>
  </si>
  <si>
    <t>Groundskeeper: Irrigation Worker</t>
  </si>
  <si>
    <t>Duties may include: Gather &amp; remove: litter/debris. Install: irrigation &amp; drainage systems. Maintain systems, including winterizing &amp; starting them up in spring. Use irrigation methods to adjust the amount of water consumption and to prevent waste. Spread straw over seeded soil to hold soil in place. Digging: use hand tools: shovels. Irrigate lawns, trees, or plants &amp; other related Groundskeeper: Irrigation Worker activities as per SOC/OES 37-3011 (onetonline.org). Standard/Expected Schedule: Monday-Friday 7:30AM-5:30PM.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Job Classification: 37-3011.00 - Landscaping and Groundskeeping Workers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Must be 18 due to insurance. Must show proof of legal authorization to work in the United States. Drug/alcohol/tobacco free work zone. Perform physical activities: such as lift, balance, walk, stoop, handle, position, move, manipulate materials use static strength to exert maximum muscle force to lift, push, pull, carry objects up to 50lbs. All applicants must be able, willing and qualified to perform work described and must be available for the entire period specified and work throughout all areas of intended employment. Work is performed outdoors, exposed to weather; must be capable of doing physically strenuous labor for long hours, occasionally in extreme heat or cold. Variable weather conditions apply; hours may fluctuate (+/-), possible downtime and/or overtime. Number of Hours Per Week: 40 Work Schedule (Start/End time): 7:30 A.M. - 5:30 P.M.</t>
  </si>
  <si>
    <t>H-400-26184-076517</t>
  </si>
  <si>
    <t>The Club at Ibis Property Owners Association, Inc.</t>
  </si>
  <si>
    <t>ljeffrey@clubatibis.com</t>
  </si>
  <si>
    <t>+15616258500</t>
  </si>
  <si>
    <t>Sports Complex Attendant</t>
  </si>
  <si>
    <t>Perform variety of attending duties throughout the club’s sports, recreation, and wellness facilities. Schedule use of sports, recreation, and wellness facilities. Records details of usage, appointments, retail sales, and equipment repairs. Promote sports, recreation, and wellness activities to members, along with facilities’ rules and regulations. Maintain organization and cleanliness of sports, recreation and wellness facilities and equipment, including golf carts. Set up and break down signage, supplies, and equipment throughout facilities. Sells, rents, and collects sports equipment. Assist member with purchase of wellness products, sportswear, sports accessories, and sports and recreation equipment. Stocks sufficient supply of towels, products, sportswear, and equipment accessible to members, including receiving and storing inventory. Provides orientation of facilities and equipment to new members of the community. Anticipated days and hours of work per week and schedule: Minimum of 35 hours per week (meaning no less than). All employees work at least 5 shifts per week. Typical shifts: 6 am to 2 pm, 9am to 6pm, 12 pm to 8:30 pm Shift days and times vary depending on the demand or event scheduled. Overtime: As Needed Only. SEE ATTACHED DOCUMENT UPLOAD FOR FULL COPY OF THE JOB OFFER - Note to Certifying Officer: Attached is a full copy of the job offer. If any information on this job offer needs to be added to the ETA-9142, we grant you permission to add the information listed in this attachment. Job Classification: 39-3091.00 - Amusement and Recreation Attendants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Must be 18 years of age. Must pass pre-employment drug test (in accordance with companys Drug Free Workplace Policy). Ibis drug screens all applicants, including domestic and H-2B visa employees. This includes seasonal and full-time annual positions and is applied to all applicants regardless of their national origin, race, or gender. Must be available to work all shifts, including weekends, evenings, and holidays. Must present a professional demeanor and appearance. Number of Hours Per Week: 56 Work Schedule (Start/End time): 6:00 A.M. - 2:00 P.M.</t>
  </si>
  <si>
    <t>H-400-26184-076525</t>
  </si>
  <si>
    <t>Host/hostess</t>
  </si>
  <si>
    <t>Follows all established standard operating procedures for greeting and seating members. Accepts and confirms reservations via phone, in person, and through online booking sites. Takes To-Go orders as needed. Warmly greets members and guests and seats them according to section availability and table rotation. Prepares for the dining service by assembling menus, table tents, high chairs, buffet signs, reviews reservation sheets and confirms reservations, reviews floor plans. Assists with the enforcement of policies, such as cell phone use, dress code, service animals, and lost and found. Additional duties include clearing, cleaning, and resetting dining and buffet tables (includes linens, silverware, glassware, utensils, and condiments), replenish buffet items, replenish beverages. Ensure the dining room and work stations are properly cleaned and restocked at the end of shift. Anticipated days and hours of work per week and schedule: Minimum of 35 hours per week (meaning no less than). All employees work at least 5 shifts per week. Typical shifts: 7am to 3pm and 3pm to 11 pm. Shift days and times vary depending on the demand or event scheduled. Overtime: As Needed Only. SEE ATTACHED DOCUMENT UPLOAD FOR FULL COPY OF THE JOB OFFER - Note to Certifying Officer: Attached is a full copy of the job offer. If any information on this job offer needs to be added to the ETA-9142, we grant you permission to add the information listed in this attachment. Job Classification: 35-9011.00 - Dining Room and Cafeteria Attendants and Bartender Helpers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Must be 18 years of age. Must pass pre-employment drug test (in accordance with companys Drug Free Workplace Policy). Ibis drug screens all applicants, including domestic and H-2B visa employees. This includes seasonal and full-time annual positions and is applied to all applicants regardless of their national origin, race, or gender. Must be available to work all shifts, including weekends, evenings, and holidays. Must present a professional demeanor and appearance. Number of Hours Per Week: 56 Work Schedule (Start/End time): 7:00 A.M. - 3:00 P.M.</t>
  </si>
  <si>
    <t>H-400-26184-076524</t>
  </si>
  <si>
    <t>Dining Room Supervisor</t>
  </si>
  <si>
    <t>Directly train, schedule, supervise and coordinate activities of workers engaged in food service. Interact with the members dining to ensure satisfaction with food and service and address any complaints. Socially converse with members and provide establishment specialties and features. Maintain contact with kitchen staff, management, and dining room staff to ensure that dining satisfaction is upheld along with prompt and courteous service. Inspect dining and service areas for cleanliness and proper set up. Requisition supplies and equipment for tables and service stations. Assist with seating members, serving food and beverages, and clearing, cleaning, and resetting tables. Finalize receipts and reports for establishment upon closing. Assist in the planning of special events and private parties. Anticipated days and hours of work per week and schedule: Minimum of 35 hours per week (meaning no less than). All employees work at least 5 shifts per week. Typical shifts: 7am to 3pm and 3pm to 11 pm. Shift days and times vary depending on the demand or event scheduled. Overtime: As Needed Only. SEE ATTACHED DOCUMENT UPLOAD FOR FULL COPY OF THE JOB OFFER - Note to Certifying Officer: Attached is a full copy of the job offer. If any information on this job offer needs to be added to the ETA-9142, we grant you permission to add the information listed in this attachment. Job Classification: 35-1012.00 - First-Line Supervisors of Food Preparation and Serving Workers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Must be 18 years of age. Must pass pre-employment drug test (in accordance with companys Drug Free Workplace Policy). Ibis drug screens all applicants, including domestic and H-2B visa employees. This includes seasonal and full-time annual positions and is applied to all applicants regardless of their national origin, race, or gender. Must be available to work all shifts, including weekends, evenings, and holidays. Must present a professional demeanor and appearance. Number of Hours Per Week: 56 Work Schedule (Start/End time): 7:00 A.M. - 3:00 P.M.</t>
  </si>
  <si>
    <t>H-400-26184-076526</t>
  </si>
  <si>
    <t>***RFI response*** The worker will be employed at a private country club that operates multiple food service venues, including member dining restaurants and banquet/event space. The cook will prepare food in both à la carte restaurant kitchens and banquet kitchen serving private events, weddings, tournaments, and member functions. Duties include preparing and cooking a variety of meats, fish, vegetables, baked items, and other menu offerings according to established club recipes and standards using commercial kitchen equipment and utensils. Food preparation will involve both individual member orders and bulk production. In the club’s restaurant dining venues, meals are prepared a la carte based on individual member and guest menu selections. In the banquet and event kitchen, the worker will prepare food in larger quantities for buffets, plated banquets, receptions, and tournaments. The worker will assist with the setup and breakdown of banquet and dining service areas by arranging action stations, buffet trays, and decorative food displays for club functions and special events. Specific tasks include transporting and positioning chafing dishes, serving platters, warming lamps; setting up actions stations with portable stoves, blenders, cutting boards, utensils, and ingredients to be used during service; arranging food presentation displays, as well as removing the items used to place them in storage after the service has finished. Setting up theme decorations may include assembling decorative garnishes and herbs and tiered appetizer or dessert stations based on event’s theme. The worker will use standard banquet and kitchen tools, equipment and materials, including rolling carts, chafing dishes and fuel cans, serving utensils, portable food warmers or coolers, carving stations, buffet risers, heat lamps, grills, fryers, food processors, mixers, slicers, sheet pans, stock pots, sauté pans, hotel pans, serving trays, insulated food carriers, ice bins, banquet carts, rolling racks, carving knives, tongs, ladles, and portable action station equipment used for omelet and pasta stations. ***Original*** Inspect and clean food preparation areas, such as equipment and work surfaces to ensure safe and sanitary food-handling practices. Ensure food is stored and cooked at correct temperature. Ensure freshness of food and ingredients by checking for quality, tracking old and new items, and rotating products. Season and cook food according to company approved recipes. Bake, roast, broil, and steam meats, fish, vegetables, and other foods. Weigh, measure, and mix ingredients according to company recipes using various kitchen utensils and equipment. Portion, arrange, and garnish food according to company standards. Assist with set up and break down of action stations, buffet tables, displays, and theme decorations. Ensure work stations are properly cleaned at the end of every shift. Anticipated days and hours of work per week and schedule: Minimum of 35 hours per week (meaning no less than). All employees work at least 5 shifts per week. Typical shifts: 7am to 3pm and 3pm to 11 pm. Shift days and times vary depending on the demand or event scheduled. Overtime: As Needed Only. SEE ATTACHED DOCUMENT UPLOAD FOR FULL COPY OF THE JOB OFFER - Note to Certifying Officer: Attached is a full copy of the job offer. If any information on this job offer needs to be added to the ETA-9142, we grant you permission to add the information listed in this attachment. Job Classification: 35-9011.00 - Dining Room and Cafeteria Attendants and Bartender Helpers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Must be 18 years of age. Must pass pre-employment drug test (in accordance with companys Drug Free Workplace Policy). Ibis drug screens all applicants, including domestic and H-2B visa employees. This includes seasonal and full-time annual positions and is applied to all applicants regardless of their national origin, race, or gender. Must be available to work all shifts, including weekends, evenings, and holidays. Must present a professional demeanor and appearance. Number of Hours Per Week: 56 Work Schedule (Start/End time): 7:00 A.M. - 3:00 P.M.</t>
  </si>
  <si>
    <t>H-400-26184-076473</t>
  </si>
  <si>
    <t>Total Timberland Services, LLC</t>
  </si>
  <si>
    <t>totaltimberlandservicesllc@gmail.com</t>
  </si>
  <si>
    <t>+17064156791</t>
  </si>
  <si>
    <t>Duties may include: Maintaining and constructing boundary lines within forested lands, tree planting: digging holes with proper technique to ensure maximum success of the seedling, herbicide/insecticide spraying, and pre-commercial thinning &amp; other related Forestry Worker activities as per SOC/OES 45-4011 (onetonline.org). Standard/Expected Schedule: Monday-Friday 8:00AM-5:00PM.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Optional, shared housing available at no cost to the worker. Job Classification: 45-4011.00 - Forest and Conservation Workers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Must be 18 due to travel. Must show proof of legal authorization to work in the United States. Drug/alcohol/tobacco free work zone. Must walk substantially (up to 15 miles/day), also stoop, bend while carrying a pack (up to 50lbs) thru rough terrain (non-trail). All applicants must be able, willing and qualified to perform work described and must be available for the entire period specified and work throughout all areas of intended employment. Work is performed outdoors, exposed to weather; must be capable of doing physically strenuous labor for long hours, occasionally in extreme heat or cold. Variable weather conditions apply; hours may fluctuate (+/-), possible downtime and/or overtime. Number of Hours Per Week: 40 Work Schedule (Start/End time): 8:00 A.M. - 5:00 P.M.</t>
  </si>
  <si>
    <t>H-400-26184-076575</t>
  </si>
  <si>
    <t>Application Partners, LLC</t>
  </si>
  <si>
    <t>Barbara Lyon</t>
  </si>
  <si>
    <t>camo1313@icloud.com</t>
  </si>
  <si>
    <t>+15403529169</t>
  </si>
  <si>
    <t>Duties may include: Preserve and care for established rights-of-way by removing litter and debris. Spray or spread fertilizers, herbicides, or insecticides onto grass, shrubs, or trees, using hand or automatic spray equipment. Use hand tools, such as shovels, rakes, pruning saws, and brush trimmers to clear foliage &amp; other related Brush Clearer for Utility Rights of Way activities as per SOC/OES 37-3011 (onetonline.org). Standard/Expected Schedule: Monday-Friday 7:00AM-5:00PM.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Optional, shared housing available at no cost to the worker. Job Classification: 37-3011.00 - Landscaping and Groundskeeping Workers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2 Special Requirements: Must be 18 due to travel. Must show proof of legal authorization to work in the United States. Drug/alcohol/tobacco free work zone. Perform physical activities: such as lift, balance, walk, stoop, handle, position, move, manipulate materials use static strength to exert maximum muscle force to lift, push, pull, carry objects up to 40lbs. All applicants must be able, willing and qualified to perform work described and must be available for the entire period specified and work throughout all areas of intended employment. Work is performed outdoors, exposed to weather; must be capable of doing physically strenuous labor for long hours, occasionally in extreme heat or cold. Variable weather conditions apply; hours may fluctuate (+/-), possible downtime and/or overtime. Number of Hours Per Week: 40 Work Schedule (Start/End time): 7:00 A.M. - 5:00 P.M.</t>
  </si>
  <si>
    <t>H-400-26184-076543</t>
  </si>
  <si>
    <t>BAY COLONY COMMUNITY ASSOCIATION, INC.</t>
  </si>
  <si>
    <t>careers@bcca-inc.com</t>
  </si>
  <si>
    <t>+12393133137</t>
  </si>
  <si>
    <t>*RFI response* Duties are performed throughout Club food and beverage locations including dining rooms, casual dining outlets, outdoor patio/terrace areas, beach club and poolside areas, bar/lounge areas, banquet/private event functions, and grab-and-go stations. Worker performs table setup/reset; stocks service stations with beverages, ice, coffee supplies, garnishes, utensils, and to-go containers; organizes beverage stations; assists banquet setup/breakdown; removes dishes and trash; cleans/sanitizes tables and service areas; sweeps and restocks supplies. Equipment includes trays, carts, POS system, beverage dispensers, soda guns, coffee/espresso machines, blenders, ice machines, cleaning supplies, linens, china, glassware, flatware, serving utensils, coolers, storage containers, tables, chairs, umbrellas, and bar equipment. Worker occasionally operates commercial espresso equipment to prepare espresso, cappuccino, latte, iced coffee, and similar beverages. Worker assists with arranging beach chairs, umbrellas, tables, chairs, decorations, displays, and banquet equipment; opens, positions, secures, and closes umbrellas; and maintains outdoor guest areas. Equipment includes outdoor furniture, display materials, event equipment, cleaning supplies, and storage racks. Worker stocks grab-and-go refrigerators with food and beverage items and charges purchases through the POS system in Beach Club and Bay Colony Community Center locations. Worker assists guests by providing food/beverage service support; answering questions regarding menus, amenities, and Club services; delivering food, beverages, towels, and supplies; coordinating requests with service staff; and maintaining clean service areas. Equipment includes POS system, trays, carts, serving utensils, beverage equipment, communication devices, menus, towels, guest supplies, and cleaning materials. Worker assists final preparation of dishes by adding condiments or simple finishing touches, organizing trays, and verifying order accuracy, presentation, and temperature before service using serving trays, utensils, tongs, garnish containers, and plating materials. No cooking duties performed. *Original*Take, serve and carryout food and beverage orders; provide setup, organization and cleanup activities for all food and beverage outlets and service stations, including outdoor areas, bar and beverage stations; answer questions regarding menu items and offers suggestions of menu items when appropriate; enters orders into POS computer system; and assembles food and beverages on the tray. Prepares and serves alcoholic and non-alcoholic drinks in accordance with company policies and local laws. Operates the espresso machine and blender. Recommends wine and serves to members/guests. Removes dirty dishes; charges the bill to member account; may be required to perform duties in an outdoor environment and at banquet events; and may be required to serve members/guests via golf cart. Assist with setup and breakdown of beach chairs, umbrellas, tables, chairs, decorations, displays, and other equipment. Performs light cleaning tasks such as removing debris, picking up trash, wiping down and straightening furniture. Assist with setting up and stocking grab and go food and beverages. Assist guests with service needs related to the Club. Obtain and maintain a working knowledge of all food and beverage menus including carryout. Ensure orders are being prepared with the correct priority. Assist in the final preparation of dishes when required. Check dishes before delivery for accuracy, presentation, and temperature. Transfer important information between the kitchen and other waitstaff. Anticipated days/hours of work per week: All workers will work a minimum of no less than 35 hours per week. Must be available to work all shifts, including weekends, evenings, and holidays. Shift days and times vary depending on the demand or event scheduled. Normal shifts are 9am to 4pm; 10am to 5pm, 4pm to 10pm. Job Classification: 35-3011.00 - Bartenders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6 Special Requirements: 6-months of experience as a server or bartender in a fine-dining or high-volume environment at a high-end restaurant, hotel, resort, or private club required. Must pass pre-employment drug test and background check in accordance with company hiring policy. Must be able to read, write and communicate effectively. Number of Hours Per Week: 49 Work Schedule (Start/End time): 9:00 A.M. - 4:00 P.M.</t>
  </si>
  <si>
    <t>H-400-26184-076552</t>
  </si>
  <si>
    <t>Prepares, seasons and cooks’ soups, meats, vegetables, desserts and other miscellaneous food items for consumption. Prepares food in accordance with club recipes and standards. Operates all kitchen equipment. Notifies Supervisors of unexpected shortages. Consistently uses safe and sanitary food handling practices. Ensures workstations, kitchen and equipment are clean, organized and sanitized following proper procedures. Store food supplies and ingredients following proper rotation, labeling, and food safety. Ensure orders are being prepared with the correct priority. Expedites food by ensuring food temperature is at food safety measures and garnish plates to club and recipe standards. Assemble food on tray and assists in delivering food items ordered. Obtain and maintain a working knowledge of all food menus including carryout. May be required to perform duties in an outdoor environment and at banquet events. Assist with clean up duties including setting up and breaking down the kitchen line for service periods, cleaning kitchen and washing dishes, pots and pans, and other items as necessary in the order for the kitchen to run efficiently and smoothly. Organizes food and pantry items and breaks down boxes and disposes as necessary. Maintains communication with wait staff. Maintains security and safety in work area. Assist with setup and breakdown of action stations, buffet tables, and theme decorations. Anticipated days and hours of work per week and schedule: All workers will work a minimum of no less than 35 hours per week. Must be available to work all shifts, including weekends, evenings, and holidays. Shift days and times vary depending on the demand or event scheduled. Normal shift schedules are: 9am to 4pm; 10am to 5pm, and 4pm to 10pm. Overtime: As Needed Only. SEE ATTACHED DOCUMENT UPLOAD FOR FULL COPY OF THE JOB OFFER - Note to Certifying Officer: Attached is a full copy of the job offer. If any information on this job offer needs to be added to the ETA-9142, we grant you permission to add the information listed in this attachment. Job Classification: 35-2014.00 - Cooks, Restaurant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6 Special Requirements: 6-months of experience as a line cook or cook in a fine-dining or high-volume environment at a high-end restaurant, hotel, resort, or private club required. Must pass pre-employment drug test and background check in accordance with company hiring policy. Must be able to read, write and communicate effectively. Number of Hours Per Week: 49 Work Schedule (Start/End time): 9:00 A.M. - 4:00 P.M.</t>
  </si>
  <si>
    <t>H-400-26184-076542</t>
  </si>
  <si>
    <t>CANAM GOLF VENTURES LLC</t>
  </si>
  <si>
    <t>12/06/2027</t>
  </si>
  <si>
    <t>hr@canamgolf.com</t>
  </si>
  <si>
    <t>+17543071812</t>
  </si>
  <si>
    <t>Customer Service Representative</t>
  </si>
  <si>
    <t>Confers with customers in order to confirm sales of golf services and events. Registers customers with appropriate golf packages as well as announces upcoming events and promotions. Interact with customers to provide basic or scripted information in response to routine inquiries about products and services. May handle and resolve general complaints. Duties include: Confer with customers by telephone or in person to provide information about products or services, take or enter orders, cancel accounts, or obtain details of complaints. Keep records of customer interactions or transactions, recording details of inquiries, complaints, or comments, as well as actions taken. Check to ensure that appropriate changes were made to resolve customers' problems. Contact customers to respond to inquiries or to notify them of claim investigation results or any planned adjustments. Process payment when it applies. Complete contract forms, prepare change of address records, or issue service discontinuance orders, using computers. Refer unresolved customer grievances to designated departments for further investigation. Resolve customers' service or billing complaints by performing activities such as exchanging merchandise, refunding money, or adjusting bills. Solicit sales of new or additional services or products. Anticipated days and hours of work per week and schedule: 35 hours per week (no less than). Hours of operation are 6am to 7pm (including weekends and holidays). Shift schedule times vary depending on weekly work demand. Shifts are: 5-day workweek shifts: 6am to 1:30pm; 7am to 2:30pm; 10am to 5:30pm; and 11:30am to 7:00pm. 4-day workweek shifts: 9:45am to 7pm; and 6:30am to 3:45pm. Overtime: As Needed Only. SEE ATTACHED DOCUMENT UPLOAD FOR FULL COPY OF THE JOB OFFER - Note to Certifying Officer: Attached is a full copy of the job offer. If any information on this job offer needs to be added to the ETA-9142, we grant you permission to add the information listed in this attachment. Job Classification: 43-4051.00 - Customer Service Representatives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No Experience Required. Must have High School Diploma. Must speak and write in French fluently. Number of Hours Per Week: 52 Work Schedule (Start/End time): 6:00 A.M. - 1:30 P.M.</t>
  </si>
  <si>
    <t>H-400-26184-076571</t>
  </si>
  <si>
    <t>Crater Lake Forestry LLC</t>
  </si>
  <si>
    <t>craterlakeforestry@gmail.com</t>
  </si>
  <si>
    <t>+15412274462</t>
  </si>
  <si>
    <t>Duties may include: Under supervision, raising &amp; transporting seedlings; sort tree seedlings, discarding substandard seedlings, according to standard charts or verbal instructions. Plant: seedlings/trees. Spray or inject vegetation with insecticides to kill insects or to protect against disease or with herbicides to reduce competing vegetation; enhance growth. Trim trees or other vegetation; cut trees or logs. Clearing/disposing of brush and piling. Incidental driving possible &amp; other related Forestry Worker activities as per SOC/OES 45-4011 (onetonline.org). Standard/Expected Schedule: Monday-Friday 6:00AM-2:00PM.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Optional, shared housing available at no cost to the worker. Job Classification: 45-4011.00 - Forest and Conservation Workers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2 Special Requirements: Must be 18 due to travel. Must show proof of legal authorization to work in the United States. Drug/alcohol/tobacco free work zone. Must walk substantially (up to 15 miles/day), also stoop, bend while carrying a pack (up to 40lbs) thru rough terrain (non-trail). All applicants must be able, willing and qualified to perform work described and must be available for the entire period specified and work throughout all areas of intended employment. Work is performed outdoors, exposed to weather; must be capable of doing physically strenuous labor for long hours, occasionally in extreme heat or cold. Variable weather conditions apply; hours may fluctuate (+/-), possible downtime and/or overtime. Number of Hours Per Week: 40 Work Schedule (Start/End time): 6:00 A.M. - 2:00 P.M.</t>
  </si>
  <si>
    <t>H-400-26184-076568</t>
  </si>
  <si>
    <t>Position offered is for an experienced holiday lighting laborer with a minimum of three months experience in holiday lighting labor, which consists of organizing and preparing stock of holiday decor material, installing and/or removing materials from job sites, and loading and unloading materials and preparing for storage. Ability to load and unload materials and equipment that can weigh up to 50 pounds is required. The physical demand described here are representative of those that must be met by an employer to successfully perform the essential functions of this job. Job Classification: 49-9099.00 - Installation, Maintenance, and Repair Workers, All Other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3 months previous experience. Lifting up to 50 pounds. Overtime as needed. Shifts are from 8am - 5pm and 9pm - 6am, Sunday - Saturday. Shifts will be assigned based on project demands. We want to clarify the information on item F.a.5. During the workweek, which runs from Sunday through Saturday, employees are scheduled to work a 40 hour week.F.a.5. does not allow us to enter such a work schedule. If we enter 8 hours each day, it would show 56 hours a week, which is not an accurate reflection of their work schedule. Number of Hours Per Week: 40 Work Schedule (Start/End time): 8:00 A.M. - 5:00 P.M.</t>
  </si>
  <si>
    <t>H-400-26184-076528</t>
  </si>
  <si>
    <t>H-400-26184-076540</t>
  </si>
  <si>
    <t>Desjardins Bank, N.A.</t>
  </si>
  <si>
    <t>Richard.foster@desjardinsbank.com</t>
  </si>
  <si>
    <t>+18004545058</t>
  </si>
  <si>
    <t>Customer Experience Agent</t>
  </si>
  <si>
    <t>Confer with customers by telephone or in person to provide information about Desjardins services to ensure a smooth transition for their financial activities between Canadian network and Desjardins Bank operations; particularities of the products and services offered; and differences between the Canadian operations of Desjardins and services offered by the US subsidiary. Keep records of customer interactions or transactions, recording details of inquiries, complaints, or comments, and actions taken. Advises Canadian customers on how to fulfil their banking needs in the most efficient and economical way. Assist in opening new accounts, certificate of deposits, and handling all customer inquiries. Confirms account relationship with Canadian Parent, verifying information given. Offers all automated products including Online Banking, Mobile Banking, E-Statement, and Bill Pay. Assist in the use of all automated products and in resolution of any problems either in person or by telephone. Verifies the OFAC status and completes the Customer Information Profile of customers. Prepares required deposit documents, such as signature cards, disclosures and other documents for review and approval. Processes the necessary entries in FISERV. Ensures all account openings comply the bank policies and regulations. May also require some relief/backup activities to assist in periods of heavy customer volume or during teller absences. Anticipated days and hours of work per week and schedule: Minimum of no less than 35 hours per week. Must be able to work all shifts: Monday-Friday 8am to 4pm or 9am to 5pm. Overtime: As Needed Only. SEE ATTACHED DOCUMENT UPLOAD FOR FULL COPY OF THE JOB OFFER - Note to Certifying Officer: Attached is a full copy of the job offer. If any information on this job offer needs to be added to the ETA-9142, we grant you permission to add the information listed in this attachment. Job Classification: 43-4141.00 - New Accounts Clerks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Must speak and write in French fluently; pass pre-employment Criminal Background Check; and pass OFAC clearance; and must have High School Diploma. Number of Hours Per Week: 40 Work Schedule (Start/End time): 8:00 A.M. - 4:00 P.M.</t>
  </si>
  <si>
    <t>H-400-26184-076536</t>
  </si>
  <si>
    <t>Dyna-Mist Construction LLC</t>
  </si>
  <si>
    <t>bsalsbury@dyna-mist.com</t>
  </si>
  <si>
    <t>+19724245343</t>
  </si>
  <si>
    <t>Remove and trim bushes, dispose of brush, rake and clean up ground and leftover debris, landscape planting, spreading mulch, leaf removal, install rye-grass seed, winter maintenance of athletic fields. May drive company pickup truck or other vehicle. A driver’s license is not required; however, workers who possess a valid driver’s license may be assigned to drive a company pickup truck or other non-commercial vehicle. No commercial driver’s license (CDL) is required and workers will not be required to operate a commercial motor vehicle (CMV). The employer will offer a minimum of 40 hours of work per week. Work schedules vary Monday-Saturday, shifts are between 7am-5pm, with 1 hour unpaid break. Workdays, hours, and shift time may vary depending on weather conditions. The employer may increase wage based on experience, changes in market conditions, and/or provide additional pay for performance and tenure. Overtime may be available. An overtime premium will be paid when required by Federal, State, or local law, including at time-and-a-half after 40 hours per workweek. Generally, when overtime is available it will be paid at $28.50 to $33.00 per hour. The employer will provide daily transportation from a central Collin County area pickup location to and from all worksite locations. Job Classification: 37-3011.00 - Landscaping and Groundskeeping Workers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Must be able to lift 35 lbs. Must be able to work weekends and holidays. Applicants must complete an employment application. Number of Hours Per Week: 40 Work Schedule (Start/End time): 7:00 A.M. - 4:00 P.M.</t>
  </si>
  <si>
    <t>H-400-26184-076580</t>
  </si>
  <si>
    <t>G.R.A. Properties, LLC</t>
  </si>
  <si>
    <t>bjssupport@bayjanservice.com</t>
  </si>
  <si>
    <t>+17274310286</t>
  </si>
  <si>
    <t>Janitor</t>
  </si>
  <si>
    <t>Duties may include: Clean building floors by sweeping, mopping, scrubbing, or vacuuming. Clean windows, glass partitions, or mirrors using soapy water or other cleaners, sponges, or squeegees. Notify managers concerning the need for major repairs or additions to building operating systems. Dust furniture, walls, machines, or equipment. Steam-clean or shampoo carpets &amp; other related Janitor activities as per SOC/OES 37-2011 (onetonline.org). Standard/Expected Schedule: Monday-Friday 8:30AM-5:00PM.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Job Classification: 37-2011.00 - Janitors and Cleaners, Except Maids and Housekeeping Cleaners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Must be 18 due to equipment use. Must show proof of legal authorization to work in the United States. Drug/alcohol/tobacco free work zone. Perform physical activities: such as lift, balance, walk, stoop, handle, position, move, manipulate materials use static strength to exert maximum muscle force to lift, push, pull, carry objects up to 40lbs. All applicants must be able, willing and qualified to perform work described and must be available for the entire period specified and work throughout all areas of intended employment.Based on Employer's discretion/cost: Worker may have random drug/alcohol testing during employment: positive test/refusal to abide = dismissal. Possible background check post hire at employer's expense.Hours may fluctuate based on tourism peaks and valleys throughout the season (+/-), possible downtime and/or overtime. Number of Hours Per Week: 40 Work Schedule (Start/End time): 8:30 A.M. - 5:00 P.M.</t>
  </si>
  <si>
    <t>H-400-26184-076539</t>
  </si>
  <si>
    <t>Gold-Eagle Cooperative</t>
  </si>
  <si>
    <t>Lmericle@goldeaglecoop.com</t>
  </si>
  <si>
    <t>+15158253161</t>
  </si>
  <si>
    <t>Material Movers</t>
  </si>
  <si>
    <t>Manually move farm commodities and ensure inventory is properly packaged, labeled, and placed in the feed mill, storage and/or shipping area. Clean and maintain equipment and job site(s). Must be able to lift and carry 50 lbs for 50 yds, work in temperature extremes with elevated noise levels, prolonged standing, ascend or descend stairs or ladders, follow safety standards and wear protective equipment, and work in a fast-paced, and dusty environment. Job Classification: 53-7062.00 - Laborers and Freight, Stock, and Material Movers, Hand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Must be able to lift and carry 50 lbs for 50 yds, work in temperature extremes with elevated noise levels, prolonged standing, ascend or descend stairs or ladders, follow safety standards and wear protective equipment, and work in a fast-paced, and dusty environment. Number of Hours Per Week: 40 Work Schedule (Start/End time): 7:30 A.M. - 4:30 P.M.</t>
  </si>
  <si>
    <t>H-400-26184-076569</t>
  </si>
  <si>
    <t>Great Lakes Forestry LLC</t>
  </si>
  <si>
    <t>21/06/2027</t>
  </si>
  <si>
    <t>greatlakesforestryllc@outlook.com</t>
  </si>
  <si>
    <t>+17155141154</t>
  </si>
  <si>
    <t>Duties may include: Dig holes to prepare the ground, select tree seedlings, and plant the trees in reforestation areas, using manual planting tools and secure seedling with soil carefully. Maintain seedling growth by spraying, thinning, pruning, chipping, and maintaining surrounding vegetation. Identify and thin diseased or undesirable trees using power saws; remove piles of debris or brush &amp; other related Forestry Worker activities as per SOC/OES 45-4011 (onetonline.org). Standard/Expected Schedule: Monday-Friday 8:00AM-4:30PM.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Optional, shared housing available at no cost to the worker. Job Classification: 45-4011.00 - Forest and Conservation Workers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Must be 18 due to travel. Must show proof of legal authorization to work in the United States. Drug/alcohol/tobacco free work zone. Perform physical activities: such as lift, balance, walk, stoop, handle, position, move, manipulate materials use static strength to exert maximum muscle force to lift, push, pull, carry objects up to 50lbs. All applicants must be able, willing and qualified to perform work described and must be available for the entire period specified and work throughout all areas of intended employment. Work is performed outdoors, exposed to weather; must be capable of doing physically strenuous labor for long hours, occasionally in extreme heat or cold. Variable weather conditions apply; hours may fluctuate (+/-), possible downtime and/or overtime. Number of Hours Per Week: 40 Work Schedule (Start/End time): 8:00 A.M. - 4:30 P.M.</t>
  </si>
  <si>
    <t>H-400-26184-076547</t>
  </si>
  <si>
    <t>Green Forestry, LLC</t>
  </si>
  <si>
    <t>greenforestryllc@gmail.com</t>
  </si>
  <si>
    <t>+14349069709</t>
  </si>
  <si>
    <t>Duties may include: maintain, develop woodlands, include hand plant tree seedlings w/o J or U root; maintain surrounding vegetation: prune, clear, spray, pile, clear debris, dig hole to plant seedlings for reforestation w/o J or U root multiple holes per day, secure seedling by packing soil into hole around seedling, maintain seedling growth &amp; other related Forestry Worker activities as per SOC/OES 45-4011 (onetonline.org). Standard/Expected Schedule: Monday-Friday 8:00AM-5:00PM.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Optional, shared housing available at no cost to the worker. Job Classification: 45-4011.00 - Forest and Conservation Workers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Must be 18 due to travel. Must show proof of legal authorization to work in the United States. Drug/alcohol/tobacco free work zone. Must walk substantially (up to 15 miles/day), also stoop, bend while carrying a pack (up to 50lbs) thru rough terrain (non-trail). All applicants must be able, willing and qualified to perform work described and must be available for the entire period specified and work throughout all areas of intended employment. Work is performed outdoors, exposed to weather; must be capable of doing physically strenuous labor for long hours, occasionally in extreme heat or cold. Variable weather conditions apply; hours may fluctuate (+/-), possible downtime and/or overtime. Number of Hours Per Week: 40 Work Schedule (Start/End time): 8:00 A.M. - 5:00 P.M.</t>
  </si>
  <si>
    <t>H-400-26184-076549</t>
  </si>
  <si>
    <t>Gulf Coast Youth Soccer Club Inc.</t>
  </si>
  <si>
    <t>communications@gcysc.com</t>
  </si>
  <si>
    <t>+14099636764</t>
  </si>
  <si>
    <t>Youth Soccer Coach</t>
  </si>
  <si>
    <t>***RFI response*** “Serve as Club Goalkeeper coach. Lead training sessions, manage teams, develop coaching curriculum, and evaluate players. The Youth Soccer Coach is responsible for coaching youth soccer players across assigned age groups and maintaining the club's athletic facilities to keep in an orderly condition by organizing equipment, including nets, cones, balls, and maintaining grounds as noted below on the facilities side to ensure safe, functional playing environments. Coaching duties include planning and leading practices, instructing players in fundamentals and game strategy, managing player development, and supervising players during training sessions and matches. On the facilities maintenance side related to the soccer turf, the worker mows, edges, aerates, seeds, fertilizes, and lines natural grass playing fields, and applies field markings prior to practices and matches. The worker inspects and maintains perimeter fencing, goals, irrigation systems, and field equipment, and addresses drainage issues and standing water on playing surfaces. Grounds upkeep includes removing debris and litter from fields and surrounding areas, trimming weeds along fencing and the facility perimeter, and operating and maintaining grounds equipment such as mowers, edgers, weed eaters, spreaders, and aerators. Additional duties include setting up and breaking down portable goals, cones, and training equipment, laundering team practice gear and pinnies, restocking facility supplies, and performing basic interior maintenance tasks such as changing air filters and replacing light bulbs using hand tools including screwdrivers and reporting facility deficiencies to management. ***Original*** Serve as Club Goalkeeper coach. Lead training sessions, manage teams, develop coaching curriculum, and evaluate players. The Youth Soccer Coach is responsible for coaching youth soccer players across assigned age groups and maintaining the club's athletic facilities and grounds to ensure safe, functional playing environments. Coaching duties include planning and leading practices, instructing players in fundamentals and game strategy, managing player development, and supervising players during training sessions and matches. On the facilities side, the worker mows, edges, aerates, seeds, fertilizes, and lines natural grass playing fields, and applies field markings prior to practices and matches. The worker inspects and maintains perimeter fencing, goals, irrigation systems, and field equipment, and addresses drainage issues and standing water on playing surfaces. Grounds upkeep includes removing debris and litter from fields and surrounding areas, trimming weeds along fencing and the facility perimeter, and operating and maintaining grounds equipment such as mowers, edgers, spreaders, and aerators. Additional duties include setting up and breaking down portable goals, cones, and training equipment, laundering team practice gear and pinnies, restocking facility supplies, and performing basic interior maintenance tasks such as replacing light bulbs and reporting facility deficiencies to management. Job Classification: 27-2022.00 - Coaches and Scouts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12 Special Requirements: Pre-employment background check may be required of foreign and domestic workers, at no cost to the worker. Must complete SafeSport training at no cost to the worker. Must be available to work all shifts, including weekends, evenings, and holidays. Must lift/carry 50 lbs., when necessary. Number of Hours Per Week: 35 Work Schedule (Start/End time): 10:00 A.M. - 8:30 P.M.</t>
  </si>
  <si>
    <t>H-400-26184-076561</t>
  </si>
  <si>
    <t>HERITAGE PALMS GOLF AND COUNTRY CLUB</t>
  </si>
  <si>
    <t>H2Bjobs@hpgcc.com</t>
  </si>
  <si>
    <t>+12392789090</t>
  </si>
  <si>
    <t>Prepare, cook, saute, broil, fry such items as seafood, meats, poultry, vegetables, pastas, soups. Keeps kitchen areas clean &amp; sanitized. Stores all products in proper locations and all other cook related services (4) workers needed. Dates of need: 10/1/26-5/31/27. 3 months experience necessary. Rotating shifts. Workdays: Mon-Sun. Work hours: 6am-10pm. Rate of pay: $20-$25/hr based on performance, $30-$37.50/hr overtime. Workers paid biweekly. 35 hours/wk. Optional housing provided for $24-$30/day with a $150 refundable deposit collected by I&amp;O. Uniform shirts provided. Job location: 10420 Washingtonia Palm Way, Fort Myers, FL 33966. Work is temporary full time employment. A single workweek will be used to compute wages. May get up to 10 hours of overtime when available. All deductions from the worker's paycheck required by law will be made. The employer will provide workers at no charge all tools, supplies, and equipment required to perform the job. The worker will be provided with or reimbursed for transportation and subsistence (including reasonable cost of overnight lodging where necessary up to $110/night for lodging with receipts.) at a rate of $16.78 per day during travel to a maximum of $68.00 per day with receipts from the place from which the worker has come to work for the employer, whether in the U.S. or abroad, to the place of employment, if the worker completes 50 percent of the period of employment covered by the job order, consistent with 20 CFR 655.20(j)(1)(i) by inclusion in the paycheck for the applicable week. Employer will provide or pay for the worker's cost of return transportation and daily subsistence from the place of employment to the place from which the worker, disregarding intervening employment, departed to work for the employer, if the worker completes the certified period of employment or is dismissed from employment for any reason by the employer before the end of the period, consistent with § 655.20(j)(1)(ii); H-2B workers will be reimbursed in the first workweek for all visas, visa processing, border crossing, and other related fees, including those mandated by the government (excluding passport fees). The employer will provide workers all tools, supplies, and equipment required to perform the job at no charge to the worker, in accordance with 20 CFR 655.20(k). Qualified applicants may mail resume to Attn: Heather Becht at 10420 Washingtonia Palm Way, Fort Myers, FL 33966, email to H2Bjobs@hpgcc.com, or visit your local job center at 6800 Shoppes at Plantation Drive, Suite 170, Fort Myers, FL 33912. *Your security deposit is refundable upon completion of your contract and upon inspection of the housing. If a worker abandons their job without permission of the employer or a worker abandons their housing before the end of the petition date for any reason except employer termination, the workers forfeits all housing deposits, PTO, vacation and bonus pay. Upon termination of resignation, the worker must vacate the housing immediately thereafter unless agreed upon by the employer.* Job Classification: 35-2014.00 - Cooks, Restaurant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Number of Hours Per Week: 35 Work Schedule (Start/End time): 6:00 A.M. - 10:00 P.M.</t>
  </si>
  <si>
    <t>H-400-26184-076562</t>
  </si>
  <si>
    <t>Take orders, serve food &amp; beverages to guests. Clean off &amp; set tables. Take payments, give receipts. Keep all stations stocked (34) workers needed. Dates of need: 10/1/26-5/31/27. 3 months experience necessary. Rotating shifts. Workdays: Mon-Sun. Work hours: 6am-10pm. Rate of pay: $12-$14/hr plus tips but no less than $18.95/hr, $28.43/hr overtime. Workers paid biweekly. 35 hours/wk. Optional housing provided for $24-$30/day with a $150 refundable deposit collected by I&amp;O. Uniform shirts provided. Job location: 10420 Washingtonia Palm Way, Fort Myers, FL 33966. Work is temporary full time employment. A single workweek will be used to compute wages. May get up to 10 hours of overtime when available. All deductions from the worker's paycheck required by law will be made. The employer will provide workers at no charge all tools, supplies, and equipment required to perform the job. The worker will be provided with or reimbursed for transportation and subsistence (including reasonable cost of overnight lodging where necessary up to $110/night for lodging with receipts.) at a rate of $16.78 per day during travel to a maximum of $68.00 per day with receipts from the place from which the worker has come to work for the employer, whether in the U.S. or abroad, to the place of employment, if the worker completes 50 percent of the period of employment covered by the job order, consistent with 20 CFR 655.20(j)(1)(i) by inclusion in the paycheck for the applicable week. Employer will provide or pay for the worker's cost of return transportation and daily subsistence from the place of employment to the place from which the worker, disregarding intervening employment, departed to work for the employer, if the worker completes the certified period of employment or is dismissed from employment for any reason by the employer before the end of the period, consistent with § 655.20(j)(1)(ii); H-2B workers will be reimbursed in the first workweek for all visas, visa processing, border crossing, and other related fees, including those mandated by the government (excluding passport fees). The employer will provide workers all tools, supplies, and equipment required to perform the job at no charge to the worker, in accordance with 20 CFR 655.20(k). Qualified applicants may mail resume to Attn: Heather Becht at 10420 Washingtonia Palm Way, Fort Myers, FL 33966, email to H2Bjobs@hpgcc.com, or visit your local job center at 6800 Shoppes at Plantation Drive, Suite 170, Fort Myers, FL 33912. *Your security deposit is refundable upon completion of your contract and upon inspection of the housing. If a worker abandons their job without permission of the employer or a worker abandons their housing before the end of the petition date for any reason except employer termination, the workers forfeits all housing deposits, PTO, vacation and bonus pay. Upon termination of resignation, the worker must vacate the housing immediately thereafter unless agreed upon by the employer.* Job Classification: 35-3031.00 - Waiters and Waitresses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Number of Hours Per Week: 35 Work Schedule (Start/End time): 6:00 A.M. - 10:00 P.M.</t>
  </si>
  <si>
    <t>H-400-26184-076533</t>
  </si>
  <si>
    <t>Monitor activities at facility. May provide administrative assistance to membership, including checking membership cards, confirming reservations, arranging merchandise &amp; providing facility info, minor cleaning of recreational and common areas, including wiping down countertops, and seating areas with cleaning solutions. (20) workers needed. Dates of need: 10/1/26-5/31/27. 3 months experience necessary. Rotating shifts. Workdays: Mon-Sun. Work hours: 6am-10pm. Rate of pay: $15.60-$26/hr based on performance, $23.40-$39/hr overtime. Workers paid biweekly. 35 hours/wk. Optional housing provided for $140/week with a $300 deposit, refundable upon completing of contract &amp; housing inspection. Bonus of $500 for first time returners, $1,000 for those who are returning for the 2nd time or more as well as Christmas bonus gift card on Thanksgiving. Uniforms and shift meals provided. Job location: 3500 Clubhouse Lane, Boynton Beach, FL 33436 Work is temporary full time employment. A single workweek will be used to compute wages. May get up to 10 hours of overtime when available. All deductions from the worker's paycheck required by law will be made. The employer will provide workers at no charge all tools, supplies, and equipment required to perform the job. The worker will be provided with or reimbursed for transportation and subsistence (including reasonable cost of overnight lodging where necessary up to $110/night for lodging with receipts.) at a rate of $16.78 per day during travel to a maximum of $68.00 per day with receipts from the place from which the worker has come to work for the employer, whether in the U.S. or abroad, to the place of employment, if the worker completes 50 percent of the period of employment covered by the job order, consistent with 20 CFR 655.20(j)(1)(i) by inclusion in the paycheck for the applicable week. Employer will provide or pay for the worker's cost of return transportation and daily subsistence from the place of employment to the place from which the worker, disregarding intervening employment, departed to work for the employer, if the worker completes the certified period of employment or is dismissed from employment for any reason by the employer before the end of the period, consistent with § 655.20(j)(1)(ii); H-2B workers will be reimbursed in the first workweek for all visas, visa processing, border crossing, and other related fees, including those mandated by the government (excluding passport fees). The employer will provide workers all tools, supplies, and equipment required to perform the job at no charge to the worker, in accordance with 20 CFR 655.20(k). Qualified applicants may mail resume to Attn: Emily Viviano Rockle at 3500 Clubhouse Lane, Boynton Beach, FL 33436, email to careers@huntersrun.net or visit your local job center at 3400 Belvedere Road West Palm Beach, FL 33406. *Your security deposit is refundable upon completion of your contract and upon inspection of the housing. If a worker abandons their job without permission of the employer or a worker abandons their housing before the end of the petition date for any reason except employer termination, the workers forfeits all housing deposits, PTO, vacation and bonus pay. Upon termination of resignation, the worker must vacate the housing immediately thereafter unless agreed upon by the employer.* Job Classification: 39-3091.00 - Amusement and Recreation Attendants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Number of Hours Per Week: 35 Work Schedule (Start/End time): 6:00 A.M. - 10:00 P.M.</t>
  </si>
  <si>
    <t>H-400-26184-076550</t>
  </si>
  <si>
    <t>Food &amp; Beverage Supervisor</t>
  </si>
  <si>
    <t>Perform various financial activities, such as cash handling, deposit preparation, and payroll. Resolve customer complaints regarding food service. Compile and balance cash receipts at the end of the day or shift. Present bills and accept payments. Inspect supplies, equipment, and work areas to ensure efficient service and conformance to standards. (11) workers needed. Dates of need: 10/1/26-5/31/27. 3 months experience necessary. Rotating shifts. Workdays: Mon-Sun. Work hours: 6am-10pm. Rate of pay: $21.98-$30/hr plus tips but no less than $22.56/hr, $33.84/hr overtime. Workers paid biweekly. 35 hours/wk. Optional housing provided for $140/week with a $300 deposit, refundable upon completing of contract &amp; housing inspection. Bonus of $500 for first time returners, $1,000 for those who are returning for the 2nd time or more as well as Christmas bonus gift card on Thanksgiving. Uniforms and shift meals provided. Job location: 3500 Clubhouse Lane, Boynton Beach, FL 33436 Work is temporary full time employment. A single workweek will be used to compute wages. May get up to 10 hours of overtime when available. All deductions from the worker's paycheck required by law will be made. The employer will provide workers at no charge all tools, supplies, and equipment required to perform the job. The worker will be provided with or reimbursed for transportation and subsistence (including reasonable cost of overnight lodging where necessary up to $110/night for lodging with receipts.) at a rate of $16.78 per day during travel to a maximum of $68.00 per day with receipts from the place from which the worker has come to work for the employer, whether in the U.S. or abroad, to the place of employment, if the worker completes 50 percent of the period of employment covered by the job order, consistent with 20 CFR 655.20(j)(1)(i) by inclusion in the paycheck for the applicable week. Employer will provide or pay for the worker's cost of return transportation and daily subsistence from the place of employment to the place from which the worker, disregarding intervening employment, departed to work for the employer, if the worker completes the certified period of employment or is dismissed from employment for any reason by the employer before the end of the period, consistent with § 655.20(j)(1)(ii); H-2B workers will be reimbursed in the first workweek for all visas, visa processing, border crossing, and other related fees, including those mandated by the government (excluding passport fees). The employer will provide workers all tools, supplies, and equipment required to perform the job at no charge to the worker, in accordance with 20 CFR 655.20(k). Qualified applicants may mail resume to Attn: Emily Viviano Rockle at 3500 Clubhouse Lane, Boynton Beach, FL 33436, email to careers@huntersrun.net or visit your local job center at 3400 Belvedere Road West Palm Beach, FL 33406. *Your security deposit is refundable upon completion of your contract and upon inspection of the housing. If a worker abandons their job without permission of the employer or a worker abandons their housing before the end of the petition date for any reason except employer termination, the workers forfeits all housing deposits, PTO, vacation and bonus pay. Upon termination of resignation, the worker must vacate the housing immediately thereafter unless agreed upon by the employer.* Job Classification: 35-1012.00 - First-Line Supervisors of Food Preparation and Serving Workers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Number of Hours Per Week: 35 Work Schedule (Start/End time): 6:00 A.M. - 10:00 P.M.</t>
  </si>
  <si>
    <t>H-400-26184-076554</t>
  </si>
  <si>
    <t>Takes orders, prepares and serves drinks to the clients. Keeps bar stocked and clean, brings food from kitchen to bar and takes payments (8) workers needed. Dates of need: 10/1/26-5/31/27. 3 months experience necessary. Rotating shifts. Workdays: Mon-Sun. Work hours: 6am-10pm. Rate of pay: $16-$19/hr plus tips but no less than $19.51/hr, $29.27/hr overtime. Workers paid biweekly. 35 hours/wk. Optional housing provided for $140/week with a $300 deposit, refundable upon completing of contract &amp; housing inspection. Bonus of $500 for first time returners, $1,000 for those who are returning for the 2nd time or more as well as Christmas bonus gift card on Thanksgiving. Uniforms and shift meals provided. Job location: 3500 Clubhouse Lane, Boynton Beach, FL 33436 Work is temporary full time employment. A single workweek will be used to compute wages. May get up to 10 hours of overtime when available. All deductions from the worker's paycheck required by law will be made. The employer will provide workers at no charge all tools, supplies, and equipment required to perform the job. The worker will be provided with or reimbursed for transportation and subsistence (including reasonable cost of overnight lodging where necessary up to $110/night for lodging with receipts.) at a rate of $16.78 per day during travel to a maximum of $68.00 per day with receipts from the place from which the worker has come to work for the employer, whether in the U.S. or abroad, to the place of employment, if the worker completes 50 percent of the period of employment covered by the job order, consistent with 20 CFR 655.20(j)(1)(i) by inclusion in the paycheck for the applicable week. Employer will provide or pay for the worker's cost of return transportation and daily subsistence from the place of employment to the place from which the worker, disregarding intervening employment, departed to work for the employer, if the worker completes the certified period of employment or is dismissed from employment for any reason by the employer before the end of the period, consistent with § 655.20(j)(1)(ii); H-2B workers will be reimbursed in the first workweek for all visas, visa processing, border crossing, and other related fees, including those mandated by the government (excluding passport fees). The employer will provide workers all tools, supplies, and equipment required to perform the job at no charge to the worker, in accordance with 20 CFR 655.20(k). Qualified applicants may mail resume to Attn: Emily Viviano Rockle at 3500 Clubhouse Lane, Boynton Beach, FL 33436, email to careers@huntersrun.net or visit your local job center at 3400 Belvedere Road West Palm Beach, FL 33406. *Your security deposit is refundable upon completion of your contract and upon inspection of the housing. If a worker abandons their job without permission of the employer or a worker abandons their housing before the end of the petition date for any reason except employer termination, the workers forfeits all housing deposits, PTO, vacation and bonus pay. Upon termination of resignation, the worker must vacate the housing immediately thereafter unless agreed upon by the employer.* Job Classification: 35-3011.00 - Bartenders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Number of Hours Per Week: 35 Work Schedule (Start/End time): 6:00 A.M. - 10:00 P.M.</t>
  </si>
  <si>
    <t>H-400-26184-076559</t>
  </si>
  <si>
    <t>Take orders, bring food &amp; drinks to guests. Clean off &amp; set tables. Take payments, give receipts. Keep all stations stocked. Serve bread, water, coffee. Greet guests (32) workers needed. Dates of need: 10/1/26-5/31/27. 3 months experience necessary. Rotating shifts. Workdays: Mon-Sun. Work hours: 6am-10pm. Rate of pay: $11.98-$12/hr plus tips but no less than $18.71/hr, $28.07/hr overtime. Workers paid biweekly. 35 hours/wk. Optional housing provided for $140/week with a $300 deposit, refundable upon completing of contract &amp; housing inspection. Bonus of $500 for first time returners, $1,000 for those who are returning for the 2nd time or more as well as Christmas bonus gift card on Thanksgiving. Uniforms and shift meals provided. Job location: 3500 Clubhouse Lane, Boynton Beach, FL 33436 Work is temporary full time employment. A single workweek will be used to compute wages. May get up to 10 hours of overtime when available. All deductions from the worker's paycheck required by law will be made. The employer will provide workers at no charge all tools, supplies, and equipment required to perform the job. The worker will be provided with or reimbursed for transportation and subsistence (including reasonable cost of overnight lodging where necessary up to $110/night for lodging with receipts.) at a rate of $16.78 per day during travel to a maximum of $68.00 per day with receipts from the place from which the worker has come to work for the employer, whether in the U.S. or abroad, to the place of employment, if the worker completes 50 percent of the period of employment covered by the job order, consistent with 20 CFR 655.20(j)(1)(i) by inclusion in the paycheck for the applicable week. Employer will provide or pay for the worker's cost of return transportation and daily subsistence from the place of employment to the place from which the worker, disregarding intervening employment, departed to work for the employer, if the worker completes the certified period of employment or is dismissed from employment for any reason by the employer before the end of the period, consistent with § 655.20(j)(1)(ii); H-2B workers will be reimbursed in the first workweek for all visas, visa processing, border crossing, and other related fees, including those mandated by the government (excluding passport fees). The employer will provide workers all tools, supplies, and equipment required to perform the job at no charge to the worker, in accordance with 20 CFR 655.20(k). Qualified applicants may mail resume to Attn: Emily Viviano Rockle at 3500 Clubhouse Lane, Boynton Beach, FL 33436, email to careers@huntersrun.net or visit your local job center at 3400 Belvedere Road West Palm Beach, FL 33406. *Your security deposit is refundable upon completion of your contract and upon inspection of the housing. If a worker abandons their job without permission of the employer or a worker abandons their housing before the end of the petition date for any reason except employer termination, the workers forfeits all housing deposits, PTO, vacation and bonus pay. Upon termination of resignation, the worker must vacate the housing immediately thereafter unless agreed upon by the employer.* Job Classification: 35-3031.00 - Waiters and Waitresses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Number of Hours Per Week: 35 Work Schedule (Start/End time): 6:00 A.M. - 10:00 P.M.</t>
  </si>
  <si>
    <t>H-400-26184-076527</t>
  </si>
  <si>
    <t>Maintenance</t>
  </si>
  <si>
    <t>Installation, disassembling, maintenance and repairing equipment such as running urinals/commodes, outside equipment, remove trash from multiple locations on property. Use hand and power tools, transfer tools, parts, equipment to and from work locations on the property. (3) workers needed. Dates of need: 10/1/26-5/31/27. 3 months experience necessary. Rotating shifts. Workdays: Mon-Sun. Work hours: 7am-11pm. Rate of pay: $23.66-$26/hr based on performance, $35.49-$39/hr overtime. Workers paid biweekly. 35 hours/wk. Optional housing provided for $140/week with a $300 deposit, refundable upon completing of contract &amp; housing inspection. Bonus of $500 for first time returners, $1,000 for those who are returning for the 2nd time or more as well as Christmas bonus gift card on Thanksgiving. Uniforms and shift meals provided. Job location: 3500 Clubhouse Lane, Boynton Beach, FL 33436 Work is temporary full time employment. A single workweek will be used to compute wages. May get up to 10 hours of overtime when available. All deductions from the worker's paycheck required by law will be made. The employer will provide workers at no charge all tools, supplies, and equipment required to perform the job. The worker will be provided with or reimbursed for transportation and subsistence (including reasonable cost of overnight lodging where necessary up to $110/night for lodging with receipts.) at a rate of $16.78 per day during travel to a maximum of $68.00 per day with receipts from the place from which the worker has come to work for the employer, whether in the U.S. or abroad, to the place of employment, if the worker completes 50 percent of the period of employment covered by the job order, consistent with 20 CFR 655.20(j)(1)(i) by inclusion in the paycheck for the applicable week. Employer will provide or pay for the worker's cost of return transportation and daily subsistence from the place of employment to the place from which the worker, disregarding intervening employment, departed to work for the employer, if the worker completes the certified period of employment or is dismissed from employment for any reason by the employer before the end of the period, consistent with § 655.20(j)(1)(ii); H-2B workers will be reimbursed in the first workweek for all visas, visa processing, border crossing, and other related fees, including those mandated by the government (excluding passport fees). The employer will provide workers all tools, supplies, and equipment required to perform the job at no charge to the worker, in accordance with 20 CFR 655.20(k). Qualified applicants may mail resume to Attn: Emily Viviano Rockle at 3500 Clubhouse Lane, Boynton Beach, FL 33436, email to careers@huntersrun.net or visit your local job center at 3400 Belvedere Road West Palm Beach, FL 33406. *Your security deposit is refundable upon completion of your contract and upon inspection of the housing. If a worker abandons their job without permission of the employer or a worker abandons their housing before the end of the petition date for any reason except employer termination, the workers forfeits all housing deposits, PTO, vacation and bonus pay. Upon termination of resignation, the worker must vacate the housing immediately thereafter unless agreed upon by the employer.* Job Classification: 49-9071.00 - Maintenance and Repair Workers, General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Number of Hours Per Week: 35 Work Schedule (Start/End time): 7:00 A.M. - 11:00 P.M.</t>
  </si>
  <si>
    <t>H-400-26184-076544</t>
  </si>
  <si>
    <t>Prepare, clean, saute, broil, fry such foods as seafood, meats, poultry, vegetables. Keep all stations clean, sanitized and stocked (40) workers needed. Dates of need: 10/1/26-5/31/27. 3 months experience necessary. Rotating shifts. Workdays: Mon-Sun. Work hours: 6am-10pm. Rate of pay: $17.49-$26/hr based on performance, $26.24-$39/hr overtime. Workers paid biweekly. 35 hours/wk. Optional housing provided for $140/week with a $300 deposit, refundable upon completing of contract &amp; housing inspection. Bonus of $500 for first time returners, $1,000 for those who are returning for the 2nd time or more as well as Christmas bonus gift card on Thanksgiving. Uniforms and shift meals provided. Job location: 3500 Clubhouse Lane, Boynton Beach, FL 33436 Work is temporary full time employment. A single workweek will be used to compute wages. May get up to 10 hours of overtime when available. All deductions from the worker's paycheck required by law will be made. The employer will provide workers at no charge all tools, supplies, and equipment required to perform the job. The worker will be provided with or reimbursed for transportation and subsistence (including reasonable cost of overnight lodging where necessary up to $110/night for lodging with receipts.) at a rate of $16.78 per day during travel to a maximum of $68.00 per day with receipts from the place from which the worker has come to work for the employer, whether in the U.S. or abroad, to the place of employment, if the worker completes 50 percent of the period of employment covered by the job order, consistent with 20 CFR 655.20(j)(1)(i) by inclusion in the paycheck for the applicable week. Employer will provide or pay for the worker's cost of return transportation and daily subsistence from the place of employment to the place from which the worker, disregarding intervening employment, departed to work for the employer, if the worker completes the certified period of employment or is dismissed from employment for any reason by the employer before the end of the period, consistent with § 655.20(j)(1)(ii); H-2B workers will be reimbursed in the first workweek for all visas, visa processing, border crossing, and other related fees, including those mandated by the government (excluding passport fees). The employer will provide workers all tools, supplies, and equipment required to perform the job at no charge to the worker, in accordance with 20 CFR 655.20(k). Qualified applicants may mail resume to Attn: Emily Viviano Rockle at 3500 Clubhouse Lane, Boynton Beach, FL 33436, email to careers@huntersrun.net or visit your local job center at 3400 Belvedere Road West Palm Beach, FL 33406. *Your security deposit is refundable upon completion of your contract and upon inspection of the housing. If a worker abandons their job without permission of the employer or a worker abandons their housing before the end of the petition date for any reason except employer termination, the workers forfeits all housing deposits, PTO, vacation and bonus pay. Upon termination of resignation, the worker must vacate the housing immediately thereafter unless agreed upon by the employer.* Job Classification: 35-2014.00 - Cooks, Restaurant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Number of Hours Per Week: 35 Work Schedule (Start/End time): 6:00 A.M. - 10:00 P.M.</t>
  </si>
  <si>
    <t>H-400-26184-076557</t>
  </si>
  <si>
    <t>Clean off &amp; set tables, bring food out from kitchen to tables, serve water/coffee, and assist with general food service operations. Workers will greet guests, deliver food and beverages to tables, remove used dishes, and reset tables for new guests. Workers may answer general questions about menu items but will not take food orders or process payments from guests. Move tables and chairs as needed for events or dining setup. Keep all working areas clean, sanitized, and organized. Stock bars, service stations, and dining areas with supplies, utensils, and beverages. Assist kitchen and service staff with maintaining smooth dining operations. (27) workers needed. Dates of need: 10/1/26-5/31/27. 3 months experience necessary. Rotating shifts. Workdays: Mon-Sun. Work hours: 6am-10pm. Rate of pay: $15.52-$17/hr plus tips but no less than $18.94/hr, $28.41/hr overtime. Workers paid biweekly. 35 hours/wk. Optional housing provided for $140/week with a $300 deposit, refundable upon completing of contract &amp; housing inspection. Bonus of $500 for first time returners, $1,000 for those who are returning for the 2nd time or more as well as Christmas bonus gift card on Thanksgiving. Uniforms and shift meals provided. Job location: 3500 Clubhouse Lane, Boynton Beach, FL 33436 Work is temporary full time employment. A single workweek will be used to compute wages. May get up to 10 hours of overtime when available. All deductions from the worker's paycheck required by law will be made. The employer will provide workers at no charge all tools, supplies, and equipment required to perform the job. The worker will be provided with or reimbursed for transportation and subsistence (including reasonable cost of overnight lodging where necessary up to $110/night for lodging with receipts.) at a rate of $16.78 per day during travel to a maximum of $68.00 per day with receipts from the place from which the worker has come to work for the employer, whether in the U.S. or abroad, to the place of employment, if the worker completes 50 percent of the period of employment covered by the job order, consistent with 20 CFR 655.20(j)(1)(i) by inclusion in the paycheck for the applicable week. Employer will provide or pay for the worker's cost of return transportation and daily subsistence from the place of employment to the place from which the worker, disregarding intervening employment, departed to work for the employer, if the worker completes the certified period of employment or is dismissed from employment for any reason by the employer before the end of the period, consistent with § 655.20(j)(1)(ii); H-2B workers will be reimbursed in the first workweek for all visas, visa processing, border crossing, and other related fees, including those mandated by the government (excluding passport fees). The employer will provide workers all tools, supplies, and equipment required to perform the job at no charge to the worker, in accordance with 20 CFR 655.20(k). Qualified applicants may mail resume to Attn: Emily Viviano Rockle at 3500 Clubhouse Lane, Boynton Beach, FL 33436, email to careers@huntersrun.net or visit your local job center at 3400 Belvedere Road West Palm Beach, FL 33406. *Your security deposit is refundable upon completion of your contract and upon inspection of the housing. If a worker abandons their job without permission of the employer or a worker abandons their housing before the end of the petition date for any reason except employer termination, the workers forfeits all housing deposits, PTO, vacation and bonus pay. Upon termination of resignation, the worker must vacate the housing immediately thereafter unless agreed upon by the employer.* Job Classification: 53-7062.00 - Laborers and Freight, Stock, and Material Movers, Hand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Number of Hours Per Week: 35 Work Schedule (Start/End time): 6:00 A.M. - 10:00 P.M.</t>
  </si>
  <si>
    <t>H-400-26184-076565</t>
  </si>
  <si>
    <t>Hoback PMC LLC</t>
  </si>
  <si>
    <t>H2BJOBS@HOBACKCLUB.COM</t>
  </si>
  <si>
    <t>+13074133955</t>
  </si>
  <si>
    <t>Prepare, cook, saute, broil such items as seafood, meats, poultry, vegetables, pastas.keeps kitchen areas clean &amp; sanitized. Stores all products in proper locations (4) workers needed. Dates of need: 10/1/26-5/31/27. 3 months experience necessary. Rotating shifts. Workdays: Mon-Sun. Work hours: 6am-10pm. Rate of pay: $19.24-$24/hr based on performance, $28.86-$36/hr overtime. Workers paid biweekly. 35 hours/wk. Optional housing provided for $250-$300/ week ($250/wk 2-bed or $300/wk studio) with a $50 non refundable deposit. End of season bonus available. Uniforms and shift meals provided. Job location: 3355 Cody Lane, Teton Village, WY 83025. Work is temporary full time employment. A single workweek will be used to compute wages. May get up to 10 hours of overtime when available. All deductions from the worker's paycheck required by law will be made. The employer will provide workers at no charge all tools, supplies, and equipment required to perform the job. The worker will be provided with or reimbursed for transportation and subsistence (including reasonable cost of overnight lodging where necessary up to $110/night for lodging with receipts.) at a rate of $16.78 per day during travel to a maximum of $68.00 per day with receipts from the place from which the worker has come to work for the employer, whether in the U.S. or abroad, to the place of employment, if the worker completes 50 percent of the period of employment covered by the job order, consistent with 20 CFR 655.20(j)(1)(i) by inclusion in the paycheck for the applicable week. Employer will provide or pay for the worker's cost of return transportation and daily subsistence from the place of employment to the place from which the worker, disregarding intervening employment, departed to work for the employer, if the worker completes the certified period of employment or is dismissed from employment for any reason by the employer before the end of the period, consistent with § 655.20(j)(1)(ii); H-2B workers will be reimbursed in the first workweek for all visas, visa processing, border crossing, and other related fees, including those mandated by the government (excluding passport fees). The employer will provide workers all tools, supplies, and equipment required to perform the job at no charge to the worker, in accordance with 20 CFR 655.20(k). Qualified applicants may mail resume to Attn: John Newman at 3355 Cody Lane, Teton Village, WY 83025, email to H2BJOBS@HOBACKCLUB.COM, or visit your local job center at 155 West Gill Avenue PO Box 1003 Jackson, WY 83001. *Your security deposit is refundable upon completion of your contract and upon inspection of the housing. If a worker abandons their job without permission of the employer or a worker abandons their housing before the end of the petition date for any reason except employer termination, the workers forfeits all housing deposits, PTO, vacation and bonus pay. Upon termination of resignation, the worker must vacate the housing immediately thereafter unless agreed upon by the employer.* Job Classification: 35-2014.00 - Cooks, Restaurant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Number of Hours Per Week: 35 Work Schedule (Start/End time): 6:00 A.M. - 10:00 P.M.</t>
  </si>
  <si>
    <t>H-400-26184-076566</t>
  </si>
  <si>
    <t>Take orders, bring food &amp; drinks to guests. Clean off &amp; set tables. Take payments, give receipts. Keep all stations stocked. Serve bread, water, coffee. Greet guests (6) workers needed. Dates of need: 10/1/26-5/31/27. 3 months experience necessary. Rotating shifts. Workdays: Mon-Sun. Work hours: 6am-10pm. Rate of pay: $17-22/hr plus tips but no less than $14.75/hr, $22.13/hr overtime. Workers paid biweekly. 35 hours/wk. Optional housing provided for $250-$300/ week ($250/wk 2-bed or $300/wk studio) with a $50 non refundable deposit. End of season bonus available. Uniforms and shift meals provided. Job location: 3355 Cody Lane, Teton Village, WY 83025. Work is temporary full time employment. A single workweek will be used to compute wages. May get up to 10 hours of overtime when available. All deductions from the worker's paycheck required by law will be made. The employer will provide workers at no charge all tools, supplies, and equipment required to perform the job. The worker will be provided with or reimbursed for transportation and subsistence (including reasonable cost of overnight lodging where necessary up to $110/night for lodging with receipts.) at a rate of $16.78 per day during travel to a maximum of $68.00 per day with receipts from the place from which the worker has come to work for the employer, whether in the U.S. or abroad, to the place of employment, if the worker completes 50 percent of the period of employment covered by the job order, consistent with 20 CFR 655.20(j)(1)(i) by inclusion in the paycheck for the applicable week. Employer will provide or pay for the worker's cost of return transportation and daily subsistence from the place of employment to the place from which the worker, disregarding intervening employment, departed to work for the employer, if the worker completes the certified period of employment or is dismissed from employment for any reason by the employer before the end of the period, consistent with § 655.20(j)(1)(ii); H-2B workers will be reimbursed in the first workweek for all visas, visa processing, border crossing, and other related fees, including those mandated by the government (excluding passport fees). The employer will provide workers all tools, supplies, and equipment required to perform the job at no charge to the worker, in accordance with 20 CFR 655.20(k). Qualified applicants may mail resume to Attn: John Newman at 3355 Cody Lane, Teton Village, WY 83025, email to H2BJOBS@HOBACKCLUB.COM, or visit your local job center at 155 West Gill Avenue PO Box 1003 Jackson, WY 83001. *Your security deposit is refundable upon completion of your contract and upon inspection of the housing. If a worker abandons their job without permission of the employer or a worker abandons their housing before the end of the petition date for any reason except employer termination, the workers forfeits all housing deposits, PTO, vacation and bonus pay. Upon termination of resignation, the worker must vacate the housing immediately thereafter unless agreed upon by the employer.* Job Classification: 35-3031.00 - Waiters and Waitresses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Number of Hours Per Week: 35 Work Schedule (Start/End time): 6:00 A.M. - 10:00 P.M.</t>
  </si>
  <si>
    <t>H-400-26184-076564</t>
  </si>
  <si>
    <t>J Fall Forestry, LLC</t>
  </si>
  <si>
    <t>forestryjfall@gmail.com</t>
  </si>
  <si>
    <t>+14792070646</t>
  </si>
  <si>
    <t>Duties may include: Sort tree seedlings, discarding substandard seedlings, prepare the ground, and plant trees in reforestation areas. Confer with workers to identify diseased or undesirable trees and remove them according to markings, sizes, types, or grade. Reduce competing vegetation: spray/inject herbicides and trim trees or other vegetation via clearing/disposing of brush, piling, and pruning &amp; other related Forestry Worker activities as per SOC/OES 45-4011 (onetonline.org). Standard/Expected Schedule: Monday-Friday 7:00AM-3:00PM.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Optional, shared housing available at no cost to the worker. Job Classification: 45-4011.00 - Forest and Conservation Workers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Must be 18 due to insurance. Must show proof of legal authorization to work in the United States. Drug/alcohol/tobacco free work zone. Must walk substantially (up to 15 miles/day), also stoop, bend while carrying a pack (up to 65lbs) thru rough terrain (non-trail). All applicants must be able, willing and qualified to perform work described and must be available for the entire period specified and work throughout all areas of intended employment. Work is performed outdoors, exposed to weather; must be capable of doing physically strenuous labor for long hours, occasionally in extreme heat or cold. Variable weather conditions apply; hours may fluctuate (+/-), possible downtime and/or overtime. Number of Hours Per Week: 40 Work Schedule (Start/End time): 7:00 A.M. - 3:00 P.M.</t>
  </si>
  <si>
    <t>H-400-26184-076545</t>
  </si>
  <si>
    <t>M&amp;G Concrete, LLC</t>
  </si>
  <si>
    <t>m.g.concrete@hotmail.com</t>
  </si>
  <si>
    <t>+17128870262</t>
  </si>
  <si>
    <t>Perform tasks involving manual labor at concrete construction site. Prepare the site for placing of concrete by loading and unloading materials, running string-lines, cutting wood with skill saw, using a sledgehammer to pound stakes into the ground, digging and leveling the earth using shovels and platepackers. Assist with placing concrete by using wheelbarrows, concrete rakes and shovels. Place concrete. Clean up waste materials. Clean up construction sites. Job Classification: 47-2061.00 - Construction Laborers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Some weekend work. Must be able to lift and carry 75 lbs 75 yds. Must be able to handle temperature extremes. Number of Hours Per Week: 40 Work Schedule (Start/End time): 7:00 A.M. - 5:00 P.M.</t>
  </si>
  <si>
    <t>H-400-26184-076534</t>
  </si>
  <si>
    <t>MPB Hotel LLC</t>
  </si>
  <si>
    <t>Stephanie.Bair@eauresortandspa.com</t>
  </si>
  <si>
    <t>+15615404977</t>
  </si>
  <si>
    <t>Prepare, season, and cook dishes such as soups, meats, vegetables, or desserts. Set up workstations with all needed ingredients and cooking equipment. Ability to understand, execute and complete a daily prep list. Prepare ingredients to use in cooking i.e. chopping and peeling vegetables, cutting meat, starch cookery. Cook food in various techniques, producing best outcomes. Ensure that food comes out simultaneously, in high quality and in a timely fashion. Ensure great presentation by dressing dishes before they are served. Keep a sanitized and orderly workstation in the kitchen. Ensure all food and other items are stored and rotated properly. Check quality of ingredients. Monitor mise en place and communicate needed product to your Chef. Anticipated days and hours of work per week and schedule: Workers will work a minimum of no less than 35 hours per week. Open seven days. Work hours of operation are 24 hours per day. Shift hours per week: 5am to 1pm, 6am to 2pm, 7am to 3pm, 8am to 4pm, 9am to 5pm, 10am to 6pm, 1pm to 9pm, 2pm to 10pm, 3pm to 11pm, 4pm to 12, 10pm to 6am. Shift days and work hours vary. Different shifts not listed may be needed based on events. Shift days and work hours vary. Different shifts not listed may be needed based on events. Overtime: As Needed Only. SEE ATTACHED DOCUMENT UPLOAD FOR FULL COPY OF THE JOB OFFER - Note to Certifying Officer: Attached is a full copy of the job offer. If any information on this job offer needs to be added to the ETA-9142, we grant you permission to add the information listed in this attachment. Job Classification: 35-2014.00 - Cooks, Restaurant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12 Special Requirements: One year of experience as a cook is required. Must pass pre-employment drug test (in accordance with companys Drug Free Workplace Policy) and background check. This includes seasonal and full-time annual positions and is applied to all applicants regardless of their national origin, race, or gender or visa status. Must be available to work all shifts, including weekends, evenings, and holidays. Number of Hours Per Week: 56 Work Schedule (Start/End time): 9:00 A.M. - 5:00 P.M.</t>
  </si>
  <si>
    <t>H-400-26184-076531</t>
  </si>
  <si>
    <t>The Dining Room Supervisor is responsible for supervising and coordinating the daily operations of the restaurant dining area to ensure efficient service and a positive guest experience. The position oversees front-of-house staff during service, assists with training and scheduling, monitors service standards, and supports restaurant operations during periods of high occupancy and seasonal demand. Duties include: Supervise and coordinate daily dining room operations and front-of-house staff; Conduct pre-shift meetings and communicate daily operational updates; Monitor guest satisfaction and respond promptly to guest requests and concerns; Ensure compliance with service standards, grooming standards, and sanitation requirements; Assist with staff training and provide direction during service periods; Maintain knowledge of food and beverage menus, including wines, cocktails, beers, and daily specials; Coordinate seating flow, reservations, and table assignments; Assist in monitoring inventory levels and operational supplies; Support restaurant opening and closing procedures; Utilize POS systems and assist with operational reporting as needed; and Work closely with culinary and food and beverage staff to maintain efficient service operations. Anticipated days and hours of work per week and schedule: Workers will work a minimum of no less than 35 hours per week. Open seven days. Work hours of operation are 24 hours per day. Shift hours per week: 5am to 1pm, 6am to 2pm, 7am to 3pm, 8am to 4pm, 9am to 5pm, 10am to 6pm, 1pm to 9pm, 2pm to 10pm, 3pm to 11pm, 4pm to 12, 10pm to 6am. Shift days and work hours vary. Different shifts not listed may be needed based on events. Shift days and work hours vary. Different shifts not listed may be needed based on events. Overtime: As Needed Only. SEE ATTACHED DOCUMENT UPLOAD FOR FULL COPY OF THE JOB OFFER - Note to Certifying Officer: Attached is a full copy of the job offer. If any information on this job offer needs to be added to the ETA-9142, we grant you permission to add the information listed in this attachment. Job Classification: 35-1012.00 - First-Line Supervisors of Food Preparation and Serving Workers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24 Special Requirements: Two years of supervisory experience in restaurant, hospitality, or food and beverage operations. Ability to communicate effectively with guests, management, and coworkers. Ability to supervise staff and maintain service standards in a fast-paced environment. Must pass pre-employment drug test (in accordance with companys Drug Free Workplace Policy) and background check. This includes seasonal and full-time annual positions and is applied to all applicants regardless of their national origin, race, or gender or visa status. Must be available to work all shifts, including weekends, evenings, and holidays. Number of Hours Per Week: 56 Work Schedule (Start/End time): 9:00 A.M. - 5:00 P.M.</t>
  </si>
  <si>
    <t>H-400-26184-076537</t>
  </si>
  <si>
    <t>Busser/food Runner</t>
  </si>
  <si>
    <t>Responsibilities include setting and resetting tables, clearing used dishes, assisting servers with beverage refills, supporting front-of-house operations to enhance the overall guest experience, and facilitating food service, which includes delivering food orders from the kitchen to guests' tables, ensuring accuracy and timely service, and maintaining cleanliness and organization in the dining area. Key Responsibilities: Deliver food orders from the kitchen to customers’ tables rapidly and accurately; act as the point of contact between front-of-house and back-of-house staff; assist in setting tables with appropriate tableware, utensils, and napkins; clear and reset tables after guests leave, ensuring cleanliness and readiness for new patrons; refill beverages and assist guests with additional needs as directed by servers; and maintain cleanliness and organization of service stations and dining areas. Anticipated days and hours of work per week and schedule: Workers will work a minimum of no less than 35 hours per week. Open seven days. Work hours of operation are 24 hours per day. Shift hours per week: 5am to 1pm, 6am to 2pm, 7am to 3pm, 8am to 4pm, 9am to 5pm, 10am to 6pm, 1pm to 9pm, 2pm to 10pm, 3pm to 11pm, 4pm to 12, 10pm to 6am. Shift days and work hours vary. Different shifts not listed may be needed based on events. Shift days and work hours vary. Different shifts not listed may be needed based on events. Overtime: As Needed Only. SEE ATTACHED DOCUMENT UPLOAD FOR FULL COPY OF THE JOB OFFER - Note to Certifying Officer: Attached is a full copy of the job offer. If any information on this job offer needs to be added to the ETA-9142, we grant you permission to add the information listed in this attachment. Job Classification: 35-9011.00 - Dining Room and Cafeteria Attendants and Bartender Helpers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Experience not required. Must pass pre-employment drug test (in accordance with companys Drug Free Workplace Policy) and background check. This includes seasonal and full-time annual positions and is applied to all applicants regardless of their national origin, race, or gender or visa status. Must be available to work all shifts, including weekends, evenings, and holidays. Number of Hours Per Week: 56 Work Schedule (Start/End time): 9:00 A.M. - 5:00 P.M.</t>
  </si>
  <si>
    <t>H-400-26184-076529</t>
  </si>
  <si>
    <t>Meehan Lawncare LLC</t>
  </si>
  <si>
    <t>meehanlawn@yahoo.com</t>
  </si>
  <si>
    <t>+17244628255</t>
  </si>
  <si>
    <t>Landscape or maintain grounds of property using hand or power tools or equipment. Workers typically perform a variety of tasks, which may include any combination of the following: sod laying, mowing, trimming, planting, watering, fertilizing, digging, and raking. Job Classification: 37-3011.00 - Landscaping and Groundskeeping Workers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Must lift/carry 50 pounds, when necessary. Saturday and Sunday work required, when necessary. Number of Hours Per Week: 40 Work Schedule (Start/End time): 8:00 A.M. - 5:00 P.M.</t>
  </si>
  <si>
    <t>H-400-26184-076546</t>
  </si>
  <si>
    <t>Mehmert Tiling Inc</t>
  </si>
  <si>
    <t>brent@mehmerttiling.biz</t>
  </si>
  <si>
    <t>+16419854076</t>
  </si>
  <si>
    <t>Perform tasks involving physical labor at construction sites. May operate hand and power tools of all types: air hammers, earth tampers, cement mixers, small mechanical hoists, surveying and measuring equipment, and a variety of other equipment and instruments. May clean and prepare sites, dig trenches, set braces to support the sides of excavations, erect scaffolding, and clean up rubble, debris, and other waste materials. May assist other craft workers. Job Classification: 47-2061.00 - Construction Laborers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Must be able to lift 75lbs for 50 yards. Must be able to handle temperature extremes. Some weekend work. Number of Hours Per Week: 40 Work Schedule (Start/End time): 7:00 A.M. - 5:00 P.M.</t>
  </si>
  <si>
    <t>H-400-26184-076553</t>
  </si>
  <si>
    <t>Landscape or maintain grounds of property using hand or power tools or equipment. Workers typically perform a variety of tasks, which may include any combination of the following: mowing, trimming, watering, fertilizing, digging, raking, and irrigation and drainage installation. Job Classification: 37-3011.00 - Landscaping and Groundskeeping Workers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Must be able to handle temperature extremes. Must be able to lift and carry 75 lbs. for 50 yds. Some weekend work. Number of Hours Per Week: 40 Work Schedule (Start/End time): 7:00 A.M. - 5:00 P.M.</t>
  </si>
  <si>
    <t>H-400-26184-076556</t>
  </si>
  <si>
    <t>Minturn, Inc.</t>
  </si>
  <si>
    <t>clintr@minturninc.com</t>
  </si>
  <si>
    <t>+16414815420</t>
  </si>
  <si>
    <t>Help carpenters by performing duties requiring less skill including carrying tools and wood, making simple wood cuts, nailing simple lumber pieces, positioning wood forms, and cleaning up job site. Job Classification: 47-3012.00 - Helpers--Carpenters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2 Special Requirements: Must be able to lift and carry 75 lbs 75 yds. Must be able to handle temperature extremes. Some weekend work. 2 months wood form setting experience required. Number of Hours Per Week: 40 Work Schedule (Start/End time): 7:00 A.M. - 5:00 P.M.</t>
  </si>
  <si>
    <t>H-400-26184-076582</t>
  </si>
  <si>
    <t>Pro-X Builders Inc.</t>
  </si>
  <si>
    <t>hr@prox-b.com</t>
  </si>
  <si>
    <t>+16052715001</t>
  </si>
  <si>
    <t>Help carpenters erect by carrying tools, wood, making simple wood cuts, nailing simple lumber pieces, assembling building components for lead carpenters and cleaning up jobsite. Will be exposed to heights, temperature extremes, strenuous physical activity, and repetitive motions. Proper and accurate use of tape measure required. Job Classification: 47-3012.00 - Helpers--Carpenters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Must be able to lift and carry 75 lbs. for 75 yds. Some weekend work. Must be able to handle temperature extremes. Number of Hours Per Week: 40 Work Schedule (Start/End time): 7:00 A.M. - 6:00 P.M.</t>
  </si>
  <si>
    <t>H-400-26184-076538</t>
  </si>
  <si>
    <t>Assembler</t>
  </si>
  <si>
    <t>**RFI Response II** The work is performed onsite at construction projects for battery energy storage facilities (BESS) in Puerto Rico. These are active outdoor construction environments where structural and electrical components are installed as part of building the facility. The position works directly at the project site, where equipment is delivered, positioned, and installed on foundations and within designated areas. The work may also take place in partially enclosed equipment areas, such as within or around battery containers and electrical equipment installations. Activities are carried out alongside other construction personnel, with coordination between different trades to support the installation process and ensure proper sequencing of work. The position works with components used in battery energy storage systems (BESS), including: Structural components such as metal supports, equipment mounts, and foundations Battery containers and enclosures used to house energy storage equipment Electrical equipment such as inverters, transformers, and related components Electrical infrastructure including conduits, cable trays, and wiring systems Cabling systems (power and communication cables) Grounding systems and basic site electrical connections Supporting systems such as lighting, auxiliary power, and monitoring equipment All components are installed and secured onsite based on project drawings and specifications, as part of the overall construction of the facility. **RFI Response** While it operates in the renewable energy industry, which includes projects involving solar energy systems and battery storage installations, the specific position of Assembler covered by this application does not primarily involve the installation of solar panels or photovoltaic (PV) systems. **Original** Assemble, install, and secure structural and electrical components according to project drawings and specifications. Read and interpret blueprints and layout plans. Install metal structures, battery containers, transformers, inverters, electrical conduits, and cable tray systems. Align, level, and fasten components using hand and power tools, anchoring systems, and welding equipment as required. Coordinate with other trades to ensure proper sequencing and avoid installation conflicts. Inspect and verify correct placement and functionality of equipment prior to commissioning and perform minor adjustments as needed. Maintain compliance with safety and quality standards. Job Classification: 47-2221.00 - Structural Iron and Steel Workers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36 Special Requirements: Minimum 36 months experience as Assembler. Schedule may vary and can include weekends and holidays as needed. Ability to lift/carry/push/pull 50 lbs. 5 days/wk., 8.5 hr./day. Expected daily hourly schedule from 7:00 AM to 1:00 PM and from 2:00 pm to 4:30pm Mon to Fri. Wage range at $20.18/hr for Ponce locations and $18.68 for Caguas location. Possible overtime at $30.27/hr for Ponce location and $28.02 for Caguas location. Workers will be paid on a: weekly basis. Worksites at: Guayanilla, Caguas, Ponce. Number of Hours Per Week: 42 Work Schedule (Start/End time): 7:00 A.M. - 4:30 P.M.</t>
  </si>
  <si>
    <t>H-400-26184-076573</t>
  </si>
  <si>
    <t>Ramms Construction LLC</t>
  </si>
  <si>
    <t>meriland@rammsconstruction.com</t>
  </si>
  <si>
    <t>+16416916584</t>
  </si>
  <si>
    <t>Residential and commercial concrete construction. Measure and layout footings and foundation. Excavate footings and level earth to grade specifications. strengthening material in concrete, position aluminum wall forms and place all concrete. Clean site. Job Classification: 47-2061.00 - Construction Laborers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Must be able to lift and carry 75 lbs 75 yds. Must be able to handle temperature extremes. Some weekend work. 3 months concrete construction experience required. Number of Hours Per Week: 40 Work Schedule (Start/End time): 7:00 A.M. - 5:30 P.M.</t>
  </si>
  <si>
    <t>H-400-26184-076574</t>
  </si>
  <si>
    <t>H-400-26184-076563</t>
  </si>
  <si>
    <t>S&amp;L Snow Removal</t>
  </si>
  <si>
    <t>pennisllandscape@gmail.com</t>
  </si>
  <si>
    <t>+15864539687</t>
  </si>
  <si>
    <t>Shovel snow, grounds maintenance, such as litter cleanup and winterization of irrigation systems, and other duties as assigned related to facilities and roads maintenance, such as clearing roads and facilities of leaves, snow, or debris. Workers will not drive plow trucks. Workers will use hand tools, such as shovels and snow brooms, as well as powered hand held equipment such as walk behind electric or gas snow blowers. Potential for fall and spring leaf clean-up, dormant pruning, perennial planting, leaf removal and landscape bed mulching. De-icing and removal of snow from walks, driveways and parking lots for various residential and commercial properties, using hand tools such as snow brooms, shovels, and spreading de-icing solutions, including calcium chloride or rock salt by hand. May also use walk behind electric or gas snow blowers, as needed. Job Classification: 37-3011.00 - Landscaping and Groundskeeping Workers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Must be able to perform physical labor outdoors for up to 8 hours per day in all weather conditions, including cold, snow and rain. Some OT and weekends required. Must be able to lift up to 50 lbs. Number of Hours Per Week: 35 Work Schedule (Start/End time): 7:00 A.M. - 5:00 P.M.</t>
  </si>
  <si>
    <t>H-400-26184-076576</t>
  </si>
  <si>
    <t>Soil Concepts, Inc</t>
  </si>
  <si>
    <t>kaylam@soilconcepts.com</t>
  </si>
  <si>
    <t>+13193616371</t>
  </si>
  <si>
    <t>Seed Sprayers</t>
  </si>
  <si>
    <t>Haul seed mixture and hay, move soil, dig holes, fertilize grass and spread seeds. Rake, dig, seed, mow, plant and do other labor intensive jobs essential to the company's operations. Job Classification: 37-3011.00 - Landscaping and Groundskeeping Workers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Must be able to lift and carry 75 lbs 75 yds. Must be able to handle temperature extremes. Some weekend work. Number of Hours Per Week: 40 Work Schedule (Start/End time): 7:00 A.M. - 5:00 P.M.</t>
  </si>
  <si>
    <t>H-400-26184-076581</t>
  </si>
  <si>
    <t>H-400-26184-076577</t>
  </si>
  <si>
    <t>H-400-26184-076570</t>
  </si>
  <si>
    <t>Soto Oysters, LLC</t>
  </si>
  <si>
    <t>sotooysterllc@gmail.com</t>
  </si>
  <si>
    <t>+12142843102</t>
  </si>
  <si>
    <t>Deckhand, Oyster Boat</t>
  </si>
  <si>
    <t>Board vessels daily and sail to designated coastal bays, rivers, and bayous to harvest oysters for human consumption. Deploy dredge nets, traps, and related harvesting equipment into the water to scrape bottom surfaces and scoop up oysters; lift filled nets onto the boat deck at the end of each run and remove harvested oysters. Cull and sort each oyster to ensure it meets the minimum consumer size requirement of 3 inches, returning undersized or otherwise undesirable oysters to the water. Hose down oysters remaining on deck to remove dirt, then weigh, bag, tag, and stack sacks for transport. Unload sacks from the boat onto the dock upon return to port for pick-up by refrigerated trucks and delivery to the processing plant. Maintain a clean and orderly work area on the vessel at the end of each workday. The work will be carried out in multiple locations in Texas, including the addresses 122 Bay Ave, Seadrift, TX 77983 and 732 Broadway Street, Port Lavaca, TX 77979. Job Classification: 45-3031.00 - Fishing and Hunting Workers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Must be able to lift and carry up to 75 pounds. Seafood allergies may be fatal. Hours vary due to weather, mechanical issues and other Acts of God. Weekend work and overtime possible. Willing to work outdoors on oyster boats, exposed to weather; must be capable of doing physically strenuous labor for long hours, occasionally in extreme heat. All applicants must be able, willing, qualified to perform work described and must be available for the entire period specified. Number of Hours Per Week: 40 Work Schedule (Start/End time): 6:00 A.M. - 2:00 P.M.</t>
  </si>
  <si>
    <t>H-400-26184-076551</t>
  </si>
  <si>
    <t>hr@sunvalley.com</t>
  </si>
  <si>
    <t>Mountain Laborer Ii</t>
  </si>
  <si>
    <t>Job duties include assisting with pre-season and post-season snowmaking and maintenance; checking assigned snowcats for mechanical issues before and after operation; completing work orders for any mechanical issues and submitting them to snowcat mechanics; maintaining ski lift ramps; attending department meetings and completing assigned projects; operating and monitoring snow guns remotely via computer from snowmaking headquarters; performing pipe repairs; operating pumps, fans, and compressors manually or remotely; removing snow manually, with snow blowers, or with plows; traveling safely via snowmobile, snowcat, snowboard, or skis; following daily grooming and snowmaking plans to meet production goals; building, maintaining, and grooming terrain parks; performing winching operations; meeting with coworkers before departure to determine grooming routes and techniques (solo or in fleet); transporting mountain freight to designated lodges; and operating snowcats and other equipment on designated ski runs. Must be able to hike and work in extreme cold and inclement weather; move equipment up and down snow- and ice-covered slopes; and assist with pre-season and post-season mountain operations. Employees may be required to collaborate with other mountain departments and assist with additional duties as needed to support resort operations. Job Classification: 49-9099.00 - Installation, Maintenance, and Repair Workers, All Other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2 Special Requirements: Applicant must complete pre-employment background check. Number of Hours Per Week: 40 Work Schedule (Start/End time): 8:00 A.M. - 4:00 P.M.</t>
  </si>
  <si>
    <t>H-400-26184-076535</t>
  </si>
  <si>
    <t>H-400-26184-076548</t>
  </si>
  <si>
    <t>Tenax Enterprises, LLC</t>
  </si>
  <si>
    <t>info@tenaxent.com</t>
  </si>
  <si>
    <t>+12562971741</t>
  </si>
  <si>
    <t>Duties may include: Under supervision of supervisor/crew leaders, read plans and specifications to measure, mark, or record openings or distances to layout areas where construction activities will be performed. Clean or prepare construction sites to eliminate possible hazards. Load, unload, or identify building materials, machinery, or tools, distributing them to their appropriate locations. Salvage useful materials. Dig ditches or trenches, backfill, compact and level earth to grade specifications, using picks, shovels, or rakes. Position components when necessary. Apply caulk compounds and spraying materials to clean, coat, or seal surfaces &amp; other related Construction Laborer activities as per SOC/OES 47-2061 (onetonline.org). Standard/Expected Schedule: Monday-Friday 7:00AM-3:00PM.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Job Classification: 47-2061.00 - Construction Laborers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Must be 18 due to state labor laws. Must show proof of legal authorization to work in the United States. Drug/alcohol/tobacco free work zone. Perform physical activities: such as lift, balance, walk, stoop, handle, position, move, manipulate materials use static strength to exert maximum muscle force to lift, push, pull, carry objects up to 55lbs. All applicants must be able, willing and qualified to perform work described and must be available for the entire period specified and work throughout all areas of intended employment. Work is performed outdoors, exposed to weather; must be capable of doing physically strenuous labor for long hours, occasionally in extreme heat or cold. Variable weather conditions apply; hours may fluctuate (+/-), possible downtime and/or overtime. Number of Hours Per Week: 40 Work Schedule (Start/End time): 7:00 A.M. - 3:00 P.M.</t>
  </si>
  <si>
    <t>H-400-26184-076530</t>
  </si>
  <si>
    <t>Follows all established standard operating procedures for seating members, taking food and beverage orders, and serving food and beverages. Replenish complimentary snacks and desserts for members. Additional duties include clearing, cleaning, and resetting dining and buffet tables (includes linens, silverware, glassware, utensils, and condiments), replenish buffet items, replenish beverages, set up and break down banquet tables, chairs, decorations, displays, and other equipment for special events and private parties. Ensure the dining room and work stations are properly cleaned and restocked at the end of every shift. Set up and break down duties include: places and removes linens on tables and buffet displays; sets up and removes table centerpieces such as floral arrangements, candles, and table décor; sets and removes table place settings: plates, glassware, utensils, napkins; places and removes seat covers over chairs; sets up and breaks down coffee and water dispensers; stocks and removes plates, glassware, and utensils on buffet shelving units (replenishes as needed); places and removes directional signs for events throughout clubhouse; places and removes food cards on banquet displays; and places and removes food items on buffet tables using risers and small decorative boxes to create a multilevel display. Tools/Equipment Used: rolling carts, trays, tray tables, ice bins; and other equipment (depends on event): glass polisher, ice buckets. Anticipated days and hours of work per week and schedule: Work Hours: Minimum of 35 hours per week (meaning no less than). All employees work at least 5 shifts per week. Typical shifts: 7am to 3pm and 3pm to 11 pm. Shift days and times vary depending on the demand or event scheduled. Overtime: As Needed Only. SEE ATTACHED DOCUMENT UPLOAD FOR FULL COPY OF THE JOB OFFER - Note to Certifying Officer: Attached is a full copy of the job offer. If any information on this job offer needs to be added to the ETA-9142, we grant you permission to add the information listed in this attachment. Job Classification: 35-3031.00 - Waiters and Waitresses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Must be 18 years of age. Must pass pre-employment drug test (in accordance with companys Drug Free Workplace Policy). Ibis drug screens all applicants, including domestic and H-2B visa employees. This includes seasonal and full-time annual positions and is applied to all applicants regardless of their national origin, race, or gender. Must be available to work all shifts, including weekends, evenings, and holidays. Must present a professional demeanor and appearance. Number of Hours Per Week: 56 Work Schedule (Start/End time): 7:00 A.M. - 3:00 P.M.</t>
  </si>
  <si>
    <t>H-400-26184-076532</t>
  </si>
  <si>
    <t>Create beverage recipes, mix, and serve beverages (alcoholic and non-alcoholic) to members. Follows all established standard operating procedures for taking and serving food and beverage orders. Additional duties include clearing, cleaning, and resetting dining tables (includes linens, silverware, glassware, utensils, and condiments), set up and break down portable bars and banquet tables, chairs, decorations, displays, and other equipment for special events and private parties. Ensure the bar area and bar equipment is properly cleaned and sufficiently restocked with glasses, alcohol, mixers, etc. at the end of every shift. Set up and break down duties include: stocks and breaks down rolling portable bars with ice, wine openers, mixers, shakers, liquor/wine, glassware; sets and removes garnishments, straws, napkins, and stirrers for service; sets up and removes portable POS system/tablets, if applicable; takes used glassware and shakers to the dishwasher area post event; and clears, cleans, and sanitizes the portable bar surfaces after service is complete. Tools/Equipment Used: Rolling carts, ice bins/containers, tray tables; and other equipment used (depends on event): blenders, wine decanters, lemon/lime cutter, glass polisher, ice buckets. Anticipated days and hours of work per week and schedule:Minimum of 35 hours per week (meaning no less than). All employees work at least 5 shifts per week. Typical shifts: 7am to 3pm and 3pm to 11 pm. Shift days and times vary depending on the demand or event scheduled. Overtime: As Needed Only. SEE ATTACHED DOCUMENT UPLOAD FOR FULL COPY OF THE JOB OFFER - Note to Certifying Officer: Attached is a full copy of the job offer. If any information on this job offer needs to be added to the ETA-9142, we grant you permission to add the information listed in this attachment. Job Classification: 35-3011.00 - Bartenders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Must be 18 years of age. Must pass pre-employment drug test (in accordance with companys Drug Free Workplace Policy). Ibis drug screens all applicants, including domestic and H-2B visa employees. This includes seasonal and full-time annual positions and is applied to all applicants regardless of their national origin, race, or gender. Must be available to work all shifts, including weekends, evenings, and holidays. Must present a professional demeanor and appearance. Number of Hours Per Week: 56 Work Schedule (Start/End time): 7:00 A.M. - 3:00 P.M.</t>
  </si>
  <si>
    <t>H-400-26184-076541</t>
  </si>
  <si>
    <t>Valley View Forestry, LLC</t>
  </si>
  <si>
    <t>valleyviewforestry@outlook.com</t>
  </si>
  <si>
    <t>+15418212551</t>
  </si>
  <si>
    <t>Duties may include: Preparing/sorting/transporting seedlings; plant: seedlings/trees. Trim trees or other vegetation; cut trees or logs to reduce competing vegetation. UNDER THE DIRECTION OF FORESTRY TECHNICIANS: assist withclearing/disposing of brush, piling, and digging line/constructing fuel breaks. Incidental driving possible &amp; other related Forestry Worker activities as per SOC/OES 45-4011 (onetonline.org). Standard/Expected Schedule: Monday-Friday 6:00AM-3:00PM.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Optional, shared housing available at no cost to the worker. Job Classification: 25-4011.00 - Archivists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 MUST HAVE 3 MONTHS BRUSHSAW/CHAINSAW EXPERIENCE. *** Must be 18 due to travel. Must show proof of legal authorization to work in the United States. Drug/alcohol/tobacco free work zone. Must walk substantially (up to 15 miles/day), also stoop, bend while carrying a pack (up to 50lbs) thru rough terrain (non-trail). All applicants must be able, willing and qualified to perform work described and must be available for the entire period specified and work throughout all areas of intended employment.Based on Employer's discretion/cost: Worker may have random drug/alcohol testing during employment: positive test/refusal to abide = dismissal. Work is performed outdoors, exposed to weather; must be capable of doing physically strenuous labor for long hours, occasionally in extreme heat or cold. Variable weather conditions apply; hours may fluctuate (+/-), possible downtime and/or overtime. NOT ALL WORKERS ARE REQUIRED TO DRIVE: Workers who elect to perform incidental driving duties and transport other workers as needed will be required to comply with all applicable legal requirements to operate the employer provided registered vehicle, including obtaining a valid U.S. driver's license and any required Farm Labor Contractor Employee (FLCE) authorization or registration, if applicable Number of Hours Per Week: 40 Work Schedule (Start/End time): 6:00 A.M. - 3:00 P.M.</t>
  </si>
  <si>
    <t>H-400-26184-076583</t>
  </si>
  <si>
    <t>Villalobos Snow Removal LLC</t>
  </si>
  <si>
    <t>cvillalobos1127@gmail.com</t>
  </si>
  <si>
    <t>+17402071127</t>
  </si>
  <si>
    <t>Shovel snow. De-icing and removal of snow from walks, driveways and parking lots for various residential and commercial properties, using hand tools such as snow brooms, shovels, and spreading de-icing solutions, including calcium chloride or rock salt by hand. Grounds maintenance, such as litter cleanup, and other duties as assigned related to facilities maintenance, such as clearing facilities of leaves, snow, or debris using hand tools or power equipment including but not limited to rakes, shovels, and snow/leaf blowers. Irrigation system winterization and activation. Potential for fall and spring clean-up, including raking, mulching, and composting of leaves, removal of dead plant material, perennial plant cutbacks, landscape bed mulching, and pruning from the ground. Collecting pine needles by hand for garland. Mowing, as needed. May also use walk behind electric or gas snow blowers, as needed. May drive crew vehicle to job sites, as needed. Will not drive plow truck. Job Classification: 37-3011.00 - Landscaping and Groundskeeping Workers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Must possess or be able to obtain valid non-commercial US driver's license. Must be 18 years or older. Must show proof of legal authorization to work in the United States. Perform physical activities: such as lift, balance, walk, stoop, handle, position, move, manipulate materials use static strength to exert maximum muscle force to lift, push, pull, carry objects up to 50lbs. All applicants must be able, willing, qualified to perform work described and must be available for the entire period specified. Outdoors, exposed to weather; must be capable of doing physically strenuous labor for long hours, occasionally in extreme heat or cold. Variable weather conditions apply; hours may fluctuate (+/-), possible downtime and/or OT. Must possess or be able to obtain valid non-commercial US driver's license. Number of Hours Per Week: 35 Work Schedule (Start/End time): 8:00 A.M. - 4:30 P.M.</t>
  </si>
  <si>
    <t>H-400-26184-076625</t>
  </si>
  <si>
    <t>Perform general construction site labor and cleanup Load, unload, and transport construction materials, tools, and equipment Assist skilled trades workers as directed Dig trenches, backfill excavations, and prepare construction sites Operate basic hand and power tools Clean and prepare work areas Remove debris, trash, and hazardous materials from job sites Assist with demolition and material removal Erect and dismantle temporary structures, scaffolding, and barricades Mix, pour, and spread construction materials such as concrete or asphalt as directed Assist with framing, roofing, siding, drywall, or other general labor tasks Follow OSHA safety regulations and company safety procedures Perform physically demanding work in outdoor environments and varying weather conditions Job Classification: 47-2061.00 - Construction Laborers The job/industry classification and description includes general information on the position from ONET/OES and the North American Industry Classification System. Please review Job Duties and Job Order for more information. Job Requirements Experience Required: No Number of Hours Per Week: 40 Work Schedule (Start/End time): 7:00 A.M. - 3:30 P.M.</t>
  </si>
  <si>
    <t>H-400-26184-076590</t>
  </si>
  <si>
    <t>Wreath Maker</t>
  </si>
  <si>
    <t>Duties may include: Manually arrange precut natural pine branches and foliage to create holiday memorial wreaths. Trim materials using handheld trimmers, shapers, and clippers. Utilize holiday decor such as ribbons, bows, and ornaments to develop new creations &amp; other related Wreath Maker activities as per SOC/OES 27-1023 (onetonline.org). Standard/Expected Schedule: Monday-Friday 8:00AM-4:30PM.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Optional, shared housing available at no cost to the worker. Job Classification: 27-1023.00 - Floral Designers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Must be 18 due to insurance. Must show proof of legal authorization to work in the United States. Drug/alcohol/tobacco free work zone. All applicants must be able, willing and qualified to perform work described and must be available for the entire period specified and work throughout all areas of intended employment. Hours may fluctuate based on tourism peaks and valleys throughout the season (+/-), possible downtime and/or overtime. Number of Hours Per Week: 40 Work Schedule (Start/End time): 8:00 A.M. - 4:30 P.M.</t>
  </si>
  <si>
    <t>H-400-26184-076602</t>
  </si>
  <si>
    <t>Duties may include: From ground level, use hand clippers or shears to prune pine branches into 6–10-inch lengths suitable for Holiday Memorial wreath creation. Gather and place all pruned material into storage bins by hand &amp; other related Nursery Worker activities as per SOC/OES 45-2092 (onetonline.org). Standard/Expected Schedule: Monday-Friday 8:00AM-4:30PM.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Optional, shared housing available at no cost to the worker. Job Classification: 45-2092.00 - Farmworkers and Laborers, Crop, Nursery, and Greenhouse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Must be 18 due to insurance. Must show proof of legal authorization to work in the United States. Drug/alcohol/tobacco free work zone. Perform physical activities: such as lift, balance, walk, stoop, handle, position, move, manipulate materials use static strength to exert maximum muscle force to lift, push, pull, carry objects up to 50lbs. All applicants must be able, willing and qualified to perform work described and must be available for the entire period specified and work throughout all areas of intended employment. Work is performed outdoors, exposed to weather; must be capable of doing physically strenuous labor for long hours, occasionally in extreme heat or cold. Variable weather conditions apply; hours may fluctuate (+/-), possible downtime and/or overtime. Number of Hours Per Week: 40 Work Schedule (Start/End time): 8:00 A.M. - 4:30 P.M.</t>
  </si>
  <si>
    <t>H-400-26184-076591</t>
  </si>
  <si>
    <t>Berns Tree Services LLC</t>
  </si>
  <si>
    <t>bernstreehiring@gmail.com</t>
  </si>
  <si>
    <t>+15863505993</t>
  </si>
  <si>
    <t>Shovel snow, grounds maintenance, such as litter cleanup and winterization of irrigation systems, and other duties as assigned related to facilities maintenance, such as clearing facilities of sticks, leaves, snow, or related debris. Potential for fall and spring clean-up, including raking, mulching, and composting of leaves, removal of dead plant material, mowing, perennial plant cutbacks, landscape bed mulching, and dormant pruning from the ground level. De-icing and removal of snow from walks, driveways and parking lots for various residential and commercial properties, using hand tools such as snow brooms, shovels, and spreading de-icing solutions, including calcium chloride or rock salt by hand. May also use walk behind electric or gas snow blowers, as needed. Will not drive snow plow. May drive crew vehicle. No driver’s license is required as a condition of employment for the position. If the prospective worker already possesses a standard, noncommercial driver’s license they may be asked to drive a vehicle to job sites, as needed. Job Classification: 37-3011.00 - Landscaping and Groundskeeping Workers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Must lift/carry 50 lbs., when necessary. Saturday and Sunday work required, when necessary. Work hours may include nights and overtime during emergencies and winter storm conditions. Must be able to perform manual, physical labor outside during all weather conditions (hot, cold, rain, snow, etc). Must be 18 years old. Post-hire post-accident drug testing required of foreign and domestic workers at no cost to workers. Number of Hours Per Week: 35 Work Schedule (Start/End time): 7:30 A.M. - 5:30 P.M.</t>
  </si>
  <si>
    <t>H-400-26184-076626</t>
  </si>
  <si>
    <t>Big Easy Foods of Louisiana, LLC</t>
  </si>
  <si>
    <t>kracca@bigeasyfoods.com</t>
  </si>
  <si>
    <t>+13374779296</t>
  </si>
  <si>
    <t>Crawfish Processor</t>
  </si>
  <si>
    <t>Job duties may include prepare machinery for new season (machinery becomes dormant outside of season); prepare service areas and equipment; clean and prepare work areas where equipment housed; clean, sanitize, and organize the packing areas, weighing stations, and wash equipment; peeling crawfish; cleaning, trimming section of crawfish for future processing, removing parts, inspecting product for defects; weigh product, prepare for sale or consumption; mark product; sort, inspect; cleanup of worksite. Workers may assist with cleaning conveyor belts and equipment surfaces using water hoses and basic cleaning tools while equipment is shut down. All duties are routine, repetitive, and performed under the direction of a supervisor. Workers will not operate production machinery. Production equipment is operated only by designated supervisors or trained personnel. Workers will not start, control, adjust, repair, maintain, or otherwise operate processing machinery. Job Classification: 51-3022.00 - Meat, Poultry, and Fish Cutters and Trimmers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1 Special Requirements: Random drug screening upon hire (paid for by employer). Number of Hours Per Week: 40 Work Schedule (Start/End time): 7:30 A.M. - 4:30 P.M.</t>
  </si>
  <si>
    <t>H-400-26184-076611</t>
  </si>
  <si>
    <t>Black Prong Equestrian Village LLC</t>
  </si>
  <si>
    <t>claudia@biglick.com</t>
  </si>
  <si>
    <t>+13524861234</t>
  </si>
  <si>
    <t>Guest Activities Coordinator</t>
  </si>
  <si>
    <t>Lead and assist with organized recreational activities and guided outdoor tours for guests, including e-bike, bicycle or similar outdoor excursions along established routes. Manage group pacing and guest well-being; respond calmly to changing conditions. Provide safety orientations and monitor proper use of activity equipment. Interact with guests in a friendly and professional manner and promote participation in scheduled activities. Coordinate daily activity schedules with guest services staff. Set up, maintain, and clean activity areas and wellness spaces. Monitor activity areas for safety and report maintenance or safety concerns to management. Demonstrate activity procedures and provide task-based guidance to seasonal staff during activities. Perform daily and weekly e-bike readiness checks (battery management, tire/brake checks, cleaning, inventory) and report maintenance needs. Assist with equipment inventory, storage, and end-of-season wrap-up. Share operational observations and improvement suggestions with the General Manager; assist in documenting SOPs and quick-reference guides as requested. Provide task-based guidance and customer experience training to seasonal and part-time activity staff by demonstrating proper procedures for tours, safety, and guest interaction. Support onboarding with simple checklists, shift routines, and 'how we do it here' service standards. No managerial oversight or authority over hiring, firing, pay, discipline, or policy decisions. Job Classification: 39-7011.00 - Tour Guides and Escorts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12 Special Requirements: Outdoor and indoor recreational settings; frequent standing, walking, bending, and lifting of equipment. Work performed in varying weather conditions. Must be able to lift, pull, push or carry up to 50 lbs or more, and walk or stand for long periods of time. Ability to reach above your head, stoop, kneel, crouch, or crawl. Must be comfortable operating and demonstrating safe e-bike handling. Must be available to work evenings, weekends, &amp; holidays as needed. Overtime possible. Number of Hours Per Week: 40 Work Schedule (Start/End time): 8:00 A.M. - 5:00 P.M.</t>
  </si>
  <si>
    <t>H-400-26184-076615</t>
  </si>
  <si>
    <t>Boyd's Seafood, Inc.</t>
  </si>
  <si>
    <t>leanna@boydsonestop.com</t>
  </si>
  <si>
    <t>+14099454001</t>
  </si>
  <si>
    <t>Seafood Driver</t>
  </si>
  <si>
    <t>Drive company vehicles, including transit vans, GMC Express vans, and regular pickup trucks with insulated boxes attached to the truck bed, to deliver crawfish, seafood, and related products to customers. All vehicles operated are under 26,000 pounds GVW. Maintain accurate records including sales and delivery invoices. Job Classification: 53-3031.00 - Driver/Sales Workers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6 Special Requirements: Must possess a valid non-commercial U.S. drivers license or eligibility to obtain non-commercial driver's license in the U.S. within 15 days. Must possess a valid non-commercial U.S. drivers license or eligibility to obtain non-commercial driver's license in the U.S. within 15 days. Must be able to lift/carry up to fifty (50) pounds. Drug testing required of foreign and domestic workers post-hire random, upon suspicion, and post-accident at no cost to workers. Drug test failure will result in a termination for cause. This is a drug free workplace. Hours can include overtime. All applicants must be able, willing, qualified to perform work described and must be available for the entire period specified. Number of Hours Per Week: 35 Work Schedule (Start/End time): 1:00 A.M. - 12:00 P.M.</t>
  </si>
  <si>
    <t>H-400-26184-076633</t>
  </si>
  <si>
    <t>13/07/2027</t>
  </si>
  <si>
    <t>Seafood Processors</t>
  </si>
  <si>
    <t>De-heading shrimp; de-veining shrimp; clean crabs — extract shell off of crab to clean; washing seafood; weighing and tagging of crawfish; washing, grading, and sorting crawfish; preparing seafood for processing; removing inedible parts of seafood; clean/remove waste from edible portion of seafood; pick/remove trash/foreign matter from seafood; prepare seafood for sale or consumption; weigh product; place seafood in appropriate containers after processing for sale and/or consumption; mark/label product; examine product to meet specifications; cut bait; daily cleanup and sanitization of worksite and equipment. Job Classification: 45-2041.00 - Graders and Sorters, Agricultural Products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Must be able to lift/carry up to fifty (50) pounds. Drug testing required of foreign and domestic workers post-hire random, upon suspicion, and post-accident at no cost to workers. Drug test failure will result in a termination for cause. This is a drug free workplace. Hours can include overtime. All applicants must be able, willing, qualified to perform work described and must be available for the entire period specified. Number of Hours Per Week: 35 Work Schedule (Start/End time): 5:00 P.M. - 7:00 A.M.</t>
  </si>
  <si>
    <t>H-400-26184-076634</t>
  </si>
  <si>
    <t>Seafood Plant Laborer</t>
  </si>
  <si>
    <t>***RFI response*** The move crawfish function refers to the manual transfer of crawfish between workstations within the facility as the product moves through the receiving, washing, grading/sorting, weighing, icing, and storage phases of processing. The worker manually lifts and carries mesh sacks, plastic baskets, and totes of crawfish by hand from one station to the next. Movement between stations is accomplished on foot, either by carrying the product directly or by stacking sacks/totes onto a hand truck or pushcart and manually pushing it across the plant floor. The function of loading and unloading trucks refers to the manual receipt of incoming raw crawfish/seafood deliveries and the manual loading of finished, packaged product onto outbound trucks. When unloading, the worker manually removes sacks, baskets, totes, and boxes from the delivery vehicle by hand and transfers them to the receiving or wash area, either by carrying them directly or by hand truck/cart. When loading, the worker manually stacks packaged sacks, boxes, and palletized product onto the truck bed by hand. All lifting, carrying, stacking, and securing is performed manually; the worker does not operate forklifts or any powered material-handling equipment. Tools, equipment, and materials used: two-wheel hand trucks (dollies), four-wheel manual push/platform carts, manual (non-powered, hand-pumped) pallet jacks, pallets, plastic scoops and shovels, mesh sacks, plastic baskets/totes/bins, boxes, and waterproof gloves. The cleanup and maintenance referenced consists of routine sanitation and basic, non-skilled upkeep incidental to the worker's primary material-handling duties, performed at the close of each shift and throughout the workday as needed. Cleanup tasks include hosing, rinsing, scrubbing, and sanitizing work surfaces, stainless steel tables, and the tubs, bins, baskets, and tanks used to hold and wash crabs, shrimp, or crawfish; clearing shells, debris, and organic waste from work stations and floors; sweeping and mopping floors and flushing floor drains; and emptying and relining waste containers and disposing of processing waste in designated receptacles. Maintenance tasks are limited to wiping down and clearing work area of residue and debris, verifying that wash tanks, baskets, hoses, and containers are clean and unobstructed, restocking ice and cleaning supplies at workstations, and reporting any equipment malfunction to a supervisor for servicing; the worker will not perform mechanical repair or servicing of any equipment. To perform these tasks, the worker uses standard cleaning tools and supplies, including water hoses and spray nozzles, brushes, shovels, brooms, mops, squeegees, buckets, food-grade detergents and sanitizing solutions, scrapers and shovels for ice and debris, waste containers, and personal protective equipment such as waterproof gloves, aprons, and boots ***Original*** Job duties may include: de-heading shrimp; de-veining shrimp; clean crabs--extract shell off of crab to clean; washing seafood; pick/remove trash/foreign matter; examine product to meet specifications; move crawfish; weighing and tagging of crawfish; palletize crawfish; washing, grading, and sorting crawfish; loading and unloading trucks; put seafood into sacks; ice/freeze crawfish/seafood; daily cleanup and maintenance of worksite and equipment. Job Classification: 53-7062.00 - Laborers and Freight, Stock, and Material Movers, Hand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Must be able to lift/carry up to fifty (50) pounds. Drug testing required of foreign and domestic workers post-hire random, upon suspicion, and post-accident at no cost to workers. Drug test failure will result in a termination for cause. This is a drug free workplace. Hours can include overtime. All applicants must be able, willing, qualified to perform work described and must be available for the entire period specified. Number of Hours Per Week: 35 Work Schedule (Start/End time): 5:00 P.M. - 7:00 A.M.</t>
  </si>
  <si>
    <t>H-400-26184-076610</t>
  </si>
  <si>
    <t>Colorado Outdoor Creations LTD</t>
  </si>
  <si>
    <t>hello@cohardscape.com</t>
  </si>
  <si>
    <t>+13038488112</t>
  </si>
  <si>
    <t>Helpers--stonemasons and Tile Setters</t>
  </si>
  <si>
    <t>Remove snow from sidewalks, driveways, or parking areas, using snowplows, snow blowers, or snow shovels, or spread snow-melting chemicals. Shovel snow. Ice remediation using sand and magnesium chloride. Operate snow blowers. Remove accumulated deposits of snow on an ongoing basis in extreme weather conditions on various commercial properties using walk behind electric or gas snow blowers and standard commercial snow shovels. Will not drive snow plow truck. Loading and unloading of materials and equipment. May drive crew vehicle. No driver’s license is required as a condition of employment for the position. If the prospective worker already possesses a standard, noncommercial driver’s license they may be asked to drive a vehicle to job sites, as needed. Workers may also assist with indoor work when weather does not allow for snow work, including the following duties: Prepares interior surfaces and mortar to lay brick, block and/or stone. lay brick, block and/or stone and ensures proper tools and equipment needed. Maintains a clean interior job site and workspace by cleaning all tools, equipment, and materials. Cut building materials, such as travertine, ceramic tile, glass tile, stones, or other substances. Prepare worksite and materials using tools such as a wet saw, trowels, and transit levels. Clean interior work areas and equipment to maintain a clean and dust free interior environment. Job Classification: 47-2021.00 - Brickmasons and Blockmasons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Must be age 18 or older. Must be able to lift and carry 50 lbs. Saturday and Sunday work required, when necessary. Work hours may include nights and overtime during emergencies and winter storm conditions. Must be able to perform manual physical labor outside during all weather conditions. Employer-paid drug testing required of foreign and domestic workers post-hire at random, upon suspicion of use, and post-accident. Number of Hours Per Week: 35 Work Schedule (Start/End time): 7:30 A.M. - 4:30 P.M.</t>
  </si>
  <si>
    <t>H-400-26184-076587</t>
  </si>
  <si>
    <t>Position offered is for an experienced holiday lighting laborer with a minimum of three months experience in holiday lighting labor, which consists of organizing and preparing stock of holiday decor material, installing and/or removing materials from job sites, and loading and unloading materials and preparing for storage. Ability to load and unload materials and equipment that can weigh up to 50 pounds is required. The physical demand described here are representative of those that must be met by an employer to successfully perform the essential functions of this job. Job Classification: 49-9099.00 - Installation, Maintenance, and Repair Workers, All Other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3 months previous experience. Lifting up to 50 pounds. Overtime as needed. Shifts are from 8am -5pm and 9pm to 6am, Sunday-Saturday. Shifts will be assigned based on project demands. We want to clarify the information on item F.a.5. During the workweek, which runs from Sunday through Saturday, employees are scheduled to work a 40 hour week. F.a.5. does not allow us to enter such a work schedule. If we enter 8 hours each day, it would show 56 hours a week, which is not an accurate reflection of their work schedule. Number of Hours Per Week: 40 Work Schedule (Start/End time): 8:00 A.M. - 5:00 P.M.</t>
  </si>
  <si>
    <t>H-400-26184-076605</t>
  </si>
  <si>
    <t>H-400-26184-076627</t>
  </si>
  <si>
    <t>Foreman</t>
  </si>
  <si>
    <t>Utilizes checklist for projects to ensure materials are available and ready to load onto trucks for projects; ensures proper materials, tools, products, etc. assigned to specific projects are delivered on time; drives materials to job sites; ensures materials are returned, unloaded, and stored properly in the warehouse. Requires quick learning, with the ability to handle multiple tasks simultaneously, maintain focus, and adapt to a variety of challenges; ability to conduct detailed procedures in a time constrained environment; good written and verbal communication skills; a strong sense of time organization and urgency; and the ability to work independently and within a team. Job Classification: 53-1042.00 - First-Line Supervisors of Helpers, Laborers, and Material Movers, Hand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12 Special Requirements: Requires a valid driver's license, 12 months previous experience, lifting up to 50 lbs, Overtime as needed. Basic proficiency with MS Office Word, Excel, PowerPoint or Google Docs, Sheets, and Slides. Knowledge and experience operating a variety of tools, including ladders and some machinery. Must be able to lift and/or move objects up to 10 pounds, frequently lift and/or move objects up to 50 pounds, and occasionally lift and/or move objects that weigh more than 100 pounds. Shifts are from 8am - 5pmand 9pm- 6am, Sunday - Saturday. Shifts will be assigned based on project demands. We want to clarify the information on item F.a.5. During the workweek, which runs from Sunday through Saturday, employees are scheduled to work a 40 hour week. F.a.5. does not allow us to enter such a work schedule. If we enter 8 hours each day, it would show 56 hours a week, which is not an accurate reflection of their work schedule. Number of Hours Per Week: 40 Work Schedule (Start/End time): 8:00 A.M. - 5:00 P.M.</t>
  </si>
  <si>
    <t>H-400-26184-076613</t>
  </si>
  <si>
    <t>H-400-26184-076622</t>
  </si>
  <si>
    <t>H-400-26184-076608</t>
  </si>
  <si>
    <t>Divine Package LLC</t>
  </si>
  <si>
    <t>divprecruitingdivp@gmail.com</t>
  </si>
  <si>
    <t>+16083208259</t>
  </si>
  <si>
    <t>Delivery Associate</t>
  </si>
  <si>
    <t>Load vans and deliver packages to residences and businesses. Practice safe driving standards. Interact with customers. Keep delivery vehicle clean, fueled and in good operating condition. Complete van inspections at start and end of shift. Move boxes up to 70 lbs. Use handheld technology to deliver packages and manage progress. HOURS CAN INCLUDE OVERTIME DURING PEAK SEASON. Must be able to keep delivery vehicle clean, fueled, and in good operating condition at all times. Must be able to easily get in and out of the van and complete beginning and end of shift van inspection. Job Classification: 53-3033.00 - Light Truck Drivers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Must possess a valid noncommercial U.S. drivers license or eligibility to obtain noncommercial driver's license in the U.S. within 15 days. MUST BE 21+. Must lift/carry up to 70 lbs., when necessary. Must possess a valid noncommercial U.S. drivers license or eligibility to obtain noncommercial driver's license in the U.S. (CDL NOT REQUIRED) within 15 days. Saturday and Sunday work required, when necessary. Pre-employment background check and driving record check may be required of foreign and domestic workers, at no cost to the worker. Drug testing required of foreign and domestic workers prior to commencing work and post-hire post-accident at no cost to workers. HOURS CAN INCLUDE OVERTIME DURING PEAK SEASON. Number of Hours Per Week: 35 Work Schedule (Start/End time): 10:00 A.M. - 8:30 P.M.</t>
  </si>
  <si>
    <t>H-400-26184-076623</t>
  </si>
  <si>
    <t>Eric G. Plyler Inc</t>
  </si>
  <si>
    <t>judith.mills@pnexpressllc.com</t>
  </si>
  <si>
    <t>+18433357508</t>
  </si>
  <si>
    <t>Helpers -- Maintenance, and Repair Workers</t>
  </si>
  <si>
    <t>Duties may include: Workers in this position assist experienced mechanics and maintenance personnel with the servicing and upkeep of van trailers and related equipment. Duties include changing tires, checking and repairing trailer lights, and performing routine equipment service. Workers are also responsible for fueling equipment, moving equipment to the next jobsite as directed, and keeping the shop clean and organized. This is a helper role performed under the supervision of skilled mechanics &amp; other related Helpers -- Maintenance, and Repair Workers activities as per SOC/OES 49-9098 (onetonline.org). Standard/Expected Schedule: Monday-Friday 8:00AM-5:00PM.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Job Classification: 49-9098.00 - Helpers--Installation, Maintenance, and Repair Workers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Must be 18 due to equipment use. Must show proof of legal authorization to work in the United States. Drug/alcohol/tobacco free work zone. Perform physical activities: such as lift, balance, walk, stoop, handle, position, move, manipulate materials use static strength to exert maximum muscle force to lift, push, pull, carry objects up to 50lbs. All applicants must be able, willing and qualified to perform work described and must be available for the entire period specified and work throughout all areas of intended employment. Work is performed outdoors, exposed to weather; must be capable of doing physically strenuous labor for long hours, occasionally in extreme heat or cold. Variable weather conditions apply; hours may fluctuate (+/-), possible downtime and/or overtime. Number of Hours Per Week: 40 Work Schedule (Start/End time): 8:00 A.M. - 5:00 P.M.</t>
  </si>
  <si>
    <t>H-400-26184-076624</t>
  </si>
  <si>
    <t>Duties may include: Under supervision, perform manual labor to gather and bale pine straw using hand tools such as rakes, pitchforks, brush cutters, and shovels. Bale pine straw, tie bales, load and unload. Rake pine straw and feed through machines in order to produce large round bales. The type of property on which the worker will perform the tasks consists primarily of privately owned land tracts utilized for the collection of pine straw. The pine straw collected will be used as mulch and ground cover for landscaping purposes. As a minor activity, perform routine maintenance and minor repairs to hand tools/equipment by cleaning, inspecting and caring for tools along with notifying supervisor/foreman of status or before failure &amp; other related Groundskeeper/Laborer activities as per SOC/OES 37-3011 (onetonline.org). Standard/Expected Schedule: Monday-Friday 8:00AM-5:00PM.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Piece rate may apply: possible piece rate dependent upon work completed - $1.00 per bale baled, $0.20 per bale loaded (worker will never make less than Prevailing Wage or Federal/state/local minimum wage). Job Classification: 37-3011.00 - Landscaping and Groundskeeping Workers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Must be 18 due to equipment use. Must show proof of legal authorization to work in the United States. Drug/alcohol/tobacco free work zone. Perform physical activities: such as lift, balance, walk, stoop, handle, position, move, manipulate materials use static strength to exert maximum muscle force to lift, push, pull, carry objects up to 50lbs. All applicants must be able, willing and qualified to perform work described and must be available for the entire period specified and work throughout all areas of intended employment. Work is performed outdoors, exposed to weather; must be capable of doing physically strenuous labor for long hours, occasionally in extreme heat or cold. Variable weather conditions apply; hours may fluctuate (+/-), possible downtime and/or overtime. Number of Hours Per Week: 40 Work Schedule (Start/End time): 8:00 A.M. - 5:00 P.M.</t>
  </si>
  <si>
    <t>H-400-26184-076601</t>
  </si>
  <si>
    <t>GW Group</t>
  </si>
  <si>
    <t>5starwooster@gmail.com</t>
  </si>
  <si>
    <t>+13303910382</t>
  </si>
  <si>
    <t>Duties may include: Care for established lawns by mowing, mulching, aerating, weeding, watering, raking, blowing leaves, removing thatch, trimming or edging around flower beds, walks, or walls. Prune or trim trees &amp; shrubs from the ground. Lay sod, prepare &amp; dig holes for new plants, haul top soil or other landscape materials. Shovel snow from; walkways, sidewalks, driveways, and spread salt or sand in those areas – using a hand-held snow-shovel, broom, rake, or manual spreader as needed. Clean up grounds, remove litter &amp; other related Landscape Laborer activities as per SOC/OES 37-3011 (onetonline.org). Standard/Expected Schedule: Monday-Friday 7:00AM-4:00PM.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Job Classification: 37-3011.00 - Landscaping and Groundskeeping Workers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Must be 18 due to insurance. Must show proof of legal authorization to work in the United States. Drug/alcohol/tobacco free work zone. Perform physical activities: such as lift, balance, walk, stoop, handle, position, move, manipulate materials use static strength to exert maximum muscle force to lift, push, pull, carry objects up to 50lbs. All applicants must be able, willing and qualified to perform work described and must be available for the entire period specified and work throughout all areas of intended employment. Work is performed outdoors, exposed to weather; must be capable of doing physically strenuous labor for long hours, occasionally in extreme heat or cold. Variable weather conditions apply; hours may fluctuate (+/-), possible downtime and/or overtime. Number of Hours Per Week: 40 Work Schedule (Start/End time): 7:00 A.M. - 4:00 P.M.</t>
  </si>
  <si>
    <t>H-400-26184-076641</t>
  </si>
  <si>
    <t>Golden Oyster Harvesters LLC</t>
  </si>
  <si>
    <t>Steven McKay</t>
  </si>
  <si>
    <t>goldenorster2005@gmail.com</t>
  </si>
  <si>
    <t>+18323227827</t>
  </si>
  <si>
    <t>Oyster Farm Worker</t>
  </si>
  <si>
    <t>Perform heavy manual labor on an oyster farm, including cleaning, sorting oysters by size and quality, and packing them for shipment. Work in wet and varying weather conditions while standing for long periods. Duties include cleaning (using hoses with fresh water, pressure washers, brooms, and brushes to clean salt water off of baskets and buckets, and to clean the boat's floors and walls; touching up paint with brushes and epoxy with fiberglass) and repairing equipment (wiring up damaged baskets, sharpening knives, replacing worn gloves and possibly performing other simple tasks using hand tools), tracking inventory, recording daily harvest quantities and assisting with loading and transport (using hoists with rope and pulleys, hand carts, pallet jacks, and lift gates on trucks to move cargo between the boat and trucks on the dock). Job Classification: 45-2093.00 - Farmworkers, Farm, Ranch, and Aquacultural Animals The job/industry classification and description includes general information on the position from ONET/OES and the North American Industry Classification System. Please review Job Duties and Job Order for more information. Job Requirements Experience Required: No Number of Hours Per Week: 40 Work Schedule (Start/End time): 7:00 A.M. - 5:00 P.M.</t>
  </si>
  <si>
    <t>H-400-26184-076606</t>
  </si>
  <si>
    <t>Green Tech St Louis Snow Removal LLC</t>
  </si>
  <si>
    <t>bjacobsen@greentechlc.com</t>
  </si>
  <si>
    <t>+13142004459</t>
  </si>
  <si>
    <t>Grounds Keepers/snow Removal</t>
  </si>
  <si>
    <t>Duties may include: Under direct supervision, perform groundskeeping / care for established residential or commercial properties by: mowing, mulching, aerating, weeding, watering, raking, blowing leaves, removing thatch, trimming or edging around flower beds, walks, or walls. Prune or trim trees &amp; shrubs. Lay sod, dig holes for new plants, haul top soil or other landscape materials. Shovel snow from walks, driveways, or parking lots, and spread salt in those areas. Clean up grounds, remove litter &amp; other related Landscape Laborer activities as per SOC/OES 37-3011 (onetonline.org). Standard/Expected Schedule: Monday-Friday 7:00AM-3:00PM. Offering 35+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Job Classification: 37-3011.00 - Landscaping and Groundskeeping Workers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Must be 18 due to insurance. Must show proof of legal authorization to work in the United States. Drug/alcohol/tobacco free work zone. Perform physical activities: such as lift, balance, walk, stoop, handle, position, move, manipulate materials use static strength to exert maximum muscle force to lift, push, pull, carry objects up to 40lbs. All applicants must be able, willing and qualified to perform work described and must be available for the entire period specified and work throughout all areas of intended employment. Possible background check post hire at employer's expense.Work is performed outdoors, exposed to weather; must be capable of doing physically strenuous labor for long hours, occasionally in extreme heat or cold. Variable weather conditions apply; hours may fluctuate (+/-), possible downtime and/or overtime. Number of Hours Per Week: 35 Work Schedule (Start/End time): 7:00 A.M. - 3:00 P.M.</t>
  </si>
  <si>
    <t>H-400-26184-076630</t>
  </si>
  <si>
    <t xml:space="preserve">Gulf Coast Crawfishing Supply, LLC </t>
  </si>
  <si>
    <t>Morgan Leon</t>
  </si>
  <si>
    <t>gulfcoastwire@aol.com</t>
  </si>
  <si>
    <t>+13376438014</t>
  </si>
  <si>
    <t>Wire Trap Maker</t>
  </si>
  <si>
    <t>Job duties include making and preparing crawfish and crab traps. Duties include: folding, clamping the vinyl coated wire to form crawfish and crab traps; attaching plastic rings to wire, forming, shaping the trap, loading and unloading traps and wire; cleaning of worksite. Job Classification: 51-2099.00 - Assemblers and Fabricators, All Other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1 Special Requirements: Random drug screening upon hire (paid for by employer). Number of Hours Per Week: 40 Work Schedule (Start/End time): 8:00 A.M. - 4:00 P.M.</t>
  </si>
  <si>
    <t>H-400-26184-076644</t>
  </si>
  <si>
    <t>Hardscapes Plant Nursery, LLC</t>
  </si>
  <si>
    <t>ejaimes3091@gmail.com</t>
  </si>
  <si>
    <t>+12564312277</t>
  </si>
  <si>
    <t>This crew works during the dormant season preparing sites for hardscape construction in the summer. The jobs include leveling ground for patios and walkways (with skid steer and rakes), trenching for sprinkler systems (making the trench with a mechanized trencher and removing excess stones dirt with shovels and picks) , excavation and forming holes for ponds and pools (using picks and shovels to do the fine shaping and forming work), digging holes for trees and shrubs (with post-hole diggers and shovels), planting trees and shrubs (with shovels and rakes). Use hand tools, trenchers, and if trained, skid steers. Job Classification: 37-3011.00 - Landscaping and Groundskeeping Workers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2 Number of Hours Per Week: 40 Work Schedule (Start/End time): 8:00 A.M. - 4:00 P.M.</t>
  </si>
  <si>
    <t>H-400-26184-076639</t>
  </si>
  <si>
    <t>Historic Ponce Hotel, LLC</t>
  </si>
  <si>
    <t>Bethcaballero1025@gmail.com</t>
  </si>
  <si>
    <t>+19045401055</t>
  </si>
  <si>
    <t>House Keeper</t>
  </si>
  <si>
    <t>Housekeepers will use vacuums, brooms, mops, brushes, hand dusters, wipes and cloths with cleaning solutions to vacuum carpet, mop to clean ceramic and wood floors, dusters and cloths to dust surfaces such as windowpanes, bed frame, wall hangings, and brushes, cloths, and wipes to clean sinks and toilets. Restock rooms with facial and toilet tissue, soaps, towels, and washcloths. Make up beds with clean bedding. Work in the laundry room when assigned there to sort and load washers with towels and bedding, move the laundry to dryers, and fold and stack the clean items. Job Classification: 37-2012.00 - Maids and Housekeeping Cleaners The job/industry classification and description includes general information on the position from ONET/OES and the North American Industry Classification System. Please review Job Duties and Job Order for more information. Job Requirements Experience Required: No Number of Hours Per Week: 40 Work Schedule (Start/End time): 9:00 A.M. - 5:00 P.M.</t>
  </si>
  <si>
    <t>H-400-26184-076635</t>
  </si>
  <si>
    <t>Honey B Hams of Lake Charles, LLC.</t>
  </si>
  <si>
    <t>honeybhamsrestaurant@gmail.com</t>
  </si>
  <si>
    <t>+13374783354</t>
  </si>
  <si>
    <t>Food Preparation Worker</t>
  </si>
  <si>
    <t>Washing, sorting and boiling crawfish; general upkeep of kitchen area. May request and record customer orders, may prepare simple food items and beverages; clean, organize eating, service and kitchen areas Job Classification: 35-2015.00 - Cooks, Short Order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30 minute unpaid lunch break. Additional work shift as 3:00pm to 8:30pm, 7 days per week. Number of Hours Per Week: 35 Work Schedule (Start/End time): 10:00 A.M. - 3:30 P.M.</t>
  </si>
  <si>
    <t>H-400-26184-076640</t>
  </si>
  <si>
    <t>Hunter Foods LLC</t>
  </si>
  <si>
    <t>info@hmbcatskills.com</t>
  </si>
  <si>
    <t>+15182633300</t>
  </si>
  <si>
    <t>Kitchen Helper/server</t>
  </si>
  <si>
    <t>Help prepare food in the kitchen on the line. Be able to operate bar equipment blenders, and choppers to prep food for chefs. Be a food server and runner, and assist bar tender as needed. Job Classification: 35-9011.00 - Dining Room and Cafeteria Attendants and Bartender Helpers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Number of Hours Per Week: 40 Work Schedule (Start/End time): 11:00 A.M. - 8:30 P.M.</t>
  </si>
  <si>
    <t>H-400-26184-076632</t>
  </si>
  <si>
    <t>LV Opportunity Zone LLC</t>
  </si>
  <si>
    <t>operations@lvopportunity.com</t>
  </si>
  <si>
    <t>+17022923002</t>
  </si>
  <si>
    <t>The Construction Laborer performs general physical labor tasks at construction sites under the direction of supervisors and skilled trades workers. Primary duties include digging, trenching, and backfilling; loading, unloading, and distributing materials, tools, and equipment throughout the job site; and cleaning and preparing work areas by removing rubble, debris, and other waste materials. The worker operates hand tools, small equipment, and measuring and cutting tools applicable to the work being performed, assists in joining components and using a variety of construction equipment and instruments, and may assist in erecting, leveling, or dismantling scaffolding, ramps, and barricades. Depending on project needs, the worker may also assist journey-level tradespeople with material handling, component positioning, piping system installation, and related construction tasks. Follows all site safety procedures and wears required personal protective equipment. Must be able to perform physically demanding work in varying outdoor conditions. Job Classification: 47-2061.00 - Construction Laborers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3 months of experience. Number of Hours Per Week: 40 Work Schedule (Start/End time): 7:00 A.M. - 4:00 P.M.</t>
  </si>
  <si>
    <t>H-400-26184-076604</t>
  </si>
  <si>
    <t>MTM Snow LLC</t>
  </si>
  <si>
    <t>mtmsnow1@gmail.com</t>
  </si>
  <si>
    <t>+15865319486</t>
  </si>
  <si>
    <t>Shovel snow, grounds maintenance, such as litter cleanup and winterization of irrigation systems, and other duties as assigned related to facilities and roads maintenance, such as clearing roads and facilities of leaves, snow, or debris. Workers will not drive plow trucks. Workers will use hand tools, such as shovels and snow brooms, as well as powered hand held equipment such as walk behind electric or gas snow blowers. Potential for fall and spring clean-up, including raking, mulching, and composting of leaves, removal of dead plant material, perennial plant cutbacks, landscape bed mulching, and dormant pruning from the ground level. Deicing and removal of snow from walks, driveways and parking lots for various residential and commercial properties, using hand tools such as snow brooms, shovels, and spreading deicing solutions, including calcium chloride or rock salt by hand. May also use walk behind electric or gas snow blowers, as needed. A driver’s license is not required. If a worker has a noncommercial driver’s license, they may drive a crew vehicle as needed. Job Classification: 37-3011.00 - Landscaping and Groundskeeping Workers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Must lift/carry 50 lbs., when necessary. Saturday and Sunday work required, when necessary. Work hours may include nights and overtime during emergencies and winter storm conditions. Must be able to perform manual, physical labor outside during all weather conditions (hot, cold, rain, snow, etc). Number of Hours Per Week: 35 Work Schedule (Start/End time): 7:00 A.M. - 5:00 P.M.</t>
  </si>
  <si>
    <t>H-400-26184-076612</t>
  </si>
  <si>
    <t>Nolt's Custom Concrete, LLC</t>
  </si>
  <si>
    <t>noltscustomconcrete@gmail.com</t>
  </si>
  <si>
    <t>+16413302079</t>
  </si>
  <si>
    <t>Perform tasks involving physical labor at construction sites. May operate hand and power tools of all types: air hammers, earth tampers, cement mixers, small mechanical hoists, surveying and measuring equipment, and a variety of other equipment and instruments. May clean and prepare sites, dig trenches, set braces to support the sides of excavations, erect scaffolding, and clean up rubble, debris, and other waste materials. May assist other craft workers. Job Classification: 47-2061.00 - Construction Laborers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Must be able to lift and carry 85 lbs for 50 yds. Must be able to accurately use and read a tape measure, handle temperature extremes, follow directions, use hand and power tools, and repetitive motions. Some weekend work. Number of Hours Per Week: 40 Work Schedule (Start/End time): 6:00 A.M. - 5:00 P.M.</t>
  </si>
  <si>
    <t>H-400-26184-076636</t>
  </si>
  <si>
    <t>Palatka Hotel LLC</t>
  </si>
  <si>
    <t>palatkabudgetinn@gmail.com</t>
  </si>
  <si>
    <t>+13869572518</t>
  </si>
  <si>
    <t>Wash and fold sheets, pillow cases, towels, and comforters. Job Classification: 37-2012.00 - Maids and Housekeeping Cleaners The job/industry classification and description includes general information on the position from ONET/OES and the North American Industry Classification System. Please review Job Duties and Job Order for more information. Job Requirements Experience Required: No Number of Hours Per Week: 40 Work Schedule (Start/End time): 9:00 A.M. - 5:00 P.M.</t>
  </si>
  <si>
    <t>H-400-26184-076607</t>
  </si>
  <si>
    <t>Construction Equipment Operators</t>
  </si>
  <si>
    <t>Operates one or more types of power construction equipment, and heavy construction equipment to install deep foundation systems. Sets up, positions, and maneuvers equipment in accordance with construction drawings, specifications, and site plans to support site preparation, structural erection, and foundation installation activities. Monitors equipment performance and site conditions, making necessary adjustments to achieve required tolerances and ensure proper placement of materials and structural components. Performs layout and marking of work areas based on project plans and coordinates machine actions with other construction activities, positioning and moving loads in response to hand or audio signals from supervisors, survey personnel, and other construction trades. Inspects equipment before each use to ensure safe and efficient operation and performs routine maintenance including cleaning, lubrication, and reporting of mechanical issues. Repairs equipment and makes emergency adjustments as necessary. Works on industrial and energy infrastructure construction projects, including foundation systems for heavy equipment installations. Follows all safety regulations and procedures, including use of personal protective equipment and compliance with site-specific safety requirements to prevent hazards associated with heavy machinery and construction activities. Job Classification: 47-2073.00 - Operating Engineers and Other Construction Equipment Operators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24 Special Requirements: Minimum 24 months experience as Construction Equipment Operators. Schedule may vary and can include weekends and holidays as needed. Ability to lift/carry/push/pull 50 lbs. 5 days/wk., 8.5 hr./day. Expected daily hourly schedule from 7:00 AM to 1:00 PM and from 2:00 pm to 4:30pm Mon to Fri. Wage range at $15.6/hr. Possible overtime at $23.40/hr. Workers will be paid on a: weekly basis. Worksites at: Guayanilla, Caguas, Ponce. Number of Hours Per Week: 42 Work Schedule (Start/End time): 7:00 A.M. - 4:30 P.M.</t>
  </si>
  <si>
    <t>H-400-26184-076584</t>
  </si>
  <si>
    <t>Pile Driver Operator</t>
  </si>
  <si>
    <t>Operates pile-driving and heavy construction equipment to install deep foundation systems, including piles, stakes, and prefabricated structural columns. Sets up, positions, and operates hydraulic and vibratory pile-driving machinery in accordance with construction drawings, specifications, and site plans. Ensures correct alignment, verticality, and depth of piles during installation by monitoring equipment performance and soil conditions, making necessary adjustments to achieve required tolerances. Performs layout and marking of pile locations based on project plans and coordinates with supervisors, survey personnel, and other construction trades to ensure proper sequencing and accurate placement of foundations. Inspects equipment before use to ensure safe and efficient operation, and performs basic maintenance such as cleaning, lubrication, and reporting mechanical issues. Works on industrial and energy infrastructure construction projects, including foundation systems for heavy equipment installations. Follows all safety regulations and procedures, including use of personal protective equipment and compliance with site-specific safety requirements to prevent hazards associated with heavy machinery and construction activities. Job Classification: 47-2072.00 - Pile Driver Operators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36 Special Requirements: Minimum 36 months experience as Pile Driver Operator. Schedule may vary and can include weekends and holidays as needed. Ability to lift/carry/push/pull 50 lbs. 5 days/wk., 8.5 hr./day. Expected daily hourly schedule from 7:00 AM to 1:00 PM and from 2:00 pm to 4:30pm Mon to Fri. Wage range at $37.99/hr. Possible overtime at $56.99/hr. Workers will be paid on a: weekly basis. Worksites at: Guayanilla, Caguas, Ponce. Number of Hours Per Week: 42 Work Schedule (Start/End time): 7:00 A.M. - 4:30 P.M.</t>
  </si>
  <si>
    <t>H-400-26184-076603</t>
  </si>
  <si>
    <t>RTLE Winter Services, LLC</t>
  </si>
  <si>
    <t>rtlewinterservices86@gmail.com</t>
  </si>
  <si>
    <t>+12484089089</t>
  </si>
  <si>
    <t>Shovel snow, grounds maintenance, such as litter cleanup and winterization of irrigation systems, and other duties as assigned related to facilities and roads maintenance, such as clearing roads and facilities of leaves, snow, or debris using hand tools or power equipment, including but not limited to rakes, shovels, and snow/leaf blowers. Workers will not drive plow trucks. Workers will use hand tools, such as shovels and snow brooms, as well as powered hand held equipment such as walk behind electric or gas snow blowers. Potential for fall and spring clean-up, including raking, mulching, and composting of leaves, removal of dead plant material, perennial plant cutbacks, perennial planting, landscape bed mulching, and pruning from the ground. Deicing and removal of snow from walks, driveways and parking lots for various residential and commercial properties, using hand tools such as snow brooms, shovels, and spreading de- icing solutions, including calcium chloride or rock salt by hand. May also use walk behind electric or gas snow blowers, as needed. May drive crew vehicle. No driver’s license is required as a condition of employment for the position. If the prospective worker already possesses a standard, noncommercial driver’s license they may be asked to drive a vehicle to job sites, as needed. Job Classification: 37-3011.00 - Landscaping and Groundskeeping Workers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MUST BE 18 YEARS OR OLDER. MUST LIFT/CARRY 50 LBS., WHEN NECESSARY. SATURDAY AND SUNDAY WORK REQUIRED, WHEN NECESSARY. MUST BE ABLE TO PERFORM PHYSICAL LABOR OUTDOORS FOR AT LEAST 8 HOURS PER DAY IN ALL WEATHER CONDITIONS, INCLUDING COLD, HEAT, AND RAIN. Number of Hours Per Week: 35 Work Schedule (Start/End time): 7:00 A.M. - 5:00 P.M.</t>
  </si>
  <si>
    <t>H-400-26184-076617</t>
  </si>
  <si>
    <t>SALVADORAN CUISINE CORP</t>
  </si>
  <si>
    <t>Francisco Cuellar</t>
  </si>
  <si>
    <t>17/06/2027</t>
  </si>
  <si>
    <t>anadiaz529@yahoo.com</t>
  </si>
  <si>
    <t>+13054313365</t>
  </si>
  <si>
    <t>Kitchen Assistant</t>
  </si>
  <si>
    <t>1. Kitchen Type and Products Prepared. The work will take place in a commercial kitchen within a full service Salvadoran restaurant that meets local health and safety codes. The facility includes flat-top grills, fryers, ovens, steam tables, food processors, and prep counters suitable for high-volume cooking. The employee will prepare authentic Salvadoran dishes such as pupusas (stuffed corn tortillas), yuca frita con chicharrón, tamales, pollo guisado, sopa de res, and traditional sides like arroz, frijoles, and curtido. Tasks involve marinating meats, mixing dough, operating kitchen equipment, maintaining food safety, and coordinating with the kitchen team to ensure timely service during peak hours. 2. Tools, Equipment, and Purpose. The employee will work with the following tools and equipment to prepare Salvadoran cuisine: • Flat-top grills and griddles – for meats and pupusas • Deep fryers – for yuca, plantains, and similar dishes • Ovens – for roasting and reheating • Food processors/blenders – for sauces and dough • Knives, boards, utensils, mixing bowls – for chopping and combining ingredients • Steam tables/food warmers – to keep food at proper serving temperatures • Refrigerators/freezers – for storing perishable goods • Cleaning and sanitizing tools – to maintain a safe work environment Each item is used in the preparation, cooking, and storage of traditional Salvadoran meals per health code standards. 3. Cleaning and Sanitization. The employee will participate in daily cleaning and sanitization tasks using a three-compartment sink system or dishwasher to clean all utensils and surfaces. Other tasks include: • Wiping down counters and workstations • Sweeping and mopping with sanitizing solution • Disposing of waste in designated bins • Deep cleaning grills, fryers, ovens, and refrigerators on a set schedule • Wearing PPE such as gloves and aprons during all cleaning tasks • Completing a cleaning log to document compliance These procedures are followed daily to meet food safety requirements and ensure kitchen hygiene. 4. Receiving, Handling, and Storing Orders. When orders are received, the employee will check quantity and quality against invoices, inspect items for freshness, damage, and expiration, and report any discrepancies. Storage tasks include: • Using carts, dollies, or pallet jacks to transport goods • Labeling and dating all products • Organizing items by FIFO (First In, First Out) • Storing raw and cooked items separately • Maintaining safe temperatures and clean, organized storage spaces All storage practices align with safety and sanitation standards. Job Classification: 35-2014.00 - Cooks, Restaurant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1 Special Requirements: One (1) month of work experience in restaurant environment. Number of Hours Per Week: 35 Work Schedule (Start/End time): 7:00 A.M. - 10:00 P.M.</t>
  </si>
  <si>
    <t>H-400-26184-076614</t>
  </si>
  <si>
    <t>SDC Enterprises, Inc.</t>
  </si>
  <si>
    <t>01/02/2027</t>
  </si>
  <si>
    <t>westtrucksales@outlook.com</t>
  </si>
  <si>
    <t>+13378371773</t>
  </si>
  <si>
    <t>Inspect, diagnose, adjust, and repair trucks. Adjust equipment to ensure optimal performance. Inspect, repair, and replace defective or worn parts, such as bearings, pistons, and gears. Inspect brake systems, steering mechanisms, transmissions, diesel engines, and other parts of vehicles. Overhaul and test major components, such as diesel engines, hydraulic systems, and electrical systems. Adjust vehicle components according to specifications. Perform scheduled maintenance, such as changing oil, checking fluid levels, rotating tires, and cleaning and lubricating parts. Confer with customers or users to assess problems. Disassemble equipment for maintenance or repair. Record details of repairs made and parts used. Reassemble machines and equipment following repair, testing operation and making adjustments as necessary. Test-drive vehicles to ensure that they run smoothly. Daily work schedule includes 1-hour unpaid lunch break. Job Classification: 49-3031.00 - Bus and Truck Mechanics and Diesel Engine Specialists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Knowledge and experience with basic mechanics is required Number of Hours Per Week: 50 Work Schedule (Start/End time): 6:00 A.M. - 5:00 P.M.</t>
  </si>
  <si>
    <t>H-400-26184-076586</t>
  </si>
  <si>
    <t>Snow Pros LLC</t>
  </si>
  <si>
    <t>ewellml@yahoo.com</t>
  </si>
  <si>
    <t>+13142493630</t>
  </si>
  <si>
    <t>Snow removal, grounds maintenance, litter cleanup, and other duties as assigned related to facilities maintenance, such as clearing leaves, snow, or debris using hand tools or power equipment including but not limited to rakes, shovels, and snow/leaf blowers. Irrigation system winterization and activation. Removal or replacement of dead vegetation. Potential for fall and spring leaf clean-up, dormant pruning, perennial planting, leaf removal and landscape bed mulching. Tree and bush pruning. De-icing and removal of snow from walks, driveways, and parking lots for various residential, municipal and commercial properties, using hand tools such as snow brooms and shovels, and spreading deicing solutions, including calcium chloride or rock salt. May also use a walk behind electric or gas snow blower, as needed. May drive crew vehicles as needed. Job Classification: 37-3011.00 - Landscaping and Groundskeeping Workers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MUST POSSESS A VALID U.S. DRIVERS LICENSE OR BE ABLE TO OBTAIN DRIVER'S LICENSE IN THE U.S. MUST POSSESS A VALID U.S. DRIVERS LICENSE OR BE ABLE TO OBTAIN DRIVER'S LICENSE IN THE U.S. MUST LIFT/CARRY 50 LBS., WHEN NECESSARY. OT, SATURDAY AND SUNDAY WORK REQUIRED, WHEN NECESSARY. MUST BE ABLE TO PERFORM PHYSICAL LABOR OUTDOORS FOR UP TO 8 HOURS PER DAY IN ALL WEATHER CONDITIONS, INCLUDING COLD, SNOW, HEAT, AND RAIN. MUST BE 18 OR OLDER. Number of Hours Per Week: 35 Work Schedule (Start/End time): 8:00 A.M. - 5:00 P.M.</t>
  </si>
  <si>
    <t>H-400-26184-076621</t>
  </si>
  <si>
    <t xml:space="preserve">St. Mary Sugar Cooperative, Inc. </t>
  </si>
  <si>
    <t>mguidry@stmarysugar.com</t>
  </si>
  <si>
    <t>+13372766761</t>
  </si>
  <si>
    <t>Sugar Boiler</t>
  </si>
  <si>
    <t>Assistance with the operation of steam heated vacuum pans, crystallization and general manufacturing of raw sugar during the harvest season as well as related sugar production work as needed or assigned. Job Classification: 51-3092.00 - Food Batchmakers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6 Special Requirements: Post-hire drug screening is required of all employees, foreign and domestic, upon arrival to worksite. Work hours and days: Basic Schedule: The basic work schedule could be anywhere from 8 - 12 hours per day; up to 7 days per week; overtime paid after 48 hours; schedule includes a 30-minute unpaid lunch break. Hours: 6:30AM - 3:00PM; 56 hours per week. Number of Hours Per Week: 56 Work Schedule (Start/End time): 6:30 A.M. - 3:00 P.M.</t>
  </si>
  <si>
    <t>H-400-26184-076638</t>
  </si>
  <si>
    <t>Standard Service Corporation</t>
  </si>
  <si>
    <t>Standardservice6@gmail.com</t>
  </si>
  <si>
    <t>+13216950207</t>
  </si>
  <si>
    <t>Floor Installer</t>
  </si>
  <si>
    <t>Remove existing floors (remove the existing flooring material, dispose of it and clean up), prep the floors areas (smooth rough areas, remove nails or excess wood or other waste by hand) and install the new flooring. The types of flooring to be installed include carpet, ceramic tile, and vinyl. Job Classification: 47-2042.00 - Floor Layers, Except Carpet, Wood, and Hard Tiles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Lifting Requirement 70 pounds Number of Hours Per Week: 40 Work Schedule (Start/End time): 8:00 A.M. - 5:00 P.M.</t>
  </si>
  <si>
    <t>H-400-26184-076597</t>
  </si>
  <si>
    <t>Cook Ii</t>
  </si>
  <si>
    <t>Job description/duties: Pantry-side cooking during service hours and grill/hot-side line cooking, including reading orders, food presentation and executing menu items in a timely manner. Once familiar with the correct processes for the kitchen, Cook II will be able to propose some of the dishes and preparations to the week's menu and ensuring that the kitchen follows most accurate method of execution, always focusing on teamwork and the chef's instructions. Job duties include to clean and prepare food items for service; cover, label and date food items for storage; maintain a constantly safe, clean and sanitary work environment; prepare foods according to recipes and/or house standards; practice proper food storage principles; understand and exhibit proper Garde-Manger skills to enhance appearance of food items; identify, handle and prepare various meats and fish to specifications; prepare line items in a timely manner with ease and efficiency. Job Classification: 35-2014.00 - Cooks, Restaurant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6 Special Requirements: The Petitioner will consider for employment any person who possesses at least six (6) months of experience in a high-end or high-volume restaurant, resort, private club, or tourism environment. Applicant must complete pre-employment background check. Work hours and days. Basic Schedule: 35 hours per week. The work schedule can vary and can include evening, weekend, and holiday hours. Work may be performed on any day of the week from Monday through Saturday. Example shifts: 6:00am 1:00pm or 2:00pm - 9:00pm. Shift hours may vary. Number of Hours Per Week: 35 Work Schedule (Start/End time): 6:00 A.M. - 1:00 P.M.</t>
  </si>
  <si>
    <t>H-400-26184-076585</t>
  </si>
  <si>
    <t xml:space="preserve">T &amp; J Concrete Foundations, Inc. </t>
  </si>
  <si>
    <t>jon@t-jconcretefoundations.com</t>
  </si>
  <si>
    <t>+17152893966</t>
  </si>
  <si>
    <t>Prepare construction sites where concrete will be poured by directing concrete laborers to place materials on job site, measure forms, examine the grade and confirm proper form layout. Safely set and align wooden and metal forms that hold concrete. Spread, level, and smooth concrete using rakes, walk-behind or riding screeds, power trowels, shovels, or hand tools. Tear down concrete forms and cut concrete with concrete saws. Clean up construction site. Job Classification: 47-2051.00 - Cement Masons and Concrete Finishers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36 Special Requirements: Some weekend work. Must be able to lift and carry 75 lbs. for 50 yards. Must be able to handle extreme temperatures. 36 months concrete finishing experience required. Number of Hours Per Week: 40 Work Schedule (Start/End time): 6:00 A.M. - 4:00 P.M.</t>
  </si>
  <si>
    <t>H-400-26184-076588</t>
  </si>
  <si>
    <t>Perform lesser tasks involving manual labor at concrete construction site. Prepare the site for placing of concrete by loading and unloading materials, running string-lines, cutting wood with skill saw, using a sledgehammer to pound stakes into the ground, digging and leveling the earth using shovels and plate-packers. Assist with placing concrete by using wheelbarrows, concrete rakes and shovels. Clean up job site and waste materials. Job Classification: 47-2061.00 - Construction Laborers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Must be able to handle temperature extremes, operate power tools, read and use measuring tape, and lift and carry 75 lbs. for 50 yards. Some weekend work. 3 months concrete construction experience required. Number of Hours Per Week: 40 Work Schedule (Start/End time): 6:00 P.M. - 4:00 P.M.</t>
  </si>
  <si>
    <t>H-400-26184-076592</t>
  </si>
  <si>
    <t>Troy's Four Seasons Yard Care Inc.</t>
  </si>
  <si>
    <t>4seasonsts@gmail.com</t>
  </si>
  <si>
    <t>+16416209350</t>
  </si>
  <si>
    <t>***RFI Response*** Landscape Maintenance: Landscapers perform routine landscaping and grounds maintenance activities, including mowing lawns, trimming and edging landscaped areas, watering lawns, trees, shrubs, flowers, and plants, gathering and removing leaves, grass clippings, trash, and other debris, and maintaining landscaped grounds. Trees, Shrubs, and Hedges: Landscapers perform routine maintenance of trees, shrubs, and hedges as part of landscaping services. Duties include trimming or clipping small branches, shrubs, hedges, and other vegetation accessible from the ground using pruning shears, hand loppers, hedge trimmers, pruning saws, and similar landscaping tools. Ground-Level Performance: Any tree trimming performed by Landscapers is conducted entirely from the ground. Workers do not climb trees or perform work from ropes, harnesses, ladders, aerial lifts, bucket trucks, or elevated platforms. Scope and Classification Confirmation: The position aligns with SOC 37-3011.00 (Landscaping and Groundskeeping Workers). The position expressly excludes duties associated with Tree Trimmers and Pruners (SOC 37-3013.00), including tree climbing, aerial tree trimming, elevated tree work, arborist services, large-tree pruning, and tree removal operations. Any trimming of trees, shrubs, or hedges is incidental to routine landscaping and groundskeeping services and is performed entirely from the ground using tools customarily associated with landscape maintenance. Workers are not employed as arborists or tree trimmers. All specialized tree-care and arborist services are performed, if at all, by separately qualified workers. ***Original Duties*** Gather and remove trash/debris. Use hand tools such as shovels, rakes, pruning saws, saws, hedge or brush trimmers or axes. Operate large riding mowers, line trimmers and powered equipment such as push mowers, chainsaws, electric clippers, blowers, sod cutters, or pruning saws. Water lawns, trees, or plants using portable sprinkler systems, hoses, or watering cans. Prune or trim trees, shrubs, or hedges using shears, pruners, or chainsaws. Job Classification: 37-3011.00 - Landscaping and Groundskeeping Workers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Must be able to stand and walk for long periods of time and repeatedly lift 60 lbs and carry for 50yds. Must be able to operate in temperature extremes and adverse weather conditions. Some weekend work. Number of Hours Per Week: 40 Work Schedule (Start/End time): 7:00 A.M. - 5:00 P.M.</t>
  </si>
  <si>
    <t>H-400-26184-076593</t>
  </si>
  <si>
    <t>Van Maanen Electric Inc.</t>
  </si>
  <si>
    <t>tdejong@vanmaanenelectric.com</t>
  </si>
  <si>
    <t>+16417919473</t>
  </si>
  <si>
    <t>***RFI Response*** Construction Laborers perform basic manual labor in support of concrete work. Duties include spreading, leveling, and smoothing freshly poured concrete using simple hand tools such as shovels, concrete rakes, screeds, hand floats, and brooms, under direct supervision. Laborers do not perform skilled concrete finishing, edging, jointing, decorative work, or make independent determinations regarding concrete placement or finish quality. All skilled concrete finishing is performed by separately qualified workers. Construction Laborers assist with pipe-related tasks by carrying, positioning, holding, and supporting pipe materials and by backfilling trenches after installation. Laborers do not cut, connect, weld, seal, test, or otherwise install piping systems. All technical pipe installation and connection work is performed by skilled tradespersons. Construction Laborers support electricians by carrying, staging, and placing cables, conduit, or sleeves into trenches or designated locations as directed. Laborers do not connect, terminate, splice, test, energize, or otherwise work on electrical systems. They do not perform electrician or electrician-helper duties. All skilled electrical work is performed exclusively by licensed electricians or separately qualified workers. Construction Laborers use basic hand tools typical of manual construction labor, including shovels, rakes, wheelbarrows, hand floats, screeds, and brooms. Laborers may use basic handheld power tools for site preparation and cleanup only. The position does not use electrical testing devices, specialized trade equipment, or machinery requiring trade certification. The Construction Laborer position involves physical labor supporting construction activities and aligns with O*NET tasks for SOC 47-2061.00, including moving materials, assisting skilled workers, site preparation, and cleanup. The position expressly excludes duties associated with Electrician Helpers (SOC 47-3013), Electricians (SOC 47-2111), Plumbers (SOC 47-2152), Concrete Finishers (SOC 47-2051), or any other skilled trade. All skilled work is performed by separately qualified workers. ***Original Duties*** Perform tasks involving physical labor at construction sites. May operate hand and power tools of all types. Clean and prepare sites, dig trenches, set braces to support the sides of excavations, erect and disassemble scaffolding, clean up debris and other waste materials, and clean or repair tools. Mix, pour, spread and smooth concrete. Install pipes and place cables or wires for electricians. Job Classification: 47-2061.00 - Construction Laborers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3 months of construction experience required. Must be able to lift and carry 75 lbs. for 50 yards. Must be able to handle temperature extremes. Some weekend work. Number of Hours Per Week: 40 Work Schedule (Start/End time): 6:00 A.M. - 4:30 P.M.</t>
  </si>
  <si>
    <t>H-400-26184-076594</t>
  </si>
  <si>
    <t>Whitehouse Homes Inc.</t>
  </si>
  <si>
    <t>kevin@whitehousehomes.net</t>
  </si>
  <si>
    <t>+12178513622</t>
  </si>
  <si>
    <t>Help carpenters by doing jobs requiring less skill such as carrying tools, materials, making simple wood cuts, nailing simple lumber pieces, positioning forms, cleaning up job site. Job Classification: 47-3012.00 - Helpers--Carpenters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1 Special Requirements: 1 month of form construction experience required. Must be able to lift and carry 75 lbs 75 yds. Must be able to handle temperature extremes. Some weekend work. Number of Hours Per Week: 40 Work Schedule (Start/End time): 7:00 A.M. - 3:30 P.M.</t>
  </si>
  <si>
    <t>H-400-26184-076596</t>
  </si>
  <si>
    <t>Wicks Construction Inc.</t>
  </si>
  <si>
    <t>h2b@wicksconstruction.com</t>
  </si>
  <si>
    <t>+15633822325</t>
  </si>
  <si>
    <t>RFI Response: Excavating Footings and Leveling Earth to Grade Specifications: Construction Laborers assist with excavation activities by performing manual, non-skilled tasks under the direction of supervisors and skilled workers. This includes hand digging and removing soil using shovels, picks, rakes, and wheelbarrows, as well as spreading, leveling, and compacting soil by hand to prepare areas for footings. Laborers measure approximate depths using basic hand tools such as tape measures or grade stakes and move excavated material away from the work area. Construction Laborers do not operate excavators, trenchers, or powered earth-moving equipment. All mechanized excavation and grading is performed by separately qualified equipment operators. The laborers’ role is limited to manual site preparation, cleanup, and material handling consistent with general construction labor. Positioning Aluminum Wall Forms and Placing Concrete: Construction Laborers assist with concrete placement activities by moving, positioning, and holding lightweight aluminum wall forms as directed by supervisors. This includes carrying forms to the work area, aligning them into place, inserting pins or clamps, and holding components steady while skilled workers secure and adjust them. Laborers use hand tools such as hammers, wrenches, and basic alignment tools for these support tasks. When concrete is placed, Construction Laborers assist by guiding chutes, spreading wet concrete with shovels, and vibrating forms using handheld tools, strictly under supervision. They do not perform concrete finishing, surface smoothing, structural reinforcement, or rebar installation. All skilled concrete work, finishing, reinforcement, and quality control is performed by separately qualified cement masons, finishers, or ironworkers. Original JDs: Residential and commercial concrete construction. Measure and layout footings and foundation. Excavate footings and level earth to grade specifications. Position aluminum wall forms and place all concrete. Clean up site. Job Classification: 47-2061.00 - Construction Laborers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2 Special Requirements: Some weekend work. Must be able to lift and carry 75 lbs. for 50 yards. Must be able to handle temperature extremes. Number of Hours Per Week: 40 Work Schedule (Start/End time): 6:00 A.M. - 5:00 P.M.</t>
  </si>
  <si>
    <t>H-400-26184-076595</t>
  </si>
  <si>
    <t>H-400-26184-076598</t>
  </si>
  <si>
    <t>H-400-26184-076599</t>
  </si>
  <si>
    <t>H-400-26184-076600</t>
  </si>
  <si>
    <t>H-400-26184-076645</t>
  </si>
  <si>
    <t>Windham Chicken Run, LLC</t>
  </si>
  <si>
    <t>Jmisenti@gmail.com</t>
  </si>
  <si>
    <t>+15187345353</t>
  </si>
  <si>
    <t>Kitchen Staff</t>
  </si>
  <si>
    <t>Help prepare food in the kitchen on the line and do cleanup and dish washing. Be able to operate dishwasher, grill, fryer, oven, blenders, and choppers to prep food for chefs. Be a food server and runner. Job Classification: 35-9021.00 - Dishwashers The job/industry classification and description includes general information on the position from ONET/OES and the North American Industry Classification System. Please review Job Duties and Job Order for more information. Job Requirements Experience Required: No Number of Hours Per Week: 40 Work Schedule (Start/End time): 10:00 A.M. - 10:00 P.M.</t>
  </si>
  <si>
    <t>H-400-26184-076650</t>
  </si>
  <si>
    <t>A &amp; C Brothers Landscaping Inc.</t>
  </si>
  <si>
    <t>fiscalkm@gmail.com</t>
  </si>
  <si>
    <t>+15138509692</t>
  </si>
  <si>
    <t>Workers will use mowers with leaf catchers, leaf rakes, brooms for fall cleanup; loppers, pruning shears, and small pole chain saws for pruning. Planting will be done with shovels. Blowers and brooms will be used to perform general maintenance. Additional duties include installing hardscape features (such as decorative stones, signs, and benches) assisting with irrigation system winterization (blowing out water with pressurized air, replacing broken sprinkler heads) dormant seeding with hand seeders, and maintaining equipment (washing, lubricating, and changing oil). Job Classification: 37-3011.00 - Landscaping and Groundskeeping Workers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Lifting requirement 50 pounds. Number of Hours Per Week: 40 Work Schedule (Start/End time): 8:00 A.M. - 5:00 P.M.</t>
  </si>
  <si>
    <t>H-400-26184-076671</t>
  </si>
  <si>
    <t>A C Construction</t>
  </si>
  <si>
    <t>acastillo@ac-constructionllc.com</t>
  </si>
  <si>
    <t>+12054964896</t>
  </si>
  <si>
    <t>***RFI response*** Work is performed at residential and commercial construction sites within Jefferson and Shelby counties in the Birmingham, AL metropolitan area. A C Construction is a construction company specializing in the assembly and installation of roof trusses and similar structural supports for building construction projects, therefore the establishment where the work described is done is at our clients’ site. Assemblers use hand tools and machines to fabricate and assemble roof trusses and structural support. Specific tasks include positioning precut components on the assembly jig; placing metal connector plates over joints and securing them; verifying dimensions using rulers and gauges; and inspecting finished trusses for accuracy. Hand tools used include hand seamers, tin snips, turbo shears, nutsetters, screw guns, hammers, pliers, wire cutters, planishing hammers, angle grinders, and torque controllers. Roof trusses are made from light gauge steel metal. Machines operated include standing seam roofing tools and edge rollers used for bending, forming, and joining metal roofing panels and truss components. These machines do not involve sawing. Cutting tasks are performed using hand tools such as tin snips and turbo shears. Assemblers produce or assist in producing truss components by measuring and verifying precut parts, fitting pieces together per assembly instructions, and securing metal connector plates at joints using hand and power tools. Tools used include hand seamers, nut-setters, hammers, planishing hammers, pliers, wire cutters, torque controllers, and screw guns. Components produced include light gauge metal truss assemblies and structural supports used in residential and commercial building construction. Assemblers move finished truss assemblies and materials by hand or using carts to the designated work area or storage location at the end of the workday to keep the area clean and free of hazardous pieces. Tasks include pulling metal connector plates, stacking finished trusses, banding and marking materials, and pushing loaded carts into position. Equipment used includes hand carts, banding tools, and marking supplies. Workers assist in positioning heavier truss assemblies using jib cranes. Workers do not independently operate cranes but assist in guiding and positioning loads under supervisor direction. ***Original*** The truss assembler will assemble precut materials, verify the size of each precut part, accuracy of assembly, using ruler and gauges, fitting parts together, place metal reinforcement plates over connecting joints and connects parts at joints, may produce or help produce components according to instructions, use hand tools or machines to build trusses and similar supports used for roof trusses in building construction. May be responsible for pulling plates, stacking of finished product, banding, and marking materials, and pushing products into position by hand or crane on carts to appropriate work area or storing them at the end of the workday to keep the area clean and free of hazardous pieces. Job Classification: 51-2041.00 - Structural Metal Fabricators and Fitters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Three months of experience as truss assembler in residential or commercial construction settings. Must bend, lift, and sustain up to 50 lbs, work under extreme hot weather conditions. Travel required within Jefferson and Shelby counties, no on-the-job training available, no education required. Post-hire drug test required paid by employer, all US and Guest workers will be screened equally. Number of Hours Per Week: 40 Work Schedule (Start/End time): 7:00 A.M. - 3:00 P.M.</t>
  </si>
  <si>
    <t>H-400-26184-076679</t>
  </si>
  <si>
    <t>Angelica Tuason</t>
  </si>
  <si>
    <t>anngelicat@yahoo.com</t>
  </si>
  <si>
    <t>+13235803177</t>
  </si>
  <si>
    <t>Live-in Housekeeping job which involves cleaning guest rooms, common areas, bathroom, kitchen, windows, floors, and furniture. The housekeeper job description entails preparing rooms as guests check-in and check-out, making sure that all supplies are present in each room prior to arrival of guests, laundry, vacuuming, preparing bed with clean linens, towels, disinfecting toilet, linen, floors, collecting and disposing trash, .Housekeeper takes care of all guests anticipated needs, assistance in room orientation, transportation, nearby shops, restaurants. It is expected that the housekeeper is able to carry out all task in a professional manner and maintain a safe working environment at all times. Job Classification: 37-2012.00 - Maids and Housekeeping Cleaners The job/industry classification and description includes general information on the position from ONET/OES and the North American Industry Classification System. Please review Job Duties and Job Order for more information. Job Requirements Experience Required: No Number of Hours Per Week: 40 Work Schedule (Start/End time): 9:00 A.M. - 5:00 P.M.</t>
  </si>
  <si>
    <t>H-400-26184-076678</t>
  </si>
  <si>
    <t>Cafe Marquise LLC</t>
  </si>
  <si>
    <t>cafemarquisenaples@gmail.com</t>
  </si>
  <si>
    <t>+12392319805</t>
  </si>
  <si>
    <t>Cooking and preparing in the kitchen for Breakfast Restaurant Job Classification: 35-1011.00 - Chefs and Head Cooks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None. No special skills, licenses, certifications, or fields of training are required. Applicants must be able to perform the job duties described and be available to work the full period of employment. Number of Hours Per Week: 35 Work Schedule (Start/End time): 5:00 A.M. - 12:00 P.M.</t>
  </si>
  <si>
    <t>H-400-26184-076702</t>
  </si>
  <si>
    <t>E Paez Landscaping Inc</t>
  </si>
  <si>
    <t>Raul Martin Gil Pozuelo</t>
  </si>
  <si>
    <t>paezeduardo71@hotmail.com</t>
  </si>
  <si>
    <t>+19144247100</t>
  </si>
  <si>
    <t>Shovel snow in residential drive-ways and sidewalks using power-driven devices such as snow blowers or hand tools such as shovels, grounds maintenance, such as litter cleanup and winterization of irrigation systems, and other duties as assigned related to facilities maintenance, such as clearing facilities of leaves, snow, or debris using hand tools or power equipment including but not limited to rakes, shovels, and snow/leaf blowers. Potential for fall and spring grounds clean-up, including raking, mulching, and composting of leaves, removal of dead plant material, perennial plant cutbacks, landscape bed mulching, and dormant pruning from the ground level. De-icing and removal of snow from walks, driveways and parking lots for various residential and commercial properties, using hand tools such as snow brooms, shovels, and spreading de-icing solutions, including calcium chloride or rock salt by hand. May also use walk behind electric or gas snow blowers, as needed. May drive crew vehicle. Job Classification: 37-3011.00 - Landscaping and Groundskeeping Workers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Must lift/carry 50 lbs., when necessary. Saturday and Sunday work required, when necessary. Work hours may include nights, weekends, holidays and overtime during emergencies and winter storm conditions. Must be able to perform manual, physical labor outside during all weather conditions (hot, cold, rain, snow, etc.). Number of Hours Per Week: 35 Work Schedule (Start/End time): 7:30 A.M. - 4:30 P.M.</t>
  </si>
  <si>
    <t>H-400-26184-076703</t>
  </si>
  <si>
    <t>Fullerton Grounds Maintenance, LLC</t>
  </si>
  <si>
    <t>Sarah Wyngaard</t>
  </si>
  <si>
    <t>will@fgmaintenance.com</t>
  </si>
  <si>
    <t>+19739270927</t>
  </si>
  <si>
    <t>Perform snow removal services at residential and commercial properties, including driveways, parking lots, and sidewalks, using hand tools such as shovels and snow brooms, as well as power-driven equipment like walk-behind electric or gas snow blowers. Apply de-icing materials such as rock salt or calcium chloride to maintain safe walking and driving surfaces. Assist with general grounds and facilities maintenance tasks, including litter collection, clearing debris such as leaves and snow from building entrances and walkways, and winterizing irrigation systems. May perform additional seasonal groundskeeping duties during fall and spring, such as raking, mulching, composting leaves, removing dead plant materials, cutting back perennials, mulching landscape beds, and dormant pruning from ground level. May be asked to drive a crew vehicle to job sites if the worker already possesses a valid, noncommercial driver’s license; however, a driver’s license is not a condition of employment. Workers will not be required to operate a snow plow. Job Classification: 37-3011.00 - Landscaping and Groundskeeping Workers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MUST LIFT/CARRY 50 LBS WHEN NECESSARY. SATURDAY AND SUNDAY WORK REQUIRED, WHEN NECESSARY. WORK HOURS MAY INCLUDE NIGHTS AND OVERTIME DURING EMERGENCIES AND WINTER STORM CONDITIONS. MUST BE ABLE TO PERFORM MANUAL, PHYSICAL LABOR OUTSIDE DURING ALL WEATHER CONDITIONS (HOT, COLD, RAIN, SNOW, ETC.). Number of Hours Per Week: 40 Work Schedule (Start/End time): 7:00 A.M. - 3:00 P.M.</t>
  </si>
  <si>
    <t>H-400-26184-076690</t>
  </si>
  <si>
    <t>Global Express Transportation Inc.</t>
  </si>
  <si>
    <t>gxtinc@gmail.com</t>
  </si>
  <si>
    <t>+12488254558</t>
  </si>
  <si>
    <t>Drive a tractor-trailer combination or a truck with a capacity of at least 26,000 pounds Gross Vehicle Weight (GVW). May be required to unload truck. Requires commercial drivers' license. Check vehicles to ensure equipment in good working order. Secure cargo for transport, using ropes, blocks, chain, binders, or covers.Inspect loads to ensure cargo is secure. Maneuver trucks into loading or unloading positions,following signals and checking that vehicle and loading equipment are properly positioned. Maintain logs of hours and/or vehicle service/repair status following applicable state and federal regulations. Obtain receipts or signatures for delivered goods as required. Working at night may be required. Job Classification: 53-3032.00 - Heavy and Tractor-Trailer Truck Drivers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12 Special Requirements: A valid commercial drivers license with a double-trailer endorsement is required. The commercial drivers license should be of an appropriate class and have an appropriate endorsement, if required, that will allow the driver to pull a double trailer and a vehicle exceeding 26,000 lbs. For example, a class A commercial drivers license issued by the Secretary of State with a double trailer (t) endorsement would be accepted, or a seasonal restricted CDL. -Similar international commercial drivers licenses with a similar endorsement to pull a double trailer will also be accepted, such as a licencia federal de conductor categoria E en modalidad internacional from Mexico, or a doble articulado internacional, or any equivalent valid commercial drivers license with double trailer endorsement from the country of origin. Must comply with applicable requirements of the United States Department of Transportation regulations. Workers must have proficiency in English to communicate, read, and comprehend traffic signage and interact with roadway officials. Workers must be at least 18 years of age because the position requires operation of heavy commercial motor vehicles and a valid Class A Commercial Driver's License with the required endorsements (or equivalent foreign license). Under Florida law, applicants must be at least 18 years old to obtain a CDL for intrastate commercial driving. Working at night may be required. Must be able to work weekends, holidays, and overtime. Must be able to work a rotating shift schedule. Pre-employment and post-employment random drug testing &amp; background checks may be required, at no cost to the worker. Applicants will be subject to a pre-employment reference check, which will include job verification, driving history, and work experience check. Applicants may be required to demonstrate a clean driving record by presenting a motor vehicle record (MVR) or through other means available, such as through a reference check. Truck drivers will travel as part of their regular job duties within the specified geographic locations in Appendix A to make deliveries. Basic English proficiency required to read road signs, complete delivery logs, communicate with dispatch, and ensure safe operation of the vehicle in accordance with DOT regulations. Must possess sufficient English language proficiency to converse with the public, understand highway traffic signs and signals in English, respond to official inquiries, and make entries on reports and records in accordance with 49 C.F.R. 391.11(b)(2) Number of Hours Per Week: 35 Work Schedule (Start/End time): 8:00 A.M. - 5:00 P.M.</t>
  </si>
  <si>
    <t>H-400-26184-076708</t>
  </si>
  <si>
    <t>Drive a tractor-trailer combination or a truck with a capacity of at least 26,000 pounds Gross Vehicle Weight (GVW). May be required to unload truck. Requires commercial drivers' license. Check vehicles to ensure equipment in good working order. Secure cargo for transport, using ropes, blocks, chain, binders, or covers.Inspect loads to ensure cargo is secure. Maneuver trucks into loading or unloading positions, following signals and checking that vehicle and loading equipment are properly positioned. Maintain logs of hours and/or vehicle service/repair status following applicable state and federal regulations. Obtain receipts or signatures for delivered goods as required. Working at night may be required. Job Classification: 53-3032.00 - Heavy and Tractor-Trailer Truck Drivers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12 Special Requirements: A valid commercial drivers license with a double-trailer endorsement is required. The commercial driver's license should be of an appropriate class and have an appropriate endorsement, if required, that will allow the driver to pull a double trailer and a vehicle exceeding 26,000 lbs. For example, a class A commercial driver's license issued by the Secretary of State with a double trailer (t) endorsement would be accepted, or a seasonal restricted CDL. -Similar international commercial driver's licenses with a similar endorsement to pull a double trailer will also be accepted, such as a licencia federal de conductor categoria "E" en modalidad internacional from Mexico, or a doble articulado internacional, or any equivalent valid commercial driver's license with double trailer endorsement from the country of origin. Must comply with applicable requirements of the United States Department of Transportation regulations. Workers must have proficiency in English to communicate, read, and comprehend traffic signage and interact with roadway officials. Must be 18 years old. Working at night may be required. Must be able to work weekends, holidays, and overtime. Must be able to work a rotating shift schedule. Pre-employment and post-employment random drug testing &amp; background checks may be required, at no cost to the worker. Applicants will be subject to a pre-employment reference check, which will include job verification, driving history, and work experience check. Applicants may be required to demonstrate a clean driving record by presenting a motor vehicle record (MVR) or through other means available, such as through a reference check. Truck drivers will travel as part of their regular job duties within the specified geographic locations in Appendix A (throughout the state of Michigan and Ohio) to make deliveries. Basic English proficiency required to read road signs, complete delivery logs, communicate with dispatch, and ensure safe operation of the vehicle in accordance with DOT regulations. Must possess sufficient English language proficiency to converse with the public, understand highway traffic signs and signals in English, respond to official inquiries, and make entries on reports and records in accordance with 49 C.F.R. 391.11(b)(2) Number of Hours Per Week: 35 Work Schedule (Start/End time): 5:00 P.M. - 1:00 A.M.</t>
  </si>
  <si>
    <t>H-400-26184-076664</t>
  </si>
  <si>
    <t>HERDER PLUMBING INC</t>
  </si>
  <si>
    <t>mike@herderplumbing.com</t>
  </si>
  <si>
    <t>+16025254607</t>
  </si>
  <si>
    <t>Pool Plumber</t>
  </si>
  <si>
    <t>Pool plumber will assemble, install pipe sections, tubing and fitting pipelines in residential construction. May also alter, cut openings in structures to accommodate pipes and pipe fittings, and repair pipelines or pipe systems using hand and power tools. Fill pipes or plumbing fixtures with water, steam, or air to detect and locate leaks in swimming pools. May install heating and cooling equipment and mechanical control systems. Job Classification: 47-2152.00 - Plumbers, Pipefitters, and Steamfitters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THREE MONTHS EXPERIENCE AS POOL PLUMBER IN RESIDENTIAL CONSTRUCTION SETTING. MUST BEND, LIFT AND SUSTAIN UP TO 50 LBS, WORK UNDER EXTREME WEATHER CONDITIONS. NO TRAVEL REQUIRED OUTSIDE THE METROPOLITAN AREA, NO EDUCATION REQUIRED, NO ON-THE-JOB TRAINING AVAILABLE. POST-HIRE DRUG TEST REQUIRED PAID BY THE EMPLOYER, ALL US AND GUEST WORKERS WILL BE SCREENED EQUALLY. Number of Hours Per Week: 40 Work Schedule (Start/End time): 7:00 A.M. - 3:00 P.M.</t>
  </si>
  <si>
    <t>H-400-26184-076658</t>
  </si>
  <si>
    <t>H-400-26184-076734</t>
  </si>
  <si>
    <t>JAE CONSTRUCTION LLC</t>
  </si>
  <si>
    <t>jaeconllc@gmail.com</t>
  </si>
  <si>
    <t>+15056172206</t>
  </si>
  <si>
    <t>Rebar Worker</t>
  </si>
  <si>
    <t>Perform physical labor; Position and secure steel bars or mesh in concrete forms in order to reinforce concrete. Use a variety of fasteners, rod-bending machines, blowtorches, and hand tools. Includes rod busters Job Classification: 47-2171.00 - Reinforcing Iron and Rebar Workers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6 Number of Hours Per Week: 40 Work Schedule (Start/End time): 7:00 A.M. - 4:00 P.M.</t>
  </si>
  <si>
    <t>H-400-26184-076747</t>
  </si>
  <si>
    <t>JMax Plumbing LLC</t>
  </si>
  <si>
    <t>justin@jmaxplumbing.com</t>
  </si>
  <si>
    <t>+14803221742</t>
  </si>
  <si>
    <t>Pool plumbers will assemble, install pipe sections, tubing and fitting pipelines in residential construction. May also alter, cut openings in structures to accommodate pipes and pipe fittings, and repair pipelines or pipe systems using hand and power tools. Fill pipes or plumbing fixtures with water, steam, or air to detect and locate leaks in swimming pools. May install heating and cooling equipment and mechanical control systems. Job Classification: 47-2152.00 - Plumbers, Pipefitters, and Steamfitters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Three months experience as pool plumber in residential construction setting. Must bend, lift and sustain up to 50 lbs, work under extreme weather conditions. No travel required outside the metropolitan area, no education required, no on-the-job training available. Post-hire drug test required paid by the employer, all of U.S. and guest workers will be screened equally. Number of Hours Per Week: 40 Work Schedule (Start/End time): 7:00 A.M. - 3:00 P.M.</t>
  </si>
  <si>
    <t>H-400-26184-076696</t>
  </si>
  <si>
    <t>JUNK OUT INC</t>
  </si>
  <si>
    <t>grr0527@gmail.com</t>
  </si>
  <si>
    <t>+19143930145</t>
  </si>
  <si>
    <t>Snow Removal Technician</t>
  </si>
  <si>
    <t>Shovel snow in residential parking lots, drive-ways, and sidewalks using power-driven devices such as snow blowers or hand tools such as shovels, grounds maintenance, such as litter cleanup and winterization of irrigation systems, and other duties as assigned related to facilities maintenance, such as clearing facilities of leaves, snow, or debris using hand tools or power equipment including but not limited to rakes, shovels, and snow/leaf blowers. Potential for fall and spring grounds clean-up, including raking, mulching, and composting of leaves, removal of dead plant material, perennial plant cutbacks, landscape bed mulching, and dormant pruning from the ground level. De-icing and removal of snow from walks, driveways and parking lots for various residential and commercial properties, using hand tools such as snow brooms, shovels, and spreading de-icing solutions, including calcium chloride or rock salt by hand. May also use walk behind electric or gas snow blowers, as needed. May drive crew vehicle. Job Classification: 37-3011.00 - Landscaping and Groundskeeping Workers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Must lift/carry 50 lbs., when necessary. Saturday and Sunday work required, when necessary. Work hours may include nights, weekends, holidays and overtime during emergencies and winter storm conditions. Must be able to perform manual, physical labor outside during all weather conditions (hot, cold, rain, snow, etc.). Workers will begin each day at the worksite address. They will then be transported, free of charge, to properties located throughout the area of intended employment to perform duties. They will then be transported back to the worksite address at the end of each work day. Number of Hours Per Week: 35 Work Schedule (Start/End time): 8:00 A.M. - 5:00 P.M.</t>
  </si>
  <si>
    <t>H-400-26184-076647</t>
  </si>
  <si>
    <t>KC Johnson Enterprises, LLC</t>
  </si>
  <si>
    <t>kentjohnson412@gmail.com</t>
  </si>
  <si>
    <t>+14128183106</t>
  </si>
  <si>
    <t>Holiday Lighting and Decor Installer</t>
  </si>
  <si>
    <t>Load and unload holiday decor, equipment, and materials at job sites. Install wreaths, garlands, bows, and lighting on homes and businesses, including trees, shrubs, and rooflines, as directed by a team leader. Maintain a clean worksite by removing debris and ensuring properties are left neat and professionally decorated at the end of each project. Job Classification: 49-9099.00 - Installation, Maintenance, and Repair Workers, All Other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Lifting requirement 50 lb. Number of Hours Per Week: 40 Work Schedule (Start/End time): 7:30 A.M. - 3:30 P.M.</t>
  </si>
  <si>
    <t>H-400-26184-076792</t>
  </si>
  <si>
    <t>KV Pools LLC</t>
  </si>
  <si>
    <t>debbie@kvpoolsaz.com</t>
  </si>
  <si>
    <t>+14802446811</t>
  </si>
  <si>
    <t>Pool plumber will assemble, install pipe sections, tubing and fitting pipelines in residential construction. May also alter, cut openings in structures to accommodate pipes and pipe fittings, and repair pipelines or pipe systems using hand and power tools. Fill pipes or plumbing fixtures with water, steam, or air to detect and locate leaks in swimming pools. May install heating and cooling equipment and mechanical control systems. Job Classification: 47-2152.00 - Plumbers, Pipefitters, and Steamfitters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Three months experience as pool plumber in residential construction setting. Must bend, lift and sustain up to 50 lbs, work under extreme weather conditions. Travel required within the metropolitan area which are located between Maricopa and Pianl Counties. No education required, no on-the-job training available. Post-hire drug test required paid by the employer, all us and guest workers will be screened equally. Number of Hours Per Week: 40 Work Schedule (Start/End time): 6:00 A.M. - 3:00 P.M.</t>
  </si>
  <si>
    <t>H-400-26184-076699</t>
  </si>
  <si>
    <t>LAUNCH Technical Workforce Solutions, LLC</t>
  </si>
  <si>
    <t>31/12/2027</t>
  </si>
  <si>
    <t>victoryepez@launchtws.com</t>
  </si>
  <si>
    <t>+16304681774</t>
  </si>
  <si>
    <t>Avionics Technicians</t>
  </si>
  <si>
    <t>Workers in this position perform installation, inspection, testing, troubleshooting, repair, maintenance, and maintenance-related modification activities involving aircraft avionics and electrical systems on operational aircraft, aircraft undergoing heavy maintenance, and aircraft modification projects. Work is performed in hangars, maintenance facilities, and aircraft environments using avionics test equipment, diagnostic equipment, precision electrical tools, and approved technical data in accordance with wiring diagrams, schematics, approved technical instructions, and applicable regulatory requirements. Primary duties include installing, maintaining, repairing, modifying, configuring, and testing aircraft avionics and electrical systems including communication systems, navigation systems, flight guidance and control systems, aircraft instrumentation systems, radar and surveillance systems, electrical power distribution systems, aircraft sensor systems, and cabin management or connectivity systems. Workers perform avionics-specific installation and modification tasks such as mounting avionics displays, radios, antennas, control panels, and line-replaceable units (LRUs); routing, securing, terminating, and connecting wiring harnesses and cable assemblies; assembling and repairing electrical connectors and terminals; loading or updating avionics software and databases; and performing system upgrades and retrofits in accordance with approved technical instructions and data. Day-to-day duties include interpreting wiring diagrams, schematics, pin-out diagrams, and system logic diagrams; performing electrical diagnostics, fault isolation, continuity testing, signal verification, and operational testing using multimeters, oscilloscopes, and avionics test equipment; troubleshooting digital and analog signal transmission issues; performing precision wiring work such as stripping, crimping, soldering, shielding, and connector repairs; and conducting post-installation configuration, calibration, and system integration testing. Work may include maintenance, modification, and installation activities performed as part of aircraft avionics maintenance operations, system upgrades, retrofit projects, and heavy maintenance projects but does not involve general structural assembly or non-avionics mechanical repair functions. Employees also document completed installation, testing, troubleshooting, and repair activities in maintenance records and tracking systems and follow avionics-specific grounding, bonding, electrostatic discharge (ESD), and electromagnetic interference (EMI) control procedures. Job Classification: 49-2091.00 - Avionics Technicians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6 Special Requirements: Must be willing to work any shift. Must be willing to work overtime (as requested). Must pass pre-employment drug screen and background check. Employees will report to the employer's Wichita, Kansas worksite to perform their assigned duties. The employer may provide transportation between employee housing and the worksite. Any transportation provided by the employer will be furnished without charge to the employee. Number of Hours Per Week: 45 Work Schedule (Start/End time): 7:00 A.M. - 3:30 P.M.</t>
  </si>
  <si>
    <t>H-400-26184-076700</t>
  </si>
  <si>
    <t>Aircraft Mechanics and Service Technicians</t>
  </si>
  <si>
    <t>Workers in this position perform aircraft mechanical maintenance, inspection, troubleshooting, repair, overhaul, and maintenance-related modification activities on operational aircraft, aircraft undergoing heavy maintenance, and aircraft in storage or preservation status. Work is performed in hangars, on flight lines, and in maintenance facilities using hand tools, calibrated equipment, diagnostic equipment, and power tools in accordance with manufacturer maintenance manuals, approved technical data, and regulatory requirements. Primary duties include performing scheduled and unscheduled maintenance on aircraft mechanical systems and components, including hydraulic systems, pneumatic systems, landing gear systems, flight control systems, fuel systems, environmental systems, and powerplant systems. Workers conduct routine inspections, visual inspections, functional checks, leak checks, rigging checks, troubleshooting, fault isolation procedures, and operational testing to identify wear, cracks, leaks, misalignment, pressure loss, and component failures. Day-to-day duties include removing and installing mechanical components such as pumps, actuators, brakes, valves, landing gear components, and engine accessories; servicing systems with fluids and gases; disassembling and reassembling mechanical assemblies; adjusting and rigging flight control systems; and performing engine runs and operational testing following maintenance activities. Work may include maintenance, repair, and maintenance-related modification activities performed as part of aircraft maintenance operations and heavy maintenance projects but does not involve engineering design functions or avionics-specific installation or programming work. Job Classification: 49-3011.00 - Aircraft Mechanics and Service Technicians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6 Special Requirements: Must be willing to work any shift. Must be willing to work overtime (as requested). Must pass pre-employment drug screen and background check. Employees will report to the employer's Wichita, Kansas worksite to perform their assigned duties. The employer may provide transportation between employee housing and the worksite. Any transportation provided by the employer will be furnished without charge to the employee. Number of Hours Per Week: 45 Work Schedule (Start/End time): 7:00 A.M. - 3:30 P.M.</t>
  </si>
  <si>
    <t>H-400-26184-076800</t>
  </si>
  <si>
    <t>LCW Automotive Corp.</t>
  </si>
  <si>
    <t>Wen Chen</t>
  </si>
  <si>
    <t>fernando@lcwauto.com</t>
  </si>
  <si>
    <t>+12107325466</t>
  </si>
  <si>
    <t>Electrician - Motor Vehicle</t>
  </si>
  <si>
    <t>Create, alter, and install wiring and electrical/electronic systems in limousines/motor vehicles. Work Schedule 07:00am - 03:30pm with a 30-minute lunch break. Job Classification: 49-2096.00 - Electronic Equipment Installers and Repairers, Motor Vehicles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12 Special Requirements: 12 months of experience as an Electrician in the automotive industry required. Number of Hours Per Week: 40 Work Schedule (Start/End time): 7:00 A.M. - 3:30 P.M.</t>
  </si>
  <si>
    <t>H-400-26184-076817</t>
  </si>
  <si>
    <t>Lion Stone LLC</t>
  </si>
  <si>
    <t>Mia Giacomazzi</t>
  </si>
  <si>
    <t>lionstonellc@gmail.com</t>
  </si>
  <si>
    <t>+15129143963</t>
  </si>
  <si>
    <t>Groundskeepers</t>
  </si>
  <si>
    <t>***RFI response*** This duty involves maintaining the grounds and outdoor surfaces of open-air quarry storage areas. Specifically, Groundskeepers will sweep and rake dirt, dust, and loose debris from the ground surfaces of storage areas; remove litter, brush, and waste materials that accumulate in and around storage areas; clear overgrown vegetation, weeds, and brush from around the perimeters of storage areas to keep them clean and accessible; and rake dirt ground surfaces within storage areas. Tools and equipment used to perform these tasks include brooms, rakes, shovels, wheelbarrows, and trash receptacles. ***Original*** Maintain and prepare grounds of the property of stone quarry clients to prepare quarry sites for the upcoming busy season, to provide groundskeeping services during winter weather events, and to prepare quarry grounds for land reclamation. Groundskeepers will perform a variety of tasks, which may include a combination of the following: Clear brush, cut grass and weeds, and remove vegetation from quarry grounds to prepare new areas for the next quarrying season; Gather and remove litter, debris, and waste materials from quarry grounds; Prepare soil and spread topsoil on reclamation areas to support revegetation; Plant native grasses, shrubs, and other vegetation on quarry grounds as part of land reclamation efforts; Water, mulch, and maintain newly planted vegetation to promote establishment and growth; Clean and organize quarry storage areas and areas where stone will be stored; Prepare grounds and maintain safe site conditions in response to winter weather events, including shoveling snow, de-icing grounds, dirt roads, and dirt paths within quarry grounds through use of water and salt; Clear debris and standing water from quarry grounds, dirt roads, and dirt paths within the quarry following heavy rainfall or flooding events to maintain safe site conditions; Preserve and protect exposed stockpiles and quarry materials during severe weather by covering or relocating vulnerable materials; and Operate vehicles or powered equipment, such as mowers, snow blowers, or chain-saws. Driver's license is not required; however, if a Groundskeeper has a regular driver's license, then that Groundskeeper may drive a crew vehicle to client locations. Job Classification: 37-3011.00 - Landscaping and Groundskeeping Workers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Some overtime and weekend work may be required. Hours may vary, depending on weather. Must be able to perform manual, physical labor outside during all weather conditions (hot, cold, rain, snow, etc.). Must be able to lift up to 80 lbs. A driver's license is not required; however, if a worker has a regular, non-commercial driver's license, then they may drive a crew vehicle as needed. Number of Hours Per Week: 40 Work Schedule (Start/End time): 8:00 A.M. - 5:00 P.M.</t>
  </si>
  <si>
    <t>H-400-26184-076705</t>
  </si>
  <si>
    <t>MICHIGAN SNOW SERVICES LLC</t>
  </si>
  <si>
    <t>michsnowservices@gmail.com</t>
  </si>
  <si>
    <t>+18109651561</t>
  </si>
  <si>
    <t>Shovel snow in residential parking lots, drive-ways, and sidewalks using power-driven devices such as snow blowers or hand tools such as shovels, grounds maintenance, such as litter cleanup and winterization of irrigation systems, and other duties asassigned related to facilities maintenance, such as clearing facilities of leaves, snow, or debris. Potential for fall and spring grounds clean-up, including raking, mulching, and composting of leaves, removal of dead plant material, perennial plant cutbacks, landscape bed mulching, and dormant pruning from the ground level. Operate a snow blower. De-icing and removal of snow from walks, driveways and parking lots for various residential and commercial properties, using hand tools such as snow brooms, shovels, and spreading de-icing solutions, including calcium chloride or rock salt by hand. May also use walk behind electric or gas snow blowers, as needed. May drive crew vehicle. No driver’s license is required as a condition of employment for the position. If the prospective worker already possesses a standard, noncommercial driver’s license they may be asked to drive a vehicle to jobsites, as needed. Will not operate snow plow. Job Classification: 37-3011.00 - Landscaping and Groundskeeping Workers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Must lift/carry 50 lbs., when necessary. Saturday and Sunday work required, when necessary. Work hours may include nights and overtime during emergencies and winter storm conditions. Must be able to perform manual, physical labor outside during all weather conditions (hot, cold, rain, snow, etc.). Workers will begin each day at the worksite address. They will then be transported, free of charge, to properties located throughout the area of intended employment to perform duties. They will then be transported back to the worksite address at the end of each workday. Number of Hours Per Week: 35 Work Schedule (Start/End time): 7:00 A.M. - 4:30 P.M.</t>
  </si>
  <si>
    <t>H-400-26184-076693</t>
  </si>
  <si>
    <t>MacCurrach Golf Construction, Inc.</t>
  </si>
  <si>
    <t>hamish@maccurrachgolf.com</t>
  </si>
  <si>
    <t>+19046461581</t>
  </si>
  <si>
    <t>Digging trenches and backfill holes to prepare for the construction site. Trenches dug by hand will be around 2’ wide and 4’ deep using shovels and rakes. The trenches will be used for installing drainage pipes. Operating equipment and heavy machinery used in construction sites. Following instructions from construction project managers and supervisors. Loading and unloading building materials. Job Classification: 47-2061.00 - Construction Laborers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MUST BE 18 years of age or older. Must lift/carry up to 50 lbs., when necessary. Saturday and Sunday work required, when necessary. Drug testing required of foreign and domestic workers post-hire post-accident at no cost to workers. Hours may include overtime. Number of Hours Per Week: 35 Work Schedule (Start/End time): 7:00 A.M. - 5:30 P.M.</t>
  </si>
  <si>
    <t>H-400-26184-076695</t>
  </si>
  <si>
    <t>NextGen Christmas Decor LLC</t>
  </si>
  <si>
    <t>greatsealcoating@gmail.com</t>
  </si>
  <si>
    <t>+19084319900</t>
  </si>
  <si>
    <t>Christmas Decor Laborers</t>
  </si>
  <si>
    <t>Move stock or other materials to and from storage or production areas, loading docks, delivery vehicles, or containers, by hand or using trucks, tractors, or other equipment. Sort cargo before loading and unloading. Attach identifying tags to containers or mark them with identifying information. Read work orders or receive oral instructions to determine work assignments or material or equipment needs. Stack cargo in locations, using pallets, boxes or cargo boards. Receive Christmas materials, load onto trucks, organize and prepare stock of holiday decor material. Install and/or remove materials from job sites. Load/unload materials and prepare for storage. Lift up to 50 lbs. May drive crew vehicle. Job Classification: 49-9099.00 - Installation, Maintenance, and Repair Workers, All Other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Must lift/carry 50 lbs., when necessary. Saturday and Sunday work required, when necessary. Overtime required, when necessary. Number of Hours Per Week: 35 Work Schedule (Start/End time): 7:30 A.M. - 4:00 P.M.</t>
  </si>
  <si>
    <t>H-400-26184-076775</t>
  </si>
  <si>
    <t>North Star Pools LLC</t>
  </si>
  <si>
    <t>northstarpools@gmail.com</t>
  </si>
  <si>
    <t>+14806337035</t>
  </si>
  <si>
    <t>Construction laborers will be performing manual and physical duties, use hand and electrical tools and clean or prepare construction sites to eliminate possible hazards to build swimming pools in residential construction. Duties include: Signal equipment operators to facilitate alignment, movement, or adjustment of machinery, equipment, or materials. Load, unload, or identify building materials, machinery, or tools, distributing them to the appropriate locations, according to project plans or specifications. Measure, mark, or record openings or distances to layout areas where construction work will be performed. Dig ditches or trenches, backfill excavations, or compact and level earth to grade specifications, using picks, shovels, pneumatic tampers, or rakes. Mix, pour, or spread concrete, using portable cement mixers. Tend pumps, compressors, or generators to provide power for tools, machinery, or equipment. Erect or dismantle scaffolding, shoring, braces, traffic barricades, ramps, or other temporary structures. Provide assistance to other workers. Lubricate, clean, or repair machinery, equipment, or tools. Position or dismantle forms for pouring concrete, using saws, hammers, nails, or bolts. Smooth or finish freshly poured cement or concrete, using floats, trowels, screeds, or powered cement finishing tools. Operate jackhammers or drills to break up concrete or pavement. Install sewer, water, or storm drain pipes, using pipe-laying machinery or laser guidance equipment. Operate or maintain air monitoring or other sampling devices in confined or hazardous environments. Mix ingredients to create compounds for covering or cleaning surfaces. Position, join, align, or seal structural components, such as concrete wall sections or pipes. Tend machines that pump concrete, or cement through spray guns for application to walls. Apply caulking compounds by hand or caulking guns to protect against entry of water or air. Job Classification: 47-2051.00 - Cement Masons and Concrete Finishers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Three months experience as Construction laborer. Must bend, lift and sustain up to 50 lbs, work under extreme weather conditions. No travel required outside the Metropolitan area, no on-the-job training available, no education required. Post-hire drug test required paid by employer, all US and Guest workers will be screened equally. Number of Hours Per Week: 40 Work Schedule (Start/End time): 7:00 A.M. - 3:00 P.M.</t>
  </si>
  <si>
    <t>H-400-26184-076824</t>
  </si>
  <si>
    <t>Nova Stone LLC</t>
  </si>
  <si>
    <t>novastonellc@gmail.com</t>
  </si>
  <si>
    <t>***RFI response*** This duty involves maintaining the grounds and outdoor surfaces of open-air quarry storage areas. Specifically, Groundskeepers will sweep and rake dirt, dust, and loose debris from the ground surfaces of storage areas; remove litter, brush, and waste materials that accumulate in and around storage areas; clear overgrown vegetation, weeds, and brush from around the perimeters of storage areas to keep them clean and accessible; and rake dirt ground surfaces within storage areas. Tools and equipment used to perform these tasks include brooms, rakes, shovels, wheelbarrows, and trash receptacles. ***Original*** Maintain and prepare grounds of the property of stone quarry clients to prepare quarry sites for the upcoming busy season, to provide groundskeeping services during winter weather events, and to prepare quarry grounds for land reclamation. Groundskeepers will perform a variety of tasks, which may include a combination of the following: Clear brush, cut grass and weeds, and remove vegetation from quarry grounds to prepare new areas for the next quarrying season; Gather and remove litter, debris, and waste materials from quarry grounds; Prepare soil and spread topsoil on reclamation areas to support revegetation; Plant native grasses, shrubs, and other vegetation on quarry grounds as part of land reclamation efforts; Water, mulch, and maintain newly planted vegetation to promote establishment and growth; Clean and organize quarry storage areas and areas where stone will be stored; Prepare grounds and maintain safe site conditions in response to winter weather events, including shoveling snow, de-icing grounds, dirt roads, and dirt paths within quarry grounds through use of water and salt; Clear debris and standing water from quarry grounds, dirt roads, and dirt paths within the quarry following heavy rainfall or flooding events to maintain safe site conditions; Preserve and protect exposed stockpiles and quarry materials during severe weather by covering or relocating vulnerable materials; and Operate vehicles or powered equipment, such as mowers, snow blowers, or chain-saws. Driver's license is not required; however, if a Groundskeeper has a regular driver's license, then that Groundskeeper may drive a crew vehicle to client locations. Job Classification: 37-3011.00 - Landscaping and Groundskeeping Workers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Some overtime and weekend work may be required. Hours may vary, depending on weather. Must be able to perform manual, physical labor outside during all weather conditions (hot, cold, rain, snow, etc.). Must be able to lift up to 80 lbs. Although a driver's license is not required, if the person has a regular, valid driver's license, may drive crew vehicles. Number of Hours Per Week: 40 Work Schedule (Start/End time): 8:00 A.M. - 5:00 P.M.</t>
  </si>
  <si>
    <t>H-400-26184-076709</t>
  </si>
  <si>
    <t>Paramount Maintenance LLC</t>
  </si>
  <si>
    <t>lori@paramountkc.com</t>
  </si>
  <si>
    <t>+19139154258</t>
  </si>
  <si>
    <t>Snow Removal Technicians</t>
  </si>
  <si>
    <t>Shovel and plow snow using hand tools and powered equipment for walk behind clearing in parking lots, driveways, and sidewalks, grounds maintenance, such as litter cleanup, and other duties as assigned related to facilities maintenance, such as clearing roads and facilities of leaves, snow, or debris using hand tools or power equipment including but not limited to rakes, shovels, and snow/leaf blowers. Irrigation system winterization and activation. Potential for fall and spring clean-up, including raking, mulching, and composting of leaves, removal of dead plant material, perennial plant cutbacks, dormant pruning, leaf removal and landscape bed mulching. Operate a snow blower on parking lots, driveways, and sidewalks. De-icing and removal of snow from walks, driveways and parking lots for various residential and commercial properties, using hand tools such as snow brooms, shovels, and spreading de-icing solutions, including calcium chloride or rock salt by hand. May also use walk behind electric or gas snow blowers, as needed. May drive crew vehicle. No driver’s license is required as a condition of employment for the position. If the prospective worker already possesses a standard, noncommercial driver’s license they may be asked to drive a vehicle to job sites, as needed. Job Classification: 37-3011.00 - Landscaping and Groundskeeping Workers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Must lift/carry 50 lbs., when necessary. Saturday and Sunday work required, when necessary. Work hours may include nights, weekends, and overtime during emergencies and winter storm conditions. Post hire post accident drug testing required of foreign and domestic workers. Workers will begin each day at the worksite address. They will then be transported, free of charge, to properties located throughout the area of intended employment, to perform duties. They will then be transported back to the worksite address at the end of each work day. Number of Hours Per Week: 35 Work Schedule (Start/End time): 8:00 A.M. - 5:00 P.M.</t>
  </si>
  <si>
    <t>H-400-26184-076683</t>
  </si>
  <si>
    <t>Personal Touch, Inc.</t>
  </si>
  <si>
    <t>personaltouch@ptincusa.com</t>
  </si>
  <si>
    <t>+13342899412</t>
  </si>
  <si>
    <t>Groundman</t>
  </si>
  <si>
    <t>Maintain vegetation control on utility rights-of-way. This is a full-time temporary job. Work is scheduled Monday-Saturday, 10 hours per day, with Sundays off unless weather prevents work. All work equipment, company t-shirts, and all safety equipment will be provided by the Employer at no cost to the Groundman. Company t-shirts and all safety equipment will be worn by the Groundman at all times while working. No education or previous work-related skill, knowledge, or experience is required. Groundman will use power mowers or edgers; or hand tools such as hand saws, brush trimmers, or axes to trim trees or other vegetation; or spray herbicide onto shrubs or trees using pre-filled backpack hand sprayers. Groundman will walk about 10 miles per day depending on the condition of the terrain. Some terrain will be rough including rocky hills, swamps, etc. The Groundman will work under close supervision and receive specific instructions on required tasks, methods, and results expected. Their work will be closely monitored and reviewed for accuracy. A verbal warning will be given to any Groundman not performing as required with termination occurring at the second offence. Groundman will be subject to pre-employment drug screen and may be subject to a post-employment drug/alcohol screen or criminal background check. Job Classification: 37-3011.00 - Landscaping and Groundskeeping Workers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Must be capable of walking about 10 miles per day depending on the condition of the terrain. Will be subject to a pre-employment drug screen. May be subject to a post-employment drug/alcohol screen or criminal background check. All work equipment, company t-shirts, and all safety equipment will be provided by the employer at no cost to the groundman. Company t-shirts and all safety equipment will be worn by the groundman at all times while working. Number of Hours Per Week: 60 Work Schedule (Start/End time): 7:00 A.M. - 5:00 P.M.</t>
  </si>
  <si>
    <t>H-400-26184-076655</t>
  </si>
  <si>
    <t>Rose Metal LLC</t>
  </si>
  <si>
    <t>luisp0910@gmail.com</t>
  </si>
  <si>
    <t>+12056136000</t>
  </si>
  <si>
    <t>The truss assembler will assemble precut materials, verify the size of each precut part, accuracy of assembly, using ruler and gauges, fitting parts together, place metal reinforcement plates over connecting joints and connects parts at joints, may produce or help produce components according to instructions, use hand tools or machines to build trusses and similar supports used for roof trusses in building construction. May be responsible for pulling plates, stacking of finished product, banding, and marking materials, and pushing products into position by hand or craneon carts to appropriate work area or storing them at the end of the work day to keep the area clean and free of hazardous pieces. Job Classification: 51-2099.00 - Assemblers and Fabricators, All Other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Three months of experience as truss assembler in residential or commercial construction settings. Must bend, lift, and sustain up to 50 lbs, work under extreme hot weather conditions. Travel required within Jefferson and Shelby counties, no on-the-job training available, no education required. Post-hire drug test required paid by employer, all US and Guest workers will be screened equally. Number of Hours Per Week: 40 Work Schedule (Start/End time): 7:00 A.M. - 3:00 P.M.</t>
  </si>
  <si>
    <t>H-400-26184-076729</t>
  </si>
  <si>
    <t>Round Meadow Farm LLC</t>
  </si>
  <si>
    <t>Melissa Sargeant</t>
  </si>
  <si>
    <t>mmunkdale@yahoo.com</t>
  </si>
  <si>
    <t>+16503250196</t>
  </si>
  <si>
    <t>Horse Show Groom</t>
  </si>
  <si>
    <t>Horse Show Groom cares for and maintains show horses for competition. Duties include: inspect horses, exercise, groom, bathe, feed, water, bandage legs, tack up, administer supplements and medicine, maintain stalls and equipment. Accompany horses to horse shows in California. Accommodations provided while at shows outside San Mateo county. Job Classification: 39-2021.00 - Animal Caretakers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Travel and transportation are a business necessity and requirement. Number of Hours Per Week: 36 Work Schedule (Start/End time): 7:30 A.M. - 2:00 P.M.</t>
  </si>
  <si>
    <t>H-400-26184-076720</t>
  </si>
  <si>
    <t>Royal Concrete Design LLC</t>
  </si>
  <si>
    <t>Royalconcrete2020@gmail.com</t>
  </si>
  <si>
    <t>+14792703935</t>
  </si>
  <si>
    <t>Cement Worker</t>
  </si>
  <si>
    <t>Cement worker will smooth and finish surfaces of poured concrete, such as floors, walks, sidewalks, roads, or curbs using a variety of hand and power tools. Align forms for sidewalks, curbs, or gutters; patch voids; and use saws to cut expansion joints. May include applying hardening and sealing compounds to cure the surface of concrete, and waterproof or restore surface applying muriatic acid to clean surface, and rinse with water, building wooden molds, and clamp molds around area to be repaired, using hand tools, checking the forms that hold the concrete to see that they are properly constructed, may chip, scrape, and grind high spots, ridges, and rough projections to finish concrete, using pneumatic chisels, power grinders, or hand tools. Job Classification: 47-2031.00 - Carpenters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Three months experience as Cement worker worker. Must bend, lift and sustain up to 50 lbs, work under extremely weather conditions. No travel required outside Metropolitan area. No education required, no on-the-job training available. Post-hire drug test required paid by the employer, all US and Guest workers will be screened equally. Number of Hours Per Week: 40 Work Schedule (Start/End time): 7:00 A.M. - 3:00 P.M.</t>
  </si>
  <si>
    <t>H-400-26184-076760</t>
  </si>
  <si>
    <t>Seasonal Labor Solutions Ltd</t>
  </si>
  <si>
    <t>tomd_sls@yahoo.com</t>
  </si>
  <si>
    <t>+15305465950</t>
  </si>
  <si>
    <t>Experienced Snowmaker</t>
  </si>
  <si>
    <t>***RFI response*** Over-the-snow vehicles (OSV) may include a 900cc Ski-Doo Expedition snowmobile (643 pounds, 3 cylinders) used to move hose and drag snowmaking nozzles to different locations on the ski slope. OSV may also include a tracked 976CC Can-Am Defender Pro utility vehicle (2300 pounds, 82HP) to push mounds of snow produced to redistribute evenly across the ski slope. ***Original*** Adjust air and water pressure to produce snow. Move hose and monitor snowmaking nozzles. Perform routine cleaning and maintenance to keep nozzles in safe operating condition. Operate over-the-snow vehicles to move equipment and snow (no license necessary). Job Classification: 53-7199.00 - Material Moving Workers, All Other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1 Special Requirements: Must have one full month experience as a snowmaker. Number of Hours Per Week: 48 Work Schedule (Start/End time): 12:00 A.M. - 8:00 A.M.</t>
  </si>
  <si>
    <t>H-400-26184-076770</t>
  </si>
  <si>
    <t>Seasonal Labor Solutions Ltd.</t>
  </si>
  <si>
    <t>H-400-26184-076813</t>
  </si>
  <si>
    <t>Winter Surfaces Road Testing Technician</t>
  </si>
  <si>
    <t>***RFI response*** Over-the-snow vehicles (OSV) may include a tracked 976CC Can-Am Defender Pro utility vehicle (2300 pounds, 82HP) to move equipment to different parts of the test track. Equipment includes hoses, water nozzles and snowmaking nozzles for producing additional snow and spraying asphalt and snow surfaces with water to create ice. OSV also include a Prinoth Husky snow cat (23ft, 231HP 4 cylinder weighing 12,400 pounds) to push snow across test track and compact onto the road surface, and push snow into piles to create berms on the test track. ***Original*** Use snow, ice, and freezing temperatures to produce winter snow conditions on a track for automobile testing. Produce snow and manipulate natural snow with water to replicate various snowy and icy driving conditions on the test track. Build ice surfaces by compacting and manipulating snow. Operate over-the-snow vehicles to move snow and equipment (no license necessary). Perform routine maintenance on snow and ice machines. Job Classification: 53-7199.00 - Material Moving Workers, All Other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1 Special Requirements: Must have one full month experience as a Winter Surfaces Road Testing Technician. Number of Hours Per Week: 48 Work Schedule (Start/End time): 12:00 A.M. - 8:00 A.M.</t>
  </si>
  <si>
    <t>H-400-26184-076781</t>
  </si>
  <si>
    <t>H-400-26184-076803</t>
  </si>
  <si>
    <t>H-400-26184-076791</t>
  </si>
  <si>
    <t>H-400-26184-076651</t>
  </si>
  <si>
    <t>Seasons Hospitality, LLC</t>
  </si>
  <si>
    <t>albanyseasonscatering@gmail.com</t>
  </si>
  <si>
    <t>+15184568000</t>
  </si>
  <si>
    <t>Catering Laborer</t>
  </si>
  <si>
    <t>Workers will assist with event setup and food service, including setting tables, arranging buffet stations, serving plated meals, refilling beverages, passing hors d’oeuvres, and cleaning up after events. Duties include washing dishes, pots, pans, and silverware, and storing equipment after cleaning. Employees will also assist with food preparation such as chopping vegetables, peeling potatoes, preparing salads, grilling proteins including chicken, steak, and burgers, and cooking items such as tacos, hot dogs, and BBQ chicken. Work will be performed at the certified commercial home-site kitchen located at 17 Walker Way, Albany, NY, and at various event locations including banquet halls, schools, clubs, businesses, and event tents within the listed counties. Workers will help transport and move food, supplies, and equipment using carts, hand trucks, and wheeled proofers. Job Classification: 35-2012.00 - Cooks, Institution and Cafeteria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Lifting requirement 70 pounds. Number of Hours Per Week: 40 Work Schedule (Start/End time): 10:30 A.M. - 4:00 P.M.</t>
  </si>
  <si>
    <t>H-400-26184-076649</t>
  </si>
  <si>
    <t>Signature Landscaping &amp; Property Maintenance LLC</t>
  </si>
  <si>
    <t>office@siglandllc.com</t>
  </si>
  <si>
    <t>+13156270086</t>
  </si>
  <si>
    <t>Winter Snow Laborer</t>
  </si>
  <si>
    <t>Workers will use segment pavers. The use of snow shovels and snowblowers to clear sidewalks of accumulated snow. Walk behind salt spreaders used to apply ice melt after clearing of the snow. Digging up to 1 foot deep to install stone base for patio installation. Carrying of pavers to install on the patio. Broom sweeping sand into the patio joints. Wheel barrel topsoil or decorative stone around the patio to complete.Basement remodeling would only consist of helping trained installer carry items in and out of the job. May only do a total of 10-40 hours on this if there is no snow work. Shoveling snow; facility site walk, picking up litter when there is no snow on the ground. Parking lot repair, filling in any potholes that may appear during winter months to prevent hazards using a wheel barrel and bags of asphalt patch. Job Classification: 47-2061.00 - Construction Laborers The job/industry classification and description includes general information on the position from ONET/OES and the North American Industry Classification System. Please review Job Duties and Job Order for more information. Job Requirements Experience Required: No Number of Hours Per Week: 40 Work Schedule (Start/End time): 7:00 A.M. - 5:00 P.M.</t>
  </si>
  <si>
    <t>H-400-26184-076646</t>
  </si>
  <si>
    <t>Sortpack Inc.</t>
  </si>
  <si>
    <t>rcollin@martorifarms.com</t>
  </si>
  <si>
    <t>+19545868824</t>
  </si>
  <si>
    <t>Forklift Driver</t>
  </si>
  <si>
    <t>Unload pallets of fresh fruits: imported winter melons such as cantaloupes, honeydews, mini watermelons, watermelons, and yellowdews from incoming containers and stack them to assigned places. Load pallets of fresh fruit: imported winter melons such as cantaloupes, honeydews, mini watermelons, watermelons and yellowdews to route trucks or containers with accurate predetermined orders. Locate and move stock of fresh fruits: imported winter melons such as cantaloupes, honeydews, mini watermelons, watermelons and yellowdews to pallets or bins for storage or shipment. Identify damages and report shortages or quality deficiencies. Store and remove pallets of fresh fruits: imported winter melons such as cantaloupes, honeydews, mini watermelons, watermelons, and yellow dews from racks of 10 feet of high. Use various loading techniques, such as loading tight or cross loading. Read and interpret shipping labels. Secure freight inside trailers using appropriate tools and supplies (e.g. pallets, straps, rope). Inspect machinery to determine the need for repairs and guarantee safety by performing regular maintenance (e.g., recharging batteries and lubricating equipment). Keep updated records of inventory, and activity logs. Comply with company policies, and legal guidelines. Help maintain a safe, and orderly environment of the facilities. Ensure a safe, efficient, and injury-free working environment. Must be able to work overtime, weekends, and holiday hours. Training will be provided for 21 days from each worker’s initial date of employment. The employer will provide on-the-job training in the proper use and maintenance of tools, supplies, or equipment required in the performance of work (i.e., selector machine). Assurances: Employer will provide workers with all tools, supplies, and equipment needed to perform the job at no cost to the employee. Employer will provide daily transportation to and from the worksite free of charge if living in housing secured with the employer’s assistance. 25. Salary Comments: Workers will be paid no less than $25.05 per hour. A higher rate may apply based on experience, productivity and/or market conditions. Workers will be paid BIWEEKLY by direct deposit or check. Overtime hours may vary, depending on weather or other conditions. Overtime Wage: $37.58 per hour. The Employer will use a single workweek as its standard for computing wages due. Overtime is after 40 hours worked in a work week. 12. Contact Dates (beginning and end of contract): October 1, 2026 until June 15, 2027. If, before the expiration date specified in the job order, the services of a worker are no longer required for reasons beyond the control of the employer due to fire, weather, other Act of God, or similar, unforeseeable man-made catastrophic event, the employer may terminate the job order with written approval of the Certifying Officer, and will make efforts to transfer the workers to comparable employment, or if transfer is not effected, provide return transportation for the worker as specified in the regulations. Other Hiring Benefits: Yes. Paid sick leave (when eligible), Medical Insurance (if eligible), 401k plan (if eligible and employee opts in). A relocation allowance is offered and is an amount of money calculated by the number of days worked x pay rate (stablished by the Management), which workers are offered when they complete the full season and return to their home country, or for domestic workers, to their principal place of residence. Job Classification: 53-7051.00 - Industrial Truck and Tractor Operators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12 Special Requirements: 12 months of experience as sit-down forklift operator in a warehouse of fresh fruits such as cantaloupes, honeydews, mini watermelons, watermelons, and yellow dews pallets. Must have a current certification to operate sit-down forklift in accordance with OSHA standards or foreign equivalent. Must pass forklift driver test, and afterwards the candidate needs to complete a pre-employment drug test. Must have 12 months forklift experience within the last two years. Ability to lift and/or move up 40 pounds and perform tasks that require good hand-eye-foot coordination and sense of balance. Ability to assess and judge weights, distances, and heights. Working knowledge of industrial equipment and attention to detail. Must be able to stack product bins up to 25 feet high, in a safe and neat manner. Able to use hand scanner. Must be able to stack bulk bins safely with forklift. Able to work in a fast pace refrigerated warehouse environment, 50 grades Fahrenheit. Exposure to high-speed equipment and safety procedures. Must comply with company policies. Employer may conduct random, post hiring drug tests, at no cost to the employee. 6 hours Monday through Friday (8 a.m. until 2:30 p.m.) and 5 hours on Saturday (8a.m. until 1 p.m.). Number of Hours Per Week: 35 Work Schedule (Start/End time): 8:00 A.M. - 2:30 P.M.</t>
  </si>
  <si>
    <t>H-400-26184-076656</t>
  </si>
  <si>
    <t>Agricultural Grader, Sorter, Packer (fruit)</t>
  </si>
  <si>
    <t>Agricultural Grader, Sorter, and Packer to perform grading, sorting, and packaging of fruit in a warehouse setting. The Agricultural Grader, Sorter, and Packer is responsible for the selection and packaging of imported winter melons such as cantaloupes, honeydews, mini watermelons, watermelons, and yellowdews. The Agricultural Grader, Sorter, and Packer must examine and inspect fruit to ensure that the packing specifications are met. The melons are selected and packed in packinghouses in countries with warmer weather during the winter months, such as Guatemala and Honduras. However, due to ocean transit time and the melons' natural aging process, the product must be re-inspected once it arrives to the warehouse to meet quality and food safety standards. Agricultural Graders, Sorters, and Packers are trained to identify quality and food safety issues. Additionally, they can differentiate between various grades of condition and quality. In addition to inspecting the melons, the Agricultural Graders, Sorters, and Packers are also responsible for repacking product that does not meet specific quality standards. Agricultural Graders, Sorters, and Packers are trained to operate a selector machine that aids in selecting the melons. Once the product is carefully sorted, the Agricultural Graders, Sorters, and Packers repack the product according to size, commodity, and customer specifications. Responsibilities &amp; Duties: Place products in containers according to grade and mark grades on containers. Weigh products or estimate their weight, visually or by feel. Discard inferior or defective products or foreign matter, and place acceptable products in containers for further processing. Grade and sort products according to factors such as color, species, length, width, appearance, feel, smell, and quality to ensure correct processing and usage. Record grade or identification numbers on tags or on shipping, receiving, or sales sheets. Perform production duties such as manual lifting, packaging, labeling and sorting using hands. Report defective product or questionable conditions to the department supervisor. Maintain the work area and equipment in a clean and orderly condition and follow prescribed food safety regulations. Perform related duties as required by supervision. Work on Sundays may be requested. 6 hours a day Monday through Friday and 5 hours on Saturday - 35 hours per week for regular time with compensable overtime each week. Workers will be paid no less than $15.63 per hour. A higher rate may apply based on experience, productivity and/or market conditions. Workers will be paid BIWEEKLY by direct deposit or check. Overtime hours may vary, depending on weather or other conditions. Overtime Wage: $23.45 per hour. The Employer will use a single workweek as its standard for computing wages due. Assurances Employer will provide workers with all tools, supplies, and equipment needed to perform the job at no cost to the employee. Employer will provide daily transportation to and from the worksite free of charge if living in housing secured with the employer’s assistance. Contact Dates: October 1, 2026, until June 15, 2027. If, before the expiration date specified in the job order, the services of a worker are no longer required for reasons beyond the control of the employer due to fire, weather, other Act of God, or similar, unforeseeable man-made catastrophic event, the employer may terminate the job order with written approval of the Certifying Officer, and will make efforts to transfer the workers to comparable employment, or if transfer is not effected, provide return transportation for the worker as specified in the regulations. Job Classification: 45-2041.00 - Graders and Sorters, Agricultural Products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3 months working as a Melon Grader, Sorter, Packer. Sorting and Packing Requirements: Minimum three-month experience handling and inspecting winter melons, such as cantaloupes, honeydews, and watermelons; sorting, packing, and repacking winter melons grown and harvested in Central America. Knowledge and experience classifying winter melons according to grade and customer specifications. Experience with Right Fruit to Right Customer (RFS) process implemented by the melon warehouses and packing houses or other similar processes. Understand and follow basic verbal and written instructions. Ability to work in a group setting. Ability to use a scale. Effectively communicate information and respond to questions. Possess basic mathematical skills. Perform basic visual quality inspections on products. Maintain the production pace of other team members. Proper grooming standards. Proper clothing including shoes with a good grip. Physical Demands: Required to stand for long periods of time. May involve some repetitive motions. Must be able to lift 40 pounds - More than 40 pounds require team lift. May also engage in frequent bending, stooping, squatting, pushing and pulling of parts and part containers. Food Safety Requirements: General knowledge of safe food handling practices. Knowledge and understanding of industry standards for packing and sorting of winter melons. Ability to work overtime, weekend and holiday hours. Must comply with company policies. Employer may conduct random, post hiring drug tests, at no cost to the employee. Work Schedule: 6 hours Monday through Friday (8 a.m. until 2:30 p.m.) and 5 hours on Saturday (8a.m. until 1 p.m.). Training will be provided for 21 days from each workers initial date of employment. The employer will provide on-the-job training in the proper use and maintenance of tools, supplies, or equipment required in the performance of work (i.e., selector machine). Other Hiring Benefits: Yes. Paid sick leave (when eligible), Medical Insurance (if eligible), 401k plan (if eligible and employee opts in). A relocation allowance is offered and is an amount of money calculated by the number of days worked x pay rate (stablished by the Management), which workers are offered when they complete the full season and return to their home country, or for domestic workers, to their principal place of residence. Number of Hours Per Week: 35 Work Schedule (Start/End time): 8:00 A.M. - 2:30 P.M.</t>
  </si>
  <si>
    <t>H-400-26184-076663</t>
  </si>
  <si>
    <t>Agricultural Grader, Sorter, and Packer to perform grading, sorting, and packaging of fruit in a warehouse setting. The Agricultural Grader, Sorter, and Packer is responsible for the selection and packaging of imported winter melons such as cantaloupes, honeydews, mini watermelons, watermelons, and yellowdews. The Agricultural Grader, Sorter, and Packer must examine and inspect fruit to ensure that the packing specifications are met. The melons are selected and packed in packinghouses in countries with warmer weather during the winter months, such as Guatemala and Honduras. However, due to ocean transit time and the melons' natural aging process, the product must be re-inspected once it arrives to the warehouse to meet quality and food safety standards. Agricultural Graders, Sorters, and Packers are trained to identify quality and food safety issues. Additionally, they can differentiate between various grades of condition and quality. In addition to inspecting the melons, the Agricultural Graders, Sorters, and Packers are also responsible for repacking product that does not meet specific quality standards. Agricultural Graders, Sorters, and Packers are trained to operate a selector machine that aids in selecting the melons. Once the product is carefully sorted, the Agricultural Graders, Sorters, and Packers repack the product according to size, commodity, and customer specifications. Minimum Job Requirements and/or Alternative Job Requirements specifications. Responsibilities &amp; Duties: Place products in containers according to grade and mark grades on containers. Weigh products or estimate their weight, visually or by feel. Discard inferior or defective products or foreign matter, and place acceptable products in containers for further processing. Grade and sort products according to factors such as color, species, length, width, appearance, feel, smell, and quality to ensure correct processing and usage. Record grade or identification numbers on tags or on shipping, receiving, or sales sheets. Perform production duties such as manual lifting, packaging, labeling and sorting using hands. Report defective product or questionable conditions to the department supervisor. Maintain the work area and equipment in a clean and orderly condition and follow prescribed food safety regulations. Perform related duties as required by supervision. Total Hours per week:35. Work on Sundays may be requested. 6 hours a day Monday through Friday and 5 hours on Saturday, 35 hours per week for regular time with compensable overtime each week. Salary: Workers will be paid no less than $19.48 per hour. A higher rate may apply based on experience, productivity and/or market conditions. Workers will be paid BIWEEKLY by direct deposit or check. Overtime hours may vary, depending on weather or other conditions. Overtime Wage $29.22 per hour. The Employer will use a single workweek as its standard for computing wages due. Overtime is after 40 hours worked in a work week. Other Hiring Benefits: Yes. Paid sick leave (when eligible), Medical Insurance (if eligible), 401k plan (if eligible and employee opts in). A relocation allowance is offered and is an amount of money calculated by the number of days worked x pay rate (stablished by the Management), which workers are offered when they complete the full season and return to their home country, or for domestic workers, to their principal place of residence. Contact Dates: 10/1/2026 until 6/15/2027.If, before the expiration date specified in the job order, the services of a worker are no longer required for reasons beyond the control of the employer due to fire, weather, other Act of God, or similar, unforeseeable man-made catastrophic event, the employer may terminate the job order with written approval of the Certifying Officer, and will make efforts to transfer the workers to comparable employment, or if transfer is not effected, provide return transportation for the worker as specified in the regulations Job Classification: 45-2041.00 - Graders and Sorters, Agricultural Products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Sorting and Packing Requirements: Handling and inspecting winter melons, such as cantaloupes, honeydews, and watermelons; sorting, packing, and repacking winter melons grown and harvested in Central America. Knowledge and experience classifying winter melons according to grade and customer specifications. Experience with Right Fruit to Right Customer (RFS) process implemented by the melon warehouses and packing houses or other similar processes. Understand and follow basic verbal and written instructions. Ability to work in a group setting. Ability to use a scale. Effectively communicate information and respond to questions. Possess basic mathematical skills. Perform basic visual quality inspections on products. Maintain the production pace of other team members. Proper grooming standards. Proper clothing including shoes with a good grip. Physical Demands: Required to stand for long periods of time. May involve some repetitive motions. Must be able to lift 40 pounds - More than 40 pounds require team lift. May also engage in frequent bending, stooping, squatting, pushing and pulling of parts and part containers. Food Safety Requirements: General knowledge of safe food handling practices. Knowledge and understanding of industry standards for packing and sorting of winter melons. Ability to work overtime, weekend and holiday hours. Must comply with company policies. Employer may conduct random, post hiring drug tests, at no cost to the employee. Work Schedule: 6 hours Monday through Friday (8 a.m. until 2:30 p.m.) and 5 hours on Saturday (8a.m. until 1 p.m.). Housing Assistance: Employer will assist workers in securing board, lodging, or other facilities. Workers are informed that housing is strictly voluntary/optional and may elect to provide their own housing. Housing secured with the employers assistance is not free of charge and will be deducted from paycheck. The estimated monthly rent is $450.00 to $800.00 per worker, spread over each pay period. Employer will provide daily transportation to and from the worksite free of charge if living in housing secured with the employers assistance. Training: Training will be provided for 21 days from each workers initial date of employment. The employer will provide on-the-job training in the proper use and maintenance of tools, supplies, or equipment required in the performance of work (i.e., selector machine). Number of Hours Per Week: 35 Work Schedule (Start/End time): 8:00 A.M. - 2:30 P.M.</t>
  </si>
  <si>
    <t>H-400-26184-076676</t>
  </si>
  <si>
    <t>Statewide Harvesting &amp; Hauling LLC</t>
  </si>
  <si>
    <t>H2ALabor@statewideharvesting.com</t>
  </si>
  <si>
    <t>+18634394225</t>
  </si>
  <si>
    <t>Agricultural Equipment Mechanic</t>
  </si>
  <si>
    <t>Agricultural Equipment Mechanics: As a critical part of the food chain, the agricultural equipment mechanic job duties are seasonal in that the workers are only needed to repair farm equipment (vehicles, harvesting machines, etc.) during the citrus harvest season. Work Environment: Primarily in a shop environment; exposure to noise, dust, grease, smoke, fumes, noxious odors, gases, and all types of weather and temperature conditions; exposure to hazardous traffic conditions; work and/or walk on various types of surfaces or terrain. Essential Functions and Basic Duties: Following the supervisors instructions, the mechanics will diagnose, repair and overhaul engines, transmissions, components, electrical and fuel systems, etc. for various powered and rolling equipment such as cars, trucks, buses, farm equipment and generators. The employees will work on diesel engines used on farm vehicles such as tractors. Infrequently, perform general repairs on farm generators including adjusting calibrations with a hand wrench and maintain fuel lines using water and steel brushes. (i.e. Norwall Wildcat Freedom agricultural generator that is used in farm buildings and remote areas) The workers will maintain appropriate service and repair records. May infrequently and sporadically engage in equipment repair in fields. Total Hours and Work Schedule: Employer will offer no less than 48 hours of work per week, Monday – Saturday 7:00 a.m. until 3:30 p.m. Workers are needed to begin work on October 1, 2026 until June 30, 2027. Salary Offered Wage: $28.21/hr. Workers will be paid no less than $28.21 per hour. Workers will be paid weekly by direct deposit. Mechanics are exempt from overtime because they repair equipment that is designed to travel over open highways and public roads. If not exempt from overtime, an overtime premium will be paid when required by Federal, State, or local law, including at time-and-a-half after 40 hours in a work week. Overtime hours may vary, depending on weather or other conditions. For workers not exempt from overtime, overtime will be paid at 1.5 times the offered wage, at $42.32 per hour. Workers may be exempt from overtime and double time under the Federal Motor Carriers Act. The Employer will use a single workweek as its standard for computing wages due. Housing: Lodging (optional): Employer will assist workers in securing board, lodging, or other facilities. Workers are informed that housing is strictly voluntary/optional and may elect to provide their own housing. Housing secured with the employer’s assistance is not free of charge and employees must pay rent directly to the landlord. The estimated monthly rent is approximately $157.75 per worker. Employer will provide daily transportation to and from the worksite free of charge if living in housing secured with the employer’s assistance. Tools: Employer will provide workers with all tools, supplies, and equipment needed to perform the job at no cost to the employee. Some of the tools required for this position include wrenches, ratchets, vehicle jacks and other powered and non-powered hand tools. Job Classification: 49-3031.00 - Bus and Truck Mechanics and Diesel Engine Specialists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Must have a valid commercial drivers license or equivalent, pass a required drivers license background check and mandated drug and alcohol test. Must have a valid commercial drivers license or equivalent, pass a required drivers license background check and mandated drug and alcohol test. Agricultural equipment mechanics must have and maintain a suitable driving record, and be insured by the employers insurance company. Primary functions require sufficient physical ability and mobility work in a mechanic shop environment; walk, and sit for a prolonged periods of time; frequently stoop, bend, kneel, crouch, crawl, climb, reach and twist; push, pull, lift and/or carry weight up to 50 pounds. Operate assigned equipment and vehicles; verbally communicate to exchange information. See and hear in the normal range with or without correction. Number of Hours Per Week: 48 Work Schedule (Start/End time): 7:00 A.M. - 3:30 P.M.</t>
  </si>
  <si>
    <t>H-400-26184-076648</t>
  </si>
  <si>
    <t>Timberland Forestry Service</t>
  </si>
  <si>
    <t>25/10/2026</t>
  </si>
  <si>
    <t>tfsmp@comcast.net</t>
  </si>
  <si>
    <t>+14238420683</t>
  </si>
  <si>
    <t>***RFI Response*** The worker picks pine cones by hand by twisting or cutting the cone off the branch with a hand pruner and pole pruner. the worker then places the cones in a 10 gallon bucket and places the bucket of cones at the base of the tree. This is forestry work (Forest &amp; Conservation) This work is done in the pine forest at Weyerhaeuser Timber company located at 1830 County Rd. Camden Al. 35728 ***Original Duties*** This is Forestry Work. Picking Pine Cones in the pine tree forest in Camden AL. This work starts on 10/01/26 and ends 10/25/26 Job Classification: 45-4011.00 - Forest and Conservation Workers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1 Special Requirements: Worker must be in excellent physical condition Number of Hours Per Week: 40 Work Schedule (Start/End time): 8:00 A.M. - 4:00 P.M.</t>
  </si>
  <si>
    <t>H-400-26184-076659</t>
  </si>
  <si>
    <t>Forestry Work. Picking pine cones in the pine forest in Dubberly LA. in Webster Parrish. This work starts on 10/01/26 and ends 10/25/26 Job Classification: 45-4011.00 - Forest and Conservation Workers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1 Special Requirements: Worker must be in Excellent physical condition. Number of Hours Per Week: 40 Work Schedule (Start/End time): 8:00 A.M. - 4:00 P.M.</t>
  </si>
  <si>
    <t>H-400-26184-076831</t>
  </si>
  <si>
    <t>Tree Farm 2, Inc</t>
  </si>
  <si>
    <t>Spyridon Sintsirmas</t>
  </si>
  <si>
    <t>ruthymedinadiaz@gmail.com</t>
  </si>
  <si>
    <t>+13525737781</t>
  </si>
  <si>
    <t>Mow lawns utilizing various motorized equipment such as mowers, trimmers, blowers, edgers. Pick weeds and apply various chemicals for weed control. Prune shrubs and ornamental landscape features with light plant installation.Cut down and remove tree limbs that pose safety hazards.Perform routine grounds maintenance. Load and unload motorized equipment and tools such as shovels, rakes, broomsinto vehicles and trailers. May operate vehicles to and from worksites. Merit based raises at employer's discretion. Job Classification: 37-3011.00 - Landscaping and Groundskeeping Workers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Monday-Thursday, some Fridays and Saturdays required; start/end times vary, schedule varies; overtime varies. Drug testing: pre-employment drug testing required; random drug testing during employment; drug testing during employment for cause; post-accident drug testing. Must be able to lift 40 lbs. Number of Hours Per Week: 40 Work Schedule (Start/End time): 7:00 A.M. - 5:00 P.M.</t>
  </si>
  <si>
    <t>H-400-26184-076692</t>
  </si>
  <si>
    <t>UB Holding LLC</t>
  </si>
  <si>
    <t>acevedob97@yahoo.com</t>
  </si>
  <si>
    <t>+17634982804</t>
  </si>
  <si>
    <t>Shovel snow and grounds maintenance, such as litter cleanup and winterization and activation of irrigation systems. Potential for fall and spring clean-up, including raking, mulching, and composting of leaves, removal of dead plant material, perennial plant cutbacks, landscape bed mulching, and dormant pruning from the ground level. De-icing and removal of snow and debris from walks, driveways and parking lots for various residential and commercial properties using hand tools such as snow brooms, shovels, and spreading de-icing solutions, including calcium chloride or rock salt by hand. May also use walk behind electric or gas snow blowers, as needed. Will not operate a snow plow. Job Classification: 37-3011.00 - Landscaping and Groundskeeping Workers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Must lift/carry 50 lbs., when necessary. Saturday and Sunday work required, when necessary. Must be able to perform manual, physical labor outside during all weather conditions (hot, cold, rain, snow, etc.). Workers will begin each day at the worksite address. They will then be transported, free of charge, to properties located throughout the area of intended employment to perform duties. They will then be transported back to the worksite address at the end of each workday. Number of Hours Per Week: 35 Work Schedule (Start/End time): 1:00 A.M. - 9:00 A.M.</t>
  </si>
  <si>
    <t>H-400-26184-076684</t>
  </si>
  <si>
    <t>US Utility and Storm, LLC</t>
  </si>
  <si>
    <t>usl.utilityandstorm@gmail.com</t>
  </si>
  <si>
    <t>+13344314989</t>
  </si>
  <si>
    <t>***RFI Response*** Any duties which may involve trimming trees or other vegetation will be performed at ground level only and will not be performed above ground level or with any mobile equipment or elevation equipment. No duties will be performed above ground level. ***Original Duties*** This is a full-time temporary job and an entry level position. No experience is required. On-the-job training will be provided. A single 7-day work week is used for wage computation. Wages will be paid weekly. Employer will make all deductions from worker’s paycheck required by law. Work is scheduled Monday-Saturday, 10 hours per day with Sunday off unless weather prevents work. Each applicant will be subject to pre-employment drug screen and may be subject to post employment drug/alcohol screen or criminal background check. All work equipment, company tshirts, and all safety equipment will be provided by the employer at no cost to the Groundman. Company t-shirts and all safety equipment will be worn by the Groundman at all times while working. No education or previous work-related skill, knowledge, or experience is required. Groundman will use power mowers or edgers; or hand tools such as hand saws, brush trimmers, or axes to trim trees or other vegetation; or spray herbicide onto shrubs or trees using pre-filled backpack hand sprayers. Groundman will walk about 10 miles per day depending on the condition of the terrain. Some terrain will be rough including rocky hills, swamps, etc. The Groundman will work under close supervision and receive specific instructions on required tasks, methods, and results expected. Their work will be closely monitored and reviewed for accuracy. A verbal warning will be given to any Groundman not performing as required with termination occurring at the second offense. No travel is required. Job sites are within normal commuting distance of our facility. Job Classification: 37-3011.00 - Landscaping and Groundskeeping Workers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Must be capable of walking about 10 miles per day depending on the condition of the terrain. Will be subject to a pre-employment drug screen. May be subject to a post-employment drug/alcohol screen or criminal background check. All work equipment, company t-shirts, and all safety equipment will be provided by the employer at no cost to the groundman. Company t-shirts and all safety equipment will be worn by the groundman at all times while working. Number of Hours Per Week: 60 Work Schedule (Start/End time): 7:00 A.M. - 5:00 P.M.</t>
  </si>
  <si>
    <t>H-400-26184-076710</t>
  </si>
  <si>
    <t>Utopian Landscapes LLC</t>
  </si>
  <si>
    <t>ashlyn@myutopian.com</t>
  </si>
  <si>
    <t>+17175454321</t>
  </si>
  <si>
    <t>Lighting Technician</t>
  </si>
  <si>
    <t>Will organize and transfer Christmas lights, plastic mounting clips, decorations, ladders, tools and supplies from HQ to work sites. Install, adjust, test and replace Christmas lights and decorations on roof-lines, fences, structures, trees, and bushes per customer’s request. Hold, assist or supply Christmas lights, plastic mounting clips, decorations, extension and step ladders, installation pole with hook, and supplies for other installers. Install and adjust extension cords and automatic timers. Uninstall, remove, organize and store Christmas lights and decorations after the holiday season. Clean and maintain work site. Job Classification: 49-9099.00 - Installation, Maintenance, and Repair Workers, All Other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Must be able to perform physical labor outdoors in all weather conditions, including cold, snow, heat, and rain. OT and weekends required. Must be able to lift up to 75 lbs. Number of Hours Per Week: 35 Work Schedule (Start/End time): 7:00 A.M. - 5:00 P.M.</t>
  </si>
  <si>
    <t>H-400-26184-076701</t>
  </si>
  <si>
    <t>Winter Grounds, Inc.</t>
  </si>
  <si>
    <t>info@wintergrounds.com</t>
  </si>
  <si>
    <t>+15864198870</t>
  </si>
  <si>
    <t>Perform snow removal services at residential and commercial properties, including driveways, parking lots, and sidewalks, using hand tools such as shovels and snow brooms, as well as power-driven equipment like walk-behind electric or gas snow blowers. Apply de-icing materials such as rock salt or calcium chloride to maintain safe walking and driving surfaces. Assist with general grounds and facilities maintenance tasks, including litter collection, clearing debris such as leaves and snow from building entrances and walkways, and winterizing irrigation systems. May perform additional seasonal groundskeeping duties during fall and spring, such as raking, mulching, composting leaves, removing dead plant materials, cutting back perennials, mulching landscape beds, and dormant pruning from ground level. May be asked to drive a crew vehicle to job sites if the worker already possesses a valid, noncommercial driver’s license; however, a driver’s license is not a condition of employment. Workers will not be required to operate a snow plow. Job Classification: 37-3011.00 - Landscaping and Groundskeeping Workers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Must lift/carry 50 lbs when necessary. Saturday and Sunday work required, when necessary. Work hours may include nights and overtime during emergencies and winter storm conditions. Must be able to perform manual, physical labor outside in all weather conditions (hot, cold, rain, snow, etc.). Workers will begin each day at the worksite address. They will then be transported, free of charge, to properties located throughout the area of intended employment to perform duties. They will then be transported back to the worksite address at the end of each workday. Number of Hours Per Week: 35 Work Schedule (Start/End time): 8:00 A.M. - 4:30 P.M.</t>
  </si>
  <si>
    <t>H-400-26184-076704</t>
  </si>
  <si>
    <t>Yard Masters Snow Removal, Inc.</t>
  </si>
  <si>
    <t>bryce@yardmasters.com</t>
  </si>
  <si>
    <t>+18017321200</t>
  </si>
  <si>
    <t>Shovel snow, grounds maintenance, such as litter cleanup and winterization of irrigation systems, and other duties as assigned related to facilities maintenance, such as clearing facilities of leaves, snow, or debris using hand tools or power equipment including but not limited to rakes, shovels, and snow/leaf blowers. Potential for fall and spring clean-up, including raking, mulching, and composting of leaves, removal of dead plant material, perennial plant cutbacks, landscape bed mulching, and dormant pruning from the ground level. Operate a snow blower on parking lots, driveways, and sidewalks. De-icing and removal of snow from walks, driveways and parking lots for various residential and commercial properties, using hand tools such as snow brooms, shovels, and spreading de-icing solutions, including calcium chloride or rock salt by hand. Will not drive snow plow. May also use walk behind electric or gas snow blowers, as needed. May drive crew vehicle. No driver’s license is required as a condition of employment for the position. If the prospective worker already possesses a standard, noncommercial driver’s license they may be asked to drive a vehicle to job sites, as needed. Job Classification: 37-3011.00 - Landscaping and Groundskeeping Workers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Must lift/carry 50 lbs., when necessary. Saturday and Sunday work required, when necessary. Work hours may include nights and overtime during emergencies and winter storm conditions. Must be able to perform manual, physical labor outside during all weather conditions (hot, cold, rain, snow, etc). Workers will begin each day at the worksite address. They will then be transported, free of charge, to properties located throughout the area of intended employment, to perform duties. They will then be transported back to the worksite address at the end of each work day. Number of Hours Per Week: 35 Work Schedule (Start/End time): 8:00 A.M. - 4:30 P.M.</t>
  </si>
  <si>
    <t>H-400-26184-076782</t>
  </si>
  <si>
    <t>Zaldivars Forestry Corp</t>
  </si>
  <si>
    <t>office@zaldivars.com</t>
  </si>
  <si>
    <t>+13607366735</t>
  </si>
  <si>
    <t>Commercial Tree Planting will be conducted on steep terrain; 30%-60% in slope with the use of a planting shovel. The employee will clear a space on the ground, dig a hole, correctly place the seedling tree in the hole, cover the roots with the soil, and then tamp the soil around the newly planted seedling. The employee will be required to carry a planting bag which will contain the seedlings, combined weight is about 50-60 pounds, depending on the size of the seedlings, up and down the steep terrain in remote mountainous areas. Access is gained to these remote areas by traveling on abandoned, unnamed or numbered, logging roads that are maintained. Pre-Commercial Thinning will be conducted on steep terrain; 30% - 60% in slope with a chainsaw cutting brush and noncommercial trees. Worker must carry chainsaw, oil and fuel totaling 50 lbs. A small amount of spraying to be conducted on selected worksites. The employee must demonstrate ability to work in a safe and effective manner. Job Classification: 45-4011.00 - Forest and Conservation Workers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Must be able to plant the following number of trees in an 8 hour day: By the end of the first week - 800; By the end of the second week -900; by the end of the third week - 1000. Number of Hours Per Week: 40 Work Schedule (Start/End time): 7:00 A.M. - 3:30 P.M.</t>
  </si>
  <si>
    <t>H-400-26184-076875</t>
  </si>
  <si>
    <t>AMERIPURE PROCESSING COMPANY, INC.</t>
  </si>
  <si>
    <t>Malvern Burnett</t>
  </si>
  <si>
    <t>accounting@Ameripure.com</t>
  </si>
  <si>
    <t>+13374138000</t>
  </si>
  <si>
    <t>Seafood Processor</t>
  </si>
  <si>
    <t>Open and remove meat from shellfish. Separate and place into containers. Clean work stations. Job Classification: 51-3022.00 - Meat, Poultry, and Fish Cutters and Trimmers The job/industry classification and description includes general information on the position from ONET/OES and the North American Industry Classification System. Please review Job Duties and Job Order for more information. Job Requirements Experience Required: No Number of Hours Per Week: 40 Work Schedule (Start/End time): 5:00 A.M. - 4:00 P.M.</t>
  </si>
  <si>
    <t>H-400-26184-076903</t>
  </si>
  <si>
    <t>Aditya Rajagopalan</t>
  </si>
  <si>
    <t>Damjan Denoble</t>
  </si>
  <si>
    <t>01/09/2029</t>
  </si>
  <si>
    <t>adi.rajagopalan@gmail.com</t>
  </si>
  <si>
    <t>+18603681176</t>
  </si>
  <si>
    <t>Childcare &amp; Development Gentle Guidance: In no event will the child be allowed to engage in any activity that is deemed dangerous by the parents or the nanny. The children are not to be spanked, hit, or touched with force for transgressions. Follow Nap Schedule: The nanny will ensure that children follow the nap schedule and routine provided by the parents. Arrange Healthy Meals/Snacks: The nanny will arrange for full meals three times per day, healthy snacks twice per day, and bottles as needed. Daily Outdoor Time: The nanny will spend at least 90 minutes each day outside with the child, weather permitting, in the backyard of the parents' home or parent-approved parks. Daily Updates to Parents: The nanny will provide the parents with a daily update via text, photo, or video. Transportation Prior Parental Consent: The children will not be transported without the parents’ prior consent and instruction, and no person has permission to transport the children without this consent. The children will not be transported to someone else’s home without the prior consent of the parents. Family Vehicle &amp; Car Seat: All transportation will take place in the parents' vehicle and with a proper car seat provided and approved by the parents. Domestic Duties Clean Bottles/Dishes Used by Child: The nanny is responsible for the daily cleaning of all bottles, cups, dishes, etc., that are used by the child and the nanny, including putting dirty dishes in the dishwasher and running the appropriate cycle. Sweep/Vacuum and Wipe Counters: The nanny will vacuum and/or sweep under the kitchen tables and wipe down tables and countertops after eating, as needed. Pick Up Toys/Clothes in Play Areas: The nanny will pick up toys and clothes daily in the child’s play areas (including the child’s rooms, playroom, living room, and outside) and rotate toys periodically. Other Domestic Duties: The nanny will be responsible for certain other domestic duties as reasonably requested by the parents, including packing the child for trips and organizing the child’s bedroom. Other Responsibilities Follow Rules for Releasing Child: The nanny will not release children to any relative, neighbor, family friend, or friend’s parent without the parents’ direct authorization to do so. No Guests Without Consent: The nanny will not allow or host any guests at the residence without the prior consent of the parents. Emergency Protocol: In the event of an emergency, the nanny must immediately call 911 and then notify the parents. Provide Supplies &amp; Equipment: The parents will provide adequate supplies and equipment for the child (e.g., sun or rain/snow protection such as sunscreen and jackets), which are covered by the parents. Job Classification: 39-9011.01 - Nannies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CPR/First Aid Number of Hours Per Week: 49 Work Schedule (Start/End time): 8:00 A.M. - 5:00 P.M.</t>
  </si>
  <si>
    <t>H-400-26184-076899</t>
  </si>
  <si>
    <t>Agra Lawns, Inc</t>
  </si>
  <si>
    <t>Fernando Saenz</t>
  </si>
  <si>
    <t>agralawns@aol.com</t>
  </si>
  <si>
    <t>+17573400827</t>
  </si>
  <si>
    <t>Landscape Labor</t>
  </si>
  <si>
    <t>Maintain landscapes by performing tasks including but not limited to planting, pruning, mowing, and edging lawns and landscapes using mowers, trimmers, edgers, and related tools. Pull weeds and clear leaves and debris using blowers. install lawns (sod) as per SEC/OES 37-3011. Job Classification: 37-3011.00 - Landscaping and Groundskeeping Workers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Must be able to lift/carry a minimum of 50 lbs and work in bending/ standing positions for extended periods and in all types of weather. Sat and Sun work required, as needed Number of Hours Per Week: 40 Work Schedule (Start/End time): 7:00 A.M. - 4:00 P.M.</t>
  </si>
  <si>
    <t>H-400-26184-076896</t>
  </si>
  <si>
    <t>Allison Steinberg</t>
  </si>
  <si>
    <t>10/08/2029</t>
  </si>
  <si>
    <t>murphy.allison1@gmail.com</t>
  </si>
  <si>
    <t>+19194185355</t>
  </si>
  <si>
    <t>Childcare &amp; Development Gentle Guidance: In no event will the child be allowed to engage in any activity that is deemed dangerous by the parents or the nanny. The children are not to be spanked, hit, or touched with force for transgressions. Follow Nap Schedule: The nanny will ensure that children follow the nap schedule and routine provided by the parents. Arrange Healthy Meals/Snacks: The nanny will arrange for full meals three times per day, healthy snacks twice per day, and prepare bottles as needed. Daily Outdoor Time: The nanny will spend at least 90 minutes each day outside with the child, weather permitting, in the backyard of the parents' home or parent-approved parks. Daily Updates to Parents: The nanny will provide the parents with a daily update via text, photo, or video. Transportation Prior Parental Consent: The children will not be transported without the parents’ prior consent and instruction, and no person has permission to transport the children without this consent. The children will not be transported to someone else’s home without the prior consent of the parents. Family Vehicle &amp; Car Seat: All transportation will take place in the parents' vehicle and with a proper car seat provided and approved by the parents. Insurance Costs: The parents will cover associated insurance costs. Domestic Duties Clean Bottles/Dishes Used by Child: The nanny is responsible for the daily cleaning of all bottles, cups, dishes, etc., that are used by the child and the nanny, including putting dirty dishes in the dishwasher and running the appropriate cycle. Sweep/Vacuum and Wipe Counters: The nanny will vacuum and/or sweep under the kitchen tables and wipe down tables and countertops after eating, as needed. Pick Up Toys/Clothes in Play Areas: The nanny will pick up toys and clothes daily in the child’s play areas (including the child’s rooms, playroom, living room, and outside) and rotate toys periodically. Other Domestic Duties: The nanny will be responsible for certain other domestic duties as reasonably requested by the parents, including packing the child for trips and organizing the child’s bedroom. Other Responsibilities Follow Rules for Releasing Child: The nanny will not release children to any relative, neighbor, family friend, or friend’s parent without the parents’ direct authorization to do so. No Guests Without Consent: The nanny will not allow or host any guests at the residence without the prior consent of the parents. Emergency Protocol: In the event of an emergency, the nanny must immediately call 911 and then notify the parents. Provide Supplies &amp; Equipment: The parents will provide adequate supplies and equipment for the child (e.g., sun or rain/snow protection such as sunscreen and jackets), which are covered by the parents. Additional Duties and Skills Out-of-Home Classes and Activities: The nanny will transport and accompany the youngest child (who is not yet in school) to frequent classes and developmental activities outside of the home, ensuring the child's safety, participation, and engagement. Household Calendar Management: The nanny will assist with managing the household calendar, coordinating daily schedules, and ensuring that all children are transported on time to school, playdates, and various extracurricular activities. Household Organizational Projects: The nanny will assist with maintaining order within the home and taking on specific household organizational projects as reasonably requested by the parents. Travel Planning &amp; Logistics: The nanny will assist the parents with coordinating and planning travel arrangements, including packing, organizing itineraries, and managing travel logistics for the children. Job Classification: 39-9011.01 - Nannies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CPR/First Aid Number of Hours Per Week: 50 Work Schedule (Start/End time): 8:00 A.M. - 5:00 P.M.</t>
  </si>
  <si>
    <t>H-400-26184-076888</t>
  </si>
  <si>
    <t>Amazing Flavor Oysters, LLC</t>
  </si>
  <si>
    <t>AmazingFlavorOysters@gmail.com</t>
  </si>
  <si>
    <t>+19858763799</t>
  </si>
  <si>
    <t>Use nets, traps, dredges, or other equipment to harvest and gather oysters from oyster bottoms, haul onto boats, put in sacks, and stack sacks. Unload sacks from boat onto dock. Clean boat. Job Classification: 45-3031.00 - Fishing and Hunting Workers The job/industry classification and description includes general information on the position from ONET/OES and the North American Industry Classification System. Please review Job Duties and Job Order for more information. Job Requirements Experience Required: No Number of Hours Per Week: 40 Work Schedule (Start/End time): 6:00 A.M. - 2:00 P.M.</t>
  </si>
  <si>
    <t>H-400-26184-076905</t>
  </si>
  <si>
    <t>Andrew DeClercq</t>
  </si>
  <si>
    <t>Mrglca2124@gmail.com</t>
  </si>
  <si>
    <t>+18057242577</t>
  </si>
  <si>
    <t>The Nanny will look after two children. One is an infant, and one is a toddler. The primary responsibility will be for taking care of the infant child, as the older child will be in daycare. The Nanny will have periodic responsibility for the older child when the child is not in daycare. General Duties: Record Keeping: The Nanny must maintain and keep a record of all hours worked each workweek and submit the weekly timesheet to the Employer. Duties for newborn: a. Gentle Guidance: In no event will the Child be allowed to engage in any activity that is deemed dangerous by the Parents or the Nanny. The Child is not to be spanked, hit, or touched with force for transgressions. The Nanny will support the Child with age-appropriate developmental milestones. b. Transportation: The Child will not be transported without the Parents’ prior consent and instruction. The Child will not be transported to someone else’s home without prior consent of the Parents. All transportation will be in the Parents’ vehicle or other vehicle approved in advance by the Parents and with proper car seat provided or approved by the Parents. No person has permission to transport the Child without the Parents’ prior consent. The Parents will cover all reasonable transportation costs. c. Meals: The Nanny will be responsible for appropriate feeding throughout the day. The newborn will be fed bottles as needed (breastmilk, formula, or cow’s milk as directed by the Parents). When age appropriate, the Nanny will arrange for full meals three times per day, healthy snacks at least twice per day, and bottles as needed, as well as access to clean filtered water throughout the day. d. Naps: The Nanny will ensure that the Child follow the nap schedule provided by the Parents. e. Guidelines for Releasing Children: The Nanny will not release the Child to any relative, neighbor, family friend, or friend’s parent without the Parents’ direct authorization to do so. f. Time Outside/Activities: The Nanny will spend at least ninety (90) minutes each day outside with the Child, weather permitting. The Nanny will ensure adequate sun or rain/snow protection for the Child (e.g., sunscreen, jackets, etc. to be provided by the Parents). The Nanny will take to Child to age-appropriate group activities and participate with the Child to encourage development and socialization. Activities will take place multiple times per week with a scheduled to be agreed upon based on the Child's needs and interests. The Parents will pay the cost of any activities. g. Regular Updates to Parents: The Nanny will provide the Parents with updates regarding activities with the child at least once during each day. h. Domestic Duties: The Nanny will be responsible for the following domestic duties as part of her job: i. Baby dishes/bottles: Daily cleaning of all bottles, cups, dishes, etc. that are used by the Child and the Nanny (e.g., the Nanny will put dirty dishes in the dishwasher, run the appropriate dishwasher. The Nanny will also vacuum and/or sweep under the kitchen tables and wipe down tables and countertops after eating, as needed. ii. Play Area: Pick up toys and clothes daily in the Child’s play areas (including Child’s rooms, play room, living room, and outside). iii. Other: The Nanny will keep areas of the home used with the Child tidy and leave the areas tidy and free of clutter at the end of the day. Job Classification: 39-9011.01 - Nannies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12 Special Requirements: The Nanny agrees that she will obtain Cardiopulmonary Resuscitation (CPR) Certification training for infants before or after arriving to the worksite, and Employer will pay for it if necessary; Current COVID-19 vaccination required; driver's license required. Nanny will have to undertake driving lessons in the US, if they do not have a driver's license, or have a foreign driver's license. Number of Hours Per Week: 40 Work Schedule (Start/End time): 9:00 A.M. - 8:00 P.M.</t>
  </si>
  <si>
    <t>H-400-26184-076924</t>
  </si>
  <si>
    <t>BETTIS ASPHALT &amp; CONSTRUCTION, INC.</t>
  </si>
  <si>
    <t>Caroline Mueller</t>
  </si>
  <si>
    <t>whiegert@bettiscompanies.com</t>
  </si>
  <si>
    <t>+17853190002</t>
  </si>
  <si>
    <t>Carpenter Helper</t>
  </si>
  <si>
    <t>Help carpenters by performing duties requiring less skill. Duties include using, supplying, or holding materials or tools, and cleaning work area and equipment. Job Classification: 47-3012.00 - Helpers--Carpenters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ABLE TO LIFT AND CARRY 50 POUNDS. SOME OT AND WEEKENDS REQUIRED. 8 HOUR WORKDAY .Hours may vary from 7 am to 7 pm., 8 hour work shift. Number of Hours Per Week: 40 Work Schedule (Start/End time): 7:00 A.M. - 7:00 P.M.</t>
  </si>
  <si>
    <t>H-400-26184-076876</t>
  </si>
  <si>
    <t>BOCA RATON RACQUET CLUB, LLC</t>
  </si>
  <si>
    <t>Laure DELTIN</t>
  </si>
  <si>
    <t>kristel@padelx.us</t>
  </si>
  <si>
    <t>+12245156412</t>
  </si>
  <si>
    <t>Padel Coach</t>
  </si>
  <si>
    <t>Job Order #125 36 444 Under the supervision of the Head Coach and Club Manager, the Junior Padel Coach will perform the following duties: Conduct individual and group padel coaching sessions (1 to 4 players), specialized clinics, Americano social sessions, and youth/kids clinics. Build and maintain a strong client network to achieve lesson targets (minimum 100 lessons per month expected). Collaborate in organizing, executing, and managing club leagues, Americano sessions, clinics, tournaments, and all sports-related club events. Complete court setup, prepare court materials, inspect rackets and coaching equipment, manage court assignments, and handle member check-ins. Ensure courts are cleaned, maintained, and equipment is securely stored before facility closing. Compete in and represent Padel X in selected USPA, RED Padel, and relevant professional tournaments in the United States. Participate in weekly team meetings for schedule organization and club management. Follow and implement the Level Up Academy training program and adhere to the Padel X Brand Ethic Chart and Code of Conduct. Work Schedule &amp; Hours: Total Hours: 40 hours per week. Days: 6 days a week, Monday through Saturday. Shift Structure (Monday through Friday): Fixed split-shift schedule of 7 hours per day. Morning session from 8:30 AM to 12:00 PM, followed by a midday break, and an afternoon/evening session from 5:00 PM to 8:30 PM. Shift Structure (Saturday): Reduced single shift of 5 hours. Morning session from 8:00 AM to 1:00 PM. (Facility hours are 7:00 AM to 10:00 PM, 7 days a week) Job Classification: 25-3021.00 - Self-Enrichment Teachers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12 Special Requirements: Must possess a valid, official Padel Coaching Certification (mandatory). Strong knowledge of padel techniques, rules, and game strategy. Ability to instruct players of all skill levels. Ability to work flexible hours including evenings and weekends. Number of Hours Per Week: 40 Work Schedule (Start/End time): 8:30 A.M. - 8:30 P.M.</t>
  </si>
  <si>
    <t>H-400-26184-076908</t>
  </si>
  <si>
    <t>Bear Castle Holdings</t>
  </si>
  <si>
    <t>02/09/2029</t>
  </si>
  <si>
    <t>rblane18@gmail.com</t>
  </si>
  <si>
    <t>+19082290621</t>
  </si>
  <si>
    <t>***RFI response*** “Run household errands”: refers to any errands related to items needed for the child. This includes going out to the store to buy diapers or baby wipes. A car will be used. A carseat must be used for the child. “Help pack and travel with the family when they request it”: The nanny will help pack the child’s suitcases if the family is traveling for a brief trip or vacation. The nanny would accompany the family on brief trips, at the family’s expense, where they would also care for the child. These brief trips are not guaranteed to happen, but the need for them may arise in the regular course of the family’s lives. ***Original*** I. Childcare &amp; Development You are responsible for providing a safe, nurturing environment that follows the Fish/Lane Family’s parenting values. Discipline: Use gentle, positive guidance. Physical punishment is never allowed. Routine &amp; Meals: Keep strict nap schedules, prepare healthy meals, and help shop or cook for the child when asked. Sick Care: Care for the child when they are sick, which may include giving medicine or going to the doctor with the parents' permission. Activities: Ensure the child gets at least 90 minutes of outdoor play daily. Updates: Give the parents daily updates on the child. Photos and videos can only be shared directly with the parents. II. Driving &amp; Safety You must be physically able to do the job safely (lifting, bending, using stairs). Transportation: Drive the child to approved activities in the family's car. Always use the car seat. Costs &amp; Requirements: The family pays for the car's gas, insurance, and maintenance. You must keep a valid driver's license, a clean driving record, and up-to-date CPR training. Driving Rules: Obey all traffic laws and never use your phone while driving. You are responsible for paying any of your own parking or traffic tickets. III. Housekeeping &amp; Errands Keep the child's spaces clean and organized. Cleaning: Wash and sanitize the child's bottles, dishes, and care equipment. Tidy up the nursery, playroom, and dining areas. Laundry: Wash, mend, and organize the child's clothes and toys. Errands: Run household errands, carefully manage the "nanny purse," and provide receipts for all expenses. Travel &amp; Living: Clean your provided living space. Help pack and travel with the family when they request it. IV. Security, Privacy &amp; Emergencies Protecting the family's safety and privacy is required. Safety: Only release the child to authorized individuals. Do not have personal guests over during work hours without permission. In an emergency, call 911 first, then the parents. Privacy: Keep all details about the family's life, finances, and home completely confidential. Social Media: Never post photos, videos, or any information about the child or the family on social media. Supplies: The family will provide and pay for all necessary safety and childcare supplies. Job Classification: 39-9011.01 - Nannies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12 Special Requirements: CPR/First Aid Number of Hours Per Week: 44 Work Schedule (Start/End time): 8:00 A.M. - 5:00 P.M.</t>
  </si>
  <si>
    <t>H-400-26184-076921</t>
  </si>
  <si>
    <t>Carmen Elisa Leon Astudillo</t>
  </si>
  <si>
    <t>15/08/2029</t>
  </si>
  <si>
    <t>carmen.leonastudillo@gmail.com</t>
  </si>
  <si>
    <t>+13524489489</t>
  </si>
  <si>
    <t>General duties: The Nanny is to provide responsible care for a newborn and a four-year old child. Childcare &amp; Development Gentle Guidance: In no event will the children be allowed to engage in any activity deemed dangerous by the parents or the nanny. The children are not to be spanked, hit, or touched with force for transgressions. Naps: The nanny will ensure that children follow the nap schedule and routine provided by the parents. Meals &amp; Snacks: The nanny will arrange for full meals three times per day, healthy snacks twice per day, and bottles as needed. Time Outside: The nanny will spend at least 90 minutes each day outside with the children, weather permitting in the backyard of parent homes or parent-approved parks. The nanny will ensure adequate sun or rain/snow protection for the children. Regular Updates: The nanny will provide the parents with a daily update via text, photo, or video. Transportation: The children will not be transported without the parents’ prior consent and instruction. All transportation will be with the parent's vehicle and with a proper car seat provided and approved by parents. Domestic Duties Dishes/Bottles: The nanny is responsible for the daily cleaning of all bottles, cups, dishes, etc., that are used by the children. The nanny will put dirty dishes in the dishwasher and run the appropriate cycle. Kitchen Cleaning: The nanny will vacuum and/or sweep under the kitchen tables and wipe down tables and countertops after eating, as needed. Play Areas: The nanny will pick up toys and clothes daily in the children’s play areas (including the children’s rooms, play room, living room, and outside) and rotate toys periodically. Other Domestic Duties: The nanny will be responsible for certain other domestic duties as reasonably requested by the parents, including packing the children for trips and organizing the children’s bedroom. Other Responsibilities Guidelines for Releasing Children: The nanny will not release children to any relative, neighbor, family friend, or friend’s parent without the parents’ direct authorization to do so. No Guests Without Consent: The nanny may not have guests over to the home without the prior consent of the parents. Emergency Protocol: In the event of an emergency, the nanny will immediately call 911 and then notify the parents. Supplies &amp; Equipment: The parents will provide necessary supplies and equipment, including proper car seats and adequate sun or rain/snow protection (e.g., sunscreen, jackets). Job Classification: 39-9011.01 - Nannies The job/industry classification and description includes general information on the position from ONET/OES and the North American Industry Classification System. Please review Job Duties and Job Order for more information. Job Requirements Experience Required: No Number of Hours Per Week: 53 Work Schedule (Start/End time): 8:00 A.M. - 5:00 P.M.</t>
  </si>
  <si>
    <t>H-400-26184-076909</t>
  </si>
  <si>
    <t>Carvajal Oysters LLC</t>
  </si>
  <si>
    <t>CarvajalOysters@gmail.com</t>
  </si>
  <si>
    <t>H-400-26184-076915</t>
  </si>
  <si>
    <t>Cesar De La Cruz</t>
  </si>
  <si>
    <t>30/09/2027</t>
  </si>
  <si>
    <t>Cdelacruz@shipwsl.com</t>
  </si>
  <si>
    <t>+12672490259</t>
  </si>
  <si>
    <t>General duties: The Nanny is to provide responsible care for the Children and assistance to the household. This includes, but is not limited to, the following: • Gentle Guidance: In no event will a Child be allowed to engage in any activity that is deemed dangerous by the Parents or the Nanny. The Children are not to be spanked, hit, or touched with force for transgressions. • Transportation: The Children will not be transported without the Parents’ prior consent and instruction. The Children will not be transported to someone else’s home without prior consent of the Parents. All transportation will be with the parent's vehicle and with proper car seat provided and approved by parents. No person, other than parent-approved child care providers or babysitters, has permission to transport the Children without the Parents’ prior consent. The Parents will cover all reasonable associated fees, including the Nanny’s car insurance and fuel (the Nanny will be reimbursed for fuel costs associated with transporting the Children, not for personal trips). • Meals: The Nanny will arrange for full meals three times per day, healthy snacks and bottles of milk. • Naps: Nanny will ensure that Children follow the nap schedule and routine provided by the Parents. • Guidelines for Releasing Children: The Nanny will not release Children to any relative, neighbor, family friend, or friend’s parent without the Parents’ direct authorization to do so. • Time Outside: The Nanny will spend at least sixty (60) minutes each day outside with the Child, weather permitting in the backyard of parent homes or parent-approved parks. The Nanny will ensure adequate sun or rain/snow protection for the Child (e.g., sunscreen, jackets, etc. to be provided by the Parents). • Regular Updates to Parents: The Nanny will provide the Parents with a daily update via text message or email. Domestic Duties: The Nanny will be responsible for the following domestic duties as part of her job: i. Baby dishes/bottles: Daily cleaning of all bottles, cups, dishes, etc. that are used by the Child and the Nanny (e.g., the Nanny will put dirty dishes in the dishwasher, run the appropriate dishwasher). The Nanny will also vacuum and/or sweep under the kitchen tables and wipe down tables and countertops after eating, as needed. ii. Play Area: Pick up toys and clothes daily in the Child’s play areas (including Child’s rooms, play room, living room, and outside) and rotate toys periodically. iii. Laundry: weekly cleaning and ironing of the Children's clothes and bedding. iv. Cooking: Weekly meal planning and pre-cooking meals for the Children, to be stored in the freezer. The meals to be prepared for the Children are to be agreed upon with the Parents prior to being made. v. Activities: Organizing, scheduling, and attending appropriate classes, play dates, and activities, to be agreed with the Parents. Job Classification: 39-9011.01 - Nannies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The Nanny agrees that she will obtain Cardiopulmonary Resuscitation (CPR) Certification training for infants before or after arriving to the worksite. The Employer will compensate the nanny for the costs of any such certification. Nanny will have to undertake driving lessons in the US, if they do not have a driver's license, or have a foreign driver's license. Number of Hours Per Week: 44 Work Schedule (Start/End time): 9:00 A.M. - 5:00 P.M.</t>
  </si>
  <si>
    <t>H-400-26184-076900</t>
  </si>
  <si>
    <t>Cindy Davidowitz</t>
  </si>
  <si>
    <t>01/10/2028</t>
  </si>
  <si>
    <t>cindydavidowitz@gmail.com</t>
  </si>
  <si>
    <t>+15168409665</t>
  </si>
  <si>
    <t>Caregiver</t>
  </si>
  <si>
    <t>Provide routine individualized healthcare such as changing bandages and dressing wounds, and applying topical medications at the disabled client's home. Monitor or report changes in health status. May also provide personal care such as bathing, dressing, and grooming of client. Drive and accompany client to medical appointments and other necessary appointments. Job Classification: 31-1121.00 - Home Health Aides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DRIVER'S LICENSE OR ABILITY TO GET DRIVER'S LICENSE REQUIRED. MUST BE ABLE TO LIFT 50 LBS. MPLOYER RESERVES THE RIGHT TO DRUG TEST AT ANY TIME. HOURS WILL VARY Number of Hours Per Week: 44 Work Schedule (Start/End time): 8:00 A.M. - 5:00 P.M.</t>
  </si>
  <si>
    <t>H-400-26184-076912</t>
  </si>
  <si>
    <t>Colleen Baum</t>
  </si>
  <si>
    <t>10/09/2029</t>
  </si>
  <si>
    <t>ckbaum131@gmail.com</t>
  </si>
  <si>
    <t>+13122188888</t>
  </si>
  <si>
    <t>House Manager</t>
  </si>
  <si>
    <t>This is a Household Manager position, in a household that has multiple domestic staff. The Household Manager will be responsible for managing the household’s schedules and calendars, including the schedules of the children and the childcare workers assigned to those children. One of the children is an infant. These duties include: Event planning, organizing, and coordination for children; Arranging appointments for personal and professional needs for children and family; Scheduling home maintenance and repair work, and supervising the project; Handling household bills and administrative duties for parents, as related to both the family and the children; Running errands and performing necessary tasks, like grocery delivery; Supervision of other household staff, such as nannies, of which the family has one; Shopping for food, supplies, and other requested items Other Domestic Duties: The Household will sometimes be responsible for the following domestic duties as part of their job: i. Dishes/bottles: Assisting as necessary with the daily cleaning of all bottles, cups, dishes, etc. that are used by the Child and the domestic staff. ii. Play Area: Pick up toys and clothes daily in the Child’s play areas (including Child’s rooms, play room, living room, and outside) and rotate toys periodically. iii. Child’s Laundry: Weekly, or upon request, cleaning of baby’s laundry to include clothing, bedsheets, bibs, high chair cover, changing pad, etc. Job Classification: 11-9179.00 - Personal Service Managers, All Other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12 Special Requirements: CPR Certification Number of Hours Per Week: 44 Work Schedule (Start/End time): 8:00 A.M. - 5:00 P.M.</t>
  </si>
  <si>
    <t>H-400-26184-076881</t>
  </si>
  <si>
    <t>Commonwealth Event Co.</t>
  </si>
  <si>
    <t>TOMLIN@COMMONWEALTHEVENT.COM</t>
  </si>
  <si>
    <t>+18042666610</t>
  </si>
  <si>
    <t>Special Event Labor</t>
  </si>
  <si>
    <t>Manually move &amp; erect freight, stock, or other materials related to erecting large tent structures including loading and unloading equipment/furnishing for indoor/outdoor events. Set up/break down of tables/chairs/dance floors/stages/tents etc. Clean area before and after the events. Job Classification: 53-7062.00 - Laborers and Freight, Stock, and Material Movers, Hand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Must be able to lift/carry 50lbs and work in both bending and standing positions for extended periods and in all types of weather. Saturday and Sunday work as needed Number of Hours Per Week: 40 Work Schedule (Start/End time): 7:00 A.M. - 4:00 P.M.</t>
  </si>
  <si>
    <t>H-400-26184-076911</t>
  </si>
  <si>
    <t>Ct Wildlife Management Partnership</t>
  </si>
  <si>
    <t>John Bedell</t>
  </si>
  <si>
    <t>drcyrus68@gmail.com</t>
  </si>
  <si>
    <t>+16513572764</t>
  </si>
  <si>
    <t>Lodging Attendant</t>
  </si>
  <si>
    <t>**RFI Response** 1. **Meal Assistance &amp; Kitchen Support Duties**: The employee will assist with light meal preparation, service, and kitchen maintenance as follows: - **Food Preparation**: - Assemble cold food items (e.g., sandwiches, salads, fruit plates) under supervision. - Portion beverages, condiments, and pre-cooked items for service. - **Meal Service**: - Set up buffet stations or dining areas with utensils, napkins, and food. - Replenish food items during meal periods and clear dishes/utensils post-service. - **Dishwashing &amp; Sanitation**: - Operate commercial dishwashers to clean dishes, glassware, silverware, pots, and pans. - Manually scrub items as needed, then sanitize and air-dry. - Maintain dish station cleanliness, empty trash bins, and mop kitchen floors. - Ensure compliance with health/safety standards (e.g., sanitizing surfaces, organizing storage). 2. **Lodge Attendant Duties**: The employee will perform comprehensive housekeeping and facility maintenance, including: - **Guest Room Cleaning**: - Change bed linens, replace towels, and sanitize bathrooms (toilets, showers, sinks). - Dust furniture, vacuum carpets, and restock guest amenities (soap, toilet paper, etc.). - **Laundry Operations**: - Collect soiled linens/towels from guest rooms and transport to laundry facility. - Operate washers/dryers, fold clean linens, and prepare for reuse. - **Exterior &amp; Common Area Maintenance**: - Sweep, hose, and remove debris from outdoor patios, walkways, and entryways. - Wipe down outdoor furniture and ensure guest areas are tidy and hazard-free. - Assist with seasonal tasks (e.g., shoveling snow, clearing leaves). Summary of Core Responsibilities: This dual-role position ensures seamless guest services by: - Supporting meal operations (prep, service, dishwashing). - Maintaining lodge cleanliness (rooms, patios, common areas). - Managing laundry cycles and exterior upkeep. **Original Response** The Lodging Attendant is responsible for ensuring a clean, comfortable, and welcoming environment for guests at a small hunting lodge. This role includes housekeeping, basic maintenance, hospitality services, and guest assistance to enhance the guest experience during hunting season or other seasonal activities. Guest services include greeting and checking in guests upon arrival; providing lodge orientation, assist guests with luggage and transport to cabins/rooms, provide information on hunting areas, lodge amenities, local regulations, and safety, address guest needs and resolve issues promptly and professionally, assist in serving meals or refreshments, as needed. Housekeeping and maintenance duties include cleaning guest rooms/cabins, bathrooms, common areas, and dining spaces, Changning linens, making beds, restocking towels and amenities, and maintaining the cleanliness of the outdoor areas and conducting light maintenance (e.g., changing light bulbs, clearing paths), report larger maintenance issues to manager or owner. Kitchen Support: Assist with breakfast, lunch, and dinner preparation or serving of light meals, such as sandwiches and salads. Help maintain the cleanliness of the kitchen and dining areas, wash dishes, clean kitchen surfaces, and dispose of trash. Logistics and inventory: Track and restock cleaning supplies, guest amenities, and other everyday items such as toiletries, prepare lodge and rooms before guest arrival, and clean up after guest departure, maintain basic inventory logs of supplies, and notify management when low on supplies. Job Classification: 37-2011.00 - Janitors and Cleaners, Except Maids and Housekeeping Cleaners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3 months experience in cleaning commercial hunting lodges. Must be able to push, pull, lift, and carry at least 50 pounds. Number of Hours Per Week: 40 Work Schedule (Start/End time): 8:00 A.M. - 5:00 P.M.</t>
  </si>
  <si>
    <t>H-400-26184-076937</t>
  </si>
  <si>
    <t>Diamond Concrete Cutting, Inc.</t>
  </si>
  <si>
    <t>Baylie Kotsan</t>
  </si>
  <si>
    <t>office@diamondccinc.com</t>
  </si>
  <si>
    <t>+14025804393</t>
  </si>
  <si>
    <t>Perform tasks involving physical labor at construction sites. May operate hand and power tools of all types: air hammers, earth tampers, small mechanical hoists, surveying and measuring equipment, and a variety of other equipment and instruments. May clean and prepare sites, dig trenches, set braces to support the sides of excavations, erect scaffolding, and clean up rubble, debris, and other waste materials. Tend pumps, compressors, or generators to provide power for tools, machinery, or equipment or to heat or move materials, such as asphalt. Lubricate, clean, or repair machinery, equipment, or tools. Signal equipment operators to facilitate alignment, movement, or adjustment of machinery, equipment, or materials. Read plans, instructions, or specifications to determine work activities. Measure, mark, or record openings or distances to layout areas where construction work will be performed. Clean or prepare construction sites to eliminate possible hazards. Load, unload, or identify building materials, machinery, or tools, distributing them to the appropriate locations, according to project plans or specifications. May assist other craft workers. Job Classification: 47-2061.00 - Construction Laborers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Ability to lift 75 pounds Ability to read tape measure Ability to drive Ability to speak the English language Number of Hours Per Week: 55 Work Schedule (Start/End time): 7:00 A.M. - 7:00 P.M.</t>
  </si>
  <si>
    <t>H-400-26184-076883</t>
  </si>
  <si>
    <t>Embassy Lawn &amp; Landscaping, Inc</t>
  </si>
  <si>
    <t>jjordyn@embassyll.com</t>
  </si>
  <si>
    <t>+18164360748</t>
  </si>
  <si>
    <t>Maintain landscapes by performing tasks including but not limited to planting, pruning, mowing, and edging lawns and landscapes using mowers, trimmers, edgers, and related tools. Pull weeds and clear leaves and debris using blowers. install lawns (sod) as per SEC/OES 37-3011. Job Classification: 37-3011.00 - Landscaping and Groundskeeping Workers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Must be able to lift/carry a minimum of 50 lbs and work in bending/standing positions for extended periods and in all types of weather. Sat and Sun work required as needed. Upon offer of employment and prior to orientation, all new hires, both U.S. and H-2B, must submit to and pass an employer-paid drug screening Number of Hours Per Week: 40 Work Schedule (Start/End time): 7:00 A.M. - 4:00 P.M.</t>
  </si>
  <si>
    <t>H-400-26184-076873</t>
  </si>
  <si>
    <t>Golden Rule Contractors, LLC</t>
  </si>
  <si>
    <t>Ryan Sevcik</t>
  </si>
  <si>
    <t>goldenrulecontractors@gmail.com</t>
  </si>
  <si>
    <t>+14026412214</t>
  </si>
  <si>
    <t>Roofer - Helper</t>
  </si>
  <si>
    <t>Physically demanding duties related to new and replacement roofing projects. Assist more experienced roofers with tear off / removal of existing shingles or other roof materials. Clean roof deck in preparation for installation. Assist with re roofing process as directed by foreman. Assist experienced workers with other repair tasks at worksite in connection with, or ancillary to, roofing projects such as gutters, windows, and other related repair (e.g., replacing caulking and sealants to ensure waterproof fit). This may include, for example, repairing or replacing gutters, fascia, and windows that were damaged during the same event as the roof. Tasks (including tasks related to the services as to windows) may involve general labor and assisting more experienced workers by carrying materials, holding materials that are secured by others, applying weather-stripping, and applying caulking compounds as instructed. May use hammers, battery powered drivers, or air nailers to assist with attachment of windows, gutters, and/or fascia to siding. Clean worksite and load trucks at the end of each day. All duties to be performed utilizing proper installation methods and proper fall protection and scaffolding. Job Classification: 47-3016.00 - Helpers--Roofers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Must be at least 18 years old and have ability to consistently lift 80 lbs. as verbally confirmed by applicant. Number of Hours Per Week: 40 Work Schedule (Start/End time): 8:00 A.M. - 5:00 P.M.</t>
  </si>
  <si>
    <t>H-400-26184-076916</t>
  </si>
  <si>
    <t>Hannah Lo</t>
  </si>
  <si>
    <t>joy.lo@outlook.com</t>
  </si>
  <si>
    <t>+19162413610</t>
  </si>
  <si>
    <t>General duties: The Nanny is to provide responsible care for two children. Childcare &amp; Development Daily Routines &amp; Education: The Nanny will be responsible for managing the children's daily morning and bedtime routines, which includes preparing them for the day and walking them to the school bus. Additionally, the Nanny will actively supervise and assist the children with their daily homework assignments. Gentle Guidance: The Nanny must provide gentle guidance and supervision at all times. In no event will the children be allowed to engage in any activity deemed dangerous. The children are never to be spanked, hit, or subjected to any form of physical discipline for transgressions. Meals &amp; Snacks: The Nanny will be responsible for arranging, preparing, and serving healthy meals and snacks for the children throughout the day. Time Outside: The Nanny will ensure the children spend at least 90 minutes each day engaging in outdoor activities, weather permitting, while ensuring they have adequate sun, rain, or snow protection. Regular Updates: The Nanny will maintain open communication with the parents by providing daily updates on the children's activities and well-being via text message, photo, or video. Domestic Duties Dishes &amp; Bottles: The Nanny is responsible for the daily cleaning of all bottles, cups, dishes, and utensils used by the children. This includes loading dirty items into the dishwasher and running the appropriate cycles. Eating Area Maintenance: After meals and snacks, the Nanny will sweep and/or vacuum under the kitchen tables and wipe down all tables and countertops as needed to maintain a sanitary environment. Play Areas: The Nanny will ensure that the children’s play areas (including bedrooms, playrooms, living rooms, and outdoor spaces) remain tidy by picking up toys and clothes daily and rotating toys periodically. Child-Related Housekeeping: The Nanny will perform other child-related domestic duties as reasonably requested by the parents. This includes laundering and folding the children's clothes, organizing the children’s bedrooms, and packing the children's belongings in preparation for trips. Other Responsibilities Family Travel: As reasonably requested, the Nanny will travel with the family on vacations and provide dedicated childcare services during those trips. Guidelines for Releasing Children: The Nanny must strictly adhere to the parents' safety guidelines and will never release the children to any relative, neighbor, family friend, or friend’s parent without the parents’ direct, prior authorization. No Guests Without Consent: The Nanny is strictly prohibited from having personal guests over to the family's home without the prior explicit consent of the parents. Emergency Protocol: In the event of any medical or safety emergency, the Nanny’s immediate protocol is to call 911, secure the children, and then immediately notify the parents. Supplies &amp; Equipment: The parents will be responsible for providing all necessary childcare supplies and equipment (such as proper car seats, strollers, and weather-appropriate gear) required for the Nanny to perform these duties. Job Classification: 39-9011.01 - Nannies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12 Special Requirements: NONE. Number of Hours Per Week: 50 Work Schedule (Start/End time): 8:00 A.M. - 5:00 P.M.</t>
  </si>
  <si>
    <t>H-400-26184-076914</t>
  </si>
  <si>
    <t>Jacqueline Diamond</t>
  </si>
  <si>
    <t>01/09/2027</t>
  </si>
  <si>
    <t>jackie@camptlc.com</t>
  </si>
  <si>
    <t>+15165327666</t>
  </si>
  <si>
    <t>Nanny/childcare Worker</t>
  </si>
  <si>
    <t>The Nanny is to provide responsible care for three (3) children, and keep a clean and safe environment for the children. This includes the following: In no event will the Children be allowed to engage in any activity that is deemed dangerous by the Parents or the Nanny. The Child is not to be spanked, hit, verbally abused/insulted, or touched with force for transgressions. The nanny must use child appropriate language - no cursing. The Child will not be transported without the Parents’ prior consent and instruction. The Child will not be transported to someone else’s home without prior consent of the Parents. All transportation will be in the Parents’ vehicle or Nanny's provided vehicle and with proper car seat provided and approved by the Parents. No person has permission to transport the Child without the Parents’ prior consent. The Nanny will arrange and prepare healthy meals daily, always making sure that all foods offered to the child adhere to the Childs eating restrictions and allergies. The Nanny will assist with weekly food shopping for the children. The Nanny will spend at least ninety (90) minutes each day outside with the Child, weather permitting. The Nanny will help in coordination and transportation of any after school activities or playdates for the child The Nanny will provide the Parents with a daily update via text message or email (or call if necessary) at least once during each day. The Nanny is encouraged to provide a photo or video to the Parents in such update. The Nanny will not administer any medication, including over-the-counter medications, unless specifically directed to do so by the Parents. The Nanny will not have any guests at the Parent’s primary residence or around the Child without the prior consent of the Parents. This includes other children, nannies, and neighbors as well as friends, family members, or significant others of the Nanny. The Nanny will be responsible for the following domestic duties as part of her job: i. Dishes: Daily cleaning of all cups, dishes, etc. that are used by the Children and the Nanny (e.g., the Nanny will put dirty dishes in the dishwasher, run the appropriate dishwasher. The Nanny will also vacuum and/or sweep under the kitchen tables and wipe down tables and countertops after eating, as needed. ii. Play Area: Pick up toys and clothes daily in the Children’s play areas (including Child’s rooms, play room, living room, and outside). iii. Other Domestic Duties related to the nannying and care of the Children: The Nanny will be responsible for certain other domestic duties directly related to the nannying of children, as reasonably requested by the Parents (e.g., packing the Children for trips, organizing the Children’s bedroom, etc.). Job Classification: 39-9011.01 - Nannies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12 Special Requirements: THE NANNY AGREES THAT SHE WILL OBTAIN CARDIOPULMONARY RESUSCITATION (CPR) CERTIFICATION TRAINING FOR INFANTS BEFORE OR AFTER ARRIVING AT THE WORKSITE. THE EMPLOYER WILL COMPENSATE THE NANNY FOR THE COSTS OF ANY SUCH CERTIFICATION. NANNY WILL HAVE TO UNDERTAKE DRIVING LESSONS IN THE US, IF THEY DO NOT HAVE A DRIVER'S LICENSE, OR HAVE A FOREIGN DRIVER'S LICENSE. Number of Hours Per Week: 40 Work Schedule (Start/End time): 8:00 A.M. - 8:00 P.M.</t>
  </si>
  <si>
    <t>H-400-26184-076879</t>
  </si>
  <si>
    <t>Jesus Zarraga</t>
  </si>
  <si>
    <t>jesuszarraga1015@gmail.com</t>
  </si>
  <si>
    <t>+19856884178</t>
  </si>
  <si>
    <t>H-400-26184-076917</t>
  </si>
  <si>
    <t>Joan Adele Dulieu</t>
  </si>
  <si>
    <t>03/09/2028</t>
  </si>
  <si>
    <t>james.rouse@talk21.com</t>
  </si>
  <si>
    <t>+19174553989</t>
  </si>
  <si>
    <t>***RFI response*** - Meals (Issue 1): The Nanny does not cook the three daily meals. The meals are prepared in advance by a cook, by the Parents, or otherwise by a third party. The Nanny arranges for the pre-prepared meals to be served to the child in her care: she places the food in front of the child and warms it as needed using the microwave available in the home. The food is eaten by the one child for whom the Nanny provides care. - Other Domestic Duties (Issue 2): These duties consist of packing the Child for trips, organizing the Child's bedroom when it becomes messy in the course of the Nanny's duties, and assisting with potty training as necessary when the Parents are not home. No special tools, equipment, or materials are required to perform these tasks. ***Original*** General duties: The Nanny is to provide responsible care for two children • Gentle Guidance: In no event will a Child be allowed to engage in any activity that is deemed dangerous by the Parents or the Nanny. The Children are not to be spanked, hit, or touched with force for transgressions. • Transportation: The Children will not be transported without the Parents’ prior consent and instruction. The Children will not be transported to someone else’s home without prior consent of the Parents. All transportation will be with the parent's vehicle and with proper car seat provided and approved by parents. No person has permission to transport the Children without the Parents’ prior consent. • Meals: The Nanny will arrange for full meals three times per day, healthy snacks twice per day, and bottles as needed. • Naps: Nanny will ensure that Children follow the nap schedule and routine provided by the Parents. • Guidelines for Releasing Children: The Nanny will not release Children to any relative, neighbor, family friend, or friend’s parent without the Parents’ direct authorization to do so. • Time Outside: The Nanny will spend at least thirty (30) minutes each day outside with the Child, weather permitting in the backyard of parent homes or parent-approved parks. The Nanny will ensure adequate sun or rain/snow protection for the Child (e.g., sunscreen, jackets, etc. to be provided by the Parents). • Regular Updates to Parents: The Nanny will provide the Parents with a daily update via text message or email. Domestic Duties: The Nanny will be responsible for the following domestic duties as part of her job: i. Baby dishes/bottles: Daily cleaning of all bottles, cups, dishes, etc. that are used by the Child and the Nanny (e.g., the Nanny will put dirty dishes in the dishwasher, run the appropriate dishwasher). The Nanny will also vacuum and/or sweep under the kitchen tables and wipe down tables and countertops after eating, as needed. ii. Play Area: Pick up toys and clothes daily in the Child’s play areas (including Child’s rooms, play room, living room, and outside) and rotate toys periodically. iii. Child’s Laundry: Weekly, or upon request, cleaning of baby’s laundry to include clothing, bedsheets, bibs, high chair cover, changing pad, etc. iv. Other Domestic Duties: The Nanny will be responsible for certain other domestic duties as reasonably requested by the Parents (e.g., packing the Child for trips, organizing the Child’s bedroom, assisting with potty training, etc.). Job Classification: 39-9011.01 - Nannies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Employer reserves right to drug test during employment. Number of Hours Per Week: 56 Work Schedule (Start/End time): 6:00 A.M. - 8:00 P.M.</t>
  </si>
  <si>
    <t>H-400-26184-076894</t>
  </si>
  <si>
    <t>Justin Beall's Landscape Service LLC</t>
  </si>
  <si>
    <t>Adam Greenberg</t>
  </si>
  <si>
    <t>contact@homeyou.com</t>
  </si>
  <si>
    <t>+14127936147</t>
  </si>
  <si>
    <t>Landscape or maintain properties using tools or equipment. Tasks may include sod laying, installing trees, shrubs and lawn; trimming, planting, watering, fertilizing, digging, raking, and sprinkler installation. Work on weekends may be required in place of another day. Job Classification: 37-3011.00 - Landscaping and Groundskeeping Workers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Must be able to lift 50 lbs. Work in adverse weather conditions. Must be able to pass a post-employment drug test paid by the employer. Number of Hours Per Week: 40 Work Schedule (Start/End time): 7:00 A.M. - 4:00 P.M.</t>
  </si>
  <si>
    <t>H-400-26184-076895</t>
  </si>
  <si>
    <t>Katie Rismanchi</t>
  </si>
  <si>
    <t>12/08/2028</t>
  </si>
  <si>
    <t>krismanchi@googlemail.com</t>
  </si>
  <si>
    <t>+12025095156</t>
  </si>
  <si>
    <t>***RFI response*** (1) Workers supervised: the family's nanny/nannies. The family currently employs one (1) nanny assigned to the children. Supervision includes setting the nanny's schedule and hours; assigning and directing childcare-related tasks; relaying the parents' instructions and standards; acting as point of contact between parents and nanny; and monitoring performance. (2) Home maintenance/repair: the Manager arranges, schedules, supervises, and verifies work by outside contractors and does not perform repairs. Tasks: identifying needs (e.g., HVAC, plumbing, house cleaning, electrical maintenance, appliance repair, landscaping, handyman); selecting contractors; comparing quotes; scheduling site access around family/staff schedules; approving payment; recordkeeping; and warranty follow-up. Authority: may select, engage, and pay routine/recurring contractors (ex. House cleaners) without prior approval within a parent-set per-project budget, and direct vendors on scope, location, and timing; non-routine or higher-cost projects above that threshold go to the parents for final approval with the Manager's recommendation. Supervisory duties: monitoring on-site progress; inspecting work for scope and quality; . These contractors are independent vendors, not household employees. Tools: computer/laptop, smartphone, email, scheduling apps, spreadsheets and digital records, and payment methods (online bill-pay, household cards, or check); contractors supply their own tools and materials. (3) Household bills/administrative duties: receiving, organizing, and tracking bills/invoices (utilities, internet/cable/phone, insurance, subscriptions, services); tracking due dates and paying on time by online banking, scheduled/auto pay, or check; maintaining records of bills, receipts, and payments; tracking spending against a budget and reconciling accounts; managing household mail and documents; and handling children's paperwork (school enrollment, medical/insurance forms); Techniques/technologies/equipment: computer/laptop and smartphone; online banking and bill-pay platforms; spreadsheet software (e.g., Excel, Google Sheets) and/or finance/budgeting software (e.g., Quicken, QuickBooks); email and calendar apps; scanner, printer, and digital/cloud plus physical filing; and payment methods including household cards and check. ***Original*** This is a Household Manager position, in a household that has multiple domestic staff. The Household Manager will be responsible for managing the household’s schedules and calendars, including the schedules of the children and the childcare workers assigned to those children. One of the children is an infant. These duties include: Event planning, organizing, and coordination for children; Arranging appointments for personal and professional needs for children and family; Scheduling home maintenance and repair work, and supervising the project; Handling household bills and administrative duties for parents, as related to both the family and the children; Running errands and performing necessary tasks, like grocery delivery; Supervision of other household staff, such as nannies, of which the family has one; Shopping for food, supplies, and other requested items Other Domestic Duties: The Household will sometimes be responsible for the following domestic duties as part of their job: i. Dishes/bottles: Assisting as necessary with the daily cleaning of all bottles, cups, dishes, etc. that are used by the Child and the domestic staff. ii. Play Area: Pick up toys and clothes daily in the Child’s play areas (including Child’s rooms, play room, living room, and outside) and rotate toys periodically. iii. Child’s Laundry: Weekly, or upon request, cleaning of baby’s laundry to include clothing, bedsheets, bibs, high chair cover, changing pad, etc. Job Classification: 11-9179.00 - Personal Service Managers, All Other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12 Special Requirements: Driver's License Number of Hours Per Week: 44 Work Schedule (Start/End time): 8:00 A.M. - 5:00 P.M.</t>
  </si>
  <si>
    <t>H-400-26184-076930</t>
  </si>
  <si>
    <t>Larry's Oysters LLC</t>
  </si>
  <si>
    <t>mellanieverdin@yahoo.com</t>
  </si>
  <si>
    <t>+19856965558</t>
  </si>
  <si>
    <t>Use nets, traps, dredges or other equipment to harvest and gather oysters from oyster bottoms, haul onto boats, put in sacks, stack sacks. Unload sacks. Clean boat. Job Classification: 45-3031.00 - Fishing and Hunting Workers The job/industry classification and description includes general information on the position from ONET/OES and the North American Industry Classification System. Please review Job Duties and Job Order for more information. Job Requirements Experience Required: No Number of Hours Per Week: 40 Work Schedule (Start/End time): 6:00 A.M. - 2:00 P.M.</t>
  </si>
  <si>
    <t>H-400-26184-076935</t>
  </si>
  <si>
    <t>H-400-26184-076910</t>
  </si>
  <si>
    <t>Lovely Nanny Home</t>
  </si>
  <si>
    <t>14/09/2029</t>
  </si>
  <si>
    <t>1027Savile@gmail.com</t>
  </si>
  <si>
    <t>+12026422164</t>
  </si>
  <si>
    <t>***RFI response*** The Nanny does not cook the three daily meals. The meals are prepared in advance by a cook, by the Parents, or otherwise by a third party. The Nanny arranges for the pre-prepared meals to be served to the child in her care: she places the food in front of the child and warms it as needed using the microwave available in the home. The food is eaten by the one child for whom the Nanny provides care. No special tools are required. ***Original*** I. Childcare &amp; Developmental Support The Nanny is expected to provide a nurturing and structured environment that prioritizes the child’s emotional and physical milestones. Behavioral Philosophy: The Nanny shall utilize gentle guidance and positive reinforcement to manage behavior. Under no circumstances is physical discipline or corporal punishment permitted. Schedule Adherence: The Nanny is responsible for following the established nap and rest schedule to ensure the child remains well-rested and on a consistent routine. Nutritional Care: The Nanny will plan, prepare, and arrange healthy, age-appropriate meals and snacks throughout the day, ensuring all dietary needs are met. Physical Activity: Weather permitting, the Nanny shall facilitate at least 90 minutes of daily outdoor time. This includes supervised play in the yard, walks, or visits to local parks to encourage physical health. Parental Communication: The Nanny will provide consistent daily updates to the parents via text, photos, or video, detailing the child’s activities, mood, and any notable developments. Specialized Educational Engagement: Utilizing a background or specialized education in Early Childhood Development, the Nanny will implement age-appropriate activities designed to stimulate cognitive, social, and emotional growth. II. Transportation &amp; Safety Consent Protocol: Any and all transportation of the child (whether walking or via vehicle) requires prior parental consent. Safety Compliance: When transportation is authorized, the Nanny must ensure the child is properly secured in age-appropriate safety restraints at all times. III. Domestic &amp; Household Maintenance To maintain a hygienic and organized environment specifically for the child, the Nanny will perform the following domestic tasks: Sanitization: Cleaning and washing all bottles, dishes, and utensils utilized by the child throughout the shift. Organization of Play Areas: Regularly picking up and organizing toys, books, and clothing in the designated play areas and the child’s bedroom. Ancillary Domestic Support: Assisting with child-related household management, including organizing the child’s bedroom/closet and assisting with packing for family trips or outings. IV. Safety, Security &amp; Professional Conduct The safety of the child and the security of the home remain the highest priority. Authorized Release of Care: The child shall only be released to the parents or individuals specifically authorized by the parents in writing. No exceptions will be made. Home Security: To maintain privacy and security, the Nanny is prohibited from having personal guests on the premises without express prior consent from the parents. Emergency Protocols: In the event of an emergency, the Nanny must immediately follow the established safety protocol: contacting 911 for immediate medical or safety threats, followed by an immediate notification to the parents. Professional Boundaries: The Nanny is expected to maintain a professional demeanor and uphold the household’s privacy and confidentiality standards at all times. Job Classification: 39-9011.01 - Nannies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12 Special Requirements: First Aid or CPR - before or after hiring Number of Hours Per Week: 50 Work Schedule (Start/End time): 8:00 A.M. - 5:00 P.M.</t>
  </si>
  <si>
    <t>H-400-26184-076934</t>
  </si>
  <si>
    <t>MLI INVESTMENT LLC</t>
  </si>
  <si>
    <t>SHASTINGS@MLI-IN.COM</t>
  </si>
  <si>
    <t>+13177585722</t>
  </si>
  <si>
    <t>Remove snow from sidewalks, walkways and roads using a snow shovel and apply ice/salt melt using a walk behind spreader.50LBS LIFTING REQUIREMENTS Job Classification: 37-2011.00 - Janitors and Cleaners, Except Maids and Housekeeping Cleaners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NONE. Number of Hours Per Week: 40 Work Schedule (Start/End time): 7:00 A.M. - 5:00 P.M.</t>
  </si>
  <si>
    <t>H-400-26184-076892</t>
  </si>
  <si>
    <t>Marioss Oysters, LLC</t>
  </si>
  <si>
    <t>MariosOysters@gmail.com</t>
  </si>
  <si>
    <t>H-400-26184-076906</t>
  </si>
  <si>
    <t>Matthew Gang</t>
  </si>
  <si>
    <t>mattgang1011@gmail.com</t>
  </si>
  <si>
    <t>+15169871919</t>
  </si>
  <si>
    <t>***RFI response*** - Meals (Issue 1): The Nanny does not cook the three daily meals. The meals are prepared in advance by a cook, by the Parents, or otherwise by a third party. The Nanny arranges for the pre-prepared meals to be served to the child in her care: she places the food in front of the child and warms it as needed using the microwave available in the home. The food is eaten by the one child for whom the Nanny provides care. - Other Domestic Duties (Issue 2): These duties consist of packing the Child for trips, organizing the Child's bedroom when it becomes messy in the course of the Nanny's duties, and assisting with potty training as necessary when the Parents are not home. No special tools, equipment, or materials are required to perform these tasks. ***Original*** General duties: The Nanny is to provide responsible care for two children • Gentle Guidance: In no event will a Child be allowed to engage in any activity that is deemed dangerous by the Parents or the Nanny. The Children are not to be spanked, hit, or touched with force for transgressions. • Transportation: The Children will not be transported without the Parents’ prior consent and instruction. The Children will not be transported to someone else’s home without prior consent of the Parents. All transportation will be with the parent's vehicle and with proper car seat provided and approved by parents. No person has permission to transport the Children without the Parents’ prior consent. • Meals: The Nanny will arrange for full meals three times per day, healthy snacks twice per day, and bottles as needed. • Naps: Nanny will ensure that Children follow the nap schedule and routine provided by the Parents. • Guidelines for Releasing Children: The Nanny will not release Children to any relative, neighbor, family friend, or friend’s parent without the Parents’ direct authorization to do so. • Time Outside: The Nanny will spend at least thirty (30) minutes each day outside with the Child, weather permitting in the backyard of parent homes or parent-approved parks. The Nanny will ensure adequate sun or rain/snow protection for the Child (e.g., sunscreen, jackets, etc. to be provided by the Parents). • Regular Updates to Parents: The Nanny will provide the Parents with a daily update via text message or email. Domestic Duties: The Nanny will be responsible for the following domestic duties as part of her job: i. Baby dishes/bottles: Daily cleaning of all bottles, cups, dishes, etc. that are used by the Child and the Nanny (e.g., the Nanny will put dirty dishes in the dishwasher, run the appropriate dishwasher). The Nanny will also vacuum and/or sweep under the kitchen tables and wipe down tables and countertops after eating, as needed. ii. Play Area: Pick up toys and clothes daily in the Child’s play areas (including Child’s rooms, play room, living room, and outside) and rotate toys periodically. iii. Child’s Laundry: Weekly, or upon request, cleaning of baby’s laundry to include clothing, bedsheets, bibs, high chair cover, changing pad, etc. iv. Other Domestic Duties: The Nanny will be responsible for certain other domestic duties as reasonably requested by the Parents (e.g., packing the Child for trips, organizing the Child’s bedroom, assisting with potty training, etc.). Job Classification: 39-9011.01 - Nannies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Lifting a child is required. Number of Hours Per Week: 44 Work Schedule (Start/End time): 8:00 A.M. - 5:00 P.M.</t>
  </si>
  <si>
    <t>H-400-26184-076918</t>
  </si>
  <si>
    <t>Matthew Wilkin</t>
  </si>
  <si>
    <t>matthewtwelve@gmail.com</t>
  </si>
  <si>
    <t>+16464681910</t>
  </si>
  <si>
    <t>Childcare &amp; Development: Gentle guidance / no physical discipline Follow nap schedule Arrange healthy meals/snacks Daily outdoor time (90 minutes, weather permitting) Daily updates to parents (text/photo/video) Transportation: Transport child in family vehicle (with car seat provided) Only with prior parental consent Cover associated insurance costs Domestic Duties: Clean bottles/dishes used by child Sweep/vacuum under tables, wipe down counters Pick up toys/clothes in play areas Other domestic duties (packing for trips, organizing child’s bedroom) Other Responsibilities: Follow rules for releasing child (to parents’ authorized persons only) No guests without consent Emergency protocol (call 911/parents) Provide supplies &amp; equipment (covered by parents) Additional Duties/Skills: CPR/First Aid Job Classification: 39-9011.01 - Nannies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12 Special Requirements: CPR/First Aid Must be able to swim. Number of Hours Per Week: 47 Work Schedule (Start/End time): 8:00 A.M. - 5:00 P.M.</t>
  </si>
  <si>
    <t>H-400-26184-076870</t>
  </si>
  <si>
    <t>McKinnis Inc.</t>
  </si>
  <si>
    <t>Kasey.scott@mckinnisinc.com</t>
  </si>
  <si>
    <t>+14024262644</t>
  </si>
  <si>
    <t>Repair and install the roofs of buildings and residences using a variety of materials, including shingles, asphalt, and metal. Tear off existing roofing materials to the decking (plywood) and joists; replace damaged or rotting plywood or joists; install vapor barriers or layers of insulation per roofing plan specifications; install shingles, asphalt, metal, or other materials per roofing plans specifications; align roofing materials with edges of the roof; cut roofing materials to fit around walls or vents; and collect and dispose of roofing material waste and debris. Depending on experience, may serve as onsite crew leader of other roofers and helpers. Perform other repair tasks at worksite in connection with, or ancillary to, roofing projects such as gutters, windows, and other related repair. May engage in similar activities as noted above in response to customer service requests after installation of initial roofing system. Job Classification: 47-2181.00 - Roofers The job/industry classification and description includes general information on the position from ONET/OES and the North American Industry Classification System. Please review Job Duties and Job Order for more information. Job Requirements Experience Required: No Number of Hours Per Week: 45 Work Schedule (Start/End time): 7:00 A.M. - 5:00 P.M.</t>
  </si>
  <si>
    <t>H-400-26184-076919</t>
  </si>
  <si>
    <t>Mid States Materials LLC.</t>
  </si>
  <si>
    <t>khockins@bettiscompanies.com</t>
  </si>
  <si>
    <t>+17852073772</t>
  </si>
  <si>
    <t>Helpers - Carpenters</t>
  </si>
  <si>
    <t>Help carpenters by performing duties requiring less skill. Duties include using, supplying, or holding materials or tools, and cleaning work area and equipment. Job Classification: 47-3012.00 - Helpers--Carpenters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ABLE TO LIFT AND CARRY 50 POUNDS. SOME OT AND WEEKENDS REQUIRED. 8 HOUR WORKDAY . ONSITE safety and MSHA training provided. HOURS MAY VARY BUT WORKERS WILL WORK AN 8 HOUR SHIFT WITHIN MON-FRI, 7AM-6PM. Number of Hours Per Week: 40 Work Schedule (Start/End time): 7:00 A.M. - 6:00 P.M.</t>
  </si>
  <si>
    <t>H-400-26184-076929</t>
  </si>
  <si>
    <t>Miracle Landscapes, Inc.</t>
  </si>
  <si>
    <t>miracle.landscapes@hotmail.com</t>
  </si>
  <si>
    <t>+14025801805</t>
  </si>
  <si>
    <t>Perform tasks involving physical labor at construction sites. May operate hand and power tools of all types: air hammers, earth tampers, cement mixers, small mechanical hoists, surveying and measuring equipment, and a variety of other equipment and instruments. May clean and prepare sites, dig trenches, set braces to support the sides of excavations, erect scaffolding, and clean up rubble, debris, and other waste materials. May assist other craft workers. Job Classification: 47-2061.00 - Construction Laborers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Must be willing to work in the heat for long periods of time. Must be able to lift 100 lbs. on a consistent basis. Must be able to work evenings and week-ends, if necessary. Number of Hours Per Week: 45 Work Schedule (Start/End time): 7:00 A.M. - 3:00 P.M.</t>
  </si>
  <si>
    <t>H-400-26184-076880</t>
  </si>
  <si>
    <t>Ohio GroundsKeeping LLC</t>
  </si>
  <si>
    <t>ops@ohiogroundskeeping.com</t>
  </si>
  <si>
    <t>+16142186864</t>
  </si>
  <si>
    <t>Landscape or maintain grounds of property using hand or power tools or equipment. Workers typically perform a variety of tasks, which may include any combination of the following: sod laying, mowing, trimming, planting, watering, fertilizing, digging, raking, sprinkler installation, and installation of mortarless segmental concrete masonry wall units. Job Classification: 37-3011.00 - Landscaping and Groundskeeping Workers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ABLE TO LIFT AND CARRY 50 POUNDS, 8 HOUR WORKDAY, SOME OVERTIME AND WEEKENDS REQUIRED. Number of Hours Per Week: 40 Work Schedule (Start/End time): 7:00 A.M. - 4:00 P.M.</t>
  </si>
  <si>
    <t>H-400-26184-076874</t>
  </si>
  <si>
    <t>PMJ PROPERTIES, INC.</t>
  </si>
  <si>
    <t>30/10/2026</t>
  </si>
  <si>
    <t>islandclubjobs@gmail.com</t>
  </si>
  <si>
    <t>+12168989951</t>
  </si>
  <si>
    <t>Perform any combination of light cleaning duties to maintain private households or commercial establishments, such as hotels and hospitals, in a clean and orderly manner. Duties may include making beds, replenishing linens, cleaning rooms and halls, and vacuuming. Details; Carry linens, towels, toilet items, and cleaning supplies, using wheeled carts. Clean rooms, hallways, lobbies, lounges, restrooms, corridors, elevators, stairways, locker rooms, and other work areas so that health standards are met. Clean rugs, carpets, upholstered furniture, and draperies, using vacuum cleaners and shampooers. Bring soiled and clean laundry back and forth from homes and condos. Job Classification: 37-2011.00 - Janitors and Cleaners, Except Maids and Housekeeping Cleaners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ABLE TO LIFT AND CARRY 50 POUNDS. SOME OT AND WEEKENDS REQUIRED. 8 HOUR WORKDAY . Number of Hours Per Week: 40 Work Schedule (Start/End time): 8:00 A.M. - 5:00 P.M.</t>
  </si>
  <si>
    <t>H-400-26184-076898</t>
  </si>
  <si>
    <t>Paola Calvachi</t>
  </si>
  <si>
    <t>11/08/2028</t>
  </si>
  <si>
    <t>p.calvachi29@gmail.com</t>
  </si>
  <si>
    <t>+18572649054</t>
  </si>
  <si>
    <t>Childcare Responsibilities Ensuring the safety, well-being, and age-appropriate development of the children at all times while on duty Supervising and engaging the children in enriching activities such as reading, crafts, music, outdoor play, and imaginative play Preparing and serving nutritious meals and snacks for the children three times per day, with two healthy snacks and two bottles of breastmilk or cow’s milk daily (as age-appropriate) Assisting with bottle-feeding, diapering, and potty training in line with developmental stages Managing the children’s nap schedules as directed by the parents Ensuring at least 90 minutes of outdoor time each day, weather permitting, while using appropriate protective gear (e.g., sunscreen, jackets), which will be provided by the parents Cleaning and organizing children’s play areas and bedrooms on a daily basis Washing, folding, and organizing children’s laundry Transporting the children only with prior parental consent, using a vehicle approved by the parents (either the family car or the maternal grandmother’s vehicle), and utilizing proper car seats as provided by the parents Never releasing the children to anyone (including relatives, friends, or neighbors) without the parents' direct authorization Escorting the children to and from classes or scheduled activities when requested Providing a daily update via text or email to the parents, summarizing the children’s day, including meals, naps, and notable events; at least one photo or video per day is encouraged, though not required. Behavioral Guidance The Nanny shall follow the family’s preference for gentle and respectful discipline. Under no circumstances shall the children be physically punished or touched with force for any reason. Behavioral redirection, verbal communication, and age-appropriate consequences are to be used in alignment with the parents’ values. Domestic and Household Support Cleaning and maintaining any dishes, bottles, and utensils used during the day by the children and/or the nanny, including operating the dishwasher as needed Wiping down tables, countertops, and sweeping or vacuuming under dining areas after childrens meals. Assisting with general organization and light tidying of the home as it relates to childcare activities (e.g., packing for the children’s trips, organizing closets or drawers in their room) Keeping her own bedroom and bathroom clean and presentable at all times Job Classification: 39-9011.01 - Nannies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12 Special Requirements: CPR and Driving License Number of Hours Per Week: 44 Work Schedule (Start/End time): 8:00 A.M. - 6:00 P.M.</t>
  </si>
  <si>
    <t>H-400-26184-076922</t>
  </si>
  <si>
    <t>Pyramid Contractors, Inc.</t>
  </si>
  <si>
    <t>matt.edelman@pyramidroof.com</t>
  </si>
  <si>
    <t>+14025029300</t>
  </si>
  <si>
    <t>Physically demanding duties related to new and replacement low/steep slope residential asphalt roofing projects. Direct the removal of roofing materials and the sweeping and cleaning of roofs to prepare them for the application of new roofing materials. Set ladders, scaffolds, and hoists. Cover roofs with layers of roofing felt or similar materials to prepare for installation. Install and repair roofs with shingles, slate, asphalt, wood, or related standard roofing materials. May assist with other repair tasks and projects at worksite in connection with / ancillary to roofing projects. All duties to be performed utilizing proper fall protection and scaffolding. Job Classification: 47-2181.00 - Roofers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Must be at least 18 years old, have ability to consistently lift at least 80 lbs. as verbally confirmed by applicant, and have ability to climb ladders as verbally confirmed by applicant. Number of Hours Per Week: 40 Work Schedule (Start/End time): 8:00 A.M. - 5:00 P.M.</t>
  </si>
  <si>
    <t>H-400-26184-076887</t>
  </si>
  <si>
    <t>R.F. Lusa &amp; Sons Sheetmetal, Inc</t>
  </si>
  <si>
    <t>robbie@rflusa.com</t>
  </si>
  <si>
    <t>+18636820798</t>
  </si>
  <si>
    <t>Assist roofers in the installation, repair, and replacement of commercial and residential roofing systems. Load and unload roofing materials, carry supplies to roof areas, and prepare work surfaces by removing debris and old roofing materials by hand. Position ladders, scaffolds, and safety equipment. Hold, cut, and position roofing materials, such as shingles, metal panels, underlayment, insulation board, and membrane sheets, into place for the roofer to secure. Clean and maintain work areas, remove waste from roofs, and dispose of materials as directed. Follow all safety instructions while working on flat and pitched roofs at varying heights. Work requires repetitive lifting, bending, kneeling, carrying up to 75 pounds, and climbing ladders. Work is performed outdoors and involves exposure to various weather conditions, including hot, cold, and wet weather, as well as sun, wind, rain, and temperature changes. Uses basic hand tools such as utility knives, hammer tackers, roofing hammers, pry bars, tape measures, chalk lines, scoop shovels, and brooms. May use low-skill power tools such as screw guns and drills as directed. Job Classification: 47-2181.00 - Roofers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3 months experience in basic commercial and residential roofing. Must be able to push, pull, lift, and carry at least 50 pounds. Number of Hours Per Week: 40 Work Schedule (Start/End time): 5:30 A.M. - 1:30 P.M.</t>
  </si>
  <si>
    <t>H-400-26184-076882</t>
  </si>
  <si>
    <t>SCA Construction LLC</t>
  </si>
  <si>
    <t>Minwon Cho</t>
  </si>
  <si>
    <t>reesealley@sca.construction</t>
  </si>
  <si>
    <t>+14706300015</t>
  </si>
  <si>
    <t>Pond Maintenance Technician</t>
  </si>
  <si>
    <t>Diagnose and repair pond structures (pipes, joints, outlets, rock filtration, etc.); Inspect dry/wet ponds, assess service needs, perform general preventative maintenance (vegetation trimming, sediment removal, etc.); Coordinate inventory related to pond maintenance and repair; Maintain and service machinery and small equipment used for pond maintenance. Job Classification: 49-9099.00 - Installation, Maintenance, and Repair Workers, All Other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24 Special Requirements: 2 years of experience as maintenance/operations technician or closely related, experience must include inspecting and repairing equipment or infrastructure; conducting maintenance; and inventory and/or logistics coordination. Require daily travel to pond sites within the Atlanta metropolitan area. Number of Hours Per Week: 40 Work Schedule (Start/End time): 7:00 A.M. - 4:00 A.M.</t>
  </si>
  <si>
    <t>H-400-26184-076897</t>
  </si>
  <si>
    <t>SOUTHERN MILLING &amp; LUMBER INC</t>
  </si>
  <si>
    <t>brenna@southernmilling.com</t>
  </si>
  <si>
    <t>+18636821605</t>
  </si>
  <si>
    <t>Production Workers-helpers</t>
  </si>
  <si>
    <t>Production Worker Helpers will assist in the construction, repair, and refurbishment of wooden pallets used for the storage and transportation of materials. Workers will perform manual labor tasks in a production yard or facility, including measuring, positioning, and securing lumber components using basic hand tools, power tools, and pneumatic fastening equipment. Duties include assembling new pallets by aligning boards and fastening components to meet standard size and quality requirements, as well as repairing and refurbishing used pallets by removing damaged boards, replacing defective materials, and reinforcing structural integrity. Workers will inspect pallets for visible defects, ensure proper alignment and stability, and prepare finished pallets for storage or shipment. Workers will utilize basic tools and equipment, including hammers, pry bars, nail pullers, tape measures, hand saws, power drills, and pneumatic nail guns. Workers may also use standard material handling equipment, such as pallet jacks, to move materials and finished products within the worksite. Additional duties include handling raw materials, loading and unloading lumber and pallets, stacking and organizing materials, maintaining a clean and safe work area, and performing general production and labor tasks as assigned. The work is performed in a warehouse, shop, or outdoor yard environment and involves prolonged standing, repetitive motions, bending, and lifting. Workers must be able to lift and carry materials weighing up to 50 pounds and perform physically demanding tasks in varying environmental conditions. Job Classification: 51-7011.00 - Cabinetmakers and Bench Carpenters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3 months experience in wooden pallet building. Must be able to push, pull, lift, and carry at least 50 pounds. Number of Hours Per Week: 40 Work Schedule (Start/End time): 8:00 A.M. - 5:00 P.M.</t>
  </si>
  <si>
    <t>H-400-26184-076913</t>
  </si>
  <si>
    <t>Production Worker Helpers will assist in the construction, repair, and refurbishment of wooden pallets used for the storage and transportation of materials. Workers will perform manual labor tasks in a production yard or facility, including measuring, positioning, and securing lumber components using basic hand tools, power tools, and pneumatic fastening equipment. Duties include assembling new pallets by aligning boards and fastening components to meet standard size and quality requirements, as well as repairing and refurbishing used pallets by removing damaged boards, replacing defective materials, and reinforcing structural integrity. Workers will inspect pallets for visible defects, ensure proper alignment and stability, and prepare finished pallets for storage or shipment. Workers will utilize basic tools and equipment, including hammers, pry bars, nail pullers, tape measures, hand saws, power drills, and pneumatic nail guns. Workers may also use standard material handling equipment, such as pallet jacks, to move materials and finished products within the worksite. Additional duties include handling raw materials, loading and unloading lumber and pallets, stacking and organizing materials, maintaining a clean and safe work area, and performing general production and labor tasks as assigned. The work is performed in a warehouse, shop, or outdoor yard environment and involves prolonged standing, repetitive motions, bending, and lifting. Workers must be able to lift and carry materials weighing up to 50 pounds and perform physically demanding tasks in varying environmental conditions. Job Classification: 51-7011.00 - Cabinetmakers and Bench Carpenters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Must have at least 3 months experience building wooden pallets. Must be able to lift, push, pull, and carry at least 50 pounds. Number of Hours Per Week: 40 Work Schedule (Start/End time): 8:00 A.M. - 5:00 P.M.</t>
  </si>
  <si>
    <t>H-400-26184-076923</t>
  </si>
  <si>
    <t>Santos Rodriguez</t>
  </si>
  <si>
    <t>Use nets, traps, dredges or other equipment to harvest and gather oysters from oyster bottoms, haul onto boats, put in sacks, stack sacks. Unload sacks. Clean boat. Job Classification: 45-3031.00 - Fishing and Hunting Workers The job/industry classification and description includes general information on the position from ONET/OES and the North American Industry Classification System. Please review Job Duties and Job Order for more information. Job Requirements Experience Required: No Number of Hours Per Week: 40 Work Schedule (Start/End time): 6:00 A.M. - 3:00 P.M.</t>
  </si>
  <si>
    <t>H-400-26184-076926</t>
  </si>
  <si>
    <t>H-400-26184-076891</t>
  </si>
  <si>
    <t>Tara P Sullivan</t>
  </si>
  <si>
    <t>16/06/2028</t>
  </si>
  <si>
    <t>tpetrolino@mac.com</t>
  </si>
  <si>
    <t>+19083039129</t>
  </si>
  <si>
    <t>Handle housekeeping including grocery shopping and daily meal preparation for children, laundry for children’s clothes, sanitization and organization of children’s living space, etc.; Organize schedule and provide transportation for children to/from school, extracurricular activities, playdates, doctor appointments, etc.; Monitor children’s mental and physical health including regulating sleep/nap schedule, observing abnormal behaviors, administering medicines, etc., and advocate for the children’s needs; Nourish children’s social and intellectual development by assisting with homework, developing rules and boundaries, attending to their emotional needs, etc. Job Classification: 39-9011.01 - Nannies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36 Special Requirements: MINIMUM 3 YEARS OF PRIOR EXPERIENCE AS A FULL-TIME NANNY WITH DUTIES INCLUDING HOUSEKEEPING, SCHEDULE MANAGING, AND MONITORING MENTAL AND PHYSICAL HEALTH. Number of Hours Per Week: 40 Work Schedule (Start/End time): 2:30 P.M. - 8:30 P.M.</t>
  </si>
  <si>
    <t>H-400-26184-076904</t>
  </si>
  <si>
    <t>VICTOR BERNARD QUENTIN BOMERS</t>
  </si>
  <si>
    <t>hello@bomers.family</t>
  </si>
  <si>
    <t>+12078894089</t>
  </si>
  <si>
    <t>Childcare &amp; Development: Gentle guidance / no physical discipline Follow nap schedule Arrange healthy meals/snacks Daily outdoor time (90 minutes, weather permitting) Daily updates to parents (text/photo/video) Transportation: Transport child in family vehicle (with car seat provided) Only with prior parental consent Cover associated insurance costs Domestic Duties: Clean bottles/dishes used by child Sweep/vacuum under tables, wipe down counters Pick up toys/clothes in play areas Other domestic duties (packing for trips, organizing child’s bedroom) Other Responsibilities: Follow rules for releasing child (to parents’ authorized persons only) No guests without consent Emergency protocol (call 911/parents) Provide supplies &amp; equipment (covered by parents) Additional Duties/Skills: CPR/First Aid Job Classification: 39-9011.01 - Nannies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12 Special Requirements: CPR/First Aid Number of Hours Per Week: 50 Work Schedule (Start/End time): 8:00 A.M. - 5:00 P.M.</t>
  </si>
  <si>
    <t>H-400-26184-076884</t>
  </si>
  <si>
    <t>White Castle Roofing and Contracting, Inc.</t>
  </si>
  <si>
    <t>info@whitecastleroofing.com</t>
  </si>
  <si>
    <t>+14024231796</t>
  </si>
  <si>
    <t>Physically demanding duties related to new and re-roofing projects. Tearoff / remove existing roofing materials and underlayment using proper methods for removal. Clean roof deck and surrounding structure. Perform minor roof deck repairs and other projects ancillary to roofing project, as needed. Install underlayment and new roofing materials using proper methods for installation. All duties to be performed utilizing proper fall protection and scaffolding. Job Classification: 47-2181.00 - Roofers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Must be at least 18 years old and have ability to consistently lift 70 lbs. as verbally confirmed by applicant. Number of Hours Per Week: 40 Work Schedule (Start/End time): 8:00 A.M. - 5:00 P.M.</t>
  </si>
  <si>
    <t>H-400-26184-076890</t>
  </si>
  <si>
    <t>Roofing Helper</t>
  </si>
  <si>
    <t>Physically demanding duties related to new and re-roofing projects. Assist more experienced roofers and crew leaders by using, supplying, or holding materials and tools. Unload materials and tools from work trucks. Remove old roofing materials. Sweep and clean roofs to prepare them for the application of new roofing materials. Set ladders, scaffolds, and hoists, and use the same to take supplies to roofs. Cover roofs with layers of roofing felt or similar materials to prepare for installation. Assist with re-roofing process as directed by foreman. Maintain tools and clean work area and equipment. Assist with other projects ancillary to roofing projects. All duties to be performed utilizing proper fall protection and scaffolding. Job Classification: 47-3016.00 - Helpers--Roofers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Must be at least 18 years old and have ability to consistently lift 70 lbs. as verbally confirmed by applicant. Number of Hours Per Week: 40 Work Schedule (Start/End time): 8:00 A.M. - 5:00 P.M.</t>
  </si>
  <si>
    <t>H-400-26184-076871</t>
  </si>
  <si>
    <t>Wine Island, LLC</t>
  </si>
  <si>
    <t>aliciawhat@att.net</t>
  </si>
  <si>
    <t>+19858687191</t>
  </si>
  <si>
    <t>Open and remove meat from shellfish. Separate and place into containers. Clean workstations. Job Classification: 51-3022.00 - Meat, Poultry, and Fish Cutters and Trimmers The job/industry classification and description includes general information on the position from ONET/OES and the North American Industry Classification System. Please review Job Duties and Job Order for more information. Job Requirements Experience Required: No Number of Hours Per Week: 40 Work Schedule (Start/End time): 6:00 A.M. - 3:00 P.M.</t>
  </si>
  <si>
    <t>H-400-26184-077006</t>
  </si>
  <si>
    <t>Algonquin Club Hexagon LLC</t>
  </si>
  <si>
    <t>Keith Pabian</t>
  </si>
  <si>
    <t>workwithus@thequin.com</t>
  </si>
  <si>
    <t>+16172662400</t>
  </si>
  <si>
    <t>Servers will be responsible for greeting customers, setting up the dining areas, taking and placing orders, carrying trays and plates, serving food and beverages, cleaning and clearing tables, providing excellent customer service, delivering checks and collecting payments, cooperating and communicating with all serving and kitchen staff, and adhering to all relevant health department rules/regulations and all customer service guidelines. Schedule: 35 hours per week. Work schedule can vary and can include evening, weekend, and holiday hours. Work may be performed on any day of the week from Monday through Sunday. Example shift: 4:00pm – 11:00pm. Shift hours may vary. Please see the attached job description for additional details. Job Classification: 35-3031.00 - Waiters and Waitresses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6 Special Requirements: The Petitioner will consider for employment any person who possesses at least six (6) months of experience in a fine-dining or high-volume environment at a high-end restaurant, resort, or private club. Applicant must complete pre-employment background check and reference check at employers expense. Number of Hours Per Week: 35 Work Schedule (Start/End time): 4:00 P.M. - 11:00 P.M.</t>
  </si>
  <si>
    <t>H-400-26184-077002</t>
  </si>
  <si>
    <t>B &amp; K Carnival Company, Inc.</t>
  </si>
  <si>
    <t>James Judkins</t>
  </si>
  <si>
    <t>bitnerbeak@aol.com</t>
  </si>
  <si>
    <t>+18439923277</t>
  </si>
  <si>
    <t>49-9098: Helpers—installation, Maintenance, and Repair Worke</t>
  </si>
  <si>
    <t>Help installation, maintenance, and repair workers in maintenance, parts replacement, and repair of vehicles, industrial machinery, and electrical and electronic equipment. Perform duties such as furnishing tools, materials and supplies to other workers; cleaning work area, machines, and tools; and holding materials or tools for other workers. Job Classification: 49-9098.00 - Helpers--Installation, Maintenance, and Repair Workers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Post-employment random drug testing &amp; background checks may be required, at no cost to the worker. The job requires the applicant to be qualified, ready, willing, able, &amp; available to perform during the entire employment at the designated worksite; to enter into &amp; comply with employment contract; to follow workplace rules. Number of Hours Per Week: 35 Work Schedule (Start/End time): 8:00 A.M. - 4:00 P.M.</t>
  </si>
  <si>
    <t>H-400-26184-076993</t>
  </si>
  <si>
    <t>B. Original Foods LLC</t>
  </si>
  <si>
    <t>19/04/2027</t>
  </si>
  <si>
    <t>tjanas@me.com</t>
  </si>
  <si>
    <t>+15617185377</t>
  </si>
  <si>
    <t>H-400-26184-076970</t>
  </si>
  <si>
    <t>Operate equipment used for applying concrete, asphalt, or other materials to road beds, parking lots, or airport runways and taxiways or for tamping gravel, dirt, or other materials. Includes concrete and asphalt paving machine operators, form tampers, tamping machine operators, and stone spreader operators. Job Classification: 47-2071.00 - Paving, Surfacing, and Tamping Equipment Operators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ABLE TO LIFT AND CARRY 50 POUNDS. SOME OT AND WEEKENDS REQUIRED. 8 HOUR WORKDAY .Hours may vary between 7 am and 7 pm. Number of Hours Per Week: 40 Work Schedule (Start/End time): 7:00 A.M. - 7:00 P.M.</t>
  </si>
  <si>
    <t>H-400-26184-076972</t>
  </si>
  <si>
    <t>Bapptre Landscaping Inc</t>
  </si>
  <si>
    <t>Kim Carlson</t>
  </si>
  <si>
    <t>bruce@shineillumination.com</t>
  </si>
  <si>
    <t>+19493067280</t>
  </si>
  <si>
    <t>Laborers will assist with the installation of customized seasonal, holiday lighting at both residential and commercial locations. Specific duties to include: assisting with wrapping lighting around trees and displays and with removal of the lighting at the end of the holiday season. Job Classification: 49-9099.00 - Installation, Maintenance, and Repair Workers, All Other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1 Special Requirements: Must pass a ladder test. Must be able to lift 50 lbs. Climbing ladders, bending, kneeling, and reaching high areas required. Basic knowledge of electrical skills for light installation required. Workers will be required to wear safety harnesses. Number of Hours Per Week: 40 Work Schedule (Start/End time): 8:00 A.M. - 5:00 P.M.</t>
  </si>
  <si>
    <t>H-400-26184-076997</t>
  </si>
  <si>
    <t>Big Lakes Lawncare</t>
  </si>
  <si>
    <t>Michele@biglakeslawncare.com</t>
  </si>
  <si>
    <t>+15864745433</t>
  </si>
  <si>
    <t>Duties may include: Attend morning meetings; load tools, plants, &amp; materials into trucks; dig holes; install plants; mow; trim shrubs; spread mulch; clean up leaves; participate in safety program; use hand tools such as shovels, rakes, pruning saws, hedge trimmers, axes; may operate vehicles &amp; other related Landscape Laborer activities as per SOC/OES 37-3011 (onetonline.org). Job Classification: 37-3011.00 - Landscaping and Groundskeeping Workers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Must be 18 due to equipment use. Must show proof of legal authorization to work in the United States. Drug/alcohol/tobacco free work zone. Perform physical activities: such as lift, balance, walk, stoop, handle, position, move, manipulate materials use static strength to exert maximum muscle force to lift, push, pull, carry objects up to 50lbs. All applicants must be able, willing and qualified to perform work described and must be available for the entire period specified and work throughout all areas of intended employment. Work is performed outdoors, exposed to weather; must be capable of doing physically strenuous labor for long hours, occasionally in extreme heat or cold. Variable weather conditions apply; hours may fluctuate (+/-), possible downtime and/or overtime. ABLE TO LIFT AND CARRY 50 POUNDS, SOME OVERTIME AND WEEKENDS REQUIRED. 8 HOUR WORKDAY. EMPLOYER WILL PAY SICK TIME In accordance with applicable Michigan state law, Earned Sick Time Act 338, employers are required to provide earned sick time to their employees. The amount of paid sick leave provided may vary depending on the size of the business. Number of Hours Per Week: 40 Work Schedule (Start/End time): 7:00 A.M. - 5:00 P.M.</t>
  </si>
  <si>
    <t>H-400-26184-076940</t>
  </si>
  <si>
    <t>Bliss Nail Salon Inc</t>
  </si>
  <si>
    <t>Michele Contreras</t>
  </si>
  <si>
    <t>gegmuck11@yahoo.com</t>
  </si>
  <si>
    <t>+16104430899</t>
  </si>
  <si>
    <t>Nail Technician</t>
  </si>
  <si>
    <t>Provide services such as manicures, pedicures, refills, and full sets of acrylic nails. Clean and shape customers’ fingernails and toenails. Polish or decorate nails. Workers may be responsible for cleaning the salon, washing towels, and refilling stock in the salon. Job Classification: 39-5092.00 - Manicurists and Pedicurists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12 Special Requirements: N/A F.a.5 A-H. (continued): 10-hour workday. Monday Saturday, 9:00am-7:00pm, days off vary. No OT. Number of Hours Per Week: 40 Work Schedule (Start/End time): 9:00 A.M. - 7:00 P.M.</t>
  </si>
  <si>
    <t>H-400-26184-077004</t>
  </si>
  <si>
    <t>Carbajal Salty Oysters, LLC</t>
  </si>
  <si>
    <t>CarbajalSaltyOysters@gmail.com</t>
  </si>
  <si>
    <t>H-400-26184-076945</t>
  </si>
  <si>
    <t>Catracho Oysters LLC</t>
  </si>
  <si>
    <t>CatrachoOysters@gmail.com</t>
  </si>
  <si>
    <t>Deckhands, Oyster Boat</t>
  </si>
  <si>
    <t>H-400-26184-076938</t>
  </si>
  <si>
    <t>Dos Rios, LLC</t>
  </si>
  <si>
    <t>10/01/2027</t>
  </si>
  <si>
    <t>Foodieclub@hotmail.com</t>
  </si>
  <si>
    <t>+19286079425</t>
  </si>
  <si>
    <t>Front Of The House</t>
  </si>
  <si>
    <t>Ensure a welcoming environment for guests while maintaining organization and cleanliness in the service area. Opening duties include preparing the cash register, counting the drawer, completing the cashier report, preparing coffee, and ensuring that all machines and service areas are clean and ready. Customer service duties include greeting guests, taking customer orders at the counter, processing payments, and serving food and beverages to customers at their tables. Restock chip bags, silverware containers, napkins, straws, to-go bags, cups, lids, and trays. Replenish the condiment bar with sauces, cups, water, and utensils. Refill and rotate smoothie mixes, sauces, half &amp; half, whipped cream, and refreshments in all designated fridges. Take out the trash promptly when it is full. Clean, organize, and maintain the workstations, customer areas, and restrooms. Tasks will be performed in a restaurant with service areas that include the hostess station, counter and cash register, self-order kiosk, small convenience store section, bar, dining room, and restrooms Job Classification: 35-3031.00 - Waiters and Waitresses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N/A F.a.5 A-H (continued): 8-hour workday. Monday through Sunday, from 6:00 A.M. to 10:30 P.M. Days and shifts vary. Employee work shifts are divided by morning shift from 6:00 AM 2:00 PM or evening shift from 2:00 PM 10:30 PM. OT hours possible. Number of Hours Per Week: 40 Work Schedule (Start/End time): 6:00 A.M. - 2:00 P.M.</t>
  </si>
  <si>
    <t>H-400-26184-076944</t>
  </si>
  <si>
    <t>El Agavero LLC</t>
  </si>
  <si>
    <t>05/01/2027</t>
  </si>
  <si>
    <t>Prepare and cook to order a variety of foods that require only a short preparation time such as pre-sliced raw meat, seafood, and vegetables for Mexican dishes such as fajitas and tacos. Heat up a variety of pre-prepared foods in the oven, fryer, microwave, steamer, or griddle. Assemble and plate pre-cooked food (cooked meats, seafood, and sauces) for entrees. Put toppings and condiments on the food. At the end of the shift, put away any unused ingredients and clean all working surfaces. Job Classification: 35-2014.00 - Cooks, Restaurant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N/A F.a.5 A-H (continued): Varying number of hours per workday depending on shift. 5 days per week with 2 days off, days vary Mon-Sun. Shifts vary 7:00am - 2:00pm or 2:00pm - 10:00pm. OT may be available. Number of Hours Per Week: 40 Work Schedule (Start/End time): 7:00 A.M. - 2:00 P.M.</t>
  </si>
  <si>
    <t>H-400-26184-076960</t>
  </si>
  <si>
    <t>GRAVES AND GRAVES CONSTRUCTION COMPANY, INC.</t>
  </si>
  <si>
    <t>stevepettigrew@gravesandgraves.com</t>
  </si>
  <si>
    <t>+17318476391</t>
  </si>
  <si>
    <t>Drive a light vehicle, such as a truck or van, with a capacity of less than 26,001 pounds Gross Vehicle Weight (GVW), primarily to pick up merchandise or packages from a distribution center and deliver. May load and unload vehicle. Job Classification: 53-3033.00 - Light Truck Drivers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VALID DRIVERS LICENSE OR ABILITY TO OBTAIN, OR INTERNATIONAL EQUIVALENT ABLE TO LIFT AND CARRY 50 POUNDS. SOME OT AND WEEKENDS REQUIRED. 8 HOUR WORKDAY .MAY BE SUBJECT TO RANDOM DRUG TESTS POST-HIRE. Number of Hours Per Week: 40 Work Schedule (Start/End time): 7:00 A.M. - 5:00 P.M.</t>
  </si>
  <si>
    <t>H-400-26184-076987</t>
  </si>
  <si>
    <t>Garcia Holdings LLC</t>
  </si>
  <si>
    <t>GarciaOysters@gmail.com</t>
  </si>
  <si>
    <t>H-400-26184-076998</t>
  </si>
  <si>
    <t>Gari Oysters LLC</t>
  </si>
  <si>
    <t>GariOysters@gmail.com</t>
  </si>
  <si>
    <t>H-400-26184-076948</t>
  </si>
  <si>
    <t>Gulf Breeze Landscaping LLC</t>
  </si>
  <si>
    <t>crystal@gulfbreezellc.com</t>
  </si>
  <si>
    <t>+12284973356</t>
  </si>
  <si>
    <t>Landscape or maintain grounds of property using hand or power tools or equipment. Sod laying, mowing, weed eating, edging, trimming, planting, mulching, blowing leaves and debris, watering, fertilizing, digging, raking, irrigation and piping installation, trenching, and installation of and mortarless segmental concrete masonry wall units. Tools used to dig trenches: Spade shovels, walk-behind trenchers; Size of trenches (depth and width): 18-inch-deep and 1-inch-wide; Purpose of trench: Install below ground level irrigation systems. In order to install below-ground level irrigation systems, the workers will dig no more than 18-inch-deep and 1-inch-wide trenches using spade shovels and walk-behind trenchers. Job Classification: 37-3011.00 - Landscaping and Groundskeeping Workers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post-employment drug testing may be required upon employers reasonable suspicion. F.a.5 A-H. 8-hour workday Mon-Fri; 7AM-4PM OT Needed and varies Number of Hours Per Week: 40 Work Schedule (Start/End time): 7:00 A.M. - 4:00 P.M.</t>
  </si>
  <si>
    <t>H-400-26184-076949</t>
  </si>
  <si>
    <t>Holiday Decorating of New Jersey</t>
  </si>
  <si>
    <t>21/01/2027</t>
  </si>
  <si>
    <t>ed@royalirrigationnj.com</t>
  </si>
  <si>
    <t>+17326542700</t>
  </si>
  <si>
    <t>Install holiday lights on bushes and the ground. Hang wreaths over doors. Use of ladder to install and take down holiday lights on gutters and/or roof. Job Classification: 49-9099.00 - Installation, Maintenance, and Repair Workers, All Other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None F.a.5 A-H: 7 hour workday 7AM to 5PM Monday to Friday, Saturdays may be required. OT hours required Number of Hours Per Week: 35 Work Schedule (Start/End time): 7:00 A.M. - 5:00 P.M.</t>
  </si>
  <si>
    <t>H-400-26184-076996</t>
  </si>
  <si>
    <t>Homecare by HPS, LLC</t>
  </si>
  <si>
    <t>Claudia Hurtado-Myers</t>
  </si>
  <si>
    <t>tsanchez@hpsbest.com</t>
  </si>
  <si>
    <t>+19707486908</t>
  </si>
  <si>
    <t>Maids and Housekeping Cleaners</t>
  </si>
  <si>
    <t>Perform any combination of light cleaning duties to maintain private households or commercial establishments such as hotels in a clean and orderly manner. Duties may include making beds, replenishing linens, cleaning rooms and halls and vacuuming. Job Classification: 37-2012.00 - Maids and Housekeeping Cleaners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Must be able to stand, bend, kneel and reach high areas to clean, move up and down stairs and regularly lift and/or move up to 10 pounds. Must be able to withstand exposure to chemicals used in cleaning products. Team player with good attitude. Will require criminal background check and reference check pre-hire. Number of Hours Per Week: 35 Work Schedule (Start/End time): 9:00 A.M. - 5:00 P.M.</t>
  </si>
  <si>
    <t>H-400-26184-076954</t>
  </si>
  <si>
    <t>Hydratech LLC</t>
  </si>
  <si>
    <t>Hydratech.Pools@gmail.com</t>
  </si>
  <si>
    <t>+14107339261</t>
  </si>
  <si>
    <t>Swimming Pool Construction Laborer</t>
  </si>
  <si>
    <t>Help the pool technicians with positioning, joining, aligning, and sealing structural components of the pool such as pool wall sections and PVC pipes. Dig trenches and perform demolition using hand and power tools. Clean or prepare construction sites to eliminate possible hazards both before and after construction using brooms, shovels, and wheelbarrows. Job Classification: 47-2061.00 - Construction Laborers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N/A F.a.5 A-H. (continued): 8-hour workday. Monday-Friday, 8am-5pm. OT may be available at 5-10 hours. Number of Hours Per Week: 40 Work Schedule (Start/End time): 8:00 A.M. - 5:00 P.M.</t>
  </si>
  <si>
    <t>H-400-26184-076988</t>
  </si>
  <si>
    <t>Islander Inn PIB, LLC</t>
  </si>
  <si>
    <t>01/11/2026</t>
  </si>
  <si>
    <t>islanderinnresort@gmail.com</t>
  </si>
  <si>
    <t>+14195520209</t>
  </si>
  <si>
    <t>Perform any combination of light cleaning duties to maintain private households or commercial establishments, such as hotels and hospitals, in a clean and orderly manner. Duties may include making beds, replenishing linens, cleaning rooms and halls, and vacuuming. Details; Carry linens, towels, toilet items, and cleaning supplies, using wheeled carts. Clean rooms, hallways, lobbies, lounges, restrooms, corridors, elevators, stairways, locker rooms, and other work areas so that health standards are met. Clean rugs, carpets, upholstered furniture, and draperies, using vacuum cleaners and shampooers. Job Classification: 37-2011.00 - Janitors and Cleaners, Except Maids and Housekeeping Cleaners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ABLE TO LIFT AND CARRY 50 POUNDS, 8 HOUR WORKDAY, SOME OVERTIME AND WEEKENDS REQUIRED.40hr/wk. Sunday, Monday and Thurs-Saturday 8am-4:30pm Number of Hours Per Week: 40 Work Schedule (Start/End time): 8:00 A.M. - 4:30 P.M.</t>
  </si>
  <si>
    <t>H-400-26184-076985</t>
  </si>
  <si>
    <t>JR Gulf Oysters, LLC</t>
  </si>
  <si>
    <t>JrGulfOysters@gmail.com</t>
  </si>
  <si>
    <t>H-400-26184-076959</t>
  </si>
  <si>
    <t>Kehilas Pupa Tzelim, Inc.</t>
  </si>
  <si>
    <t>pupatzelim@aol.com</t>
  </si>
  <si>
    <t>+17183844899</t>
  </si>
  <si>
    <t>Matzah Baker</t>
  </si>
  <si>
    <t>Duties: Mix and bake ingredients to produce matzah in accordance with kosher dietary laws for Passover. Job Classification: 51-3011.00 - Bakers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N/A F.a.9. (continued): Must have knowledge of kosher dietary laws for Passover: Must have 3 months of experience as matzah baker OR must have Rabbinical certification for kosher dietary lawspertaining tomatzah baking. F.a.5 A-H. (continued): 7-hour workday. 8:15am-5:15pm, Sun-Thurs. OT hours possible. Number of Hours Per Week: 35 Work Schedule (Start/End time): 8:15 A.M. - 5:15 P.M.</t>
  </si>
  <si>
    <t>H-400-26184-076961</t>
  </si>
  <si>
    <t>Lakewood Matzoh Bakery LLC</t>
  </si>
  <si>
    <t>21/04/2027</t>
  </si>
  <si>
    <t>Henry@lakewoodmatzoh.com</t>
  </si>
  <si>
    <t>+17323648757</t>
  </si>
  <si>
    <t>Working in all aspects of Matzoh production. Mixing dough, rolling it out and baking it in accordance with kosher dietary laws for Passover. Job Classification: 51-3011.00 - Bakers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6 Special Requirements: Must have knowledge of kosher dietary laws for Passover. F.a.5 A-H: 8-hour workday. Sunday - Thursday. 9am-6pm. OT hours possible., Sundays required. Number of Hours Per Week: 40 Work Schedule (Start/End time): 9:00 A.M. - 6:00 P.M.</t>
  </si>
  <si>
    <t>H-400-26184-076963</t>
  </si>
  <si>
    <t>Lan Ramen Inc</t>
  </si>
  <si>
    <t>djxiao73@gmail.com</t>
  </si>
  <si>
    <t>+16093560383</t>
  </si>
  <si>
    <t>Restaurant Cook</t>
  </si>
  <si>
    <t>Pull handmade Noodles for authentic Chinese restaurant, using traditional Lanzhou style technique. Prepare and make buns, potstickers, dumplings by hand. Job Classification: 35-2014.00 - Cooks, Restaurant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6 Special Requirements: None F.a.5 A-H. (continued): 7-hour workday. Tuesday to Sunday 12-2, 5-9pm. OT hours possible. Number of Hours Per Week: 40 Work Schedule (Start/End time): 12:00 P.M. - 2:00 P.M.</t>
  </si>
  <si>
    <t>H-400-26184-076962</t>
  </si>
  <si>
    <t xml:space="preserve">Lewis Landscapes, Inc. </t>
  </si>
  <si>
    <t>lewislandscapesinc@msn.com</t>
  </si>
  <si>
    <t>+12017509366</t>
  </si>
  <si>
    <t>Load, unload, operate and use tools, equipment, and materials. Perform property maintenance tasks including mowing with power lawn mowers, moving and installing plants and plant beds with shovels and rakes, blowing with backpack blowers, raking with rakes, weeding manually and with weed whackers, pruning with manual and mechanical pruners, digging with shovels, lifting and moving plants and materials with shovels and wheelbarrows, hardscaping using pickaxes and shovels to create retaining walls, patios, dry riverbeds, land grading with shovels and grading, and installing mulch using shovels and wheelbarrows. Job Classification: 37-3011.00 - Landscaping and Groundskeeping Workers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Post-employment drug testing based on employer's reasonable suspicion of drug use. Number of Hours Per Week: 35 Work Schedule (Start/End time): 7:30 A.M. - 4:30 P.M.</t>
  </si>
  <si>
    <t>H-400-26184-076986</t>
  </si>
  <si>
    <t>Martin J. Brand</t>
  </si>
  <si>
    <t>Conrad POLLACK</t>
  </si>
  <si>
    <t>sonjabe@gmail.com</t>
  </si>
  <si>
    <t>+16504301578</t>
  </si>
  <si>
    <t>House Manager/family Assistant</t>
  </si>
  <si>
    <t>House management shall include all responsibilities and maintenance of the residence and grounds during an extensive renovation project. Duties include managing vendors (plumbers, electricians, etc.); keeping expense logs by opening and reviewing invoices, and entering amounts and dates due on an Excel spreadsheet; monitoring home alarms; managing deliveries; arranging ground transportation by Lyft, Uber, or taxi for family members; maintaining household inventory: update project specific Excel spreadsheet to track common household and project specific supplies including but not limited to fasteners, lightbulbs, cleaning supplies, wall and floor protection materials; assisting with the family's personal calendars and related concierge duties. Job Classification: 11-9179.00 - Personal Service Managers, All Other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12 Special Requirements: The above one year of experience must be as a House Manager. Number of Hours Per Week: 60 Work Schedule (Start/End time): 7:30 A.M. - 7:30 P.M.</t>
  </si>
  <si>
    <t>H-400-26184-076964</t>
  </si>
  <si>
    <t>Mechanical Pinestraw Balers, LLC</t>
  </si>
  <si>
    <t>15/02/2027</t>
  </si>
  <si>
    <t>office@southeaststraw.com</t>
  </si>
  <si>
    <t>+13347496565</t>
  </si>
  <si>
    <t>Clean pine straw field (pick up sticks, pinecones, and pull, dig up, and spray weeds). Rake pine straw with barley rake into piles for baling. Manually load and unload pine straw on semi-trailers or flatbed trucks by hand. Prepare the area to install pine straw and install the pine straw. Job Classification: 45-4011.00 - Forest and Conservation Workers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Must be able to work in hot climates. Post-employment drug testing may occur based upon the employers reasonable suspicion of an employees drug use. F.a.5 A-H. (Continued): 8 hours per day. Monday to Friday, 7am to 4pm including 1 hour lunch. 8 to 10 hours of overtime may be available. Number of Hours Per Week: 40 Work Schedule (Start/End time): 7:00 A.M. - 4:00 P.M.</t>
  </si>
  <si>
    <t>H-400-26184-076966</t>
  </si>
  <si>
    <t>Clean pine straw field (pick up sticks, pinecones, and pull, dig up, and spray weeds). Rake pine straw with barley rake into piles for baling. Manually load and unload pine straw on semi-trailers or flatbed trucks by hand. Prepare the area to install pine straw and install the pine straw. Job Classification: 45-4011.00 - Forest and Conservation Workers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Must be able to work in hot climates. Post-employment drug testing may occur based upon the employers reasonable suspicion of an employees drug use. F.a.5 A-H. (continued): 40 hours per week. 8 hours per day. Monday to Friday: 7am to 4pm including 1 hour lunch. 8 to 10 hours of overtime may be available. Number of Hours Per Week: 40 Work Schedule (Start/End time): 7:00 A.M. - 4:00 P.M.</t>
  </si>
  <si>
    <t>H-400-26184-076965</t>
  </si>
  <si>
    <t>Clean pine straw field (pick up sticks, pinecones, and pull, dig up, and spray weeds). Rake pine straw with barley rake into piles for baling. Manually load and unload pine straw on semi-trailers or flatbed trucks by hand. Prepare the area to install pine straw and install the pine straw. Job Classification: 45-4011.00 - Forest and Conservation Workers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Must be able to work in hot climates. Post-employment drug testing may occur based upon the employers reasonable suspicion of an employees drug use. F.a.5 A-H. (continued): 8 hours per day. Monday to Friday 7am to 4pm including 1 hour lunch. 8 to 10 hours of overtime may be available. Number of Hours Per Week: 40 Work Schedule (Start/End time): 7:00 A.M. - 4:00 P.M.</t>
  </si>
  <si>
    <t>H-400-26184-076939</t>
  </si>
  <si>
    <t>Operate industrial trucks or tractors equipped to move materials around a warehouse, storage yard, factory, construction site, or similar location. Job Classification: 53-7051.00 - Industrial Truck and Tractor Operators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ABLE TO LIFT AND CARRY 50 POUNDS. SOME OT AND WEEKENDS REQUIRED. 8 HOUR WORKDAY . Hours may vary but workers will work an 8 hour shift within Mon-Fri, 7am-6pm. Number of Hours Per Week: 40 Work Schedule (Start/End time): 7:00 A.M. - 6:00 P.M.</t>
  </si>
  <si>
    <t>H-400-26184-077007</t>
  </si>
  <si>
    <t>KHOCKINS@bettiscompanies.com</t>
  </si>
  <si>
    <t>Industrial Truck and Tractor Operators</t>
  </si>
  <si>
    <t>Operate industrial trucks or tractors equipped to move materials around a warehouse, storage yard, factory, construction site, or similar location. Job Classification: 53-7051.00 - Industrial Truck and Tractor Operators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ABLE TO LIFT AND CARRY 50 POUNDS. SOME OT AND WEEKENDS REQUIRED. 8 HOUR WORKDAY . ONSITE TRAINING PROVIDED. Hours may vary but within Mon-Fri, 7am-6pm (8 hour workday) Number of Hours Per Week: 40 Work Schedule (Start/End time): 7:00 A.M. - 6:00 P.M.</t>
  </si>
  <si>
    <t>H-400-26184-076978</t>
  </si>
  <si>
    <t>Milton's Oysters LLC</t>
  </si>
  <si>
    <t>MiltonsOysters@gmail.com</t>
  </si>
  <si>
    <t>H-400-26184-076967</t>
  </si>
  <si>
    <t>Paddock Swimming Pool Company</t>
  </si>
  <si>
    <t>AOkoro@paddockpools.com</t>
  </si>
  <si>
    <t>+13014240790</t>
  </si>
  <si>
    <t>Perform trench digging and demolition using hand and power tools. Assist pool technicians with positioning, aligning, joining, and sealing structural components, including wall sections and PVC piping. Clean and prepare job sites before, during, and after construction to remove hazards, using tools such as brooms, shovels, and wheelbarrows. Job Classification: 47-2061.00 - Construction Laborers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N/A F.a.5 A-H. (continued): 8-hour workday. Monday- Friday, 7:00am - 3:30pm. OT hours possible. Saturdays may be required. Number of Hours Per Week: 40 Work Schedule (Start/End time): 7:00 A.M. - 3:30 P.M.</t>
  </si>
  <si>
    <t>H-400-26184-076980</t>
  </si>
  <si>
    <t>Periwinkle Farms LLC</t>
  </si>
  <si>
    <t>PeriwinklefarmsK@gmail.com</t>
  </si>
  <si>
    <t>+17329488172</t>
  </si>
  <si>
    <t>***RFI response*** Splitting and stacking firewood, preparing cut wood for sale, and loading firewood into truck, using axe, chain saw, and wheelbarrow. Safety glasses and ear protection will be used. Use of six-foot ladder to set up wreaths, garland, and small lights on artificial trees inside restaurants, using hammer, nails, floral wire and scissors. No outdoor decorating. ***Original*** Planting flowers, Bulbs, beach grass, native plants, perennials, bushes &amp; trees, installing mulch, maintaining gardens, cutting lawns using hand mowers, trimming bushes, edge beds, and planting trees using shovels. Manually cutting and splitting firewood. Interior Christmas decorating for restaurants, putting lights on small artificial trees and installing garland. Job Classification: 49-9099.00 - Installation, Maintenance, and Repair Workers, All Other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None F.a.5 A-H. (continued): 8 hour workday. 8am-4:30pm; M-F Number of Hours Per Week: 40 Work Schedule (Start/End time): 8:00 A.M. - 4:30 P.M.</t>
  </si>
  <si>
    <t>H-400-26184-076958</t>
  </si>
  <si>
    <t>Picoro Oysters, LLC</t>
  </si>
  <si>
    <t>picorooysters@gmail.com</t>
  </si>
  <si>
    <t>H-400-26184-076947</t>
  </si>
  <si>
    <t>General Construction Laborer</t>
  </si>
  <si>
    <t>Perform tasks involving physical labor at construction sites related primary to exterior home repair; visually inspect residential structures or attached building materials to identify problems or defects present on the construction site; as needed, may perform manual labor to repair or replace siding, gutters, windows, soffits, and fasciae (e.g., for such tasks, use battery-powered drills as well as hammers, nails, and other fasteners to install and attach replacement materials to home; once materials are in place, apply caulking compounds by hand or caulking guns); may assemble and disassemble scaffolding; load and unload building materials, machinery, or tools; distribute materials to the appropriate locations according to project plans and specifications; read instructions and project plans to fulfill job duties; prepare and clean the construction site to eliminate possible hazards; perform other tasks related to construction work as requested (e.g., use battery-powered drills, hammers, nails, and other fasteners to repaid decking, etc.); and abide by all safety guidelines. Job Classification: 47-2031.00 - Carpenters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Must be at least 18 years old, and have ability to consistently lift at least 80 pounds and to climb ladders (each as verbally confirmed by the applicant). Number of Hours Per Week: 40 Work Schedule (Start/End time): 8:00 A.M. - 5:00 P.M.</t>
  </si>
  <si>
    <t>H-400-26184-076994</t>
  </si>
  <si>
    <t>QRO, LLC</t>
  </si>
  <si>
    <t>qrollc.kv@gmail.com</t>
  </si>
  <si>
    <t>H-400-26184-076984</t>
  </si>
  <si>
    <t>R-P Nurseries, LLC</t>
  </si>
  <si>
    <t>rpnurseries@verizon.net</t>
  </si>
  <si>
    <t>+16104441116</t>
  </si>
  <si>
    <t>Tasks may include any combination of the following: Sod laying, mowing, trimming, planting, watering, fertilizing, digging, weeding, carrying materials and raking. Work is performed outside regardless of temperature or precipitation. Job Classification: 37-3011.00 - Landscaping and Groundskeeping Workers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N/A F.a.5 A-H. (continued): 8-hour workday. Monday-Friday: 7:00a.m.-4:00p.m.; Saturdays may be required. 8-14 hours of OT possible. Number of Hours Per Week: 40 Work Schedule (Start/End time): 7:00 A.M. - 4:00 P.M.</t>
  </si>
  <si>
    <t>H-400-26184-076971</t>
  </si>
  <si>
    <t>Rafa Oysters, LLC</t>
  </si>
  <si>
    <t>RafaOysters@outlook.com</t>
  </si>
  <si>
    <t>H-400-26184-076983</t>
  </si>
  <si>
    <t xml:space="preserve">Ramon and Ramon Landscaping, Inc. </t>
  </si>
  <si>
    <t>ramonandramon@gmail.com</t>
  </si>
  <si>
    <t>+18474174208</t>
  </si>
  <si>
    <t>Tasks include: Sod laying, mowing, trimming, planting, watering, fertilizing, digging, raking, sprinkler installation, pulling weeds, and installation of mortarless segmental concrete masonry wall units. Job Classification: 37-3011.00 - Landscaping and Groundskeeping Workers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N/A F.a.5 A-H. 40 hours per week. 8-hour workday Mon-Fri: 7 am-3:30 pm, No OT Number of Hours Per Week: 40 Work Schedule (Start/End time): 7:00 A.M. - 3:30 P.M.</t>
  </si>
  <si>
    <t>H-400-26184-076946</t>
  </si>
  <si>
    <t>SLA Human Resources</t>
  </si>
  <si>
    <t>lucas@solid.consulting</t>
  </si>
  <si>
    <t>+14125156384</t>
  </si>
  <si>
    <t>Hand-pack finished bread products going into trays, racks, or cases according to company packing standards. Inspect packaged products for obvious defects (e.g., torn bags, damaged loaves, incorrect count) and remove nonconforming items from the line. Apply labels/date codes or stickers as instructed (hand-applied or using simple labeling tools, if provided). Assemble boxes/cases, place product into cases, and stack finished cases on pallets or carts. Keep the immediate work area clean and organized; perform routine sanitation of the packing station and surrounding area in accordance with plant food safety and sanitation procedures. Assist with restocking packaging materials (bags, clips/ties, labels, boxes) at the packing station during the shift. Follow all company, local, state, and federal food safety, hygiene, and workplace safety rules, including use of required PPE. Work is performed on a production line packing station. Ability to stand for extended periods; perform repetitive hand motions; lift and move up to 50 lbs. Work variable shifts, weekends, and holidays as needed. Job Classification: 53-7064.00 - Packers and Packagers, Hand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Number of Hours Per Week: 40 Work Schedule (Start/End time): 7:00 A.M. - 3:00 P.M.</t>
  </si>
  <si>
    <t>H-400-26184-076941</t>
  </si>
  <si>
    <t>Short Hand Cook</t>
  </si>
  <si>
    <t>Prepare and cook made-to-order breakfast and lunch items to customer order using a griddle and fryer (e.g., eggs, pancakes, bacon/sausage, burgers, sandwiches, fries). Assemble plates/to-go orders quickly and accurately during peak service periods. Perform limited, routine prep directly related to short-order items for the shift (e.g., portioning ingredients, slicing basic toppings, preparing batter/egg mix as instructed). Maintain cleanliness and sanitation of the immediate cook station and equipment (griddle, fryer, utensils, cutting surfaces) in accordance with required food safety and sanitation procedures. Restock the cook station with ingredients and disposables during the shift and notify the manager when supplies are low. Work is performed at a short-order station (griddle/fryer) and does not involve operating a full-service kitchen line or multiple kitchen stations. Job Classification: 35-2015.00 - Cooks, Short Order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Number of Hours Per Week: 40 Work Schedule (Start/End time): 7:00 A.M. - 3:00 P.M.</t>
  </si>
  <si>
    <t>H-400-26184-076977</t>
  </si>
  <si>
    <t>South Star Corporation</t>
  </si>
  <si>
    <t>tcsanyi@numberonelandscaping.com</t>
  </si>
  <si>
    <t>+13303500271</t>
  </si>
  <si>
    <t>Tasks: Landscape or maintain grounds of property using hand or power tools or equipment. Workers typically perform a variety of tasks, which may include any combination of the following: sod laying, mowing, trimming, planting, watering, fertilizing, digging, raking, sprinkler installation, and installation of mortarless segmental concrete masonry wall units. Job Classification: 37-3011.00 - Landscaping and Groundskeeping Workers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Post-employment drug testing may occur based upon the employers reasonable suspicion of drug use. F.a.5 A-H (continued): 8-hour workday. 7:30 am 4pm, M-F, Sat-Sun as needed. OT hours possible. Number of Hours Per Week: 40 Work Schedule (Start/End time): 7:30 A.M. - 4:00 P.M.</t>
  </si>
  <si>
    <t>H-400-26184-076982</t>
  </si>
  <si>
    <t>Subcomm LLC</t>
  </si>
  <si>
    <t>office@subcommpools.com</t>
  </si>
  <si>
    <t>+17036352696</t>
  </si>
  <si>
    <t>Help the pool technicians with positioning, joining, aligning, and sealing structural components of the pool such as pool wall sections and PVC pipes. Dig trenches and perform demolition using hand and power tools. Clean or prepare construction sites to eliminate possible hazards both before and after construction using brooms, shovels, and wheelbarrows. Job Classification: 47-2061.00 - Construction Laborers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N/A F.a.5 A-H.(continued): 40 hours per week. 8-hour workday. Monday-Friday: 9:00 a.m.-5:00 p.m. Saturdays may be required. Up to 10 hours/week of OT per may be available. OT hours vary. Number of Hours Per Week: 40 Work Schedule (Start/End time): 9:00 A.M. - 5:00 P.M.</t>
  </si>
  <si>
    <t>H-400-26184-076974</t>
  </si>
  <si>
    <t>TSA Amusements Inc.</t>
  </si>
  <si>
    <t>09/01/2027</t>
  </si>
  <si>
    <t>tsaamusements@yahoo.com</t>
  </si>
  <si>
    <t>+17188010646</t>
  </si>
  <si>
    <t>Amusement Attendant</t>
  </si>
  <si>
    <t>Assist in assembly of carnival equipment. Rides come disassembled and need to be assembled using pins. Operate rides. Accept tickets, buckle riders into seats, press the button to begin the ride. Clean rides before, during, and after use. Assist in the removal of equipment after shows. Job Classification: 39-3091.00 - Amusement and Recreation Attendants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N/A F.a.5 A-H. (continued): 6-hour workday. Wednesday-Monday, 5pm-11pm. OT hours possible. Number of Hours Per Week: 36 Work Schedule (Start/End time): 5:00 P.M. - 11:00 P.M.</t>
  </si>
  <si>
    <t>H-400-26184-076969</t>
  </si>
  <si>
    <t>Taqueria Moctezuma Inc</t>
  </si>
  <si>
    <t>silvino.martinez@yahoo.com</t>
  </si>
  <si>
    <t>+19722134395</t>
  </si>
  <si>
    <t>Perform a variety of food preparation duties other than cooking, such as preparing cold foods and shellfish, slicing meat, and brewing coffee or tea. In addition to food prep, workers will assist with washing dishes and kitchen clean up. Job Classification: 35-9021.00 - Dishwashers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1 Special Requirements: Our hours of operation are from 9am-10pm, seven days a week. Workers will work varied 8 hour shifts between those times. Number of Hours Per Week: 40 Work Schedule (Start/End time): 8:00 A.M. - 5:00 P.M.</t>
  </si>
  <si>
    <t>H-400-26184-077008</t>
  </si>
  <si>
    <t>Tasdemir Marble and Granite LLC</t>
  </si>
  <si>
    <t>Yasin Akalan</t>
  </si>
  <si>
    <t>graniteby@icloud.com</t>
  </si>
  <si>
    <t>+13012375576</t>
  </si>
  <si>
    <t>Calligrapher</t>
  </si>
  <si>
    <t>Decoratively drawing and painting versicles from the Quran with Arabic letters as well as Islamic figures, motifs, and symbols to the interior and exterior surfaces of the walls and domes of the mosque being constructed one letter/figure at a time. Designing, measuring, and marking said surfaces before the decorative painting. Transmitting the Arabic texts and symbols determined by the employer, albeit in a decorative form. Writing on said surfaces in Arabic from right to left with connected Arabic letters by using various tools such as stencil brushes, paint, and painting knives. Sculpting Islamic motifs to wooden and ceramic poles inside the mosque by using various tools such as point and tooth chisels, hammers, and rasps. Job Classification: 27-1013.00 - Fine Artists, Including Painters, Sculptors, and Illustrators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24 Special Requirements: None. Number of Hours Per Week: 35 Work Schedule (Start/End time): 8:00 A.M. - 4:00 P.M.</t>
  </si>
  <si>
    <t>H-400-26184-077011</t>
  </si>
  <si>
    <t>The TwinEagles Club, Inc.</t>
  </si>
  <si>
    <t>seasonaljobs@thetwineaglesclub.com</t>
  </si>
  <si>
    <t>+12393541773</t>
  </si>
  <si>
    <t>Bartenders will be responsible for mixing and serving drinks to members and guests, taking and placing guest orders, serving food and beverages, cleaning glasses and bar equipment, and ensuring that the bar and work areas are clean (including floors and floor mats on daily basis) and well-stocked. Schedule: 35 hours per week. Open 7 days a week. Work schedule may vary and can include evening and weekend hours. Work may be performed on any day of the week from Monday through Sunday. Example shifts: 11:00am – 6:00pm, 12:00pm – 7:00pm, or 3:00pm – 10:00pm. Shift hours may vary. Please see attached job description for additional information. Job Classification: 35-3011.00 - Bartenders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6 Special Requirements: The Petitioner will consider for employment any person who possesses at least six (6) months of experience in a fine-dining or high-volume environment at a high-end restaurant, resort, or private club. Applicant must complete pre-employment background check and drug screening at employers expense. Number of Hours Per Week: 35 Work Schedule (Start/End time): 11:00 A.M. - 6:00 P.M.</t>
  </si>
  <si>
    <t>H-400-26184-076979</t>
  </si>
  <si>
    <t>Trinity Contracting Company</t>
  </si>
  <si>
    <t>Rosanna@luigicement.com</t>
  </si>
  <si>
    <t>+15867741000</t>
  </si>
  <si>
    <t>Landscape or maintain grounds of property using hand or power tools or equipment. Workers typically perform a variety of tasks, which may include any combination of the following: sod laying, mowing, trimming, planting, watering, fertilizing, digging, raking, sprinkler installation, and installation of mortarless segmental concrete masonry wall units. Job Classification: 37-3011.00 - Landscaping and Groundskeeping Workers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None F.a.5 A-H: 8-hour workday. Mon-Fri - 7am to 4pm. Saturdays may berequired. OT hours possible up to 20 hours. Number of Hours Per Week: 40 Work Schedule (Start/End time): 7:00 A.M. - 4:00 P.M.</t>
  </si>
  <si>
    <t>H-400-26184-076973</t>
  </si>
  <si>
    <t xml:space="preserve">Vision Soccer Training, Inc.  </t>
  </si>
  <si>
    <t>james@visionsoccertraining.com</t>
  </si>
  <si>
    <t>+19168370336</t>
  </si>
  <si>
    <t>Futsal Coach</t>
  </si>
  <si>
    <t>Coach individuals and teams the various technical and tactical elements of futsal (indoor soccer). May coach players in individual skills sessions to improve technique or in a team setting through league and tournament game play. Job Classification: 27-2022.00 - Coaches and Scouts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24 Special Requirements: Youth futsal coach certification required. F.a.5 A-H: Varying number of hours per workday depending on shift. Monday - Sunday, hours vary between 9am and 9pm, with one full day off each week. OT hours possible. Number of Hours Per Week: 35 Work Schedule (Start/End time): 9:00 A.M. - 2:00 P.M.</t>
  </si>
  <si>
    <t>H-400-26184-076968</t>
  </si>
  <si>
    <t>Viva Pools LLC</t>
  </si>
  <si>
    <t>gincho@vivapools.com</t>
  </si>
  <si>
    <t>+17036461261</t>
  </si>
  <si>
    <t>Dig trenches and perform demolition using hand and power tools. Assist pool technicians by providing materials and tools. Clean or prepare construction sites to eliminate possible hazards both before and after construction using brooms, shovels, and wheelbarrows. Job Classification: 47-2061.00 - Construction Laborers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6 Special Requirements: N/A F.a.5 A-H.(continued): 8 hours per workday. Monday-Friday: 7:00 a.m.-4:00 p.m. Saturdays may be required. Up to 15 hours/week of OT may be available. OT hours vary. Number of Hours Per Week: 40 Work Schedule (Start/End time): 7:00 A.M. - 4:00 P.M.</t>
  </si>
  <si>
    <t>H-400-26184-077014</t>
  </si>
  <si>
    <t>Aizas Oysters LLC</t>
  </si>
  <si>
    <t>AizasOysters@gmail.com</t>
  </si>
  <si>
    <t>H-400-26184-077025</t>
  </si>
  <si>
    <t>Cooks will be responsible for preparing, seasoning, and cooking soups, meats, vegetables, desserts, and other food items in a restaurant. Schedule: 35 hours per week. Work schedule can vary and can include evening, weekend, and holiday hours. Work may be performed on any day of the week from Monday through Sunday. Example shifts: 3:00PM to 10:00PM, 7:30AM to 2:30PM, or 11:30AM to 6:30PM. Shift hours may vary. Please see the attached job description for additional details. Job Classification: 35-2014.00 - Cooks, Restaurant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12 Special Requirements: The Petitioner will consider for employment any person who possesses at least one (1) year of culinary experience in a fine-dining or high-volume environment at a high-end restaurant, resort, or private club. Applicant must complete pre-employment background check and reference check at employers expense. Number of Hours Per Week: 35 Work Schedule (Start/End time): 3:00 P.M. - 10:00 P.M.</t>
  </si>
  <si>
    <t>H-400-26184-077012</t>
  </si>
  <si>
    <t>Food &amp; Beverage Supervisors will be responsible for directly supervising and coordinating activities of workers engaged in preparing and serving food in the dining outlets, which includes occasional private events and banquets. Will also be responsible for setting up the dining room, taking and placing customers’ orders, carrying trays, serving food and beverages, greeting guests, and cleaning and clearing tables. May supervise up to fifteen (15) Servers, Bartenders, and Runners. Schedule: 35 hours per week. Work schedule can vary and can include evening, weekend, and holiday hours. Work may be performed on any day of the week from Monday through Sunday. Example shifts: 7:00AM to 2:00PM, 11:00AM to 6:00PM, or 4:00PM to 11:00PM. Shift hours may vary. Please see the attached job description for additional details. Job Classification: 35-1012.00 - First-Line Supervisors of Food Preparation and Serving Workers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12 Special Requirements: The Petitioner will consider for employment any person who possesses at least one (1) year of experience in a fine-dining or high-volume food and beverage operation at a high-end restaurant, resort, or private club. Applicant must complete pre-employment background check and reference check at employers expense. Number of Hours Per Week: 35 Work Schedule (Start/End time): 7:00 A.M. - 2:00 P.M.</t>
  </si>
  <si>
    <t>H-400-26184-077064</t>
  </si>
  <si>
    <t>Anglers Club Members Association, Inc.</t>
  </si>
  <si>
    <t>09/05/2027</t>
  </si>
  <si>
    <t>ajara@klac.org</t>
  </si>
  <si>
    <t>+13053672382</t>
  </si>
  <si>
    <t>***RFI response*** “Setting up the dining room and/or banquets” – this consists of setting dining room tables with items including linens, silverware, glassware, china, napkins, menus, utensils, dishes, and table décor. Workers will also set up banquets by arranging tables and chairs, and setting up buffet stations, chafing dishes, beverage stations, and place settings. Tools and equipment used are trays, pushcarts, and chair dollies to set up and arrange the dining room and banquets. These duties are limited to preparing the dining and banquet areas for food and beverage service and do not include any construction, maintenance, or technical installation work. ***Original*** Servers will be responsible for setting up the dining room and/or banquets, taking and placing customer orders, carrying trays, serving food and beverages, and cleaning and clearing tables. Schedule: 35 hours per week. Work schedule can vary and can include evening, weekend, and holiday hours. Work may be performed on any day of the week from Monday through Sunday. Example shifts: 4:00pm-11:00pm or split shift of 11:30am-3:00pm &amp; 5:30pm-9:00pm. Shift hours may vary. Please see job description for additional information. Job Classification: 35-3031.00 - Waiters and Waitresses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6 Special Requirements: The Petitioner will consider for employment any person who possesses at least six (6) months of service experience in a fine-dining or high-volume environment at a high-end restaurant, resort, or private club. Applicant must complete pre-employment background check and drug screening at employer's expense. Number of Hours Per Week: 35 Work Schedule (Start/End time): 4:00 P.M. - 11:00 P.M.</t>
  </si>
  <si>
    <t>H-400-26184-077016</t>
  </si>
  <si>
    <t>Big DD LLC</t>
  </si>
  <si>
    <t>30/01/2027</t>
  </si>
  <si>
    <t>wonkru2424@gmail.com</t>
  </si>
  <si>
    <t>+18137517597</t>
  </si>
  <si>
    <t>Help installation, maintenance, and repair workers in maintenance, parts replacement, and repair of vehicles, industrial machinery, and electrical and electronic equipment. Perform duties such as furnishing tools, materials and supplies to other workers; cleaning work area, machines, and tools; and holding materials or tools for other workers. Job Classification: 49-9098.00 - Helpers--Installation, Maintenance, and Repair Workers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Post-employment random drug testing &amp; background checks may be required, at no cost to the worker. The job requires the applicant to be qualified, ready, willing, able, &amp; available to perform during the entire employment at the designated worksite; to enter into &amp; comply with employment contract; to follow workplace rules. Number of Hours Per Week: 35 Work Schedule (Start/End time): 9:00 A.M. - 5:00 P.M.</t>
  </si>
  <si>
    <t>H-400-26184-077026</t>
  </si>
  <si>
    <t>Big Rock Amusements LLC</t>
  </si>
  <si>
    <t>mattmcdonagh@me.com</t>
  </si>
  <si>
    <t>+19892395703</t>
  </si>
  <si>
    <t>H-400-26184-077054</t>
  </si>
  <si>
    <t>Bishop Amusement Rides</t>
  </si>
  <si>
    <t>NancyB2150@aol.com</t>
  </si>
  <si>
    <t>+12102400215</t>
  </si>
  <si>
    <t>H-400-26184-077021</t>
  </si>
  <si>
    <t>Columbia Tent Rentals, LLC</t>
  </si>
  <si>
    <t>Jarrod Sharp</t>
  </si>
  <si>
    <t>info@columbiatent.com</t>
  </si>
  <si>
    <t>+15188519460</t>
  </si>
  <si>
    <t>Tent Laborer</t>
  </si>
  <si>
    <t>Deliver and install tents, tables, chairs, dance floors and other party/rental items for various recreational events. Load and unload trucks. Maintain inventories of equipment, storing and retrieving items and assembling and disassembling equipment as necessary. Inspect equipment to detect wear and damage and perform minor repairs, adjustments, or maintenance tasks, including cleaning and organizing items. Job Classification: 53-7062.00 - Laborers and Freight, Stock, and Material Movers, Hand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Ability to lift up to 75-100 lbs. Schedule and hours vary. Number of Hours Per Week: 54 Work Schedule (Start/End time): 6:00 A.M. - 3:00 P.M.</t>
  </si>
  <si>
    <t>H-400-26184-077031</t>
  </si>
  <si>
    <t>First Blue LLC</t>
  </si>
  <si>
    <t>LISSETTE HILDESHEIM</t>
  </si>
  <si>
    <t>firstbluellc@yahoo.com</t>
  </si>
  <si>
    <t>+16315371919</t>
  </si>
  <si>
    <t>Stable Attendant</t>
  </si>
  <si>
    <t>Clean horse stable, groom, water and feed horses, provide general care. This temporary job will pay $18.57-$22.00 per hour based on experience or performance. Possible O/T 0-10 hr wk O/T $27.86-$33.00 per hr. A single workweek will be used to compute wages. Salary paid bi-weekly basis. Hours are 7am-4pm. 40 hrs week. Employment dates are from 10/01/2026-05/30/2027. Discretionary bonus may be given at employers discretion. Possible work on Saturdays, when necessary. All deductions from the worker's paycheck required by law will be made. The employer will provide workers at no charge all tools, supplies, and equipment required to perform the job. The employer guarantees to offer work for hours equal to at least three-fourths of the workdays in each 12- week period of the total employment period. H-2B workers will be reimbursed in the first workweek for all visa, visa processing, border crossing, and other related fees, including those mandated by the government (excluding passport fees). Transportation (including meals and, to the extent necessary, lodging), to the place of employment will be provided, or its cost to workers reimbursed, if the worker completes half of the employment period. Employer agrees to reimburse inbound transportation and subsistence expenses (subsistence is $16.78 per day minimum, without receipts, to a maximum of $68.00 per day, with receipts) from the place from which the worker has come to work for the employer, whether in the US or abroad, to the place of employment. Return transportation and subsistence will be provided if the worker completes the employment period or is dismissed early by the employer. Interested, qualified applicants may contact the employer directly: send resume: Jenna Weinfurt, 91 Kennedy Avenue, Bluepoint, NY 11715; Interested, qualified applicants may also contact the Career Source South Florida, 801 NE 167 St., North Miami Beach, FL 33162, Telephone number 305 654-7175. Job Classification: 39-2021.00 - Animal Caretakers The job/industry classification and description includes general information on the position from ONET/OES and the North American Industry Classification System. Please review Job Duties and Job Order for more information. Job Requirements Experience Required: No Number of Hours Per Week: 40 Work Schedule (Start/End time): 7:00 A.M. - 4:00 P.M.</t>
  </si>
  <si>
    <t>H-400-26184-077024</t>
  </si>
  <si>
    <t>GIRAKOFI LLC</t>
  </si>
  <si>
    <t>VERMONT</t>
  </si>
  <si>
    <t>info@girakofi.com</t>
  </si>
  <si>
    <t>+18025857710</t>
  </si>
  <si>
    <t>Barista</t>
  </si>
  <si>
    <t>Responsible for preparing and serving coffee and other beverages to customers. Duties include working with other Baristas to help take orders, make drinks and provide timely service to customers. Serve foods such as muffins, bagels, and sandwiches. Greeting customers in a friendly manner and taking food and drink orders. Answer customers’ questions about menu choices. Taking payment from customers. Maintaining inventory and equipment by cleaning, troubleshooting and scheduling repairs. Keeping the work environment sanitary and organized. Job Classification: 35-3023.01 - Baristas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Ability to stand for long periods of time. 40 HRS/WK, ROTATING SHIFTS FROM 5:00AM-1:00PM; 7:00AM-3:00PM; AND 9:00AM-4:00PM (MON-SUN). Number of Hours Per Week: 56 Work Schedule (Start/End time): 5:00 A.M. - 1:00 P.M.</t>
  </si>
  <si>
    <t>H-400-26184-077018</t>
  </si>
  <si>
    <t>George Weaver Racing Stables, LLC</t>
  </si>
  <si>
    <t>grweaver23@aol.com</t>
  </si>
  <si>
    <t>+19546508056</t>
  </si>
  <si>
    <t>Daily care of horse/preparation of horses for training/racing. Feed/water horse, clean tack, bathe, brush, and clip horse, apply horse boots and prepare horse to be saddled for races. Clean horse's feet, apply/remove leg wraps/boots and saddle for training. Bathe/cool down horse after training/racing. Assist vet and farrier. Clean/re-bed stalls. Hose down horse with cold/warm water. Wrap horse in brace or poultice bandages as necessary. Job Classification: 39-2021.00 - Animal Caretakers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1 Special Requirements: Ability to lift 150 lbs with assistance. Random drug testing may be conducted post-hire at employer's expense for all workers, both domestic and H-2B, for the safety of horses and workers. 1 month experience required as Groom/Stable Attendant. SPLIT SHIFT 5AM-11AM; 3PM-5PM. WEEKEND WORK REQUIRED, WHEN NECESSARY. HOURS MAY VARY BASED ON WEATHER AND RACING SCHEDULE. Number of Hours Per Week: 40 Work Schedule (Start/End time): 5:00 A.M. - 5:00 P.M.</t>
  </si>
  <si>
    <t>H-400-26184-077057</t>
  </si>
  <si>
    <t>Hoffmann Old Collier Golf Club LLC</t>
  </si>
  <si>
    <t>akozlik@theoldcolliergc.com</t>
  </si>
  <si>
    <t>+12395979898</t>
  </si>
  <si>
    <t>Server/locker Room Attendant</t>
  </si>
  <si>
    <t>Server/Locker Room Attendants will be responsible for greeting members, setting up dining areas, taking and placing orders, carrying trays and plates, serving food and beverages in the locker/dining room and concessions area, cleaning and clearing tables, event setup and take down (i.e., moving tables and chairs from the storage room to the banquet area, arranging tables and chairs, and setting and clearing tableware), answering member inquiries, shining shoes, collecting soiled linens for laundering, and ensuring cleanliness of the locker area. Schedule: 40 hours per week. Work schedule can vary and can include evening, weekend, and holiday hours. Work may be performed on any day of the week from Monday through Sunday. Example shifts: 9:00am to 5:00pm, 11:00am to 7:00pm, or 7:00am to 3:00pm. Shift hours may vary. See attached job description for additional info. Job Classification: 35-3031.00 - Waiters and Waitresses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The Petitioner will consider for employment any person who possesses at least three (3) months of experience in a fine-dining or high-volume environment at a high-end restaurant, resort, or private club. Applicant must complete pre-employment background check and drug screening at employer's expense. Number of Hours Per Week: 40 Work Schedule (Start/End time): 9:00 A.M. - 5:00 P.M.</t>
  </si>
  <si>
    <t>H-400-26184-077066</t>
  </si>
  <si>
    <t>JC Oyster Co., LLC</t>
  </si>
  <si>
    <t>JCOysterCo@outlook.com</t>
  </si>
  <si>
    <t>H-400-26184-077127</t>
  </si>
  <si>
    <t>Jardine Quality Irrigation Inc</t>
  </si>
  <si>
    <t>support@quality-irrigation.com</t>
  </si>
  <si>
    <t>+14026729287</t>
  </si>
  <si>
    <t>Landscape or maintain grounds of property using hand or power tools or equipment. Lay sod, mow, trim/edge, plant, weeding, watering, rake, blow leaves; use a hand shovel to dig holes for installing plants, trees, shrubs, or irrigation systems, these holes can be up to 24 inches depth and 36 inches in width. Spread seed, fertilizer and mulch; works on the ground to prune or trim trees, shrubs, or hedges using shears, pruners, or chain saws; core aerating; sprinkler installation/repair, installation of mortarless segmental concrete masonry wall units. Maintain equipment to ensure proper functioning. Ancillary duties: May drive truck or other vehicle to transport plants, materials and tools to/from or at worksites. Minimum 35 hours per week up to possible 40 hours per week. Normal work days Monday through Friday from 7:00am-4:00pm, one-hour unpaid lunch. Work days and shift time may vary with weather. Work on Saturdays required as necessary. $20.04/hr. Employer may increase wage based on experience, changes in market conditions, and/or provide additional pay for performance and tenure. An overtime premium will be paid when required by Federal, State, or local law, including at time-and-a-half after 40 hours per workweek. Generally, when overtime is available it will be paid at $ 30.06/hr. based on locality the work is performed and the base rate of pay offered per hour. A single workweek will be used to compute wages due. Pay received weekly. Bonus program based on production and attendance is available. Daily transportation provided from main worksite in Sarpy County to multiple worksites within Douglas, Sarpy, Cass, Washington and Saunders Counties, NE. Employer will provide worker at no charge all tools, supplies, equipment and uniform required to perform job. Job Classification: 37-3011.00 - Landscaping and Groundskeeping Workers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Post-employment criminal background check and Post-employment drug test required, cost paid by employer and applied equally to all workers, U.S. and Foreign/H-2B. Must be able to lift 50 lbs. Must be able to work a 5-day schedule, including weekends and holidays as required. Applicants must complete an employment application. Number of Hours Per Week: 40 Work Schedule (Start/End time): 7:00 A.M. - 4:00 P.M.</t>
  </si>
  <si>
    <t>H-400-26184-077065</t>
  </si>
  <si>
    <t>Killington/Pico Ski Resort Partners, LLC</t>
  </si>
  <si>
    <t>recruiter@killington.com</t>
  </si>
  <si>
    <t>+18024226100</t>
  </si>
  <si>
    <t>Food Service Worker</t>
  </si>
  <si>
    <t>***RFI response*** The kinds of food the Food Service Workers will prepare consists of sandwiches, salads, and ice cream dishes. To prepare these food items, Food Service Workers will utilize standard kitchen equipment such as spoons, knives, slicers, stand mixers, stoves, ovens, and fryers. Food Service Workers will be making these food items both for individual orders as well as large batches used for grab and go stations. The specific task involved in taking customer payments consists of checking out guests at the cash register in the cafeteria. To complete this task, Food Service Workers will utilize the Point of Sale (POS) machine. In addition to taking customer payments, Food Service Workers can occasionally take food orders which is done behind the cafeteria line. The specific task involved in setting up dining room areas consists of moving and rearranging chairs and tables based on the needs of the dining outlet. There are no specific tools or equipment used to complete this duty. ***Original*** Food Service Workers will be responsible for serving food to customers, cooking food or preparing food items, such as sandwiches, salads, and ice cream dishes, using standard formulas or following directions, preparing and packaging food orders, taking customer payments, setting up and stocking preparation area, setting up dining room areas, including tables and chairs, and performing cleaning duties, including light vacuuming of work station area, washing dishes and items used in food preparation. Food service workers work in base lodges, restaurants, banquet events and mobile eaterys on Resort. Food Service Workers will also help to maintain the outdoor service areas, loading docks, building entrances and garbage disposal areas by removing snow and spreading sand/grit. Food Service Workers will also greet and engage with our guests while practicing our Hospitality Standards of being friendly and helpful in dining areas and on food lines. Schedule: 35 hours per week. Work schedule can vary and can include evening, weekend, and holiday hours. Work may be performed on any day of the week from Monday through Sunday. Example shift: 7:00am to 2:00pm. Shift hours may vary. See attached job description for additional information. Job Classification: 35-2014.00 - Cooks, Restaurant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The Petitioner will consider for employment any person who possesses at least three (3) months of guest service experience in a restaurant, resort, private club, or tourism environment. Applicant may be required to complete pre-employment COVID-19 test, complete a quarantine period, and/or demonstrate proof of COVID-19 vaccination if required under state, federal, or company guidelines at the time of hire. Number of Hours Per Week: 35 Work Schedule (Start/End time): 7:00 A.M. - 2:00 P.M.</t>
  </si>
  <si>
    <t>H-400-26184-077037</t>
  </si>
  <si>
    <t>Landscapes by Dina DeVito Ltd</t>
  </si>
  <si>
    <t>dina@landscapesbydinadevito.com</t>
  </si>
  <si>
    <t>+16316811145</t>
  </si>
  <si>
    <t>Mowing, edging, and trimming grass Fertilizing and weed control Planting flowers, shrubs, and trees Pruning, trimming, and removing plants Seasonal cleanups (leaves, debris removal) Mulching garden beds Watering and irrigation system checks Replacing dead plants Maintaining soil health Job Classification: 37-3011.00 - Landscaping and Groundskeeping Workers The job/industry classification and description includes general information on the position from ONET/OES and the North American Industry Classification System. Please review Job Duties and Job Order for more information. Job Requirements Experience Required: No Number of Hours Per Week: 40 Work Schedule (Start/End time): 7:00 A.M. - 7:00 P.M.</t>
  </si>
  <si>
    <t>H-400-26184-077040</t>
  </si>
  <si>
    <t>Lutz Manfredi Showjumping, LLC</t>
  </si>
  <si>
    <t>marymanfredi156@gmail.com</t>
  </si>
  <si>
    <t>+19146598636</t>
  </si>
  <si>
    <t>Horse Groom</t>
  </si>
  <si>
    <t>Provide daily care for International level show jumping horses. Maintain show jumpers in top physical care: brush, poultice, wrap and all general daily care for horses, including but not limited to icing legs after daily work, preparing poultice and applying on an as needed bases, hourly supervision of horses' legs and knowing if there is post exercise swelling and treating accordingly. Prepare feed daily which includes making sure horses maintain correct weight. Alter feed rations depending on horses' daily work schedule. Administer daily and weekly supplements. Supervise horses while in turn out paddocks. Exercise horses on lunge line, on an as needed basis. Maintain horses and rider equipment. Prepare all items for horse show, order appropriate travel documents for horses, including updating passport and ordering intra state health certificates. Prepare horses and present them for horse jog/inspection. Coordinate horses' daily competition time and make sure horse is at competition arena at the appropriate time when they are competing. Procure appropriate warm up obstacle for riders. Make sure horse is ready physically and emotionally to perform at its highest ability. Job Classification: 39-2021.00 - Animal Caretakers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Ability to lift 150 lbs. with assistance. SPLIT SHIFT, 7AM-12PM; 2:30PM-5:30PM. HOURS AND SCHEDULE MAY VARY BASED ON SHOW SCHEDULE AND WEATHER CONDITIONS Number of Hours Per Week: 48 Work Schedule (Start/End time): 7:00 A.M. - 5:30 P.M.</t>
  </si>
  <si>
    <t>H-400-26184-077034</t>
  </si>
  <si>
    <t>Mauricio Oysters, LLC</t>
  </si>
  <si>
    <t>MauricioOysters@gmail.com</t>
  </si>
  <si>
    <t>H-400-26184-077022</t>
  </si>
  <si>
    <t>NORTH CHARLOTTE LANDSCAPE MANAGEMENT, INC.</t>
  </si>
  <si>
    <t>katie@uslawnsnc.com</t>
  </si>
  <si>
    <t>+17049323348</t>
  </si>
  <si>
    <t>Landscape or maintain grounds of property using hand or power tools or equipment. Workers typically perform a variety of tasks, which may include any combination of the following: sod laying, mowing, trimming, planting, watering, fertilizing, digging, raking, sprinkler installation, and installation of mortarless segmental concrete masonry wall units. Job Classification: 37-3011.00 - Landscaping and Groundskeeping Workers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ABLE TO LIFT AND CARRY 50 POUNDS, SOME OVERTIME AND WEEKENDS REQUIRED. EMPLOYERPAID DRUG TESTING REQUIRED OF FOREIGN AND DOMESTIC WORKERS PRIOR TO COMMENCING WORK AND POST-HIRE AT RANDOM, UPON SUSPICION OF USE, AND POST-ACCIDENT. POST-HIRE BACKGROUND CHECK AND EMPLOYMENT ELIGIBILITY (E-VERIFY) CHECK REQUIRED OF FOREIGN AND DOMESTIC WORKERS. EMPLOYER MAY OFFER MORE THAN THE STATED WORK HOURS DEPENDING ON WEATHER, BUSINESS NEEDS, AND OTHER CONDITIONS. EXTREME , COLD, RAIN, OR DROUGHT MAY AFFECT EXACT WORKING HOURS. Number of Hours Per Week: 40 Work Schedule (Start/End time): 7:00 A.M. - 5:00 P.M.</t>
  </si>
  <si>
    <t>H-400-26184-077019</t>
  </si>
  <si>
    <t>Palm Beach Club Services LLC</t>
  </si>
  <si>
    <t>21/05/2027</t>
  </si>
  <si>
    <t>HR@carriagehousepb.com</t>
  </si>
  <si>
    <t>+15616230015</t>
  </si>
  <si>
    <t>Sommeliers will be responsible for greeting customers, assisting in the selling of wine on the floor, organizing the wine cellar, receiving wine deliveries, inspecting and placing bottles in storage areas, conducting weekly/monthly inventory tracking and maintaining accurate records, and assisting in providing staff wine education. Sommeliers may need to occasionally lift and/or move up to 50 lbs. Schedule: 40 hours per week. Work schedule can vary and can include evening, weekend, and holiday hours. Work may be performed on any day of the week from Monday through Sunday. Example shifts: 10:00am - 6:00pm, 12:00pm - 8:00pm, or 4:00pm - 12:00am. Shift hours may vary. Please see job description for additional information. Job Classification: 35-3031.00 - Waiters and Waitresses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6 Special Requirements: The Petitioner will consider for employment any person who possesses at least six (6) months of service experience in a fine-dining or high-volume environment at a high-end restaurant, resort, or private club. Sommelier certification and previous training in liquor and wine is preferred but not required. Applicant must complete pre-employment background check at employers expense if not returning from the previous season. Number of Hours Per Week: 40 Work Schedule (Start/End time): 10:00 A.M. - 6:00 P.M.</t>
  </si>
  <si>
    <t>H-400-26184-077020</t>
  </si>
  <si>
    <t>Sous Chef</t>
  </si>
  <si>
    <t>Sous Chefs will be responsible for preparing, seasoning, and cooking soups, meats, vegetables, desserts, and other food items, ensuring the cleanliness of their work areas, and ensuring that orders are prepared in a timely fashion. This position will not have any personnel management or supervisory responsibilities. Schedule: 40 hours per week. Work schedule can vary and can include evening, weekend, and holiday hours. Work may be performed on any day of the week from Monday through Sunday. Example shifts 10:00am - 6:00pm, 12:00pm - 8:00pm, or 4:00pm - 12:00am. Shift hours may vary. Please see job description for additional information. Job Classification: 35-2014.00 - Cooks, Restaurant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6 Special Requirements: The Petitioner will consider for employment any person who possesses at least six (6) months of culinary experience in a fine-dining or high-volume environment at a high-end restaurant, resort, or private club. Applicant must complete pre-employment background check at employers expense if not returning from the previous season. Number of Hours Per Week: 40 Work Schedule (Start/End time): 10:00 A.M. - 6:00 P.M.</t>
  </si>
  <si>
    <t>H-400-26184-077023</t>
  </si>
  <si>
    <t>Service Manager</t>
  </si>
  <si>
    <t>Service Managers will be responsible for performing various financial activities such as card/cash handling, resolving member complaints regarding food and beverage service, compile and balance cash receipts at the end of the day or shift, train workers in food and beverage preparation and in service, sanitation, and safety procedures, and supervise and participate in bar and dining area cleaning activities. May supervise up to nine (9) Servers, seven (7) Back Servers, seven (7) Bartenders, one (1) Expeditor, and five (5) Runners. Schedule: 40 hours per week. Work schedule can vary and can include evening, weekend, and holiday hours. Work may be performed on any day of the week from Monday through Sunday. Example shifts 10:00am - 6:00pm, 12:00pm - 8:00pm, or 4:00pm - 12:00am. Shift hours may vary. Please see job description for additional information. Job Classification: 35-1012.00 - First-Line Supervisors of Food Preparation and Serving Workers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6 Special Requirements: The Petitioner will consider for employment any person who possesses at least six (6) months of service experience in a fine-dining or high-volume environment at a high-end restaurant, resort, or private club. Applicant must complete pre-employment background check at employers expense if not returning from the previous season. Number of Hours Per Week: 40 Work Schedule (Start/End time): 10:00 A.M. - 6:00 P.M.</t>
  </si>
  <si>
    <t>H-400-26184-077032</t>
  </si>
  <si>
    <t>Hosts will be responsible for providing guests with menus, greeting guests and seating them at tables or in waiting areas, answer phone calls and respond to inquiries or transfer calls, take dining reservations and to go orders, completing side work consisting of set out lunch, dessert, cocktails, and bar menus, set up the courtyard, organize coats and shawls, and maintain contact with kitchen staff, management, serving staff, and customers to ensure that dining details are handled properly and customers concerns are addressed. Schedule: 40 hours per week. Work schedule can vary and can include evening, weekend, and holiday hours. Work may be performed on any day of the week from Monday through Sunday. Example shifts: 10:00am - 6:00pm, 12:00pm - 8:00pm, or 4:00pm - 12:00am. Shift hours may vary. Please see job description for additional information. Job Classification: 35-9031.00 - Hosts and Hostesses, Restaurant, Lounge, and Coffee Shop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The Petitioner will consider for employment any person who possesses at least three (3) months of experience in a fine-dining or high-volume environment at a high-end restaurant, resort, or private club. Applicant must complete pre-employment background check at employers expense if not returning from the previous season. Number of Hours Per Week: 40 Work Schedule (Start/End time): 10:00 A.M. - 6:00 P.M.</t>
  </si>
  <si>
    <t>H-400-26184-077033</t>
  </si>
  <si>
    <t>Line Cooks will be responsible for preparing, seasoning, and cooking soups, meats, vegetables, desserts, and other food items in a restaurant. Schedule: 40 hours per week. Work schedule can vary and can include evening, weekend, and holiday hours. Work may be performed on any day of the week from Monday through Sunday. Example shifts: 8:00am - 4:00pm, or 3:00pm - 11:00pm. Shift hours may vary. Please see job description for additional information. Job Classification: 35-2014.00 - Cooks, Restaurant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6 Special Requirements: The Petitioner will consider any person for employment who possesses at least six (6) months of culinary experience in a fine-dining or high-volume environment at a high-end restaurant, resort, or private club. Applicant must complete pre-employment background check at employers expense if not returning from the previous season. Number of Hours Per Week: 40 Work Schedule (Start/End time): 8:00 A.M. - 4:00 P.M.</t>
  </si>
  <si>
    <t>H-400-26184-077035</t>
  </si>
  <si>
    <t>Pastry Cook</t>
  </si>
  <si>
    <t>***RFI response*** Specific type of facilities or establishments where the work takes place” includes the designated pastry area in the kitchen where pastries are prepared for service in the Club’s restaurants. For special events such as holiday parties, Pastry Cooks may prepare desserts at a dessert station set up within the Club’s dining/event area. ***Original*** Pastry Cooks will be responsible for mixing and baking ingredients to produce pastries or other baked goods, as well as monitoring inventory and maintaining equipment. Schedule: 40 hours per week. Work schedule can vary and can include evening, weekend, and holiday hours. Work may be performed on any day of the week from Monday through Sunday. Example shifts: 8:00am - 4:00pm, or 3:00pm - 11:00pm. Shift hours may vary. Please see job description for additional information. Job Classification: 35-2014.00 - Cooks, Restaurant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6 Special Requirements: The Petitioner will consider for employment any person who possesses at least six (6) months of culinary experience in a fine-dining or high-volume environment at a high-end restaurant, resort, or private club. Applicant must complete pre-employment background check at employers expense if not returning from the previous season. Number of Hours Per Week: 40 Work Schedule (Start/End time): 8:00 A.M. - 4:00 P.M.</t>
  </si>
  <si>
    <t>H-400-26184-077036</t>
  </si>
  <si>
    <t>Reservationist</t>
  </si>
  <si>
    <t>***RFI response*** “Specific type of facility or establishment where the worker will perform the tasks” includes the administrative office building at 230 Royal Palm Way, 2nd Floor, Palm Beach, FL 33480, located across the street from the club’s physical location. “Facilitating all club reservations for members” includes working with members to confirm their bookings for dining reservations (i.e., a la carte), cocktail parties, private events (i.e. birthday parties, bridal showers), member programming reservations (i.e., Halloween, Christmas, New Year’s Eve), member activities, and similar events (i.e., book club, art, speaker series) within the Club. “Act as primary liaison between the member and the applicable party” includes managing reservations and answering event-related questions for events such as private buyouts (i.e., brand trunk shows). The Reservationists serve as the main point of contact between members and the brand. ***Original*** Reservationists will be responsible for facilitating all club reservations for members. Reservationists serve in an anticipatory fashion, ensuring they understand member needs and interests and that members’ reservations reflect those preferences. They deliver the highest level of service and act as primary liaison between the member and the applicable party (including dining and other special events and amenities within the club) by communicating proactively with other departments regarding member needs and preferences. Schedule: 40 hours per week. Work schedule can vary and can include evening, weekend, and holiday hours. Work may be performed on any day of the week from Monday through Sunday. Example shifts: 10:00am - 6:00pm, 12:00pm - 8:00pm, or 4:00pm - 12:00am. Shift hours may vary. Please see job description for additional information. Job Classification: 39-6012.00 - Concierges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The Petitioner will consider for employment any person who possesses at least three (3) months of guest service experience in a fine-dining or high-volume environment at a high-end restaurant, resort, or private club. Applicant must complete pre-employment background check at employers expense if not returning from the previous season. Number of Hours Per Week: 40 Work Schedule (Start/End time): 10:00 A.M. - 6:00 P.M.</t>
  </si>
  <si>
    <t>H-400-26184-077044</t>
  </si>
  <si>
    <t>Head Sommelier</t>
  </si>
  <si>
    <t>Head Sommeliers will be responsible for greeting customers, stocking wine, overseeing wine inventory, taking and placing guest wine orders, proper wine service, polishing glassware, placing beverage orders, and providing necessary training to the service staff regarding wine knowledge and basics such as types of grapes, how the climate and geographic regions affect the taste, pairings with food, wine pouring service. May supervise up to two (2) Sommeliers. Schedule: 40 hours per week. Work schedule can vary and can include evening, weekend, and holiday hours. Work may be performed on any day of the week from Monday through Sunday. Example shifts: 10:00am - 6:00pm, 12:00pm - 8:00pm, or 4:00pm - 12:00am. Shift hours may vary. Please see job description for additional information. Job Classification: 35-1011.00 - Chefs and Head Cooks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12 Special Requirements: The Petitioner will consider for employment any person who possesses at least one (1) year of service experience in a fine-dining or high-volume environment at a high-end restaurant, resort, or private club. Sommelier certification and previous training in liquor and wine is preferred but not required. Applicant must complete pre-employment background check at employers expense if not returning from the previous season. Number of Hours Per Week: 40 Work Schedule (Start/End time): 10:00 A.M. - 6:00 P.M.</t>
  </si>
  <si>
    <t>H-400-26184-077045</t>
  </si>
  <si>
    <t>Cocktail Server</t>
  </si>
  <si>
    <t>Cocktail Servers will be responsible for taking and delivering food and beverage orders, maintaining knowledge on classic cocktails, house cocktail, liquor brands, wine, champagne, beers, and non-alcoholic selection, providing excellent customer service, completing side wok consisting of cleaning and putting menus away, removing/setting votive candles/vases on tables, setting up cocktail tables, restocking their station, preparing for service and breaking down after service, and ensuring a positive experience for guests. Cocktail Servers may need to occasionally lift and/or move up to 50 lbs. Schedule: 40 hours per week. Work schedule can vary and can include evening, weekend, and holiday hours. Work may be performed on any day of the week from Monday through Sunday. Example shifts: 10:00am - 6:00pm, 12:00pm - 8:00pm, or 4:00pm - 12:00am. Shift hours may vary. Please see job description for additional information. Job Classification: 35-3031.00 - Waiters and Waitresses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The Petitioner will consider for employment any person who possesses at least three (3) months of experience in a fine-dining or high-volume environment at a high-end restaurant, resort, or private club. Applicant must complete pre-employment background check at employers expense if not returning from the previous season. Number of Hours Per Week: 40 Work Schedule (Start/End time): 10:00 A.M. - 6:00 P.M.</t>
  </si>
  <si>
    <t>H-400-26184-077050</t>
  </si>
  <si>
    <t>Bartenders will be responsible for greeting customers, cleaning bars, work areas and tables, taking beverage orders from serving staff or directly from patrons, stock bar with beer, wine, liquor and related supplies such as glassware, ice, napkins and straws, mix ingredients to prepare cocktails and other drinks, slice and pit fruit for garnishing drinks and arrange bottles and glasses to make attractive displays. Schedule: 40 hours per week. Work schedule can vary and can include evening, weekend, and holiday hours. Work may be performed on any day of the week from Monday through Sunday. Example shifts: 10:00am - 6:00pm, 12:00pm - 8:00pm, or 4:00pm - 12:00am. Shift hours may vary. Please see job description for additional information. Job Classification: 35-3011.00 - Bartenders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The Petitioner will consider for employment any person who possesses at least three (3) months of experience in a fine-dining or high-volume environment at a high-end restaurant, resort, or private club. Applicant must complete pre-employment background check at employers expense if not returning from the previous season. Number of Hours Per Week: 40 Work Schedule (Start/End time): 10:00 A.M. - 6:00 P.M.</t>
  </si>
  <si>
    <t>H-400-26184-077052</t>
  </si>
  <si>
    <t>Back Server</t>
  </si>
  <si>
    <t>Back Servers will be responsible for sorting and organizing incoming food tickets, ensuring orders are correct, carrying trays and plates, bringing food to tables, refilling beverages when needed, setting tables, cleaning and clearing tables, sanitizing work areas, and stocking supplies. Back Servers will need to lift and carry up to 25 pounds without assistance and up to 50 pounds with assistance. Schedule: 40 hours per week. Work schedule can vary and can include evening, weekend, and holiday hours. Work may be performed on any day of the week from Monday through Sunday. Example shifts: 10:00am - 6:00pm, 12:00pm - 8:00pm, or 4:00pm - 12:00am. Shift hours may vary. Please see attached job description for additional information. Job Classification: 35-9011.00 - Dining Room and Cafeteria Attendants and Bartender Helpers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The Petitioner will consider for employment any person who possesses at least three (3) months of experience in a fine-dining or high-volume environment at a high-end restaurant, resort, or private club. Applicant must complete pre-employment background check at employers expense if not returning from the previous season. Number of Hours Per Week: 40 Work Schedule (Start/End time): 10:00 A.M. - 6:00 P.M.</t>
  </si>
  <si>
    <t>H-400-26184-077017</t>
  </si>
  <si>
    <t>+12616230015</t>
  </si>
  <si>
    <t>Stewards will be responsible for cleaning dishes, utensils, or cooking equipment and placing in storage areas, sweeping or scrubbing floors, receiving and storing supplies, and stocking supplies, such as food or utensils, in serving stations, cupboards, or refrigerators. Schedule: 40 hours per week. Work schedule can vary and can include evening, weekend, and holiday hours. Work may be performed on any day of the week from Monday through Sunday. Example shifts: 8:00am - 4:00pm, 9:00pm - 5:00pm, or 4:00pm - 12:00am. Shift hours may vary. Please see job description for additional information. Job Classification: 35-9021.00 - Dishwashers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The Petitioner will consider for employment any person who possesses at least three (3) months of experience in a fine-dining or high-volume environment at a high-end restaurant, resort, or private club. Applicant must complete pre-employment background check at employers expense if not returning from the previous season. Number of Hours Per Week: 40 Work Schedule (Start/End time): 8:00 A.M. - 4:00 P.M.</t>
  </si>
  <si>
    <t>H-400-26184-077027</t>
  </si>
  <si>
    <t>Servers will be responsible for greeting customers, setting-up the dining areas, taking and placing guest orders, carrying trays and plates, serving food and beverages, polishing silverware and glassware, and cleaning and clearing tables. Schedule: 40 hours per week. Work schedule can vary and can include evening, weekend, and holiday hours. Work may be performed on any day of the week from Monday through Sunday. Example shifts: 10:00am - 6:00pm, 12:00pm - 8:00pm, or 4:00pm - 12:00am. Shift hours may vary. Please see job description for additional information. Job Classification: 35-3031.00 - Waiters and Waitresses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The Petitioner will consider for employment any person who possesses at least three (3) months of experience in a fine-dining or high-volume environment at a high-end restaurant, resort, or private club. Applicant must complete pre-employment background check at employers expense if not returning from the previous season. Number of Hours Per Week: 40 Work Schedule (Start/End time): 10:00 A.M. - 6:00 P.M.</t>
  </si>
  <si>
    <t>H-400-26184-077041</t>
  </si>
  <si>
    <t>Payton Training Center</t>
  </si>
  <si>
    <t>Paytontrainingcenterhiring@gmail.com</t>
  </si>
  <si>
    <t>+13523477000</t>
  </si>
  <si>
    <t>As a horse groom/stable attendant, the worker will be responsible for and assist with the daily care of horses/ preparation of horses for training/racing in horse races. Feed/water horse, clean tack, bathe, brush, and clip horse, apply horse boots and prepare horse to be saddled for races. Clean horse's feet, apply/remove leg wraps/ boots and saddle for training. Bathe/cool down horse after training/racing. Assist veterinarian while performing physical examinations, by keeping the horse calm and under control. Assist the farriers as they inspect, remove, apply, adjust, and work with horse's hooves and shoes by keeping the horse calm and under control. Clean/re-bed stalls. Hose down horse with cold/warm water. Wrap horse in brace or poultice bandages as necessary. Job Classification: 39-2021.00 - Animal Caretakers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Ability to lift up to 150 lbs. with assistance. RANDOM, POST-ACCIDENT, AND UPON SUSPICION DRUG TESTING MAY BE REQUIRED POST-HIRE FOR ALL WORKERS, BOTH DOMESTIC AND H-2B, AT EMPLOYER'S EXPENSE. SPLIT SHIFT, 4:00AM-11:30AM, 3:00PM-4:30PM (MON-FRI); 4:00AM-11:30AM (SAT-SUN). SCHEDULE AND HOURS MAY VARY. Number of Hours Per Week: 60 Work Schedule (Start/End time): 4:00 A.M. - 4:30 P.M.</t>
  </si>
  <si>
    <t>H-400-26184-077038</t>
  </si>
  <si>
    <t>Pelican Bay Foundation, Inc.</t>
  </si>
  <si>
    <t>peopleoperations@pelicanbay.org</t>
  </si>
  <si>
    <t>+12395978081</t>
  </si>
  <si>
    <t>Bartenders will be responsible for mixing and serving alcoholic and non-alcoholic beverages to members and guests, cleaning glasses and bar equipment, and ensuring bar and work areas are clean and well-stocked. Bartenders will also take and serve beverage and food orders, create innovative and visually appealing drink recipes, collect payments from patrons, and maintain accurate inventory of supplies. Schedule: 35 hours per week. Work schedule can vary and can include evening, weekend, and holiday hours. Work may be performed on any day of the week from Monday through Sunday. Example shifts: 10:00am - 5:00pm, 12:00pm - 7:00pm, or 3:00pm - 10:00pm. Shift hours may vary. See attached job description for additional information. Job Classification: 35-3011.00 - Bartenders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6 Special Requirements: The Petitioner will consider for employment any person who possesses at least six (6) months of experience in a fine-dining or high-volume environment at a high-end restaurant, resort, or private club. Applicant must complete pre-employment background check at employers expense. Number of Hours Per Week: 35 Work Schedule (Start/End time): 10:00 A.M. - 5:00 P.M.</t>
  </si>
  <si>
    <t>H-400-26184-077043</t>
  </si>
  <si>
    <t>Busser</t>
  </si>
  <si>
    <t>Bussers will assist in setting up bars, dining, and serving areas, running food to patrons, serving and refilling water, condiments, and coffee, cleaning tables, removing dirty dishes, and replenishing tables with clean linens, silverware, glassware, and dishes. Bussers will also help behind the bar with refilling ice, restocking, and cleaning, and moving equipment, supplies, and food to required locations. Schedule: 35 hours per week. Work schedule can vary and can include evening, weekend, and holiday hours. Work may be performed on any day of the week from Monday through Sunday. Example shifts: 10:00am - 5:00pm, 12:00pm - 7:00pm, or 2:00pm - 9:00pm. Shift hours may vary. See attached job description for additional information. Job Classification: 35-9011.00 - Dining Room and Cafeteria Attendants and Bartender Helpers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The Petitioner will consider for employment any person who possesses at least three (3) months of experience in a fine-dining or high-volume environment at a high-end restaurant, resort, or private club . Applicant must complete pre-employment background check at employers expense. Number of Hours Per Week: 35 Work Schedule (Start/End time): 10:00 A.M. - 5:00 P.M.</t>
  </si>
  <si>
    <t>H-400-26184-077048</t>
  </si>
  <si>
    <t>Cooks will be responsible for preparing, seasoning, cooking, plating, and garnishing dishes such as soups, meats, vegetables, desserts, and other food items in a restaurant, ensuring that orders are prepared in a timely fashion and according to high-quality standards and that nutrition and sanitation regulations and safety standards are met. Cooks will inspect and clean food preparation areas, pots and pans, work surfaces, and serving areas to ensure safe and sanitary food-handling practices. Cooks will also ensure food is stored and cooked at correct temperatures by regulating temperature of ovens, broilers, grills, and roasters, ensure freshness of food and ingredients by checking for quality, keeping track of old and new items, and rotating stock. Schedule: 35 hours per week. Work schedule can vary and can include evening, weekend, and holiday hours. Work may be performed on any day of the week from Monday through Sunday. Example shifts: 8:00am - 3:00pm, 2:00pm - 9:00pm, or 3:00pm - 10:00pm. Shift hours may vary. See attached job description for additional information. Job Classification: 35-2014.00 - Cooks, Restaurant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6 Special Requirements: The Petitioner will consider for employment any person who possesses at least six (6) months of culinary experience in a fine-dining or high-volume environment at a high-end restaurant, resort, or private club. Applicant must complete pre-employment background check at employers expense. Number of Hours Per Week: 35 Work Schedule (Start/End time): 8:00 A.M. - 3:00 P.M.</t>
  </si>
  <si>
    <t>H-400-26184-077039</t>
  </si>
  <si>
    <t>Servers will be responsible for greeting members and guests, setting up dining areas, taking and placing accurate orders, carrying trays and plates, serving food and beverages, and cleaning and clearing tables. Servers will check regularly with patrons to ensure they are enjoying their meals, take action to correct any problems, inform patrons of daily specials, answer questions about menu items, make recommendations upon request, assist in preparing hot, cold, alcoholic drinks, and beer for patrons, chill bottles of wine, collect payments from patrons, and prepare tables for meals including setting up linens, silverware, and glassware. Schedule: 35 hours per week. Work schedule can vary and can include evening, weekend, and holiday hours. Work may be performed on any day of the week from Monday through Sunday. Example shifts: 10:00am - 5:00pm, 2:00pm - 9:00pm, or 3:00pm - 10:00pm. Shift hours may vary. See attached job description for additional information. Job Classification: 35-3031.00 - Waiters and Waitresses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6 Special Requirements: The Petitioner will consider for employment any person who possesses at least six (6) months of experience serving in a fine-dining or high-volume environment at a high-end restaurant, resort, or private club. Applicant must complete pre-employment background check at employers expense. Number of Hours Per Week: 35 Work Schedule (Start/End time): 10:00 A.M. - 5:00 P.M.</t>
  </si>
  <si>
    <t>H-400-26184-077051</t>
  </si>
  <si>
    <t>Hosts will be responsible for welcoming patrons, seating patrons at tables, and helping ensure quality of facilities and service. Hosts will provide guests with menus, assign patrons to tables suitable for their needs and according to rotation so that servers receive an appropriate number of seatings, answer telephone calls and respond to inquiries, receive and record patrons' dining reservations, speak with patrons to ensure satisfaction with food and service, inspect dining and serving areas to ensure cleanliness and proper setup, inform patrons of establishment specialties and features, maintain contact with kitchen staff, management, serving staff, and customers to ensure that dining details are handled properly and customers' concerns are addressed, and assist restaurant staff by setting up the coffee station for the next shift. Schedule: 35 hours per week. Work schedule can vary and can include evening, weekend, and holiday hours. Work may be performed on any day of the week from Monday through Sunday. Example shifts: 10:00am - 5:00pm, 12:00pm - 7:00pm, or 2:00pm - 9:00pm. Shift hours may vary. See attached job description for additional information. Job Classification: 35-9031.00 - Hosts and Hostesses, Restaurant, Lounge, and Coffee Shop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6 Special Requirements: The Petitioner will consider for employment any person who possesses at least six (6) months of experience in a customer service position at a fine-dining or high-volume environment at a high-end restaurant, resort, or private club. Applicant must complete pre-employment background check at employers expense. Number of Hours Per Week: 35 Work Schedule (Start/End time): 10:00 A.M. - 5:00 P.M.</t>
  </si>
  <si>
    <t>H-400-26184-077042</t>
  </si>
  <si>
    <t>Randy Bradshaw Breaking and Training, LLC</t>
  </si>
  <si>
    <t>20/06/2027</t>
  </si>
  <si>
    <t>rbbtoffice@gmail.com</t>
  </si>
  <si>
    <t>+13524275565</t>
  </si>
  <si>
    <t>Attend to live horses. Feed, water, bathe, exercise, ride, walk and load horses. Clean and maintain stalls. Job Classification: 39-2021.00 - Animal Caretakers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SPLIT SHIFT WORK SCHEDULE FROM 6:00AM-12:00PM AND 2:00PM-4:00PM. SCHEDULE AND HOURS VARY. WEEKEND WORK REQUIRED WHEN NECESSARY. ABILITY TO LIFT 150LBS WITH ASSISTANCE. POST-HIRE DRUG TESTING POST-ACCIDENT AND UPON SUSPICION AT EMPLOYER'S EXPENSE. 3 MONTHS EXPERIENCE REQUIRED AS STABLE ATTENDANT OR HORSE GROOM. Number of Hours Per Week: 40 Work Schedule (Start/End time): 6:00 A.M. - 4:00 P.M.</t>
  </si>
  <si>
    <t>H-400-26184-077047</t>
  </si>
  <si>
    <t>Rawsonville Marketplace, LLC</t>
  </si>
  <si>
    <t>parker@equipesport.com</t>
  </si>
  <si>
    <t>+18022972847</t>
  </si>
  <si>
    <t>Deli Clerk</t>
  </si>
  <si>
    <t>Take orders, prepare, cook and package foods requiring short preparation time. Serve food and beverages, prepare bill and collect payment from customer; order supplies and stock shelves; clean work area and food preparation equipment. Prepare beverages, brew coffee or tea, perform food preparation tasks, such as making sandwiches, and serve meals to patrons over counter. Job Classification: 35-2015.00 - Cooks, Short Order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Must be able to lift 40lbs and stand for extended periods. 3 months experience required as a cook in a retail, restaurant, commercial or related setting. Schedule and hours vary. The days and hours of work may vary depending on scheduling, and the hours per week will vary with business levels, but will generally be between 38-45 hours per week. The business is open 7 days per week and weekend work will be required. Number of Hours Per Week: 45 Work Schedule (Start/End time): 5:00 A.M. - 12:00 P.M.</t>
  </si>
  <si>
    <t>H-400-26184-077049</t>
  </si>
  <si>
    <t>Seasonal Landscaping &amp; Nursery, Inc.</t>
  </si>
  <si>
    <t>mcrane@seasonalnursery.com</t>
  </si>
  <si>
    <t>+17166759000</t>
  </si>
  <si>
    <t>Landscape or maintain properties using tools or equipment. Tasks may include planting, watering, fertilizing, digging, raking, sprinkler installation, seeding, mulching, sod laying, hauling &amp; spreading topsoil &amp; installation of mortarless segmental concrete masonry wall units. Job Classification: 37-3011.00 - Landscaping and Groundskeeping Workers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ABILITY TO LIFT UP TO 50LBS. SATURDAY WORK REQUIRED, WHEN NECESSARY. HOURS MAY FLUCTUATE DUE TO WEATHER, OT HOURS WILL VARY. WORK IN ADVERSE WEATHER CONDITIONS. RANDOM DRUG TESTING POST-HIRE AT EMPLOYER'S EXPENSE FOR ALL WORKERS, BOTH DOMESTIC AND H-2B. Number of Hours Per Week: 40 Work Schedule (Start/End time): 7:00 A.M. - 5:00 P.M.</t>
  </si>
  <si>
    <t>H-400-26184-077028</t>
  </si>
  <si>
    <t>Southeast Spreading Company, LLC</t>
  </si>
  <si>
    <t>myrajaimes06@gmail.com</t>
  </si>
  <si>
    <t>+18633853672</t>
  </si>
  <si>
    <t>Mulch Installation</t>
  </si>
  <si>
    <t>Perform manual labor associated with landscape maintenance and mulch installation. Install mulch by loading, carrying, and spreading materials around trees, flower beds, and landscaped areas. Edge, blow, and clean work areas. Pull weeds, remove debris. Load, unload, and move tools, equipment, and materials. Maintain clean and safe work areas. Follow all employer instructions and safety procedures. Work is performed outdoors in varying weather conditions and requires standing, bending, lifting, and repetitive physical activity. The employer may offer raises/bonuses to temporary employees hired under this job order, at the company's sole discretion, based on individual factors such as performance, skill, and job tenure. Wages will be calculated based on a single workweek. Employees will be paid weekly. Schedule: The work schedule may vary based on business and weather conditions. A sample schedule is Monday–Friday, 7:00 a.m. to 3:00 p.m., and Saturday, 7:00 a.m. to 12:00 p.m. The expected work schedule is approximately 40 hours per week. The employer may offer more hours than specified, depending on company needs, and other conditions. On-the-job training is available. Job Classification: 37-3011.00 - Landscaping and Groundskeeping Workers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Lift, carry, and move bags of mulch weighing up to 50 lbs. Must be able to perform physically demanding outdoor work. Workers may handle up to 200 bags per person per day depending on worksite needs and employer direction. Number of Hours Per Week: 40 Work Schedule (Start/End time): 7:00 A.M. - 3:00 P.M.</t>
  </si>
  <si>
    <t>H-400-26184-077056</t>
  </si>
  <si>
    <t>The Club at Mediterra, Inc.</t>
  </si>
  <si>
    <t>HR-Team@clubmediterra.com</t>
  </si>
  <si>
    <t>+12392543005</t>
  </si>
  <si>
    <t>Server Captain</t>
  </si>
  <si>
    <t>Server Captain will be responsible for greeting customers, setting up the dining areas, taking and placing guest orders, carrying trays and plates, serving food and beverages, mixing and serving alcoholic and non-alcoholic drinks, cleaning and clearing tables, and stocking the bar as needed. Will also be responsible for training, monitoring service levels, preparing menus, coordinating staff schedules, and conducting daily line-up. May supervise up to twenty-five (25) Servers and five (5) Food Runners. Schedule: 35 hours per week. Work schedule can vary and can include evening, weekend, and holiday hours. Work may be performed on any day of the week from Monday through Sunday. Example shifts: 10:30am – 5:30pm, 11:00am – 6:00pm, or 4:00pm – 11:00pm. Shift hours may vary. See attached job description for additional information. Job Classification: 35-1012.00 - First-Line Supervisors of Food Preparation and Serving Workers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6 Special Requirements: The Petitioner will consider for employment any person who possesses at least six (6) months of service experience in a fine-dining or high-volume environment at a high-end restaurant, resort, or private club. Applicant must complete pre-employment background check and drug screening at employers expense. Number of Hours Per Week: 35 Work Schedule (Start/End time): 10:30 A.M. - 5:30 P.M.</t>
  </si>
  <si>
    <t>H-400-26184-077058</t>
  </si>
  <si>
    <t>Servers will be responsible for greeting members and guests, setting up the indoor and outdoor dining areas, taking and placing orders, carrying trays and plates, mixing and serving both alcoholic and non-alcoholic beverages, stocking the bar as necessary, and cleaning and clearing tables and dining areas. Servers may also assist with putting out and bringing in beach chairs and tables. Schedule: 35 hours per week. Work schedule can vary and can include evening, weekend, and holiday hours. Work may be performed on any day of the week from Monday through Sunday. Example shifts: 10:30am – 5:30pm, 11:00am – 6:00pm, or 4:00pm – 11:00pm. Shift hours may vary. See attached job description for additional information. Job Classification: 35-3011.00 - Bartenders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The Petitioner will consider for employment any person who possesses at least three (3) months of service experience in a fine-dining or high-volume environment at a high-end restaurant, resort, or private club. Applicant must complete pre-employment background check and drug screening at employer's expense. Number of Hours Per Week: 35 Work Schedule (Start/End time): 10:30 A.M. - 5:30 P.M.</t>
  </si>
  <si>
    <t>H-400-26184-077060</t>
  </si>
  <si>
    <t>Line Cooks will be responsible for preparing, seasoning, and cooking soups, meats, vegetables, desserts, and other food items in a restaurant. Schedule: 35 hours per week. Work schedule can vary and can include evening, weekend, and holiday hours. Work may be performed on any day of the week from Monday through Sunday. Example shifts: 8:00am – 3:00pm, 1:00pm – 8:00pm, or 2:00pm – 9:00pm. Shift hours may vary. See attached job description for additional information. Job Classification: 35-2014.00 - Cooks, Restaurant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6 Special Requirements: The Petitioner will consider for employment any person who possesses at least six (6) months of culinary experience in a fine-dining or high-volume environment at a high-end restaurant, resort, or private club. Applicant must complete pre-employment background check and drug screening at employer's expense. Number of Hours Per Week: 35 Work Schedule (Start/End time): 8:00 A.M. - 3:00 P.M.</t>
  </si>
  <si>
    <t>H-400-26184-077061</t>
  </si>
  <si>
    <t>Hosts will be responsible for greeting members and guests, assisting members with reservations using a computer system; answering phones and taking to-go orders; monitoring floor diagrams and waiting lists; setting up the indoor and outdoor dining areas, taking and placing orders, and assist in cleaning tables and dining areas. Schedule: 35 hours per week. Work schedule can vary and can include evening, weekend, and holiday hours. Work may be performed on any day of the week from Monday through Sunday. Example shifts: 10:30am – 5:30pm, 11:00am – 6:00pm, or 4:00pm – 11:00pm. Shift hours may vary. See attached job description for additional information Job Classification: 35-3031.00 - Waiters and Waitresses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The Petitioner will consider for employment any person who possesses at least three (3) months of food service experience in a fine-dining or high-volume environment at a high-end restaurant, resort, or private club. Applicant must complete pre-employment background check and drug screening at employer's expense. Number of Hours Per Week: 35 Work Schedule (Start/End time): 10:30 A.M. - 5:30 P.M.</t>
  </si>
  <si>
    <t>H-400-26184-077059</t>
  </si>
  <si>
    <t>Catering and Event Assistant</t>
  </si>
  <si>
    <t>***RFI response*** Setting up and breaking down catering event spaces" - this consists of setting tables with linen and decorative items for the events (flowers, centerpieces, and small themed decorative items) and the subsequent removal of these items. No tools, equipment, or materials (other than those already mentioned) are used. "Assisting members and staff with special food/beverage related requests during banquets" - this consists of responding to questions from guests about the details/schedule of the event. No tools, equipment, or materials are used. ***Original*** Catering and Event Assistant will be responsible for supporting the Food and Beverage Department with administrative tasks, banquet setup, and food and beverage service during banquets. This includes communicating with banquet vendors to confirm goods/services will be provided, communicating with members to confirm event attendance, setting up and breaking down catering event spaces, greeting and serving food and beverages to members and guests, assisting members and staff with special food/beverage related requests during banquets, and performing administrative-related tasks in connection with banquets, such as data entry and generating reports. Schedule: 35 hours per week. Work schedule can vary and can include evening, weekend, and holiday hours. Work may be performed on any day of the week from Monday through Sunday. Example shifts: 10:00 am – 5:00 pm, 11:00 am – 6:00 pm, 12:00 pm – 7:00 pm. Shift hours may vary. See attached job description for additional information. Job Classification: 43-4151.00 - Order Clerks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The Petitioner will consider for employment any person who possesses at least three (3) months of service experience in a fine-dining or high-volume environment at a high-end restaurant, resort, or private club. Applicant must complete pre-employment background check and drug screening at employer's expense. Number of Hours Per Week: 35 Work Schedule (Start/End time): 10:00 A.M. - 5:00 P.M.</t>
  </si>
  <si>
    <t>H-400-26184-077055</t>
  </si>
  <si>
    <t xml:space="preserve">The Club at Mediterra, Inc. </t>
  </si>
  <si>
    <t>Assistant Food &amp; Beverage Manager</t>
  </si>
  <si>
    <t>Assistant Food &amp; Beverage Managers will be responsible for supervising and coordinating the work of service team. Supervisory responsibilities will include training, monitoring service levels, preparing menus, coordinating staff schedules, and conducting daily line-up which consists of meeting with the front-of-house team to review and coordinate daily activities. Will also work with food and beverage managerial staff to assist with food and beverage costing analysis to determine how to appropriately price menu items. May supervise up to twenty-five (25) entry-level servers and five (5) Food Runners. Schedule: 35 hours per week. Work schedule can vary and can include evening, weekend, and holiday hours. Work may be performed on any day of the week from Monday through Sunday. Example shifts: 10:30am – 5:30pm, 11:00am – 6:00pm, or 4:00pm – 11:00pm. Shift hours may vary. See attached job description for additional information. Job Classification: 35-1012.00 - First-Line Supervisors of Food Preparation and Serving Workers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6 Special Requirements: The Petitioner will consider for employment any person who possesses at least six (6) months of service experience in a fine-dining or high-volume environment at a high-end restaurant, resort, or private club. Applicant must complete pre-employment background check and drug screening at employer's expense. Number of Hours Per Week: 35 Work Schedule (Start/End time): 10:30 A.M. - 5:30 P.M.</t>
  </si>
  <si>
    <t>H-400-26184-077013</t>
  </si>
  <si>
    <t xml:space="preserve">The TwinEagles Club, Inc. </t>
  </si>
  <si>
    <t>Servers will be responsible for serving and delivering food and beverage products and creating custom, seamless and memorable experience to TwinEagles members. Servers will be performing daily opening and closing duties and will be responsible that ala carte service and or event is ready for members in timely fashion. Servers will be assisting with welcoming and seating of members. Upholding all company SOP’s, guiding members through the menu and taking food and beverage orders accurately. Must be able to take 4 tables station with strong sense of urgency, attention to detail and prioritizing responsibilities. Must ensure high standards of cleanliness, sanitation and hygiene in work area. Servers must be able to carry heavy items on daily basis following safety procedures and must be able to stand on their feet for longer periods, up to 10 hours. Responsible for assisting with opening/closing of restaurant and food and beverage area, polishing glassware and silver, setting up, cleaning, and tearing down work station, taking and keying guest orders, advising kitchen personnel of items ordered, presenting check to guest, and clearing tables. Duties also include assisting with setting up the dining area for banquet events, including setting up food stations and/or moving chairs and tables to setup the dining area in the correct configuration. Schedule: 35 hours per week. Open 7 days a week. Work schedule may vary and can include evening and weekend hours. Work may be performed on any day of the week from Monday through Sunday. Example shifts: 6:00am – 1:00pm, 10:00am – 5:00pm, or 4:00pm – 11:00pm. Shift hours may vary. Please see attached job description for additional information. Job Classification: 35-3031.00 - Waiters and Waitresses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6 Special Requirements: The Petitioner will consider for employment any person who possesses at least six (6) months of service experience in a fine-dining or high-volume environment at a high-end restaurant, resort, or private club. Applicant must complete pre-employment background check and drug screening at employers expense. Number of Hours Per Week: 35 Work Schedule (Start/End time): 6:00 A.M. - 1:00 P.M.</t>
  </si>
  <si>
    <t>H-400-26184-077053</t>
  </si>
  <si>
    <t>Wellington Training Stables, Inc.</t>
  </si>
  <si>
    <t>mdignelli@heritagefarm.com</t>
  </si>
  <si>
    <t>+19142322122</t>
  </si>
  <si>
    <t>As a horse groom, the worker will be responsible for and assist with the daily care of horses and preparation of horses for training as well as participation in horse shows. The workers will travel to competitions in order to help prepare horses for show rings. They have the responsibility to feed and water horses, clean, tack, bathe, brush, and clip horses, apply horse boots and prepare horses to be saddled for shows. They will clean horse's feet, apply/remove leg wraps/boots and saddle for training. Bathe/cool down horse after training/showing. Assist veterinarian while performing physical examinations by keeping the horse calm and under control. Assist the farriers as they inspect, remove, apply, adjust, and work with horse's hooves and shoes, by keeping the horse calm and under control. Clean/re-bed stalls. Hose down horse with cold/warm water. Wrap horse in brace or poultice bandages as necessary. Job Classification: 39-2021.00 - Animal Caretakers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ABILITY TO LIFT 150 LBS W/ ASSISTANCE. RANDOM DRUG TESTING MAY BE REQUIRED POST-HIRE FOR ALL WORKERS, BOTH DOMESTIC AND H-2B, AT EMPLOYER'S EXPENSE. SPLIT WORK SCHEDULE: 7AM-12PM; 2:30PM-5:30PM. SCHEDULE AND HOURS MAY VARY. WEEKEND WORK MAY BE REQUIRED. Number of Hours Per Week: 40 Work Schedule (Start/End time): 7:00 A.M. - 5:30 P.M.</t>
  </si>
  <si>
    <t>H-400-26184-077078</t>
  </si>
  <si>
    <t xml:space="preserve"> Tasdemir Marble and Granite LLC</t>
  </si>
  <si>
    <t>Stonemason</t>
  </si>
  <si>
    <t>Build stone structures such as walls and abutments. Lay out wall patterns using straight edge, rule, or stake lines. Shape, trim, and cut marble or stone using power saws, cutting equipment, and hand tools. Mix mortar and grout, and pour them on marble slabs, stone, or foundation. Job Classification: 47-2022.00 - Stonemasons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24 Special Requirements: None. Number of Hours Per Week: 35 Work Schedule (Start/End time): 8:00 A.M. - 4:00 P.M.</t>
  </si>
  <si>
    <t>H-400-26184-077067</t>
  </si>
  <si>
    <t>Ajara@klac.org</t>
  </si>
  <si>
    <t>Food and Beverage Admin</t>
  </si>
  <si>
    <t>Food and Beverage Admin will be responsible for clerical duties in the Food &amp; Beverage department such as assisting with dining and club event reservations, private event inquiries, managing email and phone confirmations for club event attendees and event registration, providing the Food &amp; Beverage management team with reservation reports and summaries, and assisting with updating/programming the reservation system by entering operating hours, blocks, seating restrictions, and Club events into the system. The Food &amp; Beverage Admin will also provide general Food &amp; Beverage support by distributing to-go food orders to kitchen stations and podiums for preparation and coordination, prepare and print F&amp;B materials such as menus and food signs for Club restaurants, and updating various online platforms and calendars with new menus, daily specials, and events. Additionally, the Food &amp; Beverage Admin will be responsible for providing general administrative support to staff for day-to-day clubhouse operations including maintaining the front desk office by monitoring inventory levels, organizing and maintaining filing systems, accurately recording member information, creating printed and digital promotional materials for Club events and activities, creating and distributing Club event email communications, and maintaining event displays. Lastly, the Food &amp; Beverage Admin will provide general front desk support by greeting and assisting members and guests, answering phone calls, responding to inquiries and providing general information to members and guests, and processing incoming and outgoing mail/packages, faxes, and email correspondence. Must be able to lift and carry up to 25 pounds when needed and view a monitor for long periods of time. Schedule: 40 hours per week. Work schedule can vary and can include evening, weekend, and holiday hours. Work may be performed on any day of the week from Monday through Sunday. Example shifts: 9:00am-5:00pm or 10:00am-6:00pm. Shift hours may vary. Please see job description for additional information. Job Classification: 39-6012.00 - Concierges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12 Special Requirements: The Petitioner will consider for employment any person who possesses at least one (1) year of food and beverage administrative support or customer service experience at a high-end restaurant, resort, or private club. High school diploma or equivalency required. Applicant must complete pre-employment background check and drug screening at employer's expense. Number of Hours Per Week: 40 Work Schedule (Start/End time): 9:00 A.M. - 5:00 P.M.</t>
  </si>
  <si>
    <t>H-400-26184-077069</t>
  </si>
  <si>
    <t>Culinary Supervisor</t>
  </si>
  <si>
    <t>Culinary Supervisors will be responsible for overseeing the operations of a kitchen and ensuring that all culinary activities are carried out efficiently, safely, and in line with company standards such as preparing food and presentation, maintaining cleanliness and organization, and adhering to safety and sanitation protocols. Culinary Supervisors will also be responsible for overseeing staff schedules, managing inventory, assisting with menu planning, and training kitchen staff as needed. May supervise up to three (3) Dishwashers and six (6) Cooks. Culinary Supervisors may need to lift and carry items up to 25 pounds. Schedule: 35 hours per week. Work schedule can vary and can include evening, weekend, and holiday hours. Work may be performed on any day of the week from Monday through Sunday. Example shifts: 8:00am-3:00pm or 3:00pm-10:00pm. Shift hours may vary. Please see job description for additional information. Job Classification: 35-1011.00 - Chefs and Head Cooks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12 Special Requirements: The Petitioner will consider for employment any person who possesses at least one (1) year of culinary experience in a fine-dining or high-volume environment at a high-end restaurant, resort, or private club. Applicant must complete pre-employment background check and drug screening at employers expense. Number of Hours Per Week: 35 Work Schedule (Start/End time): 8:00 A.M. - 3:00 P.M.</t>
  </si>
  <si>
    <t>H-400-26184-077077</t>
  </si>
  <si>
    <t>Cooks will be responsible for preparing, seasoning, and cooking soups, meats, vegetables, desserts, and other food items in a restaurant. Schedule: 35 hours per week. Work schedule can vary and can include evening, weekend, and holiday hours. Work may be performed on any day of the week from Monday through Sunday. Example shifts: 8:00am-3:00pm or 3:00pm-10:00pm. Shift hours may vary. Please see job description for additional information. Job Classification: 35-2014.00 - Cooks, Restaurant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6 Special Requirements: The Petitioner will consider for employment any person who possesses at least six (6) months of culinary experience in a fine-dining or high-volume environment at a high-end restaurant, resort, or private club. Applicant must complete pre-employment background check and drug screening at employer's expense. Number of Hours Per Week: 35 Work Schedule (Start/End time): 8:00 A.M. - 3:00 P.M.</t>
  </si>
  <si>
    <t>H-400-26184-077070</t>
  </si>
  <si>
    <t>Food &amp; Beverage Supervisors will be responsible for conducting meetings and supervisory activities (i.e. creating work schedules), observing and evaluating workers and work procedures to ensure quality standards and service, and collaborating with other Club personnel for menu planning, menu engineering, inventory management, serving arrangements, and related details. May supervise up to twenty-one (21) employees, including four (4) Bartenders, five (5) Runners, and twelve (12) Servers. Food &amp; Beverage Supervisors may need to lift and carry items up to 25 pounds. Schedule: 35 hours per week. Work schedule can vary and can include evening, weekend, and holiday hours. Work may be performed on any day of the week from Monday through Sunday. Example shifts: 8:00am-3:00pm or 3:00pm-10:00pm. Shift hours may vary. Please see job description for additional information. Job Classification: 35-1012.00 - First-Line Supervisors of Food Preparation and Serving Workers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12 Special Requirements: The Petitioner will consider for employment any person who possesses at least one (1) year of experience in a fine-dining or high-volume environment at a high-end restaurant, resort, or private club. Applicant must complete pre-employment background check and drug screening at employers expense. Number of Hours Per Week: 35 Work Schedule (Start/End time): 8:00 A.M. - 3:00 P.M.</t>
  </si>
  <si>
    <t>H-400-26184-077098</t>
  </si>
  <si>
    <t>Apex Landscape &amp; Irrigation LLC</t>
  </si>
  <si>
    <t>cevans@apexli.net</t>
  </si>
  <si>
    <t>+19797164009</t>
  </si>
  <si>
    <t>Planting and watering trees, shrubs, sod, and other vegetation. Spreading mulch, soil, and gravel by hand or with basic tools. Placing erosion control materials (e.g., blankets, wattles). Assisting with basic irrigation tasks as directed. Removing debris, weeds, and trash from rights-of-way. Using hand tools and small equipment such as shovels, rakes, trimmers, and blowers. Assisting crew members with basic landscaping tasks as directed. Loading and unloading materials and supplies. Following all traffic control and roadway safety procedures. Work is performed outdoors in varying weather conditions and near active roadways. The employer will offer 40 hours of work per week. Normal schedule Monday-Friday, 7am-4:00pm. Shift includes 1-hour unpaid break time. Work on Saturday/Sunday may be required. Workdays, hours and shift time may vary depending on weather conditions. Basic rate of pay $17.42 per hour. Employer may increase wage based on experience, market conditions, and/or provide additional pay for performance and tenure. Overtime may be available. An overtime premium will be paid when required by Federal, State, or local law, including at time-and-a-half after 40 hours in a workweek. Generally, when overtime is available it will be paid at $34.84 per hour. Employer will provide on-the-job training. A single workweek will be used in computing wages due. Workers will be paid weekly. The employer will provide worker at no charge all tools, supplies, PPE equipment, uniform, and equipment required to perform job. Work will be performed at multiple outdoor worksites located along public roadways, medians, shoulders, and rights-of-way in Montgomery, Harris, and Liberty Counties, TX. These worksites are associated with roadway construction and landscaping projects under contracts with the Texas Department of Transportation. Workers will report directly to assigned job sites and will not report to a central office on a daily basis. Employer will provide directions and daily assignments. Optional Daily transportation provided between housing and the daily assignments at no charge to the worker. Job Classification: 37-3011.00 - Landscaping and Groundskeeping Workers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Must be able to lift and carry up to 50 lbs. Workers must comply with all safety regulations related to roadway construction zones. Workers may be required to wear personal protective equipment (PPE) including high-visibility vests, hard hats, gloves, and safety boots. Must be able to work a 5-day schedule including Saturdays, Sundays and holidays when necessary. Applicant must complete an employment application. Number of Hours Per Week: 40 Work Schedule (Start/End time): 7:00 A.M. - 4:00 P.M.</t>
  </si>
  <si>
    <t>H-400-26184-077094</t>
  </si>
  <si>
    <t>Planting and watering trees, shrubs, sod, and other vegetation. Spreading mulch, soil, and gravel by hand or with basic tools. Placing erosion control materials (e.g., blankets, wattles). Assisting with basic irrigation tasks as directed. Removing debris, weeds, and trash from rights-of-way. Using hand tools and small equipment such as shovels, rakes, trimmers, and blowers. Assisting crew members with basic landscaping tasks as directed. Loading and unloading materials and supplies. Following all traffic control and roadway safety procedures. Work is performed outdoors in varying weather conditions and near active roadways. The employer will offer 40 hours of work per week. Normal schedule Monday-Friday, 7am-4:00pm. Shift includes one- hour unpaid break time. Work on Saturday/Sunday may be required. Workdays, hours and shift time may vary depending on weather conditions. Basic rate of pay $18.93 per hour. Employer may increase wage based on experience, market conditions, and/or provide additional pay for performance and tenure. Overtime may be available. An overtime premium will be paid when required by Federal, State, or local law, including at time-and-a-half after 40 hours in a workweek. Generally, when overtime is available it will be paid at $28.40 per hour. Employer will provide on-the-job training. A single workweek will be used in computing wages due. Workers will be paid weekly. The employer will provide worker at no charge all tools, supplies, PPE equipment, uniform, and equipment required to perform job. Work will be performed at multiple outdoor worksites located along public roadways, medians, shoulders, and rights-of-way in Williamson, Travis, Hays, and Bastrop Counties, TX. These worksites are associated with roadway construction and landscaping projects under contracts with the Texas Department of Transportation. Workers will report directly to assigned job sites and will not report to a central office on a daily basis. Employer will provide directions and daily assignments. Optional Daily transportation provided between housing and the daily assignments at no charge to the worker. Job Classification: 37-3011.00 - Landscaping and Groundskeeping Workers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Must be able to lift and carry up to 50 lbs. Workers must comply with all safety regulations related to roadway construction zones. Workers may be required to wear personal protective equipment (PPE) including high-visibility vests, hard hats, gloves, and safety boots. Must be able to work a 5-day schedule including Saturdays, Sundays and holidays when necessary. Applicant must complete an employment application. Number of Hours Per Week: 40 Work Schedule (Start/End time): 7:00 A.M. - 4:00 P.M.</t>
  </si>
  <si>
    <t>H-400-26184-077080</t>
  </si>
  <si>
    <t>Bocaire Country Club, Inc.</t>
  </si>
  <si>
    <t>seasonalconnect@bocairecc.com</t>
  </si>
  <si>
    <t>+15619981608</t>
  </si>
  <si>
    <t>Hostess</t>
  </si>
  <si>
    <t>Hostesses will be responsible for greeting and seating members and guests, assisting members with reservations using a computer system; answering phones and taking to-go orders; monitoring floor diagrams and waiting lists; setting up the indoor and outdoor dining areas, taking and placing orders when Servers need assistance, and assist in cleaning tables and dining areas. Schedule: 35 hours per week. Work schedule can vary and can include evening, weekend, and holiday hours. Work may be performed on any day of the week from Monday through Sunday. Example shifts: 9:00am - 4:00pm, 10:00am - 5:00pm, or 12:00pm - 7:00pm. Shift hours may vary. See attached job description for additional information. Job Classification: 35-9031.00 - Hosts and Hostesses, Restaurant, Lounge, and Coffee Shop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The Petitioner will consider for employment any person who possesses at least three (3) months of experience in a fine-dining or high-volume environment at a high-end restaurant, resort, or private club. Applicant must complete pre-employment background check and drug screening at employers expense. Number of Hours Per Week: 35 Work Schedule (Start/End time): 9:00 A.M. - 4:00 P.M.</t>
  </si>
  <si>
    <t>H-400-26184-077088</t>
  </si>
  <si>
    <t>Servers will be responsible for greeting customers, setting up the dining areas, taking and placing orders, carrying trays and plates, serving food and beverages, and cleaning and clearing tables. Schedule: 40 hours per week. Work schedule can vary and can include evening, weekend, and holiday hours. Work may be performed on any day of the week from Monday through Sunday. Example shifts: 9:00am to 5:00pm or 3:00pm to 11:00pm. Shift hours may vary. See attached job description for additional information. Job Classification: 35-3031.00 - Waiters and Waitresses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6 Special Requirements: The Petitioner will consider for employment any person who possesses at least six (6) months of serving experience in a fine-dining or high-volume environment at a high-end restaurant, resort, or private club. Applicant must complete pre-employment background check and drug screening at employers expense. Number of Hours Per Week: 40 Work Schedule (Start/End time): 9:00 A.M. - 5:00 P.M.</t>
  </si>
  <si>
    <t>H-400-26184-077089</t>
  </si>
  <si>
    <t>Line Cooks will be responsible for preparing, seasoning, and cooking soups, meats, vegetables, desserts, and other food items in a restaurant. Additionally, Line Cooks will be responsible for using safe food- handling skills and follow food safety guidelines to ensure a safe working environment. Schedule: 40 hours per week. Work schedule can vary and can include evening, weekend, and holiday hours. Work may be performed on any day of the week from Monday through Sunday. Example shifts: 8:00 a.m. to 4:00 p.m. or 2:00 p.m. to 10:00 p.m. Shift hours may vary. See attached job description for additional information. Job Classification: 35-2014.00 - Cooks, Restaurant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6 Special Requirements: The Petitioner will consider for employment any person who possesses at least six (6) months of culinary experience in a fine-dining or high-volume environment at a high-end restaurant, resort, or private club. Applicant must complete pre-employment background check and drug screening at employers expense. Number of Hours Per Week: 40 Work Schedule (Start/End time): 8:00 A.M. - 4:00 P.M.</t>
  </si>
  <si>
    <t>H-400-26184-077071</t>
  </si>
  <si>
    <t>Brown's Amusements, Inc.</t>
  </si>
  <si>
    <t>eventsarizona@aol.com</t>
  </si>
  <si>
    <t>+16025241483</t>
  </si>
  <si>
    <t>H-400-26184-077115</t>
  </si>
  <si>
    <t>CM LLC</t>
  </si>
  <si>
    <t>wadebigdog1@aol.com</t>
  </si>
  <si>
    <t>+15868559781</t>
  </si>
  <si>
    <t>H-400-26184-077095</t>
  </si>
  <si>
    <t>Curio Employer LLC</t>
  </si>
  <si>
    <t>Greer.Cornell@Hilton.com</t>
  </si>
  <si>
    <t>+13055879011</t>
  </si>
  <si>
    <t>Food &amp; Beverage Busser</t>
  </si>
  <si>
    <t>Food &amp; Beverage Bussers will be responsible for greeting customers, setting up tables in the dining and buffet areas with tableware such as plates, glasses, and silverware, carrying trays and plates, cleaning and clearing tables, delivering room service orders, providing excellent customer services, cooperating and communicating with all serving and kitchen staff, and adhering to all relevant health department rules/regulations and all customer service guidelines. Food &amp; Beverage Bussers assist Servers by refilling beverages and by carrying trays and baskets containing guest food orders from the kitchen, when needed. Food &amp; Beverage Bussers do not take orders from guests, as all guest orders are taken and placed by Servers. Schedule: 40 hours per week. Work schedule can vary and can include evening, weekend, and holiday hours. Work may be performed on any day of the week from Monday through Sunday. Example shifts: 6:00am – 2:00pm, 9:00am – 5:00pm, or 3:00pm – 11:00pm. Shift hours may vary. See attached job description for additional information. Job Classification: 35-3041.00 - Food Servers, Nonrestaurant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Applicant must complete pre-employment background check at employers expense. Number of Hours Per Week: 40 Work Schedule (Start/End time): 6:00 A.M. - 2:00 P.M.</t>
  </si>
  <si>
    <t>H-400-26184-077102</t>
  </si>
  <si>
    <t>Room Attendant</t>
  </si>
  <si>
    <t>Room Attendants will be responsible for cleaning and maintaining all rooms, suites, and indoor common areas at the employer’s properties, which includes vacuuming floors, dusting, replenishing linens and towels, disinfecting bathrooms, and washing windows. Use chemicals properly to ensure safety and thorough cleaning. Maintain a neat and organized cart, restocking linens and towels as needed. Communicate maintenance or security needs in a timely manner to appropriate manager or supervisor. Room Attendants may need to occasionally lift and/or move up to 50 lbs. Schedule: 40 hours per week. Work schedule can vary and can include evening, weekend, and holiday hours. Work may be performed on any day of the week from Monday through Sunday. Example shifts: 9:00am – 5:00pm or 4:00pm – 12:00am. Shift hours may vary. See attached job description for additional information. Job Classification: 37-2012.00 - Maids and Housekeeping Cleaners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The Petitioner will consider for employment any person who possesses at least three (3) months of experience at a high-end hotel, resort, or private club. Applicant must complete pre-employment background check at employers expense. Number of Hours Per Week: 40 Work Schedule (Start/End time): 9:00 A.M. - 5:00 P.M.</t>
  </si>
  <si>
    <t>H-400-26184-077104</t>
  </si>
  <si>
    <t>Cooks will be responsible for preparing, seasoning, and cooking soups, meats, vegetables, desserts, and other products for consumption in eating establishments, including the team member cafeteria. Measure and mix ingredients according to recipes. Use a variety of kitchen utensils and equipment. Bake, roast, and broil food. Maintain sanitation, health, and safety standards in the work area. Read food order slips or receive verbal instructions for food orders. Verify that prepared foods meet quality and quantity requirements. Clean, stock, and restock workstations and reach-ins. Demonstrate knowledge of all stations within the kitchen. Understand plate presentations and preparation of menu items. Maintain the buffet in the restaurant and any action stations that are required by business demands. Maintain and rotate all food items to ensure food quality and ensure food items are labeled and dated. Perform additional cooking duties as assigned by Chefs, such as assisting with carving stations, developing nightly specials, and executing live-action food stations for banquet events. Schedule: 40 hours per week. Work schedule can vary and can include evening, weekend, and holiday hours. Work may be performed on any day of the week from Monday through Sunday. Example shifts: 5:00am – 1:00pm, 11:00am – 7:00pm, or 3:00pm – 11:00pm. Shift hours may vary. See attached job description for additional information. Job Classification: 35-2014.00 - Cooks, Restaurant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6 Special Requirements: The Petitioner will consider for employment any person who possesses at least six (6) months of culinary experience in a fine-dining or high-volume environment at a high-end restaurant, resort, or private club. Applicant must complete pre-employment background check at employers expense. Number of Hours Per Week: 40 Work Schedule (Start/End time): 5:00 A.M. - 1:00 P.M.</t>
  </si>
  <si>
    <t>H-400-26184-077117</t>
  </si>
  <si>
    <t>EcoSystems Irrigation, Inc</t>
  </si>
  <si>
    <t>optout@ecosystemsnj.com</t>
  </si>
  <si>
    <t>+17322109467</t>
  </si>
  <si>
    <t>Landscape or maintain grounds of property using hand or power tools or equipment. Lay sod, mow, trim/edge, plant, weeding, watering, rake, blow leaves; use a hand shovel to dig holes for installing plants, trees, shrubs, or irrigation systems, these holes can be up to 24 inches depth and 36 inches in width. Spread seed, fertilizer and mulch; works on the ground to prune or trim trees, shrubs, or hedges using shears, pruners, or chain saws; core aerating; sprinkler installation/repair, installation of mortarless segmental concrete masonry wall units. Maintain equipment to ensure proper functioning. May drive company truck or other vehicle to transport work crews, plants, materials and tools to/from or at worksites. Minimum 35 hours per week up to possible 40 hours per week. Normal work days Monday through Friday from 7:30AM-4:30PM, one-hour unpaid lunch. Work days and shift time may vary with weather. Work on Saturdays required as necessary. $23.31/hr. Employer may increase wage based on experience, changes in market conditions, and/or provide additional pay for performance and tenure. An overtime premium will be paid when required by Federal, State, or local law, including at time-and-a-half after 40 hours per workweek. Generally, when overtime is available it will be paid at $34.97 per hour based on locality the work is performed and the base rate of pay offered per hour. A single workweek will be used to compute wages due. Pay received weekly. Bonus program based on production and attendance is available. Daily transportation provided from main worksite in Monmouth County to multiple worksites within Ocean, Monmouth, Middlesex, Mercer, Morris, Essex, Bergen, Sussex, Hudson, Passaic, Somerset, and Union Counties, NJ. Employer will provide worker at no charge all tools, supplies, equipment and uniform required to perform job. Job Classification: 37-3011.00 - Landscaping and Groundskeeping Workers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Post-employment criminal background check and Post-employment drug test required, cost paid by employer and applied equally to all workers, U.S. and Foreign/H-2B. Must be able to lift up to 50 lbs. Must be able to work a 5-day schedule, including weekends and holidays as required. Applicants must complete an employment application. Number of Hours Per Week: 40 Work Schedule (Start/End time): 7:30 A.M. - 4:30 P.M.</t>
  </si>
  <si>
    <t>H-400-26184-077081</t>
  </si>
  <si>
    <t>Excel Management LTD</t>
  </si>
  <si>
    <t>AnthonyZ@excelmanagementllc.com</t>
  </si>
  <si>
    <t>+14403715173</t>
  </si>
  <si>
    <t>Landscape or maintain grounds of property using hand or power tools or equipment. Workers typically perform a variety of tasks, which may include any combination of the following: sod laying, mowing, trimming, planting, watering, fertilizing, digging, raking, sprinkler installation, and installation of mortarless segmental concrete masonry wall units. Job Classification: 37-3011.00 - Landscaping and Groundskeeping Workers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ABLE TO LIFT AND CARRY 50 POUNDS. SOME OVERTIME AND WEEKENDS REQUIRED. Hours may vary; 8 hour work shift. Number of Hours Per Week: 40 Work Schedule (Start/End time): 7:30 A.M. - 4:00 P.M.</t>
  </si>
  <si>
    <t>H-400-26184-077015</t>
  </si>
  <si>
    <t>KAH Transportes LLC</t>
  </si>
  <si>
    <t>carlhemphillmjc@yahoo.com</t>
  </si>
  <si>
    <t>+16103528008</t>
  </si>
  <si>
    <t>Tractor Trailer Truck Driver</t>
  </si>
  <si>
    <t>Driver a tractor-trailer combination or a truck with a capacity of at least 26,000 lbs gross vehicles weight (GW), may be required to unload truck. Requires commercial driver's license. Will be hauling seasonal material such as mulch, shredded leaves, brush, leaves compost, topsoil, firewood and other landscaping products for our clients and vendors. Must be able to climb up onto trailer to manually tarp the cargo and pick out any litter or non-organic debris. Must have valid commercial driver's license and clean driving record. Verifiable 36 months of experience as a tractor trailer driver prior employment. Employer paid criminal background and drug test prior to employment. Perform physical activities such as lift, balance, walk stoop, handle position, move manipulate materials use static strength to exert maximum muscle force to lift, push, pull carry objects up to 75 lbs. All applicants must be able willing, qualified to perform work described and must be available for the entire period specified and work throughout all areas of intended employment. Saturdays and Sundays work required when necessary. Job Classification: 53-3032.00 - Heavy and Tractor-Trailer Truck Drivers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36 Special Requirements: Commercial Driver's License. Employer will pay drug test and criminal record prior to employment. Number of Hours Per Week: 40 Work Schedule (Start/End time): 5:00 A.M. - 2:30 P.M.</t>
  </si>
  <si>
    <t>H-400-26184-077122</t>
  </si>
  <si>
    <t>Harbour Ridge Yacht &amp; Country Club, Inc.</t>
  </si>
  <si>
    <t>Recruitment@hrycc.org</t>
  </si>
  <si>
    <t>+17723368955</t>
  </si>
  <si>
    <t>Cafe Attendant</t>
  </si>
  <si>
    <t>Café Attendants will be responsible for tending to the cafeteria, ensuring the food area is clean and food is stocked and replenished from the kitchen. Café Attendants will serve boxed lunches to employees from the food truck. Café Attendants must ensure warm food remains in the designated warmers and cold food is kept cold on ice. Café Attendants must communicate with the culinary staff regarding food levels and food replenishing for the Cafe. The attendant will rotate and refill the food line as prepared by the culinary staff with a rolling cart from kitchen to cafe. Café Attendants will be responsible for setting up the café for service, and may assist with the setup of other areas (dining rooms, banquet rooms, event areas at members’ homes, outdoor dining areas), for meetings and events by turning on buffet warmers, stocking ice in buffet chillers, turning on soup kettles, turning on plate warmers, setting up coffee machines within Server stations and in dining rooms for guests, arranging tables and chairs, and setting out butter, glassware, dishware, and linens. Café Attendants must ensure meeting rooms are set up prior to meetings by setting out food and beverage table, coffee and water, and breakfast breads and cookies for scheduled meetings. Café Attendants will assist with refreshment setups for card games (Bridge) twice a week. Café Attendants must restock food, beverages, and utensil inventory from order deliveries. Café Attendants must ensure a clean working environment by carrying dirty dishes to the dish pit and restocking the café with clean dishes, cleaning and wiping sinks with sanitizing spray, clearing and wiping dining tables and buffer lines with sanitizing spray, cleaning out ice bins and buffet wells to remove left over ice or water, and taking garbage bags to outside waste dumpster. Schedule: 40 hours per week. Work schedule can vary and can include evening, weekend, and holiday hours. Work may be performed on any day of the week from Monday through Sunday. Example shifts: 6:00am - 2:00pm, or 8:00am - 4:00pm. Shift hours may vary. Please see attached job description for more information. Job Classification: 35-9011.00 - Dining Room and Cafeteria Attendants and Bartender Helpers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The Petitioner will consider for employment any person who possesses at least three (3) months of experience in a fine-dining or high-volume environment at a high-end restaurant, resort, or private club. Applicant must complete pre-employment background check and drug screening at employers expense. Number of Hours Per Week: 40 Work Schedule (Start/End time): 6:00 A.M. - 2:00 P.M.</t>
  </si>
  <si>
    <t>H-400-26184-077107</t>
  </si>
  <si>
    <t>Busser/Food Runners will be responsible for preparing dining room tables and buffets for regular service, meetings, and events by setting up buffet warmers by setting out food prepared by the kitchen; turning on soup kettles; turning on plate warmers; setting up coffee machines; arranging tables and chairs; and setting out butter, dishware, replacement linens, and napkins. Set-up tasks will take place in an on-site restaurant, banquet rooms, event areas at members’ homes, and an outdoor dining area by the food truck. Busser/Food Runners will also prepare food service stations and bar areas with ice and glassware, greet all dining guests to replenish bread and water to all occupied tables, and assist Servers by clearing plates after each course and serving the next course. Busser/Food Runners will assist the Executive Chef/Sous Chef with the expo line by stocking hot and cold plates as well as laying out utensils and tools, replenishing expo line food items, and ensuring garnishments and condiments. Busser/Food Runners must pay close attention to detail of all plates being served, proper temperature, and garnishes for all meals. Bussers/Food Runners will perform various cleaning duties including carrying soiled dishes from dining room to the kitchen’s dishwashing station, cleaning and breaking down food serving trays, placing glassware in the dishwasher station, cleaning and disinfecting dining tables and chairs between each guest service, removing all garbage from Server stations, cleaning and relining all trash and recycling containers, and removing all dirty linens to bring to the designated area. Bussers/Food Runners will perform other cleaning duties such as light sweeping and mopping of Server station areas, carpets, and floors throughout dinner service. Must have the ability to regularly lift and/or move up to 25 pounds and occasionally lift and/or move up to 100 pounds. Schedule: 40 hours per week. Work schedule can vary and can include evening, weekend, and holiday hours. Work may be performed on any day of the week from Monday through Sunday. Example shifts: 6:00am - 2:00pm, or 8:00am - 4:00pm. Shift hours may vary. Please see attached job description for more information. Job Classification: 35-9011.00 - Dining Room and Cafeteria Attendants and Bartender Helpers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The Petitioner will consider for employment any person who possesses at least three (3) months of experience in a fine-dining or high-volume environment at a high-end restaurant, resort, or private club. Applicant must complete pre-employment background check and drug screening at employers expense. Number of Hours Per Week: 40 Work Schedule (Start/End time): 6:00 A.M. - 2:00 P.M.</t>
  </si>
  <si>
    <t>H-400-26184-077087</t>
  </si>
  <si>
    <t>Herons Glen Recreation District</t>
  </si>
  <si>
    <t>fbdir@hgrdnfm.com</t>
  </si>
  <si>
    <t>+12397314581</t>
  </si>
  <si>
    <t>Line Cooks will be responsible for preparing, seasoning, and cooking soups, meats, vegetables, desserts, and other food items, and light dishwashing and utility work in a restaurant. Schedule: 35 hours per week. Work schedule can vary and can include evening, weekend, and holiday hours. Work may be performed on any day of the week from Monday through Sunday. Example shifts: 10:00am to 5:00pm or 1:00pm to 8:00pm. Shift hours may vary. See attached job description for additional information. Job Classification: 35-2014.00 - Cooks, Restaurant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12 Special Requirements: The Petitioner will consider for employment any person who possesses at least one (1) year of culinary experience in a fine-dining or high-volume environment at a high-end restaurant, resort, or private club. Applicant must complete pre-employment background check at employers expense. Number of Hours Per Week: 35 Work Schedule (Start/End time): 10:00 A.M. - 5:00 P.M.</t>
  </si>
  <si>
    <t>H-400-26184-077091</t>
  </si>
  <si>
    <t>Servers will be responsible for setting-up the restaurants, taking and placing guest orders, carrying trays and plates, serving food and beverages, mixing and serving alcoholic and non-alcoholic drinks, running food, expediting kitchen orders, and cleaning and clearing tables. Schedule: 35 hours per week. Work schedule can vary and can include evening, weekend, and holiday hours. Work may be performed on any day of the week from Monday through Sunday. Example shifts: 11:00am to 6:00pm or 2:00pm to 9:00pm. Shift hours may vary. See attached job description for additional information. Job Classification: 35-3011.00 - Bartenders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6 Special Requirements: The Petitioner will consider for employment any person who possesses at least six (6) months of service experience in a fine-dining or high-volume environment at a high-end restaurant, resort, or private club. Applicant must complete pre-employment background check at employers expense. Number of Hours Per Week: 35 Work Schedule (Start/End time): 11:00 A.M. - 6:00 P.M.</t>
  </si>
  <si>
    <t>H-400-26184-077116</t>
  </si>
  <si>
    <t>Hydro-Tech Outdoor Solutions Inc</t>
  </si>
  <si>
    <t>info@bestpickreports.com</t>
  </si>
  <si>
    <t>+17035448040</t>
  </si>
  <si>
    <t>Landscape or maintain grounds of property using hand or power tools or equipment. Lay sod, mow, trim/edge, plant, weeding, watering, rake, blow leaves; use a hand shovel to dig holes for installing plants, trees, shrubs, or irrigation systems, these holes can be up to 24 inches depth and 36 inches in width. Spread seed, fertilizer and mulch; works on the ground to prune or trim trees, shrubs, or hedges using shears, pruners, or chain saws; core aerating; sprinkler installation/repair, installation of mortarless segmental concrete masonry wall units. Maintain equipment to ensure proper functioning. Ancillary duties: May drive truck or other vehicle to transport plants, materials and tools to/from or at worksites. Minimum 35 hours per week up to possible 40 hours per week. Normal work days Monday through Friday from 6:00am-3:00pm, one-hour unpaid lunch. Work days and shift time may vary with weather. Work on Saturdays required as necessary. $21.18/hr. Employer may increase wage based on experience, changes in market conditions, and/or provide additional pay for performance and tenure. An overtime premium will be paid when required by Federal, State, or local law, including at time-and-a-half after 40 hours per workweek. Generally, when overtime is available it will be paid at $ 31.77/hr. based on locality the work is performed and the base rate of pay offered per hour. A single workweek will be used to compute wages due. Pay received weekly. Bonus program based on production and attendance is available. Employer will provide worker at no charge all tools, supplies, equipment and uniform required to perform job. Daily transportation provided from main worksite in Loudoun County, VA to multiple worksites within Loudoun, Arlington, Clarke, Culpeper, Fauquier, Prince William, Stafford, Warren, Alexandria City, Fredericksburg City, Manassas City, and Fairfax City Counties, VA; Frederick, Prince Georges, and Montgomery Counties, MD; and the District of Columbia County, DC. Job Classification: 37-3011.00 - Landscaping and Groundskeeping Workers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Post-employment criminal background check and Post-employment drug test required, cost paid by employer and applied equally to all workers, U.S. and Foreign/H-2B. Must be able to lift 50 lbs. Must be able to work a 5-day schedule, including weekends and holidays as required. Applicants must complete an employment application. Number of Hours Per Week: 40 Work Schedule (Start/End time): 6:00 A.M. - 3:00 P.M.</t>
  </si>
  <si>
    <t>H-400-26184-077096</t>
  </si>
  <si>
    <t>Food and Beverage Team Lead</t>
  </si>
  <si>
    <t>Food and Beverage Team Leads will be responsible for overseeing the food and beverage operations in Resort business units in cooperation with the manager, including assisting with supervising, and training of staff. Will be responsible for supervising and assisting in the setup of the food service area, restocking, and performing food preparation and food service duties when needed (including cooking, prepping, dishwashing, and hosting). Will be responsible for transporting staff and supplies to and from the work facility, overseeing cleaning of the lodge F&amp;B area, opening and closing building, coordinating special events, directing weekly meetings, supervising and coordinating the activities of staff, and assisting with liquor control. Will also be responsible for helping to maintain the outdoor service areas, loading docks, building entrances and garbage disposal areas by removing snow and spreading sand/grit. Will perform duties such as menu development, recipe building, creating prep sheets, ordering, inventory, performance reviews, timekeeping, payroll, and scheduling. Food and Beverage Team Leads will at times need to drive company vehicles and equipment in order to move trash, food, supplies and staff in and out of the lodges that are up on the mountain. May supervise up to twenty-five (25) Servers, Bussers, bartenders, Food Runners, Cashiers, Cooks, Public Area Attendants, and Food Service Workers. Team leaders will also greet and engage with our guests daily and often throughout the shift while practicing our Hospitality Standards and be responsible for training staff on given service standards. Schedule: 35 hours per week. Work schedule can vary and can include evening, weekend, and holiday hours. Work may be performed on any day of the week from Monday through Sunday. Example shift: 6:00am to 1:00pm, 9:00am to 4:00pm, and 11:00am to 6:00pm. Shift hours may vary. See attached job description for additional information. Job Classification: 35-1011.00 - Chefs and Head Cooks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12 Special Requirements: The Petitioner will consider for employment any person who possesses at least one (1) year of experience in a high-end or high-volume restaurant, resort, or private club environment. Applicant may be required to complete pre-employment COVID-19 test, complete a quarantine period, and/or demonstrate proof of COVID-19 vaccination if required under state, federal, or company guidelines at the time of hire. Applicant must be eligible to apply for a U.S. Drivers License. Number of Hours Per Week: 35 Work Schedule (Start/End time): 6:00 A.M. - 1:00 P.M.</t>
  </si>
  <si>
    <t>H-400-26184-077124</t>
  </si>
  <si>
    <t>Housekeepers will be responsible for cleaning and maintaining all rooms, suites, and indoor common areas at the employer’s property/properties, which includes vacuuming floors, dusting, replenishing linens and towels, disinfecting bathrooms, and washing windows. Schedule: 35 hours per week. Work schedule can vary and can include evening, weekend, and holiday hours. Work may be performed on any day of the week from Monday through Sunday. Example shifts: 8:00am – 3:00pm and 9:00am – 4:00pm. Shift hours may vary. See attached job description for additional information. Job Classification: 37-2012.00 - Maids and Housekeeping Cleaners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The Petitioner will consider for employment any person who possesses at least three (3) months of experience at a high-end hotel, resort, or private club. Applicant may be required to complete pre-employment COVID-19 test, complete a quarantine period, and/or demonstrate proof of COVID-19 vaccination if required under state, federal, or company guidelines at the time of hire. Number of Hours Per Week: 35 Work Schedule (Start/End time): 8:00 A.M. - 3:00 P.M.</t>
  </si>
  <si>
    <t>H-400-26184-077100</t>
  </si>
  <si>
    <t>Kirkham Contracting Services LTD</t>
  </si>
  <si>
    <t>r.kirkham@uslawns.com</t>
  </si>
  <si>
    <t>+15135687595</t>
  </si>
  <si>
    <t>Landscape or maintain grounds of property using hand or power tools or equipment. Workers typically perform a variety of tasks, which may include any combination of the following: sod laying, mowing, trimming, planting, watering, fertilizing, digging, raking, sprinkler installation, and installation of mortarless segmental concrete masonry wall units. Job Classification: 37-3011.00 - Landscaping and Groundskeeping Workers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Able to lift and carry 50 pounds. Some weekends and overtime required. Number of Hours Per Week: 40 Work Schedule (Start/End time): 7:30 A.M. - 5:00 P.M.</t>
  </si>
  <si>
    <t>H-400-26184-077085</t>
  </si>
  <si>
    <t>Martin Property Construction, LLC</t>
  </si>
  <si>
    <t>careers@apogeeclub.com</t>
  </si>
  <si>
    <t>+17724059041</t>
  </si>
  <si>
    <t>Dishwashers will be responsible for washing dishes and all cooking materials by machine or hand, maintaining kitchen work areas and equipment in clean condition, and sweeping and scrubbing floors, walls, and stoves. Dishwashers will also be responsible for sorting and removing trash, and for organizing storage rooms and refrigerators with Food &amp; Beverage inventory/products, such as dry goods, canned goods, produce, paper and plastic goods, and cleaning supplies. Schedule: 35 hours per week. Work schedule can vary and can include evening, weekend, and holiday hours. Work may be performed on any day of the week from Monday through Sunday. Example shifts: 5:30am - 12:30pm, 7:00am - 2:00pm, or 4:00pm - 11:00pm. Shift hours may vary. See attached job description for additional information. Job Classification: 35-9021.00 - Dishwashers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6 Special Requirements: The Petitioner will consider for employment any person who possesses at least six (6) months of experience at a high-end restaurant, resort, or private club. Applicant must complete pre-employment drug screening, as well as a pre-employment background check for new hires, at employers expense. Number of Hours Per Week: 35 Work Schedule (Start/End time): 5:30 A.M. - 12:30 P.M.</t>
  </si>
  <si>
    <t>H-400-26184-077090</t>
  </si>
  <si>
    <t>Food &amp; Beverage Attendant</t>
  </si>
  <si>
    <t>Food &amp; Beverage Attendants will be responsible for greeting customers, setting up the dining areas, taking and placing orders, carrying trays and plates, serving food and beverages, and cleaning and clearing tables. Food &amp; Beverage Attendants may also bring food &amp; beverage orders to members and guests on the golf course, as well as stock and maintain all coolers and stations on the golf course. Schedule: 35 hours per week. Work schedule can vary and can include evening, weekend, and holiday hours. Work may be performed on any day of the week from Monday through Sunday. Example shifts: 10:00am - 5:00pm, 7:00am - 2:00pm, or 4:00pm - 11:00pm. Shift hours may vary. See attached job description for additional information. Job Classification: 35-3031.00 - Waiters and Waitresses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The Petitioner will consider for employment any person who possesses at least three (3) months of experience in a fine-dining or high-volume environment at a high-end restaurant, resort, or private club. Applicant must complete pre-employment drug screening, as well as a pre-employment background check for new hires, at employers expense. Number of Hours Per Week: 35 Work Schedule (Start/End time): 10:00 A.M. - 5:00 P.M.</t>
  </si>
  <si>
    <t>H-400-26184-077101</t>
  </si>
  <si>
    <t>***RFI response*** Housekeepers will be responsible for vacuuming carpets and rugs in clubhouses, offices, locker rooms, and common areas, sweeping and mopping hard-surface floors, dusting furniture, fixtures, windowsills, baseboards, and decorative items, cleaning and sanitizing tables, countertops, doors, and handrails, cleaning, sanitizing, and restocking restrooms, including toilets, sinks, mirrors, partitions, and dispensers, emptying trash and recycling receptacles and replacing liners, cleaning interior glass surfaces and windows, replenishing housekeeping supplies, including paper products, soap, and sanitation products, cleaning and sanitizing temporary restroom trailers located throughout the property, and reporting any maintenance issues or supply shortages to management. The tools and equipment used to perform these tasks include vacuum cleaners, brooms, dustpans, wet and dry mops, buckets, wringers, microfiber cleaning cloths and dust cloths, trash bags and liners, cleaning brushes, scrub pads, glass cleaning tools (e.g., cloth and squeegee), Ecolab cleaning solutions and window-cleaning solution, and gloves. Portable restroom facilities located near temporary clubhouse facilities, golf operations areas, racquet sports facilities, outdoor recreational amenities, and other high-traffic locations throughout the private golf club property. Provided to ensure convenient restroom access for members, guests, employees, and contractors in areas where permanent restroom facilities are not readily available. ***Original*** Housekeepers will be responsible for cleaning and upkeep of all villas, guest rooms, and suites across the property. Housekeepers will also be responsible for cleaning all public and operational areas, including the clubhouse, dining and lobby areas, locker rooms, performance center, offices, employee areas, security office, maintenance building, and all bathrooms throughout the club, including temporary bathroom trailers. Additional duties include cleaning and servicing golf course comfort stations. Housekeepers will ensure housekeeping storage areas, such as housekeeping carts, are clean, organized, and fully stocked with cleaning products, operational supplies, guest amenities, guest toiletries, coffee pods, linens, glassware, and garbage bags. Will also be responsible for vacuuming floors, dusting, replenishing linens and towels, sanitizing bathrooms, cleaning interior windows with a clean cloth and cleaning spray, and ensuring all spaces are consistently maintained to the highest standards of cleanliness, organization, and presentation. Schedule: 35 hours per week. Work schedule can vary and can include evening, weekend, and holiday hours. Work may be performed on any day of the week from Monday through Sunday. Example shifts: 5:00am - 12:00pm, 9:00am - 4:00pm, or 2:00pm - 9:00pm. Shift hours may vary. See attached job description for additional information. Job Classification: 37-2012.00 - Maids and Housekeeping Cleaners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The Petitioner will consider for employment any person who possesses at least three (3) months of experience at a high-end hotel, resort, or private club. Applicant must complete pre-employment drug screening, as well as a pre-employment background check for new hires, at employers expense. Number of Hours Per Week: 35 Work Schedule (Start/End time): 5:00 A.M. - 12:00 P.M.</t>
  </si>
  <si>
    <t>H-400-26184-077103</t>
  </si>
  <si>
    <t>Server/bartender/beverage Cart</t>
  </si>
  <si>
    <t>Server/Bartender/Beverage Carts will be responsible for greeting customers, present menus to patrons and answer questions about menu items, making recommendations upon request, setting up the dining areas, taking and placing orders, carrying trays and plates, serving food and beverages, and cleaning and clearing tables. Additional duties may include mixing and serving alcoholic and nonalcoholic drinks to members and guests, cleaning glasses and bar equipment, and ensuring that the bar and work areas are clean and well-stocked. Server/Bartender/Beverage Carts will also be responsible for driving and operating the beverage cart around the golf course, offering a selection of cold and hot beverages, snacks, and other items to members and guests, as well as perform regular cleaning and maintenance of the beverage cart, including restocking products, sanitizing surfaces, and disposing of waste. Schedule: 35 hours per week. Work schedule can vary and can include evening, weekend, and holiday hours. Work may be performed on any day of the week from Monday through Sunday. Example shifts: 6:00am - 1:00pm, 10:00am - 5:00pm, or 4:00pm - 11:00pm. Shift hours may vary. See attached job description for additional information. Job Classification: 35-3011.00 - Bartenders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The Petitioner will consider for employment any person who possesses at least three (3) months of experience in a fine-dining or high-volume environment at a high-end restaurant, resort, or private club. Applicant must complete pre-employment drug screening, as well as a pre-employment background check for new hires, at employers expense. Number of Hours Per Week: 35 Work Schedule (Start/End time): 6:00 A.M. - 1:00 P.M.</t>
  </si>
  <si>
    <t>H-400-26184-077110</t>
  </si>
  <si>
    <t>Cooks will be responsible for preparing, plating, executing, and cooking soups, meats, seafood, vegetables, pizza, desserts, and other food items in a restaurant and preparation kitchen. Schedule: 35 hours per week. Work schedule can vary and can include evening, weekend, and holiday hours. Work may be performed on any day of the week from Monday through Sunday. Example shifts: 7:00am - 2:00pm, 9:00am - 4:00pm, 8:00am - 3:00pm, or 3:00pm - 10:00pm. Shift hours may vary. See attached job description for additional information. Job Classification: 35-2014.00 - Cooks, Restaurant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6 Special Requirements: The Petitioner will consider for employment any person who possesses at least six (6) months of culinary experience in a fine-dining or high-volume environment at a high-end restaurant, resort, or private club. Applicant must complete pre-employment drug screening, as well as a pre-employment background check for new hires, at employers expense. Number of Hours Per Week: 35 Work Schedule (Start/End time): 7:00 A.M. - 2:00 P.M.</t>
  </si>
  <si>
    <t>H-400-26184-077079</t>
  </si>
  <si>
    <t>Golf Operations Attendant</t>
  </si>
  <si>
    <t>Golf Operations Attendants will be responsible for providing assistance to members including greeting members and assisting with check-in, answering inquiries, carrying equipment, readying golf carts and other equipment for member use, driving golf carts for players using carts, locating golf balls, and providing distances and reading greens. Golf Operations Attendants will also pick ranges and assist in the set up and breakdown of range stations. Golf Operations Attendants may also assist in the pro shop by checking displays, folding merchandise, and updating the tee sheet. Golf Operations Attendants may need to occasionally lift and/or move up to 50 lbs. Schedule: 35 hours per week. Work schedule can vary and can include evening, weekend, and holiday hours. Work may be performed on any day of the week from Monday through Sunday. Example shifts: 6:30am - 1:30pm, 9:00am - 4:00pm, or 12:00pm - 7:00pm. Shift hours may vary. See attached job description for additional information. Job Classification: 39-3091.00 - Amusement and Recreation Attendants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The Petitioner will consider for employment any person who possesses at least three (3) months of guest-service experience at a high-end hotel, resort, private club, or tourism environment. Applicant must complete pre-employment drug screening, as well as a pre-employment background check for new hires, at employers expense. Number of Hours Per Week: 35 Work Schedule (Start/End time): 6:30 A.M. - 1:30 P.M.</t>
  </si>
  <si>
    <t>H-400-26184-077109</t>
  </si>
  <si>
    <t>Naples Yacht Club, Inc.</t>
  </si>
  <si>
    <t>hr@naplesyc.com</t>
  </si>
  <si>
    <t>+12392626648</t>
  </si>
  <si>
    <t>***RFI response*** “Setting up the dining areas and banquet event areas” consists of arranging tables, chairs, and furniture according to floor plans and event specifications, setting tables with linens, napkins, silverware, glassware, and china, preparing buffet stations, beverage stations, and service areas, ensuring all tables and chairs are clean and properly positioned, placing centerpieces, decorations, signage, and other event materials as directed, stocking service stations with necessary supplies and condiments, and moving and storing tables, chairs, and equipment safely following events. The tools/equipment used to perform these tasks, beyond those listed above, include tablecloths, skirting, glassware, flatware, and serving utensils, serving trays and banquet carts, folding tables and portable bars, cleaning supplies, sanitizers, and polishing cloths. Hand trucks, dollies, and carts for transporting equipment and supplies are used minimally and only as needed. ***Original*** Servers will be responsible for greeting customers, setting up the dining areas and banquet event areas, taking and placing orders, carrying trays and plates, serving food and beverages, and cleaning and clearing tables. Schedule: 40 hours per week. Work schedule can vary and can include evening, weekend, and holiday hours. Work may be performed on any day of the week from Monday through Sunday. Example shifts: 7:00AM – 3:00PM or 2:00PM – 10:00PM. Shift hours may vary. Please see attached job description for additional information. Job Classification: 35-3031.00 - Waiters and Waitresses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The Petitioner will consider for employment any person who possesses at least three (3) months of experience in a fine-dining or high-volume environment at a high-end restaurant, resort, or private club. Applicant must complete pre-employment drug screening at employers expense. Number of Hours Per Week: 40 Work Schedule (Start/End time): 7:00 A.M. - 3:00 P.M.</t>
  </si>
  <si>
    <t>H-400-26184-077112</t>
  </si>
  <si>
    <t>Cooks will be responsible for preparing, seasoning, and cooking soups, meats, vegetables, desserts, and other food items in a restaurant. Schedule: 40 hours per week. Work schedule can vary and can include evening, weekend, and holiday hours. Work may be performed on any day of the week from Monday through Sunday. Example shifts: 8:00AM – 4:00PM, 12:00PM – 8:00PM, or 2:00PM – 10:00PM. Shift hours may vary. Please see attached job description for additional information. Job Classification: 35-2014.00 - Cooks, Restaurant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6 Special Requirements: The Petitioner will consider for employment any person who possesses at least six (6) months of culinary experience in a fine-dining or high-volume environment at a high-end restaurant, resort, or private club. Applicant must complete pre-employment drug screening at employers expense. Number of Hours Per Week: 40 Work Schedule (Start/End time): 8:00 A.M. - 4:00 P.M.</t>
  </si>
  <si>
    <t>H-400-26184-077114</t>
  </si>
  <si>
    <t>Banquet Supervisor</t>
  </si>
  <si>
    <t>Banquet Supervisors will be responsible for overseeing setup, service, and breakdown of banquet rooms, including table arrangements, décor placement, and audio-visual equipment setup and testing, reviewing Banquet Event Order (BEOs) prior to each event to confirm room layout, menu, timing, staffing, special requests, and any client specifications, coordinating with the kitchen to ensure timely delivery, correct temperatures, and consistent presentation of food and beverage items, monitoring event flow and troubleshooting operational issues in real time, resolving guest/member complaints professionally and promptly, supervising, scheduling, and assigning duties to service staff, setup teams, and housepersons for assigned events, maintaining inventory and condition of china, glassware, flatware, linens, staging, and other banquet equipment, and coordinating repairs and replacements, if needed, and performing opening and closing duties for events, including securing rooms and equipment, and assisting with event billing by providing timely and accurate post-event information. Will supervise up to twenty (20) Servers and Server Assistants. Schedule: 40 hours per week. Work schedule can vary and can include evening, weekend, and holiday hours. Work may be performed on any day of the week from Monday through Sunday. Example shifts: 7:00AM – 3:00PM or 2:00PM – 10:00PM. Shift hours may vary. Please see attached job description for additional information. Job Classification: 27-4011.00 - Audio and Video Technicians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6 Special Requirements: The Petitioner will consider for employment any person who possesses at least six (6) months of experience in a fine-dining or high-volume environment at a high-end restaurant, resort, or private club. Applicant must complete pre-employment drug screening at employers expense. Number of Hours Per Week: 40 Work Schedule (Start/End time): 7:00 A.M. - 3:00 P.M.</t>
  </si>
  <si>
    <t>H-400-26184-077120</t>
  </si>
  <si>
    <t>Powdr - Copper Mountain LLC</t>
  </si>
  <si>
    <t>27/04/2027</t>
  </si>
  <si>
    <t>recruiter@coppercolorado.com</t>
  </si>
  <si>
    <t>+19709683060</t>
  </si>
  <si>
    <t>Dishwashers will be responsible for washing dishes and all cooking materials by machine or hand, maintaining kitchen work areas and equipment in clean condition, sweeping and scrubbing floors, sorting and removing trash, and may assist with bussing tables. Schedule: 35 hours per week. Work schedule can vary and can include evening, weekend, and holiday hours. Work may be performed on any day of the week from Monday through Sunday. Example shifts: 7:00am to 2:00pm, 8:00am to 3:00pm, and 9:00am to 4:00pm. Shift hours may vary. See attached job description for additional information. Job Classification: 35-9011.00 - Dining Room and Cafeteria Attendants and Bartender Helpers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The Petitioner will consider for employment any person who possesses at least three (3) months of experience at a restaurant, resort, or private club. Number of Hours Per Week: 35 Work Schedule (Start/End time): 7:00 A.M. - 2:00 P.M.</t>
  </si>
  <si>
    <t>H-400-26184-077123</t>
  </si>
  <si>
    <t>Kitchen Lead</t>
  </si>
  <si>
    <t>Kitchen Leads will be responsible for preparing, seasoning, and cooking soups, meats, vegetables, desserts, and other food items according to Head Chef’s specifications, managing a specific department or station within the kitchen or dining outlet, managing food production at their assigned station while coordinating with kitchen staff on other stations, supervising the preparation and presentation of all dishes, supervising and training lower-level kitchen staff in food-handling practices, including proper rotation, sanitation of storage areas, and labeling/dating to ensure compliance with health and safety standards, assisting in the direction, training, and supervision of kitchen staff, assigning tasks to kitchen staff, scheduling kitchen staff according to business volume, and assisting with food ordering to maintain inventory levels and ensure availability of ingredients. May have to lift and carry up to seventy-five (75) pounds. May supervise up to ten (10) employees, including Dishwashers, Cooks: Beginner, Cooks: Intermediate, and Cooks: Advanced. Schedule: 35 hours per week. Work schedule can vary and can include evening, weekend, and holiday hours. Work may be performed on any day of the week from Monday through Sunday. Example shifts: 7:00am to 2:00pm, 8:00am to 3:00pm, and 9:00am to 4:00pm. Shift hours may vary. See attached job description for additional information. Job Classification: 35-1012.00 - First-Line Supervisors of Food Preparation and Serving Workers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12 Special Requirements: The Petitioner will consider for employment any person who possesses at least one (1) year of experience in a high-volume environment at a restaurant, resort, or private club. Number of Hours Per Week: 35 Work Schedule (Start/End time): 7:00 A.M. - 2:00 P.M.</t>
  </si>
  <si>
    <t>H-400-26184-077118</t>
  </si>
  <si>
    <t>RAFFERTY PAINTING POWERWASHING</t>
  </si>
  <si>
    <t>nluka@raffertypainting.com</t>
  </si>
  <si>
    <t>+16106269141</t>
  </si>
  <si>
    <t>Helper Painter and Powerwasher</t>
  </si>
  <si>
    <t>HELP PAINTERS BY PERFORMING DUTIES OF LESSER SKILL. DUTIES INCLUDE USING, SUPPLYING OR HOLDING MATERIALS OR TOOLS, PAINTING, POWER WASHING, CLEANING WORK AREA AND EQUIPMENT, PERFORM PHYSICAL ACTIVITIES SUCH AS LIFT, BALANCE, WALK, STOOP, HANDLE POSITION, MOVE, MANIPULATE MATERIAL, USE STATIC STRENGTH TO EXERT MAXIMUM MUSCLE FORCE TO LIFT, PUSH, PERFORM WORK DESCRIBED AND MUST BE AVAILABLE FOR THE ENTIRE PERIOD SPECIFIED AND WORK THROUGHOUT ALL AREAS OF INTENDED EMPLOYMENT. WORK MONDAY THROUGH FRIDAY. SCHEDULE MAY VARY. WEEKEND WORK REQUIRE WHEN NECESSARY. OT VARIES. Job Classification: 47-3014.00 - Helpers--Painters, Paperhangers, Plasterers, and Stucco Masons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MUST VERIFY 3 MONTHS OF EXPERIENCE AS A HELPER PAINTER AND POWERWASHER. Number of Hours Per Week: 40 Work Schedule (Start/End time): 8:00 A.M. - 4:00 P.M.</t>
  </si>
  <si>
    <t>H-400-26184-077108</t>
  </si>
  <si>
    <t>Serpei Oysters LLC</t>
  </si>
  <si>
    <t>SerpeiOysters@gmail.com</t>
  </si>
  <si>
    <t>H-400-26184-077438</t>
  </si>
  <si>
    <t>KELLY INC</t>
  </si>
  <si>
    <t>ALASKA</t>
  </si>
  <si>
    <t>services@a1lawn.com</t>
  </si>
  <si>
    <t>+19072694759</t>
  </si>
  <si>
    <t>Workers will perform seasonal snow removal on private properties, including residential and commercial sites. Duties include shoveling snow from walkways, steps, sidewalks, entrances, loading areas, and driveways; applying de‑icer and spreading salt by hand; and operating low‑power, non‑DOT snow removal tools and equipment such as hand‑held shovels and small, walk‑behind residential/commercial‑scale snow blowers (non‑vehicle). Workers will prepare for and clean up after winter weather events by clearing accumulated snow and ice and restoring safe walking and parking access areas. Work is performed only on privately owned or privately contracted properties and does not include maintenance of public roads, highways, or municipal infrastructure. Wage: Basic wage rate is $19.57/hr. An overtime premium at the rate of, $29.36/hr., will be paid when required by Federal, State, or local law, including at time-and-a-half after 40 hours in a work week. The employer may offer raises/bonuses to temporary employees hired under this job order, at the company's sole discretion, based on individual factors such as performance, skill, and job tenure. Wages will be calculated based on a single workweek. Employees will be paid weekly. Schedule: Shifts vary, but an average scheduled workday can be from 8AM to 4PM, Mon-Fri. The expected work schedule is approximately 35 hours per week. The employer may offer more hours than specified, depending on company needs, and other conditions. Work is performed during a 24 hour period in various shifts. (Shifts are: 9pm – 5am, 3am – 11am, and 8am – 4pm). Work on Saturdays and Sundays may be required depending on weather conditions and needs of the business. Some overtime may be available. Job Classification: 37-2011.00 - Janitors and Cleaners, Except Maids and Housekeeping Cleaners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No minimum education required, or experience required. Must be 18 due to equipment use. Must be able to perform physical labor outdoors in all weather conditions including cold, snow, and sleet. Must be able to lift, carry, push, pull objects up to 100lbs (possible 2-person). All applicants must be able, willing and qualified to perform work described for the entire specified time period. Applicant must complete an employment application. Must show proof of legal authorization to work in the U.S. Drug/alcohol/tobacco free work zone. Number of Hours Per Week: 35 Work Schedule (Start/End time): 8:00 A.M. - 4:00 P.M.</t>
  </si>
  <si>
    <t>H-400-26184-076208</t>
  </si>
  <si>
    <t>Lawson Distributing LLC</t>
  </si>
  <si>
    <t>info@lawsonmossrock.com</t>
  </si>
  <si>
    <t>+13077611838</t>
  </si>
  <si>
    <t>Packers and Packagers, Hand</t>
  </si>
  <si>
    <t>Pack or package by hand a wide variety of products and materials. Job Classification: 53-7064.00 - Packers and Packagers, Hand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Must lift/carry 60 lbs., when necessary. Saturday work required, when necessary. Employer-paid drug testing required of foreign and domestic workers prior to commencing work and post-hire at random, upon suspicion of use, and post-accident. Post-hire background check and employment eligibility (e-Verify) check required of foreign and domestic workers. Employer may offer more than the stated work hours, depending on weather, business needs, and other conditions. Extreme heat, cold, rain, or drought may affect exact working hours. Number of Hours Per Week: 40 Work Schedule (Start/End time): 7:30 A.M. - 4:30 P.M.</t>
  </si>
  <si>
    <t>H-400-26184-077072</t>
  </si>
  <si>
    <t>THREE SEASONS LANDSCAPE CONTRACTING SERVICES INC</t>
  </si>
  <si>
    <t>LANDSCAPE OR MAINTAIN GROUNDS OF PROPERTY USING HAND OR POWER TOOLS OR EQUIPMENT. WORK TIPICALLY PERFORM A VARIETY OF TASKS, WHICH MAY INCLUDE ANY COMBINATION OF THE FOLLOWING: SOD LAYING. MOWING, TRIMMING, PLANTING, WATERING, FERTILIZING, DIGGING, RAKING, SPRINKLER, INSTALLATION OF MORTARLESS SEGMENTAL CONCRETE MASONRY WALL UNITS AND ANY OTHER RELATED TASKS. PERFORM PHYSICAL ACTIVITIES SUCH AS LIFT, BALANCE, WALK, STOOP, HANDLE POSITION, MOVE, MANIPULATE MATERIAL USE STATIC STRENGHT TO EXERT MAXIMUN MUSCLE FORCE TO LIFT, PUSH, PULL, CARRY OBJECTS UP TO 75 LBS. ALL APPLICANTS MUST BE ABLE WILLING, QUALIFIED TO PERFORM WORK DESCRIBED AND MUST BE AVAILABLE FOR THE ENTIRE PERIOD SPECIFIED AND WORK THROUGHOUT ALL AREAS OF INTENDED EMPLOYMENT. MONDAY-FRIDAY. WEEKEND WORK REQUIRED WHEN NECESSARY. SCHEDULE VARIES. OT VARIES Job Classification: 37-3011.00 - Landscaping and Groundskeeping Workers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MUST VERIFY THREE MONTHS OF EXPERIENCIE AS A LANDSCAPING LABORER. EMPLOYER PAYS CRIMINAL BACKGROUND AND DRUG TEST PRIOR TO EMPLOYMENT. Number of Hours Per Week: 40 Work Schedule (Start/End time): 6:30 A.M. - 2:30 P.M.</t>
  </si>
  <si>
    <t>H-400-26184-077068</t>
  </si>
  <si>
    <t>Dishwashers will be responsible for washing dishes and all cooking materials by machine or hand, maintaining kitchen work areas and equipment in clean condition, sweeping and scrubbing floors, preparing (without cooking) various foods to be cooked or served, and sorting and removing trash. Schedule: 35 hours per week. Work schedule can vary and can include evening, weekend, and holiday hours. Work may be performed on any day of the week from Monday through Sunday. Example shifts: 12:00pm – 7:00pm, 2:00pm – 9:00pm, or 9:00 am – 4:00pm. Shift hours may vary. See attached job description for additional information. Job Classification: 35-2021.00 - Food Preparation Workers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The Petitioner will consider for employment any person who possesses at least three (3) months of experience at a high-end restaurant, resort, or private club. Applicant must complete pre-employment background check and drug screening at employer's expense. Number of Hours Per Week: 35 Work Schedule (Start/End time): 12:00 P.M. - 7:00 P.M.</t>
  </si>
  <si>
    <t>H-400-26184-077074</t>
  </si>
  <si>
    <t>Food Runners will be responsible for setting tables, carrying trays and plates, cleaning and clearing tables, and serving beverages, bread, and coffee to customers as well as assisting with set-up and recovery for banquets and buffets. Schedule: 35 hours per week. Work schedule can vary and can include evening, weekend, and holiday hours. Work may be performed on any day of the week from Monday through Sunday. Example shifts: 10:30am – 5:30pm, 11:00am – 6:00pm, or 4:00pm – 11:00pm. Shift hours may vary. See attached job description for additional information. Job Classification: 35-9011.00 - Dining Room and Cafeteria Attendants and Bartender Helpers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The Petitioner will consider for employment any person who possesses at least three (3) months of experience at a high-end restaurant, resort, or private club. Applicant must complete pre-employment background check and drug screening at employer's expense. Number of Hours Per Week: 35 Work Schedule (Start/End time): 10:30 A.M. - 5:30 P.M.</t>
  </si>
  <si>
    <t>H-400-26184-077093</t>
  </si>
  <si>
    <t>The Moorings, Incorporated</t>
  </si>
  <si>
    <t>mphr@mooringspark.org</t>
  </si>
  <si>
    <t>+12394306343</t>
  </si>
  <si>
    <t>Cooks will be responsible for following recipes including measuring, weighing, and mixing ingredients, baking, grilling, steaming, and boiling meats, vegetables, fish, poultry and other foods. They will also be responsible for maintaining a clean and safe work area and maintaining food safety and sanitation. Schedule: 40 hours per week. Work schedule can vary and can include evening, weekend, and holiday hours. Work may be performed on any day of the week from Monday through Sunday. Example shifts: 11:15am to 7:15pm, 1:15pm to 9:15pm, or 7:15am to 3:15pm. Shift hours and days may vary. Please see job description for additional information. Job Classification: 35-2014.00 - Cooks, Restaurant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6 Special Requirements: The Petitioner will consider for employment any person who possesses at least six (6) months of culinary experience in a fine-dining or high-volume environment at a high-end restaurant, resort, or private club. Applicant must complete pre-employment background check, drug screening, and 2 Step TB Test at employers expense. Number of Hours Per Week: 40 Work Schedule (Start/End time): 11:15 A.M. - 7:15 P.M.</t>
  </si>
  <si>
    <t>H-400-26184-077097</t>
  </si>
  <si>
    <t>Dining Server</t>
  </si>
  <si>
    <t>Dining Servers will be responsible for promptly and warmly greeting guests in the dining room; taking food and beverages orders; understanding menu items and ingredients to advise guests on choices; processing orders using electronic ordering system; processing payment method; completing work area setup and remove before and after dining service, including tableware, silverware, glassware, linens. Schedule: 40 hours per week. Work schedule can vary and can include evening, weekend, and holiday hours. Work may be performed on any day of the week from Monday through Sunday. Example shifts: 11:15am to 7:15pm, 1:45pm to 9:45pm, or 7:15am to 3:15pm. Shift hours and days may vary. Please see job description for additional information. Job Classification: 35-3031.00 - Waiters and Waitresses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The Petitioner will consider for employment any person who possesses at least three (3) months of experience in a fine-dining or high-volume environment at a high-end restaurant, resort, or private club. Applicant must complete pre-employment background check, drug screening, and 2 Step TB Test at employers expense. Number of Hours Per Week: 40 Work Schedule (Start/End time): 11:15 A.M. - 7:15 P.M.</t>
  </si>
  <si>
    <t>H-400-26184-077111</t>
  </si>
  <si>
    <t>Yellowstone Mountain Club, LLC</t>
  </si>
  <si>
    <t>seasonal.recruitment@yellowstoneclub.com</t>
  </si>
  <si>
    <t>+14069957909</t>
  </si>
  <si>
    <t>Housekeeping Driver</t>
  </si>
  <si>
    <t>Housekeeping Drivers will be responsible for ensuring all Housekeeping team members are safely transported to their assigned areas, transporting employees and members on club grounds, following all driver safety precautions, ensuring vehicles are prepared to be driven by checking exterior and interior for any issues, reporting any vehicle or building damage, driving shuttles to and from employee housing, the Club, and other designated stops, supporting housekeepers in cleaning and maintaining luxury homes and lodges, cleaning residences, including removing trash, stripping beds, and starting dishwashers, stocking amenities in vehicles, maintaining housekeeping supplies and equipment in a neat and orderly fashion, and assisting with laundry (occasionally using residential style washing machines for laundering homeowner linens, terry, and towels during in-home cleaning service). Housekeeping Drivers will also be responsible for pick-up and drop-off of laundry in Bozeman, Montana. Housekeeping Drivers are frequently required to lift up to 25-50 pounds. Schedule: 35 hours per week, with additional hours available during peak times, including OT. Work schedule can vary and can include morning, evening, weekend, and holiday hours. Work may be performed on any day of the week from Monday through Sunday. Work hours will vary by location, which can be early morning, morning, afternoon, evening or late evening. Example shifts: 8:00am – 3:00pm, 9:00am – 4:00pm, or 12:00pm – 7:00pm. Shift hours may vary. Please see job description for additional information. Job Classification: 53-3053.00 - Shuttle Drivers and Chauffeurs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The Petitioner will consider for employment any person who possesses at least three (3) months of housekeeping experience at a high-end hotel, resort, or private club. Applicant must complete pre-employment background check at employers expense. Applicant must possess a valid U.S. or international drivers license prior to arrival in the United States and have a clean driving record. Number of Hours Per Week: 35 Work Schedule (Start/End time): 8:00 A.M. - 3:00 P.M.</t>
  </si>
  <si>
    <t>H-400-26184-077113</t>
  </si>
  <si>
    <t>Housekeeping Supervisor</t>
  </si>
  <si>
    <t>Housekeeping Supervisors will be responsible for supervising and coordinating activities of housekeeping personnel, cleaning private homes that meets the highest standards in the Hospitality industry, ensuring that each Member and guest receives outstanding service, greeting Members and guests, maintaining solid product knowledge, interacting with Members and guests in a hospitable and professional manner, providing training, coaching, and counseling to all housekeeping employees, following established policies and practice for the Housekeeping department and Residential Services division, overseeing staff to ensure crews are utilizing department practices for consistency, conducting regular inspections of the homes with a critical eye to ensure adherence to our cleanliness and operating standards while maintaining owner preferences. Housekeeping Supervisors will also assist with laundry (occasionally using residential style washing machines for laundering homeowner linen, terry, and towels during in-home cleaning service). Housekeeping Supervisors will also be responsible for assisting the Housekeeping Management team with supervising the daily operations of the Housekeeping department sometimes including billing and scheduling, and assisting in recruiting, selecting, and training department personnel as well as providing performance reviews. Housekeeping Supervisors will also be responsible for pick-up and drop-off of laundry in Bozeman, Montana. Housekeeping Supervisors are frequently required to lift up to 25 pounds. May supervise up to twenty (20) Housekeepers. Schedule: 35 hours per week, with additional hours available during peak times, including OT. Work schedule can vary and can include morning, evening, weekend, and holiday hours. Work may be performed on any day of the week from Monday through Sunday. Work hours will vary by location, which can be early morning, morning, afternoon, evening or late evening. Example shifts: 8:00am – 3:00pm, 9:00am – 4:00pm, or 12:00pm – 7:00pm. Shift hours may vary. Please see job description for additional information. Job Classification: 37-1011.00 - First-Line Supervisors of Housekeeping and Janitorial Workers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The Petitioner will consider for employment any person who possesses at least three (3) months of housekeeping experience at a high-end hotel, resort, or private club. Applicant must complete pre-employment background check at employers expense. Applicant must possess a valid U.S. or international drivers license prior to arrival in the United States and have a clean driving record. Number of Hours Per Week: 35 Work Schedule (Start/End time): 8:00 A.M. - 3:00 P.M.</t>
  </si>
  <si>
    <t>H-400-26184-077119</t>
  </si>
  <si>
    <t>Lodgekeeping Driver</t>
  </si>
  <si>
    <t>Lodgekeeping Drivers will be responsible for ensuring all Lodgekeeping team members are safely transported to their assigned areas, transporting employees and members on club grounds, following all driver safety precautions, ensuring vehicles are prepared to be driven by checking exterior and interior for any issues, reporting any vehicle or building damage, driving shuttles to and from employee housing, the Club, and other designated stops, supporting Lodgekeepers in cleaning and maintaining lodges, restaurants, recreation areas, Public/Common areas, locker rooms, rest rooms, departmental offices, and Employee areas cleaning residences, including removing trash, stocking amenities in vehicles, maintaining housekeeping supplies and equipment in a neat and orderly fashion, and assisting with laundry (occasionally loading cleaning rags in and out of front-load, residential style, stacked washers and dryers and occasionally folding linen hand towels used in front-of-house restrooms). Lodgekeeping Drivers are frequently required to lift up to 25-50 pounds. Schedule: 35 hours per week, with additional hours available during peak times, including OT. Work schedule can vary and can include morning, evening, weekend, and holiday hours. Work may be performed on any day of the week from Monday through Sunday. Work hours will vary by location, which can be early morning, morning, afternoon, evening or late evening. Example shifts: 8:00am – 3:00pm, 9:00am – 4:00pm, or 12:00pm – 7:00pm. Shift hours may vary. Please see job description for additional information. Job Classification: 53-3053.00 - Shuttle Drivers and Chauffeurs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The Petitioner will consider for employment any person who possesses at least three (3) months of housekeeping, janitorial, or commercial laundry experience at a high-end hotel, resort, or private club. Applicant must complete pre-employment background check at employers expense. Applicant must possess a valid U.S. or international drivers license prior to arrival in the United States and have a clean driving record. Number of Hours Per Week: 35 Work Schedule (Start/End time): 8:00 A.M. - 3:00 P.M.</t>
  </si>
  <si>
    <t>H-400-26184-077121</t>
  </si>
  <si>
    <t>Lodgekeeping Supervisor</t>
  </si>
  <si>
    <t>Lodgekeeping Supervisors will be responsible for supervising and coordinating activities of lodgekeeping personnel, assigning Lodgekeepers their duties, inspecting work for conformance to standards of cleanliness, ensuring and overseeing the cleanliness, safety, sanitation, and appearance of all common and guest areas at Yellowstone Club’s property, including stairways, offices, hallways, bathrooms, restaurants, and retail space, assisting with laundering of Food &amp; Beverage, Health and Wellness, and member laundry items, inspecting equipment and furnishings and preparing work orders for maintenance, ensuring that each Member and guest receives outstanding service, including greeting Members and guests, maintaining solid product knowledge, and interacting with Members and guests in a hospitable and professional manner. Lodgekeeping Supervisors will also be responsible for supporting Lodgekeepers and Lodgekeeping Drivers in cleaning and maintaining lodges, restaurants, recreation areas, Public/Common areas, locker rooms, rest rooms, departmental offices, and Employee areas cleaning residences, including removing trash, stocking amenities in vehicles, maintaining housekeeping supplies and equipment in a neat and orderly fashion, and assisting with laundry (occasionally loading cleaning rags in and out of front-load, residential style, stacked washers and dryers and occasionally folding linen hand towels used in front-of-house restrooms). Lodgekeeping Supervisors will also be responsible for assisting the Lodgekeeping Management team with supervising the daily operations of the Lodgekeeping department sometimes including billing and scheduling, and assisting in recruiting, selecting, and training department personnel as well as providing performance reviews. Lodgekeeping Supervisors are frequently required to lift up to 25-50 pounds. May supervise up to twenty (20) Lodgekeepers. Schedule: 35 hours per week, with additional hours available during peak times, including OT. Work schedule can vary and can include morning, evening, weekend, and holiday hours. Work may be performed on any day of the week from Monday through Sunday. Work hours will vary by location, which can be early morning, morning, afternoon, evening or late evening. Example shifts: 8:00am – 3:00pm, 9:00am – 4:00pm, or 12:00pm – 7:00pm. Shift hours may vary. Please see job description for additional information. Job Classification: 37-1011.00 - First-Line Supervisors of Housekeeping and Janitorial Workers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The Petitioner will consider for employment any person who possesses at least three (3) months of housekeeping, janitorial, or commercial laundry experience at a high-end hotel, resort, or private club. Applicant must complete pre-employment background check at employers expense. Applicant must possess a valid U.S. or international drivers license prior to arrival in the United States and have a clean driving record. Number of Hours Per Week: 35 Work Schedule (Start/End time): 8:00 A.M. - 3:00 P.M.</t>
  </si>
  <si>
    <t>H-400-26184-077144</t>
  </si>
  <si>
    <t>Tile Setter</t>
  </si>
  <si>
    <t>Align and straighten tile using levels, squares, and straightedges. Finish and dress the joints and wipe excess grout from between tiles, using damp sponge. Cut and shape tile to fit around obstacles and into odd spaces and corners, using hand and power cutting tools. Determine and implement the best layout to achieve a desired pattern. Mix, apply, and spread plaster, concrete, mortar, cement, mastic, glue or other adhesives to form a bed for the tiles, using brush, trowel and screed. Job Classification: 47-2044.00 - Tile and Stone Setters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12 Number of Hours Per Week: 35 Work Schedule (Start/End time): 8:00 A.M. - 4:00 P.M.</t>
  </si>
  <si>
    <t>H-400-26184-077125</t>
  </si>
  <si>
    <t>Angel Fire Resort Operations, LLC</t>
  </si>
  <si>
    <t>mlengerich@AngelFireResort.com</t>
  </si>
  <si>
    <t>+15753774217</t>
  </si>
  <si>
    <t>Level 1 Certified Ski/snowboard Instructor</t>
  </si>
  <si>
    <t>Level 1 Certified Ski/Snowboard Instructors will be responsible for facilitating instruction, demonstration, and care for students of all ages and abilities for ski and snowboard instruction, teaching may include class or private lessons; when children involved must be accountable for managing children, including dressing children, training and assisting students in using lifts, assisting students with their equipment, and teaching the Responsibility Code and general ski / snowboard safety to all students; instruct on ski and snowboard equipment and lifts. Specific instruction duties include explaining and demonstrating technical ski concepts using a variety of teaching methods, based off age, learning style, and ability of the students, upholding guest safety, and ensuring that students are matched to appropriate skier/snowboarding skill level. Level 1 Instructors are approved to teach levels through the beginner/novice zone. May occasionally be tasked with assisting supervisors with guest check in and check out processes for lessons, auditing classes of less experienced instructors, working one on one with students who may require additional assistance, and taking high priority lessons. Will also perform some administrative and setup duties to ensure that Ski School is setup for winter operations, including set up and organize the Ski School Facility by moving equipment and furniture, test and inspect all ski equipment that makes up the fleet of rental skis, snowboards, boots, and helmets that the Ski School program utilizes, receive or organize new inventory of ski equipment, set up the ski school kitchen, set up signage, set up the locker room, assist customers in booking ski school products for the upcoming winter season, and prepare customer packets to fulfill their upcoming reservations. Schedule: 35 hours per week. Work schedule can vary and can include evening, weekend, and holiday hours. Work may be performed on any day of the week from Monday through Sunday. Example shifts: 7:00am to 2:00pm, 8:00am to 3:00pm, or 9:00am to 4:00pm. Shift hours may vary. Please see attached job duties for additional information. Job Classification: 25-3021.00 - Self-Enrichment Teachers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PSIA/AASI Level 1 Certificate or foreign equivalent certification is required. Ability to ski or snowboard at an intermediate level and ride all lifts is required. Must have ability to verbally communicate, demonstrate, and explain concepts clearly to people of all ages; must be patient and nurturing to students; ability (in English) to read and comprehend and write memorandum, correspondence, and reports; ability to maintain written logs, reports, and checklists; ability to effectively present information in one-on-one and small group situations to customers, students, clients, and other employees; must be able to regularly lift or move up to 50 pounds and occasionally lift or move more than 100 pounds, and perform other physically demanding skills, including standing for long periods of time; must be able to work weekends and holidays, work effectively at high elevations, and function effectively in extreme cold weather conditions and in other inclement weather conditions. Number of Hours Per Week: 35 Work Schedule (Start/End time): 7:00 A.M. - 2:00 P.M.</t>
  </si>
  <si>
    <t>H-400-26184-077149</t>
  </si>
  <si>
    <t>D &amp; C Pride of Texas Shows, Inc.</t>
  </si>
  <si>
    <t>info@prideoftexasshowsinc.com</t>
  </si>
  <si>
    <t>+12544950527</t>
  </si>
  <si>
    <t>H-400-26184-077172</t>
  </si>
  <si>
    <t>DHL Mahi Staffing LLC</t>
  </si>
  <si>
    <t>marifel.miyaji@auberge.com</t>
  </si>
  <si>
    <t>+18087963958</t>
  </si>
  <si>
    <t>Stewards will be responsible for operating dishwashing machines, burnishers, and buffers, ensuring all kitchen equipment is cleaned to hotel standard, including china, glassware, silver, flatware, pots, and pans, polishing stainless steel, silver, and copper kitchen items, removing all trash and recycling, and restocking clean pots, pans, china, glassware, and silverware in the kitchen. Schedule: 40 hours per week. Work schedule can vary and can include evening, weekend, and holiday hours. Work may be performed on any day of the week from Monday through Sunday. Example shifts: 6:00AM – 2:00PM, 8:00AM – 4:00PM, or 1:00PM – 9:00PM. Shift hours may vary. Please see attached job description for additional information. Job Classification: 35-9021.00 - Dishwashers The job/industry classification and description includes general information on the position from ONET/OES and the North American Industry Classification System. Please review Job Duties and Job Order for more information. Job Requirements Experience Required: No Number of Hours Per Week: 40 Work Schedule (Start/End time): 6:00 A.M. - 2:00 P.M.</t>
  </si>
  <si>
    <t>H-400-26184-077137</t>
  </si>
  <si>
    <t>Grand Geneva, LLC</t>
  </si>
  <si>
    <t>hr@grandgeneva.com</t>
  </si>
  <si>
    <t>+12622494710</t>
  </si>
  <si>
    <t>Lifeguard</t>
  </si>
  <si>
    <t>Lifeguard will be responsible for monitoring recreational areas, such as pools, to provide assistance and protection to participants. Lifeguard may need to lift and carry up to or more than one-hundred (100) pounds. Lifeguard must be able to swim. Schedule: 35 hours per week. Work schedule can vary and can include evening, weekend, and holiday hours. Work may be performed on any day of the week from Monday through Sunday. Example shifts: 8:30am – 3:30pm, 2:45pm – 9:45pm, or 9:30am – 4:30pm. Shift hours may vary. Please see attached job description for additional information. Job Classification: 33-9092.00 - Lifeguards, Ski Patrol, and Other Recreational Protective Service Workers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Applicant must have an American Red Cross Lifeguard Certification or attain the appropriate training to receive an American Red Cross Lifeguard Certification within three weeks of employment. Applicant must complete pre-employment background check at employers expense. Number of Hours Per Week: 35 Work Schedule (Start/End time): 8:30 A.M. - 3:30 P.M.</t>
  </si>
  <si>
    <t>H-400-26184-077131</t>
  </si>
  <si>
    <t>Dishwashers will be responsible for washing dishes and all cooking materials by machine or hand, maintaining kitchen work areas and equipment in clean condition, monitoring the Dishwasher temperature, placing clean dishware in appropriate kitchen area, sweeping and scrubbing floors, preparing (without cooking) various foods to be cooked or served, and sorting and removing trash. Dishwashers also will be responsible for setting up three (3) compartment sinks, conducting inventory of the China and silver, and reporting any unsafe kitchen conditions to Supervisor. Must have the ability to regularly lift and/or move up to 25 pounds and occasionally lift and/or move up to 100 pounds. Schedule: 40 hours per week. Work schedule can vary and can include evening, weekend, and holiday hours. Work may be performed on any day of the week from Monday through Sunday. Example shifts: 8:00am - 4:00pm, or 1:00pm – 9:00pm. Shift hours may vary. Please see attached job description for more information. Job Classification: 35-2021.00 - Food Preparation Workers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The Petitioner will consider for employment any person who possesses at least three (3) months of experience at a high-end restaurant, resort, or private club. Applicant must complete pre-employment background check and drug screening at employers expense. Number of Hours Per Week: 40 Work Schedule (Start/End time): 8:00 A.M. - 4:00 P.M.</t>
  </si>
  <si>
    <t>H-400-26184-077141</t>
  </si>
  <si>
    <t>Front Desk Associate</t>
  </si>
  <si>
    <t>Front Desk Associates serve as a primary point of contact for members and their guests, delivering a welcoming and personalized hospitality experience at the Lakeside Lifestyle Center. Front Desk Associates are responsible for operating telephones in a polite and friendly manner, following proper telephone etiquette, greeting members and guests, taking reservations, and booking appointments. Front Desk Associates support daily operations across the Spa, Fitness Center, and Tennis facilities, ensuring members receive attentive service and assistance with programming, retail purchases, and facility information. Schedule: 40 hours per week. Work schedule can vary and can include evening, weekend, and holiday hours. Work may be performed on any day of the week from Monday through Sunday. Example shifts: 6:30am - 2:30pm, 8:00am -4:00pm, or 10:00am - 6pm. Shift hours may vary. Please see attached job description for more information. Job Classification: 39-3091.00 - Amusement and Recreation Attendants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The Petitioner will consider for employment any person who possesses at least three (3) months of experience at a high-end hotel, resort, or private club. Applicant must complete pre-employment background check and drug screening at employers expense. Number of Hours Per Week: 40 Work Schedule (Start/End time): 6:30 A.M. - 2:30 P.M.</t>
  </si>
  <si>
    <t>H-400-26184-077151</t>
  </si>
  <si>
    <t>Laundry Attendant</t>
  </si>
  <si>
    <t>Laundry Attendants will be responsible for receiving and documenting all laundry for billing purposes, loading and operating washers and dryers, pressing clean linens, machine washing bed sheets as requested, picking up dirty linens and dropping off clean linens in designated departments at Harbour Ridge Yacht &amp; Country Club’s property. Laundry Attendants will machine wash employee uniforms when a worker’s employment ends to ensure it is clean for the next employee assigned to the uniform. Additionally, Laundry Attendants are responsible for ensuring that all laundry facilities, including laundry workstations, machines, and storage spaces are kept clean by removing any trash or debris, wiping hard surfaces down with cleaning spray, as well as sweeping and mopping floors. Laundry Attendants will also be responsible for reporting maintenance issues or safety hazards promptly. Must have the ability to regularly lift and/or move up to 10 pounds and occasionally lift and/or move up to 25 pounds. Schedule: 40 hours per week. Work schedule can vary and can include evening, weekend, and holiday hours. Work may be performed on any day of the week from Monday through Sunday. Example shifts: 6:00am - 2:00pm, or 8:00am - 4:00pm. Shift hours may vary. Please see attached job description for additional information. Job Classification: 51-6011.00 - Laundry and Dry-Cleaning Workers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The Petitioner will consider for employment any person who possesses at least three (3) months of experience at a high-end hotel, resort, or private club. Applicant must complete pre-employment background check and drug screening at employers expense. Number of Hours Per Week: 40 Work Schedule (Start/End time): 6:00 A.M. - 2:00 P.M.</t>
  </si>
  <si>
    <t>H-400-26184-077152</t>
  </si>
  <si>
    <t>recruitment@hrycc.org</t>
  </si>
  <si>
    <t>Lakeside Attendant</t>
  </si>
  <si>
    <t>Lakeside Attendants will be responsible for maintaining the cleanliness of Lakeside Lifestyle Center by cleaning all exercise equipment, exercise facility restrooms, exercise rooms, massage and spa areas. Lakeside Attendants will observe precautions required to protect client and company property by reporting equipment damage, theft of equipment or facility supplies, or safety issues to supervisor. Lakeside Attendants will monitor and maintain the pool deck by organizing lounge chairs and umbrellas, collecting used towels, and ensuring the area remains neat and presentable. Additionally, Lakeside Attendants will assist in laundering towels/linens when needed in the facility and submitting a completed duties checklist to the Supervisor at the end of each shift. Schedule: 40 hours per week. Work schedule can vary and can include evening, weekend, and holiday hours. Work may be performed on any day of the week from Monday through Sunday. Example shifts: 7:00am - 3:00pm or 10:00am -6:00pm. Shift hours may vary. Please see attached job description for more information. Job Classification: 37-2011.00 - Janitors and Cleaners, Except Maids and Housekeeping Cleaners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The Petitioner will consider for employment any person who possesses at least three (3) months of experience at a high-end resort or private club. Applicant must complete pre-employment background check and drug screening at employers expense. Number of Hours Per Week: 40 Work Schedule (Start/End time): 7:00 A.M. - 3:00 P.M.</t>
  </si>
  <si>
    <t>H-400-26184-077160</t>
  </si>
  <si>
    <t>Hosts will be responsible for greeting and accompanying members to their table in a polite and professional manner. Hosts will ensure member satisfaction during their dinner experience; inquire on their dining experience and making certain they leave feeling satisfied with our service. Hosts will also be responsible for coordinating with kitchen and front-of-house staff to ensure timely preparation and pickup of to-go orders. Additionally, this role may also include serving responsibilities such as taking and placing orders, carrying trays and plates, serving food and beverages, and cleaning and clearing tables. This role may also include bartending responsibilities such as mixing and serving drinks including cocktails, wine, beer, and non-alcoholic beverages to members and guests, cleaning glasses and bar equipment, and ensuring that bar and service areas remain clean, organized, and well-stocked. Hosts may also assist with the setup of dining rooms and buffets for meetings and events. Set-up tasks entail setting up buffet warmers by setting out food prepared by the kitchen; turning on soup kettles; turning on plate warmers; setting up coffee machines; arranging tables and chairs; and setting out butter, glassware, dishware, and linens. Set-up tasks will take place in an on-site restaurant, banquet rooms, event areas at members’ homes, and an outdoor dining area by the food truck. Schedule: 40 hours per week. Work schedule can vary and can include evening, weekend, and holiday hours. Work may be performed on any day of the week from Monday through Sunday. Example shifts: 10:00am – 6:00pm or 11:00am – 7:00pm. Shift hours may vary. Please see attached job description for additional information. Job Classification: 35-3011.00 - Bartenders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6 Special Requirements: The Petitioner will consider for employment any person who possesses at least six (6) months of experience in a fine-dining or high-volume environment at a high-end restaurant, resort, or private club. Applicant must complete pre-employment background check and drug screening at employer's expense. Number of Hours Per Week: 40 Work Schedule (Start/End time): 10:00 A.M. - 6:00 P.M.</t>
  </si>
  <si>
    <t>H-400-26184-077175</t>
  </si>
  <si>
    <t>Line Cooks will be responsible for preparing, seasoning, and cooking soups, meats, vegetables, desserts, and other food items in a restaurant. Line Cooks will ensure all food items are stored in a suitable container, prepping a la carte menu and buffet items, maintain kitchen work areas are clean and safe, and report any unsafe conditions to the supervisor. Must have the ability to regularly lift and/or move up to 25 pounds and occasionally lift and/or move up to 100 pounds. Schedule: 40 hours per week. Work schedule can vary and can include evening, weekend, and holiday hours. Work may be performed on any day of the week from Monday through Sunday. Example shifts: 6:00am - 2:00pm, or 8:00am - 4:00pm. Shift hours may vary. Please see attached job description for additional information. Job Classification: 35-2014.00 - Cooks, Restaurant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6 Special Requirements: The Petitioner will consider for employment any person who possesses at least six (6) months of culinary experience in a fine-dining or high-volume environment at a high-end restaurant, resort, or private club. Applicant must complete pre-employment background check and drug screening at employers expense. Number of Hours Per Week: 40 Work Schedule (Start/End time): 6:00 A.M. - 2:00 P.M.</t>
  </si>
  <si>
    <t>H-400-26184-077177</t>
  </si>
  <si>
    <t>Hermitage Members Club, Inc.</t>
  </si>
  <si>
    <t>hr@hermitageclub.com</t>
  </si>
  <si>
    <t>+18022754225</t>
  </si>
  <si>
    <t>Food &amp; Beverage Team Lead</t>
  </si>
  <si>
    <t>Food &amp; Beverage Team Leads will be responsible for training workers in food preparation, and in service, sanitation and safety procedures, supervising and participating in kitchen and dining area cleaning activities, assigning duties, responsibilities and work stations to employees in accordance with work requirements, monitor food services operations to ensure that procedures are followed and communicate with patrons to ensure satisfaction. May supervise up to ten (10) Hosts/Cashiers and Bussers. Schedule: 40 hours per week. Work schedule can vary and can include evening, weekend, and holiday hours and may include up to 12-hour shifts for special events. Work may be performed on any day of the week from Monday through Sunday. Example shifts: 6:00am to 2:00pm, 10:00am to 6:00pm, or 2:00pm to 10:00pm. Shift hours may vary. Please see attached job description for additional details. Job Classification: 35-1012.00 - First-Line Supervisors of Food Preparation and Serving Workers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12 Special Requirements: The Petitioner will consider for employment any person who possesses at least twelve (12) months of experience in a fine-dining or high-volume environment at a high-end restaurant, resort, or private club. Number of Hours Per Week: 40 Work Schedule (Start/End time): 6:00 A.M. - 2:00 P.M.</t>
  </si>
  <si>
    <t>H-400-26184-077170</t>
  </si>
  <si>
    <t>Snowmaker</t>
  </si>
  <si>
    <t>Snowmakers will be responsible for basic operation of equipment that forces pressurized air and water through a nozzle. The employee’s duties involve connecting hoses to water sources, moving equipment, and scraping, dislodging, or breaking excess frost, ice, or frozen product from equipment to prevent accumulation using hands and hand tools; adjusting air intake to obtain desired consistency and amount of snow; attaching pipes, fittings, or valves, using hand tools and shutting off valves, and clearing lines of water. Snowmakers must be able to hike and work in extreme cold, inclement weather conditions; must also be able to move equipment up and down snow/ice covered ski slopes. Snowmakers will also help during the pre-season with all mountain operation departments such as lift operations with installing chairs and laying snowmaking pipes for smooth operations starting. Snowmakers will also help during the post season with the mountain operations team to close down the mountain and pull hoses from the mountain for summer storage. Schedule: 40 hours per week. Work may be performed on any day of the week from Monday through Sunday. Scheduled hours will include up to 12-hour shifts, and may include overnight, early morning, weekend shifts and/or holiday shifts. Example shifts: 7:00pm to 3:00am and 12:00am to 8:00am. Shift hours may vary. Please see attached job description for additional details. Job Classification: 51-9193.00 - Cooling and Freezing Equipment Operators and Tenders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The Petitioner will consider for employment any person who possesses at least three (3) months of manual labor experience in a professional environment. Number of Hours Per Week: 40 Work Schedule (Start/End time): 7:00 P.M. - 3:00 A.M.</t>
  </si>
  <si>
    <t>H-400-26184-077129</t>
  </si>
  <si>
    <t>Imperial Golf Club, Inc.</t>
  </si>
  <si>
    <t>careers@imperialgolfclub.org</t>
  </si>
  <si>
    <t>+12395978165</t>
  </si>
  <si>
    <t>Servers will be responsible for setting up the dining room, taking and placing customers’ orders through a computer system, carrying trays, serving food and beverages, greeting members by last name, and cleaning and clearing tables. Schedule: 35 hours per week. Work schedule can vary and can include evening, weekend, and holiday hours. Work may be performed on any day of the week from Monday through Sunday. Example shifts: 9:00am – 4:00pm, 10:00am – 5:00pm, or 4:00pm – 11:00pm. Shift hours may vary. See attached job description for additional information. Job Classification: 35-3031.00 - Waiters and Waitresses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6 Special Requirements: The Petitioner will consider for employment any person who possesses at least six (6) months of service experience in a fine-dining or high-volume environment at a high-end restaurant, resort, or private club. Applicant must complete pre-employment background check and drug screening at employers expense. Former workers are exempt from background check and drug screening if re-hired within six (6) months of separation. Number of Hours Per Week: 35 Work Schedule (Start/End time): 9:00 A.M. - 4:00 P.M.</t>
  </si>
  <si>
    <t>H-400-26184-077132</t>
  </si>
  <si>
    <t>Cooks will be responsible for preparing, seasoning, and cooking soups, meats, vegetables, desserts, and other food items in a restaurant and other F&amp;B outlets, including employee meals. Schedule: 35 hours per week. Work schedule can vary and can include evening, weekend, and holiday hours. Work may be performed on any day of the week from Monday through Sunday. Example shifts: 7:00am – 2:00pm, 9:00am – 4:00pm, or 11:00am – 6:00pm. Shift hours may vary. See attached job description for additional information. Job Classification: 35-2014.00 - Cooks, Restaurant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12 Special Requirements: The Petitioner will consider for employment any person who possesses at least one (1) year of culinary experience in a fine-dining or high-volume environment at a high-end restaurant, resort, or private club. Applicant must complete pre-employment background check and drug screening at employers expense. Former workers are exempt from background check and drug screening if re-hired within six (6) months of separation. Number of Hours Per Week: 35 Work Schedule (Start/End time): 7:00 A.M. - 2:00 P.M.</t>
  </si>
  <si>
    <t>H-400-26184-077145</t>
  </si>
  <si>
    <t>Food Runners will be responsible for assisting Servers to facilitate food service, expediting and ensuring an efficient flow of food orders from kitchen to dining tables, carrying trays and plates, cleaning and setting tables, cleaning and sanitizing workstations, replenishing linens and utensils, napkins, and condiments, and serving non-alcoholic beverages. Must be able to lift and carry up to 25 pounds without assistance and up to 50 pounds with assistance. Schedule: 35 hours per week. Work schedule can vary and can include evening, weekend, and holiday hours. Work may be performed on any day of the week from Monday through Sunday. Example shifts: 7:00AM - 2:00PM, 9:00AM - 4:00PM, or 11:00AM - 6:00PM. Shift hours may vary. See attached job description for additional information. Job Classification: 35-9011.00 - Dining Room and Cafeteria Attendants and Bartender Helpers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The Petitioner will consider for employment any person who possesses at least three (3) months of experience in a fine-dining or high-volume environment at a high-end restaurant, resort, or private club. Applicant must complete pre-employment background check and drug screening at employers expense. Former workers are exempt from background check and drug screening if re-hired within six (6) months of separation. Number of Hours Per Week: 35 Work Schedule (Start/End time): 7:00 A.M. - 2:00 P.M.</t>
  </si>
  <si>
    <t>H-400-26184-077135</t>
  </si>
  <si>
    <t>Halfway House Attendant</t>
  </si>
  <si>
    <t>Halfway House Attendants will provide food and beverages to players on the course while maintaining a clean, organized, and fully stocked snack station. This role includes responsibility for daily setup, customer service, food safety, cleanliness, and end-of-day procedures. Specifically, Halfway House Attendants will greet members and guests, provide information on convenience and beverage cart services on the golf course, set up the snack bar in the morning (including unlocking the building, turning on all equipment, stocking warmers, coolers, beverage carts, and snack shelves, and verifying safe food storage temperatures), replenish and rotate sandwiches, snacks, beverages, condiments, and supplies throughout the day maintaining property food safety and sanitation, mix and serve drinks, perform end-of-shift tasks (such as restocking and cleaning the station, ensuring receipts and business records are complete, and closing the snack station), maintain clean and operational beverage carts and drive golf carts to and from designated storage areas, and handle cash and credit transactions. Schedule: 35 hours per week. Work schedule can vary and can include evening, weekend, and holiday hours. Work may be performed on any day of the week from Monday through Sunday. Example shifts: 8:00am – 3:00pm or 10:00am – 5:00pm. Shift hours may vary. See attached job description for additional information. Job Classification: 35-3011.00 - Bartenders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6 Special Requirements: The Petitioner will consider for employment any person who possesses at least six (6) months of experience in a fine-dining or high-end food and beverage environment. Applicant must complete pre-employment background check and drug screening at employers expense. Former workers are exempt from background check and drug screening if re-hired within six (6) months of separation. Number of Hours Per Week: 35 Work Schedule (Start/End time): 8:00 A.M. - 3:00 P.M.</t>
  </si>
  <si>
    <t>H-400-26184-077133</t>
  </si>
  <si>
    <t xml:space="preserve">Imperial Golf Club, Inc. </t>
  </si>
  <si>
    <t>Bartenders will be responsible for mixing and serving drinks to members and guests, serving food and beverages, cleaning glasses and bar equipment, and ensuring that the bar and work areas are clean and well-stocked. Schedule: 35 hours per week. Work schedule can vary and can include evening, weekend, and holiday hours. Work may be performed on any day of the week from Monday through Sunday. Example shifts: 10:30am – 5:30pm or 2:30pm – 9:30pm. Shift hours may vary. See attached job description for additional information Job Classification: 35-3011.00 - Bartenders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The Petitioner will consider for employment any person who possesses at least three (3) months of experience in a fine-dining or high-volume environment at a high-end restaurant, resort, or private club. Applicant must complete pre-employment background check and drug screening at employers expense. Former workers are exempt from background check and drug screening if re-hired within six (6) months of separation. Number of Hours Per Week: 35 Work Schedule (Start/End time): 10:30 A.M. - 5:30 P.M.</t>
  </si>
  <si>
    <t>H-400-26185-078748</t>
  </si>
  <si>
    <t>LEI Illuminations LLC</t>
  </si>
  <si>
    <t>info@groundsgroomers.com</t>
  </si>
  <si>
    <t>+14094224848</t>
  </si>
  <si>
    <t>H-400-26184-077139</t>
  </si>
  <si>
    <t>Jupiter Island Holdings, Inc.</t>
  </si>
  <si>
    <t>jobs@thejic.com</t>
  </si>
  <si>
    <t>+17725461000</t>
  </si>
  <si>
    <t>Cook I</t>
  </si>
  <si>
    <t>Cooks I will be responsible for preparing, seasoning, and cooking soups, meats, vegetables, desserts, and other food items in a restaurant. Cooks 1 will also be responsible for keeping the workspace clean by sweeping, mopping, wiping surfaces, and washing dishes and utensils. Cooks I may need to regularly lift and/or move up to 50 lbs. and occasionally up to 100 lbs. with assistance. Schedule: 40 hours per week. Work schedule can vary and can include evening, weekend, and holiday hours. Work may be performed on any day of the week from Monday through Sunday. Example shifts: 6:00am - 2:00pm, and 3:00pm - 11:00pm. Shift hours may vary. Please see Job Description for additional information. Job Classification: 35-2014.00 - Cooks, Restaurant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5 Special Requirements: The Petitioner will consider for employment any person who possesses at least five (5) months of culinary experience at a high-end restaurant, resort, or private club. Applicant must complete pre-employment background check at employers expense. Number of Hours Per Week: 40 Work Schedule (Start/End time): 6:00 A.M. - 2:00 P.M.</t>
  </si>
  <si>
    <t>H-400-26184-077147</t>
  </si>
  <si>
    <t>Bartenders will be responsible for mixing and serving drinks to members and guests, cleaning glasses and bar equipment, ensuring that the bar and work areas are clean and well-stocked, and taking food orders and serving food to customers. Bartenders may need to regularly move and/or lift up to 50 lbs. and occasionally up to 100 lbs. with assistance. Schedule: 40 hours per week. Work schedule can vary and can include evening, weekend, and holiday hours. Work may be performed on any day of the week from Monday through Sunday. Example shifts: 6:00am - 2:00pm and 3:00pm - 11:00pm. Shift hours may vary. Please see Job Description for additional information. Job Classification: 35-3011.00 - Bartenders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5 Special Requirements: The Petitioner will consider for employment any person who possesses at least five (5) months of experience in a fine-dining or high-volume environment at a high-end restaurant, resort, or private club. Applicant must complete pre-employment background check at employers expense. Number of Hours Per Week: 40 Work Schedule (Start/End time): 6:00 A.M. - 2:00 P.M.</t>
  </si>
  <si>
    <t>H-400-26184-077165</t>
  </si>
  <si>
    <t>Dining Room Supervisors will be responsible for supporting the Food and Beverage Managers by ensuring all aspects of food and beverage are carried out and all guests and members’ needs are taken care of in the dining room, preparing schedules and assignments for dining room staff, monitoring and directing staff during service hours, and monitoring and appraising staff during work hours. Dining Room Supervisors may assist with host stands by greeting members and guests, escorting members and guests to tables, scheduling dining reservations, and answering phone calls and responding to inquiries. Dining Room Supervisors may need to regularly lift and/or move up to 25 lbs. and occasionally up to 100 lbs. with assistance. Dining Room Supervisors may supervise up to ten (10) Servers, Bartenders, and Server Assistants. Schedule: 40 hours per week. Work schedule can vary and can include evening, weekend, and holiday hours. Work may be performed on any day of the week from Monday through Sunday. Example shifts: 6:00am - 2:00pm and 3:00pm - 11:00pm. Shift hours may vary. Please see Job Description for additional information. Job Classification: 35-1012.00 - First-Line Supervisors of Food Preparation and Serving Workers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5 Special Requirements: The Petitioner will consider for employment any person who possesses at least five (5) months of experience at a high-end hotel, restaurant, resort, or private club. Applicant must complete pre-employment background check at employers expense. Number of Hours Per Week: 40 Work Schedule (Start/End time): 6:00 A.M. - 2:00 P.M.</t>
  </si>
  <si>
    <t>H-400-26184-077168</t>
  </si>
  <si>
    <t>Food &amp; Beverage Administrative Assistant</t>
  </si>
  <si>
    <t>Food &amp; Beverage Administrative Assistants will be responsible for clerical tasks in the Food &amp; Beverage department, such as booking dining reservations, preparing reservation lists and floorplans, updating Food &amp; Beverage supervisors with cover counts throughout the day, writing or typing dictated instructions and relaying them to Members and staff, typing and circulating correspondence, distributing function sheets and menus, filing, proofreading information, and making necessary corrections prior to distribution. Food &amp; Beverage Administrative Assistants may need to regularly move and/or lift up to 25 lbs. and occasionally up to 100 lbs. with assistance. Schedule: 40 hours per week. Work schedule can vary and can include evening, weekend, and holiday hours. Work may be performed on any day of the week from Monday through Sunday. Example shifts: 7:30am - 3:30pm, 9:00am - 5:00pm, and 11am - 7:00pm. Shift hours may vary. Please see Job Description for additional information. Job Classification: 43-9061.00 - Office Clerks, General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4 Special Requirements: The Petitioner will consider for employment any person who possesses at least four (4) months of experience at a high-end restaurant, resort, or private club. Applicant must complete pre-employment background check at employers expense. Number of Hours Per Week: 40 Work Schedule (Start/End time): 7:30 A.M. - 3:30 P.M.</t>
  </si>
  <si>
    <t>H-400-26184-077178</t>
  </si>
  <si>
    <t>Housekeeping Attendant</t>
  </si>
  <si>
    <t>Housekeeping Attendants will be responsible for cleaning and maintaining all rooms, suites, and indoor common areas at Jupiter Island Club’s property, which includes vacuuming floors, dusting, replenishing linens, and towels, disinfecting bathrooms and locker room areas, and washing windows. Housekeeping Attendants may need to regularly lift and/or move up to 25 lbs. and occasionally up to 50 lbs. with assistance. Schedule: 40 hours per week. Work schedule can vary and can include evening, weekend, and holiday hours. Work may be performed on any day of the week from Monday through Sunday. Example shifts: 7:00am - 3:00pm, and 3:00pm - 11:00pm. Shift hours may vary. Please see Job Description for additional information. Job Classification: 37-2012.00 - Maids and Housekeeping Cleaners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The Petitioner will consider for employment any person who possesses at least three (3) months of Housekeeping experience at a high-end hotel, resort, or private club. Applicant must complete pre-employment background check at employers expense. Number of Hours Per Week: 40 Work Schedule (Start/End time): 7:00 A.M. - 3:00 P.M.</t>
  </si>
  <si>
    <t>H-400-26184-077176</t>
  </si>
  <si>
    <t>Lift Operations Team Leader</t>
  </si>
  <si>
    <t>Lift Operations Team Leader will be responsible for the daily operation of the lifts in their assigned area and will provide direction, instructions, and guidance to the lift operators in that area. Lift Operation Team Leaders will train staff members, arrange transportation of staff, complete and collect daily reports, conduct weekly safety and training meetings. May supervise up to twenty (20) Lift Operators and Ticket Checkers. Schedule: 35 hours per week. Work schedule can vary and can include evening, weekend, and holiday hours. Work may be performed on any day of the week from Monday through Sunday. Example shifts: 6:00am to 1:00pm, 9:00am to 4:00pm, and 11:00am to 6:00pm. Shift hours may vary. See attached job description for additional information. Job Classification: 39-1014.00 - First-Line Supervisors of Entertainment and Recreation Workers, Except Gambling Services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12 Special Requirements: The Petitioner will consider for employment any person who possesses at least one (1) year of lift operator experience at a high-end hotel, resort, or private club. Applicant may be required to complete pre-employment COVID-19 test, complete a quarantine period, and/or demonstrate proof of COVID-19 vaccination if required under state, federal, or company guidelines at the time of hire. Number of Hours Per Week: 35 Work Schedule (Start/End time): 6:00 A.M. - 1:00 P.M.</t>
  </si>
  <si>
    <t>H-400-26184-077134</t>
  </si>
  <si>
    <t>Legends Golf &amp; Country Club Master Association, Inc.</t>
  </si>
  <si>
    <t>lisak@legendscc.com</t>
  </si>
  <si>
    <t>+12395618740</t>
  </si>
  <si>
    <t>Bartenders will be responsible for mixing and serving drinks to members and guests, cleaning glasses and bar equipment, ensuring that the bar and work areas are clean and well-stocked, taking and placing food orders, and serving food to members and guests. Schedule: 35 hours per week. Work schedule can vary and can include evening, weekend, and holiday hours. Work may be performed on any day of the week from Monday through Sunday. Example shifts: 10:00am to 5:00pm or 4:00pm to 11:00pm. Shift hours may vary. See attached job description for additional information. Job Classification: 35-3011.00 - Bartenders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6 Special Requirements: The Petitioner will consider for employment any person who possesses at least six (6) months of service experience in a fine-dining or high-volume environment at a high-end restaurant, resort, or private club. Applicant must complete pre-employment drug screening at the employers expense. Number of Hours Per Week: 35 Work Schedule (Start/End time): 10:00 A.M. - 5:00 P.M.</t>
  </si>
  <si>
    <t>H-400-26184-077146</t>
  </si>
  <si>
    <t>Porter</t>
  </si>
  <si>
    <t>Porters will be responsible for washing dishes and all cooking materials by machine or hand, maintaining kitchen work areas and equipment in clean condition, sweeping and scrubbing floors, preparing (without cooking) various foods to be cooked or served, and sorting and removing trash. Porters may need to occasionally lift and/or move up to 50 lbs. Schedule: 40 hours per week. Work schedule can vary and can include evening, weekend, and holiday hours. Work may be performed on any day of the week from Monday through Sunday. Example shifts: 10:00am to 6:00pm or 1:00pm to 9:00pm. Shift hours may vary. See attached job description for additional information. Job Classification: 35-2021.00 - Food Preparation Workers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The Petitioner will consider for employment any person who possesses at least three (3) months of experience at a high-end restaurant, resort, or private club. Applicant must complete pre-employment drug screening at the employers expense. Number of Hours Per Week: 40 Work Schedule (Start/End time): 10:00 A.M. - 6:00 P.M.</t>
  </si>
  <si>
    <t>H-400-26184-077128</t>
  </si>
  <si>
    <t>Servers will be responsible for greeting customers, setting-up the dining areas, taking and placing guest orders, carrying trays and plates, serving food and beverages, and cleaning and clearing tables. Schedule: 35 hours per week. Work schedule can vary and can include evening, weekend, and holiday hours. Work may be performed on any day of the week from Monday through Sunday. Example shifts: 10:00am to 5:00pm and 4:00pm to 11:00pm. Shift hours may vary. See attached job description for additional information. Job Classification: 35-3031.00 - Waiters and Waitresses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6 Special Requirements: The Petitioner will consider for employment any person who possesses at least six (6) months of service experience in a fine-dining or high-volume environment at a high-end restaurant, resort, or private club. Applicant must complete pre-employment drug screening at the employers expense. Number of Hours Per Week: 35 Work Schedule (Start/End time): 10:00 A.M. - 5:00 P.M.</t>
  </si>
  <si>
    <t>H-400-26184-077140</t>
  </si>
  <si>
    <t>Cooks will be responsible for preparing, seasoning, and cooking soups, meats, vegetables, desserts, and other food items in a restaurant. Schedule: 35 hours per week. Work schedule can vary and can include evening, weekend, and holiday hours. Work may be performed on any day of the week from Monday through Sunday. Example shifts: 9:00am to 4:00pm and 2:00pm to 9:00pm. Shift hours may vary. See attached job description for additional information. Job Classification: 35-2014.00 - Cooks, Restaurant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6 Special Requirements: The Petitioner will consider for employment any person who possesses at least six (6) months of culinary experience in a fine-dining or high-volume environment at a high-end restaurant, resort, or private club. Applicant must complete pre-employment drug screening at the employers expense. Number of Hours Per Week: 35 Work Schedule (Start/End time): 9:00 A.M. - 4:00 P.M.</t>
  </si>
  <si>
    <t>H-400-26184-077158</t>
  </si>
  <si>
    <t>Leo's, Inc.</t>
  </si>
  <si>
    <t>office@wafflecabin.com</t>
  </si>
  <si>
    <t>+18027750058</t>
  </si>
  <si>
    <t>Warehouse Worker</t>
  </si>
  <si>
    <t>Warehouse Workers will be responsible for taking out ingredients, weighing ingredients, adding ingredients into the mixer for making dough, weighing dough, cutting dough into loaves, putting trays of dough into the blast freezer, bagging and boxing the dough and baked waffles, palletizing the dough, putting the dough into ovens to bake, sweeping and mopping the production area, and cleaning the prep tables and equipment. Schedule: 35 hours per week. Work schedule can vary and can include evenings, weekends and holiday hours. Work may be performed on any day of the week from Monday through Sunday. Example shifts: 8:30am to 3:30pm or 9:00am to 4:00pm. Shift hours may vary. Please see job description for additional information. Job Classification: 51-3011.00 - Bakers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The Petitioner will consider for employment any person who possesses at least three (3) months of experience in a high-volume environment. Number of Hours Per Week: 35 Work Schedule (Start/End time): 8:30 A.M. - 3:30 P.M.</t>
  </si>
  <si>
    <t>H-400-26184-077138</t>
  </si>
  <si>
    <t>Maumee Pro Mow LLC</t>
  </si>
  <si>
    <t>SPYRIDON SINTSIRMAS</t>
  </si>
  <si>
    <t>maumeepromow@yahoo.com</t>
  </si>
  <si>
    <t>+14193674110</t>
  </si>
  <si>
    <t>Landscape or maintain grounds of property using hand or power tools or equipment. Workers typically perform a variety of tasks, which may include any combination of the following: sod laying, mowing, trimming, planting, watering, fertilizing, digging, raking, sprinkler installation, and installation of mortarless segmental concrete masonry wall units. Job Classification: 37-3011.00 - Landscaping and Groundskeeping Workers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Able to lift and carry 50 pounds. Some overtime and weekends required. Number of Hours Per Week: 40 Work Schedule (Start/End time): 7:00 A.M. - 4:00 P.M.</t>
  </si>
  <si>
    <t>H-400-26184-077150</t>
  </si>
  <si>
    <t>Midway Food Market</t>
  </si>
  <si>
    <t>Kelly Cobb</t>
  </si>
  <si>
    <t>trishcummins@aol.com</t>
  </si>
  <si>
    <t>+12813913101</t>
  </si>
  <si>
    <t>Meat Processors</t>
  </si>
  <si>
    <t>Butcher deer, as well as elk, moose, javelinas and seasonal wild game killed during season for private meat processing plant. Clean and cut animals for packing, smoking, freezing and salting according to customer specifications using saw, boning knives and cleavers. Wrap meat or grind. Prepare and wrap sausage. Job Classification: 51-3021.00 - Butchers and Meat Cutters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6 Special Requirements: Six months of experience in the job offered or six months of experience as a butcher. Number of Hours Per Week: 40 Work Schedule (Start/End time): 8:00 A.M. - 5:00 P.M.</t>
  </si>
  <si>
    <t>H-400-26184-077174</t>
  </si>
  <si>
    <t>H-400-26184-077163</t>
  </si>
  <si>
    <t>Midwest Mosaic, Inc.</t>
  </si>
  <si>
    <t>mwmosaic@gmail.com</t>
  </si>
  <si>
    <t>+14193773894</t>
  </si>
  <si>
    <t>Tile Installer</t>
  </si>
  <si>
    <t>Apply hard tile, stone, and comparable materials to walls, floors, ceilings, countertops, and roof decks. Job Classification: 47-2044.00 - Tile and Stone Setters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ABLE TO LIFT AND CARRY 50 POUNDS, SOME OVERTIME AND WEEKENDS REQUIRED. 8 hour shift. Number of Hours Per Week: 40 Work Schedule (Start/End time): 9:00 A.M. - 6:00 P.M.</t>
  </si>
  <si>
    <t>H-400-26184-077162</t>
  </si>
  <si>
    <t>Pelican Sound Golf &amp; River Club, Inc.</t>
  </si>
  <si>
    <t>pelicansoundgolf@gmail.com</t>
  </si>
  <si>
    <t>+12399484331</t>
  </si>
  <si>
    <t>Cooks will be responsible for preparing, seasoning, and cooking soups, meats, vegetables, desserts, and other food items in a restaurant. Schedule: 40 hours per week. Work schedule can vary and can include evening, weekend, and holiday hours. Work may be performed on any day of the week from Monday through Sunday. Example shifts: 8:00am – 4:00pm, 12:00pm – 8:00pm, or 2:00pm – 10:00pm. Shift hours may vary. Please see attached job description for additional information. Job Classification: 35-2014.00 - Cooks, Restaurant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6 Special Requirements: The Petitioner will consider for employment any person who possesses at least six (6) months of culinary experience in a fine-dining or high-volume environment at a high-end restaurant, resort, or private club. Applicant must complete pre-employment drug screening at employer's expense. Number of Hours Per Week: 40 Work Schedule (Start/End time): 8:00 A.M. - 4:00 P.M.</t>
  </si>
  <si>
    <t>H-400-26184-077171</t>
  </si>
  <si>
    <t>Servers will be responsible for setting up the dining areas, taking and placing orders, carrying trays and plates, serving food and beverages, and cleaning and clearing tables. Schedule: 40 hours per week. Work schedule can vary and can include evening, weekend, and holiday hours. Work may be performed on any day of the week from Monday through Sunday. Example shifts: 8:00am – 4:00pm, 10:00am – 6:00pm, or 2:00pm – 10:00pm. Shift hours may vary. See attached job description for additional information. Job Classification: 35-3031.00 - Waiters and Waitresses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The Petitioner will consider for employment any person who possesses at least three (3) months of experience in a fine-dining or high-volume environment at a high-end restaurant, resort, or private club. Applicant must complete pre-employment drug screening at employer's expense. Number of Hours Per Week: 40 Work Schedule (Start/End time): 8:00 A.M. - 4:00 P.M.</t>
  </si>
  <si>
    <t>H-400-26184-077126</t>
  </si>
  <si>
    <t>Cook: Advanced</t>
  </si>
  <si>
    <t>Cooks: Advanced will be responsible for preparing, seasoning, and cooking soups, meats, vegetables, desserts, and other food items in a restaurant. Schedule: 35 hours per week. Work schedule can vary and can include evening, weekend, and holiday hours. Work may be performed on any day of the week from Monday through Sunday. Example shifts: 7:00am to 2:00pm, 8:00am to 3:00pm, and 9:00am to 4:00pm. Shift hours may vary. See attached job description for additional information. Job Classification: 35-2014.00 - Cooks, Restaurant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12 Special Requirements: The Petitioner will consider for employment any person who possesses at least one (1) year of culinary experience in a high-volume environment at a restaurant, resort, or private club. Number of Hours Per Week: 35 Work Schedule (Start/End time): 7:00 A.M. - 2:00 P.M.</t>
  </si>
  <si>
    <t>H-400-26184-077136</t>
  </si>
  <si>
    <t>Pro Outdoor, Inc.</t>
  </si>
  <si>
    <t>optout@prooutdoor.com</t>
  </si>
  <si>
    <t>+16366957800</t>
  </si>
  <si>
    <t>Landscape or maintain grounds of property using hand or power tools or equipment. Lay sod, mow, trim/edge, plant, weeding, watering, rake, blow leaves; use a hand shovel to dig holes for installing plants, trees, shrubs, or irrigation systems, these holes can be up to 24 inches depth and 36 inches in width. Spread seed, fertilizer and mulch; works on the ground to prune or trim trees, shrubs, or hedges using shears, pruners, or chain saws; core aerating; sprinkler installation/repair, installation of mortarless segmental concrete masonry wall units. Maintain equipment to ensure proper functioning. Ancillary duties: May drive truck or other vehicle to transport plants, materials and tools to/from or at worksites. Minimum 35 hours per week up to possible 40 hours per week. Normal work days Monday through Friday from 6:00am-3:00pm, one-hour unpaid lunch. Work days and shift time may vary with weather. Work on Saturdays required as necessary. $19.80/hr. Employer may increase wage based on experience, changes in market conditions, and/or provide additional pay for performance and tenure. An overtime premium will be paid when required by Federal, State, or local law, including at time-and-a-half after 40 hours per workweek. Generally, when overtime is available it will be paid at $ $29.70/hr. based on locality the work is performed and the base rate of pay offered per hour. A single workweek will be used to compute wages due. Pay received weekly. Bonus program based on production and attendance is available. Employer will provide worker at no charge all tools, supplies, equipment and uniform required to perform job. Daily transportation provided from main worksite in St. Charles County to multiple worksites within St Charles, St. Louis, St Louis City, Lincoln, Warren, Jefferson, and Montgomery Counties, MO. Job Classification: 37-3011.00 - Landscaping and Groundskeeping Workers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Post-employment criminal background check and Post-employment drug test required, cost paid by employer and applied equally to all workers, U.S. and Foreign/H-2B. Must be able to lift 50 lbs. Must be able to work a 5-day schedule, including weekends and holidays as required. Applicants must complete an employment application. Number of Hours Per Week: 40 Work Schedule (Start/End time): 6:00 A.M. - 3:00 P.M.</t>
  </si>
  <si>
    <t>H-400-26184-077159</t>
  </si>
  <si>
    <t>Pyramid LQR Management LP</t>
  </si>
  <si>
    <t>seasonaljobs@laquintaresort.com</t>
  </si>
  <si>
    <t>+17605645716</t>
  </si>
  <si>
    <t>***RFI response*** “Preparing (without cooking) various foods for cooking or serving” – this consists of removing food from Hotboxes/Cold boxes (heated/cooled food cabinets) and providing to servers for serving and gathering ingredients to provide to cooks for cooking. “Assisting with event set-up and breakdown” - this consists of setting up buffet stations at events with plates and utensils prior to the event and clearing tables and taking dishes back to the dish room for sorting and cleaning post-event. Will also check Hotboxes against the banquet event order food list to ensure the correct food is inside the Hotbox. The tools/equipment used to perform the above tasks are Hotboxes, Cold boxes, trash cans, and wheeled dish carts. ***Original*** Stewards will be responsible for washing dishes and all cooking materials by machine or hand, maintaining and cleaning kitchen work areas and equipment, assisting with event set-up and breakdown, sweeping and scrubbing floors and mats, vacuuming, preparing (without cooking) various foods for cooking or serving, and sorting and removing trash. Stewards will deliver banquet food and utensils to the Banquet room and bring items back to kitchen to wash. Schedule: 35 hours per week. Work schedule can vary and can include evening, weekend, and holiday hours. Work may be performed on any day of the week from Monday through Sunday. Example shifts: 5:00am – 12:00pm or 4:00pm – 11:00pm. Shift hours may vary. Please see attached job description for additional information. Job Classification: 35-9011.00 - Dining Room and Cafeteria Attendants and Bartender Helpers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The Petitioner will consider for employment any person who possesses at least three (3) months of experience in a fine-dining or high-volume environment at a high-end restaurant, resort, or private club. Number of Hours Per Week: 35 Work Schedule (Start/End time): 5:00 A.M. - 12:00 P.M.</t>
  </si>
  <si>
    <t>H-400-26184-077167</t>
  </si>
  <si>
    <t>Room Attendants will be responsible for cleaning and maintaining all rooms, suites, and indoor common areas at La Quinta Resort and Club’s property, which includes vacuuming floors, dusting, replenishing linens and towels, disinfecting bathrooms, and cleaning windows using cleaning chemicals and rags. Schedule: 35 hours per week. Work schedule can vary and can include evening, weekend, and holiday hours. Work may be performed on any day of the week from Monday through Sunday. Example shifts: 8:00am – 3:00pm or 10:00am – 5:00pm. Shift hours may vary. Please see attached job description for additional information. Job Classification: 37-2012.00 - Maids and Housekeeping Cleaners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The petitioner will consider for employment any person who possesses at least three (3) months of experience at a high-end hotel, resort, or private club. Number of Hours Per Week: 35 Work Schedule (Start/End time): 8:00 A.M. - 3:00 P.M.</t>
  </si>
  <si>
    <t>H-400-26184-077154</t>
  </si>
  <si>
    <t>Cooks will be responsible for preparing, seasoning, and cooking soups, meats, vegetables, desserts, and other food items in a restaurant. Schedule: 35 hours per week. Work schedule can vary and can include evening, weekend, and holiday hours. Work may be performed on any day of the week from Monday through Sunday. Example shifts: 4:00am – 11:00am, or 12:00pm – 7:00pm. Shift hours may vary. Please see attached job description for additional information. Job Classification: 35-2014.00 - Cooks, Restaurant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6 Special Requirements: The Petitioner will consider for employment any person who possesses at least six (6) months of culinary experience in a fine-dining or high-volume environment at a high-end restaurant, resort, or private club. Number of Hours Per Week: 35 Work Schedule (Start/End time): 4:00 A.M. - 11:00 A.M.</t>
  </si>
  <si>
    <t>H-400-26184-077161</t>
  </si>
  <si>
    <t>SDiamond Constructors Inc</t>
  </si>
  <si>
    <t>info@sdiamond.com</t>
  </si>
  <si>
    <t>+12142696923</t>
  </si>
  <si>
    <t>Landscape Installation Laborer</t>
  </si>
  <si>
    <t>Prepping raw site for landscape installation, installing new landscaping, moving dirt, marking beds, mixing soil, use hand-tools/power tools or equipment such as shovel, rake, marking wheel, spreading grass seed, laying sod, sprinkler-installation, and installation of mortarless segmental concrete masonry wall units. Mowing, trimming, planting, watering &amp; fertilizing. May drive truck or other vehicle to transport work crew, plants, materials and tools to/from or at worksites. Minimum 35 hours per week up to possible 48 hours per week. Normal work days Monday through Saturday from 7:00am-4:00pm, one-hour unpaid lunch. Work days and shift time may vary with weather. $17.42/hr. Employer may increase wage based on experience, changes in market conditions, and/or provide additional pay for performance and tenure. An overtime premium will be paid when required by Federal, State, or local law, including at time-and-a-half after 40 hours per workweek. Generally, when overtime is available it will be paid at $26.13/hr.based on locality the work is performed and the base rate of pay offered per hour. A single workweek will be used to compute wages due. Pay received weekly. Discretionary bonus is available. Daily transportation provided from main worksite in Harris County to multiple worksites in Austin, Brazoria, Chambers, Fort Bend, Galveston, Harris, Liberty, Montgomery, Waller and San Jacinto Counties, TX. Employer will provide worker at no charge all tools, supplies, and equipment required to perform job. Job Classification: 37-3011.00 - Landscaping and Groundskeeping Workers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Must be able to continuously bend, squat and lift 50lbs. Must be able to work a 6-day schedule, may include weekends and holidays. Applicants must complete an employment application. Number of Hours Per Week: 48 Work Schedule (Start/End time): 7:00 A.M. - 4:00 P.M.</t>
  </si>
  <si>
    <t>H-400-26184-077169</t>
  </si>
  <si>
    <t>Prepping raw site for landscape installation, installing new landscaping, moving dirt, marking beds, mixing soil, use hand-tools/power tools or equipment such as shovel, rake, marking wheel, spreading grass seed, laying sod, sprinkler-installation, and installation of mortarless segmental concrete masonry wall units. Mowing, trimming, planting, watering &amp; fertilizing. May drive truck or other vehicle to transport work crew, plants, materials and tools to/from or at worksites. Minimum 35 hours per week up to possible 48 hours per week. Normal work days Monday through Saturday from 7:00am-4:00pm, one-hour unpaid lunch. Work days and shift time may vary with weather. $18.42/hr. Employer may increase wage based on experience, changes in market conditions, and/or provide additional pay for performance and tenure. An overtime premium will be paid when required by Federal, State, or local law, including at time-and-a-half after 40 hours per workweek. Generally, when overtime is available it will be paid at $27.63/hr. based on the locality the work is performed and the base rate of pay offered per hour. A single workweek will be used to compute wages due. Pay received weekly. Discretionary bonus is available. Daily transportation provided from main worksite in Denton County to worksites in Collin, Dallas, Denton, Ellis, Hunt, Johnson, Kaufman, Parker, Rockwall, Tarrant and Wise Counties, TX Employer will provide worker at no charge all tools, supplies, and equipment required to perform job. Job Classification: 37-3011.00 - Landscaping and Groundskeeping Workers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Must be able to continuously bend, squat and lift 50lbs. Must be able to work a 6 day schedule, may include weekends and holidays. Applicants must complete an employment application. Number of Hours Per Week: 48 Work Schedule (Start/End time): 7:00 A.M. - 4:00 P.M.</t>
  </si>
  <si>
    <t>H-400-26184-077142</t>
  </si>
  <si>
    <t>Prepping raw site for landscape installation, installing new landscaping, moving dirt, marking beds, mixing soil, use hand-tools/power tools or equipment such as shovel, rake, marking wheel, spreading grass seed, laying sod, sprinkler-installation, and installation of mortarless segmental concrete masonry wall units. Mowing, trimming, planting, watering &amp; fertilizing. May drive truck or other vehicle to transport work crew, plants, materials and tools to/from or at worksites. Minimum 35 hours per week up to possible 48 hours per week. Normal work days Monday through Saturday from 7:00am-4:00pm, one hour unpaid lunch. Work days and shift time may vary with weather. $17.39/hr. Employer may increase wage based on experience, changes in market conditions, and/or provide additional pay for performance and tenure. An overtime premium will be paid when required by Federal, State, or local law, including at time-and-a-half after 40 hours per workweek. Generally, when overtime is available it will be paid at $26.09/hr. based on locality the work is performed and the base rate of pay offered per hour. A single workweek will be used to compute wages due. Pay received weekly. Discretionary bonus is available. Daily transportation provided from main worksite in Bexar County to multiple worksites within Atascosa, Bandera, Bexar, Comal, Guadalupe, Kendall, Medina, and Wilson Counties, TX. Employer will provide worker at no charge all tools, supplies, and equipment required to perform job. Job Classification: 37-3011.00 - Landscaping and Groundskeeping Workers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Must be able to continuously bend, squat and lift 50lbs. Must be able to work a 6-day schedule, may include weekends and holidays. Applicants must complete an employment application. Number of Hours Per Week: 48 Work Schedule (Start/End time): 7:00 A.M. - 4:00 P.M.</t>
  </si>
  <si>
    <t>H-400-26184-077153</t>
  </si>
  <si>
    <t>The Golf Club at Palmira, Inc.</t>
  </si>
  <si>
    <t>Seasonaljobs@golfclubatpalmira.org</t>
  </si>
  <si>
    <t>+12394443726</t>
  </si>
  <si>
    <t>Cooks will be responsible for preparing, seasoning, and cooking soups, meats, vegetables, desserts, and other food items in a restaurant, cleaning kitchen area and floors at the end of the day, and occasionally washing dishes. Schedule: 35 hours per week. Work schedule can vary and can include evening, weekend, and holiday hours. Work may be performed on any day of the week from Monday through Sunday. Example shifts: 9:00am-4:00pm, 10:00am-5:00pm, 12:00pm-7:00pm, 2:00pm-9:00pm. Shift hours may vary. See attached job description for additional information. Job Classification: 35-2014.00 - Cooks, Restaurant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6 Special Requirements: The Petitioner will consider for employment any person who possesses at least six (6) months of culinary experience in a fine-dining or high-volume environment at a high-end restaurant, resort, or private club. Number of Hours Per Week: 35 Work Schedule (Start/End time): 9:00 A.M. - 4:00 P.M.</t>
  </si>
  <si>
    <t>H-400-26184-077164</t>
  </si>
  <si>
    <t>***RFI response*** Assisting with banquet setup and breakdown includes setting the tables with dishes, utensils, and other tableware and clearing tables after service. No tools or equipment are used to perform the tasks. ***Original*** Servers will be responsible for greeting customers, setting up the dining areas, taking and placing orders, carrying trays and plates, serving food and beverages, cleaning and clearing tables, serving water and coffee to customers, and assisting with banquet setup and breakdown. Schedule: 35 hours per week. Work schedule can vary and can include evening, weekend, and holiday hours. Work may be performed on any day of the week from Monday through Sunday. Example shifts: 9:00am-4:00pm, 10:00am-5:00pm, 12:00pm-7:00pm, 2:00pm-9:00pm. Shift hours may vary. See attached job description for additional information. Job Classification: 35-3031.00 - Waiters and Waitresses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The Petitioner will consider for employment any person who possesses at least three (3) months of experience in a fine-dining or high-volume environment at a high-end restaurant, resort, or private club. Number of Hours Per Week: 35 Work Schedule (Start/End time): 9:00 A.M. - 4:00 P.M.</t>
  </si>
  <si>
    <t>H-400-26184-077155</t>
  </si>
  <si>
    <t>The Sanctuary Golf Club, Inc.</t>
  </si>
  <si>
    <t>hr@sanctuarygc.net</t>
  </si>
  <si>
    <t>+12394726445</t>
  </si>
  <si>
    <t>Servers will be responsible for greeting customers, setting up the dining areas, taking and placing orders, carrying trays and plates, serving food and beverages, and cleaning and clearing tables. Schedule: 40 hours per week. Work schedule can vary and can include evening, weekend, and holiday hours. Work may be performed on any day of the week from Monday through Sunday. Example shifts: 10:00am to 6:00pm and 2:00pm to 10:00pm. Shift hours may vary. See attached job description for additional details. Job Classification: 35-3031.00 - Waiters and Waitresses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6 Special Requirements: The Petitioner will consider for employment any person who possesses at least six (6) months of service experience in a fine-dining or high-volume environment at a high-end restaurant, resort, or private club. Applicant must complete pre-employment drug screening at employers expense. Number of Hours Per Week: 40 Work Schedule (Start/End time): 10:00 A.M. - 6:00 P.M.</t>
  </si>
  <si>
    <t>H-400-26184-077173</t>
  </si>
  <si>
    <t>The Strand at Naples, LLC</t>
  </si>
  <si>
    <t>HR@thestrandclub.com</t>
  </si>
  <si>
    <t>+12395927710</t>
  </si>
  <si>
    <t>Servers will be responsible for greeting customers, setting up the dining areas, taking and placing orders, carrying trays and plates, serving food and beverages, and cleaning and clearing tables. Schedule: 35 hours per week. Work schedule can vary and can include evening, weekend, and holiday hours. Work may be performed on any day of the week from Monday through Sunday. Examples of possible shift hours are 7:00am to 2:00pm, 9:00am to 4:00pm, 10:00am to 5:00pm, and 3:00pm to 10:00pm. Shift hours may vary. Please see attached job description for additional information. Job Classification: 35-3031.00 - Waiters and Waitresses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12 Special Requirements: The Petitioner will consider for employment any person who possesses at least one (1) year of service experience in a fine-dining or high-volume environment at a high-end restaurant, resort, or private club. Applicant must complete pre-employment drug screening and background check at employers expense. Number of Hours Per Week: 35 Work Schedule (Start/End time): 7:00 A.M. - 2:00 P.M.</t>
  </si>
  <si>
    <t>H-400-26184-077130</t>
  </si>
  <si>
    <t>Cooks will be responsible for preparing, seasoning, and cooking soups, meats, vegetables, desserts, and other food for consumption, and measuring and mixing ingredients according to recipe using a variety of kitchen utensils and equipment such as blenders, mixers, grinders, slicers, and tenderizers. Cooks will be performing daily opening and closing duties and will be responsible that ala carte service and or event is ready for members in timely fashion. Must ensure high standards of cleanliness, sanitation and hygiene in work area, including detailed station cleaning on daily basis and deep cleaning of the work station and work area on bi weekly basis, using brushes, sponges, and general degreasers. Cooks must be able to carry heavy items on daily basis following safety procedures and must be able to stand on their feet for longer periods, up to 10 hours. Schedule: 35 hours per week. Open 7 days a week. Work schedule may vary and can include evening and weekend hours. Work may be performed on any day of the week from Monday through Sunday. Example shifts: 6:00am – 1:00pm, 10:00am – 5:00pm, or 4:00pm – 11:00pm. Shift hours may vary. Please see attached job description for additional information. Job Classification: 35-2014.00 - Cooks, Restaurant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6 Special Requirements: The Petitioner will consider for employment any person who possesses at least six (6) months of culinary experience in a fine-dining or high-volume environment at a high-end restaurant, resort, or private club. Applicant must complete pre-employment background check and drug screening at employers expense. Number of Hours Per Week: 35 Work Schedule (Start/End time): 6:00 A.M. - 1:00 P.M.</t>
  </si>
  <si>
    <t>H-400-26184-077166</t>
  </si>
  <si>
    <t>Venice Pier Group, Inc.</t>
  </si>
  <si>
    <t>resumes2@sharkysonthepier.com</t>
  </si>
  <si>
    <t>+19414847362</t>
  </si>
  <si>
    <t>Cooks will be responsible for preparing, seasoning, and cooking soups, meats, vegetables, desserts, and other food items in a restaurant, inspecting and cleaning food preparation areas, such as equipment and work surfaces to ensure safe and sanitary food-handling practices, washing dishes, glassware, flatware, pots, or pans, using dishwashers or by hand. Schedule: 35 hours per week. Work schedule can vary and can include evening, weekend, and holiday hours. Work may be performed on any day of the week from Monday through Sunday. Example shifts: 7:00am to 2:00pm, 12:00pm to 7:00pm, or 4:00pm to 11:00pm. Shift hours may vary. See attached job description for additional information. Job Classification: 35-2014.00 - Cooks, Restaurant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6 Special Requirements: The Petitioner will consider for employment any person who possesses at least six (6) months of culinary experience in a fine-dining or high-volume environment at a high-end restaurant, resort, or private club. Number of Hours Per Week: 35 Work Schedule (Start/End time): 7:00 A.M. - 2:00 P.M.</t>
  </si>
  <si>
    <t>H-400-26184-077213</t>
  </si>
  <si>
    <t>Boynton Canyon Management Company</t>
  </si>
  <si>
    <t>seasonaljobs@enchantment.com</t>
  </si>
  <si>
    <t>+19282046042</t>
  </si>
  <si>
    <t>Housekeepers will be responsible for cleaning and maintaining all rooms, suites, and indoor common areas at the property, which includes vacuuming floors, dusting, replenishing linens and towels, disinfecting bathrooms, washing windows, and driving golf carts on the property for personal transportation between work areas. Schedule: 40 hours per week. Work schedule can vary and can include evening, weekend, and holiday hours. Work may be performed on any day of the week from Monday through Sunday. Example shifts: 8:00am to 4:00pm or 12:00pm to 8:00pm. Shift hours may vary. See attached job description for additional information. Job Classification: 37-2012.00 - Maids and Housekeeping Cleaners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The Petitioner will consider for employment any person who possesses at least three (3) months of experience at a high-end hotel, resort, or private club. Number of Hours Per Week: 40 Work Schedule (Start/End time): 8:00 A.M. - 4:00 P.M.</t>
  </si>
  <si>
    <t>H-400-26184-077216</t>
  </si>
  <si>
    <t>Dishwashers will be responsible for washing dishes and all cooking materials by machine or hand, maintaining kitchen work areas and equipment in clean condition, sweeping and scrubbing floors, preparing (without cooking) various foods to be cooked or served, and sorting and removing trash. Applicant must possess the ability to lift up to 50 pounds and stand for long periods of time. Schedule: 40 hours per week. Work schedule can vary and can include evening, weekend, and holiday hours. Work may be performed on any day of the week from Monday through Sunday. Example shifts: 8:00am to 4:00pm or 12:00pm to 8:00pm. Shift hours may vary. See attached job description for additional information. Job Classification: 35-2021.00 - Food Preparation Workers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The Petitioner will consider for employment any person who possesses at least three (3) months of experience at a high-end hotel, resort, or private club. Number of Hours Per Week: 40 Work Schedule (Start/End time): 8:00 A.M. - 4:00 P.M.</t>
  </si>
  <si>
    <t>H-400-26184-077183</t>
  </si>
  <si>
    <t>CHS3, LLC</t>
  </si>
  <si>
    <t>hr@castlehotsprings.com</t>
  </si>
  <si>
    <t>+16027614570</t>
  </si>
  <si>
    <t>Housekeepers will be responsible for cleaning and maintaining all rooms, suites, indoor and outdoor common areas at Castle Hot Springs’ property, which includes vacuuming floors, dusting, laundering and replenishing linens and towels, disinfecting bathrooms, cleaning interior windows using a cloth and cleaning spray, taking out trash, sweeping and mopping stairwells, and delivering guest requested items to rooms. Schedule: 35 hours per week. Work schedule can vary and can include evening, weekend, and holiday hours. Work may be performed on any day of the week from Monday through Sunday. Example shift: 9:00am to 4:00pm. Shift hours may vary. Please see job description for additional information. Job Classification: 37-2012.00 - Maids and Housekeeping Cleaners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The Petitioner will consider for employment any applicant who possesses at least three (3) months of housekeeping experience at a high-end hotel, resort, or private club. Number of Hours Per Week: 35 Work Schedule (Start/End time): 9:00 A.M. - 4:00 P.M.</t>
  </si>
  <si>
    <t>H-400-26184-077186</t>
  </si>
  <si>
    <t>Cooks II will be responsible for preparing, seasoning, and cooking soups, meats, vegetables, desserts, and other food items in a restaurant. Schedule: 35 hours per week. Work schedule can vary and can include evening, weekend, and holiday hours. Work may be performed on any day of the week from Monday through Sunday. Example shifts: 6:00am to 1:00pm, 11:00am to 6:00pm, or 3:00pm to 10:00pm. Shift hours may vary. Please see job description for additional information. Job Classification: 35-2014.00 - Cooks, Restaurant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6 Special Requirements: The Petitioner will consider for employment any applicant who possesses at least six (6) months of culinary experience in a fine-dining or high-volume environment at a high-end restaurant, resort, or private club. Number of Hours Per Week: 35 Work Schedule (Start/End time): 3:00 P.M. - 10:00 P.M.</t>
  </si>
  <si>
    <t>H-400-26184-077193</t>
  </si>
  <si>
    <t>Servers will be responsible for greeting customers, setting up the dining areas, taking and placing orders, carrying trays and plates, serving food and beverages, and cleaning and clearing tables. Schedule: 35 hours per week. Work schedule can vary and can include evening, weekend and holiday hours. Work may be performed on any day of the week from Monday through Sunday. Example shift: 9:00am to 4:00pm. Shift hours may vary. Please see job description for additional information. Job Classification: 35-3031.00 - Waiters and Waitresses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6 Special Requirements: The Petitioner will consider for employment any applicant who possesses at least six (6) months of service experience in a fine-dining or high-volume environment at a high-end restaurant, resort, or private club. Number of Hours Per Week: 35 Work Schedule (Start/End time): 9:00 A.M. - 4:00 P.M.</t>
  </si>
  <si>
    <t>H-400-26184-077199</t>
  </si>
  <si>
    <t>***RFI response*** “Basic food preparation” – this consists of washing fruits and vegetables, retrieving ingredients from inventory and portioning them, and peeling fruits and vegetables. The tools/equipment used to perform these tasks are strainers, peelers, measuring cups, measuring spoons, scales, knives, forks, spoons, and bowls. ***Original*** Stewards will be responsible for washing dishes and all cooking materials by machine or hand, maintaining kitchen work areas and equipment in clean condition, sweeping and scrubbing floors, and sorting and removing trash. Stewards will also assist in basic food preparation as directed by the department chef. Schedule: 35 hours per week. Work schedule can vary and can include evening, weekend, and holiday hours. Work may be performed on any day of the week from Monday through Sunday. Example shift: 9:00am to 4:00pm. Shift hours may vary. Please see job description for additional information. Job Classification: 35-9021.00 - Dishwashers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The Petitioner will consider for employment any applicant who possesses at least three (3) months of experience at a high-end restaurant, resort, or private club. Number of Hours Per Week: 35 Work Schedule (Start/End time): 9:00 A.M. - 4:00 P.M.</t>
  </si>
  <si>
    <t>H-400-26184-077228</t>
  </si>
  <si>
    <t>Card Sound Golf Club, Inc.</t>
  </si>
  <si>
    <t>13/05/2027</t>
  </si>
  <si>
    <t>resumes@cardsoundgolfclub.com</t>
  </si>
  <si>
    <t>+13053672555</t>
  </si>
  <si>
    <t>Line Cooks will be responsible for preparing, seasoning, and cooking soups, meats, vegetables, desserts, and other food items in a restaurant. Schedule: 40 hours per week. Work schedule can vary and can include evening, weekend, and holiday hours. Work may be performed on any day of the week from Monday through Sunday. Example shifts: 9:00am - 5:00pm, 2:00pm - 10:00pm, or 11:00am -7:00pm. Shift hours may vary. Please see job description for additional information. Job Classification: 35-2014.00 - Cooks, Restaurant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6 Special Requirements: The Petitioner will consider for employment any person who possesses at least six (6) months of culinary experience in a fine-dining or high-volume environment at a high-end restaurant, resort, or private club. Applicant must complete pre-employment background check and drug screening at employers expense. Number of Hours Per Week: 40 Work Schedule (Start/End time): 9:00 A.M. - 5:00 P.M.</t>
  </si>
  <si>
    <t>H-400-26184-077230</t>
  </si>
  <si>
    <t>Front Of House Manager</t>
  </si>
  <si>
    <t>Front of House Managers will be responsible for managing dining room staff members by hiring, training, evaluating their performances at work, scheduling their shifts, ensuring they are in clean uniform, approving their weekly payroll, and leading them through different types of food and beverage services. The Front of House Manager will also be responsible for taking reservations, checking table reservation schedules and maintaining reservation logs, planning the dining room set-up based on reservations and guest needs, greeting and seating guests, serving as a liaison between the dining room and kitchen staff, and resolving client complaints concerning dining room service. They will also be responsible for producing revenue reports using the Point of Sales (POS) system, providing reports concerning employee hours, schedules, pay rates, job changes, and tip pools, suggesting improvements in dining room service procedures and layout, ensuring side-work is complete, including the cleaning of equipment and storage areas according to schedule while reporting maintenance and safety concerns. They will be maintaining inventory of dining room items including silverware, coffee pots, water pitchers, China, and linen, and monitoring the dining room labor and supplies budget, creating forecast and revenue reports, developing and updating policies and procedures for service staff, and securing the dining room at the end of the business day. They will also be working with the Executive Chef to review weekly menu changes and relay those changes to the dining room staff, assisting in tableside cookery service, and developing beverage promotions, tracking wine sales, and assuring local and state laws and club policies and procedures for service of alcoholic beverages are followed. They may also be serving as the Club’s manager on duty which includes processing evening reports, locking and closing the doors at the end of night service, and closing out the day in the point of sale system. May supervise up to eleven (11) Servers, four (4) Support Staff members, and one (1) Host. May need to push, pull, or lift up to 50 pounds. Schedule: 40 hours per week. Work schedule can vary and can include evening, weekend, and holiday hours. Work may be performed on any day of the week from Monday through Sunday. Example shifts: 9:00am - 5:00pm, 4:00pm to 12:00am. Shift hours may vary. Please see job description for additional details. Job Classification: 35-1012.00 - First-Line Supervisors of Food Preparation and Serving Workers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12 Special Requirements: The Petitioner will consider for employment any person who possesses at least one (1) year of supervisory experience in a fine-dining or high-volume environment at a high-end restaurant, resort, or private club. Applicant must complete pre-employment background check and drug screening at employers expense. Number of Hours Per Week: 40 Work Schedule (Start/End time): 9:00 A.M. - 5:00 P.M.</t>
  </si>
  <si>
    <t>H-400-26184-077214</t>
  </si>
  <si>
    <t>Hosts will be responsible for taking reservations and maintaining the reservations log, greeting guests and seating them at tables, ensuring timeliness of food service, making suggestions to management about improvements in dining room service procedures and layout, ensuring floor plans are set according to reservations and client needs, inspecting the clubhouse to ensure cleanliness and proper set up of dining areas, assisting Servers when they need assistance, including serving food and beverages, bussing tables and/or scooping and serving ice cream for guests. Hosts will also be responsible for assisting in reviewing and printing weekly menu changes with Executive Chef, utilizing the computer system to accurately charge guests, taking orders for takeout over the phone, and assisting in the setup for special events by printing menus, writing signs, and placing serving utensils. May need to push, pull or lift up to 50 pounds. Schedule: 40 hours per week. Work schedule can vary and can include evening, weekend, and holiday hours. Work may be performed on any day of the week from Monday through Sunday. Example shifts: 9:00am - 5:00pm, 4:00pm to 12:00am. Shift hours may vary. Please see job description for additional information. Job Classification: 35-9011.00 - Dining Room and Cafeteria Attendants and Bartender Helpers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The Petitioner will consider for employment any person who possesses at least three (3) months of experience in a high-end restaurant. Applicant must complete pre-employment background check and drug screening at employers expense. Number of Hours Per Week: 40 Work Schedule (Start/End time): 9:00 A.M. - 5:00 P.M.</t>
  </si>
  <si>
    <t>H-400-26184-077218</t>
  </si>
  <si>
    <t>Servers will be responsible for greeting customers, setting up the dining areas, taking and placing orders, carrying trays and plates, serving food and beverages, and cleaning and clearing tables. Schedule: 40 hours per week. Work schedule can vary and can include evening, weekend, and holiday hours. Work may be performed on any day of the week from Monday through Sunday. Example shifts: 9:00am - 5:00pm, 4:00pm to 12:00am. Shift hours may vary. Please see job description for additional information. Job Classification: 35-3031.00 - Waiters and Waitresses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The Petitioner will consider for employment any person who possesses at least three (3) months of experience in a fine-dining or high-volume environment at a high-end restaurant, resort, or private club. Applicant must complete pre-employment background check and drug screening at employers expense. Number of Hours Per Week: 40 Work Schedule (Start/End time): 9:00 A.M. - 5:00 P.M.</t>
  </si>
  <si>
    <t>H-400-26184-077223</t>
  </si>
  <si>
    <t>Support Staff</t>
  </si>
  <si>
    <t>Support Staff will be responsible for providing friendly and welcoming service to members and taking orders, serving food and drinks, and addressing member inquiries. They will help ensure that members have exceptional experience during their stay and assist in greeting members upon arrival. They will assist in food preparation at the final stages, which includes adding ramekins of sauces or ketchup to customer’s plates. Support Staff must ensure all health and safety standards are met while maintaining cleanliness and organization of dining and kitchen areas. They will aid in restocking supplies as needed. Support Staff will assist in cleaning tables, dishes, pots, and pans and collaborate with team members to ensure smooth operations during peak hours. They will assist with the heavy lifting in the kitchen which includes bringing heavy trays of food to the dining room area. If needed, they will take reservations and enter them into the electronic reservation system and help run food between the kitchen and the dining area. They will communicate with kitchen and service staff to ensure smooth operations and will assist members with entering and exiting dining room. Schedule: 40 hours per week. Work schedule can vary and can include evening, weekend, and holiday hours. Work may be performed on any day of the week from Monday through Sunday. Example shifts: 9:00am - 5:00pm, 4:00pm to 12:00am. Shift hours may vary. Please see job description for additional details. Job Classification: 35-3031.00 - Waiters and Waitresses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The Petitioner will consider for employment any person who possesses at least three (3) months of experience in a fine-dining or high-volume environment at a high-end restaurant, resort, or private club. Applicant must complete pre-employment background check and drug screening at employers expense. Number of Hours Per Week: 40 Work Schedule (Start/End time): 9:00 A.M. - 5:00 P.M.</t>
  </si>
  <si>
    <t>H-400-26184-077179</t>
  </si>
  <si>
    <t>Cooks IV will be responsible for preparing, seasoning, and cooking soups, meats, vegetables, desserts, and other food items in a restaurant. Schedule: 40 hours per week. Work schedule can vary and can include evening, weekend, and holiday hours. Work may be performed on any day of the week from Monday through Sunday. Example shifts: 6:00AM – 2:00PM, 8:00AM – 4:00PM, or 1:00PM – 9:00PM. Shift hours may vary. Please see attached job description for additional information. Job Classification: 35-2014.00 - Cooks, Restaurant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12 Special Requirements: The Petitioner will consider for employment any person who possesses at least one (1) year of experience in a fine-dining or high-volume environment at a high-end restaurant, resort, or private club. Number of Hours Per Week: 40 Work Schedule (Start/End time): 6:00 A.M. - 2:00 P.M.</t>
  </si>
  <si>
    <t>H-400-26184-077220</t>
  </si>
  <si>
    <t>Davidson Hotel Company LLC</t>
  </si>
  <si>
    <t>seasonaljobs@islamoradaresortcollection.com</t>
  </si>
  <si>
    <t>+13054339937</t>
  </si>
  <si>
    <t>Front Desk Agent</t>
  </si>
  <si>
    <t>Front Desk Agents will be responsible for operating telephones in a polite and friendly manner following proper telephone etiquette, greeting members and guests, checking guest in/out of hotel room, assisting guest with any question regarding the hotel and its activities, driving guest around the property with golf cart, assisting in carrying luggage to and from rooms, distributing resort information and schedules, and collecting and sorting the mail on a daily basis. Schedule: 35 hours per week. Work schedule can vary and can include evening, weekend, and holiday hours. Work may be performed on any day of the week from Monday through Sunday. Example shifts: 7:00am to 2:00pm, 12:00pm to 7:00pm or 3:00pm to 10:00pm. Shift hours may vary. See attached job description for additional information. Job Classification: 43-4081.00 - Hotel, Motel, and Resort Desk Clerks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The Petitioner will consider for employment any person who possesses at least three (3) months of guest service experience at a high-end hotel, resort, or private club. Applicant must complete pre-employment background check and drug screening at employers expense. Number of Hours Per Week: 35 Work Schedule (Start/End time): 7:00 A.M. - 2:00 P.M.</t>
  </si>
  <si>
    <t>H-400-26184-077221</t>
  </si>
  <si>
    <t>Cooks will be responsible for preparing, seasoning, and cooking soups, meats, vegetables, desserts, and other food items in a restaurant. Schedule: 35 hours per week. Work schedule can vary and can include evening, weekend, and holiday hours. Work may be performed on any day of the week from Monday through Sunday. Example shifts: 5:00 AM - 12:00 PM, 1:00 PM - 8:00 PM, or 4:00 PM - 11:00 PM. Shift hours may vary. See attached job description for additional information. Job Classification: 35-2014.00 - Cooks, Restaurant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6 Special Requirements: The Petitioner will consider for employment any person who possesses at least six (6) months of culinary experience in a fine-dining or high-volume environment at a high-end restaurant, resort, or private club. Applicant must complete pre-employment background check and drug screening at employers expense. Number of Hours Per Week: 35 Work Schedule (Start/End time): 5:00 A.M. - 12:00 P.M.</t>
  </si>
  <si>
    <t>H-400-26184-077226</t>
  </si>
  <si>
    <t>Dining Room Attendants will be responsible for greeting customers, setting up the dining areas, taking and placing orders, carrying trays and plates, serving food and beverages, running food from a kitchen and drink from a bar, cleaning and clearing tables. Schedule: 35 hours per week. Work schedule can vary and can include evening, weekend, and holiday hours. Work may be performed on any day of the week from Monday through Sunday. Example shifts: 6:00 AM - 1:00 PM, or 3:00 PM - 10:00 PM. Shift hours may vary. See attached job description for additional information. Job Classification: 35-3031.00 - Waiters and Waitresses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The Petitioner will consider for employment any person who possesses at least three (3) months of experience in a fine-dining or high-volume environment at a high-end restaurant, resort, or private club. Applicant must complete pre-employment background check and drug screening at employers expense. Number of Hours Per Week: 35 Work Schedule (Start/End time): 6:00 A.M. - 1:00 P.M.</t>
  </si>
  <si>
    <t>H-400-26184-077215</t>
  </si>
  <si>
    <t>Maintenance/engineer</t>
  </si>
  <si>
    <t>Maintenance/Engineer will be responsible for responding and attending to guest requests to resolve maintenance issues by troubleshooting and repairing minor plumbing issues such as unclogging drains, fixing leaks; repairing minor electrical problems such as replacing light bulbs, resetting breakers; repairing minor HVAC malfunctions such as filter changes, thermostat resets, and carpentry repairs such as tightening door hinges, repairing furniture. Maintenance Engineers will also perform daily checks and preventive maintenance on tools and equipment and perform basic repairs on all types of equipment by scheduling checks and services on building systems such as HVAC filters replacement, lubrication of mechanical parts, inspection of electrical panels, and testing of emergency systems such as fire alarms, exit lights. Tools used include inspection checklists, multimeters, grease guns, and standard maintenance toolkits. Logs are updated after each task. Workers will also carry out minor repairs on guest room appliances such as TVs, mini-fridges, hairdryers, maintenance on fitness equipment such as tightening bolts, replacing belts, and facility lighting such as changing bulbs, fixing switches. Repairs are made using tools such as screwdrivers, pliers, voltage testers, and soldering irons as appropriate. Schedule: 35 hours per week. Work schedule can vary and can include evening, weekend, and holiday hours. Work may be performed on any day of the week from Monday through Sunday. Example shifts: 7:00am to 2:00pm, 12:00pm to 7:00pm, or 3:00pm to 10:00pm. Shift hours may vary. See attached job description for additional information. Job Classification: 49-9071.00 - Maintenance and Repair Workers, General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6 Special Requirements: The Petitioner will consider for employment any person who possesses at least six (6) months of experience at a high-end hotel, resort or private club. Applicant must complete pre-employment background check and drug screening at employers expense. Number of Hours Per Week: 35 Work Schedule (Start/End time): 7:00 A.M. - 2:00 P.M.</t>
  </si>
  <si>
    <t>H-400-26184-077222</t>
  </si>
  <si>
    <t>Housekeepers will be responsible for cleaning and maintaining all rooms, suites, and indoor and outdoor common areas at the employer’s property, which includes vacuuming floors, dusting, replenishing linens and towels, disinfecting bathrooms, and washing windows. Housekeepers may be assigned duties within the laundry operation as needed. These duties may include operating laundry equipment, sorting and folding linens, transporting linens between laundry and housekeeping areas, stocking linen closets, and maintaining cleanliness and organization of the laundry facility. Schedule: 35 hours per week. Work schedule can vary and can include evening, weekend, and holiday hours. Work may be performed on any day of the week from Monday through Sunday. Example shifts: 7:00 AM - 2:00 PM, or 3:00 PM - 10:00 PM. Shift hours may vary. See attached job description for additional information. Job Classification: 37-2012.00 - Maids and Housekeeping Cleaners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The Petitioner will consider for employment any person who possesses at least three (3) months of experience at a high-end hotel, resort, or private club. Applicant must complete pre-employment background check and drug screening at employers expense. Number of Hours Per Week: 35 Work Schedule (Start/End time): 7:00 A.M. - 2:00 P.M.</t>
  </si>
  <si>
    <t>H-400-26184-077227</t>
  </si>
  <si>
    <t>Guest Service Attendant/recreation Attendant</t>
  </si>
  <si>
    <t>***RFI response*** “Maintaining the cleanliness of the pool deck/health club area, equipment, and guests” includes picking up towels left behind by guests, picking up disposable dining ware such as cups, plates, forks and napkins, contacting the Housekeeping department to assist with cleaning any spills, and removal of any trash/debris and any toys/pool floaties that are left behind. The tools/equipment used to perform these tasks are rubber gloves. “Assisting with daily guest recreation activities” includes setting up and preparing the beach area for daily games and activities such as corn hole, sandcastle building competitions, and limbo, welcoming and engaging with guests, explaining activity rules and safety procedures, and distributing items used for games. The tools/equipment used to perform these tasks are corn hole boards and bags, limbo poles, and sand buckets. “Maintaining facility supplies” consists of monitoring the inventory levels of game pieces and activity materials (including paper, pens, cups, sandcastle buckets, towels, and cleaning supplies). Employees will be responsible for reporting when these items are low on stock, so orders can be placed to replenish the inventory. The tools/equipment used to perform these tasks are pen and paper to record inventory levels. ***Original*** Guest Service Attendant/Recreation Attendants will be responsible for ensuring the safety and maintaining the cleanliness of the pool deck/health club area, equipment, and guests, responding to guests’ needs, assisting with daily guest recreation activities, maintaining facility supplies and ensuring usage rules are adhered to, maintaining daily reports and logs, maintaining supply of pool towels for guests, carrying soiled towels to laundry, obtaining clean pool towels from laundry and carrying to pool deck, keeping pool towels neatly folded and stacked for guest use, and driving guests to different locations using resort golf carts. Schedule: 35 hours per week. Work schedule can vary and can include evening, weekend, and holiday hours. Work may be performed on any day of the week from Monday through Sunday. Example shifts: 10:00 AM - 5:00 PM, or 1:00 PM - 8:00 PM. Shift hours may vary. See attached job description for additional information. Job Classification: 39-3091.00 - Amusement and Recreation Attendants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The Petitioner will consider for employment any person who possesses three (3) months of experience at a high-end resort, hotel, or private club. Applicant must complete pre-employment background check and drug screening at employers expense. Number of Hours Per Week: 35 Work Schedule (Start/End time): 10:00 A.M. - 5:00 P.M.</t>
  </si>
  <si>
    <t>H-400-26184-077234</t>
  </si>
  <si>
    <t>FS Scottsdale Employment Inc.</t>
  </si>
  <si>
    <t>seasonaljobs.sco@fourseasons.com</t>
  </si>
  <si>
    <t>+14805135132</t>
  </si>
  <si>
    <t>Guestroom Attendant</t>
  </si>
  <si>
    <t>Guestroom Attendants will be responsible for cleaning and maintaining all rooms, suites, and indoor common areas at Four Seasons Resort Scottsdale at Troon North’s property, which includes vacuuming floors, mopping floors, dusting, replenishing linens and towels, refreshing the beds, disinfecting bathrooms, and washing windows. Schedule: 40 hours per week. Work schedule can vary and can include evening, weekend, and holiday hours. Work may be performed on any day of the week from Monday through Sunday. Example shifts: 8:00am to 4:00pm, 12:00pm to 8:00pm, or 9:00am to 5:00pm. Shift hours may vary. See Job Description for additional details. Job Classification: 37-2012.00 - Maids and Housekeeping Cleaners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The Petitioner will consider for employment any person who possesses at least three (3) months of experience at a high-end hotel, resort, or private club. Applicant must complete pre-employment background check. Number of Hours Per Week: 40 Work Schedule (Start/End time): 8:00 A.M. - 4:00 P.M.</t>
  </si>
  <si>
    <t>H-400-26184-077233</t>
  </si>
  <si>
    <t>Frenchman's Creek, Inc.</t>
  </si>
  <si>
    <t>17/05/2027</t>
  </si>
  <si>
    <t>nlopez@frenchmanscreek.com</t>
  </si>
  <si>
    <t>+15612732672</t>
  </si>
  <si>
    <t>Captains will be responsible for setting up the dining room, taking and placing customers’ orders, carrying trays, serving food and beverages, greeting guests, and cleaning and clearing tables. Captains will also be responsible for handling member requests for dining and social events, takeout food orders, and confirming reservations on special events. Other duties will include preparing a variety of brochures, menus, letters, table numbers and posters, and also assisting with the creation and mailing of the weekly and monthly events newsletters. Will be responsible for answering phones and taking food orders and other requests from the members and will also be responsible for distributing and taking in UPS, DHL, and Federal Express packages for members. Supervisory duties include training employees; assigning and directing service work during a shift; consulting with management staff regarding rewarding or disciplining employees; and working with members to address complaints and resolve problems regarding food, beverage and/or service. Duties also include watching assigned tables under supervision to detect any issues and making adjustments by assisting Wait Staff in taking orders, serving, and clearing tables, and following up on tables to ensure member satisfaction. May supervise up to ten (10) Wait Staff. Schedule: 40 hours per week. Work schedule can vary and can include evening, weekend, and holiday hours. Work may be performed on any day of the week from Monday through Sunday. Example shifts: 7:00am to 3:00pm or 3:00pm to 11:00pm. Shift hours may vary. See attached job description for additional information. Job Classification: 35-1012.00 - First-Line Supervisors of Food Preparation and Serving Workers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6 Special Requirements: The Petitioner will consider for employment any person who possesses at least six (6) months of service experience in a fine-dining or high-volume environment at a high-end restaurant, resort, hotel, or private club. Applicant must complete pre-employment background check and drug screening at employers expense. Number of Hours Per Week: 40 Work Schedule (Start/End time): 7:00 A.M. - 3:00 P.M.</t>
  </si>
  <si>
    <t>H-400-26184-077231</t>
  </si>
  <si>
    <t>Harbour Ridge Property Owners Association, Inc.</t>
  </si>
  <si>
    <t>Housekeepers will be responsible for cleaning and maintaining all rooms, suites, and indoor common areas at the employer’s properties, which includes vacuuming floors, dusting, replenishing linens and towels, disinfecting bathrooms, and washing windows. Must have the ability to regularly lift and/or move up to 10 pounds and occasionally lift and/or move up to 25 pounds. Schedule: 40 hours per week. Work schedule can vary and can include evening, weekend, and holiday hours. Work may be performed on any day of the week from Monday through Sunday. Example shifts: 6:00am - 2:00pm, or 8:00am - 4:00pm. Shift hours may vary. Please see attached job description for more information. Job Classification: 37-2012.00 - Maids and Housekeeping Cleaners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The Petitioner will consider for employment any person who possesses at least three (3) months of experience at a high-end hotel, resort, or private club. Applicant must complete pre-employment background check and drug screening at employers expense. Number of Hours Per Week: 40 Work Schedule (Start/End time): 6:00 A.M. - 2:00 P.M.</t>
  </si>
  <si>
    <t>H-400-26184-077196</t>
  </si>
  <si>
    <t>Pastry Assistant</t>
  </si>
  <si>
    <t>Pastry Assistants will be responsible for baking and producing all cakes, cookies, and pastries in the Club House kitchen. Pastry Assistants will be responsible for preparing and organizing the dessert station prior to service which includes ensuring all plated desserts, garnishes, sauces, and utensils are ready and presented in accordance with established recipes and plating standards as well as placing desserts in dessert stations for buffets and parties. Pastry Assistants must restock items as needed throughout dining service, ensure all dessert items are fresh and properly stored, and track pastry department items for reordering and restocking. Must have the ability to regularly lift and/or move up to 25 pounds and occasionally lift and/or move up to 100 pounds. Schedule: 40 hours per week. Work schedule can vary and can include evening, weekend, and holiday hours. Work may be performed on any day of the week from Monday through Sunday. Example shifts: 6:00am - 2:00pm, or 8:00am - 4:00pm. Shift hours may vary. Please see attached job description for more information. Job Classification: 35-2014.00 - Cooks, Restaurant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6 Special Requirements: The Petitioner will consider for employment any person who possesses at least six (6) months of culinary experience in a fine-dining or high-volume environment at a high-end restaurant, resort, or private club. Applicant must complete pre-employment background check and drug screening at employers expense. Number of Hours Per Week: 40 Work Schedule (Start/End time): 6:00 A.M. - 2:00 P.M.</t>
  </si>
  <si>
    <t>H-400-26184-077206</t>
  </si>
  <si>
    <t>***RFI response*** Assisting with the publication and distribution of the club newsletter" - this will be limited to using the Club's software platform (Members First) to input member events from the newsletter into the member event calendar. "Researching and providing documentation as support for all Trivial Pursuit events" - this will be limited to working with the event manager to identify staff members who can work the event and provide printed materials, such as trivia answer sheets, to the host. Other than using basic computer software tools such as Microsoft Outlook/Word and Canva to perform standard job duties, no special tools, technologies, or equipment will be used in the above duties ***Original*** Reservationists will be responsible for meeting and greeting all visitors in a pleasant, courteous and professional manner. Reservationists will assist with inquiries and directions, make dining and club activity reservations, inform managers and chefs of updated reservations, communicate with staff members in various departments, and assist with special catering orders for club members as needed. Reservationists will also provide clerical support to the club members and departments that may include faxing, copying, assisting departments with statement and club mailings as well as the preparation of outgoing mail and packages. Reservationists will be responsible for composing routing correspondence which includes creating emails for members and staff, working within the reservation systems compiling reservations and cancelations, creating food catering forms, and answering phones. Reservationists will be provided with a menu and drink list by the Director of Food &amp; Beverage or the Executive Chef. Based on these lists, Reservationists will create menus from pre-approved templates and print them in quantities based on the number of reservations booked. Reservationists will be responsible for completing faxing and copying services as requested by members. Additionally, Reservationist are responsible for assisting with the publication and distribution of the club newsletter, researching and providing documentation as support for all Trivial Pursuit events. Must have the ability to regularly lift and/or move up to 10 pounds. Schedule: 40 hours per week. Work schedule can vary and can include evening, weekend, and holiday hours. Work may be performed on any day of the week from Monday through Sunday. Example shifts: 6:00am - 2:00pm, or 8:00am - 4:00pm. Shift hours may vary. Please see attached job description for additional information. Job Classification: 43-9061.00 - Office Clerks, General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6 Special Requirements: The Petitioner will consider for employment any person who possesses at least six (6) months of experience in a fine-dining or high-volume environment at a high-end restaurant, resort, or private club. Applicant must complete pre-employment background check and drug screening at employers expense. Number of Hours Per Week: 40 Work Schedule (Start/End time): 6:00 A.M. - 2:00 P.M.</t>
  </si>
  <si>
    <t>H-400-26184-077217</t>
  </si>
  <si>
    <t>Server/bartender</t>
  </si>
  <si>
    <t>Server/Bartenders will be responsible for greeting customers, taking and placing orders, carrying trays and plates, serving food and beverages, cleaning and clearing tables, and setting up the dining rooms and buffets for regular service, meetings, and events by setting up buffet warmers by setting out food prepared by the kitchen; turning on soup kettles; turning on plate warmers; setting up coffee machines; arranging tables and chairs; and setting out butter, glassware, dishware, and linens. Set-up tasks will take place in an on-site restaurant, banquet rooms, event areas at members’ homes, and an outdoor dining area by the food truck. Server/Bartenders will perform basic food preparation which includes assembling salads using ingredients that have been prepped by the kitchen, portioning soups prepared entirely by Cooks directly from the pot into bowls for table service and slicing and arranging pre-baked bread in baskets before being served to the table. Server/Bartenders will also be responsible for mixing and serving drinks including cocktails, wine, beer, and non-alcoholic beverages to members and guests, cleaning glasses and bar equipment, and ensuring that the bar and work areas are clean and well-stocked. Must have the ability to regularly lift and/or move up to 25 pounds and occasionally lift and/or move up to 100 pounds. Schedule: 40 hours per week. Work schedule can vary and can include evening, weekend, and holiday hours. Work may be performed on any day of the week from Monday through Sunday. Example shifts: 6:00am - 2:00pm, or 8:00am - 4:00pm. Shift hours may vary. Please see attached job description for more information. Job Classification: 35-3011.00 - Bartenders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6 Special Requirements: The Petitioner will consider for employment any person who possesses at least six (6) months of experience in a fine-dining or high-volume environment at a high-end restaurant, resort, hotel, or private club. Applicant must complete pre-employment background check and drug screening at employers expense. Number of Hours Per Week: 40 Work Schedule (Start/End time): 6:00 P.M. - 2:00 P.M.</t>
  </si>
  <si>
    <t>H-400-26184-077224</t>
  </si>
  <si>
    <t>Set-up Crew</t>
  </si>
  <si>
    <t>Set-up Crew will be responsible for arranging meeting and activity set-up as well as providing water and coffee for members. Set-up tasks will take place in an on-site restaurant, banquet rooms, event areas at members’ homes, and an outdoor dining area by the food truck. Meeting and activity set-up entails moving, setting up, arranging, and taking down tables, linens, and chairs for events in a timely manner according to event diagrams. Set-up Crew may also assist with setting up buffet warmers by setting out food prepared by the kitchen; turning on soup kettles; turning on plate warmers; setting up coffee machines; and setting out butter, glassware, and dishware. They will report to all radio calls from managers or staff members. Set-up Crew must check for light bulb replacement in the clubhouse, set up buffet station, organize HR equipment and storage room, tighten and repair loose tables and chairs in dining rooms, check function and activity sheets in mailbox daily to accommodate additional changes in location and time. Set-up Crew will deliver food and beverages to HR Tennis facility. Set-up Crew workers will also assist in valet parking members cars and carrying food from kitchen to dining room tables on occasion. Must have the ability to regularly lift and/or move up to 25 pounds and occasionally lift and/or move up to or more than 100 pounds. Schedule: 40 hours per week. Work schedule can vary and can include evening, weekend, and holiday hours. Work may be performed on any day of the week from Monday through Sunday. Example shifts: 6:00am - 2:00pm, or 8:00am - 4:00pm. Shift hours may vary. Please see attached job description for additional information. Job Classification: 53-7062.00 - Laborers and Freight, Stock, and Material Movers, Hand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The Petitioner will consider for employment any person who possesses at least three (3) months of experience at a high-end restaurant, resort, or private club. Applicant must possess a valid U.S. or international drivers license prior to arrival in the United States. Applicant must complete pre-employment background check and drug screening at employers expense. Number of Hours Per Week: 40 Work Schedule (Start/End time): 6:00 A.M. - 2:00 P.M.</t>
  </si>
  <si>
    <t>H-400-26184-077187</t>
  </si>
  <si>
    <t>Pantry Cook</t>
  </si>
  <si>
    <t>Pantry Cooks will be responsible for the preparation and presentation of cold food items in accordance with the country club’s standards. Pantry Cooks must prepare all cold food items including composed salads, dressings, chilled soups, canapés, and garnishes. Pantry Cooks must ensure consistent quality and presentation of all cold food items. Pantry Cooks will assist in setup and breakdown of cold food displays for buffets, banquets, and member events. They must ensure that they are properly labeling, dating, and storing all prepared items and ingredients. Pantry Cooks must maintain par stocks and communicate inventory needs to the Sous Chef. Must have the ability to regularly lift and/or move up to 25 pounds and occasionally lift and/or move up to 100 pounds. Schedule: 40 hours per week. Work schedule can vary and can include evening, weekend, and holiday hours. Work may be performed on any day of the week from Monday through Sunday. Example shifts: 6:00am - 2:00pm, or 8:00am - 4:00pm. Shift hours may vary. Please see attached job description for additional information. Job Classification: 35-2021.00 - Food Preparation Workers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6 Special Requirements: The Petitioner will consider for employment any person who possesses at least six (6) months of culinary experience in a fine-dining or high-volume environment at a high-end restaurant, resort, or private club. Applicant must complete pre-employment background check and drug screening at employers expense. Number of Hours Per Week: 40 Work Schedule (Start/End time): 6:00 A.M. - 2:00 P.M.</t>
  </si>
  <si>
    <t>H-400-26184-077191</t>
  </si>
  <si>
    <t>Kitchen Helpers will be responsible for washing dishes and all cooking materials by machine or hand, maintaining kitchen work areas and equipment in clean condition, sweeping, and scrubbing floors, deep cleaning, preparing various foods for cooking by peeling potatoes and carrots (using a peeler) and by packaging and labeling products for sale in the Chef’s Cupboard/Snack Bar, assisting members with Chef’s Cupboard/ Snack Bar purchases by escorting members to items that they are looking for, answering questions, and charging purchases to member accounts via a register (no cash involved), and sorting and removing trash. Kitchen Helpers may need to regularly lift and/or move up to 50 lbs. and occasionally up to 100 lbs. with assistance. Schedule: 40 hours per week. Work schedule can vary and can include evening, weekend, and holiday hours. Work may be performed on any day of the week from Monday through Sunday. Example shifts: 6:00am - 2:00pm, and 3:00pm - 11:00pm. Shift hours may vary. Please see attached job description for additional information. Job Classification: 35-2021.00 - Food Preparation Workers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The Petitioner will consider for employment any person who possesses at least three (3) months of experience at a high-end hotel, restaurant, resort, or private club. Applicant must complete pre-employment background check at employers expense. Number of Hours Per Week: 40 Work Schedule (Start/End time): 6:00 A.M. - 2:00 P.M.</t>
  </si>
  <si>
    <t>H-400-26184-077200</t>
  </si>
  <si>
    <t>Laundry Attendants will be responsible for operating or tending washing machines to wash industrial or household articles, such as cloth garments, blankets, linens, and rugs, sorting and weighing soiled and unsoiled linens, cleaning laundry machines and areas, folding and storing laundry items, organizing and assisting with distribution of uniforms, and operating irons, pressers, steamers, dryers, and other laundry equipment as needed. Laundry Attendants may need to regularly lift and/or move up to 25 lbs. and occasionally up to 75 lbs. with assistance. Schedule: 40 hours per week. Work schedule can vary and can include evening, weekend, and holiday hours. Work may be performed on any day of the week from Monday through Sunday. Example shifts: 7:00am - 3:00pm, and 3:00pm - 11:00pm. Shift hours may vary. Please see Job Description for additional information. Job Classification: 51-6021.00 - Pressers, Textile, Garment, and Related Materials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The Petitioner will consider for employment any person who possesses at least three (3) months of Laundry and/or Housekeeping experience at a high-end hotel, resort, or private club. Applicant must complete pre-employment background check at employers expense. Number of Hours Per Week: 40 Work Schedule (Start/End time): 7:00 A.M. - 3:00 P.M.</t>
  </si>
  <si>
    <t>H-400-26184-077210</t>
  </si>
  <si>
    <t>Servers will be responsible for greeting customers, setting up the dining areas, taking and placing orders, carrying trays and plates, serving food and beverages, and cleaning and clearing tables. Servers may occasionally take and confirm Member dining reservations for meals and special events. Servers may need to regularly move and/or lift up to 25 lbs. and occasionally up to 100 lbs. with assistance. Schedule: 40 hours per week. Work schedule can vary and can include evening, weekend, and holiday hours. Work may be performed on any day of the week from Monday through Sunday. Example shifts: 6:00am - 2:00pm and 3:00pm - 11:00pm. Shift hours may vary. Please see Job Description for additional information. Job Classification: 35-3031.00 - Waiters and Waitresses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5 Special Requirements: The Petitioner will consider for employment any person who possesses at least five (5) months of experience in a fine-dining or high-volume environment at a high-end restaurant, resort, or private club. Applicant must complete pre-employment background check at employers expense. Number of Hours Per Week: 40 Work Schedule (Start/End time): 6:00 A.M. - 2:00 P.M.</t>
  </si>
  <si>
    <t>H-400-26184-077219</t>
  </si>
  <si>
    <t>Server Assistant</t>
  </si>
  <si>
    <t>Server Assistants will be responsible for setting tables, carrying trays and plates, cleaning and clearing tables, serving water and bread to customers, and occasionally move furniture around for events. Server Assistants may need to regularly lift and/or move up to 50 lbs. and occasionally 100 lbs. with assistance. Schedule: 40 hours per week. Work schedule can vary and can include evening, weekend, and holiday hours. Work may be performed on any day of the week from Monday through Sunday. Example shifts: 6:00am - 2:00pm and 3:00pm - 11:00pm. Shift hours may vary. Please note that the Petitioner's Server Assistant position is the same position as the Busser/Runner position that was certified in 2025; the Petitioner just changed the position title. There were no substantive changes to the application since 2025. Please see Job Description for additional information. Job Classification: 53-7062.00 - Laborers and Freight, Stock, and Material Movers, Hand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The Petitioner will consider for employment any person who possesses at least three (3) months of experience at a high-end hotel, restaurant, resort, or private club. Applicant must complete pre-employment background check at employers expense. Number of Hours Per Week: 40 Work Schedule (Start/End time): 6:00 A.M. - 2:00 P.M.</t>
  </si>
  <si>
    <t>H-400-26184-077225</t>
  </si>
  <si>
    <t>Shipping &amp; Receiving Coordinator</t>
  </si>
  <si>
    <t>Shipping &amp; Receiving Coordinators will be responsible for performing storeroom operation tasks including but not limited to receiving, counting, inspecting, unpacking, storing, documenting and distributing merchandise, inspecting shipments to ensure correct order fulfillment, organizing storeroom locations, ensuring proper rotation of products using first in first out method, updating digital record systems, submitting invoices to purchasing manager, fulfilling requisitions, transporting and distributing all goods, materials, and supplies to the proper locations using dollies, handcarts/handtrucks, and golf carts, maintaining sanitization standards in all storerooms, walk-in coolers, freezers, and the loading dock, sweeping and mopping work areas, checking the proper operation of freezers, refrigerators, and walk-in coolers and notifying management of any repair equipment needed, and picking up and delivering items throughout the Club. Shipping &amp; Receiving Coordinators will need to exert up to 100 pounds of force occasionally, and/or 50 pounds of force frequently and/or up to 20 pounds of force constantly to lift, carry, push, pull or otherwise move objects. Schedule: 40 hours per week. Work schedule can vary and can include evening, weekend, and holiday hours. Work may be performed on any day of the week from Monday through Sunday. Example shifts: 6:00AM - 2:00PM and 7:00AM - 3:00PM. Shift hours may vary. Please see attached job description for additional information. Job Classification: 43-5071.00 - Shipping, Receiving, and Inventory Clerks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Applicant must complete pre-employment background check at employers expense. Applicant must possess a valid U.S. or international drivers license and have a clean driving record. Number of Hours Per Week: 40 Work Schedule (Start/End time): 6:00 A.M. - 2:00 P.M.</t>
  </si>
  <si>
    <t>H-400-26184-077185</t>
  </si>
  <si>
    <t>Houseperson</t>
  </si>
  <si>
    <t>***RFI response*** Housepersons will be responsible for operating a floor polishing machine in order to clean and polish hard floors throughout the property and operating a carpet cleaner in order to clean carpets throughout the property. They will maintain the machines by replacing polishing pads on the floor polishing machine, cleaning carpet cleaner after every use, and ensuring that all cords and hoses are in good condition and operating correctly. Housepersons will be responsible for assisting members and guests by helping them carry luggage during check-in and check-out. ***Original*** Housepersons will be responsible for cleaning and maintaining all rooms, suites, and indoor/outdoor areas at Jupiter Island Club’s property, which includes cleaning windows using a cloth and cleaning spray, cleaning bathrooms by wiping down sinks, cleaning toilets, sweeping &amp; mopping floors, and restocking paper supplies, transporting housekeeping linens and supplies, and furniture as needed, operating and maintaining floor care equipment and delivering and setting up items in guest rooms and cottages. Housepersons are also responsible for assisting with member and guest check-ins and check-outs, and unloading and transporting guests’ luggage by hand or golf cart. During especially busy weeks during the season, the Houseperson will assist members entering and departing parking lots by directing them where they can and cannot park and making sure that members enter the parking lots going the correct direction in order to keep the flow of traffic moving and to elevate the member's experience and ensure member's safety. Houseperson will wear a safety vest while directing traffic in and out of parking. Housepersons may need to regularly lift and/or move up to 50 lbs. and occasionally up to 100 lbs. with assistance. Schedule: 40 hours per week. Work schedule can vary and can include evening, weekend, and holiday hours. Work may be performed on any day of the week from Monday through Sunday. Example shifts: 7:00am - 3:00pm, and 3:00pm - 11:00pm. Shift hours may vary. See attached job description for additional information. Job Classification: 33-9091.00 - Crossing Guards and Flaggers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The Petitioner will consider for employment any person who possesses at least three (3) months of Housekeeping experience at a high-end hotel, resort, or private club. Applicant must complete pre-employment background check at employers expense. Applicant must possess a valid government-issued ID in order to operate golf cart on club grounds. Number of Hours Per Week: 40 Work Schedule (Start/End time): 7:00 A.M. - 3:00 P.M.</t>
  </si>
  <si>
    <t>H-400-26184-077203</t>
  </si>
  <si>
    <t>Kastl Amusements</t>
  </si>
  <si>
    <t>kastlamusements@yahoo.com</t>
  </si>
  <si>
    <t>+19517576607</t>
  </si>
  <si>
    <t>H-400-26184-077195</t>
  </si>
  <si>
    <t>Naples Beach Club Hotel Employer, LLC</t>
  </si>
  <si>
    <t>seasonaljobs.naplesbeachclub@fourseasons.com</t>
  </si>
  <si>
    <t>+12396821637</t>
  </si>
  <si>
    <t>Food and Beverage Operations Assistant</t>
  </si>
  <si>
    <t>Food and Beverage Operations Assistants will be responsible for supporting food and beverage service operations by assisting service staff in restaurants, event space, pool, and beach dining areas. This includes delivering food and beverages to tables, maintaining table readiness (clearing and resetting tables), refilling water, beverages, condiments, and supplies at service stations, greeting and seating guests when needed, taking and placing guest orders when needed, ensuring clean and organized service areas, and following all food safety, sanitation, and alcohol regulations, as well as Four Seasons standards of service and conduct. Schedule: 40 hours per week. Work schedule can vary and can include evening, weekend, and holiday hours. Work may be performed on any day of the week from Monday through Sunday. Example shifts: 6:00am to 2:00pm, 8:00am to 4:00pm, or 3:00pm to 11:00pm. Shift hours may vary. Please see job description for additional information. Job Classification: 35-3031.00 - Waiters and Waitresses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6 Special Requirements: The Petitioner will consider for employment any person who possesses at least six (6) months of hospitality or food and beverage experience at a high-end hotel, resort, or private club. Applicant must complete pre-employment background check at employers expense. Number of Hours Per Week: 40 Work Schedule (Start/End time): 6:00 A.M. - 2:00 P.M.</t>
  </si>
  <si>
    <t>H-400-26184-077198</t>
  </si>
  <si>
    <t>Dishwasher/steward</t>
  </si>
  <si>
    <t>Dishwashers/Stewards will be responsible for washing dishes and all cooking materials by machine or hand, maintaining kitchen work areas and equipment in clean condition, sweeping and scrubbing floors, preparing (without cooking) various foods to be cooked or served, and sorting and removing trash. Schedule: 40 hours per week. Work schedule can vary and can include evening, weekend, and holiday hours. Work may be performed on any day of the week from Monday through Sunday. Example shifts: 6:00am to 2:00pm, 8:00am to 4:00pm, or 3:00pm to 11:00pm. Shift hours may vary. Please see job description for additional information. Job Classification: 35-2021.00 - Food Preparation Workers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The Petitioner will consider for employment any person who possesses at least three (3) months of experience at a high-end restaurant, resort, or private club. Applicant must complete pre-employment background check at employers expense. Number of Hours Per Week: 40 Work Schedule (Start/End time): 6:00 A.M. - 2:00 P.M.</t>
  </si>
  <si>
    <t>H-400-26184-077204</t>
  </si>
  <si>
    <t>Line Cooks will be responsible for preparation and execution of breakfast, lunch, and dinner, including preparing, seasoning, and cooking dishes such as soups, meats, vegetables, or desserts in restaurants, rotating food to ensure freshness, assisting with ordering supplies, inspecting and cleaning food preparation areas or serving areas to ensure safe and sanitary food-handling practices, and ensuring prepared food quality meets company standards. Schedule: 40 hours per week. Work schedule can vary and can include evening, weekend, and holiday hours. Work may be performed on any day of the week from Monday through Sunday. Example shifts: 6:00am to 2:00pm, 8:00am to 4:00pm, or 3:00pm to 11:00pm. Shift hours may vary. Please see job description for additional information. Job Classification: 35-2014.00 - Cooks, Restaurant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12 Special Requirements: The Petitioner will consider for employment any person who possesses at least one (1) year of culinary experience at a high-end hotel, resort, or private club. Applicant must complete pre-employment background check at employers expense. Number of Hours Per Week: 40 Work Schedule (Start/End time): 6:00 A.M. - 2:00 P.M.</t>
  </si>
  <si>
    <t>H-400-26184-077207</t>
  </si>
  <si>
    <t>Housekeeping Attendants will be responsible for cleaning guest rooms which includes removing used linens and replacing them with clean ones, dusting and sanitizing surfaces, making the beds, vacuuming the carpets, removing garbage from bins, removing room service trays, dishes, and carts to the designated service landings, restocking used amenities such as toiletries, shampoo, lotions, cotton balls, stationery, coffee, tea, and sugar sachets, and picking up and delivering guest request items on a timely basis such as irons, ironing boards, cribs and roll-aways. Additionally, Housekeeping Attendants will be responsible for cleaning and sanitizing the restrooms in the guestrooms (showers/bathtubs/toilets) and public areas. Additional responsibilities include keeping all guest corridors neat by wiping mirrors, furniture, elevators, and doors so they are clean and mark-free, emptying ashtrays, sweeping, mopping, and vacuuming hallways, service elevator landings, stairwells, and linen storage rooms, as well as replacing paper products in public restrooms. Schedule: 40 hours per week. Work schedule can vary and can include evening, weekend, and holiday hours. Work may be performed on any day of the week from Monday through Sunday. Example shifts: 6:00am to 2:00pm, 8:00am to 4:00pm, or 3:00pm to 11:00pm. Shift hours may vary. Please see job description for additional information. Job Classification: 37-2012.00 - Maids and Housekeeping Cleaners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The Petitioner will consider for employment any person who possesses at least three (3) months of housekeeping experience at a high-end hotel, resort, or private club. Applicant must complete pre-employment background check at employers expense. Number of Hours Per Week: 40 Work Schedule (Start/End time): 6:00 A.M. - 2:00 P.M.</t>
  </si>
  <si>
    <t>H-400-26184-077189</t>
  </si>
  <si>
    <t>Prepping raw site for landscape installation, installing new landscaping, moving dirt, marking beds, mixing soil, use hand-tools/power tools or equipment such as shovel, rake, marking wheel, spreading grass seed, laying sod, sprinkler-installation, and installation of mortarless segmental concrete masonry wall units. Mowing, trimming, planting, watering &amp; fertilizing. May drive truck or other vehicle to transport work crew, plants, materials and tools to/from or at worksites. Minimum 35 hours per week up to possible 48 hours per week. Normal work days Monday through Saturday from 7:00am-4:00pm, one-hour unpaid lunch. Work days and shift time may vary with weather. $17.17 per hour. Employer may increase wage based on experience, changes in market conditions, and/or provide additional pay for performance and tenure. An overtime premium will be paid when required by Federal, State, or local law, including at time-and-a-half after 40 hours per workweek. Generally, when overtime is available it will be paid at $25.76 per hour based on locality the work is performed and the base rate of pay offered per hour. A single workweek will be used to compute wages due. Pay received weekly. Discretionary bonus is available. Daily transportation provided from main worksite in Ascension Parish to worksites in East Baton Rouge, West Baton Rouge, Ascension, Iberville, Livingston, Tangipahoa &amp; St. James Parishes, LA. Employer will provide worker at no charge all tools, supplies, and equipment required to perform job. Job Classification: 37-3011.00 - Landscaping and Groundskeeping Workers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Must be able to continuously bend, squat and lift 50lbs. Must be able to work a 6-day schedule, may include weekends and holidays. Applicants must complete an employment application. Number of Hours Per Week: 48 Work Schedule (Start/End time): 7:00 A.M. - 4:00 P.M.</t>
  </si>
  <si>
    <t>H-400-26184-077190</t>
  </si>
  <si>
    <t>Prepping raw site for landscape installation, installing new landscaping, moving dirt, marking beds, mixing soil, use hand-tools/power tools or equipment such as shovel, rake, marking wheel, spreading grass seed, laying sod, sprinkler-installation, and installation of mortarless segmental concrete masonry wall units. Mowing, trimming, planting, watering &amp; fertilizing. May drive truck or other vehicle to transport work crew, plants, materials and tools to/from or at worksites. Minimum 35 hours per week up to possible 48 hours per week. Normal work days Monday through Saturday from 7:00am-4:00pm, one-hour unpaid lunch. Work days and shift time may vary with weather. $18.93/hr. Employer may increase wage based on experience, changes in market conditions, and/or provide additional pay for performance and tenure. An overtime premium will be paid when required by Federal, State, or local law, including at time-and-a-half after 40 hours per workweek. Generally, when overtime is available it will be paid at $28.40/hr. based on locality the work is performed and the base rate of pay offered per hour. A single workweek will be used to compute wages due. Pay received weekly. Discretionary bonus is available. Daily transportation provided from main worksite in Williamson County to multiple worksites within Bastrop, Caldwell, Hays, Travis, Williamson, Bell, Burnet, Lee and Milam Counties, TX. Employer will provide worker at no charge all tools, supplies, and equipment required to perform job. Job Classification: 37-3011.00 - Landscaping and Groundskeeping Workers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Must be able to continuously bend, squat and lift 50lbs. Must be able to work a 6-day schedule, may include weekends and holidays. Applicants must complete an employment application. Number of Hours Per Week: 48 Work Schedule (Start/End time): 7:00 A.M. - 4:00 P.M.</t>
  </si>
  <si>
    <t>H-400-26184-077180</t>
  </si>
  <si>
    <t>Stilwell Enterprise Holdings, LLC</t>
  </si>
  <si>
    <t>sandy@captivaislandinn.com</t>
  </si>
  <si>
    <t>+12393955320</t>
  </si>
  <si>
    <t>Line Cooks will be responsible for preparing, seasoning, and cooking soups, meats, vegetables, desserts, and other food items in a restaurant. Line Cooks will also be responsible for ensuring that all food is prepared in a timely manner, following recipes and presentation specifications to ensure consistency and quality, setting up and stocking work stations with all necessary supplies, and cleaning and maintaining work areas, utensils, and equipment. Schedule: 40 hours per week. Work schedule can vary and can include evening, weekend, and holiday hours. Work may be performed on any day of the week from Monday through Sunday. Example shifts: 7:00 AM – 3:00 PM or 3:00 PM – 11:00 PM. Shift hours may vary. Please see attached job description for additional information. Job Classification: 35-2014.00 - Cooks, Restaurant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6 Special Requirements: The Petitioner will consider for employment any person who possesses at least six (6) months of culinary experience in a fast-paced environment. Applicant must complete pre-employment background check at employers expense. Number of Hours Per Week: 40 Work Schedule (Start/End time): 7:00 A.M. - 3:00 P.M.</t>
  </si>
  <si>
    <t>H-400-26184-077192</t>
  </si>
  <si>
    <t>Stonebridge Golf &amp; Country Club of Boca Raton, Inc.</t>
  </si>
  <si>
    <t>seasonaljobs@stonebridgefl.com</t>
  </si>
  <si>
    <t>+15614880800</t>
  </si>
  <si>
    <t>Servers will be responsible for greeting customers, setting up the dining areas including banquet and party rooms, taking and placing guest food and beverage orders, carrying trays and plates, serving food and beverages, and cleaning and clearing tables. Must keep all serving stations clean, sanitized, and stocked. Schedule: 40 hours per week. Work schedule can vary and can include evening, weekend, and holiday hours. Work may be performed on any day of the week from Monday through Sunday. Example shifts: 7:00 AM to 3:00 PM, 10:00 AM to 6:00 PM, or 1:00 PM to 9:00 PM. Shift hours may vary. Please see attached job description for additional information. Job Classification: 35-3031.00 - Waiters and Waitresses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12 Special Requirements: The Petitioner will consider for employment any person who possesses at least one (1) year of experience in a fine-dining or high-volume environment at a high-end restaurant, resort, or private club. Applicants who have not been previously employed by the Petitioner must complete pre-employment background check and drug screening at employers expense. Number of Hours Per Week: 40 Work Schedule (Start/End time): 7:00 A.M. - 3:00 P.M.</t>
  </si>
  <si>
    <t>H-400-26184-077194</t>
  </si>
  <si>
    <t>Cooks will be responsible for preparing, seasoning, and cooking soups, meats, vegetables, desserts, and other food items in a restaurant. Schedule: 40 hours per week. Work schedule can vary and can include evening, weekend, and holiday hours. Work may be performed on any day of the week from Monday through Sunday. Example shifts: 7:00 AM to 3:00 PM, 10:00 AM to 6:00 PM, or 1:00 PM to 9:00 PM. Shift hours may vary. Please see attached job description for additional information. Job Classification: 35-2014.00 - Cooks, Restaurant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12 Special Requirements: The Petitioner will consider for employment any person who possesses at least one (1) year of culinary experience in a fine-dining or high-volume environment at a high-end restaurant, resort, or private club. Applicants who have not been previously employed by the Petitioner must complete pre-employment background check and drug screening at employers expense. Number of Hours Per Week: 40 Work Schedule (Start/End time): 7:00 A.M. - 3:00 P.M.</t>
  </si>
  <si>
    <t>H-400-26184-077197</t>
  </si>
  <si>
    <t>Front Desk/concierge</t>
  </si>
  <si>
    <t>Front Desk/Concierges will be responsible for operating telephones in a polite and friendly manner, following proper telephone etiquette, greeting members and guests, assisting with reservations for member events and dining, communicating reservation lists and updates to Front of House, Food &amp; Beverage and Culinary Teams. The Front Desk/Concierge will also be responsible for ensuring that all common areas in the front desk/reception area are properly cleaned, inventoried, restocked, and ready for guest appointments or reservations. Schedule: 35 hours per week. Work schedule can vary and can include evening, weekend, and holiday hours. Work may be performed on any day of the week from Monday through Sunday. Examples of possible shift hours are 8:00am to 3:00pm, 9:00am to 4:00pm, 10:00am to 5:00pm, and 2:00pm to 9:00pm. Shift hours may vary. Please see attached job description for additional information. Job Classification: 43-4081.00 - Hotel, Motel, and Resort Desk Clerks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6 Special Requirements: The Petitioner will consider for employment any person who possesses at least six (6) months of front desk experience in a high-end hotel, resort, or private club. Applicant must complete pre-employment drug screening and background check at employers expense. Number of Hours Per Week: 35 Work Schedule (Start/End time): 8:00 A.M. - 3:00 P.M.</t>
  </si>
  <si>
    <t>H-400-26184-077201</t>
  </si>
  <si>
    <t>+12395727710</t>
  </si>
  <si>
    <t>Cooks will be responsible for preparing, seasoning, and cooking soups, meats, vegetables, desserts, and other food items in a restaurant as well as maintaining organization in the kitchens. Schedule: 35 hours per week. Work schedule can vary and can include evening, weekend, and holiday hours. Work may be performed on any day of the week from Monday through Sunday. Examples of possible shift hours are 7:00am to 2:00pm, 9:00am to 4:00pm, 10:00am to 5:00pm, and 3:00pm to 10:00pm. Shift hours may vary. Please see attached job description for additional information. Job Classification: 35-2014.00 - Cooks, Restaurant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12 Special Requirements: The Petitioner will consider for employment any person who possesses at least one (1) year of culinary experience in a fine-dining or high-volume environment at a high-end restaurant, resort, or private club. Applicant must complete pre-employment drug screening and background check at employers expense. Number of Hours Per Week: 35 Work Schedule (Start/End time): 7:00 A.M. - 2:00 P.M.</t>
  </si>
  <si>
    <t>H-400-26184-077205</t>
  </si>
  <si>
    <t>Busser/Food Runners will be responsible for setting tables, serving food to customers when waiters or waitresses need assistance, cleaning and clearing tables, serving water and coffee to customers, and polishing silverware and glassware. Busser/Food Runners shall maintain a thorough understanding of menu items to assist members. Schedule: 35 hours per week. Work schedule can vary and can include evening, weekend, and holiday hours. Work may be performed on any day of the week from Monday through Sunday. Examples of possible shift hours are 8:00am to 3:00pm, 9:00am to 4:00pm, 10:00am to 5:00pm, and 3:00pm to 10:00pm. Shift hours may vary. Please see attached job description for additional information. Job Classification: 35-9011.00 - Dining Room and Cafeteria Attendants and Bartender Helpers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The Petitioner will consider for employment any person who possesses at least three (3) months of experience in a fine-dining or high-volume environment at a high-end restaurant, resort, or private club. Applicant must complete pre-employment drug screening and background check at employers expense. Number of Hours Per Week: 35 Work Schedule (Start/End time): 8:00 A.M. - 3:00 P.M.</t>
  </si>
  <si>
    <t>H-400-26184-077208</t>
  </si>
  <si>
    <t>Bartenders will be responsible for mixing and serving drinks to members and guests while following all state age regulations for consumption of alcohol. Bartenders will also be responsible for cleaning glasses and bar equipment, taking and placing guest orders, serving food and beverages and ensuring that the bar and work areas are clean and well-stocked, and assisting the Bar Manager once a month with inventory, which includes counting inventory at their scheduled bar location. Schedule: 35 hours per week. Work schedule can vary and can include evening, weekend, and holiday hours. Work may be performed on any day of the week from Monday through Sunday. Examples of possible shift hours are 8:00am to 3:00pm, 9:00am to 4:00pm, 10:00am to 5:00pm, and 3:00pm to 10:00pm. Shift hours may vary. Please see attached job description for additional information. Job Classification: 35-3011.00 - Bartenders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The Petitioner will consider for employment any person who possesses at least three (3) months of experience in a fine-dining or high-volume environment at a high-end restaurant, resort, or private club. Applicant must complete pre-employment drug screening and background check at employers expense. Number of Hours Per Week: 35 Work Schedule (Start/End time): 8:00 A.M. - 3:00 P.M.</t>
  </si>
  <si>
    <t>H-400-26184-077188</t>
  </si>
  <si>
    <t>Pool/sports Deck Attendant</t>
  </si>
  <si>
    <t>Pool/Sports Deck Attendant will be responsible for performing a variety of attending duties at the pool and sports deck such as maintaining order of furniture and providing sports equipment (such as bocce balls, pickleballs, and pickleball paddles) to guests, directing guests, monitoring activities to ensure adherence to rules and safety procedures, maintaining cleanliness of pool/sports deck including sanitation of all tables, chairs and equipment, and stocking, restocking, and distributing towels. Schedule: 35 hours per week. Work schedule can vary and can include evening, weekend, and holiday hours. Work may be performed on any day of the week from Monday through Sunday. Examples of possible shift hours are 8:00am to 3:00pm, 9:00am to 4:00pm, and 10:00am to 5:00pm. Please see attached job description for additional information. Job Classification: 39-3091.00 - Amusement and Recreation Attendants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The Petitioner will consider for employment any person who possesses at least three (3) months of experience in a high-volume environment at a high-end resort, hotel, or private club. Applicant must complete pre-employment drug screening and background check at employers expense. Number of Hours Per Week: 35 Work Schedule (Start/End time): 8:00 A.M. - 3:00 P.M.</t>
  </si>
  <si>
    <t>H-400-26184-077202</t>
  </si>
  <si>
    <t>Total Environment Inc.</t>
  </si>
  <si>
    <t>info@totalinc.com</t>
  </si>
  <si>
    <t>+14052857275</t>
  </si>
  <si>
    <t>Landscape or maintain grounds of property using hand or power tools or equipment. Lay sod, mow, trim/edge, plant, weeding, watering, rake, blow leaves; use a hand shovel to dig holes for installing plants, trees, shrubs, or irrigation systems, these holes can be up to 24 inches depth and 36 inches in width. Spread seed, fertilizer and mulch; works on the ground to prune or trim trees, shrubs, or hedges using shears, pruners, or chain saws; core aerating; sprinkler installation/repair, installation of mortarless segmental concrete masonry wall units. Maintain equipment to ensure proper functioning. May drive truck or other vehicle to transport work crew, plants, materials and tools to/from or at work sites. Minimum 35 up to possible 48 hours per week. Normal work days Monday through Saturday from 8am-5pm, with 1-hour unpaid relief period. Work days and shift time may vary with weather and needs of the business. $17.06/hr. Employer may increase wage based on experience, change in market conditions and/or provide additional pay for performance and tenure. An overtime premium will be paid when required by Federal, State, or local law, including at time-and-a-half after 40 hours per workweek. Generally, when overtime is available it will be paid at $ 25.59 per hour based on locality the work is performed and the base rate of pay offered per hour. A single workweek will be used to compute wages due. Pay received bi-weekly. Daily transportation provided from main worksite in Oklahoma County, OK to multiple worksites within Oklahoma County OK. Employer will provide worker at no charge all tools, supplies, equipment, and uniform required to perform job. Job Classification: 37-3011.00 - Landscaping and Groundskeeping Workers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Post-injury/incident and reasonable suspicion drug test may be required, cost paid by employer and applied equally to all workers, U.S. and foreign/H-2B. Must be able to lift 55 lbs. Workers who drive company vehicles must have/obtain a valid drivers license. Must be able to work a 6-day schedule, may include weekends and holidays as required. Applicants must complete an employment application. Number of Hours Per Week: 48 Work Schedule (Start/End time): 8:00 A.M. - 5:00 P.M.</t>
  </si>
  <si>
    <t>H-400-26184-077229</t>
  </si>
  <si>
    <t>Vanderbilt Community Association, Inc.</t>
  </si>
  <si>
    <t>jobs@vccnaples.com</t>
  </si>
  <si>
    <t>+12393482662</t>
  </si>
  <si>
    <t>Servers will be responsible for greeting customers, setting up the dining areas, taking and placing orders, carrying trays and plates, serving food and beverages, and cleaning and clearing tables. Schedule: 35 hours per week. Work schedule can vary and can include evening, weekend, and holiday hours. Work may be performed on any day of the week from Monday through Sunday. Example shifts: 7:30am – 2:30pm, 12:00pm – 7:00pm or 3:30pm – 10:30pm. Shift hours may vary. See job description for additional information. Job Classification: 35-3031.00 - Waiters and Waitresses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The Petitioner will consider for employment any person who possesses at least three (3) months of experience in a fine-dining or high volume environment at a high-end restaurant, resort, or private club. Applicant must complete pre-employment drug screening and background check at employer's expense if the applicant has not previously worked for the employer within the last six (6) months. Number of Hours Per Week: 35 Work Schedule (Start/End time): 7:30 A.M. - 2:30 P.M.</t>
  </si>
  <si>
    <t>H-400-26184-077184</t>
  </si>
  <si>
    <t>Xanterra Parks &amp; Resorts, Inc.</t>
  </si>
  <si>
    <t>jobs-oasis@xanterra.com</t>
  </si>
  <si>
    <t>+13036003521</t>
  </si>
  <si>
    <t>Cooks I will be responsible for preparing, seasoning, and cooking soups, meats, vegetables, desserts, and other food items in a restaurant, inspecting the presentation and quality of menu items, and maintaining kitchen work areas and equipment in clean condition. May have to lift and carry up to thirty-five (35) pounds. Schedule: 40 hours per week. Work schedule can vary and can include evening, weekend, and holiday hours. Work may be performed on any day of the week from Monday through Sunday. Example shifts: 4:00am – 12:00pm, 11:00am – 7:00pm, or 2:00pm – 10:00pm. Shift hours may vary. Please see job description for additional details. Job Classification: 35-2014.00 - Cooks, Restaurant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12 Special Requirements: The Petitioner will consider for employment any person who possesses at least one (1) year of culinary experience in a fine-dining or high-volume environment at a restaurant, resort, or private club. Applicant must complete pre-employment background check and drug screening at employers expense. Number of Hours Per Week: 40 Work Schedule (Start/End time): 4:00 A.M. - 12:00 P.M.</t>
  </si>
  <si>
    <t>H-400-26184-077247</t>
  </si>
  <si>
    <t>Atlantic Fields Management, LLC</t>
  </si>
  <si>
    <t>hr@atlanticfieldsclub.com</t>
  </si>
  <si>
    <t>+17722182953</t>
  </si>
  <si>
    <t>Housekeepers will be responsible for cleanliness for all public/common areas at Atlantic Fields’s property, including entry ways, restrooms, common rooms, dining rooms, patios, offices, cafeteria, locker rooms, fitness area, and kitchens, by collecting and delivering all dirty linen and towels/rags to the laundry station and placing them in the washer and dryer, folding clean towels and robes and returning them to the locker rooms, cleaning all patios, pool decking, and loading dock (by hosing, wiping furniture and surfaces, and collecting trash) prior to member activities, emptying and relining all waste containers, checking and replenishing all soap dispensers and paper products, taking down and storing chairs and tables from previous evening events, preparing all areas for new events, cleaning windows and glass doors using a cloth and cleaning spray, cleaning and shining all doors, banisters and railings, cleaning all mirrors in the fitness area and restrooms, collecting trash, vacuuming, dusting, removing any dirty dishes from the cafeteria, restocking all employee kitchens/cafeterias with cups, napkins, plates and utensils, picking up clean linen and rags from laundry station and delivering them to the kitchens and dining rooms, cleaning ceilings, vents, light fixtures, walls, room high and low corners, sky lights, door sills, door tops, tops of decorative and operational furniture. Housekeepers need to lift and/or move up to 50 pounds and stand for extended periods of time. Schedule: 40 hours per week. Work schedule can vary and can include evening, weekend, and holiday hours. Work may be performed on any day of the week from Monday through Sunday. Example shifts: 6:00AM-2:00PM or 1:00PM-9:00PM. Shift hours may vary. Please see job description for additional information. Job Classification: 37-2011.00 - Janitors and Cleaners, Except Maids and Housekeeping Cleaners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12 Special Requirements: The Petitioner will consider for employment any person who possesses at least one (1) year of housekeeping experience at a high-end hotel, resort, or private club. Applicant must complete pre-employment background check at employers expense. Number of Hours Per Week: 40 Work Schedule (Start/End time): 6:00 A.M. - 2:00 P.M.</t>
  </si>
  <si>
    <t>H-400-26184-077250</t>
  </si>
  <si>
    <t>Line Cooks will be responsible for preparing, seasoning, cooking, and plating soups, meats, vegetables, desserts, and other food items in a restaurant according to Club standards. Line Cooks will also be responsible for maintaining and cleaning kitchen equipment, maintaining cleanliness and organization of kitchen and storage areas, and reporting any hazards, unsafe working conditions, or equipment which requires repair/maintenance. Schedule: 40 hours per week. Work schedule can vary and can include evening, weekend, and holiday hours. Work may be performed on any day of the week from Monday through Sunday. Example shifts: 6:00AM-2:00PM or 11:00AM-7:00PM. Shift hours may vary. Please see job description for additional information. Job Classification: 35-2014.00 - Cooks, Restaurant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12 Special Requirements: The Petitioner will consider for employment any person who possesses at least one (1) year of culinary experience in a fine-dining or high-volume environment at a high-end restaurant, resort, or private club. Applicant must complete pre-employment background check at employers expense. Number of Hours Per Week: 40 Work Schedule (Start/End time): 6:00 A.M. - 2:00 P.M.</t>
  </si>
  <si>
    <t>H-400-26184-077235</t>
  </si>
  <si>
    <t>Servers will be responsible for greeting members and guests, setting up tables in the dining area with tableware such as plates, glasses, and silverware, taking and placing orders in the point of sale system, carrying trays and plates, serving food and beverages, cleaning and clearing tables, checking with customers to ensure that they are enjoying their meals and taking action to correct any problems, maintaining cleanliness and organization of work areas and equipment, stocking service areas with supplies, conducting inventory of restaurant items, and reporting any maintenance and/or safety issues. Schedule: 40 hours per week. Work schedule can vary and can include evening, weekend, and holiday hours. Work may be performed on any day of the week from Monday through Sunday. Example shifts: 6:30AM-2:30PM or 11:00AM-7:00PM. Shift hours may vary. Please see job description for additional information. Job Classification: 35-3031.00 - Waiters and Waitresses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12 Special Requirements: The Petitioner will consider for employment any person who possesses at least one (1) year of experience in a fine-dining or high-volume environment at a high-end restaurant, resort, or private club. Applicant must complete pre-employment background check at employers expense. Number of Hours Per Week: 40 Work Schedule (Start/End time): 6:30 A.M. - 2:30 P.M.</t>
  </si>
  <si>
    <t>H-400-26184-077263</t>
  </si>
  <si>
    <t>Boca Bay Pass Club Corp.</t>
  </si>
  <si>
    <t>info@bocabaypassclub.com</t>
  </si>
  <si>
    <t>+19419640769</t>
  </si>
  <si>
    <t>Dishwashers will be responsible for washing dishes and all cooking materials by machine or hand, maintaining kitchen work areas and equipment in clean condition, sweeping and scrubbing floors, preparing (without cooking) various foods to be cooked or served, and sorting and removing trash. Schedule: 35 hours per week. Work schedule can vary and can include evening, weekend, and holiday hours. Work may be performed on any day of the week from Monday through Sunday. Example shifts: 9:00 am - 4:00 pm or 4:00 pm – 11:00 pm. Work hours may vary. Shift hours may vary. Please see attached job description for additional information. Job Classification: 35-2021.00 - Food Preparation Workers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The Petitioner will consider for employment any person who possesses at least three (3) months of experience at a high-end restaurant, resort, or private club. Number of Hours Per Week: 35 Work Schedule (Start/End time): 9:00 A.M. - 4:00 P.M.</t>
  </si>
  <si>
    <t>H-400-26184-077277</t>
  </si>
  <si>
    <t>Cooks will be responsible for preparing, seasoning, and cooking soups, meats, vegetables, desserts, and other food items in a restaurant. Schedule: 35 hours per week. Work schedule can vary and can include evening, weekend, and holiday hours. Work may be performed on any day of the week from Monday through Sunday. Example shifts: 9:00am - 4:00pm, 3:00pm - 10:00pm, 12:00pm - 7:00pm. Shift hours may vary. Please see attached job description for additional information. Job Classification: 35-2014.00 - Cooks, Restaurant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12 Special Requirements: The Petitioner will consider for employment any person who possesses at least one (1) year of culinary experience in an a la carte dining, fine-dining or high-volume environment at a high-end restaurant, resort, or private club. Number of Hours Per Week: 35 Work Schedule (Start/End time): 9:00 A.M. - 4:00 P.M.</t>
  </si>
  <si>
    <t>H-400-26184-077280</t>
  </si>
  <si>
    <t>Servers will be responsible for greeting customers, setting up the dining areas, taking and placing orders, carrying trays and plates, serving food and beverages, and cleaning and clearing tables. Schedule: 35 hours per week. Work schedule can vary and can include evening, weekend, and holiday hours. Work may be performed on any day of the week from Monday through Sunday. Example shifts: 11:00am - 6:00pm and 3:00pm -10:00pm. Shift hours may vary. Please see attached job description for additional information. Job Classification: 35-3031.00 - Waiters and Waitresses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6 Special Requirements: The Petitioner will consider for employment any person who possesses at least six (6) months of service experience in an a la carte dining, fine-dining or high-volume environment at a high-end restaurant, resort, or private club. Number of Hours Per Week: 35 Work Schedule (Start/End time): 11:00 A.M. - 6:00 P.M.</t>
  </si>
  <si>
    <t>H-400-26184-077239</t>
  </si>
  <si>
    <t>Bonita Bay Club, Inc</t>
  </si>
  <si>
    <t>seasonaljobs@bonitabayclub.net</t>
  </si>
  <si>
    <t>+12394950200</t>
  </si>
  <si>
    <t>Cooks will be responsible for preparing, seasoning, and cooking soups, meats, vegetables, desserts, and other food items in a restaurant. Schedule: 35 hours per week. Work schedule can vary and can include evening, weekend, and holiday hours. Work may be performed on any day of the week from Monday through Sunday. Example shifts: 8:00am – 3:00pm, 2:00pm – 9:00pm, or 10:00am – 5:00pm. Shift hours may vary. Please see job description for more information. Job Classification: 35-2014.00 - Cooks, Restaurant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12 Special Requirements: The Petitioner will consider for employment any person who possesses at least one (1) year of culinary experience in a fine-dining, or high-volume environment at a restaurant, resort, private club or cruise ship. Number of Hours Per Week: 35 Work Schedule (Start/End time): 8:00 A.M. - 3:00 P.M.</t>
  </si>
  <si>
    <t>H-400-26184-077241</t>
  </si>
  <si>
    <t>Seasonaljobs@bonitabayclub.net</t>
  </si>
  <si>
    <t>Kitchen Steward</t>
  </si>
  <si>
    <t>***RFI response*** Setting up and breaking down party supplies consists of moving and arranging portable banquet tables, chairs, chafing dishes, serving utensils, and cutting boards according to event plan and moving these items back to their original location or storage after the event. There are no tools or equipment that will be used while performing these tasks other than the items already mentioned. ***Original*** Kitchen Stewards will be responsible for cleaning (by machine or hand), organizing and storage of all silver, glass, pots and equipment, maintaining kitchen work areas and equipment in clean condition, sweeping and scrubbing floors, and sorting and removing trash. Responsible for the set up and break down of all party supplies, including props, portable party displays for displaying food, various platters, plates and utensils, chafing dishes, ice platters, cutting boards and heat lamps. Kitchen Stewards will need to lift and carry up to 50 pounds. Schedule: 35 hours per week. Work schedule can vary and can include evening, weekend, and holiday hours. Work may be performed on any day of the week from Monday through Sunday. Example shifts: 7:00am – 2:00pm, 1:00pm – 8:00pm, or 4:00pm – 11:00pm. Shift hours may vary. Please see attached job description for more information. Job Classification: 53-7062.00 - Laborers and Freight, Stock, and Material Movers, Hand The job/industry classification and description includes general information on the position from ONET/OES and the North American Industry Classification System. Please review Job Duties and Job Order for more information. Job Requirements Experience Required: No Number of Hours Per Week: 36 Work Schedule (Start/End time): 7:00 A.M. - 2:00 P.M.</t>
  </si>
  <si>
    <t>H-400-26184-077244</t>
  </si>
  <si>
    <t>Server Assistants will be responsible for cleaning and clearing tables and serving water and coffee to customers. Server Assistants will also be responsible for bringing food to tables, bringing bread and pouring ice water, and refilling beverages when needed. Server Assistants will need to be able to lift and carry up to 40 pounds. Schedule: 35 hours per week. Work schedule can vary and can include evening, weekend, and holiday hours. Work may be performed on any day of the week from Monday through Sunday. Example shifts: 10:00am – 5:00pm, 9:30am – 4:30pm, or 3:00pm – 10:00pm. Shift hours may vary. See job description for additional information. Job Classification: 35-9011.00 - Dining Room and Cafeteria Attendants and Bartender Helpers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The Petitioner will consider for employment any person who possesses at least three (3) months of experience in a fine-dining or high-volume environment at a restaurant, resort, private club, or cruise ship. Number of Hours Per Week: 35 Work Schedule (Start/End time): 10:00 A.M. - 5:00 P.M.</t>
  </si>
  <si>
    <t>H-400-26184-077270</t>
  </si>
  <si>
    <t>Cypress Woods Golf &amp; Country Club Master Prop. Owners Assoc., Inc.</t>
  </si>
  <si>
    <t>financedirector@cypresswoodsgolf.com</t>
  </si>
  <si>
    <t>+12395933392</t>
  </si>
  <si>
    <t>Cooks will be responsible for preparing, seasoning, and cooking soups, meats, vegetables, desserts, and other food items in a restaurant. Other duties will include cleaning work and food preparation areas, equipment setup and breakdown, and food storage and organization. Schedule: 35 hours per week. Work schedule can vary and can include evening, weekend, and holiday hours. Work may be performed on any day of the week from Monday through Sunday. Example shifts: 10:00am to 5:00pm or 2:00pm to 9:00pm. Shift hours may vary. See attached job description for additional information. Job Classification: 35-2014.00 - Cooks, Restaurant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6 Special Requirements: The Petitioner will consider for employment any person who possesses at least six (6) months of culinary experience in a fine-dining or high-volume environment at a high-end restaurant, resort, or private club. Number of Hours Per Week: 35 Work Schedule (Start/End time): 10:00 A.M. - 5:00 P.M.</t>
  </si>
  <si>
    <t>H-400-26184-077262</t>
  </si>
  <si>
    <t>Desert Mountain Club, Inc.</t>
  </si>
  <si>
    <t>DMseasonalemployment@desertmt.com</t>
  </si>
  <si>
    <t>+14805954002</t>
  </si>
  <si>
    <t>Busser/Food Runners will be responsible for setting tables with tableware such as plates, glasses, and silverware, carrying trays and plates, cleaning and clearing tables, serving water and coffee to customers, and polishing silverware and glassware. May need to lift and carry up to 50 lbs. Schedule: 35 hours per week. Work schedule can vary and can include evening, weekend, and holiday hours. Work may be performed on any day of the week from Monday through Sunday. Example shifts: 8:00am to 3:00pm, 10:00am to 5:00pm, and 3:00pm to 10:00pm. Shift hours may vary. Please see job description for additional information. Job Classification: 35-9011.00 - Dining Room and Cafeteria Attendants and Bartender Helpers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The Petitioner will consider for employment any person who possesses at least three (3) months of experience in a fine-dining or high-volume environment at a high-end or high-volume restaurant, resort, or private club. Applicant must complete pre-employment background check at employers expense if not returning from the previous season. Number of Hours Per Week: 35 Work Schedule (Start/End time): 8:00 A.M. - 3:00 P.M.</t>
  </si>
  <si>
    <t>H-400-26184-077255</t>
  </si>
  <si>
    <t>Cooks will be responsible for preparing, seasoning, and cooking soups, meats, vegetables, desserts, and other food items in a restaurant. Schedule: 35 hours per week. Work schedule can vary and can include evening, weekend, and holiday hours. Work may be performed on any day of the week from Monday through Sunday. Example shifts: 8:00am to 3:00pm or 3:00pm to 10:00pm. Shift hours may vary. Please see job description for additional information. Job Classification: 35-2014.00 - Cooks, Restaurant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6 Special Requirements: The Petitioner will consider for employment any person who possesses at least six (6) months of culinary experience in a fine-dining or high-volume environment at a high-end or high-volume restaurant, resort, or private club. Applicant must complete pre-employment background check at employers expense if not returning from the previous season. Number of Hours Per Week: 35 Work Schedule (Start/End time): 8:00 A.M. - 3:00 P.M.</t>
  </si>
  <si>
    <t>H-400-26184-077278</t>
  </si>
  <si>
    <t>Forest Glen Golf &amp; Country Club Master Association, Inc.</t>
  </si>
  <si>
    <t>Controller@forestglengcc.com</t>
  </si>
  <si>
    <t>+12393481332</t>
  </si>
  <si>
    <t>Cooks will be responsible for preparing, seasoning, and cooking soups, meats, vegetables, desserts, and other food items in a restaurant. Schedule: 40 hours per week. Work schedule can vary and can include evening, weekend, and holiday hours. Work may be performed on any day of the week from Monday through Sunday. Example shifts: 8:30am to 4:30pm; 9:00am to 5:00pm or 2:00pm to 10:00pm. Shift hours may vary. Please see attached job description for additional information. Job Classification: 35-2014.00 - Cooks, Restaurant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The Petitioner will consider for employment any person who possesses at least three (3) months of culinary experience in a fine-dining or high-volume environment at a high-end restaurant, resort, hotel, or private club. Applicant must complete pre-employment drug screening at employer's expense. Number of Hours Per Week: 40 Work Schedule (Start/End time): 8:30 A.M. - 4:30 P.M.</t>
  </si>
  <si>
    <t>H-400-26184-077282</t>
  </si>
  <si>
    <t>***RFI response*** Event set-up consists of arranging and positioning banquet tables and chairs; placing table linens, skirting, and napkins; setting tables with glassware, flatware, china, and centerpieces; setting up buffet stations, beverage stations, and service areas; positioning portable bars, staging equipment, and service carts; and ensuring event spaces are clean and ready for guest arrival. Event breakdown consists of clearing tables of linens, glassware, china, and service items; removing and transporting tables, chairs, portable bars, and buffet equipment; cleaning event spaces; and returning equipment and supplies to designated storage areas. Storage duties consist of transporting equipment and supplies to designated storage locations, stacking chairs, folding and storing tables, organizing banquet equipment, storing linens, and ensuring all equipment is properly cleaned, secured, and available for future events. The tools/equipment used to perform these tasks are banquet tables, folding tables, chairs, table linens, skirting, napkins, china, glassware, flatware, serving trays, beverage dispensers, coffee urns, chafing dishes, portable buffet equipment, rolling carts, hand trucks/dollies, portable bars, cleaning cloths, brooms, mops, and cleaning solutions. Providing service consists of greeting members and guests and escorting them to tables, presenting menus and explaining daily specials, menu items, and beverage offerings, taking food and beverage orders using the club's point-of-sale (POS) system, delivering beverages, appetizers, entrées, and desserts to tables, refilling beverages and responding to member requests, clearing and resetting tables between seatings, processing member charges and obtaining signatures, maintaining cleanliness and organization of dining areas, service stations, and side stations and assisting with opening and closing side work, including stocking supplies, polishing glassware, rolling silverware, and replenishing service items. These tasks will be performed in the club’s Dining Room or the restaurant, the Eagles Nest. Poolside service consists of walking throughout the pool deck area to check on members and take food and beverage orders, entering orders into handheld devices or the point-of-sale (POS) system, delivering food, beverages, condiments, napkins, and utensils to poolside seating areas, monitoring guests for additional service needs and processing additional orders, clearing used dishes, glassware, cups, and trash from poolside tables and seating areas, maintaining cleanliness and organization of service stations and poolside dining areas, transporting food and beverages using serving trays, and restocking supplies such as napkins, straws, condiments, menus, and service ware throughout the shift. ***Original*** Servers will be responsible for greeting customers, providing menus, setting-up the dining areas and service stations, taking and placing guest orders, carrying trays and plates, serving food, entering orders into point-of-sale system, mixing and serving alcoholic and non-alcoholic drinks, polishing silverware and glassware, cleaning and clearing tables, assisting with banquet and event set-up, which includes setting up tables, stations, and linens, assisting with breakdown and resetting of event spaces, including proper cleaning and storage of equipment, providing service at events, including serving cocktails, hors d’oeuvres, and meals, maintaining beverage service during events, including refilling water, wine, and coffee, and providing service in all club outlets, including poolside service as needed. Schedule: 40 hours per week. Work schedule can vary and can include evening, weekend, and holiday hours. Work may be performed on any day of the week from Monday through Sunday. Example shifts: 8:30am to 4:30pm; 9:00am to 5:00pm or 2:00pm to 10:00pm. Shift hours may vary. See attached job description for additional information. Job Classification: 35-3011.00 - Bartenders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The Petitioner will consider for employment any person who possesses at least three (3) months of experience in a fine-dining or high-volume environment at a high-end restaurant, resort, hotel, or private club. Applicant must complete pre-employment drug screening at employer's expense. Number of Hours Per Week: 40 Work Schedule (Start/End time): 8:30 A.M. - 4:30 P.M.</t>
  </si>
  <si>
    <t>H-400-26184-077243</t>
  </si>
  <si>
    <t>Junior Sous Chef</t>
  </si>
  <si>
    <t>Junior Sous Chefs will be responsible for preparing, seasoning, and cooking soups, meats, vegetables, desserts, and other food items in a restaurant. Will also be responsible for ensuring food quality and the cleanliness and organization of the kitchen work area, staying aware of food costs and implementing waste management practices during food preparation, and maintaining safety, sanitation, and security of workstations. Will take full charge of the kitchen in the Executive Chef or Executive Sous Chef’s absence. Will assist with interviewing, hiring, and training employees, planning, assigning, and directing work, appraising performance, rewarding and disciplining employees, addressing complaints and resolving problems. Able to lift 25lbs or more and work under variable temperatures. May supervise up to ten (10) Cooks I, II, III, and Stewards. Schedule: 40 hours per week. Work schedule can vary and can include evening, weekend, and holiday hours. Work may be performed on any day of the week from Monday through Sunday. Example shifts: 7:00am to 3:00pm or 3:00pm to 11:00pm. Shift hours may vary. See attached job description for additional information. Job Classification: 35-1012.00 - First-Line Supervisors of Food Preparation and Serving Workers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6 Special Requirements: The Petitioner will consider for employment any person who possesses at least six (6) months of culinary experience in a fine-dining or high-volume environment at a high-end restaurant, resort, hotel, or private club. Applicant must complete pre-employment background check and drug screening at employers expense. Number of Hours Per Week: 40 Work Schedule (Start/End time): 7:00 A.M. - 3:00 P.M.</t>
  </si>
  <si>
    <t>H-400-26184-077257</t>
  </si>
  <si>
    <t>Wait Staff</t>
  </si>
  <si>
    <t>Wait Staff will be responsible for setting up the dining room, taking and placing customers’ orders, carrying trays, serving food and beverages, and cleaning and clearing tables. Schedule: 40 hours per week. Work schedule can vary and can include evening, weekend, and holiday hours. Work may be performed on any day of the week from Monday through Sunday. Example shifts: 7:00am to 3:00pm or 3:00pm to 11:00pm. Shift hours may vary. See attached job description for additional information. Job Classification: 35-3031.00 - Waiters and Waitresses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6 Special Requirements: The Petitioner will consider for employment any person who possesses at least six (6) months of service experience in a fine-dining or high-volume environment at a high-end restaurant, resort, hotel, or private club. Applicant must complete pre-employment background check and drug screening at employers expense. Number of Hours Per Week: 40 Work Schedule (Start/End time): 7:00 A.M. - 3:00 P.M.</t>
  </si>
  <si>
    <t>H-400-26184-077267</t>
  </si>
  <si>
    <t>Golf Attendant</t>
  </si>
  <si>
    <t>Golf Attendants will be responsible for providing assistance to members, including greeting members and assisting with check-in, providing bag, cart, and range service to members and guests, and assisting the Pro Shop with retail and member requests. Additionally, Golf Attendants assist members as fore caddies by supporting pace of play and enhancing the overall on-course experience which includes proactively tracking golf balls, providing basic yardage and course guidance, assisting with maintaining proper flow of play, and supporting general course upkeep such as raking bunkers and repairing divots. Additionally, will help ensure a high level of service by anticipating member needs, communicating effectively with players and golf operations staff, and contributing to a smooth, enjoyable, and professional golf experience. Schedule: 40 hours per week. Work schedule can vary and can include evening, weekend, and holiday hours. Work may be performed on any day of the week from Monday through Sunday. Example shifts: 7:00am to 3:00pm or 10:00am to 6:00pm. Shift hours may vary. See attached job description for additional information. Job Classification: 39-3091.00 - Amusement and Recreation Attendants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The Petitioner will consider for employment any person who possesses at least three (3) months of experience in a golf environment at a high-end resort or private club. Applicant must complete pre-employment background check and drug screening at employers expense. Number of Hours Per Week: 40 Work Schedule (Start/End time): 7:00 A.M. - 3:00 P.M.</t>
  </si>
  <si>
    <t>H-400-26184-077271</t>
  </si>
  <si>
    <t>Golf Attendant &amp; Shop Supervisor</t>
  </si>
  <si>
    <t>Golf Attendant &amp; Shop Supervisor will be responsible for providing assistance to members, including greeting members and assisting with check-in, providing bag, cart, and range service to members and guests, and assisting the Pro Shop with retail and member requests. May supervise up to ten (10) Golf Attendants. Schedule: 40 hours per week. Work schedule can vary and can include evening, weekend, and holiday hours. Work may be performed on any day of the week from Monday through Sunday. Example shifts: 7:00am to 3:00pm or 9:00am to 5:00pm. Shift hours may vary. See attached job description for additional information. Job Classification: 39-1014.00 - First-Line Supervisors of Entertainment and Recreation Workers, Except Gambling Services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6 Special Requirements: The Petitioner will consider for employment any person who possesses at least six (6) months of experience in a golf environment at a high-end resort or private club. Applicant must complete pre-employment background check and drug screening at employers expense. Number of Hours Per Week: 40 Work Schedule (Start/End time): 7:00 A.M. - 3:00 P.M.</t>
  </si>
  <si>
    <t>H-400-26186-079167</t>
  </si>
  <si>
    <t>Mac's Land Services, LLC</t>
  </si>
  <si>
    <t>jeff@landcorps.net</t>
  </si>
  <si>
    <t>+16157130637</t>
  </si>
  <si>
    <t>Landscape or maintain grounds of property using hand or power tools or equipment. Mow, trim/edge, plant, lay sod, weeding, watering, raking, blow leaves; use a hand shovel to dig holes (up to 24 inches depth and 36 inches in width) for installing plants, trees, shrubs, or irrigation systems; spread seed, fertilizer and mulch; works on the ground to prune or trim trees, shrubs, or hedges using shears, pruners, or chain saws; core aerating; sprinkler installation/repair, installation of mortarless segmental concrete masonry wall units. Maintain equipment to ensure proper functioning. May drive a company truck or other vehicle to transport, plants, materials and tools to/from or at worksites. A driver’s license is not required; however, workers who possess a valid driver’s license may be assigned to drive a company pickup truck or other non-commercial vehicle. No commercial driver’s license (CDL) is required and workers will not be required to operate a commercial motor vehicle (CMV). The employer will offer 40 hours of work per week. Normal schedule Monday-Saturday, 8am-5pm. Shift includes 1-hour unpaid break time. Work on Saturday may be required. Workdays, hours and shift time may vary depending on weather conditions. Employer may increase wage based on experience, changes in market conditions, and/or provide additional pay for performance and tenure. Overtime may be available. An overtime premium will be paid when required by Federal, State, or local law, including at time-and-a-half after 40 hours in a workweek. Generally, when overtime is available it will be paid at $29.21 per hour. The employer will provide daily transportation from employee housing the main worksite in Smyrna, TN and among all worksite locations. Job Classification: 37-3011.00 - Landscaping and Groundskeeping Workers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Must be able to lift 50 lbs. Must be able to work in adverse weather conditions. Post-employment drug test required, cost paid by employer and applied equally to all workers, U.S. and foreign/H-2B. Workers are subject to post-injury/incident drug testing, cost paid by employer and applied equally to all workers, U.S. and foreign/H-2B. Applicant must complete an employment application. Required uniform provided at no cost to employer. Number of Hours Per Week: 40 Work Schedule (Start/End time): 8:00 A.M. - 5:00 P.M.</t>
  </si>
  <si>
    <t>H-400-26184-077236</t>
  </si>
  <si>
    <t>Highgate Hotels LP</t>
  </si>
  <si>
    <t>seasonaljobs@southernmostresorts.com</t>
  </si>
  <si>
    <t>+13053933976</t>
  </si>
  <si>
    <t>Guest Services Agent</t>
  </si>
  <si>
    <t>Guest Services Agents will be responsible for greeting, registering, and assigning rooms to guests, answering the phones and directing calls appropriately, processing arrivals and checkouts, ensuring logging and delivery of packages, mail, and messages to guests and meeting rooms, logging guest requests, communicating across departments with radio to relay guest requests and coordinate about room cleanings and maintenance issues, handling cash and credit transactions, keeping and verifying records of occupied rooms and guests' accounts, communicating rates, packages, special promotions, and guest programs, and advising housekeeping staff when rooms have been vacated and are ready for cleaning. In addition, Guest Services Agents will be responsible for answering guests’ inquiries pertaining to hotel services, facilities, and hours of operation as well as providing information on restaurants, transportation, entertainment, and other local amenities including through text-messaging system. May have to lift and carry up to twenty (20) pounds. Schedule: 40 hours per week. Work schedule can vary and can include evening, weekend, and holiday hours. Work may be performed on any day of the week from Monday through Sunday. Example shifts: 7:00am – 3:00pm, 9:00am – 5:00pm, 11:00am – 7:00pm, or 3:00pm – 11:00pm. Shift hours may vary. Please see job description for additional information. Job Classification: 39-6012.00 - Concierges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The Petitioner will consider for employment any applicant who possesses at least three (3) months of guest-service experience at a high-end hotel, resort, or private club. Number of Hours Per Week: 40 Work Schedule (Start/End time): 7:00 A.M. - 3:00 P.M.</t>
  </si>
  <si>
    <t>H-400-26184-077249</t>
  </si>
  <si>
    <t>Cooks will be responsible for preparing, seasoning, and cooking soups, meats, vegetables, desserts, and other food items in a restaurant. Schedule: 40 hours per week. Work schedule can vary and can include evening, weekend, and holiday hours. Work may be performed on any day of the week from Monday through Sunday. Example shifts: 6:00am – 2:00pm, 7:00am – 3:00pm, or 2:00pm – 10:00pm. Shift hours may vary. Please see job description for additional information. Job Classification: 35-2014.00 - Cooks, Restaurant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6 Special Requirements: The Petitioner will consider for employment any applicant who possesses at least six (6) months of culinary experience in a fine-dining or high-volume environment at a high-end restaurant, resort, or private club. Number of Hours Per Week: 40 Work Schedule (Start/End time): 6:00 A.M. - 2:00 P.M.</t>
  </si>
  <si>
    <t>H-400-26184-077258</t>
  </si>
  <si>
    <t>Room Attendants will be responsible for cleaning and maintaining all rooms, suites, and indoor common areas at Highgate Hotels’ properties, which includes vacuuming floors, dusting, replenishing linens and towels, disinfecting bathrooms, and cleaning interior windows using a cloth and cleaning spray. Schedule: 40 hours per week. Work schedule can vary and can include evening, weekend, and holiday hours. Work may be performed on any day of the week from Monday through Sunday. Example shifts: 6:00am – 2:00pm, 7:00am – 3:00pm, or 2:00pm – 10:00pm. Shift hours may vary. Please see job description for additional information. Job Classification: 37-2012.00 - Maids and Housekeeping Cleaners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The Petitioner will consider for employment any applicant who possesses at least three (3) months of experience at a high-end hotel, resort, or private club. Number of Hours Per Week: 40 Work Schedule (Start/End time): 6:00 A.M. - 2:00 P.M.</t>
  </si>
  <si>
    <t>H-400-26184-077259</t>
  </si>
  <si>
    <t>Hilton Hotel Employer LLC</t>
  </si>
  <si>
    <t>Claudia.Vandenabeele@Hilton.com</t>
  </si>
  <si>
    <t>+18779350862</t>
  </si>
  <si>
    <t>Front Desk Agents will be responsible for checking in and checking out resort guests, operating telephones in a polite and friendly manner following proper telephone etiquette, greeting members and guests, taking reservations, assisting in carrying luggage to and from rooms, distributing resort information and schedules, assisting with all guest requests, and collecting and sorting the mail on a daily basis. Schedule: 35 hours per week. Work schedule can vary and can include evening, weekend, and holiday hours. Work may be performed on any day of the week from Monday through Sunday. Example shifts: 8:00am to 3:00pm, 3:00pm to 10:00pm, or 12:00pm to 7:00am. Shift hours may vary. See attached job description for additional information. Job Classification: 43-4081.00 - Hotel, Motel, and Resort Desk Clerks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12 Special Requirements: The Petitioner will consider for employment any person who possesses at least twelve (12) months of experience at a high-end hotel, resort, or private club. Applicant must complete pre-employment background check at employers expense. Number of Hours Per Week: 35 Work Schedule (Start/End time): 8:00 A.M. - 3:00 P.M.</t>
  </si>
  <si>
    <t>H-400-26184-077264</t>
  </si>
  <si>
    <t>Courtney.roltsch@hilton.com</t>
  </si>
  <si>
    <t>Restaurant Runner</t>
  </si>
  <si>
    <t>Restaurant Runner will be responsible for setting tables, cleaning and clearing tables, serving water and coffee to customers, serving food to customers when waiters or waitresses need assistance, and assisting with banquet setup (including arranging tables, chairs, and buffet stations according to floor plan). Schedule: 35 hours per week. Work schedule can vary and can include evening, weekend, and holiday hours. Work may be performed on any day of the week from Monday through Sunday. Example shifts: 8:00am to 3:00pm, or 3:00pm to 10:00pm. Shift hours may vary. See attached job description for additional information. Job Classification: 35-9011.00 - Dining Room and Cafeteria Attendants and Bartender Helpers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6 Special Requirements: The Petitioner will consider for employment any person who possesses at least six (6) months of experience in a fine-dining or high-volume environment at a high-end restaurant, resort, or private club. Applicant must complete pre-employment background check at employers expense. Number of Hours Per Week: 35 Work Schedule (Start/End time): 8:00 A.M. - 3:00 P.M.</t>
  </si>
  <si>
    <t>H-400-26184-077248</t>
  </si>
  <si>
    <t>Hualalai Investors, LLC</t>
  </si>
  <si>
    <t>care.hualalai@fourseasons.com</t>
  </si>
  <si>
    <t>+18083258000</t>
  </si>
  <si>
    <t>Guestroom Attendants will be responsible for cleaning and maintaining all rooms, suites, and indoor common areas at the employer’s property, which includes vacuuming floors, dusting, replenishing linens and towels, disinfecting bathrooms, and washing windows. Must be able to lift at least thirty (30) pounds. Schedule: 35 hours per week. Work schedule can vary and can include evening, weekend, and holiday hours. Work may be performed on any day of the week from Monday through Sunday. Example shifts: 7:00 AM - 2:00 PM, 8:00 AM - 3:00 PM or 9:00 AM - 4:00 PM. Shift hours may vary. Please see attached job description for additional information. Job Classification: 37-2012.00 - Maids and Housekeeping Cleaners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The Petitioner will consider for employment any person who possesses at least three (3) months of experience at a high-end hotel, resort, or private club. Applicant must complete pre-employment background check at employers expense. Number of Hours Per Week: 35 Work Schedule (Start/End time): 7:00 A.M. - 2:00 P.M.</t>
  </si>
  <si>
    <t>H-400-26184-077274</t>
  </si>
  <si>
    <t>Ithaka Hospitality Partners - Auburn - Human Resources, LLC</t>
  </si>
  <si>
    <t>jobs@ithakahp.com</t>
  </si>
  <si>
    <t>+13343213117</t>
  </si>
  <si>
    <t>Maintenance Technician Ii</t>
  </si>
  <si>
    <t>Maintenance Technicians II will be responsible for making all repairs and maintaining the hotels’ facilities, including all public areas, exterior areas of the building, guestrooms, and guest corridors based on work orders, guest/supervisor requests, or observational walkthroughs. Maintenance Technicians II will also be responsible for documenting work performed on room inspection sheets and work orders and maintaining records and logbooks, performing shift engineer’s checklist to assess functionality and safety of building systems and machinery including wiring, electrical or electronic components, pipe systems, plumbing, and equipment, maintaining clean and orderly shops and storage areas including assisting in ordering and stock maintenance of necessary tools, parts, and materials, and adhering to safety protocols by reporting unusual findings or safety hazards, understanding and practicing hotel emergency fire procedures, and completing safety certifications and departmental safety and emergency trainings such as Job Hazard Analysis (JHA) and Material Safety Data Sheet (MCDS). Maintenance Technician II may need to lift and carry up to fifty (50) pounds. Schedule: 35 hours per week. Work schedule can vary and can include evening, weekend, and holiday hours. Work may be performed on any day of the week from Monday through Sunday. Example shifts: 7:00am to 2:00pm or 1:00pm to 8:00pm. Shift hours may vary. Please see job description for additional information. Job Classification: 49-9071.00 - Maintenance and Repair Workers, General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12 Special Requirements: The Petitioner will consider for employment any person who possesses at least one (1) year of maintenance experience at a hotel, resort, or private club. Applicant must complete pre-employment background check at employers expense. Number of Hours Per Week: 35 Work Schedule (Start/End time): 7:00 A.M. - 2:00 P.M.</t>
  </si>
  <si>
    <t>H-400-26184-077283</t>
  </si>
  <si>
    <t>Housekeeping Room Attendant</t>
  </si>
  <si>
    <t>Housekeeping Room Attendants will be responsible for cleaning and maintaining all rooms, suites, and indoor common areas at the employer’s properties, which includes vacuuming floors, dusting furniture, pictures, drawers, window ledges, and shelves, replenishing linens and towels, cleaning/disinfecting bathtubs, toilets, sinks, walls, mirrors, tiles, counters, and floor surfaces as well as spills using cloths, mops, sponges, brushes, and/or cleaning agents, and cleaning interior windows using a cloth and cleaning spray. Housekeeping Room Attendants will also be responsible for keeping master keys secure and keeping carts for cleaning supplies neat and organized. Housekeeping Room Attendant may need to lift and carry up to fifty (50) pounds. Schedule: 35 hours per week. Work schedule can vary and can include evening, weekend, and holiday hours. Work may be performed on any day of the week from Monday through Sunday. Example shifts: 9:00am to 4:00pm. Shift hours may vary. Please see job description for additional information. Job Classification: 37-2012.00 - Maids and Housekeeping Cleaners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The Petitioner will consider for employment any person who possesses at least three (3) months of experience at a high-end hotel, resort, or private club. Applicant must complete pre-employment background check at employers expense. Number of Hours Per Week: 35 Work Schedule (Start/End time): 9:00 A.M. - 4:00 P.M.</t>
  </si>
  <si>
    <t>H-400-26184-077269</t>
  </si>
  <si>
    <t>Rooms Division Supervisor</t>
  </si>
  <si>
    <t>Rooms Division Supervisors will be responsible for overseeing and coordinating the activities of Housekeeping, Front Desk, and Guest Services staff in the employer’s hotels. Will be responsible for communicating between these departments to address operational challenges, conducting room inspections to help ensure company service standards are met, creating daily Housekeeping boards and area assignments, creating and distributing daily and weekly reports to necessary team members, and resolving discrepancies on room status reports with Housekeeping. Rooms Division Supervisors will also be responsible for coordinating guest maintenance requests with the Engineering department for the purpose of coordinating between departments to address guests’ requests (such as in-room maintenance needs). Will also be responsible for maintaining knowledge and answering inquiries pertaining to the hotels, the local university (Auburn), and local events and amenities. May occasionally perform the duties of other staff to fill in when needed, including manning the front desk, answering and routing calls to the correct department, taking reservations, assisting guests with luggage and valet services, and cleaning guest rooms and common areas. Rooms Division Supervisors may need to lift and carry up to fifteen (15) pounds. Rooms Division Supervisors will assist in coordinating the daily activities of Front Office, Housekeeping, Guest Services, and Engineering team members in collaboration with the Front Office Manager, Housekeeping Manager, and Chief Engineer. Responsibilities involve operational oversight and interdepartmental coordination only and do not include direct reports or authority over hiring, firing, scheduling, or disciplinary actions. Schedule: 35 hours per week. Work schedule can vary and can include evening, weekend, and holiday hours. Work may be performed on any day of the week from Monday through Sunday. Example shifts: 8:00am to 3:00pm or 2:00pm to 9:00pm. Shift hours may vary. Please see job description for additional information. Job Classification: 37-1011.00 - First-Line Supervisors of Housekeeping and Janitorial Workers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12 Special Requirements: The Petitioner will consider for employment any person who possesses at least one (1) year of guest service experience at a high-end hotel, resort, or private club. Applicant must complete pre-employment background check at employers expense. Number of Hours Per Week: 35 Work Schedule (Start/End time): 8:00 A.M. - 3:00 P.M.</t>
  </si>
  <si>
    <t>H-400-26184-077275</t>
  </si>
  <si>
    <t>JLQ Concessions LLC</t>
  </si>
  <si>
    <t>20/02/2027</t>
  </si>
  <si>
    <t>lola.ramirez@yahoo.com</t>
  </si>
  <si>
    <t>+15596965471</t>
  </si>
  <si>
    <t>H-400-26184-077238</t>
  </si>
  <si>
    <t>Ocean Reef Club, Inc.</t>
  </si>
  <si>
    <t>orcjobs@oceanreef.com</t>
  </si>
  <si>
    <t>+13053675902</t>
  </si>
  <si>
    <t>Servers will be responsible for setting up the dining room, taking and placing customers’ orders, carrying trays, serving food and beverages, and cleaning and clearing tables. Schedule: 35 hours per week. Work schedule can vary and can include evening, weekend, and holiday hours. Work may be performed on any day of the week from Monday through Sunday. Example shifts: 6:00am - 1:00pm, 10:00am - 5:00pm, or 5:00pm - 12:00am. Shift hours may vary. Please see attached job description for additional information. Job Classification: 35-3031.00 - Waiters and Waitresses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6 Special Requirements: The Petitioner will consider for employment any person who possesses at least six (6) months of service experience in a fine-dining, high-volume environment at a high-end restaurant, resort, or private club. Applicant must complete pre-employment background check and drug screening at employers expense. Number of Hours Per Week: 35 Work Schedule (Start/End time): 6:00 A.M. - 1:00 P.M.</t>
  </si>
  <si>
    <t>H-400-26184-077242</t>
  </si>
  <si>
    <t>Housekeepers will be responsible for cleaning and maintaining all rooms, suites, and indoor common areas at Ocean Reef Club’s property, which includes vacuuming floors, rearranging furniture, dusting, laundering and replenishing linens and towels, disinfecting bathrooms, and washing windows. Schedule: 35 hours per week. Work schedule can vary and can include evening, weekend, and holiday hours. Work may be performed on any day of the week from Monday through Sunday. Example shifts: 6:00am - 1:00pm, 8:00am - 3:00pm, or 4:00pm - 11:00pm. Shift hours may vary. Please see attached job description for additional information. Job Classification: 37-2012.00 - Maids and Housekeeping Cleaners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The Petitioner will consider for employment any person who possesses at least three (3) months of housekeeping experience in a high-end hotel, resort, or private club. Applicant must complete pre-employment background check and drug screening at employers expense. Number of Hours Per Week: 35 Work Schedule (Start/End time): 6:00 A.M. - 1:00 P.M.</t>
  </si>
  <si>
    <t>H-400-26184-077256</t>
  </si>
  <si>
    <t>Line Cooks will be responsible for preparing, seasoning, and cooking soups, meats, vegetables, desserts, and other food items in a restaurant. Schedule: 35 hours per week. Work schedule can vary and can include evening, weekend, and holiday hours. Work may be performed on any day of the week from Monday through Sunday. Example shifts: 6:00am - 1:00pm, 10:00am - 5:00pm, or 5:00pm - 12:00am. Shift hours may vary. Please see attached job description for additional information. Job Classification: 35-2014.00 - Cooks, Restaurant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12 Special Requirements: The Petitioner will consider for employment any person who possesses at least one (1) year of culinary experience in a fine-dining, high-volume environment at a high-end restaurant, resort, or private club. Applicant must complete pre-employment background check and drug screening at employers expense. Number of Hours Per Week: 35 Work Schedule (Start/End time): 6:00 A.M. - 1:00 P.M.</t>
  </si>
  <si>
    <t>H-400-26184-077252</t>
  </si>
  <si>
    <t>Old Palm Golf Club, Inc.</t>
  </si>
  <si>
    <t>careers@oldpalmgolfclub.com</t>
  </si>
  <si>
    <t>+15614725180</t>
  </si>
  <si>
    <t>Dining Room Manager</t>
  </si>
  <si>
    <t>Dining Room Managers will be responsible for assisting with day-to-day food and beverage operations including breakfast, lunch and dinner service, pool service, fine dining and club member events, researching beverage programs and wine lists, working with the Assistant Food and Beverage Director for staffing and formulating the standard operating procedures for all food and beverage service staff, performing Clubhouse opening and closing duties, including ensuring dining room is set for opening and closing operations, posting side work, ensuring the side stations are stocked and equipment and products are stored properly, assisting with banquet set up as needed, assigning and monitoring the completion of all opening and closing duties for all food and beverage service staff, liaising with kitchen and front-of-house staff, assisting with staff training and development programs, monitoring and enforcing all safety conditions and procedures, monitoring employee dress code, assisting with monthly beverage inventory, assisting with short-term strategic planning for Food and Beverage Operations, and receiving and resolving complaints from club members, guests, and employees. May be required to push, pull, or lift up to 50 pounds. May supervise up to five (5) Bartenders and thirty-five (35) Servers during a shift. Schedule: 40 hours per week. Work schedule can vary and can include evening, weekend, and holiday hours. Work may be performed on any day of the week from Monday through Sunday. Example shifts: 7:00 am - 3:00 pm, 3:00 pm - 11:00 pm, or 10:00 am - 6:00 pm. Shift hours may vary. Please see job description for additional information. Job Classification: 35-1012.00 - First-Line Supervisors of Food Preparation and Serving Workers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6 Special Requirements: The Petitioner will consider for employment any person who possesses at least six (6) months of serving or supervisory experience in a fine-dining or high-volume environment at a high-end private club, hotel, or resort. Applicant must complete pre-employment background check and drug screening at employers expense. Number of Hours Per Week: 40 Work Schedule (Start/End time): 7:00 A.M. - 3:00 P.M.</t>
  </si>
  <si>
    <t>H-400-26184-077260</t>
  </si>
  <si>
    <t>Food and Beverage Server</t>
  </si>
  <si>
    <t>Food and Beverage Servers will be responsible for greeting guests, taking guest meal orders, submitting orders to kitchen, serving meals, and clearing tables. They will have computer skills to process order payments, hospitality skills, and wine and spirits knowledge to assist guests with orders. Schedule: 40 hours per week. Work schedule can vary and can include evening, weekend, and holiday hours. Work may be performed on any day of the week from Monday through Sunday. Example shifts: 7:00 am – 3:00 pm, 3:00 pm – 11:00 pm, or 10:00 am – 6:00 pm. Shift hours may vary. Please see job description for additional information. Job Classification: 35-3031.00 - Waiters and Waitresses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The Petitioner will consider for employment any person who possesses at least three (3) months of experience in a fine-dining or high-volume environment at a high-end restaurant, resort, or private club. Applicant must complete pre-employment background check and drug screening at employer's expense. Number of Hours Per Week: 40 Work Schedule (Start/End time): 7:00 A.M. - 3:00 P.M.</t>
  </si>
  <si>
    <t>H-400-26184-077284</t>
  </si>
  <si>
    <t>Spa Assistant</t>
  </si>
  <si>
    <t>***RFI response*** “Preparing treatment rooms before and after services” – this consists of preparing tables with linens and face cradle covers, preparing the spa room with correct room temperature, music, aromatherapy, skin products, towels, and disposable supplies, disposing of and restocking used supplies (gloves, wipes, applicators) after treatment, disinfecting surfaces and equipment, and reporting low inventory supplies to supervisors. Tools, equipment, and materials used are disinfecting sprays/wipes, gloves, towel warming cabinet, aromatherapy diffuser, music player, storage carts, and trash bins and lines. “Assisting spa therapists with set-up and breakdown of services” – this consists of stocking service trays with tools and products as directed by therapists, laying out tools in correct sequence for therapist use according to specific service being provided and providing supplies to therapists as requested during service, filing bowls or steamers with water, warming hot stones, laying out client amenities (robes, slippers, towels), ensuring specialty equipment (e.g., facial steamers, stone warmers, wax heaters) are powered and ready for use and emptying/cleaning them after service, and clearing, cleaning, sanitizing, and restocking service area after service. Other than those described above, tools, equipment, and materials used are service trays and bowls, disinfecting sprays/wipes, gloves, Massage oils, creams, masks, serums, water pitchers and hydration supplies, and storage containers and organizers. “Maintaining relaxation areas and locker rooms” – this consists of sanitizing surfaces (including showers, sinks, and toilets), tidying seating areas (chairs, loungers, blankets), refilling aromatherapy diffusers with oils, restocking towels, robes, toiletries, and paper products, monitoring noise levels, removing used items and trash promptly, emptying trash and towel bins, refilling water stations, tea stations, or snack areas, mopping floors, and reporting any maintenance issues to supervisors. Other than those described above, tools, equipment, and materials used are cleaning supplies (multi-surface cleaner, disinfectant, glass cleaner), mops, brooms, buckets, microfiber cloths, vacuum, trash bags and bins, and laundry carts/bins, signage (e.g., “wet floor” signs), and storage cabinets and shelving. ***Original*** Spa Assistant will be responsible for supporting spa operations, including but not limited to: preparing treatment rooms before and after services; cleaning and sanitizing equipment, linens, and spa facilities; assisting spa therapists with set-up and breakdown of services; restocking towels, robes, oils, and treatment supplies; maintaining relaxation areas and locker rooms; providing courteous customer service; and ensuring compliance with cleanliness, safety, and hygiene standards. Schedule: 40 hours per week. Work schedule can vary and can include evening, weekend, and holiday hours. Work may be performed on any day of the week from Monday through Sunday. Example shifts: 8:00AM-4:00PM, 1:00PM-9:00PM, or 9:00AM-5:00PM. Shift hours may vary. Please see job description for additional information. Job Classification: 39-3093.00 - Locker Room, Coatroom, and Dressing Room Attendants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1 Special Requirements: The Petitioner will consider for employment any person who possesses at least one (1) month of guest service experience working in a spa, resort, wellness facility, hotel, or private club environment. Applicant must complete pre-employment background check and drug screening at employers expense. Number of Hours Per Week: 40 Work Schedule (Start/End time): 8:00 A.M. - 4:00 P.M.</t>
  </si>
  <si>
    <t>H-400-26184-077265</t>
  </si>
  <si>
    <t xml:space="preserve">Old Palm Golf Club, Inc. </t>
  </si>
  <si>
    <t>Private Club Cook</t>
  </si>
  <si>
    <t>Private Club Cooks will be responsible for preparing, seasoning, and cooking soups, meats, vegetables, desserts, and other food items in a restaurant. Schedule: 40 hours per week. Work schedule can vary and can include evening, weekend, and holiday hours. Work may be performed on any day of the week from Monday through Sunday. Example shifts: 8:00 am – 4:00 pm, 1:00 pm – 9:00 pm, or 9:00 am – 5:00 pm. Shift hours may vary. Please see job description for additional information. Job Classification: 35-2014.00 - Cooks, Restaurant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6 Special Requirements: The Petitioner will consider for employment any person who possesses at least six (6) months of culinary experience in a fine-dining or high-volume environment at a high-end restaurant, resort, or private club. Applicant must complete pre-employment background check and drug screening at employer's expense. Number of Hours Per Week: 40 Work Schedule (Start/End time): 8:00 A.M. - 4:00 P.M.</t>
  </si>
  <si>
    <t>H-400-26184-077276</t>
  </si>
  <si>
    <t>Pelican Isle Yacht Club, Inc.</t>
  </si>
  <si>
    <t>Seasonal@piyc.net</t>
  </si>
  <si>
    <t>+12395661606</t>
  </si>
  <si>
    <t>Servers will be responsible for greeting customers, setting up the dining areas, taking and placing orders, carrying trays and plates, serving food and beverages, demonstrating knowledge of the menu, cleaning and clearing tables, informing guests of daily specials, completing opening and closing tasks, assisting with set-up and recovery for banquets and buffets, performing side work, stocking supplies, and mixing and serving alcoholic and non-alcoholic drinks. Service will include both banquet and a la carte dining as well as occasionally greeting and seating guests and running food. Schedule: 40 hours per week. Work schedule can vary and can include evening, weekend, and holiday hours. Work may be performed on any day of the week from Monday through Sunday. Example shifts: 9:00am - 5:00pm or 2:00pm - 10:00pm. Shift hours may vary. Please see attached job description for additional information. Job Classification: 35-3011.00 - Bartenders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6 Special Requirements: The Petitioner will consider for employment any person who possesses at least six (6) months of service experience in a fine-dining or high-volume environment at a high-end restaurant, resort, or private club. Number of Hours Per Week: 40 Work Schedule (Start/End time): 9:00 A.M. - 5:00 P.M.</t>
  </si>
  <si>
    <t>H-400-26184-077286</t>
  </si>
  <si>
    <t>Busser/server Assistant</t>
  </si>
  <si>
    <t>Bussers/Server Assistants will be responsible for assisting servers with setting tables in the dining room area with plates, glasses and silverware; traying up (expediting) food; carrying trays and plates (these workers do not take food orders), cleaning and clearing tables, serving water and bread, and assisting with set-up and recovery for banquets and buffets. Schedule: 40 hours per week. Work schedule can vary and can include evening, weekend, and holiday hours. Work may be performed on any day of the week from Monday through Sunday. Example shifts: 8:00am - 4:00pm, 11:00am - 7:00pm, or 3:00pm - 11:00pm. Shift hours may vary. Please see attached job description for additional information. Job Classification: 35-9011.00 - Dining Room and Cafeteria Attendants and Bartender Helpers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The Petitioner will consider for employment any person who possesses at least three (3) months of service experience in a fine-dining or high-volume environment at a high-end restaurant, resort, or private club. Number of Hours Per Week: 40 Work Schedule (Start/End time): 8:00 A.M. - 4:00 P.M.</t>
  </si>
  <si>
    <t>H-400-26184-077266</t>
  </si>
  <si>
    <t>seasonal@piyc.net</t>
  </si>
  <si>
    <t>Facilities and Banquet Staff</t>
  </si>
  <si>
    <t>**RFI** The type of laundry and laundry tasks include assisting with washing, drying, and folding pool towels, tablecloths, and napkins using a washer and dryer. “Banquet set up and break down” includes moving and placing banquet tables and chairs using non-motorized carts and dollies and moving and placing banquet equipment including Chafing Dishes, Heating Lamps, and Table Linens. **Original** Facilities and Banquet Staff will be responsible for assisting with facility maintenance and cleaning, banquet set up and break down, pool cleaning and furniture moving, emptying of trash, light janitorial and laundry work, maintaining outdoor facilities such as bocce courts, and supporting marina captains with docking vessels (assist with member vessel docking and securing boats by tying the ropes to the dock cleats), shuttle boat operations (accompanying the shuttle captain on trips from the marina to the beach and back, as well as helping members boarding and exiting the shuttle boat ) and light marina janitorial duties (emptying trash, cleaning docks and dock storage boxes). Will also assist with launch and recovery of paddle sport equipment. Schedule: 40 hours per week. Work schedule can vary and can include evening, weekend, and holiday hours. Work may be performed on any day of the week from Monday through Sunday. Example shifts: 6:00am - 2:00pm, 8:00am - 4:00pm, or 2:00pm - 10:00pm. Shift hours may vary. Please see attached job description for additional information. Job Classification: 53-6099.00 - Transportation Workers, All Other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6 Special Requirements: The Petitioner will consider for employment any person who possesses at least six (6) months of maintenance experience at a high-end hotel, resort, or private club. Number of Hours Per Week: 40 Work Schedule (Start/End time): 6:00 A.M. - 2:00 P.M.</t>
  </si>
  <si>
    <t>H-400-26184-077281</t>
  </si>
  <si>
    <t>Dining Room Supervisors will be responsible for assisting the Director of Food and Beverage during restaurant hours as well as during banquets and events, assigning side work, table stations and providing direction to front of house staff to better provide service to guests as well as assisting with administrative tasks, including auditing food and beverage inventory and dining receipts for each shift, as needed. May need to lift up to 30-50 lbs. May supervise up to ten (10) front of house employees during a shift, specifically Busser/Server Assistants, Servers, Bartenders, and Hostesses. Schedule: 40 hours per week. Work schedule can vary and can include evening, weekend, and holiday hours. Work may be performed on any day of the week from Monday through Sunday. Example shifts: 8:00am - 4:00pm, 10:00am - 6:00pm or 2:00pm - 10:00pm. Shift hours may vary. Please see attached job description for additional information. Job Classification: 35-1012.00 - First-Line Supervisors of Food Preparation and Serving Workers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6 Special Requirements: The Petitioner will consider for employment any person who possesses at least six (6) months of supervisory experience in a fine-dining or high-volume environment at a high-end restaurant, resort, or private club. Number of Hours Per Week: 40 Work Schedule (Start/End time): 8:00 A.M. - 4:00 P.M.</t>
  </si>
  <si>
    <t>H-400-26184-077285</t>
  </si>
  <si>
    <t>Line Cooks will be responsible for preparing, seasoning, and cooking soups, meats, vegetables, desserts, and other food items in a restaurant as well as assisting with cleaning and dishwashing in the course of normal operations. Must be able to read and follow prep lists and recipes. Line Cooks will also assist with chef-attended stations during club banquets and buffets. Schedule: 40 hours per week. Work schedule can vary and can include evening, weekend, and holiday hours. Work may be performed on any day of the week from Monday through Sunday. Example shifts: 8:00am - 4:00pm, 10:00am - 6:00pm, or 2:00pm - 10:00pm. Shift hours may vary. Please see attached job description for additional information. Job Classification: 35-2014.00 - Cooks, Restaurant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6 Special Requirements: The Petitioner will consider for employment any person who possesses at least six (6) months of culinary experience in a fine-dining or high-volume environment at a high-end restaurant, resort, or private club. Number of Hours Per Week: 40 Work Schedule (Start/End time): 8:00 A.M. - 4:00 P.M.</t>
  </si>
  <si>
    <t>H-400-26184-077254</t>
  </si>
  <si>
    <t>Smuggs Operations Company LLC</t>
  </si>
  <si>
    <t>seasonaljobs@smuggs.com</t>
  </si>
  <si>
    <t>+18026441239</t>
  </si>
  <si>
    <t>Housekeepers will be responsible for cleaning and maintaining all rooms, suites, and indoor common areas at Smugglers’ Notch Resort’s property, which includes vacuuming floors, dusting, replenishing linens and towels, disinfecting bathrooms, and cleaning interior windows using Windex spray and rags. Housekeepers must complete an orientation and training period prior to working independently and before being offered piece rate pay. Housekeeper will also be eligible for increased responsibility accompanied by increased pay based on training, quality, and level of commitment. This increased responsibility, accompanied by increased pay, may include being responsible for the final room inspection, reporting maintenance issues, and inventory stocking. Schedule: 35 hours per week. Work schedule can vary and can include evening, weekend, and holiday hours. Work may be performed on any day of the week from Monday through Sunday. Example shifts: 9:00am – 4:00pm or 11:00am – 6:00pm. Shift hours may vary. See attached job description for additional information. Job Classification: 37-2012.00 - Maids and Housekeeping Cleaners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Applicant must complete pre-employment background check at employer's expense. Number of Hours Per Week: 35 Work Schedule (Start/End time): 9:00 A.M. - 4:00 P.M.</t>
  </si>
  <si>
    <t>H-400-26184-077273</t>
  </si>
  <si>
    <t>The Beach Club, Inc.</t>
  </si>
  <si>
    <t>HR@thebeachclub.net</t>
  </si>
  <si>
    <t>+15615178765</t>
  </si>
  <si>
    <t>Servers will be responsible for greeting customers, assigning guests to tables, setting up the dining areas, taking and placing orders, carrying trays and plates, mixing and serving drinks to guests, cleaning glasses and bar equipment, serving food and beverages, and cleaning and clearing tables. Schedule: 40 hours per week. Work schedule can vary and can include evening, weekend, and holiday hours. Work may be performed on any day of the week from Monday through Sunday. Example shifts: 10:00am – 6:00pm, 4:00pm – 12:00am, or 9:00am – 5:00pm. Shift hours may vary. Please see job description for additional information. Job Classification: 35-3011.00 - Bartenders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6 Special Requirements: The Petitioner will consider for employment any applicant who possesses at least six (6) months of service experience in a fine-dining or high-volume environment at a high-end restaurant, resort, or private club. Applicant must complete pre-employment background check and drug screening at employers expense. Number of Hours Per Week: 40 Work Schedule (Start/End time): 10:00 A.M. - 6:00 P.M.</t>
  </si>
  <si>
    <t>H-400-26184-077279</t>
  </si>
  <si>
    <t>Bartenders will be responsible for serving food and mixing and serving drinks to members and guests, cleaning glasses and bar equipment, and ensuring that the bar and work areas are clean and well-stocked. Schedule: 40 hours per week. Work schedule can vary and can include evening, weekend, and holiday hours. Work may be performed on any day of the week from Monday through Sunday. Example shifts: 10:00am - 6:00pm, 4:00pm - 12:00am, or 9:00am - 5:00pm. Shift hours may vary. Please see job description for additional details. Job Classification: 35-3011.00 - Bartenders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The Petitioner will consider for employment any applicant who possesses at least three (3) months of experience in a fine-dining or high-volume environment at a high-end restaurant, resort, or private club. Applicant must complete pre-employment background check and drug screening at employers expense. Number of Hours Per Week: 40 Work Schedule (Start/End time): 10:00 A.M. - 6:00 P.M.</t>
  </si>
  <si>
    <t>H-400-26184-077245</t>
  </si>
  <si>
    <t>The Players Club and Spa, LLC</t>
  </si>
  <si>
    <t>dmurphy@playersclubandspa.com</t>
  </si>
  <si>
    <t>+12397746354</t>
  </si>
  <si>
    <t>Cooks will be responsible for preparing, seasoning, and cooking soups, meats, vegetables, desserts, and other food items in a high-volume restaurant. The ideal candidate is team-oriented, able to multitask in a high-volume setting, and willing to assist with rearranging furniture and assist with decorations for events, banquets, and private functions. Schedule: 35 hours per week. Work schedule can vary and can include evening, weekend, and holiday hours. Work may be performed on any day of the week from Monday through Sunday. Example shifts: 8:00am to 3:00pm or 2:00pm to 9:00pm. Shift hours may vary. May occasionally work double shifts. Please see job description for additional information. Job Classification: 35-2014.00 - Cooks, Restaurant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12 Special Requirements: The Petitioner will consider for employment any person who possesses at least one (1) year of culinary experience in a fine-dining or high-volume environment at a high-end restaurant, resort, or private club. Applicant must complete pre-employment background check and drug screening at the employers expense. Number of Hours Per Week: 35 Work Schedule (Start/End time): 8:00 A.M. - 3:00 P.M.</t>
  </si>
  <si>
    <t>H-400-26184-077251</t>
  </si>
  <si>
    <t>dmurohy@playersclubandspa.com</t>
  </si>
  <si>
    <t>Servers will be responsible for taking and placing food and drink orders, serving guests breakfast, lunch and/or dinner, setting up and bussing tables, and keeping workstations clean. Servers are also responsible for setting up and tearing down club member events and/or banquet events. Banquet event set-up includes rearranging furniture and setting up buffet tables and decorations for events, banquets, and private functions. Servers must follow all county and state food regulations. Schedule: 35 hours per week. Work schedule can vary and can include evening, weekend, and holiday hours. Work may be performed on any day of the week from Monday through Sunday. Example shifts: 9:00am to 4:00pm or 3:00pm to 10:00pm. Shift hours may vary. May occasionally work double shifts. Please see job description for additional information. Job Classification: 35-3031.00 - Waiters and Waitresses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6 Special Requirements: The Petitioner will consider for employment any person who possesses at least six (6) months of service experience in a fine-dining or high-volume environment at a high-end restaurant, resort, or private club. Applicant must complete pre-employment background check and drug screening at the employers expense. Number of Hours Per Week: 35 Work Schedule (Start/End time): 9:00 A.M. - 4:00 P.M.</t>
  </si>
  <si>
    <t>H-400-26184-077253</t>
  </si>
  <si>
    <t>Food Runner/expo</t>
  </si>
  <si>
    <t>Food Runner/Expos will be responsible for delivering food orders from the kitchen to guests’ tables, communicating food orders to chefs, paying close attention to priorities and special requests, including food allergies. Food Runners/Expos will assist service staff with table setup by placing appropriate tableware, utensils, and napkins, and serve welcome drinks and hors d’oeuvres upon guest arrival, when applicable. They will be responsible for ensuring all food is served according to safety and quality standards, including proper temperature, checking in with guests and assist with additional requests, such as refilling water or relaying needs to service staff. Food Runners/Expos will also clear dirty dishes, glasses, and utensils from tables in a timely manner, answer guest questions regarding menu items and ingredients, and help create a welcoming dining experience for all guests, including families with children. The ideal candidate is team-oriented, able to multitask in a high-volume setting, and willing to assist with rearranging furniture and assist with decorations for events, banquets, and private functions. Schedule: 35 hours per week. Work schedule can vary and can include evening, weekend, and holiday hours. Work may be performed on any day of the week from Monday through Sunday. Example shifts: 9:00am to 4:00pm or 3:00pm to 10:00pm. Shift hours may vary. May occasionally work double shifts. Please see job description for additional information. Job Classification: 53-7062.00 - Laborers and Freight, Stock, and Material Movers, Hand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6 Special Requirements: The Petitioner will consider for employment any person who possesses at least six (6) months of service experience in a fine-dining or high-volume environment at a high-end restaurant, resort, or private club. Applicant must complete pre-employment background check and drug screening at the employers expense. Number of Hours Per Week: 35 Work Schedule (Start/End time): 9:00 A.M. - 4:00 P.M.</t>
  </si>
  <si>
    <t>H-400-26184-077246</t>
  </si>
  <si>
    <t>Bartenders will be responsible for providing excellent beverage service to members and guests while creating a welcoming, professional experience. This role is responsible for preparing and serving beverages, maintaining a clean and organized bar, processing transactions accurately, and following all alcohol service regulations. Candidates should have strong knowledge of classic cocktails, spirits, and wines, while maintaining full knowledge of the bar menu, wine list, and specialty cocktails. The ideal candidate is team-oriented, able to multitask in a high-volume setting, and willing to assist with rearranging furniture and assist with decorations for events, banquets, and private functions. Schedule: 35 hours per week. Work schedule can vary and can include evening, weekend, and holiday hours. Work may be performed on any day of the week from Monday through Sunday. Example shifts: 9:00am-4:00pm, 3:00pm–10:00pm. May Occasionally work a double shift. Shift hours may vary. Please see job description for additional information. Job Classification: 35-3011.00 - Bartenders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6 Special Requirements: The Petitioner will consider for employment any person who possesses at least six (6) months of experience in a fine-dining or high-volume environment at a high-end restaurant, resort, or private club. Applicant must complete pre-employment background check and drug screening at the employers expense. Number of Hours Per Week: 35 Work Schedule (Start/End time): 9:00 A.M. - 4:00 P.M.</t>
  </si>
  <si>
    <t>H-400-26184-077272</t>
  </si>
  <si>
    <t>Trimmers Holiday Decor Inc</t>
  </si>
  <si>
    <t>Henry Rothrock</t>
  </si>
  <si>
    <t>tanner@trimmershd.com</t>
  </si>
  <si>
    <t>+12394550286</t>
  </si>
  <si>
    <t>Installation Maintenance and Repair Workers</t>
  </si>
  <si>
    <t>Prepare, install, deliver, and maintain landscape holiday lighting fixtures, decorations, and ornaments as required by various clients throughout Collier County, Florida. Duties include use of basic hand tools and the ability to climb ladders safely. After installation, workers must verify the operation, functionality , and positioning of all lighting and decorative elements in any given design. Workers are responsible to maintain and clean work area as necessary from the beginning to the end of each job. Job Classification: 49-9099.00 - Installation, Maintenance, and Repair Workers, All Other The job/industry classification and description includes general information on the position from ONET/OES and the North American Industry Classification System. Please review Job Duties and Job Order for more information. Job Requirements Experience Required: No Number of Hours Per Week: 40 Work Schedule (Start/End time): 7:00 A.M. - 4:00 P.M.</t>
  </si>
  <si>
    <t>H-400-26184-077240</t>
  </si>
  <si>
    <t xml:space="preserve">Vanderbilt Community Association, Inc. </t>
  </si>
  <si>
    <t>Cooks will be responsible for preparing, seasoning, and cooking soups, meats, vegetables, desserts, and other food items in a restaurant. Schedule: 35 hours per week. Work schedule can vary and can include evening, weekend, and holiday hours. Work may be performed on any day of the week from Monday through Sunday. Example shifts: 9:00am – 4:00pm, 10:00am - 5:00pm or 2:00pm - 9:00pm. Shift hours may vary. See job description for additional information. Job Classification: 35-2014.00 - Cooks, Restaurant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12 Special Requirements: The Petitioner will consider for employment any person who possesses at least one (1) year of culinary experience in a fine-dining or high-volume environment at a high-end restaurant, resort, or private club. Applicant must complete pre-employment drug screening and background check at employer's expense if the applicant has not previously worked for the employer within the last six (6) months. Number of Hours Per Week: 35 Work Schedule (Start/End time): 9:00 A.M. - 4:00 P.M.</t>
  </si>
  <si>
    <t>H-400-26184-077332</t>
  </si>
  <si>
    <t>Bayou Butchers and Co.</t>
  </si>
  <si>
    <t>Jackie Mitchell</t>
  </si>
  <si>
    <t>jeromypruitt@yahoo.com</t>
  </si>
  <si>
    <t>+13187323785</t>
  </si>
  <si>
    <t>***RFI Response*** The worker will assist during the deer meat processing as follows: 1. Skinning and Hanging: Hang the deer by its hind legs. Make careful cuts down the inside of the legs, peeling the hide down and away from the carcass using your skinning knife. 2. Quartering: Use your meat saw and boning knife to separate the carcass into four primary quarters (two front shoulders, two hind legs), and remove the backstraps (loins) running along the spine. 3. De-boning &amp; Muscle Separation: Place quarters on your cutting board. Trace along the natural seams of the muscles to separate the major muscle groups. 4. Trimming: Cut away all the silver-skin (tough connective tissue), tendons, and tallow (deer fat). 5. Portioning: Slice the larger, tender muscle groups into steaks and roasts. Set aside scraps and smaller trimmings to be ground later. 6. Grinding: Run the trimmed scraps through your meat grinder to make ground venison. 7. Packaging: Wrap individual cuts tightly in freezer paper or process them through a vacuum sealer to prevent freezer burn. This process uses the following tools: Food grade cutting boards and sanitary workspaces, 6-inch flexible boning knife, meat hacksaw, meat grinder, and packaging gear as vacuum sealer. ***Original F.a.2*** To assist with the cleaning and preparing the deer meat for processing during the high peak season and to package final product for transportation. Job Classification: 51-3023.00 - Slaughterers and Meat Packers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Work hours are from 7am-5pm. Monday Friday. Overtime is worked as necessary. Overtime paid after 40 hours a week during. Workers will have 1-hour unpaid lunch break during the workday. Number of Hours Per Week: 40 Work Schedule (Start/End time): 7:00 A.M. - 5:00 P.M.</t>
  </si>
  <si>
    <t>H-400-26184-077312</t>
  </si>
  <si>
    <t>CH OPCO LLC</t>
  </si>
  <si>
    <t>Seasonaljobs@thecolonypalmbeach.com</t>
  </si>
  <si>
    <t>+15616555430</t>
  </si>
  <si>
    <t>***RFI response*** “The kinds of laundry the worker will wash” are beach/pool towels and rags. These are typically sent out to a laundry facility, but housekeeping will occasionally wash some in-house to keep up with high-volume need. “Room maintenance and deep-cleaning activities” – this consists of dusting baseboards behind furniture and under beds, wiping off scuffs on walls or doors, cleaning interior windows, dusting vents and valances in rooms, cleaning brass or silver finishes and fixtures; duties to be performed at least once per month. The tools/equipment used to perform these tasks are vacuums, brass polish/cleaner, dry-erase sponge, cloths, and general cleaning sprays and solutions. ***Original*** Housekeeping Attendants will be responsible for cleaning and maintaining all rooms, suites, public spaces and outlet common areas at The Colony Palm Beach. Position may require vacuuming floors, dusting, replenishing linens and towels, disinfecting bathrooms, turning down rooms upon request or during scheduled evening service, restocking carts with depleted supplies, delivering requested items to room in a timely manner, utilizing washer/dryer, and wiping all surfaces, tile, and glass. Housekeeping Attendant may be responsible for inspecting rooms prior to occupancy and reporting any maintenance issues to appropriate department. Schedule: 35 hours per week. Work schedule can vary and can include evening, weekend, and holiday hours. Work may be performed on any day of the week from Monday through Sunday. Example shifts: 7:00am to 2:00pm, 8:00am to 3:00pm, 3:00pm to 10:00pm or 10:00pm to 5:00am. Shift hours may vary. Please see the attached job description for additional details. Job Classification: 37-2012.00 - Maids and Housekeeping Cleaners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The Petitioner will consider for employment any person who possesses at least three (3) months of experience at a high-end hotel, resort, or private club. Applicant must complete pre-employment background check and drug screening at employers expense. Number of Hours Per Week: 35 Work Schedule (Start/End time): 7:00 A.M. - 2:00 P.M.</t>
  </si>
  <si>
    <t>H-400-26184-077317</t>
  </si>
  <si>
    <t>Food &amp; Beverage Support Staff</t>
  </si>
  <si>
    <t>Food &amp; Beverage Support Staff will be responsible for setting tables, clearing tableware, delivering food orders to tables and bar areas, assisting with filling orders in café such as bagging up to-go orders and making coffee/espresso/smoothie drinks, assisting with seating guests, expediting food delivery from line, restocking and refilling condiments, delivering and retrieving in-room dining trays, rolling silverware, moving tables and chairs in accordance with restaurant/event set-up, delivering, maintaining and restocking pool amenities and supplies including stocking water stations, picking up dishes, trash, and towels around the pool, replacing and restocking towels and providing beverages and snacks to guests. Will also be responsible for maintaining safe and clean environments at all times including cleaning random spills, puddles, and ice around the pool and in restaurant area. Schedule: 35 hours per week. Work schedule can vary and can include evening, weekend, and holiday hours. Work may be performed on any day of the week from Monday through Sunday. Example shifts: 6:00am to 1:00pm, 11:00am to 6:00pm, or 4:00pm to 11:00pm. Shift hours may vary. Please see the attached job description for additional details. Job Classification: 53-7062.00 - Laborers and Freight, Stock, and Material Movers, Hand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The Petitioner will consider for employment any person who possesses at least three (3) months of experience in a fine-dining or high-volume environment at a high-end restaurant, resort, or private club. Applicant must complete pre-employment background check and drug screening at employers expense. Number of Hours Per Week: 35 Work Schedule (Start/End time): 6:00 A.M. - 1:00 P.M.</t>
  </si>
  <si>
    <t>H-400-26184-077322</t>
  </si>
  <si>
    <t>Maintenance Worker</t>
  </si>
  <si>
    <t>Maintenance Workers will be responsible for painting, general plumbing such as clearing drains, toilet clogs, and fixing showerheads, resetting TVs and AC thermostats, and performing general repairs in hotel rooms and existing building. Assist in maintaining grounds of the club such as painting lounge chairs, painting curbs, changing broken sprinkler heads, pressure washing sidewalks, and maintaining outdoor lighting. Maintenance Workers will also be required to perform annual, quarterly, and monthly preventative maintenance activities. Must be detailed orientated and able to work independently. Schedule: 35 hours per week. Work schedule can vary and can include evening, weekend, and holiday hours. Work may be performed on any day of the week from Monday through Sunday. Example shifts: 6:00 am – 1:00pm; 9:00 am – 4:00pm; 5:00 pm – 12:00 am. Shift hours may vary. Please see the attached job description for additional details. Job Classification: 49-9071.00 - Maintenance and Repair Workers, General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6 Special Requirements: The Petitioner will consider for employment any person who possesses at least six (6) months of experience in a construction or maintenance field; preferred experience in plumbing, painting, electricity, or carpentry at a high-end hotel, resort, or private club. Applicant must complete pre-employment background check and drug screening at employers expense. Number of Hours Per Week: 35 Work Schedule (Start/End time): 6:00 A.M. - 1:00 P.M.</t>
  </si>
  <si>
    <t>H-400-26184-077324</t>
  </si>
  <si>
    <t>Servers will be responsible for greeting customers, setting up tables in the dining areas with tableware such as plates, glasses, and silverware, taking and placing orders correctly and efficiently, carrying trays and plates, serving food and beverages, and making and maintaining a clean and safe service station. The Servers will receive training from the Employer’s Chefs and liquor and wine representatives regarding food and beverage menu items’ flavor profiles, ingredients, and liquor and wine pairings in order to make the best recommendations to diners. When a Bartender is not available, the Servers may need to make basic cocktails and mocktails. Servers will provide wine service to guests. All Forbes standards will be utilized throughout service experience. Schedule: 35 hours per week. Work schedule can vary and can include evening, weekend, and holiday hours. Work may be performed on any day of the week from Monday through Sunday. Example shifts: 7:00am to 2:00pm, 8:00am to 3:00pm, 4:00pm to 11:00pm or 3:00pm to 10:00pm. Shift hours may vary. Please see the attached job description for additional details. Job Classification: 35-3031.00 - Waiters and Waitresses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6 Special Requirements: The Petitioner will consider for employment any person who possesses at least six (6) months of experience in a fine-dining or high-volume environment at a high-end restaurant, resort, or private club. Applicant must complete pre-employment background check and drug screening at employers expense. Number of Hours Per Week: 35 Work Schedule (Start/End time): 7:00 A.M. - 2:00 P.M.</t>
  </si>
  <si>
    <t>H-400-26184-077325</t>
  </si>
  <si>
    <t>Line Cooks will be responsible for preparing, seasoning, and cooking soups, meats, vegetables, desserts, baked goods, and other food items in a restaurant according to recipe or Chef’s instruction. Must utilize appropriate knife skills and kitchen equipment while maintaining all food handling and local health and safety codes and requirements. Schedule: 35 hours per week. Work schedule can vary and can include evening, weekend, and holiday hours. Work may be performed on any day of the week from Monday through Sunday. Example shifts: 6:00 am – 1:00pm; 9:00 am – 4:00pm; 5:00 pm – 12:00 am. Shift hours may vary. Please see the attached job description for additional details. Job Classification: 35-2014.00 - Cooks, Restaurant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6 Special Requirements: The Petitioner will consider for employment any person who possesses at least six (6) months of culinary experience in a fine-dining or high-volume environment at a high-end restaurant, resort, or private club. Applicant must complete pre-employment background check and drug screening at employers expense. Number of Hours Per Week: 35 Work Schedule (Start/End time): 6:00 A.M. - 1:00 P.M.</t>
  </si>
  <si>
    <t>H-400-26184-077321</t>
  </si>
  <si>
    <t>***RFI Response*** “Maintaining equipment and work areas in kitchen, banquet storage area and employee dining room in clean and organized condition” – this consists basic and routine maintenance of the dish washer and sanitizer machine without special tools or chemicals by running clean cycles, cleaning catch baskets, and ensuring that all detachable pieces are cleaned and secured. Stewards will also wipe down cold stations, clean aluminum trays in the cold buffets in the employee café, and wipe out coolers. “Assisting with the washing, peeling, and cutting of vegetables and other food preparation work required by the Kitchen Manager” - this consists of washing, peeling, and slicing, mushrooms, potatoes, lettuce, carrots, and other such vegetables without cooking, and storing washed, peeled, and cut vegetables in bins for future use by Line Cooks. ***Original F.a.2*** Stewards will be responsible for washing dishes and all cooking materials by machine or hand, polishing silver, maintaining equipment and work areas in kitchen, banquet storage area and employee dining room in clean and organized condition, stocking kitchen supplies and food items/condiments for restaurant and employee café, sweeping and mopping kitchen and cafe floors, sorting and removing trash, and assisting with the washing, peeling, and cutting of vegetables and other food preparation work required by the Kitchen Manager. Schedule: 35 hours per week. Work schedule can vary and can include evening, weekend, and holiday hours. Work may be performed on any day of the week from Monday through Sunday. Example shifts 6:00 am – 1:00pm; 9:00 am – 4:00pm; 5:00 pm – 12:00 am. Shift hours may vary. Please see the attached job description for additional details. Job Classification: 35-2021.00 - Food Preparation Workers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The Petitioner will consider for employment any person who possesses at least three (3) months of experience at a high-end restaurant, resort, or private club. Applicant must complete pre-employment background check and drug screening at employers expense. Number of Hours Per Week: 35 Work Schedule (Start/End time): 6:00 A.M. - 1:00 P.M.</t>
  </si>
  <si>
    <t>H-400-26184-077300</t>
  </si>
  <si>
    <t>Cedar Hammock Golf &amp; Country Club, Inc.</t>
  </si>
  <si>
    <t>11/05/2027</t>
  </si>
  <si>
    <t>seasonaljobs@cedarhammockcc.com</t>
  </si>
  <si>
    <t>+12393542100</t>
  </si>
  <si>
    <t>Servers will be responsible for greeting customers, setting up the dining areas, taking and placing orders, carrying trays and plates, serving food and beverages, and cleaning and clearing tables. Schedule: 35 hours per week. Work schedule can vary and can include evening, weekend, and holiday hours. Work may be performed on any day of the week from Monday through Sunday. Example shifts: 10:00am to 5:00pm or 3:30pm to 10:30pm. Shift hours may vary. See attached job description for more information. Job Classification: 35-3031.00 - Waiters and Waitresses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The Petitioner will consider for employment any person who possesses at least three (3) months of experience in a fine-dining or high-volume environment at a high-end restaurant, resort, or private club. Number of Hours Per Week: 35 Work Schedule (Start/End time): 10:00 A.M. - 5:00 P.M.</t>
  </si>
  <si>
    <t>H-400-26184-077303</t>
  </si>
  <si>
    <t>Cooks will be responsible for preparing, seasoning, and cooking soups, meats, vegetables, desserts, and other food items in a restaurant. Schedule: 35 hours per week. Work schedule can vary and can include evening, weekend, and holiday hours. Work may be performed on any day of the week from Monday through Sunday. Example shifts: 9:00am to 4:00pm or 3:00pm to 10:00pm. Shift hours may vary. Please see attached job description for additional information. Job Classification: 35-2014.00 - Cooks, Restaurant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6 Special Requirements: The Petitioner will consider for employment any person who possesses at least six (6) months of culinary experience in a fine-dining or high-volume environment at a high-end restaurant, resort, or private club. Number of Hours Per Week: 35 Work Schedule (Start/End time): 9:00 A.M. - 4:00 P.M.</t>
  </si>
  <si>
    <t>H-400-26184-077318</t>
  </si>
  <si>
    <t>Cherokee Plantation Owners, LLC</t>
  </si>
  <si>
    <t>dhr@cherokeeplantation.com</t>
  </si>
  <si>
    <t>+18438447700</t>
  </si>
  <si>
    <t>Housekeepers will be responsible for cleaning and maintaining all rooms, suites, and indoor common areas at Cherokee Plantation’s property, which includes vacuuming floors, dusting, replenishing linens and towels, disinfecting bathrooms, and washing and pressing small linen items as needed. Housekeepers will also be responsible for washing interior windows in common areas and rooms with squeegees and rags. Housekeepers will wash windows within reach and using a small step ladder. Schedule: 40 hours per week. Work schedule can vary and can include evening, weekend, and holiday hours. Work may be performed on any day of the week from Monday through Sunday. Example shifts: 6:30am – 2:30pm and 2:00pm – 10:00pm. Shift hours may vary. See attached job description for additional information. Job Classification: 51-6021.00 - Pressers, Textile, Garment, and Related Materials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The Petitioner will consider for employment any person who possesses at least three (3) months of experience at a high-end hotel, resort, or private club. Number of Hours Per Week: 40 Work Schedule (Start/End time): 6:30 A.M. - 2:30 P.M.</t>
  </si>
  <si>
    <t>H-400-26184-077307</t>
  </si>
  <si>
    <t>Servers will be responsible for greeting customers, setting up the dining areas, taking and placing orders, carrying trays and plates, serving food and beverages, and cleaning and clearing tables. Schedule: 35 hours per week. Work schedule can vary and can include evening, weekend, and holiday hours. Work may be performed on any day of the week from Monday through Sunday. Example shifts: 10:00am to 5:00pm or 3:30pm to 10:30pm. Shift hours may vary. See attached job description for additional information. Job Classification: 35-3031.00 - Waiters and Waitresses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The Petitioner will consider for employment any person who possesses at least three (3) months of experience in a fine-dining or high-volume environment at a high-end restaurant, resort, or private club. Number of Hours Per Week: 35 Work Schedule (Start/End time): 10:00 A.M. - 5:00 P.M.</t>
  </si>
  <si>
    <t>H-400-26184-077310</t>
  </si>
  <si>
    <t>Service Captain</t>
  </si>
  <si>
    <t>Service Captains will be responsible for directly supervising and coordinating activities of workers involved in serving food, including scheduling, hiring, training, and supervising dining room staff, including performance appraisals and discipline, receiving and addressing guest complaints, taking reservations, greeting and seating members and guests, assisting with food service as needed, and communicating information and policy changes. Additional duties include keeping inventory of dining and alcohol items, providing reports regarding employee hours and pay, sales analysis and other reports from point of sale system, and monitoring and adjusting dining room labor and supplies budget. Service Captains will supervise up to sixteen (16) Servers, three (3) Bartenders, six (6) Bussers/Food Runners, and two (2) Concession Attendants. Schedule: 35 hours per week. Work schedule can vary and can include evening, weekend, and holiday hours. Work may be performed on any day of the week from Monday through Sunday. Example shifts: 10:00am to 5:00pm or 3:30pm to 10:30pm. Shift hours may vary. See attached job description for additional information. Job Classification: 35-1012.00 - First-Line Supervisors of Food Preparation and Serving Workers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12 Special Requirements: The Petitioner will consider for employment any person who possesses at least one (1) year of experience in a fine-dining or high-volume environment at a high-end restaurant, resort, or private club. Number of Hours Per Week: 35 Work Schedule (Start/End time): 10:00 A.M. - 5:00 P.M.</t>
  </si>
  <si>
    <t>H-400-26184-077294</t>
  </si>
  <si>
    <t>Outside Services/range Attendant</t>
  </si>
  <si>
    <t>Outside Services/Range Attendants will be responsible for managing Club golf carts by cleaning, staging, detailing, charging, and parking golf carts, maintaining the range ball inventory and dispenser by picking up, washing, and restocking golf balls, maintaining the range by collecting range baskets, filling divots, and removing any trash from the loading dock or driving range, and improving guest experience by cleaning bag stands, cleaning golf clubs, storing member bags, monitoring practice areas to ensure safe use and adherence to club policies, assisting with the unloading and loading of golf bags, and greeting guests in a friendly and professional manner. Outside Services/Range Attendants will frequently lift and/or move up to 50 pounds. Schedule: 35 hours per week. Work schedule can vary and can include evening, weekend, and holiday hours. Work may be performed on any day of the week from Monday through Sunday. Example shifts: 10:00am to 5:00pm or 2:00pm to 9:00pm. Shift hours may vary. See attached job description for additional information. Job Classification: 39-3091.00 - Amusement and Recreation Attendants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The Petitioner will consider for employment any person who possesses at least three (3) months of experience in a high-volume environment at a high-end hotel, resort, private club, or tourism environment. U.S. or International Driver's License is required to drive throughout the property in Club-owned vehicles. Number of Hours Per Week: 35 Work Schedule (Start/End time): 10:00 A.M. - 5:00 P.M.</t>
  </si>
  <si>
    <t>H-400-26184-077298</t>
  </si>
  <si>
    <t>Food Runners will be responsible for efficiently transporting food orders from the kitchen to the dining area, ensuring timely and accurate delivery to members and guests. Will collaborate with the culinary team and expeditor to set up and maintain the mise en place for dinner service, ensuring all necessary items are prepared and organized including buffet items and set up. Maintain clear communication with kitchen staff, servers, and the Front of House Manager to confirm orders and relay any special instructions or modifications. Will verify each order against the kitchen ticket to ensure accuracy before delivery to the table. Must ensure that food is delivered in accordance with presentation standards, maintaining the quality and appearance of all dishes. Assist in maintaining a clean and organized work area, including the food pass station and service areas. Assist servers and bussers as needed, including clearing and resetting tables and replenishing condiments. Able to lift up to 50lbs and have ability to stand for long periods of time. Schedule: 40 hours per week. Work schedule can vary and can include evening, weekend, and holiday hours. Work may be performed on any day of the week from Monday through Sunday. Example shifts: 5:00am to 1:00pm, 10:00am to 6:00pm, or 2:00pm to 10:00pm. Shift hours may vary. See attached job description for additional information. Job Classification: 35-9011.00 - Dining Room and Cafeteria Attendants and Bartender Helpers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6 Special Requirements: The Petitioner will consider for employment any person who possesses at least six (6) months of experience in a fine-dining or high-volume environment at a high-end restaurant, resort, hotel, or private club. Applicant must complete pre-employment background check and drug screening at employers expense. Number of Hours Per Week: 40 Work Schedule (Start/End time): 5:00 A.M. - 1:00 P.M.</t>
  </si>
  <si>
    <t>H-400-26184-077302</t>
  </si>
  <si>
    <t>***RFI response*** Pastry Cooks perform their tasks within an area designated for baking in a restaurant-style kitchen located on the Petitioner’s property. In addition to making pastries for the Petitioner’s restaurant-style dining areas, Pastry Cooks will be making pastries for banquets, private member events, and the Beach Club. ***Original*** Pastry Cooks will be responsible for preparing pastries, breads, desserts, and pastry banquet items according to recipes and standards. Will support pastry banquet and à la carte pastry production, ensuring accuracy and consistency. Assist with decorative pastry work, including chocolate, sugar, and plating presentations. Must maintain accurate production records and follow established recipes and methods. Properly store, label, and rotate food items to ensure freshness and compliance. Maintain professional appearance, uniform standards, and personal hygiene. Able to lift 25lbs or more and work under variable temperatures. Schedule: 40 hours per week. Work schedule can vary and can include evening, weekend, and holiday hours. Work may be performed on any day of the week from Monday through Sunday. Example shifts: 5:00am to 1:00pm, 8:00am to 4:00pm, or 2:00pm to 10:00pm. Shift hours may vary. See attached job description for additional information. Job Classification: 35-2014.00 - Cooks, Restaurant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6 Special Requirements: The Petitioner will consider for employment any person who possesses at least six (6) months of culinary experience in a fine-dining or high-volume environment at a high-end restaurant, resort, hotel, or private club. Applicant must complete pre-employment background check and drug screening at employers expense. Number of Hours Per Week: 40 Work Schedule (Start/End time): 5:00 A.M. - 1:00 P.M.</t>
  </si>
  <si>
    <t>H-400-26184-077313</t>
  </si>
  <si>
    <t>Cooks II will be responsible for preparing, seasoning, and cooking soups, meats, vegetables, desserts, and other food items in a restaurant. Will also be responsible for ensuring food quality and the cleanliness and organization of the kitchen work area, staying aware of food costs and implementing waste management practices during food preparation, and maintaining safety, sanitation, and security of workstations. Will rotate stock and monitor product freshness. Will assist in training and supervising individuals at the Cook III level (prep cooks/food preparation workers). Able to lift 25lbs or more and work under variable temperatures. May perform basic supervision/oversight of up to four (4) Cooks III. Schedule: 40 hours per week. Work schedule can vary and can include evening, weekend, and holiday hours. Work may be performed on any day of the week from Monday through Sunday. Example shifts: 6:00am to 2:00pm, 10:00am to 6:00pm, or 2:00pm to 10:00pm. Shift hours may vary. See attached job description for additional information. Job Classification: 35-2014.00 - Cooks, Restaurant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6 Special Requirements: The Petitioner will consider for employment any person who possesses at least six (6) months of culinary experience in a fine-dining or high-volume environment at a high-end restaurant, resort, hotel, or private club. Applicant must complete pre-employment background check and drug screening at employers expense. Number of Hours Per Week: 40 Work Schedule (Start/End time): 6:00 A.M. - 2:00 P.M.</t>
  </si>
  <si>
    <t>H-400-26184-077326</t>
  </si>
  <si>
    <t>Office Assistant</t>
  </si>
  <si>
    <t>Office Assistants will be responsible for providing essential support at the front desk, assisting with administrative duties, managing package distribution, and ensuring smooth communication between staff members, homeowners, vendors, and the public. Additional duties include, greeting employees, homeowners, vendors, and the public, ensuring a pleasant and professional atmosphere. Office Assistants will also direct visitors to the correct department, individual, or provide the necessary information, and will also answer the main telephone line and provide assistance or direct calls to the appropriate staff members as needed. Will be responsible for receiving, organizing, and assisting in the distribution of UPS, DHL, and Federal Express packages for homeowners or staff personnel. Office Assistants will coordinate with Security personnel to ensure timely and secure delivery of packages to members' homes. Will also be responsible for assisting with the creation, assembly, and mailing of weekly newsletters. Office Assistants will also prepare and affix labels, stuff envelopes, and handle any mailing tasks on a weekly basis, and will also file, organize, and maintain the cleanliness of the office space to ensure an efficient work environment (daily). Office Assistants will also wrap parcels, address them, and prepare outgoing mail for nightly pick-up. Other duties will include ensuring the proper stamping of all outgoing mail, ordering stamps and maintaining inventory of mailing supplies, ensuring stock is regularly replenished, and maintaining and organizing bulletin boards in key areas, including the front of the POA office, ladies' and men's locker rooms, and business center. Will be responsible for creating, checking, and updating bulletin board content daily. Must be able to sit or stand for extended periods. Must be able to lift and carry packages up to 30 lbs. Schedule: 40 hours per week. Work schedule can vary and can include evening, weekend, and holiday hours. Work may be performed on any day of the week from Monday through Sunday. Example shift: 8:30am to 4:30pm. Shift hours may vary. See attached job description for additional information. Job Classification: 43-9061.00 - Office Clerks, General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The Petitioner will consider for employment any person who possesses at least three (3) months of experience in an office environment at a high-end hotel, resort, or private club. Applicant must complete pre-employment background check and drug screening at employers expense. Number of Hours Per Week: 40 Work Schedule (Start/End time): 8:30 A.M. - 4:30 P.M.</t>
  </si>
  <si>
    <t>H-400-26184-077338</t>
  </si>
  <si>
    <t>Bartenders will be responsible for mixing and serving drinks to members and guests, cleaning glasses and bar equipment, and ensuring that the bar and work areas are clean and well-stocked. May be asked to prepare some menu items such as appetizers which includes pickles, cheese, and cold meats. Able to lift 25lbs or more and work under variable temperatures. Schedule: 40 hours per week. Work schedule can vary and can include evening, weekend, and holiday hours. Work may be performed on any day of the week from Monday through Sunday. Example shifts: 10:00am to 6:00pm or 3:00pm to 11:00pm. Shift hours may vary. See attached job description for additional information. Job Classification: 35-3011.00 - Bartenders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6 Special Requirements: The Petitioner will consider for employment any person who possesses at least six (6) months of experience in a fine-dining or high-volume environment at a high-end restaurant, resort, or private club. Applicant must complete pre-employment background check and drug screening at employers expense. Number of Hours Per Week: 40 Work Schedule (Start/End time): 10:00 A.M. - 6:00 P.M.</t>
  </si>
  <si>
    <t>H-400-26184-077314</t>
  </si>
  <si>
    <t>Cook Iii</t>
  </si>
  <si>
    <t>Cooks III will be responsible for a variety of food preparation duties (other than cooking), including washing, peeling, and chopping vegetables and preparing simple garnishes. Will assist with basic prep such as measuring, mixing, and portioning. Will stock assigned workstation with ingredients and supplies. Will also be responsible for ensuring food quality and the cleanliness and organization of the kitchen work area, and maintain safety, sanitation, and security of workstations. Able to lift 25lbs or more and work under variable temperatures. Schedule: 40 hours per week. Work schedule can vary and can include evening, weekend, and holiday hours. Work may be performed on any day of the week from Monday through Sunday. Example shifts: 6:00am to 2:00pm, 10:00am to 6:00pm, or 2:00pm to 10:00pm. Shift hours may vary. See attached job description for additional information. Job Classification: 35-2021.00 - Food Preparation Workers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Applicant must complete pre-employment background check and drug screening at employers expense. Number of Hours Per Week: 40 Work Schedule (Start/End time): 6:00 A.M. - 2:00 P.M.</t>
  </si>
  <si>
    <t>H-400-26184-077327</t>
  </si>
  <si>
    <t>***RFI response*** The role of Captain is a lead-level Wait Staff position that supports Wait Staff, supervisors, and managers by assisting with Wait Staff-type tasks such as taking orders, serving food, taking reservations, and printing menus. In addition, Captains also assist with training and supervise the Wait Staff employees in absence of the Food &amp; Beverage Supervisor and Food &amp; Beverage Manager. The additional details about the Food &amp; Beverage Supervisor’s responsibilities as they relate to supervising Captains are to supervise, train, and mentor team members, ensuring adherence to service standards, policies, and procedures; assisting with scheduling, timekeeping, and daily staff assignments to ensure proper coverage and efficiency; and helping conduct preshift meetings to communicate daily priorities, service expectations, and special events. Please note that Food &amp; Beverage Supervisors do not have authority for conducting personnel actions including disciplinary action or hiring/firing, and instead it is the Food &amp; Beverage Manager position that has this authority. ***Original*** Food &amp; Beverage Supervisor will be responsible for supervising food and beverage operations in both Greenside (casual dining restaurant) and the Sports Bar, supporting managers in those locations with daily service, ensuring high levels of member satisfaction and consistency. Will supervise restaurant operations in collaboration with the Food &amp; Beverage Manager across multiple outlets, supporting managers with daily service to ensure high levels of member satisfaction and consistency. Supervise, train, and mentor team members, ensuring adherence to service standards, policies, and procedures. Will assist with scheduling, timekeeping, and daily staff assignments to ensure proper coverage and efficiency. Help conduct pre-shift meetings to communicate daily priorities, service expectations, and special events. Oversee Sunday brunch operations, ensuring seamless execution and exceptional member experience. Provide support in other dining outlets as needed to maintain consistent coverage and service quality. Will ensure all areas maintain cleanliness, safety, and service excellence standards at all times. Able to lift up to 40lbs and work under variable temperatures. May Supervise up to three (3) Captains and twenty (20) Wait Staff. Schedule: 40 hours per week. Work schedule can vary and can include evening, weekend, and holiday hours. Work may be performed on any day of the week from Monday through Sunday. Example shifts: 6:00am to 2:00pm, 10:00am to 6:00pm, or 2:00pm to 10:00pm. Shift hours may vary. See attached job description for additional information. Job Classification: 35-1012.00 - First-Line Supervisors of Food Preparation and Serving Workers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12 Special Requirements: The Petitioner will consider for employment any person who possesses at least one (1) year of food &amp; beverage experience in a fine-dining or high-volume environment at a high-end restaurant, resort, or private club. Applicant must complete pre-employment background check and drug screening at employers expense. Number of Hours Per Week: 40 Work Schedule (Start/End time): 6:00 A.M. - 2:00 P.M.</t>
  </si>
  <si>
    <t>H-400-26184-077304</t>
  </si>
  <si>
    <t>Yeni.mendozarivas@hilton.com</t>
  </si>
  <si>
    <t>Line Cooks will be responsible for preparing, seasoning, and cooking soups, meats, vegetables, desserts, and other food items in a restaurant. Schedule: 35 hours per week. Work schedule can vary and can include evening, weekend, and holiday hours. Work may be performed on any day of the week from Monday through Sunday. Example shifts: 8:00am to 3:00pm, or 3:00pm to 10:00pm. Shift hours may vary. See attached job description for additional information. Job Classification: 35-2014.00 - Cooks, Restaurant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12 Special Requirements: The Petitioner will consider for employment any person who possesses at least twelve (12) months of culinary experience in a fine-dining or high-volume environment at a high-end restaurant, resort, or private club. Applicant must complete pre-employment background check at employers expense. Number of Hours Per Week: 35 Work Schedule (Start/End time): 8:00 A.M. - 3:00 P.M.</t>
  </si>
  <si>
    <t>H-400-26184-077290</t>
  </si>
  <si>
    <t>Lost Tree Club, Inc.</t>
  </si>
  <si>
    <t>employment@losttreeclub.com</t>
  </si>
  <si>
    <t>+15616261501</t>
  </si>
  <si>
    <t>Front Desk/Concierges will be responsible for operating telephones in a polite and friendly manner, following proper telephone etiquette, greeting members and guests, assisting with reservations for spa services, dining and special events, distributing Club information and schedules, executing point-of-sale and billing reconciliation for member and guest purchases such as spa products, services, and food and beverage, and collecting and sorting the mail on a daily basis. The Front Desk/Concierge will also be responsible for ensuring that all common areas in the front desk/reception area are properly cleaned, inventoried, restocked, and ready for guest appointments or reservations. Schedule: 35 hours per week. Work schedule can vary and can include evening, weekend, and holiday hours. Work may be performed on any day of the week from Monday through Sunday. Example shifts: 7:00am to 2:00pm or 12:00pm to 7:00pm and may vary. Shift hours may vary. Please see attached job description for additional information. Job Classification: 43-4081.00 - Hotel, Motel, and Resort Desk Clerks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6 Special Requirements: The Petitioner will consider for employment any person who possesses at least six (6) months of front desk experience in a high-end hotel, resort, or private club. Applicant must complete a pre-employment drug screening at employers expense. Number of Hours Per Week: 35 Work Schedule (Start/End time): 7:00 A.M. - 2:00 P.M.</t>
  </si>
  <si>
    <t>H-400-26184-077309</t>
  </si>
  <si>
    <t>Servers will be responsible for greeting customers and escorting them to the table, setting-up the dining areas, answering the phone and taking reservations, taking and placing guest orders, carrying trays and plates, serving food and beverages, and cleaning and clearing tables. Schedule: 35 hours per week. Work schedule can vary and can include evening, weekend, and holiday hours. Work may be performed on any day of the week from Monday through Sunday. Example shifts: 10:00am to 5:00pm or 4:00pm to 11:00pm. Shift hours may vary. Please see attached job description for additional information. Job Classification: 35-3031.00 - Waiters and Waitresses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12 Special Requirements: The Petitioner will consider for employment any person who possesses at least one (1) year of service experience in a fine-dining or high-volume environment at a high-end restaurant, resort, or private club. Applicant must complete a pre-employment drug screening at employers expense. Number of Hours Per Week: 35 Work Schedule (Start/End time): 10:00 A.M. - 5:00 P.M.</t>
  </si>
  <si>
    <t>H-400-26184-077316</t>
  </si>
  <si>
    <t>Housekeepers will be responsible for cleaning and maintaining all rooms, suites, and indoor common areas at Lost Tree Club, Inc.’s property, which includes vacuuming floors, rearranging furniture, dusting, laundering and replenishing linens and towels, disinfecting bathrooms, and washing windows. Schedule: 35 hours per week. Work schedule can vary and can include evening, weekend, and holiday hours. Work may be performed on any day of the week from Monday through Sunday. Example shifts: 6:00am to 1:00pm or 4:00pm to 11:00pm. Shift hours may vary. See attached job description for additional information. Job Classification: 37-2012.00 - Maids and Housekeeping Cleaners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The Petitioner will consider for employment any person who possesses at least three (3) months of housekeeping experience at a high-end resort, hotel or private club. Applicant must complete a pre-employment drug screening at employers expense. Number of Hours Per Week: 35 Work Schedule (Start/End time): 6:00 A.M. - 1:00 P.M.</t>
  </si>
  <si>
    <t>H-400-26184-077319</t>
  </si>
  <si>
    <t>Food &amp; Beverage Supervisors will be responsible for greeting members and guests, assigning and ensuring that side work, set-up, and clean up are completed by service staff each shift, collaborating with the kitchen and bar staff to ensure prompt delivery of orders by service staff, overseeing reservations and preparing seating plans, overseeing the service process, collecting member and guest feedback and reviews, answering the phone and taking reservations, completing and sending end of shift reports to the management team, and reviewing banquet events sheets and billing club events as needed. May supervise up to twelve (12) Servers and two (2) Bartenders. Schedule: 40 hours per week. Work schedule can vary and can include evening, weekend, and holiday hours. Work may be performed on any day of the week from Monday through Sunday. Example shifts: 10:00am to 6:00pm, 12:00pm to 8:00pm, or 2:00pm to 10:00pm. Shift hours may vary. Please see attached job description for additional information. Job Classification: 35-1012.00 - First-Line Supervisors of Food Preparation and Serving Workers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12 Special Requirements: The Petitioner will consider for employment any person who possesses at least one (1) year of service experience in a fine-dining or high-volume environment at a high-end restaurant, resort, or private club. Applicant must complete a pre-employment drug screening at employers expense. Number of Hours Per Week: 40 Work Schedule (Start/End time): 10:00 A.M. - 6:00 P.M.</t>
  </si>
  <si>
    <t>H-400-26184-077305</t>
  </si>
  <si>
    <t>Stewards will be responsible for washing dishes and all cooking materials by machine or hand, maintaining kitchen work areas and equipment in clean condition, sweeping and scrubbing floors, and sorting and removing trash. Stewards will also assist in basic food preparation as directed by the department chef. Schedule: 35 hours per week. Work schedule can vary and can include evening, weekend, and holiday hours. Work may be performed on any day of the week from Monday through Sunday. Example shifts: 7:00am to 2:00pm or 5:00pm to 12:00am. Shift hours may vary. Please see attached job description for additional information. Job Classification: 35-2021.00 - Food Preparation Workers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The Petitioner will consider for employment any person who possesses at least three (3) months of experience in a fine-dining or high volume food preparation and production environment. Applicant must complete a pre-employment drug screening at employers expense. Number of Hours Per Week: 35 Work Schedule (Start/End time): 7:00 A.M. - 2:00 P.M.</t>
  </si>
  <si>
    <t>H-400-26184-077315</t>
  </si>
  <si>
    <t>Line Cooks will be responsible for preparing, seasoning, and cooking soups, meats, vegetables, desserts, and other food items in a restaurant. Schedule: 35 hours per week. Work schedule can vary and can include evening, weekend, and holiday hours. Work may be performed on any day of the week from Monday through Sunday. Work hours are from 7:00am to 2:00pm or 4:00pm to 11:00pm and may vary. Please see attached job description for additional information. Job Classification: 35-2014.00 - Cooks, Restaurant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12 Special Requirements: The Petitioner will consider for employment any person who possesses at least one (1) year of culinary experience in a fine-dining or high-volume food preparation and production environment. Applicant must complete a pre-employment drug screening at employers expense. Number of Hours Per Week: 35 Work Schedule (Start/End time): 7:00 A.M. - 2:00 P.M.</t>
  </si>
  <si>
    <t>H-400-26184-077329</t>
  </si>
  <si>
    <t>Louisiana Blue Crab, L.L.C.</t>
  </si>
  <si>
    <t>JACKIE MITCHELL</t>
  </si>
  <si>
    <t>lbc08@kaplantel.net</t>
  </si>
  <si>
    <t>+13376436090</t>
  </si>
  <si>
    <t>Fish Cutter and Trimmer Laborer</t>
  </si>
  <si>
    <t>***RFI Response 3*** The statement "once the crab is received, workers will cook the product, place in coolers" consist of the following duties and tools: Steam whole crab/crawfish; Manually load steamer basket with crates of crabs/sacks of crawfish, use electric wench to load/unload steamer and transfer to table in refrigerated room for further processing. Manually remove back shell from the body of the steamed crabs and break off crab pinchers, manually place crab bodies/pinchers/crawfish in plastic crates and manually move plastic crates with crab bodies/pinchers/crawfish to designated cooler. Manually clean and sterilize work area table and equipment. The statement "Containers are then placed on ice and placed in coolers before sold to the consumer" consist of the following duties and tools: Workers will manually place individual containers of meat in boxes and cover with ice, manually move boxes to designated cooler in preparation of orders for wholesale retail sale. ***RFI Response 2*** Once the meat has been ejected from the product (crab), it is weighted on a 10Lb scale by each employee, ejecting the meat. The ejected meat is then placed under a black light used to identify any shells in the meat. Once the shells have been removed by hand from the peeled meat, the meat is weighed again and placed in 1lb and ½ Lb containers. Containers are then placed on ice and placed in coolers before sold to the consumer. ***RFI Response*** Once the crab is received, workers will cook the product, place product in coolers, and the peeling process begins the next day. Peeling of crab and crawfish using any combination of the following tools: Crab Crackers, Seafood Shellers, Meat Extractor, and Mallets. Work will be done by wearing gloves, hair nets (as needed), on a clean, flat surface at the seafood processing plant. Once meat is ejected, the worker will assist with packaging the meat properly in preparation for distribution to local restaurants and retailers. ***Original F.a.2*** to assist with the peeling of crab and crawfish, to eject meat from outer shell. Prepare product for distribution. Job Classification: 51-3093.00 - Food Cooking Machine Operators and Tenders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Work hours are from 4am-12pm. Monday Friday. Overtime is worked as necessary. Overtime paid after 40 hours a week during. Workers will have 1-hour unpaid lunch break during the workday. Number of Hours Per Week: 40 Work Schedule (Start/End time): 4:00 A.M. - 12:00 P.M.</t>
  </si>
  <si>
    <t>H-400-26184-077335</t>
  </si>
  <si>
    <t>Lula-Westfield, L.L.C.</t>
  </si>
  <si>
    <t>ssavoie@luwest.com</t>
  </si>
  <si>
    <t>+19853696450</t>
  </si>
  <si>
    <t>Help installation, maintenance, and repair workers in maintenance, parts replacement and repair of industrial equipment. Perform duties such as furnishing tools, materials, and supplies to other workers, cleaning work area, machines, and tools and holding materials or tools for other workers during the harvesting season and in preparation for the upcoming harvesting season. Job Classification: 49-9098.00 - Helpers--Installation, Maintenance, and Repair Workers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Must be willing to work 7 days a week, varying 12-hour shifts (12pm-12am; 12am-12pm); overtime paid after 48 hours a week during harvesting season; 40 hours a week after harvesting season until the end of the contract. Overtime as needed after harvesting season. Workers will have 30 minutes paid lunch break during the workday. A weekly meal allowance will be provided to the worker. Number of Hours Per Week: 84 Work Schedule (Start/End time): 12:00 P.M. - 12:00 A.M.</t>
  </si>
  <si>
    <t>H-400-26184-077323</t>
  </si>
  <si>
    <t>Marco Island Yacht Club, Inc.</t>
  </si>
  <si>
    <t>gm@marcoislandyachtclub.net</t>
  </si>
  <si>
    <t>+12393940199</t>
  </si>
  <si>
    <t>Servers will be responsible for greeting customers, taking and placing orders, carrying trays and plates, serving food and beverages, cleaning and clearing tables, and setting up tables in the dining area in accordance with fine dining service standards by placing and aligning tableware such as charger plates, course-specific utensils, wine and water glassware, and folded linens; polishing and inspecting glassware, flatware, and plates; arranging tables, chairs, and settings based on reservations, floor plans, and member preferences; stocking and organizing service stations with polished silverware, linens, and service tools; and setting bread plates, butter knives, and condiments as required; and conducting a final inspection of the dining room to ensure cleanliness, proper spacing, and adherence to club service standards prior to service. Schedule: 35 hours per week. Work schedule can vary and can include evening, weekend, and holiday hours. Work may be performed on any day of the week from Monday through Sunday. Example shifts: 8:30AM-3:30PM or 2:30PM-9:30PM. Shift hours may vary. Please see attached job description for more information. Job Classification: 35-3031.00 - Waiters and Waitresses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The Petitioner will consider for employment any person who possesses at least three (3) months of experience in a fine-dining or high-volume environment at a high-end restaurant, resort, or private club. Applicant must complete pre-employment background check and drug screening at employer's expense. Number of Hours Per Week: 35 Work Schedule (Start/End time): 8:30 A.M. - 3:30 P.M.</t>
  </si>
  <si>
    <t>H-400-26184-077330</t>
  </si>
  <si>
    <t>Kitchen Supervisors will assist the Sous Chef and Executive Chef supervise and coordinate day-to-day operations of the kitchen and staff, ensuring food quality, consistency, cleanliness, and safety standards are maintained. Kitchen Supervisors will be responsible for collaborating with culinary team and other personnel for menu planning, as well as banquet and large event preparation and production, by managing kitchen staff assignments during events; monitoring food quality, consistency, portioning, and dietary restriction accommodations; coordinating timing with service staff and front-of-house; and communicating last-minute changes. Ensure banquet food is prepared on time and according to BEOs (Banquet Event Orders); assist with food ordering, receiving, and inventory control; ensure proper food storage and labeling. Maintain food safety and sanitation compliance by supervising and participating in kitchen and dining area cleaning activities including sanitizing food preparation surfaces, cleaning and organizing equipment and utensils, sweeping and mopping floors, removing trash and recycling, and wiping down tables and service stations. Train workers in food preparation and in sanitation and safety procedures. Support operations across all kitchen stations as needed (line, prep, expo, banquets) by line cooking, preparing food, expediting, banquet production, preparing and cooking menu items, assembling and plating dishes, coordinating order flow between kitchen and service staff, and assisting with large-scale event execution. These responsibilities are carried out using standard commercial kitchen equipment and tools, including ranges, ovens, grills, sauté stations, knives, prep equipment, plating tools, and communication systems used for order coordination. May supervise up to eight (8) Cooks. Schedule: 35 hours per week. Work schedule can vary and can include evening, weekend, and holiday hours. Work may be performed on any day of the week from Monday through Sunday. Example shifts: 8:00AM-3:00PM or 2:00PM-9:00PM. Shift hours may vary. Please see attached job description for additional information. Job Classification: 35-1012.00 - First-Line Supervisors of Food Preparation and Serving Workers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12 Special Requirements: The Petitioner will consider for employment any person who possesses at least one (1) year of culinary experience in a fine dining or high-volume environment at a high-end restaurant, hotel, resort, or private club. Applicant must complete pre-employment background check and drug screening at employers expense. Number of Hours Per Week: 35 Work Schedule (Start/End time): 8:00 A.M. - 3:00 P.M.</t>
  </si>
  <si>
    <t>H-400-26184-077334</t>
  </si>
  <si>
    <t>Cooks will be responsible for preparing, seasoning, and cooking soups, meats, vegetables, desserts, and other food items in a restaurant setting. Schedule: 35 hours per week. Work schedule can vary and can include evening, weekend, and holiday hours. Work may be performed on any day of the week from Monday through Sunday. Example shifts: 8:00AM-3:00PM or 2:00PM-9:00PM. Shift hours may vary. Please see attached job description for more information. Job Classification: 35-2014.00 - Cooks, Restaurant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6 Special Requirements: The Petitioner will consider for employment any person who possesses at least six (6) months of culinary experience in a fine-dining or high-volume environment at a high-end restaurant, resort, or private club. Applicant must complete pre-employment background check and drug screening at employer's expense. Number of Hours Per Week: 35 Work Schedule (Start/End time): 8:00 A.M. - 3:00 P.M.</t>
  </si>
  <si>
    <t>H-400-26184-077331</t>
  </si>
  <si>
    <t>Food Runners will be responsible for setting tables, cleaning and clearing tables, serving water to customers, serving food to customers when waiters or waitresses need assistance, and assisting with banquet setup (setting up tables, chairs, linens, utensils). Schedule: 35 hours per week. Work schedule can vary and can include evening, weekend, and holiday hours. Work may be performed on any day of the week from Monday through Sunday. Example shifts: 8:30AM-3:30PM or 2:30PM-9:30PM. Shift hours may vary. Please see attached job description for more information. Job Classification: 35-9011.00 - Dining Room and Cafeteria Attendants and Bartender Helpers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The Petitioner will consider for employment any person who possesses at least three (3) months of experience in a fine-dining or high-volume environment at a high-end restaurant, resort, or private club. Applicant must complete pre-employment background check and drug screening at employer's expense. Number of Hours Per Week: 35 Work Schedule (Start/End time): 8:30 A.M. - 3:30 P.M.</t>
  </si>
  <si>
    <t>H-400-26184-077296</t>
  </si>
  <si>
    <t>Mirabel Golf Club, Inc.</t>
  </si>
  <si>
    <t>clubinfo@mirabel.com</t>
  </si>
  <si>
    <t>+14804371500</t>
  </si>
  <si>
    <t>Greenskeeper</t>
  </si>
  <si>
    <t>Greenskeepers will be responsible for maintaining golf course grounds using hand and power tools and equipment. Will perform any combination of the following: sod laying, mowing, trimming, planting, watering, fertilizing, digging, raking, and sprinkler installation. Schedule: 40 hours per week. Work schedule can vary and can include evening, weekend, and holiday hours. Work may be performed on any day of the week from Monday through Sunday. Example shifts: 5:30am – 1:30pm, 6:00am – 2:00pm, or 6:30am – 2:30pm. Shift hours may vary. Please see job description for additional information. Job Classification: 37-3011.00 - Landscaping and Groundskeeping Workers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The Petitioner will consider for employment any person who possesses at least three (3) months of experience maintaining grounds at a high-end hotel, resort, or private club. Number of Hours Per Week: 40 Work Schedule (Start/End time): 5:30 A.M. - 1:30 P.M.</t>
  </si>
  <si>
    <t>H-400-26184-077301</t>
  </si>
  <si>
    <t>Cooks will be responsible for preparing, seasoning, and cooking soups, meats, vegetables, desserts, and other food items in a restaurant, cleaning kitchen area and floors at the end of the day, and occasionally washing dishes. Schedule: 40 hours per week. Work schedule can vary and can include evening, weekend, and holiday hours. Work may be performed on any day of the week from Monday through Sunday. Example shifts: 6:00am – 2:00pm, 10:00am – 6:00pm, or 1:00pm – 9:00pm. Shift hours may vary. Please see job description for additional information. Job Classification: 35-2014.00 - Cooks, Restaurant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The Petitioner will consider for employment any person who possesses at least three (3) months of culinary experience in a fine-dining or high-volume environment at a high-end restaurant, resort, or private club. Number of Hours Per Week: 40 Work Schedule (Start/End time): 6:00 A.M. - 2:00 P.M.</t>
  </si>
  <si>
    <t>H-400-26184-077337</t>
  </si>
  <si>
    <t xml:space="preserve">Old Marsh Golf Club, Inc. </t>
  </si>
  <si>
    <t>humanresources@oldmarshgolf.com</t>
  </si>
  <si>
    <t>+15615729402</t>
  </si>
  <si>
    <t>Servers will be responsible for greeting customers, setting up the dining areas, taking and placing orders, carrying trays and plates, serving food and beverages, and cleaning and clearing tables. Schedule: 35 hours per week. Work schedule can vary and can include evening, weekend, and holiday hours. Work may be performed on any day of the week from Sunday through Saturday. Example shifts: 9:00am to 4:00pm or 3:00pm to 10:00pm. Shift hours may vary. Please see attached job description for additional information. Job Classification: 35-3031.00 - Waiters and Waitresses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6 Special Requirements: The Petitioner will consider for employment any person who possesses at least six (6) months of service experience in a fine-dining or high-volume environment at a high-end restaurant, resort or private club. Applicant must complete pre-employment background check and drug screening at employers expense. Number of Hours Per Week: 35 Work Schedule (Start/End time): 9:00 A.M. - 4:00 P.M.</t>
  </si>
  <si>
    <t>H-400-26184-077328</t>
  </si>
  <si>
    <t>Olde Cypress Development, LTD.</t>
  </si>
  <si>
    <t>seasonaljobs@oldecypress.com</t>
  </si>
  <si>
    <t>+12395964797</t>
  </si>
  <si>
    <t>Servers will be responsible for setting up the dining room, taking and placing customers’ orders, carrying trays, serving food and beverages, and cleaning and clearing tables. Schedule: 40 hours per week. Work schedule can vary and can include evening, weekend, and holiday hours. Work may be performed on any day of the week from Monday through Sunday. Example shifts: 8:00am to 4:00pm, 10:00am to 6:00pm, or 12:00pm to 8:00pm. Shift hours may vary. See attached job description for additional information. Job Classification: 35-3031.00 - Waiters and Waitresses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12 Special Requirements: The Petitioner will consider for employment any person who possesses at least one (1) year of service experience in a fine-dining or high-volume environment at a high-end restaurant, resort, or private club. Applicant must complete pre-employment background check and drug screening at employer's expense. Number of Hours Per Week: 40 Work Schedule (Start/End time): 8:00 A.M. - 4:00 P.M.</t>
  </si>
  <si>
    <t>H-400-26184-077333</t>
  </si>
  <si>
    <t>Line Cooks will be responsible for preparing, seasoning, and cooking soups, meats, vegetables, desserts, and other food items in a restaurant and be proactive in sanitation and rotation of food items. Schedule: 40 hours per week. Work schedule can vary and can include evening, weekend, and holiday hours. Work may be performed on any day of the week from Monday through Sunday. Example shifts: 8:00am to 4:00pm, 10:00am to 6:00pm, or 12:00pm to 8:00pm. Shift hours may vary. See attached job description for additional information. Job Classification: 35-2014.00 - Cooks, Restaurant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12 Special Requirements: The Petitioner will consider for employment any person who possesses at least one (1) year of culinary experience in a fine-dining or high-volume environment at a high-end restaurant, resort, or private club. Applicant must complete pre-employment background check and drug screening at employer's expense. Number of Hours Per Week: 40 Work Schedule (Start/End time): 8:00 A.M. - 4:00 P.M.</t>
  </si>
  <si>
    <t>H-400-26184-077311</t>
  </si>
  <si>
    <t>Pinery Christmas Trees Inc</t>
  </si>
  <si>
    <t>Mosborne1@san.rr.com</t>
  </si>
  <si>
    <t>+18585667466</t>
  </si>
  <si>
    <t>Seasonal Retail Salespersons - 41-2031</t>
  </si>
  <si>
    <t>SEASONAL RETAIL SALES OF PUMPKINS AND CHRISTMAS TREES. THE WORKERS WOULD WORK AS A TEAM TO COMPLETE TASKS WHICH MAY INCLUDE DUTIES OF: GREET CUSTOMERS AND ASCERTAIN WHAT EACH CUSTOMER WANTS OR NEEDS. DESCRIBE MERCHANDISE AND EXPLAIN USE, OPERATION, AND CARE OF MERCHANDISE TO CUSTOMERS. RECOMMEND, SELECT, AND HELP LOCATE OR OBTAIN MERCHANDISE BASED ON CUSTOMER NEEDS AND DESIRES. COMPUTE SALES PRICES, TOTAL PURCHASES, AND RECEIVE AND PROCESS CASH OR CREDIT PAYMENT. ANSWER QUESTIONS REGARDING THE STORE AND ITS MERCHANDISE. PREPARE SALES SLIPS OR SALES CONTRACTS. MAINTAIN KNOWLEDGE OF CURRENT SALES AND PROMOTIONS, POLICIES REGARDING PAYMENT AND EXCHANGES, AND SECURITY PRACTICES. MAINTAIN RECORDS RELATED TO SALES. DEMONSTRATE USE OR OPERATION OF MERCHANDISE. PLACE SPECIAL ORDERS OR CALL OTHER STORES TO FIND DESIRED ITEMS. PREPARE MERCHANDISE FOR PURCHASE OR RENTAL. WATCH FOR AND RECOGNIZE SECURITY RISKS AND THEFTS AND KNOW HOW TO PREVENT OR HANDLE THESE SITUATIONS. INVENTORY STOCK AND REQUISITION NEW STOCK. TICKET, ARRANGE, AND DISPLAY MERCHANDISE TO PROMOTE SALES. EXCHANGE MERCHANDISE FOR CUSTOMERS AND ACCEPT RETURNS. CLEAN SHELVES, COUNTERS, AND TABLES. HELP CUSTOMERS TRY ON OR FIT MERCHANDISE. SELL OR ARRANGE FOR DELIVERY, INSURANCE, FINANCING, OR SERVICE CONTRACTS FOR MERCHANDISE. ESTIMATE AND QUOTE TRADE-IN ALLOWANCES. OPEN AND CLOSE CASH REGISTERS, PERFORMING TASKS SUCH AS COUNTING MONEY, SEPARATING CHARGE SLIPS, COUPONS, AND VOUCHERS, BALANCING CASH DRAWERS, AND MAKING DEPOSITS. ESTIMATE QUANTITY AND COST OF MERCHANDISE REQUIRED. BAG OR PACKAGE PURCHASES. Job Classification: 41-2031.00 - Retail Salespersons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POST-EMPLOYMENT RANDOM DRUG TESTING AND BACKGROUND CHECKS MAY BE REQUIRED, AT NO COST TO THE WORKER. THE JOB REQUIRES THE APPLICANT TO BE QUALIFIED, READY, WILLING, ABLE, AND AVAILABLE TO PERFORM DURING THE ENTIRE EMPLOYMENT AT ALL THE DESIGNATED WORKSITES; AND TO FOLLOW WORKPLACE RULES. Number of Hours Per Week: 40 Work Schedule (Start/End time): 9:00 A.M. - 5:00 P.M.</t>
  </si>
  <si>
    <t>H-400-26184-077291</t>
  </si>
  <si>
    <t>Shadow Wood Country Club, Inc</t>
  </si>
  <si>
    <t>seasonaljobs@shadowwoodcc.com</t>
  </si>
  <si>
    <t>+12393904503</t>
  </si>
  <si>
    <t>Servers will be responsible for greeting customers in both traditional seated dining facilities and walk-up fast causal settings, taking and placing orders, carrying trays and plates, serving food and beverages to both seated and walk-up customers, cleaning and clearing tables, and preparing and serving coffee, espresso, and specialty drinks according to standardized recipes. Servers may need to occasionally lift and/or move up to 50 lbs. Schedule: 40 hours per week. Work schedule can vary and can include evening, weekend, and holiday hours. Work may be performed on any day of the week from Monday through Sunday. Example shifts: 6:00am - 2:00pm, 8:00am - 4:00pm, 2:00pm -10:00pm, or 3:00pm - 11:00pm. Shift hours may vary. Please see attached job description for additional information. Job Classification: 35-3031.00 - Waiters and Waitresses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The Petitioner will consider for employment any person who possesses at least three (3) months of experience in a fine-dining or high-volume environment at a high-end restaurant, resort, or private club. Number of Hours Per Week: 40 Work Schedule (Start/End time): 6:00 A.M. - 2:00 P.M.</t>
  </si>
  <si>
    <t>H-400-26184-077293</t>
  </si>
  <si>
    <t>Server Assistants will be responsible for setting tables, assisting Servers by delivering trays and plates with food to guests, setting-up buffets and breaking down buffets (including arranging tables, chairs, and buffet stations according to floor plan and setting tables), cleaning and clearing tables, serving water and coffee to customers, and sweeping and vacuuming floors. Server Assistants may need to occasionally lift and/or move up to fifty (50) lbs. Schedule: 40 hours per week. Work schedule can vary and can include evening, weekend, and holiday hours. Work may be performed on any day of the week from Monday through Sunday. Example shifts: 6:00am - 2:00pm, 8:00am - 4:00pm, 2:00pm -10:00pm, or 3:00pm - 11:00pm. Shift hours may vary. Please see attached job description for additional information. Job Classification: 53-7062.00 - Laborers and Freight, Stock, and Material Movers, Hand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The Petitioner will consider for employment any person who possesses at least three (3) months of experience in a fine-dining or high-volume environment at a high-end restaurant, resort, hotel, or private club. Number of Hours Per Week: 40 Work Schedule (Start/End time): 6:00 A.M. - 2:00 P.M.</t>
  </si>
  <si>
    <t>H-400-26184-077297</t>
  </si>
  <si>
    <t xml:space="preserve">Shadow Wood Country Club, Inc </t>
  </si>
  <si>
    <t>Lifeguard/recreation Attendant</t>
  </si>
  <si>
    <t>Lifeguard/Recreation Attendants will be responsible for monitoring pool activity and pool deck, maintaining constant awareness of guests and potential hazards, maintaining pool equipment, furniture, umbrellas, and pool decks in a clean, orderly, and safe condition, hosing off pool decks, removing debris from pool decks and water, keeping tubes and pool equipment organized, managing pool towels including retrieving soiled towels from laundry, replenishing clean towels, keeping towels neatly folded and stacked. Lifeguard/Recreation Attendants will also be responsible for acting with a sense of urgency in emergency situations, coordinating effectively with other lifeguards and the pool deck team, communicating clearly with guests and team members, and paying close attention to guest safety and needs. Lifeguard/Recreation Attendants must possess the ability to lift, push, or pull up to 150+ pounds, be able to sit outside for extended periods in various weather conditions while remaining alert, and have the ability to swim proficiently. Must be able to pass all required lifeguard certifications. Schedule: 40 hours per week. Work schedule can vary and can include evening, weekend, and holiday hours. Work may be performed on any day of the week from Monday through Sunday. Example shifts: 6:00am - 2:00pm, 8:00am - 4:00pm, 2:00pm -10:00pm, or 3:00pm - 11:00pm. Shift hours may vary. Please see attached job description for additional information. Job Classification: 33-9092.00 - Lifeguards, Ski Patrol, and Other Recreational Protective Service Workers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1 Special Requirements: The Petitioner will consider for employment any person who possesses at least one (1) month of lifeguarding experience at a hotel, resort, or private club. Applicant must be able to obtain CPR and Lifeguard Training and Community First Aid and Safety certification. Shadow Wood Country Club will provide training needed to complete these certifications, at employers expense. Number of Hours Per Week: 40 Work Schedule (Start/End time): 6:00 A.M. - 2:00 P.M.</t>
  </si>
  <si>
    <t>H-400-26184-077306</t>
  </si>
  <si>
    <t>Bartenders will be responsible for mixing and serving drinks to members and guests, taking and placing guest orders, serving food and beverages, cleaning glasses and bar equipment, and ensuring that the bar and work areas are clean and well-stocked. Bartenders may need to occasionally lift and/or move up to 50 lbs. Schedule: 40 hours per week. Work schedule can vary and can include evening, weekend, and holiday hours. Work may be performed on any day of the week from Monday through Sunday. Example shifts: 6:00am - 2:00pm, 8:00am - 4:00pm, 2:00pm -10:00pm, or 3:00pm - 11:00pm. Shift hours may vary. Please see attached job description for additional information. Job Classification: 35-3011.00 - Bartenders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6 Special Requirements: The Petitioner will consider for employment any person who possesses at least six (6) months of experience in a fine-dining or high-volume environment at a high-end restaurant, resort, or private club. Number of Hours Per Week: 40 Work Schedule (Start/End time): 6:00 A.M. - 2:00 P.M.</t>
  </si>
  <si>
    <t>H-400-26184-077287</t>
  </si>
  <si>
    <t>Cooks will be responsible for preparing, seasoning, and cooking soups, meats, vegetables, desserts, and other food items in a restaurant. Schedule: 40 hours per week. Work schedule can vary and can include evening, weekend, and holiday hours. Work may be performed on any day of the week from Monday through Sunday. Example shifts: 7:00am – 3:00pm, 10:00am – 6:00pm, or 2:00pm – 10:00pm. Shift hours may vary. Please see job description for additional information. Job Classification: 35-2014.00 - Cooks, Restaurant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6 Special Requirements: The Petitioner will consider for employment any applicant who possesses at least six (6) months of culinary experience in a fine-dining or high-volume environment at a high-end restaurant, resort, or private club. Applicant must complete pre-employment background check and drug screening at employers expense. Number of Hours Per Week: 40 Work Schedule (Start/End time): 7:00 A.M. - 3:00 P.M.</t>
  </si>
  <si>
    <t>H-400-26184-077292</t>
  </si>
  <si>
    <t>Dining Room Captain</t>
  </si>
  <si>
    <t>Dining Room Captains will be responsible for greeting customers, setting up the dining areas, inspecting and maintaining linens and service ware items, inspecting dining room, managing the guest reservation system and waitlist if applicable, addressing service requests or issues, taking and placing guest orders, serving food and beverages, and cleaning and clearing tables as needed. Dining Room Captains will also be responsible for directing service staff by assigning staff duties, overseeing execution of daily tasks, and leading team meetings, monitoring service quality and providing directions as needed, ensuring employee adherence to service and safety standards, assisting with training and supporting staff development, and handling shift-level communication and administrative responsibilities related to staff supervision and daily dining operations, including preparing necessary operational documents and completing end-of-shift reporting. May supervise up to thirty-five (35) employees including Servers, Bussers, and Food Runners. Dining Room Captains may need to lift and carry up to 50 pounds. Schedule: 40 hours per week. Work schedule can vary and can include evening, weekend, and holiday hours. Work may be performed on any day of the week from Monday through Sunday. Example shifts: 8:00am – 4:00pm, 10:00am – 6:00pm, or 2:00pm – 10:00pm. Shift hours may vary. Please see job description for additional information. Job Classification: 35-1012.00 - First-Line Supervisors of Food Preparation and Serving Workers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6 Special Requirements: The Petitioner will consider for employment any applicant who possesses at least six (6) months of service experience in a fine-dining or high-volume environment at a high-end restaurant, resort, or private club. Applicant must complete pre-employment background check and drug screening at employers expense. Number of Hours Per Week: 40 Work Schedule (Start/End time): 8:00 A.M. - 4:00 P.M.</t>
  </si>
  <si>
    <t>H-400-26184-077299</t>
  </si>
  <si>
    <t>Member Services Concierge</t>
  </si>
  <si>
    <t>***RFI response*** The work will take place at the member reception desk inside the Club. Member Services Concierges will also seat members and guests in the Club dining room. “Assisting with reservations” consists of accepting, confirming, and modifying reservations made for dining, social events, tennis, and croquet. ***Original*** Member Services Concierges will be responsible for greeting and welcoming guests, assisting with reservations, seating members, operating phones in a polite and friendly manner, and monitoring reservations, phone calls, and upcoming club events to inform members and the staff. Member Services Concierges may need to lift and carry up to 40 pounds. Schedule: 40 hours per week. Work schedule can vary and can include evening, weekend, and holiday hours. Work may be performed on any day of the week from Monday through Sunday. Example shifts: 9:00am – 5:00pm, 10:00am – 6:00pm, or 2:00pm – 10:00pm. Shift hours may vary. Please see job description for additional information. Job Classification: 35-9031.00 - Hosts and Hostesses, Restaurant, Lounge, and Coffee Shop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6 Special Requirements: The Petitioner will consider for employment any applicant who possesses at least six (6) months of guest service experience at a high-end hotel, resort, or private club. Applicant must complete pre-employment background check and drug screening at employers expense. Number of Hours Per Week: 40 Work Schedule (Start/End time): 9:00 A.M. - 5:00 P.M.</t>
  </si>
  <si>
    <t>H-400-26184-077295</t>
  </si>
  <si>
    <t>The Country Club of Naples, Inc.</t>
  </si>
  <si>
    <t>seasonaljobs@ccnaples.net</t>
  </si>
  <si>
    <t>+12392611032</t>
  </si>
  <si>
    <t>Cooks will be responsible for preparing, seasoning, and cooking soups, meats, vegetables, desserts, and other food items in a restaurant, as well as washing dishes and all cooking materials by machine or by hand and maintaining kitchen work areas and equipment in clean condition. Schedule: 35 hours per week. Work schedule can vary and can include evening, weekend, and holiday hours. Work may be performed on any day of the week from Monday through Sunday. Example shifts: 10:00am - 5:00pm or 2:00pm - 9:00pm. Shift hours may vary. Please see attached job description for additional information. Job Classification: 35-2014.00 - Cooks, Restaurant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12 Special Requirements: The Petitioner will consider for employment any person who possesses at least one (1) year of culinary experience in a fine-dining or high-volume environment at a high-end restaurant, resort, or private club. Applicant must complete pre-employment background check and drug screening at employers expense. Number of Hours Per Week: 35 Work Schedule (Start/End time): 10:00 A.M. - 5:00 P.M.</t>
  </si>
  <si>
    <t>H-400-26184-077308</t>
  </si>
  <si>
    <t>Seasonaljobs@ccnaples.net</t>
  </si>
  <si>
    <t>***RFI Response*** Servers will be mixing and serving alcoholic and non-alcoholic drinks on the same shift. Workers in this position will be doing both tasks frequently. “Setting up and breaking down events” - this consists of setting up tables, chairs, and the dining area for events. This includes but is not limited to moving chairs and setting up silverware, centerpieces, and name plates on tables. No additional tools/equipment/materials are needed to perform these duties. ***Original F.a.2*** Servers will be responsible for greeting customers, setting up tables in the dining area with tableware such as plates, glasses, and silverware, taking and placing orders, carrying trays and plates, serving food and beverages, mixing and serving alcoholic and non-alcoholic drinks, cleaning and clearing tables and bar, setting up and breaking down events, ensuring guest satisfaction during food service and reporting any issues to management if needed, and stocking the bar as needed. Schedule: 35 hours per week. Work schedule can vary and can include evening, weekend, and holiday hours. Work may be performed on any day of the week from Monday through Sunday. Example shifts: 10:00am to 5:00pm, 3:00pm to 10:00pm, or 4:00pm to 11:00pm. Shift hours may vary. Please see attached job description for additional information. Job Classification: 35-3011.00 - Bartenders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12 Special Requirements: The Petitioner will consider for employment any person who possesses at least one (1) year of service experience in a fine-dining or high-volume environment at a high-end restaurant, resort, or private club. Applicant must complete pre-employment background check and drug screening at employers expense. Number of Hours Per Week: 35 Work Schedule (Start/End time): 10:00 A.M. - 5:00 P.M.</t>
  </si>
  <si>
    <t>H-400-26184-077336</t>
  </si>
  <si>
    <t>White Castle Fertilizer Co-op</t>
  </si>
  <si>
    <t>prodriguez@wcfertilizer.com</t>
  </si>
  <si>
    <t>+12255453616</t>
  </si>
  <si>
    <t>***RFI response*** The positions we are seeking are required to complete the following task on the job. The workers are required to know how to calibrate fertilizer rigs in order for farmers to apply the correct fertilizer per acre. They must know how to repair, change parts, and fix gearboxes on the fertilizer rigs. Duties also consist of changing bearing and seals on all fertilizer carts and applicators. Change and or repair hydraulic pumps on the tenders, delivering the fertilizer to customers. Know how to use a cutting torch and welding machine in order to repair all fertilizer tenders, spreaders, and carts that ares owned by the Coop. The positions also require the ability and knowledge to maintenance motors on all equipment owned by the Coop. The workers' duties also include changing bearings, seals and adjusting belts on fertilizer conveyors. ***Original*** Help installation, maintenance, and repair workers in maintenance, parts replacement and repair of industrial equipment. Perform duties such as furnishing tools, materials and supplies to other workers, cleaning work area, machines and tools and holding materials or tools for other workers. Job Classification: 49-3041.00 - Farm Equipment Mechanics and Service Technicians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Work hours are from 7am-5pm; Monday through Friday. Overtime is worked as necessary. Overtime paid after 40 hours a week during. Workers will have up to 1 hour of unpaid lunch break during the workday. Number of Hours Per Week: 40 Work Schedule (Start/End time): 7:00 A.M. - 5:00 P.M.</t>
  </si>
  <si>
    <t>H-400-26184-077320</t>
  </si>
  <si>
    <t>YARDMASTER OF COLUMBUS, INC.</t>
  </si>
  <si>
    <t>jrodriguez@yardmaster.com</t>
  </si>
  <si>
    <t>+16145307563</t>
  </si>
  <si>
    <t>Landscape or maintain grounds of property using hand or power tools or equipment. Workers typically perform a variety of tasks, which may include any combination of the following: sod laying, mowing, trimming, planting, watering, fertilizing, digging, raking, sprinkler installation, and installation of mortarless segmental concrete masonry wall units. Job Classification: 37-3011.00 - Landscaping and Groundskeeping Workers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ABLE TO LIFT AND CARRY 50 POUNDS, SOME OVERTIME AND WEEKENDS REQUIRED.8 HOUR WORKDAY. Number of Hours Per Week: 40 Work Schedule (Start/End time): 7:00 A.M. - 5:00 P.M.</t>
  </si>
  <si>
    <t>H-400-26184-077339</t>
  </si>
  <si>
    <t>Old Marsh Golf Club, Inc.</t>
  </si>
  <si>
    <t>Cooks will be responsible for preparing, seasoning, and cooking soups, meats, vegetables, desserts and other food items in a restaurant. Schedule: 35 hours per week. Work schedule can vary and can include evening, weekend, and holiday hours. Work may be performed on any day of the week from Sunday through Saturday. Example shifts: 9:00am to 4:00pm or 3:00pm to 10:00pm. Shift hours may vary. Please see attached job description for additional information. Job Classification: 35-2014.00 - Cooks, Restaurant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12 Special Requirements: The Petitioner will consider for employment any person who possesses at least one (1) year of culinary experience in a fine-dining or high-volume environment at a high-end restaurant, resort, or private club. Must also possess: technical knowledge and experience executing all 5 mother sauces; experience with precise cutlery skill such as "fine" brunoise, tourne, spatch cock, and protein fabrication; experience in high-volume a la carte fine dining, catering, and banquets; and the ability to communicate effectively in English. Applicant must complete pre-employment background check and drug screening at employers expense. Number of Hours Per Week: 35 Work Schedule (Start/End time): 9:00 A.M. - 4:00 P.M.</t>
  </si>
  <si>
    <t>H-400-26184-077352</t>
  </si>
  <si>
    <t>The Polo Club of Boca Raton Property Owners Association, Inc.</t>
  </si>
  <si>
    <t>seasonaljobs@poloclub.net</t>
  </si>
  <si>
    <t>+15619951214</t>
  </si>
  <si>
    <t>Recreation Aide</t>
  </si>
  <si>
    <t>Recreation Aides will be responsible for monitoring and scheduling activities at the tennis complex, aquatic complex, spa &amp; fitness facility, and golf complex. The Recreation Aides will maintain recreational tools, provide equipment for recreational pursuits to members, provide general facilities information, maintain a clean workspace and perform cleaning of assigned recreational area and sport equipment. Recreational Aides will provide administrative assistance to members related to resort marketing efforts, hours of operations and recreational scheduled events. Schedule: 40 hours per week. Work schedule can vary and can include evening, weekend, and holiday hours. Work may be performed on any day of the week from Monday through Sunday. Example shifts: 9:00am - 5:00pm, 12:00pm - 8:00pm, or 3:00pm - 11:00pm. Shift hours may vary. See job description for additional information. Job Classification: 39-3091.00 - Amusement and Recreation Attendants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The Petitioner will consider for employment any person who possesses at least three (3) months of service experience at a high-end resort, or private club. Applicant must complete pre-employment background check and drug screening at employers expense. Number of Hours Per Week: 40 Work Schedule (Start/End time): 9:00 A.M. - 5:00 P.M.</t>
  </si>
  <si>
    <t>H-400-26184-077347</t>
  </si>
  <si>
    <t>Alby's Seafood, LLC</t>
  </si>
  <si>
    <t>Evelyn Wright</t>
  </si>
  <si>
    <t>26/07/2027</t>
  </si>
  <si>
    <t>albysseafood@gmail.com</t>
  </si>
  <si>
    <t>+13617291521</t>
  </si>
  <si>
    <t>Shellfish Shuckers</t>
  </si>
  <si>
    <t>Cut oyster from shell, wash, sort &amp; place oysters in containers. Clean production area &amp; assist as necessary. Piece rate may be offered pending prevailing wage rate. See attached Addendum. Job Classification: 51-3022.00 - Meat, Poultry, and Fish Cutters and Trimmers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Lift/carry up to 100 pounds. Employer paid drug test is Post Accident. The employer may conduct lawful, job-related screening of applicants, including inquiries into criminal history, where permitted by applicable federal, state, and local laws. Any consideration of criminal history will be conducted on an individualized basis and employment decisions will be made in a nondiscriminatory manner consistent with applicable laws and business necessity. No infectious diseases; seafood allergies may be fatal. Number of Hours Per Week: 35 Work Schedule (Start/End time): 6:00 A.M. - 1:30 P.M.</t>
  </si>
  <si>
    <t>H-400-26184-077371</t>
  </si>
  <si>
    <t>03/05/2027</t>
  </si>
  <si>
    <t>Harvest and clean oysters, unload boat and clean boat. * Load empty sacks onto boat * Fill out daily tickets to attach to harvested oyster sacks * Pull harvested oysters from water onto boat. * Sort oysters to ensure only legal size are harvested. * Clean oysters utilizing hatchets to remove spats * Unload and stack harvested oysters from boat to designated pallets on dock * Clean and refuel boat to prepare for next days trip Deckhands should wear: gloves, waterproof vest and rubber boots (provided by employer) See attached Addendum Job Classification: 45-3031.00 - Fishing and Hunting Workers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6 Special Requirements: Lift/carry up to 100 pounds. Employer paid drug test is Post Accident. The employer may conduct lawful, job-related screening of applicants, including inquiries into criminal history, where permitted by applicable federal, state, and local laws. Any consideration of criminal history will be conducted on an individualized basis and employment decisions will be made in a nondiscriminatory manner consistent with applicable laws and business necessity. No infectious diseases; seafood allergies may be fatal. Employer will provide daily transportation from office/dock to and from job sites in public and private waters off the Texas coast. There is no itinerary as there are multiple locations. Number of Hours Per Week: 35 Work Schedule (Start/End time): 7:00 A.M. - 3:00 P.M.</t>
  </si>
  <si>
    <t>H-400-26184-077383</t>
  </si>
  <si>
    <t>Beaufort Inlet Seafood Co., Inc.</t>
  </si>
  <si>
    <t>bjseafoodnc@gmail.com</t>
  </si>
  <si>
    <t>+12526371552</t>
  </si>
  <si>
    <t>§ Workers will place shrimp on tables for de-heading, peeling; § Deveining; § Sorting and placing into containers; § Pack with ice; § Place containers onto pallets and wrap for shipping; § Dispose of shrimp shells in designated area(s); *Following is an expanded job description regarding load/unloading duties: Workers will assist with unloading raw product (shrimp) from boats or trucks and place in processing area or onto tables to be processed. Workers will also assist with loading finished products into refrigerators or freezers for storage. Workers will assist with loading finished products onto trucks for shipment. See attached Addendum. Job Classification: 51-3022.00 - Meat, Poultry, and Fish Cutters and Trimmers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Lift/carry up to 50 pounds. Employer paid drug test is Random. The employer may conduct lawful, job-related screening of applicants, including inquiries into criminal history, where permitted by applicable federal, state, and local laws. Any consideration of criminal history will be conducted on an individualized basis and employment decisions will be made in a nondiscriminatory manner consistent with applicable laws and business necessity. No infectious diseases; seafood allergies may be fatal. Number of Hours Per Week: 35 Work Schedule (Start/End time): 7:00 A.M. - 2:00 P.M.</t>
  </si>
  <si>
    <t>H-400-26184-077396</t>
  </si>
  <si>
    <t>Bonums Oyster Co., Inc.</t>
  </si>
  <si>
    <t>16/06/2027</t>
  </si>
  <si>
    <t>contact@bevansoyster.net</t>
  </si>
  <si>
    <t>+18044722331</t>
  </si>
  <si>
    <t>Open and remove oyster meat from shell, Separate meat by size/quality, Prepare oysters for wholesale/retail sale, Clean and sanitize work areas and equipment, Place oysters in containers, Seal and pack oysters in containers, Move, dump, and distribute raw product, Remove oysters from boats or trucks, Occasionally use material handling equipment (shell stock washer, scales and equipment to handle shellfish), Freeze and place oysters in containers See attached Addendum. Job Classification: 51-3022.00 - Meat, Poultry, and Fish Cutters and Trimmers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Lift/carry up to 75 pounds. Employer paid drug test is Random. The employer may conduct lawful, job-related screening of applicants, including inquiries into criminal history, where permitted by applicable federal, state, and local laws. Any consideration of criminal history will be conducted on an individualized basis and employment decisions will be made in a nondiscriminatory manner consistent with applicable laws and business necessity. No infectious diseases; seafood allergies may be fatal. Number of Hours Per Week: 35 Work Schedule (Start/End time): 3:00 A.M. - 11:30 A.M.</t>
  </si>
  <si>
    <t>H-400-26184-077405</t>
  </si>
  <si>
    <t>Capt. Neill's Seafood, Inc.</t>
  </si>
  <si>
    <t>tcarawan76@yahoo.com</t>
  </si>
  <si>
    <t>+12527967278</t>
  </si>
  <si>
    <t>Oyster Processors</t>
  </si>
  <si>
    <t>Places oysters on tables and removes meats from the shells. Washes, sorts and packs oyster meats into containers for consumption. Cleans and sanitizes shucking stations as required by food-safety rules. Disposes of oyster shells in the designated areas. Piece rate may be offered; rate is determined based on prevailing wage determination. See attached Addendum. Job Classification: 51-3022.00 - Meat, Poultry, and Fish Cutters and Trimmers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Lift/carry up to 50 pounds. Employer paid drug test is Random. The employer may conduct lawful, job-related screening of applicants, including inquiries into criminal history, where permitted by applicable federal, state, and local laws. Any consideration of criminal history will be conducted on an individualized basis and employment decisions will be made in a nondiscriminatory manner consistent with applicable laws and business necessity. No infectious diseases; seafood allergies may be fatal. Number of Hours Per Week: 35 Work Schedule (Start/End time): 5:00 A.M. - 2:00 P.M.</t>
  </si>
  <si>
    <t>H-400-26184-077370</t>
  </si>
  <si>
    <t>Servers will be responsible for greeting customers, setting up the dining areas, taking and placing orders, carrying trays and plates, serving food and beverages, cleaning and clearing tables, washing dishes, and ensuring the cleanliness of their work areas. Servers may need to lift and carry up to 50 pounds. Schedule: 40 hours per week. Work schedule can vary and can include evening, weekend, and holiday hours. Work may be performed on any day of the week from Monday through Sunday. Example shifts: 7:00am to 3:00pm, 9:00am to 5:00pm, 6:30am to 2:30pm and 2:00pm to 10:00pm. Shift hours may vary. See attached job description for additional information. Job Classification: 35-9021.00 - Dishwashers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The Petitioner will consider for employment any person who possesses at least three (3) months of experience in a fine-dining or high-volume environment at a high-end restaurant, resort, or private club. Number of Hours Per Week: 40 Work Schedule (Start/End time): 7:00 A.M. - 3:00 P.M.</t>
  </si>
  <si>
    <t>H-400-26184-077375</t>
  </si>
  <si>
    <t>Prep Cook</t>
  </si>
  <si>
    <t>***RFI response*** The specific type of facility/establishment in which Prep Cooks will perform the tasks identified in Item F.a.2 are the Petitioner’s two kitchens: the Main House Kitchen and Golf House Kitchen. These kitchens are used to prepare food for members and guests in the private club’s dining rooms. “Unload food delivery trucks” – this consists of carrying food and beverage boxes from delivery food trucks/vehicles into the kitchen walk-in cooler or pantry. Workers will either physically carry boxes or use a hand dolly when needed to perform this task. ***Original*** Prep Cooks will be responsible for washing, peeling, and cutting various foods, such as fruits and vegetables, to prepare for cooking or serving, measuring ingredients, and cleaning and sanitizing work areas, equipment, utensils, dishes, and silverware. Prep Cooks will also assist with organizing and labeling food items in storage closets, carrying food supplies, equipment, and utensils to and from storage and work areas, tracking ingredients and inventory items, and helping to unload food delivery trucks. Schedule: 40 hours per week. Work schedule can vary and can include evening, weekend, and holiday hours. Work may be performed on any day of the week from Monday through Sunday. Example shifts: 7:00am - 3:00pm, 9:00am - 5:00pm, 6:30am - 2:30pm, and 2:00pm - 10:00pm. Shift hours may vary. See attached job description for additional information. Job Classification: 53-7062.00 - Laborers and Freight, Stock, and Material Movers, Hand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12 Special Requirements: The Petitioner will consider for employment any person who possesses at least one (1) year of food preparation or dishwasher experience in a fine-dining or high-volume environment at a high-end restaurant, resort, or private club. Number of Hours Per Week: 40 Work Schedule (Start/End time): 7:00 A.M. - 3:00 P.M.</t>
  </si>
  <si>
    <t>H-400-26184-077363</t>
  </si>
  <si>
    <t>Cora Texas Manufacturing Co., L.L.C.</t>
  </si>
  <si>
    <t>charlie@coratexas.com</t>
  </si>
  <si>
    <t>+12255453679</t>
  </si>
  <si>
    <t>***RFI response*** Cora Texas Manufacturing is in need of Maintenance Helpers that are skilled in operating and repairing all sugar mill equipment including the following: Mills or diffusers are used to extract the juice from the cane: Juice Heaters are used to remove fine particles of bagasse; Clarifiers help impurities in the juice to settle out of solution; Filters separates muddy juice into filtrated juice; Evaporators remove most of the water so the juice thickens; Vacuum Pans boil the heavy syrup, this process develops sugar crystals resulting in a mixture of sugar crystals and molasses; Crystallizers are used to cause the growth and development of sugar crystals; and Centrifugal separate the sugar crystals from the molasses. The Maintenance Helper will operate any of the equipment listed above during the manufacturing of raw sugar and will assist with cleaning, repairing or replacing any of the equipment listed in preparation for the upcoming manufacturing season. ***Original*** Help installation, maintenance, and repair workers in maintenance, parts replacement and repair of industrial equipment. Perform duties such as furnishing tools, materials, and supplies to other workers, cleaning work area, machines, and tools and holding materials or tools for other workers during the harvesting season and after harvesting in preparation for the upcoming season. Job Classification: 51-9012.00 - Separating, Filtering, Clarifying, Precipitating, and Still Machine Setters, Operators, and Tenders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Must be willing to work 7 days a week, varying 8 and 10-12 hour shifts (11am-7pm; 7pm-3am; 3am-11am) or (11am-11pm; 11pm-11am); 56+ hours per week, overtime paid after 40 hours a week during and after harvesting season. 40 hours a week will be offered after harvesting season until the end of the contract. Overtime as needed after harvesting season. Workers will have 30 minutes paid lunch break during the workday. Number of Hours Per Week: 56 Work Schedule (Start/End time): 11:00 A.M. - 7:00 P.M.</t>
  </si>
  <si>
    <t>H-400-26184-077368</t>
  </si>
  <si>
    <t>Bench Chemist</t>
  </si>
  <si>
    <t>to assist with the analyses of sugar products and by-products in every step of the sugar cane process control using laboratory standards methods and instruments. Job Classification: 19-4012.00 - Agricultural Technicians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Must be willing to work 7 days a week, varying 8 and 10-12 hour shifts (11am-7pm; 7pm-3am; 3am-11am) or (11am-11pm; 11pm-11am); 56+ hours per week, overtime paid after 40 hours a week during and after harvesting season. 40 hours a week will be offered after harvesting season until the end of the contract. Overtime as needed after harvesting season. Workers will have 30 minutes paid lunch break during the workday. Number of Hours Per Week: 56 Work Schedule (Start/End time): 11:00 A.M. - 7:00 P.M.</t>
  </si>
  <si>
    <t>H-400-26184-077369</t>
  </si>
  <si>
    <t>Sugar Boiler C</t>
  </si>
  <si>
    <t>to assist with the operation of steam heated vacuum pans, batch cookers and crystallization to manufacture raw sugar during the harvest season by setting temperature and pressure gauges on cooking machines to produce sugar, and performing related sugar boiling work as needed or assigned. Job Classification: 51-3093.00 - Food Cooking Machine Operators and Tenders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Must be willing to work 7 days a week, varying 8 and 10-12 hour shifts (11am-7pm; 7pm-3am; 3am-11am) or (11am-11pm; 11pm-11am); 56+ hours per week, overtime paid after 40 hours a week during and after harvesting season. 40 hours a week will be offered after harvesting season until the end of the contract. Overtime as needed after harvesting season. Workers will have 30 minutes paid lunch break during the workday. Number of Hours Per Week: 56 Work Schedule (Start/End time): 11:00 A.M. - 7:00 P.M.</t>
  </si>
  <si>
    <t>H-400-26184-077362</t>
  </si>
  <si>
    <t>Bagasse Burner</t>
  </si>
  <si>
    <t>to assist with the burning of bagasse in boilers, with the raking of boilers and the cleaning of boilers during the harvesting season. Job Classification: 51-9198.00 - Helpers--Production Workers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Must be willing to work 7 days a week, varying 8 and 10-12 hour shifts (11am-7pm; 7pm-3am; 3am-11am) or (11am-11pm; 11pm-11am); 56+ hours per week, overtime paid after 40 hours a week during and after harvesting season. 40 hours a week will be offered after harvesting season until the end of the contract. Overtime as needed after harvesting season. Workers will have 30 minutes paid lunch break during the workday. Number of Hours Per Week: 56 Work Schedule (Start/End time): 11:00 A.M. - 7:00 P.M.</t>
  </si>
  <si>
    <t>H-400-26184-077394</t>
  </si>
  <si>
    <t>Doug Haworth Concessions</t>
  </si>
  <si>
    <t>Awesome88@gmail.com</t>
  </si>
  <si>
    <t>+13609216807</t>
  </si>
  <si>
    <t>35-3023.00 Fast Food &amp; Counter Workers – Mobile Food Concess</t>
  </si>
  <si>
    <t>Perform variety of attending duties at mobile food concession. Arrange tables and decorations according to instructions. Communicate with customers regarding orders. Accept payment from customers. Serve food, beverages or desserts to customers. Prepare daily food items and cook simple foods and beverages using proper safety precautions and safety measures. Clean &amp; organize eating, service, and kitchen areas. Perform cleaning duties to keep equipment and facilities sanatory. Job Classification: 35-2019.00 - Cooks, All Other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Post-employment random drug testing and background checks may be required, at no cost to the worker. The job requires the applicant to be qualified, ready, willing, able, and available to perform during the entire employment at the designated worksites; and to follow workplace rules. Number of Hours Per Week: 35 Work Schedule (Start/End time): 1:00 P.M. - 9:00 P.M.</t>
  </si>
  <si>
    <t>H-400-26184-077343</t>
  </si>
  <si>
    <t>Lifestyle Concierge</t>
  </si>
  <si>
    <t>Lifestyle Concierges will be responsible for providing assistance to members, including greeting members and by providing personalized services such as helping with apparel, racquets, footwear, accessories, and special orders. Promote racquet sports programs, clinics, events, lessons, and special activities to encourage member participation. Will handle private lesson bookings and update appointments accurately using the club’s digital scheduling platform. Maintain merchandise presentation standards, restock inventory, and support the overall appearance and organization of the tennis pro shop. Will provide a welcoming concierge presence within the fitness center and serve as the first point of contact for members and guests visiting the fitness and spa facilities. Answer phone calls, emails, and in-person inquiries promptly and knowledgeably. Will schedule, modify, and cancel appointments for spa services, fitness classes, and personal training sessions. Process payments, apply discounts, reconcile transactions, and assist with retail and spa product inventory. Provide a welcoming concierge presence at the pool area and assist members with general information, service coordination, and daily needs. Help manage and coordinate spa, tennis, and lifestyle reservations, including booking appointments, court times, and special services; confirming schedules with members and guests; and ensuring all reservations are accurately entered and communicated to the appropriate departments. Work with members to schedule spa services or tennis games. Support the promotion and communication of spa, fitness and tennis programs, events, and activities through various channels (email, newsletters, digital boards, and in-person interactions); providing clear and timely information to members regarding schedules, changes, and offerings. Support opening and closing procedures and communicate schedule changes, member preferences, and special requests clearly with team members. Opening procedures include, preparing the spa, fitness, tennis, and pool areas for daily operations by ensuring all spaces are clean, organized, and fully stocked; setting up workstations, check-in areas, and amenities; reviewing the daily schedule of reservations, lessons, and events; coordinating with team members and other departments (spa, tennis, food &amp; beverage) to ensure readiness; and ensuring all systems (reservation platforms, phones, communication tools) are operational. Closing procedures include assisting with end-of-day responsibilities such as reconciling reservations and daily activity logs, securing confidential information, shutting down systems, organizing and resetting work areas, and ensuring all spaces are clean and prepared for the following day; reporting any issues, maintenance needs, or guest feedback to management. Schedule: 40 hours per week. Work schedule can vary and can include evening, weekend, and holiday hours. Work may be performed on any day of the week from Monday through Sunday. Example shifts: 6:00am to 2:00pm or 10:00am to 6:00pm. Shift hours may vary. See attached job description for additional information. Job Classification: 39-3091.00 - Amusement and Recreation Attendants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6 Special Requirements: The Petitioner will consider for employment any person who possesses at least six (6) months of guest service experience at a high-end resort or private club. Applicant must complete pre-employment background check and drug screening at employers expense. Number of Hours Per Week: 40 Work Schedule (Start/End time): 6:00 A.M. - 2:00 P.M.</t>
  </si>
  <si>
    <t>H-400-26184-077402</t>
  </si>
  <si>
    <t>La La Enterprises, LLC</t>
  </si>
  <si>
    <t>abdullala@lalaenterprises.com</t>
  </si>
  <si>
    <t>+19728096625</t>
  </si>
  <si>
    <t>Tree Trimmers, Pruners &amp; Landscape Laborers</t>
  </si>
  <si>
    <t>clear sites of woody &amp; herbaceous materials, such as tree stumps, fallen trees &amp; limbs using skid steers (Kubota SSV65P, 7055 lbs, 64 HP, dimensions with bucket 11x7x6 ft). Cut away dead &amp; excess branches from trees. Load debris &amp; refuse onto trucks &amp; haul away for disposal. Operate shredding &amp; chipping equipment &amp; feed limbs &amp; brush into the machines. Must be able to load and unload equipment and stock. Work will be performed on lawns at residential builds, does not involve climbing. Involves loading and unloading tools and supplies and equipment weighing up to 50 lbs. Involves working outdoors in all types of weather. Involves extensive standing, sitting or walking. Involves frequent stooping or bending. Involves repetitive movements. Post Hire/Employer Paid Drug Test. Post Hire/Employer Paid Background Check Possibility of performance based raise, bonuses, overtime and Saturdays as required. Transportation provided to multiple worksites from central location in Ponder, TX. 60 minutes of unpaid breaks throughout the day. Daily hours may vary between start and end times listed depending on weather or job assignments. Job Classification: 37-3019.00 - Grounds Maintenance Workers, All Other The job/industry classification and description includes general information on the position from ONET/OES and the North American Industry Classification System. Please review Job Duties and Job Order for more information. Job Requirements Experience Required: No Number of Hours Per Week: 40 Work Schedule (Start/End time): 7:00 A.M. - 6:00 P.M.</t>
  </si>
  <si>
    <t>H-400-26184-077372</t>
  </si>
  <si>
    <t>LowCountry Commercial Services, LLC</t>
  </si>
  <si>
    <t>Becky von Trapp</t>
  </si>
  <si>
    <t>info@lowcountryservices.net</t>
  </si>
  <si>
    <t>+18436815227</t>
  </si>
  <si>
    <t>Cleaner/janitor</t>
  </si>
  <si>
    <t>Perform general cleaning tasks in commercial and office buildings, including sweeping, mopping, vacuuming, dusting, sanitizing restrooms, and emptying trash. Maintain cleanliness in common areas and restock cleaning supplies as needed. Follow established safety and cleaning procedures. Job Classification: 37-2011.00 - Janitors and Cleaners, Except Maids and Housekeeping Cleaners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1. Must pass pre-employment background check. 2. Must be able to lift heavy objects. 3. Ability to drive with a clean record is preferred. 4. Ability to drive with a clean record is preferred but not required. The anticipated start date is October 1, 2026 with an end date of May 26, 2027. The geographic are of intended employment is Hilton Head, South Carolina. On-the-job training is provided. The employer will make all deductions from the worker's paycheck required by law. If the worker completed 50% of the work contract period, employer will pay directly for and/or reimburse workers for transportation and subsistence from the place of recruitment to the place of work. Upon completion of the work contract or where the worker is dismissed earlier, a employer will provide or pay for worker's reasonable costs of return transportation and subsistence back home or to the place the worker originally departed to work, except where the worker will not return due to subsequent employment with another employer. The employer will pay directly for and/or reimburse workers for all reasonable inbound transportation and subsistence costs within the first workweek. The employer will pay directly for and/or reimburse workers for all reasonable outbound transportation and subsistence costs during the last workweek. The amount of transportation payment or reimbursement will be equal to the most economical and reasonable common carrier for the distances involved. Daily subsistence will be provided at a rate of $16.78 per day during travel to a maximum of $68.00 per day with receipts. The employer guarantees to offer work for hours equal to at least three fourths of the workdays in each 12-week period of the total employment period. The employer will reimburse the worker in the first workweek for all visa, visa processing, border crossing, and other related fees, including those mandated by the government, incurred by the worker. The employer will also provide to the H-2B workers, without charge or deposit charge, all tools, supplies, and equipment required to perform the duties assigned. Number of Hours Per Week: 40 Work Schedule (Start/End time): 3:00 P.M. - 12:00 A.M.</t>
  </si>
  <si>
    <t>H-400-26184-077344</t>
  </si>
  <si>
    <t>Lula-Westfield, LLC</t>
  </si>
  <si>
    <t>Sugar Analyst Technician</t>
  </si>
  <si>
    <t>A Sugar Analyst Technician analyses raw sugar and juice for the purpose of manufacturing sugar cane crop into raw sugar. They are using the following equipment to confirm color, content of sugar, and that the product is good quality and meets all the correct levels for ph, brix, pol, starch, dextran, reduction in sugar, bagacillo and color in the final product. The equipment used to perform this process are hydrometer, spectrophotometer, turbidimeter, conductometer, a vacuum oven and a ph meter. This worker works in the lab handling the samples of the sugar throughout the raw sugar process. Job Classification: 19-1012.00 - Food Scientists and Technologists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6 Special Requirements: Must be willing to work 7 days a week, varying 12-hour shifts (12pm-12am; 12am-12pm); overtime paid after 48 hours a week during harvesting season; 40 hours a week after harvesting season until the end of the contract. Overtime as needed after harvesting season. Workers will have 30 minutes paid lunch break during the workday. A weekly meal allowance will be provided to the worker. Number of Hours Per Week: 84 Work Schedule (Start/End time): 12:00 P.M. - 12:00 A.M.</t>
  </si>
  <si>
    <t>H-400-26184-077348</t>
  </si>
  <si>
    <t>To operate a tractor (front loader tractor) at the mill yard bringing harvested sugar cane from where the farmer has dumped the cane to the location at the factory to begin the manufacturing process. This tractor operator operates the front loader tractor in the mill yard only and it never is used on public streets. A mill receives an estimate of 12,000 tons of harvested sugar cane a day. The farmers' trucks are weighed and then dumped in a designated location where then the tractor operator moves the harvested cane to the mill, which all happens in the immediate vicinity of the sugar mill. This process is a 24/7 operation during the harvesting and manufacturing season of sugar cane. Minor maintenance to the payloader (tractor) may include checking fluid levels, filling with fuel, checking oil level, and greasing of mechanical parts. The payloader is cleaned by removing debris with brooms, towels, water hose or by hand daily. Job Classification: 53-7051.00 - Industrial Truck and Tractor Operators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Must be willing to work 7 days a week, varying 12-hour shifts (12pm-12am; 12am-12pm); overtime paid after 48 hours a week during harvesting season; 40 hours a week after harvesting season until the end of the contract. Overtime as needed after harvesting season. Workers will have 30 minutes paid lunch break during the workday. A weekly meal allowance will be provided to the worker. Number of Hours Per Week: 84 Work Schedule (Start/End time): 12:00 P.M. - 12:00 A.M.</t>
  </si>
  <si>
    <t>H-400-26184-077350</t>
  </si>
  <si>
    <t>to assist with the operation of steam heated vacuum pans, batch cookers and crystallization to manufacture raw sugar during the harvest season by setting temperature and pressure gauges on cooking machines to produce sugar, and performing related sugar boiling work as needed or assigned. Job Classification: 51-3093.00 - Food Cooking Machine Operators and Tenders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Must be willing to work 7 days a week, varying 12-hour shifts (12pm-12am; 12am-12pm); overtime paid after 48 hours a week during harvesting season; 40 hours a week after harvesting season until the end of the contract. Overtime as needed after harvesting season. Workers will have 30 minutes paid lunch break during the workday. A weekly meal allowance will be provided to the worker. Number of Hours Per Week: 84 Work Schedule (Start/End time): 12:00 P.M. - 12:00 A.M.</t>
  </si>
  <si>
    <t>H-400-26184-077386</t>
  </si>
  <si>
    <t>MCMANUS FARMS INC.</t>
  </si>
  <si>
    <t>pineneedles@shtc.net</t>
  </si>
  <si>
    <t>+18436725908</t>
  </si>
  <si>
    <t>Forst Laborer</t>
  </si>
  <si>
    <t>The Worker will be raking and baling pine needles from forest floors Pine needles are a landscaping product that is commonly seen in stores, nurseries, and are used by landscaper’s. These pine needles come from trees that are in a forest. The following is what a worker would do to gather pine needles. The worker would use a fan rake, pitch fork, and a box baler. (a box baler is a metal box with wheels on it). There is no motor, hydraulics, or sensor loaded on this box. Everything is performed by manual labor. Construction of a bale consist of raking piles of pine needles. The piles normally range from 30 to 50 bales. The worker will then roll the box baler to the pile of pine needles. The worker will then place two strings on the top of the baler thru the inside and thru the slots of the door of the baler. After the string has been applied, the worker will start adding the pine needles to the inside of the box. The plunger mounted to the box baler will be inserted to the inside by pulling the handle in a down wards position. Pine needles will be constantly added and packed until desired tension is felt on the plunger handle. The worker will then take the handle to a backwards position removing it from the top of the baler. After this is done, the door will be unlocked and opened and a bale of pine needles removed from the baler. The is how a bale of pine needles are completed. The pine needles are then stacked onto a box trailer that is used to be transported to the customer. RAKE AND BALE PINE NEEDLES ( PINE NEEDLES ARE A LANDSCAPING PRODUCT) PINE NEEDLES ARE THE LANDSCAPING PRODUCT THAT YOU COMMONLY SEE IN STORES, NURSERIES, AND ARE COMMONLY USED BY LANDSCAPERS. THE FIELDS WHERE THE PINE NEEDLES ARE RAKED AND BALED ARE IN CHESTERFIELD COUNTY OF SOUTH CAROLINA. THE SPECIFIC EQUIPMENT USED FOR THE H2B WORKERS IS LISTED BELOW: FAN RAKE, PITCH FORK, AND A BOX BALER ( A BOX BALER IS A METAL BOX WITH WHEELS ON IT. THERE IS NO MOTOR, HYDRAULICS, OR SENORS LOCATED ON THIS BOX). EVERYTHING IS PERFORMED BY MANUAL LABOR. CONSTRUCTION OF THE BALE CONSIST OF RAKING PILES OF PINE NEEDLES. THE PILES NORMALLY RANGE FROM 30 TO 50 BALES. THE H2B WORKER WILL THEN ROLL THE BOX BALER TO A PILE OF PINE NEEDLES. THE WORKER WILL THEN PLACE TWO STRINGS ON THE TOP OF THE BALER THUR THE INSIDE AND THUR THE SLOTS OF THE DOOR OF THE BALER. AFTER THE STRING HAS BEEN APPLIED, THE WORKER WILL START ADDING THE PINE NEEDLES TO THE INSIDE OF THE BOX. THE PLUNGER MOUNTED TO THE BOX BALER WILL BE INSERTED TO THE INSIDE BY PULLING THE HANDLE IN A DOWNWARD POSITION. PINE NEEDLES WILL BE CONSTANTLY ADDED AND PACKED BY PLUNGER UNTIL DESIRED TENSION IS FELT ON THE PLUNGER HANDLE. THE WORKER WILL THEN TAKE THE HANDLE TO A BACKWARDS POSITION REMOVING IT FROM THE TOP OF THE BALE. AFTER THIS, THE DOOR WILL BE UNLOCKED, OPENED AND A BALE OF PINE NEEDLES REMOVED FROM THE BALER AND THEN STACKED INTO A PILE. THIS MAKES THE COMPLETION OF ONE PINE NEEDLE BALE. THE PINE NEEDLE BALE WILL THEN BE PLACED ONTO A BOX TRAILER THAT IS USED TO TRANSPORT THE PINE NEEDLES TO CUSTOMERS.. Job Classification: 45-4011.00 - Forest and Conservation Workers The job/industry classification and description includes general information on the position from ONET/OES and the North American Industry Classification System. Please review Job Duties and Job Order for more information. Job Requirements Experience Required: No Number of Hours Per Week: 40 Work Schedule (Start/End time): 7:00 A.M. - 4:00 P.M.</t>
  </si>
  <si>
    <t>H-400-26184-077340</t>
  </si>
  <si>
    <t>Banquet Captain</t>
  </si>
  <si>
    <t>Banquet Captains will be responsible for leading and supervising banquet staff during events to ensure that service is executed according to Club standards, assisting the Events Director with event setup, including arranging seating, coordinating with the kitchen staff for timely food service, and ensuring all equipment is in place and functioning properly, including food service equipment such as chafing dishes, hot boxes, soup kettles, and serving utensils; dining and table setup elements like banquet tables and chairs, linens, tableware, centerpieces, and place cards; and event-related equipment including A/V systems, podiums, service trays, and dish carts, monitoring event progress, staying on-site after events to go through records of orders and services to identify any discrepancies or mistakes, working with the accounting or billing department to correct any errors and ensure all charges are accurate and processed correctly, ensuring that all event-related charges are entered correctly and reconciling any issues to prevent errors in the financial postings the following morning, maintaining detailed records of discrepancies and resolutions and providing feedback for continual improvement in event management and billing processes, conducting regular training sessions to ensure staff is familiar with event expectations, service protocols, and company standards, assigning tasks to banquet staff during events, overseeing inventory for banquet events, ensuring that all necessary items, such as linens, silverware, glassware, and decorations, are available and in good condition, and completing reports after each event, including detailed feedback on event performance, staffing, and service quality. May supervise up to twelve (12) Banquet Servers and Food Runners. Schedule: 35 hours per week. Work schedule can vary and can include evening, weekend, and holiday hours. Work may be performed on any day of the week from Monday through Sunday. Example shifts: 8:00AM-3:00PM or 2:00PM-9:00PM. Shift hours may vary. Please see attached job description for more information. Job Classification: 35-1012.00 - First-Line Supervisors of Food Preparation and Serving Workers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6 Special Requirements: The Petitioner will consider for employment any person who possesses at least six (6) months of banquet supervisory experience in a fine-dining or high-volume environment at a high-end restaurant, resort, or private club. Applicant must complete pre-employment background check and drug screening at employer's expense. Number of Hours Per Week: 35 Work Schedule (Start/End time): 8:00 A.M. - 3:00 P.M.</t>
  </si>
  <si>
    <t>H-400-26184-077341</t>
  </si>
  <si>
    <t>Dining Room Supervisor will be responsible for greeting customers, managing the guest reservation system and waitlist if applicable, taking and placing guest orders, serving food and beverages, cleaning and clearing tables as needed, maintaining linens and service ware items, and setting up tables in the dining area in accordance with fine dining service standards by placing and aligning tableware such as charger plates, course-specific utensils, wine and water glassware, and folded linens; polishing and inspecting glassware, flatware, and plates; arranging tables, chairs, and settings based on reservations, floor plans, and member preferences; stocking and organizing service stations with polished silverware, linens, and service tools; setting bread plates, butter knives, and condiments as required; and conducting a final inspection of the dining room to ensure cleanliness, proper spacing, and adherence to club service standards prior to service. May supervise up to twelve (12) Servers. Dining Room Supervisors may need to lift and carry up to 50 pounds. Schedule: 35 hours per week. Work schedule can vary and can include evening, weekend, and holiday hours. Work may be performed on any day of the week from Monday through Sunday. Example shifts: 8:00AM-3:00PM or 2:00PM-9:00PM. Shift hours may vary. Please see attached job description for more information. Job Classification: 35-1012.00 - First-Line Supervisors of Food Preparation and Serving Workers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6 Special Requirements: The Petitioner will consider for employment any person who possesses at least six (6) months of service experience in a fine-dining or high-volume environment at a high-end restaurant, resort, or private club. Applicant must complete pre-employment background check and drug screening at employer's expense. Number of Hours Per Week: 35 Work Schedule (Start/End time): 8:00 A.M. - 3:00 P.M.</t>
  </si>
  <si>
    <t>H-400-26184-077345</t>
  </si>
  <si>
    <t>Mizner Country Club Master Association, Inc.</t>
  </si>
  <si>
    <t>jmaddox@miznercc.org</t>
  </si>
  <si>
    <t>+15612883331</t>
  </si>
  <si>
    <t>***RFI response*** Setting up and breaking down the dining areas consists of placing and removing tableware such as cutlery, salt and pepper shakers, and centerpieces and occasionally moving and rearranging chairs and tables based on the needs of the dining outlet. The Petitioner employs specific banquet set up employees other than Servers that do the majority of setting up and breaking down the dining areas. The tools/equipment used to perform these tasks are the occasional use of a chair cart for chairs or a table cart for tables. ***Original*** Servers will be responsible for greeting customers, setting up and breaking down the dining areas, taking and placing orders, carrying trays and plates, serving food and beverages, cleaning and clearing tables, and providing our members with exemplary service. Schedule: 35 hours per week. Work schedule can vary and can include evening, weekend, and holiday hours. Work may be performed on any day of the week from Monday through Sunday. Example shifts: 9:00am to 4:00pm or 4:00pm to 11:00pm. Shift hours may vary. See attached job description for additional information. Job Classification: 53-7062.00 - Laborers and Freight, Stock, and Material Movers, Hand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6 Special Requirements: The Petitioner will consider for employment any person who possesses at least six (6) months of service experience in a fine-dining or high-volume environment at a high-end restaurant, resort, or private club. Applicant must complete pre-employment background check and drug screening at employers expense. Former workers are exempt from background check and drug screening if they have been re-hired within six (6) months of termination. Number of Hours Per Week: 35 Work Schedule (Start/End time): 9:00 A.M. - 4:00 P.M.</t>
  </si>
  <si>
    <t>H-400-26184-077353</t>
  </si>
  <si>
    <t>Cooks will be responsible for preparing, seasoning, and cooking soups, meats, vegetables, desserts, and other food items in a restaurant. Schedule: 35 hours per week. Work schedule can vary and can include evening, weekend, and holiday hours. Work may be performed on any day of the week from Monday through Sunday. Example shifts: 6:00am to 1:00pm or 2:00pm to 9:00pm. Shift hours may vary. See attached job description for additional information. Job Classification: 35-2014.00 - Cooks, Restaurant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6 Special Requirements: The Petitioner will consider for employment any person who possesses at least six (6) months of culinary experience in a fine-dining or high-volume environment at a high-end restaurant, resort, or private club. Applicant must complete pre-employment background check and drug screening at employers expense. Former workers are exempt from background check and drug screening if they have been re-hired within six (6) months of termination. Number of Hours Per Week: 35 Work Schedule (Start/End time): 6:00 A.M. - 1:00 P.M.</t>
  </si>
  <si>
    <t>H-400-26184-077349</t>
  </si>
  <si>
    <t>Food &amp; Beverage Manager</t>
  </si>
  <si>
    <t>Food &amp; Beverage Manager will be responsible for directing daily operations of the Main Dining Room and all other food service areas. This includes developing standard operating policies and procedures for all outlets and holding employees accountable to regularly achieve these standards, assisting in hiring, training, supervising, and evaluating dining room staff, conducting daily pre-meal meetings communicating specific information to the staff, ensuring proper set-up, breakdown of each meal period, maintaining all equipment in good condition, maintaining regular contact with members and help to ensure maximum member satisfaction with regular interaction including answering questions, seeking feedback, solving problems, overseeing services and cleanliness, and showing the Club facilities to visitors. Will also be responsible for assisting with preparing and monitoring the budget; directing corrective action procedures as necessary to help assure that budget goals are attained and monitor internal cost control procedures, researching new food and beverage products and developing an analysis of their costs/benefits, coordinating and working with all departments on food and beverage programming and coordinating food and beverage communications with the Catering &amp; Social Events or Banquet Manager, overseeing some special events in conjunction with Catering &amp; Social Events, Banquet Manager or Director to ensure all planned activities meet and exceed member/guest expectations. Will also be responsible for participating in ongoing facility inspections throughout all dining rooms and service areas to ensure that cleanliness, safety, and other expected standards are consistently attained, reviewing all accidents and ensure appropriate documentation is completed and distributed accordingly, counseling and coaching staff about performance issues and complaints and resolving issues using documented progressive discipline, attending weekly food and beverage department meetings, Banquet Event Order (BEO), and Manager’s Meetings and assisting in overseeing JONAS point-of-sale (POS) system, which includes helping with adding buttons and ensuring system continuity for service. May supervise up to twenty (20) Servers, Server Assistants, and Food Runners. Food &amp; Beverage Managers will need to be able to lift and/or move up to 25lbs. Schedule: 35 hours per week. Work schedule can vary and can include evening, weekend, and holiday hours. Work may be performed on any day of the week from Monday through Sunday. Example shifts: 9:00am to 4:00pm, 12:00pm to 7:00pm, or 3:00pm to 10:00pm. Shift hours may vary. See attached job description for additional information. Job Classification: 11-9051.00 - Food Service Managers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12 Special Requirements: The Petitioner will consider for employment any person who possesses at least one (1) year of experience in a fine-dining or high-volume environment at a high-end restaurant, resort, or private club. Applicant must complete pre-employment background check and drug screening at employers expense. Former workers are exempt from background check and drug screening if they have been re-hired within six (6) months of termination. Number of Hours Per Week: 35 Work Schedule (Start/End time): 9:00 A.M. - 4:00 P.M.</t>
  </si>
  <si>
    <t>H-400-26184-077342</t>
  </si>
  <si>
    <t>North American Midway Entertainment-Southeast, LLC</t>
  </si>
  <si>
    <t>08/06/2027</t>
  </si>
  <si>
    <t>mwhorpole@namidway.com</t>
  </si>
  <si>
    <t>+15197562111</t>
  </si>
  <si>
    <t>Amusement &amp; Recreation Attendant – Itinerant Carnival</t>
  </si>
  <si>
    <t>***RFI Response*** The workers will not prepare and cook any food items from scratch. These are food items that may be provided to the public: Corn Dogs: Corn dogs frozen, pre-battered and pre-skewered. They are placed into the deep fryer. The timer for the deep fryer that is reserved for the corn dogs is pre-set, and when they are in the fryer for the proper amount of time the basket raises to allow for the oil to drain from the corn dogs. They are placed into a chafing dish on the front counter under a heat lamp. When a client orders one or more corn dogs, they are removed from the chafing dish and placed into the proper size serving boat. They are handed to the client who would go to the kiosk to add condiments and pick up any napkins or cutlery required. Cotton Candy: Cotton Candy is a combination of sugar and a commercially available product known as flossine, that adds color and flavoring to the finished product. A commercial grade cotton candy aka floss machine is turned on, allowed to heat up, the sugar and flossine is mixed in appropriate amounts, and when the machine hits the correct temperature, the worker slowly pours from a small cup or measuring scoop, the mix into the center /heating element. This produces whisps of cotton candy that forms around the center of the machine. The worker slowly spins the paper cotton candy cone within the large bowl, to capture and build what most persons would recognize as cotton candy. This is then slipped into a cotton candy bag and sealed either with a small tie and placed into a dry location until a client orders a cotton candy. Fountain Drinks: Bags of ice would be opened and ice dumped by hand into the reservoir on the top of the dispenser and into the ice bin. When an order comes in the worker would prepare the proper size, flavor drink and place a plastic lid on the cup. Worker would place the drink into the serving area so that another worker, with direct contact with the patron, is able to provide the drink(s) to the patron, along with the balance of the order. ***Original F.a.2*** Perform a variety of duties at traveling carnival, assembling, disassembling &amp; operating equipment (amusement rides, game and/or food concessions) May sell tickets &amp; collect fees from customers; provide information about the facilities, rules and regulations; direct patrons to rides, seats or attractions; monitor activities to ensure adherence to rules and safety procedures; provide assistance to patrons entering or exiting amusement rides; clean rides, booths, facilities or grounds; inspect equipment to detect wear and damage and perform minor repairs, adjustments, or maintenance tasks, such as oiling parts; fasten safety devices for patrons, or provide them with directions for fastening devices; announce or describe amusement attractions to patrons to entice customers to games and/or other entertainment; and sell and serve refreshments to customers. Job Classification: 35-2019.00 - Cooks, All Other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Post-employment random drug testing and background checks may be required, at no cost to the worker. The job requires the applicant to be qualified, ready, willing, able, and available to perform during the entire employment at the designated worksites; and to follow workplace rules. Number of Hours Per Week: 40 Work Schedule (Start/End time): 1:00 P.M. - 10:00 P.M.</t>
  </si>
  <si>
    <t>H-400-26184-077382</t>
  </si>
  <si>
    <t>Primetime Amusements LLC</t>
  </si>
  <si>
    <t>funzone@primetimeacarnival.com</t>
  </si>
  <si>
    <t>+18136253787</t>
  </si>
  <si>
    <t>H-400-26184-077398</t>
  </si>
  <si>
    <t>Quail West Foundation, Inc.</t>
  </si>
  <si>
    <t>recruiting@quailwest.com</t>
  </si>
  <si>
    <t>+12395934100</t>
  </si>
  <si>
    <t>***RFI response*** “Occasional set-up and/or breaking down of events” - this consists of moving and positioning dining tables and ballroom chairs according to floor plans, relocating buffet tables within the dining room to and from adjacent storage areas, setting up beverage stations (e.g., with drink dispensers and drinkware), and returning tables, chairs, and equipment to storage area following events. “Tools, equipment, and materials used” – this includes chair dollies (rolling carts for stacked ballroom chairs) and table movers (rolling table carts), with remaining items moved by manually lifting and carrying. No power tools or mechanized equipment are used. ***Original*** Servers will be responsible for greeting/seating customers, setting all dining areas, (to include a la carte &amp; banquet dining), taking and placing orders, carrying trays and plates, preparing alcoholic and non-alcoholic drinks, serving food and beverages, clearing and cleaning tables, occasional set-up and/or break-down of banquet events, understanding and operating Point of Sale (POS) system, and supporting co-workers during busy periods of high business volumes in order to meet service standards. Schedule: 35 hours per week. Work schedule can vary and can include evening, weekend, and holiday hours. Work may be performed on any day of the week from Monday through Sunday. Example shifts: 10:00am to 5:00pm or 3:00pm to 10:00pm. Shift hours may vary. Please see job description for additional information. Job Classification: 35-3011.00 - Bartenders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The Petitioner will consider for employment any person who possesses at least three (3) months of service experience in a fine-dining or high-volume environment at a high-end restaurant, resort, or private club. New applicants and returning workers reapplying after more than one year hiatus must complete pre-employment background check at employer's expense. All applicants must complete pre-employment drug screening at employers expense. Number of Hours Per Week: 35 Work Schedule (Start/End time): 10:00 A.M. - 5:00 P.M.</t>
  </si>
  <si>
    <t>H-400-26184-077399</t>
  </si>
  <si>
    <t>Server Assistants will be responsible for greeting customers, setting up the dining areas, setting tables, cleaning and clearing tables, serving water and coffee to customers, and serving food to customers when waiters or waitresses need assistance, running food, assisting with occasional set-up and/or break-down of banquet events, cleaning and clearing tables, understanding and operating Point of Sale (POS) system, rolling silverware, and polishing silverware. Schedule: 35 hours per week. Work schedule can vary and can include evening, weekend, and holiday hours. Work may be performed on any day of the week from Monday through Sunday. Example shifts: 10:00am - 5:00pm, 3:00pm - 10:00pm. Shift hours may vary. Please see attached job description for additional information. Job Classification: 35-9011.00 - Dining Room and Cafeteria Attendants and Bartender Helpers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The Petitioner will consider for employment any person who possesses at least three (3) months of experience in a fine-dining or high-volume environment at a high-end restaurant, resort, hotel, or private club. New applicants and returning workers reapplying after more than one year hiatus must complete pre-employment background check at employers expense. All applicants must complete pre-employment drug screening at employers expense. Number of Hours Per Week: 35 Work Schedule (Start/End time): 10:00 A.M. - 5:00 P.M.</t>
  </si>
  <si>
    <t>H-400-26184-077400</t>
  </si>
  <si>
    <t>Cooks will be responsible for preparing, seasoning, and cooking soups, meats, vegetables, desserts, and other food items in a restaurant. Schedule: 35 hours per week. Work schedule can vary and can include evening, weekend, and holiday hours. Work may be performed on any day of the week from Monday through Sunday. Example shifts: 7:00am to 2:00pm, 9:00am to 4:00pm, or 3:00pm to 10:00pm. Shift hours may vary. Please see attached job description for additional information. Job Classification: 35-2014.00 - Cooks, Restaurant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12 Special Requirements: The Petitioner will consider for employment any person who possesses at least one (1) year of culinary experience in a fine-dining or high-volume environment at a high-end restaurant, resort, or private club. New applicants and returning workers reapplying after more than one year hiatus must complete pre-employment background check at employer's expense. All applicants must complete pre-employment drug screening at employers expense. Number of Hours Per Week: 35 Work Schedule (Start/End time): 7:00 A.M. - 2:00 P.M.</t>
  </si>
  <si>
    <t>H-400-26184-077387</t>
  </si>
  <si>
    <t>R Moore Holdings LLC</t>
  </si>
  <si>
    <t>25/01/2027</t>
  </si>
  <si>
    <t>txjanie@hotmail.com</t>
  </si>
  <si>
    <t>+19568027617</t>
  </si>
  <si>
    <t>H-400-26184-077360</t>
  </si>
  <si>
    <t>Stonebridge Country Club Community Association, Inc.</t>
  </si>
  <si>
    <t>jfoster@stonebridgecountryclub.com</t>
  </si>
  <si>
    <t>+12395945200</t>
  </si>
  <si>
    <t>Line Cooks will be responsible for preparing, seasoning, and cooking soups, meats, vegetables, desserts, and other food items in a restaurant. Schedule: 40 hours per week. Work schedule can vary and can include evening, weekend, and holiday hours. Work may be performed on any day of the week from Monday through Sunday. Example shifts: 9:00 AM to 5:00 PM, 12:00 PM to 8:00 PM, or 1:00 PM to 9:00 PM. Shift hours may vary. Please see the attached job description for additional information. Job Classification: 35-2014.00 - Cooks, Restaurant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6 Special Requirements: The Petitioner will consider for employment any person who possesses at least six (6) months of culinary experience in a fine-dining or high-volume environment at a high-end restaurant, resort, or private club. Applicant must complete pre-employment background check and drug screening at employers expense. Number of Hours Per Week: 40 Work Schedule (Start/End time): 9:00 A.M. - 5:00 P.M.</t>
  </si>
  <si>
    <t>H-400-26184-077364</t>
  </si>
  <si>
    <t>Servers will be responsible for setting up the dining areas, taking and placing customers’ orders, carrying trays, serving food, mixing and serving beverages, and cleaning and clearing tables. Schedule: 40 hours per week. Work schedule can vary and can include evening, weekend, and holiday hours. Work may be performed on any day of the week from Monday through Sunday. Example shifts: 10:00 AM to 6:00 PM, 12:00 PM to 8:00 PM, or 2:00 PM to 10:00 PM. Shift hours may vary. Please see attached job description for additional information. Job Classification: 35-3031.00 - Waiters and Waitresses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6 Special Requirements: The Petitioner will consider for employment any person who possesses at least six (6) months of service experience in a fine-dining or high-volume environment at a high-end restaurant, resort, or private club. Applicant must complete pre-employment background check and drug screening at employers expense. Number of Hours Per Week: 40 Work Schedule (Start/End time): 10:00 A.M. - 6:00 P.M.</t>
  </si>
  <si>
    <t>H-400-26184-077356</t>
  </si>
  <si>
    <t>Talley Amusements, Inc.</t>
  </si>
  <si>
    <t>27/01/2027</t>
  </si>
  <si>
    <t>info@talleyamusements.com</t>
  </si>
  <si>
    <t>+18178470888</t>
  </si>
  <si>
    <t>Job Duties: Help installation, maintenance, and repair workers in maintenance, parts replacement, and repair of vehicles, industrial machinery, and electrical and electronic equipment. Perform duties such as furnishing tools, materials and supplies to other workers; cleaning work area, machines, and tools; and holding materials or tools for other workers. Job Classification: 49-9098.00 - Helpers--Installation, Maintenance, and Repair Workers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Post-employment random drug testing &amp; background checks may be required, at no cost to the worker. The job requires the applicant to be qualified, ready, willing, able, &amp; available to perform during the entire employment at the designated worksite; to enter into &amp; comply with employment contract; to follow workplace rules. Number of Hours Per Week: 35 Work Schedule (Start/End time): 8:00 A.M. - 4:00 P.M.</t>
  </si>
  <si>
    <t>H-400-26184-077351</t>
  </si>
  <si>
    <t>Server Captains will be responsible for supervising the front-of-house food and beverage staff, which includes assisting with conducting shift meetings, reviewing daily food and drink specials, assisting the staff in maintaining dining service standards, handling member issues and complaints, conducting performance coaching and discipline as needed, processing end-of-day reports and closing procedures, and ensuring that all opening and closing work is completed throughout the shift. May supervise up to twenty (20) Food &amp; Beverage Waitstaff. Schedule: 40 hours per week. Work schedule can vary and can include evening, weekend, and holiday hours. Work may be performed on any day of the week from Monday through Sunday. Example shifts: 9:00am - 5:00pm, 12:00pm - 8:00pm, or 3:00pm - 11:00pm. Shift hours may vary. See job description for additional information. Job Classification: 35-1012.00 - First-Line Supervisors of Food Preparation and Serving Workers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6 Special Requirements: The Petitioner will consider for employment any person who possesses at least six (6) months of experience in a fine-dining or high-volume environment at a high-end restaurant, resort, or private club. Applicant must complete pre-employment background check and drug screening at employers expense. Number of Hours Per Week: 40 Work Schedule (Start/End time): 9:00 A.M. - 5:00 P.M.</t>
  </si>
  <si>
    <t>H-400-26184-077355</t>
  </si>
  <si>
    <t>Seasonal Golf &amp; Cart Attendant</t>
  </si>
  <si>
    <t>Seasonal Golf &amp; Cart Attendants will be responsible for providing assistance to members including greeting members and assisting with check-in, answering inquiries, carrying equipment, and readying golf carts and practice range stations for member use. Schedule: 40 hours per week. Work schedule can vary and can include evening, weekend, and holiday hours. Work may be performed on any day of the week from Monday through Sunday. Example shifts: 9:00am - 5:00pm, 12:00pm - 8:00pm, or 3:00pm - 11:00pm. Shift hours may vary. See job description for additional information. Job Classification: 39-3091.00 - Amusement and Recreation Attendants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The Petitioner will consider for employment any person who possesses at least three (3) months of golf-related guest-service experience at a high-end hotel, resort, private club, or tourism environment. Applicant must complete pre-employment background check and drug screening at employers expense. Number of Hours Per Week: 40 Work Schedule (Start/End time): 9:00 A.M. - 5:00 P.M.</t>
  </si>
  <si>
    <t>H-400-26184-077361</t>
  </si>
  <si>
    <t>***RFI response*** The specific tasks that Dishwashers will perform while supporting event setup will include sorting and counting china, glassware, and flatware and gathering chafing dishes, buffet display equipment, and hot boxes and ensuring they are clean and ready for the event team to use. In addition to those mentioned above, the tools, equipment, and materials use for these tasks are polishing cloths for glassware, detergents, sanitizers, and degreasers. Dishwashers will also use dish machines and glass washers to clean dishes for events. Dishwashers will transport some of these items from the kitchen to the banquet space using bus carts, racks, and dollies. ***Original*** Dishwashers will be responsible for maintaining cleanliness and organization of all kitchen and stewarding areas, including washing dishes, pots, pans, utensils, and kitchen equipment, sweeping, mopping, and removing trash, and ensuring all kitchens, dish areas, and storage spaces remain clean and sanitary. Dishwashers will also assist with locating kitchen equipment, organizing inventory, and supporting event setup by preparing china, glassware, tables, and buffet dry setups. Schedule: 40 hours per week. Work schedule can vary and can include evening, weekend, and holiday hours. Work may be performed on any day of the week from Monday through Sunday. Example shifts: 10:00am – 6:00pm, 2:00pm – 10:00pm, or 3:00pm – 11:00pm. Shift hours may vary. See job description for additional information. Job Classification: 35-9021.00 - Dishwashers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The Petitioner will consider for employment any person who possesses at least three (3) months of experience at a high-end hotel, resort, or private club. Applicant must complete pre-employment background check and drug screening at employers expense. Number of Hours Per Week: 40 Work Schedule (Start/End time): 10:00 A.M. - 6:00 P.M.</t>
  </si>
  <si>
    <t>H-400-26184-077365</t>
  </si>
  <si>
    <t>Food &amp; Beverage Waitstaff</t>
  </si>
  <si>
    <t>Food &amp; Beverage Waitstaff will be responsible for greeting customers, setting up the dining areas, taking and placing orders, carrying trays and plates, serving food and beverages, cleaning and clearing tables, providing excellent customer services, delivering checks and collecting payments, cooperating and communicating with all serving and kitchen staff, and adhering to all relevant health department rules/regulations and all customer service guidelines. Schedule: 40 hours per week. Work schedule can vary and can include evening, weekend, and holiday hours. Work may be performed on any day of the week from Monday through Sunday. Example shifts: 10:00am – 6:00pm, 2:00pm – 10:00pm, or 3:00pm – 11:00pm. Shift hours may vary. See job description for additional information. Job Classification: 35-3031.00 - Waiters and Waitresses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The Petitioner will consider for employment any person who possesses at least three (3) months of experience in a fine-dining or high-volume environment at a high-end restaurant, resort, or private club. Applicant must complete pre-employment background check and drug screening at employers expense. Number of Hours Per Week: 40 Work Schedule (Start/End time): 10:00 A.M. - 6:00 P.M.</t>
  </si>
  <si>
    <t>H-400-26184-077354</t>
  </si>
  <si>
    <t>***RFI response*** The specific tasks that Line Cooks will perform while assisting in the set up of food stations and buffets include transporting prepared food items to buffet locations, positioning chafing dishes and serving equipment, arranging food displays, replenishing food and supplies as needed, and ensuring stations remain clean, organized, and ready for service. The tools, equipment, and materials that Line Cooks will use to assist in the set up of food stations and buffets include carts, trays, chafing dishes, serving utensils, food pans, plates, bowls, and buffet display equipment. ***Original*** Line Cooks will be responsible for preparing, seasoning, and cooking soups, meats, vegetables, desserts, and other food items in a restaurant, assisting in the set up of food stations and buffets, and keeping their work areas clean. Schedule: 40 hours per week. Work schedule can vary and can include evening, weekend, and holiday hours. Work may be performed on any day of the week from Monday through Sunday. Example shifts: 9:00am - 5:00pm, 12:00pm - 8:00pm, or 3:00pm - 11:00pm. Shift hours may vary. See job description for additional information. Job Classification: 35-9011.00 - Dining Room and Cafeteria Attendants and Bartender Helpers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6 Special Requirements: The Petitioner will consider for employment any person who possesses at least six (6) months of culinary experience in a fine-dining or high-volume environment at a high-end restaurant, resort, or private club. Applicant must complete pre-employment background check and drug screening at employers expense. Number of Hours Per Week: 40 Work Schedule (Start/End time): 9:00 A.M. - 5:00 P.M.</t>
  </si>
  <si>
    <t>H-400-26184-077359</t>
  </si>
  <si>
    <t>Bartenders will be responsible for mixing and serving drinks to members and guests, taking and placing guest orders, serving food and beverages, setting up the bar area, cleaning glasses and bar equipment, and ensuring that the bar and work areas are clean and well-stocked. Schedule: 40 hours per week. Work schedule can vary and can include evening, weekend, and holiday hours. Work may be performed on any day of the week from Monday through Sunday. Example shifts: 9:00am - 5:00pm, 12:00pm - 8:00pm, or 3:00pm - 11:00pm. Shift hours may vary. See job description for additional information. Job Classification: 35-3011.00 - Bartenders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The Petitioner will consider for employment any person who possesses at least three (3) months of experience in a fine-dining or high-volume environment at a high-end restaurant, resort, or private club. Applicant must complete pre-employment background check and drug screening at employers expense. Number of Hours Per Week: 40 Work Schedule (Start/End time): 9:00 A.M. - 5:00 P.M.</t>
  </si>
  <si>
    <t>H-400-26184-077384</t>
  </si>
  <si>
    <t>The Port Royal Club, Inc.</t>
  </si>
  <si>
    <t>Michele@portroyalclub.org</t>
  </si>
  <si>
    <t>+12392617615</t>
  </si>
  <si>
    <t>Servers will be responsible for greeting customers, setting up the dining areas, taking and placing orders, carrying trays and plates, serving food and beverages, and cleaning and clearing tables. Servers will maintain knowledge of classic cocktails, wine, specialty drinks, and all food menus, including daily specials. Servers will assist with set up and break down of the dining room for regular service and special events (including arranging tables and chairs according to floor plan and setting tables). Must be able to reach, bend, stoop, stand, and lift up to 50 pounds. Schedule: 40 hours per week. Work schedule can vary and can include evening, weekend, and holiday hours. Work may be performed on any day of the week from Monday through Sunday. Example shifts: 9:00AM to 5:00PM, 8:00AM to 4:00PM, 1:00PM to 9:00PM, or 2:00PM to 10:00PM. Shift hours may vary. Please see the attached job description for additional details. Job Classification: 35-3031.00 - Waiters and Waitresses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The Petitioner will consider for employment any person who possesses at least three (3) months of experience in a fine-dining or high-volume environment at a high-end restaurant, resort, or private club. Applicant must complete pre-employment background check and drug screening at employers expense. Number of Hours Per Week: 40 Work Schedule (Start/End time): 9:00 A.M. - 5:00 P.M.</t>
  </si>
  <si>
    <t>H-400-26184-077385</t>
  </si>
  <si>
    <t>Hosts/Hostesses will be responsible for welcoming patrons, seating patrons at tables, and helping ensure quality of facilities and service by maintaining accurate member notes, preferences, and special occasions. Hosts will provide guests with menus, assign patrons to tables suitable for their needs and according to rotation so that servers receive an appropriate number of seatings, answer telephone calls and respond to inquiries, receive and record patrons' dining reservations, speak with patrons to ensure satisfaction with food and service, inspect dining and serving areas to ensure cleanliness and proper setup, inform patrons of establishment specialties and features, and maintain contact with kitchen staff, management, serving staff, and customers to ensure that dining details are handled properly and customers' concerns are addressed. Schedule: 40 hours per week. Work schedule can vary and can include evening, weekend, and holiday hours. Work may be performed on any day of the week from Monday through Sunday. Example shifts: 9:00AM to 5:00PM, or 2:00PM to 10:00PM. Shift hours may vary. Please see the attached job description for additional details. Job Classification: 35-9031.00 - Hosts and Hostesses, Restaurant, Lounge, and Coffee Shop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6 Special Requirements: The Petitioner will consider for employment any person who possesses at least six (6) months of customer service experience in a fine-dining or high-volume environment at a high-end restaurant, resort, or private club. Applicant must complete pre-employment background check and drug screening at employers expense. Number of Hours Per Week: 40 Work Schedule (Start/End time): 9:00 A.M. - 5:00 P.M.</t>
  </si>
  <si>
    <t>H-400-26184-077388</t>
  </si>
  <si>
    <t>Line Cooks will be responsible for preparing, seasoning, and cooking soups, meats, vegetables, desserts, and other food items in a restaurant. Line Cooks will also ensure proper storage protocols are being followed in accordance with company and state regulations, assist with training new kitchen team members on station procedures and Club standards, and support special events and banquets by manning assigned food station, attending pre-event briefing, setting up the station with knives, utensils, and other food-preparation/service supplies, preparing and serving food at station, and clearing and cleaning station after event. Schedule: 40 hours per week. Work schedule can vary and can include evening, weekend, and holiday hours. Work may be performed on any day of the week from Monday through Sunday. Example shifts: 9:00AM to 5:00PM, 2:00PM to 10:00PM, 8:00AM to 4:00PM, or 1:00PM to 9:00PM. Shift hours may vary. Please see the attached job description for additional details. Job Classification: 35-2014.00 - Cooks, Restaurant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6 Special Requirements: The Petitioner will consider for employment any person who possesses at least six (6) months of culinary experience in a fine-dining or high-volume environment at a high-end restaurant, resort, or private club. Applicant must complete pre-employment background check and drug screening at employers expense. Number of Hours Per Week: 40 Work Schedule (Start/End time): 9:00 A.M. - 5:00 P.M.</t>
  </si>
  <si>
    <t>H-400-26184-077389</t>
  </si>
  <si>
    <t>Kitchen Supervisors will be responsible for preparing, seasoning, and cooking soups, meats, vegetables, desserts, and other food items in a restaurant. Kitchen Supervisors will oversee day-to-day operation of the kitchen and staff, ensure meals are prepared and served on time, assist with supervising sanitation and hygiene, ensure proper storage protocols are being followed in accordance with company and state regulations, assist with training new kitchen team members on station procedures and Club standards, and assist with daily prep work as needed. May supervise up to thirty-three (33) Line Cooks. Schedule: 40 hours per week. Work schedule can vary and can include evening, weekend, and holiday hours. Work may be performed on any day of the week from Monday through Sunday. Example shifts: 7:00AM to 3:00PM, 10:00AM to 6:00PM, or 2:00PM to 10:00PM. Shift hours may vary. Please see the attached job description for additional details. Job Classification: 35-1012.00 - First-Line Supervisors of Food Preparation and Serving Workers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12 Special Requirements: The Petitioner will consider for employment any person who possesses at least one (1) year of supervisor experience at a high-end restaurant, hotel, resort, or private club. Applicant must complete pre-employment background check and drug screening at employers expense. Number of Hours Per Week: 40 Work Schedule (Start/End time): 7:00 A.M. - 3:00 P.M.</t>
  </si>
  <si>
    <t>H-400-26184-077390</t>
  </si>
  <si>
    <t>Recreation Attendant</t>
  </si>
  <si>
    <t>Recreation Attendants will be responsible for understanding and enforcing all Club policies, rules and regulations by explaining policies to members and guests (and relaying non-compliance with policies to leadership), monitoring all beach areas, ensuring the safety and comfort of guests and members by enforcing displayed rules, setting up and maintaining towels, beach chairs, umbrellas, and other amenities, cleaning beach areas, maintaining all public areas of beach facilities, and maintaining cleanliness and organization in all work areas. Recreation Attendants will assist with planning, organizing, and leading appropriate children’s beach activities including games, arts &amp; crafts, sand activities, assisting members with water sports equipment such as paddle boards, kayaks, and floatation devices, and ensure proper set up, instruction, monitoring, safety, storage, and returns. Recreation Attendants will also promptly clear food and beverage items from beach chairs and tables. Must be able to reach, bend, stoop, stand, and lift up to 50 pounds. Schedule: 40 hours per week. Work schedule can vary and can include evening, weekend, and holiday hours. Work may be performed on any day of the week from Monday through Sunday. Example shifts: 7:00AM to 3:00PM or 2:00PM to 10:00PM. Shift hours may vary. Please see the attached job description for additional details. Job Classification: 39-3091.00 - Amusement and Recreation Attendants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No experience required. Previous waterfront experience at a high-end hotel, resort, or private club is preferred but not required. Applicant must complete pre-employment background check and drug screening at employers expense. Number of Hours Per Week: 40 Work Schedule (Start/End time): 7:00 A.M. - 3:00 P.M.</t>
  </si>
  <si>
    <t>H-400-26184-077392</t>
  </si>
  <si>
    <t>Dining Room Attendants will be responsible for cleaning and clearing tables, carrying trays and plates from the kitchen or service bar to serve food and beverages to patrons, refilling coffee, water, bread, butter, and other table items, and communicating with Servers regarding table status, timing, and member needs. Dining Room Attendants will assist with set up and break down of the dining room for regular service and special events (including arranging tables and chairs according to floor plan and setting tables) and will also maintain cleanliness and organization of dining rooms, service stations, and back of house. Must be able to reach, bend, stoop, stand, and lift up to 50 pounds. Schedule: 40 hours per week. Work schedule can vary and can include evening, weekend, and holiday hours. Work may be performed on any day of the week from Monday through Sunday. Example shifts: 8:00AM – 4:00PM or 1:00PM – 9:00PM. Shift hours may vary. Please see the attached job description for additional details. Job Classification: 53-7062.00 - Laborers and Freight, Stock, and Material Movers, Hand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The Petitioner will consider for employment any person who possesses at least three (3) months of experience at a high-end hotel, resort, or private club. Applicant must complete pre-employment background check and drug screening at employers expense. Number of Hours Per Week: 40 Work Schedule (Start/End time): 8:00 A.M. - 4:00 P.M.</t>
  </si>
  <si>
    <t>H-400-26184-077395</t>
  </si>
  <si>
    <t>Bartenders will be responsible for mixing and serving drinks to members and guests, cleaning glasses and bar equipment, and ensuring that the bar and work areas are clean and well-stocked. Bartenders will take and enter orders, maintaining knowledge of classic cocktails, wine, beer, specialty drinks, and all food menus, including daily specials. Must be able to reach, bend, stoop, stand, and lift up to 50 lbs. Schedule: 40 hours per week. Work schedule can vary and can include evening, weekend, and holiday hours. Work may be performed on any day of the week from Monday through Sunday. Example shifts: 9:00AM – 5:00PM, 2:00PM to 10:00PM, 8:00AM – 4:00PM, or 1:00PM – 9:00PM. Shift hours may vary. Please see attached job description for additional details. Job Classification: 35-3011.00 - Bartenders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6 Special Requirements: The Petitioner will consider for employment any person who possesses at least six (6) months of experience in a fine-dining or high-volume environment at a high-end restaurant, resort, or private club. Applicant must be at least 18 years of age. Applicant must complete a pre-employment background check and drug screening at employers expense. Number of Hours Per Week: 40 Work Schedule (Start/End time): 9:00 A.M. - 5:00 P.M.</t>
  </si>
  <si>
    <t>H-400-26184-077391</t>
  </si>
  <si>
    <t>Dining Room Supervisors will be responsible for supervising daily dining room operations to maintain quality service to Club standards, leading, coaching, and supporting Servers, Bartenders, and Dining Room Attendants, as well as greeting members and guests and addressing any service concerns. Dining Room Supervisors will monitor dining room cleanliness, coordinate communications between front-of-house and kitchen, support and supervise special events and functions, and will assist with training new team members on service standards and procedures. Dining Room Supervisors will assist management with scheduling, performance reports, and attendance monitoring, and will enforce food safety, sanitation, and alcohol service policies in compliance with Club guidelines. May supervise up to seventy-five (75) Dining Room Attendants, Servers, Bartenders and Hosts. Schedule: 40 hours per week. Work schedule can vary and can include evening, weekend, and holiday hours. Work may be performed on any day of the week from Monday through Sunday. Example shifts: 9:00AM – 5:00PM, 8:00AM to 4:00PM, 1:00PM to 9:00PM or 2:00PM to 10:00PM. Shift hours may vary. Please see the attached job description for additional details. Job Classification: 35-1012.00 - First-Line Supervisors of Food Preparation and Serving Workers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12 Special Requirements: The Petitioner will consider for employment any person who possesses at least one (1) year of supervisor experience at a high-end restaurant, hotel, resort, or private club. Applicant must complete pre-employment background check and drug screening at employers expense. Number of Hours Per Week: 40 Work Schedule (Start/End time): 9:00 A.M. - 5:00 P.M.</t>
  </si>
  <si>
    <t>H-400-26184-077403</t>
  </si>
  <si>
    <t>Tony's Concessions</t>
  </si>
  <si>
    <t>tonysconcessions@gmail.com</t>
  </si>
  <si>
    <t>+15592862522</t>
  </si>
  <si>
    <t>H-400-26184-077453</t>
  </si>
  <si>
    <t>Armington Nursery Inc</t>
  </si>
  <si>
    <t>Vanessa Garcia</t>
  </si>
  <si>
    <t>28/11/2026</t>
  </si>
  <si>
    <t>armingtonnursery@gmail.com</t>
  </si>
  <si>
    <t>+15852236580</t>
  </si>
  <si>
    <t>Move soil, equipment; wheelbarrows, tillers, &amp; materials; dig holes for plants, trees &amp; drainage swails, install landscape materials, rake, sweep, water, prune, mulch, weed, clean up, mowing, weed eat Job Classification: 37-3011.00 - Landscaping and Groundskeeping Workers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Able to lift 85lbs, Must be able to work in a variety of weather conditions from 25-95 degrees F, including rain, sleet, snow, wind. Monday-Friday, some Saturdays may be required, schedule varies, end time varies, overtime varies Number of Hours Per Week: 40 Work Schedule (Start/End time): 7:00 A.M. - 4:00 P.M.</t>
  </si>
  <si>
    <t>H-400-26184-077415</t>
  </si>
  <si>
    <t>BERN LLC</t>
  </si>
  <si>
    <t>ryan@ranchcampvt.com</t>
  </si>
  <si>
    <t>+18025855495</t>
  </si>
  <si>
    <t>BERN LLC, located in Woodstock, VT, seeks full-time, temporary line cooks with the description and requirements as below. Line Cooks are responsible for the preparation, seasoning, and cooking of a variety of menu items, including but not limited to pizzas, sandwiches, burgers, soups, meats, vegetables, and desserts. Duties include setting up workstations, preparing ingredients, and ensuring cleanliness before, during, and after service, including washing dishes and utensils used in food preparation. Line Cooks will create daily specials, assist with ordering inventory, manage order placement and receipt, and perform trash removal duties. They will also serve as an expediter between the kitchen and the front of the house, communicating information regarding dish ingredients, availability, and preparation times for service staff. Line Cooks must maintain a professional, steady presence during high-volume periods. They must report to the owner, chef, and manager as needed and follow all kitchen protocols. Requirements: Applicant must: - Complete pre-employment background check. - Be able to provide at least one reference for prior work experience. - At least 3 months of restaurant cooking experience. - Be able to communicate in English. Job Classification: 35-2014.00 - Cooks, Restaurant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1. Complete pre-employment background check. 2. Be able to provide at least one reference for prior 3. Be able to communicate in English. The anticipated start date is October 1, 2026 with an end date of April 30, 2027. The geographic area of intended employment is Woodstock, Vermont. On-the-job training is provided. The employer will make all deductions from the workers paycheck required by law. If the worker completes 50% of the work contract period, employer will pay directly for and/or reimburse workers for transportation and subsistence from the place of recruitment to the place of work. Upon completion of the work contract or where the worker is dismissed earlier, employer will provide or pay for workers reasonable costs of return transportation and subsistence back home or to the place the worker originally departed to work, except where the worker will not return due to subsequent employment with another employer. The employer will pay directly for and/or reimburse workers for all reasonable inbound transportation and subsistence costs within the first workweek. The employer will pay directly for and/or reimburse workers for all reasonable outbound transportation and subsistence costs during the last workweek. The amount of transportation payment or reimbursement will be equal to the most economical and reasonable common carrier for the distances involved. Daily subsistence will be provided at a rate of $16.78 per day during travel to a maximum of $68.00 per day with receipts. The employer guarantees to offer work for hours equal to at least three fourths of the workdays in each 12-week period of the total employment period. The employer will reimburse the worker in the first workweek for all visa, visa processing, border crossing and other related fees, including those mandated by the government, incurred by the worker. The employer will also provide to the H-2B workers, without charge or deposit charge, all tools, supplies, and equipment required to perform the duties assigned. Number of Hours Per Week: 40 Work Schedule (Start/End time): 10:00 A.M. - 8:00 P.M.</t>
  </si>
  <si>
    <t>H-400-26184-077448</t>
  </si>
  <si>
    <t>BTS Landscaping, Inc</t>
  </si>
  <si>
    <t>Robin Svec</t>
  </si>
  <si>
    <t>srussell@btslandscaping.com</t>
  </si>
  <si>
    <t>+19733470707</t>
  </si>
  <si>
    <t>General pruning, weeding, lawn mowing, operating lawn mower equipment, dig holes for plants, trees &amp; shrubs, install landscape material such as mulch, topsoil and plants, spread mulch, rake lawns, blow leaves, grass clippings, edge planting beds, clean up. Job Classification: 37-3011.00 - Landscaping and Groundskeeping Workers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Monday-Friday, some Saturdays required, schedule varies, overtime varies. Able to lift 50lbs. Number of Hours Per Week: 40 Work Schedule (Start/End time): 7:00 A.M. - 4:00 P.M.</t>
  </si>
  <si>
    <t>H-400-26184-077468</t>
  </si>
  <si>
    <t>CORPORATE GREEN LLC</t>
  </si>
  <si>
    <t>Terri Johnson</t>
  </si>
  <si>
    <t>hrm@corporategreen.us</t>
  </si>
  <si>
    <t>+12253674414</t>
  </si>
  <si>
    <t>planting/removal of varies types of plants (seasonal color, annuals, shrubs, trees etc.), preparing flowerbeds and yards for irrigation of lawns, spreading mulch, soil and weeding by hand, mowing, edging, stringing, trimming, pruning, fertilizing, diseases, and insect control, maintain drainage and irrigation system. Use and maintain equipment and tools (ex: shovels, hoes, trimmers, mowers, weed eater, etc. (when time allows) Minor maintenance on equipment, maintain a clean work area, remove trash/debris Job Classification: 37-3011.00 - Landscaping and Groundskeeping Workers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ABLE TO: LIFT 50LBS, STAND, WALK, KNEEL, BEND, REACH OVERHEAD/GROUND LEVEL FOR LONG PERIOD OF TIMES, WORK IN ALL KIND OF WEATHER CONDITIONS (EXTREME HEAT, EXTREME COLD AND RAIN).ONCE HIRED MAY BE SUBJECT TO A RANDOM DRUG TEST AT NO COST TO WORKER, IF TEST POSITIVE OR FAILURE TO COMPLY WITH TESTING MAY RESULT IN IMMEDIATE TERMINATION FORM EMPLOYMENT PRE-EMPLOYMENT DRUG TESTING (NO COST TO WORKER), MUST PASS BACK GROUND CHECK (NO COST TO WORKER) The standard work schedule is from 7:00 am until 4:00 pm Monday through Friday; Saturday and Sunday work required, when necessary, Employer will offer 35 Hours per work week-Overtime is offered but not guaranteed - Employer may offer more hours than the stated work hours, depending on weather, business needs and other conditions. Extreme Heat, cold, rain, may affect exact Number of Hours Per Week: 35 Work Schedule (Start/End time): 7:00 A.M. - 4:00 P.M.</t>
  </si>
  <si>
    <t>H-400-26184-077467</t>
  </si>
  <si>
    <t>Campania International, LLC</t>
  </si>
  <si>
    <t>Linda Seals</t>
  </si>
  <si>
    <t>mh@campaniainternational.com</t>
  </si>
  <si>
    <t>+12155414627</t>
  </si>
  <si>
    <t>Helper Production Worker</t>
  </si>
  <si>
    <t>Workers will assist production workers in the manufacturing of concrete outdoor planters and statuary by manually filling molds with concrete; examine products to verify conformance to quality standards; move, load, unload products with handcarts and/or manual pallet jack; count, mark, tag products; package products into large cardboard boxes with wood shavings and shut with straps; clean work areas; may operate manual grinding tools and/or electric drill for seams and to open molds. Job Classification: 51-9195.00 - Molders, Shapers, and Casters, Except Metal and Plastic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Able to lift 70lbs. Monday-Friday, Saturdays may be required 6a-2:15p, schedule varies. Must be willing to work some holidays, overtime varies. Random drug testing during employment. All drug testing is performed without regard to an employees citizenship or immigration status, and all testing is paid for by the company. See the additional document attached for further details about the administration of our drug testing policy. Number of Hours Per Week: 40 Work Schedule (Start/End time): 7:00 A.M. - 3:15 P.M.</t>
  </si>
  <si>
    <t>H-400-26184-077408</t>
  </si>
  <si>
    <t>Coastal Heritage Seafood, Inc</t>
  </si>
  <si>
    <t>Crab Processors</t>
  </si>
  <si>
    <t>SOC Code: 51-3093.00 — Food Cooking Machine Operators and Tenders • Steam whole crabs • Cook seafood using steamers/boilers SOC Code: 51-3022 — Meat, Poultry, and Fish Cutters and Trimmers • Clean and pick crabs • Debone and break seafood • Separate meat by size/quality • Prepare seafood for wholesale/retail sale • Clean and sanitize work areas and equipment • Maintain compliance with food safety regulations SOC Code: 53-7064 — Packers and Packagers, Hand • Weigh, count, and measure product • Place seafood in containers • Seal, ice, and pack products • Assemble boxes SOC Code: 53-7062 — Laborers and Freight, Stock, and Material Movers, Hand • Move, dump, and distribute product • Perform dock work • Remove crabs from boats or trucks • Load finished products onto trucks • Use material handling equipment (occasional) • Place raw product on processing tables • Freeze and shovel crabs See attached addendum. Job Classification: 51-3093.00 - Food Cooking Machine Operators and Tenders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Lift/carry up to 50 pounds. Employer paid drug test is Post Employment, Random. The employer may conduct lawful, job-related screening of applicants, including inquiries into criminal history, where permitted by applicable federal, state, and local laws. Any consideration of criminal history will be conducted on an individualized basis and employment decisions will be made in a nondiscriminatory manner consistent with applicable laws and business necessity. No infectious diseases; seafood allergies may be fatal. Number of Hours Per Week: 40 Work Schedule (Start/End time): 5:00 A.M. - 2:00 P.M.</t>
  </si>
  <si>
    <t>H-400-26184-077437</t>
  </si>
  <si>
    <t>Constructora La Raza, Inc.</t>
  </si>
  <si>
    <t>Karen Ocasio Vazquez</t>
  </si>
  <si>
    <t>constructoralaraza@hotmail.com</t>
  </si>
  <si>
    <t>+17872239946</t>
  </si>
  <si>
    <t>Cut tiles and shape them properly to ensure they fit around obstacles and in tight corners and odd spaces using power and hand tools. Form tile beds using concrete, plaster, mastic, cement, glue or mortar utilizing tools such as screeds, brushes and trowels. Align tiles and straighten them with straightedges, levels and squares to ensure patterns are even and precise. Cut, install, polish and surface granite and marble and ensure accuracy during the installation process for lasting results. Prepare various surfaces for tiling with waterproofing material or lath and by cleaning the surfaces properly. Create decorative wall and floor designs by laying and setting mosaic tiles in kitchens, bathrooms and living rooms. Tap tiles into place carefully using tools to properly adhere tiles to the base, making sure not to break or damage tiles. Follow blueprints precisely and mark and measure surfaces that need to be tiled to determine how to go about jobs. Job Classification: 47-2044.00 - Tile and Stone Setters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6 Special Requirements: HEAVY LIFTING LONG PERIODS OF TIME STANDING, KNEALING AND/OR BENDING DUST IN WORKING AREAS WORK UNDER SEVERE WEATHER, SPECIALLY UNDER THE SUN Number of Hours Per Week: 40 Work Schedule (Start/End time): 7:00 A.M. - 4:00 P.M.</t>
  </si>
  <si>
    <t>H-400-26184-077407</t>
  </si>
  <si>
    <t>Corporate Green  LLC</t>
  </si>
  <si>
    <t>+12257522333</t>
  </si>
  <si>
    <t>Landscaping Laborers</t>
  </si>
  <si>
    <t>planting/removal of varies types of plants (seasonal color, annuals, shrubs, trees etc.), preparing flowerbeds and yards for irrigation of lawns, spreading mulch, soil and weeding by hand, mowing, edging, stringing, trimming, pruning, fertilizing, diseases and insect control, maintain drainage and irrigation system. Use and maintain equipment and tools (ex: shovels, hoes, trimmers, mowers, weed eater, etc. (when time allows) Minor maintenance on equipment, maintain a clean work area, remove trash/debris Job Classification: 37-3011.00 - Landscaping and Groundskeeping Workers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ABLE TO BEND, REACH TO GROUND LEVEL OR OVERHEAD, STAND, WALK, KNEEL FOR LONG PROLONGED PERIOD OF TIME, ABLE TO LIFT UP TO 30 TO 50 LBS, ABLE TO WORK IN ALL-WEATHER CONDITION FROM EXTREME HEAT, COLD OR RAIN. MUST BE ABLE TO CLIMB 8 TO 16 FT LADDER, WORK IN HIGH HEIGHTS ABLE TO WORK WEEKENDS ONCE HIRED WORKER MAY BE REQUIRED TO TAKE A RANDOM DRUG TEST, AT NO COST TO WORKER. TESTING POSITIVE OR FAILURE TO COMPLY MAY RESULT IN TERMINATION Anticipated Days and Hours Work Per Week The standard work schedule is from 7:00 am until 4:00 pm Monday through Friday; Saturday and Sunday work required, when necessary, Employer will offer 35 Hours per work week- Overtime is offered but WILL TRAVEL TO MULTI WORKSITES DAILY AT PRIVATE RESIDENCE AND COMMERCIAL PROPERTIES Number of Hours Per Week: 35 Work Schedule (Start/End time): 7:00 A.M. - 4:00 P.M.</t>
  </si>
  <si>
    <t>H-400-26184-077413</t>
  </si>
  <si>
    <t>Cowart Seafood Corp.</t>
  </si>
  <si>
    <t>cowartsales@gmail.com</t>
  </si>
  <si>
    <t>+18045296101</t>
  </si>
  <si>
    <t>Open and remove oyster meat from shell, Separate meat by size/quality, Prepare oysters for wholesale/retail sale, Clean and sanitize work areas and equipment, Place oysters in containers, Seal and pack oysters in containers, Move, dump, and distribute raw product, Remove oysters from boats or trucks, Occasionally use material handling equipment (shell stock washer, scales and equipment to handle shellfish), Freeze and place oysters in containers See attached Addendum. Job Classification: 51-3022.00 - Meat, Poultry, and Fish Cutters and Trimmers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Lift/carry up to 75 pounds. Employer paid drug test is Post Employment, Upon Suspicion. The employer may conduct lawful, job-related screening of applicants, including inquiries into criminal history, where permitted by applicable federal, state, and local laws. Any consideration of criminal history will be conducted on an individualized basis and employment decisions will be made in a nondiscriminatory manner consistent with applicable laws and business necessity. No infectious diseases; seafood allergies may be fatal. Number of Hours Per Week: 35 Work Schedule (Start/End time): 7:00 A.M. - 1:00 P.M.</t>
  </si>
  <si>
    <t>H-400-26184-077416</t>
  </si>
  <si>
    <t>Diamond Shoal Seafood, Inc</t>
  </si>
  <si>
    <t>seafood@fulchersnc.net</t>
  </si>
  <si>
    <t>+12522490123</t>
  </si>
  <si>
    <t>SOC Code: 51-3022 — Meat, Poultry, and Fish Cutters and Trimmers • Clean and shuck oysters • Separate meat by size/quality • Prepare seafood for wholesale/retail sale • Clean and sanitize work areas and equipment • Maintain compliance with food safety regulations SOC Code: 53-7064 — Packers and Packagers, Hand • Weigh, count, and measure product • Place seafood in containers • Seal, ice, and pack products • Assemble boxes SOC Code: 53-7062 — Laborers and Freight, Stock, and Material Movers, Hand • Move, dump, and distribute product • Perform dock work • Remove oysters from boats or trucks • Load finished products onto trucks • Use material handling equipment (occasional) • Place raw product on processing tables • Freeze and shovel oysters See attached Addendum Job Classification: 51-3022.00 - Meat, Poultry, and Fish Cutters and Trimmers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Lift/carry up to 50 pounds. Employer paid drug test is Post Employment, Upon Suspicion. The employer may conduct lawful, job-related screening of applicants, including inquiries into criminal history, where permitted by applicable federal, state, and local laws. Any consideration of criminal history will be conducted on an individualized basis and employment decisions will be made in a nondiscriminatory manner consistent with applicable laws and business necessity. No infectious diseases; seafood allergies may be fatal. Number of Hours Per Week: 40 Work Schedule (Start/End time): 6:00 A.M. - 2:00 P.M.</t>
  </si>
  <si>
    <t>H-400-26184-077470</t>
  </si>
  <si>
    <t>Dulac Oyster &amp; Seafood, LLC</t>
  </si>
  <si>
    <t>dulacoysterplant@gmail.com</t>
  </si>
  <si>
    <t>+19855184357</t>
  </si>
  <si>
    <t>Temporary Seafood Plant Workers</t>
  </si>
  <si>
    <t>Dulac Oyster &amp; Seafood, LLC needs forty (40) Seasonal Seafood Plant Workers to work in our oyster processing plant located at 4310 Grand Caillou Road, Houma, Louisiana 70363, in Terrebonne Parish, for our oyster season. Starting date: October 1, 2026, through June 1, 2027. Workers will work 40 hours per week on a rotating schedule. No overtime anticipated. Paid weekly. Duties: Workers will receive, sort, inspect, clean, process, shuck, package, and prepare oysters for commercial distribution. Workers will sort incoming live oysters by size, shell condition, color, quality, and marketability using grading tables, vibrating conveyors, shaking tables, or by hand. Selected workers will shuck oysters using oyster knives and other hand tools while maintaining product quality and minimizing waste. Workers will wash, scrub, rinse, and clean oysters and oyster shells using high-pressure water hoses, rotating drums, brushes, and other cleaning equipment to remove mud, algae, and debris. Workers will inspect, trim, rinse, and prepare oyster meat for packaging while maintaining food safety, sanitation, and quality control standards. Workers will weigh, vacuum seal, package, ice, label, and prepare finished oyster products for shipment to restaurants, wholesalers, retailers, distributors, manufacturers, and other commercial customers. Workers will load, unload, move, stack, and transport oysters, packaging materials, containers, ice, and supplies throughout the processing facility using hand trucks, pallet jacks, carts, and similar material-handling equipment. Workers will clean and sanitize workstations, conveyor systems, processing tables, tools, equipment, containers, and production areas throughout each workday. Workers must perform assigned duties in accordance with employer safety procedures and applicable food safety and sanitation requirements. Work is performed indoors in a cold, wet, and humid seafood processing plant environment and requires prolonged standing, repetitive hand movements, bending, reaching, lifting, carrying, pushing, pulling, and handling seafood products efficiently throughout the workday. All deductions from workers' paychecks required by law will be made. The employer will use a single workweek as its standard for computing wages due. The wage offered to H-2B workers, U.S. workers, and all other workers in corresponding employment will equal or exceed the highest applicable wage rate, including the prevailing wage or applicable Federal, State, or local minimum wage, as required by law. The employer guarantees to offer work for hours equal to at least three-fourths (3/4) of the workdays in each 12-week period of the total employment period, as required by 20 CFR 655.20(f). H-2B workers will be reimbursed during the first workweek for all visa processing fees, border crossing fees, and other government-required fees, excluding passport fees, in accordance with 20 CFR 655.20(j)(1)(i). Transportation and subsistence from the place from which the worker comes to work for the employer will be provided or reimbursed during the first workweek for H-2B workers and non-commuting U.S. workers, including meals and lodging where necessary, as required by 20 CFR 655.20(j)(1)(i). Upon completion of the work contract, or where the worker is dismissed earlier, the employer will provide or pay for the worker's reasonable costs of return transportation and daily subsistence to the place from which the worker originally departed to work for the employer or to the worker's next certified H-2B employer, where applicable, in accordance with 20 CFR 655.20(j)(1)(ii). The employer will not pay return transportation or subsistence for workers who voluntarily abandon employment or are terminated for cause consistent with applicable regulations. Job Classification: 45-2041.00 - Graders and Sorters, Agricultural Products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Applicants must possess a minimum of three (3) months of work-related seafood processing experience. No education is required. Workers must be able to work a rotating schedule, including day, evening, overnight, and weekend shifts, as assigned. The normal work schedule consists of approximately 40 hours per week, with rotating shifts Monday through Friday (6:00 a.m. to 2:00 p.m., 2:00 p.m. to 10:00 p.m., or 10:00 p.m. to 6:00 a.m.) and Saturday five-hour rotating shifts (6:00 a.m. to 11:00 a.m., 11:00 a.m. to 4:00 p.m., 4:00 p.m. to 9:00 p.m., 9:00 p.m. to 2:00 a.m., or 2:00 a.m. to 7:00 a.m.). Workers must be able to stand for extended periods and perform repetitive hand movements, bending, reaching, lifting, carrying, pushing, and pulling while performing assigned job duties. Work is performed indoors in a cold, wet, and humid seafood processing plant environment. The employer will provide, without charge or deposit, all tools, supplies, equipment, uniforms, and personal protective equipment required to perform the job, including waterproof gloves, waterproof boots, aprons, hairnets, protective clothing, hearing protection where required, and any other safety equipment necessary to safely perform the assigned duties. All hired workers, including H-2B workers and workers in corresponding employment, will be required to complete Form I-9, Employment Eligibility Verification, and present documentation establishing identity and authorization to work in the United States, as required by federal law. Number of Hours Per Week: 40 Work Schedule (Start/End time): 2:00 P.M. - 10:00 P.M.</t>
  </si>
  <si>
    <t>H-400-26184-077471</t>
  </si>
  <si>
    <t>Edwin R. Harris Silversmith, Inc.</t>
  </si>
  <si>
    <t>John Pinnix</t>
  </si>
  <si>
    <t>19/05/2027</t>
  </si>
  <si>
    <t>harrisleat@surry.net</t>
  </si>
  <si>
    <t>+12522619700</t>
  </si>
  <si>
    <t>Master Engravers</t>
  </si>
  <si>
    <t>Ability to cut detailed designs into metal, using precious metals such as, but not limited to, silver and gold (90% silver/gold, 10% jewelers bronze). Designs are cut by hand with a high quality steel tool called a graver. A graver is pushed by hand ro create desired design(s) on the metal. Ability to use pneumatic background machine used to matte background on buckles. Abilty to design and layout scrollwork required before engraving pieces. Job Classification: 51-9194.00 - Etchers and Engravers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6 Number of Hours Per Week: 40 Work Schedule (Start/End time): 7:00 A.M. - 4:00 P.M.</t>
  </si>
  <si>
    <t>H-400-26184-077440</t>
  </si>
  <si>
    <t>Evans United Shows, Inc.</t>
  </si>
  <si>
    <t>erinevans44@aol.com</t>
  </si>
  <si>
    <t>+18163095968</t>
  </si>
  <si>
    <t>***2nd RFI response*** Tasks performed on Vehicles: Clean. Tools used: May use Broom, Cloth, Soap. Tasks performed on Industrial Machinery. To clarify, the Industrial Machinery are amusement rides, food concessions trailers and related carnival equipment. Replace defective or worn parts such as light bulbs, switches, belts, hoses &amp; belts. Sand, scrape, clean, surfaces and structures to maintain appearance and prevent rust or deterioration. Tools used: May use the following tools, equipment, and materials while performing assigned duties: Wrenches, socket and ratchet sets, screwdrivers, pliers, hammers, pry bars, measuring tape, adjustable wrenches, sandpaper, pencils &amp; gloves. They will use step ladders, vacuums and cleaning equipment and supplies, such as sponges, rags and soap. Tasks performed on Electrical and Electronic Equipment. To clarify the Electrical and Electronic Equipment will be worked on, these would be the sound systems and control boxes that are included in the Amusement Ride. Tasks would be to clean our dust and debris that may have collected within the system, replace light bulbs, place wire ties or similar restraints on wiring. Tools: May use the following tools, equipment, and materials while performing assigned duties: Wrenches, socket and ratchet sets, screwdrivers, pliers, hammers, pry bars, measuring tape, adjustable wrenches, sandpaper, cans of pressurized air, pencils &amp; gloves. They will use step ladders, vacuums and cleaning equipment and supplies, such as sponges, rags and soap. ***1st RFI response*** Specific Tasks and tools used to perform those tasks: The workers will assist with the setup, inspection and dismantling for repair and refurbishment of amusement rides, food concession trailers and related carnival equipment. Replace defective or worn parts such as light bulbs, switches, belts, hoses &amp; belts. Sand, scrape, clean, surfaces and structures to maintain appearance and prevent rust or deterioration. Check and replace electrical bulbs, sockets, fuse and lighting fixtures as needed. Clean and maintain work areas. Workers may use the following tools, equipment, and materials while performing assigned duties: Wrenches, socket and ratchet sets, screwdrivers, pliers, hammers, pry bars, measuring tape, adjustable wrenches, sandpaper, pencils &amp; gloves. They will use step ladders, vacuums and cleaning equipment and supplies, such as sponges, rags and soap. No work will be performed on Vehicles, Industrial Machinery nor Electrical &amp; Electronic Equipment. No work will be performed on Diesel Engines ***Original*** Help installation, maintenance, and repair workers in maintenance, parts replacement, and repair of vehicles, industrial machinery, and electrical and electronic equipment. Perform duties such as furnishing tools, materials and supplies to other workers; cleaning work area, machines, and tools; and holding materials or tools for other workers. Job Classification: 49-9071.00 - Maintenance and Repair Workers, General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Post-employment random drug testing &amp; background checks may be required, at no cost to the worker. The job requires the applicant to be qualified, ready, willing, able, &amp; available to perform during the entire employment at the designated worksite; to enter into &amp; comply with employment contract; to follow workplace rules. Number of Hours Per Week: 35 Work Schedule (Start/End time): 8:00 A.M. - 4:00 P.M.</t>
  </si>
  <si>
    <t>H-400-26184-077431</t>
  </si>
  <si>
    <t>First Class Attractions, Inc.</t>
  </si>
  <si>
    <t>loreleijuno@gmail.com</t>
  </si>
  <si>
    <t>+16184073044</t>
  </si>
  <si>
    <t>***2nd RFI response*** Tasks performed on Vehicles: Clean. Tools used: May use Broom, Cloth, Soap. Tasks performed on Industrial Machinery. To clarify, the Industrial Machinery are amusement rides, food concessions trailers and related carnival equipment. Replace defective or worn parts such as light bulbs, switches, belts, hoses &amp; belts. Sand, scrape, clean, surfaces and structures to maintain appearance and prevent rust or deterioration. Tools used: May use the following tools, equipment, and materials while performing assigned duties: Wrenches, socket and ratchet sets, screwdrivers, pliers, hammers, pry bars, measuring tape, adjustable wrenches, sandpaper, pencils &amp; gloves. They will use step ladders, vacuums and cleaning equipment and supplies, such as sponges, rags and soap. Tasks performed on Electrical and Electronic Equipment. To clarify the Electrical and Electronic Equipment will be worked on, these would be the sound systems and control boxes that are included in the Amusement Ride. Tasks would be to clean our dust and debris that may have collected within the system, replace light bulbs, place wire ties or similar restraints on wiring. Tools: May use the following tools, equipment, and materials while performing assigned duties: Wrenches, socket and ratchet sets, screwdrivers, pliers, hammers, pry bars, measuring tape, adjustable wrenches, sandpaper, cans of pressurized air, pencils &amp; gloves. They will use step ladders, vacuums and cleaning equipment and supplies, such as sponges, rags and soap. ***1st RFI response*** Specific Tasks and tools used to perform those tasks: The workers will assist with the setup, inspection and dismantling for repair and refurbishment of amusement rides, food concession trailers and related carnival equipment. Replace defective or worn parts such as light bulbs, switches, belts, hoses &amp; belts. Sand, scrape, clean, surfaces and structures to maintain appearance and prevent rust or deterioration. Check and replace electrical bulbs, sockets, fuse and lighting fixtures as needed. Clean and maintain work areas. Workers may use the following tools, equipment, and materials while performing assigned duties: Wrenches, socket and ratchet sets, screwdrivers, pliers, hammers, pry bars, measuring tape, adjustable wrenches, sandpaper, pencils &amp; gloves. They will use step ladders, vacuums and cleaning equipment and supplies, such as sponges, rags and soap. Neither Vehicles, Industrial Machinery nor Electrical &amp; Electronic Equipment will be serviced, only amusement rides, food concessions trailers and related carnival equipment. No work will be performed on Diesel Engines. Work will take place at the Carnival “Winter Quarters” where they park their equipment when not on the road. ***Original*** Help installation, maintenance, and repair workers in maintenance, parts replacement, and repair of vehicles, industrial machinery, and electrical and electronic equipment. Perform duties such as furnishing tools, materials and supplies to other workers; cleaning work area, machines, and tools; and holding materials or tools for other workers. Job Classification: 49-9071.00 - Maintenance and Repair Workers, General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Post-employment random drug testing &amp; background checks may be required, at no cost to the worker. The job requires the applicant to be qualified, ready, willing, able, &amp; available to perform during the entire employment at the designated worksite; to enter into &amp; comply with employment contract; to follow workplace rules. Number of Hours Per Week: 35 Work Schedule (Start/End time): 8:00 A.M. - 4:00 P.M.</t>
  </si>
  <si>
    <t>H-400-26184-077420</t>
  </si>
  <si>
    <t>Fulcher's Point Pride Seafood, Inc.</t>
  </si>
  <si>
    <t>H-400-26184-077424</t>
  </si>
  <si>
    <t>Fulcher's Seafood LLC</t>
  </si>
  <si>
    <t>Seafood Processors/shrimp Processors</t>
  </si>
  <si>
    <t>Workers will place shrimp on tables for de-heading, peeling; Deveining; Sorting and placing into containers; Pack with ice; Place containers onto pallets and wrap for shipping; Dispose of shrimp shells in designated area(s); Lift, Carry up to 50 lbs. *Following is an expanded job description regarding load/unloading duties: Workers will assist with unloading raw product (shrimp) from boats or trucks and place in processing area or onto tables to be processed. Workers will also assist with loading finished products into refrigerators or freezers for storage. Workers will assist with loading finished products onto trucks for shipment. See attached Addendum. Job Classification: 51-3022.00 - Meat, Poultry, and Fish Cutters and Trimmers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Lift/carry up to 50 pounds. Employer paid drug test is Post Employment, Upon Suspicion. The employer may conduct lawful, job-related screening of applicants, including inquiries into criminal history, where permitted by applicable federal, state, and local laws. Any consideration of criminal history will be conducted on an individualized basis and employment decisions will be made in a nondiscriminatory manner consistent with applicable laws and business necessity. No infectious diseases; seafood allergies may be fatal. Number of Hours Per Week: 40 Work Schedule (Start/End time): 6:00 A.M. - 2:00 P.M.</t>
  </si>
  <si>
    <t>H-400-26184-077427</t>
  </si>
  <si>
    <t>G. W. Hall &amp; Son LLC</t>
  </si>
  <si>
    <t>gwhallseafood@verizon.net</t>
  </si>
  <si>
    <t>+14434960724</t>
  </si>
  <si>
    <t>Seafood Processors / Crab Pickers</t>
  </si>
  <si>
    <t>Under direct supervision Seafood Processors/Crab Pickers will steam, clean, and pick whole crabs, weigh, separate processed meat by size, or quality, and place in containers, and seal, count, measure, ice, debone, pack, cook, break, seafood processing, and preparation of orders for wholesale/ retail sale. Clean and prepare work and equipment to meet all regulations state and federal satisfactory for food safety, load/unload, may have occasional use of material handling devices, dump, move, dock work, freeze, shovel crabs, staple, and assemble boxes. Workers will assist with unloading raw product (crabs) from boats or trucks, and place in processing area, or on to tables to be processed. Workers will also assist with loading finished products onto trucks for shipment. Piece rate may be offered; rate is determined based on prevailing wage determination. See attached Addendum. Job Classification: 51-3022.00 - Meat, Poultry, and Fish Cutters and Trimmers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Lift/carry up to 50 pounds. The employer maintains a workplace free from the use of illegal drugs, alcohol, and unauthorized controlled substances. The use, possession, sale, or being under the influence of illegal drugs or alcohol during working time or on employer premises is prohibited. The employer may conduct lawful, job-related screening of applicants, including inquiries into criminal history, where permitted by applicable federal, state, and local laws. Any consideration of criminal history will be conducted on an individualized basis and employment decisions will be made in a nondiscriminatory manner consistent with applicable laws and business necessity. No infectious diseases; seafood allergies may be fatal. Number of Hours Per Week: 40 Work Schedule (Start/End time): 5:00 A.M. - 1:30 P.M.</t>
  </si>
  <si>
    <t>H-400-26184-077469</t>
  </si>
  <si>
    <t>Heliwild LLC</t>
  </si>
  <si>
    <t>office@heliwild.com</t>
  </si>
  <si>
    <t>+19792036735</t>
  </si>
  <si>
    <t>Netgunner</t>
  </si>
  <si>
    <t>The net gunner will use a net gun/dart gun from a helicopter.The tasks also include animal handling on the ground, animal blood sampling taken, net packing and equipment maintenance. The net gunner will drive truck and help with helicopter fueling. Job Classification: 53-3032.00 - Heavy and Tractor-Trailer Truck Drivers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24 Special Requirements: Netgunning is a highly specialized and dangerous job that requires years of experience, as well as an uncommon lifestyle. The net gunner works closely with a specialized pilot and must have the experience and knowledge in this type of work. This is imperative for the crews safety. The net gunner must have experience in handling and mugging techniques; taking biological samples, radio collar placement, ear tagging; GPS recording and taking and recording body measurements. The net gunner must have gunned out of a MD500 or Hughes 300 and R44 helicopters and be able to lift up to 200 lbs. The crew will be traveling for weeks in remote areas. Number of Hours Per Week: 40 Work Schedule (Start/End time): 7:00 A.M. - 4:00 P.M.</t>
  </si>
  <si>
    <t>H-400-26184-077439</t>
  </si>
  <si>
    <t>Jeri's Seafood, Inc.</t>
  </si>
  <si>
    <t>Jeris.employment@outlook.com</t>
  </si>
  <si>
    <t>+14093552243</t>
  </si>
  <si>
    <t>Obtain and distribute shellstock; use oyster shucking tool to remove oyster from shell; discard shell; separate processed meat and place in containers; assist with plant clean-up at end of shift. Piece rate may be offered; rate is determined by the guaranteed prevailing wage rate. See attached addendum. Job Classification: 51-3022.00 - Meat, Poultry, and Fish Cutters and Trimmers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Lift/carry up to 100 pounds. The employer maintains a workplace free from the use of illegal drugs, alcohol, and unauthorized controlled substances. The use, possession, sale, or being under the influence of illegal drugs or alcohol during working time or on employer premises is prohibited. The employer may conduct lawful, job-related screening of applicants, including inquiries into criminal history, where permitted by applicable federal, state, and local laws. Any consideration of criminal history will be conducted on an individualized basis and employment decisions will be made in a nondiscriminatory manner consistent with applicable laws and business necessity. No infectious diseases; seafood allergies may be fatal. Number of Hours Per Week: 35 Work Schedule (Start/End time): 5:30 A.M. - 2:30 P.M.</t>
  </si>
  <si>
    <t>H-400-26184-077735</t>
  </si>
  <si>
    <t>Matthew Ryan Davis Landscaping</t>
  </si>
  <si>
    <t>sales@collegefundlandscaping.com</t>
  </si>
  <si>
    <t>+19729850279</t>
  </si>
  <si>
    <t>Mow, cut, water, edge lawns: rake and blow leaves; dig holes and trenches with shovels with a max depth/width of 3ft to plant; pull, chop weeds, prune and haul topsoil and mulch. Involves loading and unloading tools and supplies and equipment weighing up to 50 lbs. Involves working outdoors in all types of weather. Involves extensive standing, sitting or walking. Involves frequent stooping or bending. Involves repetitive movements. Post Hire/Employer Paid Drug Test. Post Hire/Employer Paid Background Check Possibility of performance based raise, bonuses, overtime and Saturdays as required. Transportation provided to multiple worksites from central location in Lucas, TX. 60 minutes of unpaid breaks throughout the day. Daily hours may vary between start and end times listed depending on weather or job assignments. Job Classification: 37-3011.00 - Landscaping and Groundskeeping Workers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None. Number of Hours Per Week: 40 Work Schedule (Start/End time): 6:00 A.M. - 9:00 P.M.</t>
  </si>
  <si>
    <t>H-400-26184-077414</t>
  </si>
  <si>
    <t>Kunco Landscape Inc</t>
  </si>
  <si>
    <t>H-400-26184-077442</t>
  </si>
  <si>
    <t>Light it UP NJ, LLC.</t>
  </si>
  <si>
    <t>employlightitupnj@gmail.com</t>
  </si>
  <si>
    <t>+19084638740</t>
  </si>
  <si>
    <t>Organize and transfer low voltage Christmas lights, plastic mounting clips, decorations, ladders, tools and supplies from warehouse to work sites. Adjust, test, and replace Christmas lights and decorations on rooflines, fences, structures, trees, and bushes per customer's request. Hold, assist or supply low voltage Christmas lights, plastic mounting clips, decorations, extension and step ladders, installation pole with hook, and supplies for other installers. Adjust extension cords and automatic timers. Remove, organize, pack and store Christmas lights and decorations after the holiday season. Clean and maintain work site &amp; other related Installer/Decorator activities as per SOC/OES 49-9098. See attached Addendum. Job Classification: 49-9099.00 - Installation, Maintenance, and Repair Workers, All Other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Must be able to lift/carry 70 lbs. The employer maintains a workplace free from the use of illegal drugs, alcohol, and unauthorized controlled substances. The use, possession, sale, or being under the influence of illegal drugs or alcohol during working time or on employer premises is prohibited. Number of Hours Per Week: 35 Work Schedule (Start/End time): 7:30 A.M. - 2:00 P.M.</t>
  </si>
  <si>
    <t>H-400-26184-077466</t>
  </si>
  <si>
    <t>Long Draw Pizza Company, LLC</t>
  </si>
  <si>
    <t>Theresa Luchak</t>
  </si>
  <si>
    <t>longdrawpizzacompany@gmail.com</t>
  </si>
  <si>
    <t>+14323712608</t>
  </si>
  <si>
    <t>Restaurant Staff</t>
  </si>
  <si>
    <t>Prepare foods and kitchen for the day; chop, cut, pull food from walk-ins, stock inventory. Prepare and cook foods/meals to order according to recipes. Clean work areas, equipment, utensils, dishes, etc.; close kitchen at the end of the night by cleaning, taking care of food and waste and shutting off all equipment Job Classification: 35-2014.00 - Cooks, Restaurant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Able to lift 25lbs, Must be able to read orders, Monday-Sunday, Schedule varies, rotating shifts, overtime varies Number of Hours Per Week: 38 Work Schedule (Start/End time): 2:00 P.M. - 10:00 P.M.</t>
  </si>
  <si>
    <t>H-400-26184-077406</t>
  </si>
  <si>
    <t>Moon Valley Nursery of Arizona Retail, LLC - Maricopa</t>
  </si>
  <si>
    <t>h2@mvncorp.com</t>
  </si>
  <si>
    <t>+14809205966</t>
  </si>
  <si>
    <t>Transplant Laborer</t>
  </si>
  <si>
    <t>Transplant trees or shrubs and install onto customer properties. Extract trees or shrubs from ground, care for established root systems, prune roots, wrap root ball in burlap or pot, and tie tree branches to prepare for moving. Load and unload trees and shrubs, soil, mulch, hand tools, and landscaping materials. Dig holes, separate soils if necessary, install trees or shrubs, backfill holes, stake, and perform related landscaping duties such as raking, mulching, and watering. Job Classification: 37-3011.00 - Landscaping and Groundskeeping Workers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Must lift/carry 50 lbs when necessary. Travel to customer locations within Maricopa and Pinal counties of Arizona. SATURDAY WORK REQUIRED, WHEN NECESSARY. HOURS MAY VARY AND OVERTIME REQUIRED BASED ON WEATHER CONDITIONS AND PROJECT NEED. Number of Hours Per Week: 40 Work Schedule (Start/End time): 6:00 A.M. - 2:30 P.M.</t>
  </si>
  <si>
    <t>H-400-26184-077409</t>
  </si>
  <si>
    <t>Moon Valley Nursery of Arizona Retail, LLC - Pima</t>
  </si>
  <si>
    <t>Transplant trees or shrubs and install onto customer properties. Extract trees or shrubs from ground, care for established root systems, prune roots, wrap root ball in burlap or pot, and tie tree branches to prepare for moving. Load and unload trees and shrubs, soil, mulch, hand tools, and landscaping materials. Dig holes, separate soils if necessary, install trees or shrubs, backfill holes, stake, and perform related landscaping duties such as raking, mulching, and watering. Job Classification: 37-3011.00 - Landscaping and Groundskeeping Workers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Must lift/carry 50 lbs when necessary. Travel to customer locations for installations within Pima County, Arizona. SATURDAY WORK REQUIRED, WHEN NECESSARY. HOURS MAY VARY AND OVERTIME REQUIRED BASED ON WEATHER CONDITIONS AND PROJECT NEED. Number of Hours Per Week: 40 Work Schedule (Start/End time): 6:00 A.M. - 2:30 P.M.</t>
  </si>
  <si>
    <t>H-400-26184-077430</t>
  </si>
  <si>
    <t>Moon Valley Nursery of California, LLC -  San Diego</t>
  </si>
  <si>
    <t>Transplant trees or shrubs and install onto customer properties. Extract trees or shrubs from ground, care for established root systems, prune roots, wrap root ball in burlap or pot, and tie tree branches to prepare for moving. Load and unload trees and shrubs, soil, mulch, hand tools, and landscaping materials. Dig holes, separate soils if necessary, install trees or shrubs, backfill holes, stake, and perform related landscaping duties such as raking, mulching, and watering. Job Classification: 37-3011.00 - Landscaping and Groundskeeping Workers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Must lift/carry 50 lbs when necessary. Travel to customer locations for installations within San Diego-Chula Vista-Carlsbad, CA MSA. Saturday work required, when necessary. Hours may vary and overtime required based on weather conditions and project need. Number of Hours Per Week: 40 Work Schedule (Start/End time): 6:00 A.M. - 2:30 P.M.</t>
  </si>
  <si>
    <t>H-400-26184-077421</t>
  </si>
  <si>
    <t>Moon Valley Nursery of Florida, LLC - Naples</t>
  </si>
  <si>
    <t>Transplant trees or shrubs and install onto customer properties. Extract trees or shrubs from ground, care for established root systems, prune roots, wrap root ball in burlap or pot, and tie tree branches to prepare for moving. Load and unload trees and shrubs, soil, mulch, hand tools, and landscaping materials. Dig holes, separate soils if necessary, install trees or shrubs, backfill holes, stake, and perform related landscaping duties such as raking, mulching, and watering. Job Classification: 37-3011.00 - Landscaping and Groundskeeping Workers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Must lift/carry 50 lbs when necessary. Travel to customer locations for installations within Naples-Marco Island, FL MSA. Saturday work required, when necessary. Hours may vary and overtime required based on weather conditions and project need. Number of Hours Per Week: 40 Work Schedule (Start/End time): 6:00 A.M. - 2:30 P.M.</t>
  </si>
  <si>
    <t>H-400-26184-077422</t>
  </si>
  <si>
    <t>Moon Valley Nursery of Florida, LLC - Riviera Beach</t>
  </si>
  <si>
    <t>Transplant trees or shrubs and install onto customer properties. Extract trees or shrubs from ground, care for established root systems, prune roots, wrap root ball in burlap or pot, and tie tree branches to prepare for moving. Load and unload trees and shrubs, soil, mulch, hand tools, and landscaping materials. Dig holes, separate soils if necessary, install trees or shrubs, backfill holes, stake, and perform related landscaping duties such as raking, mulching, and watering. Job Classification: 37-3011.00 - Landscaping and Groundskeeping Workers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Must lift/carry 50 lbs when necessary. Travel to customer locations for installations within Miami-Fort Lauderdale-West Palm Beach, FL MSA. Saturday work required, when necessary. Hours may vary and overtime required based on weather conditions and project need. Number of Hours Per Week: 40 Work Schedule (Start/End time): 6:00 A.M. - 2:30 P.M.</t>
  </si>
  <si>
    <t>H-400-26184-077428</t>
  </si>
  <si>
    <t>Moon Valley Nursery of Florida, LLC - Seminole/Villages</t>
  </si>
  <si>
    <t>Transplant trees or shrubs and install onto customer properties. Extract trees or shrubs from ground, care for established root systems, prune roots, wrap root ball in burlap or pot, and tie tree branches to prepare for moving. Load and unload trees and shrubs, soil, mulch, hand tools, and landscaping materials. Dig holes, separate soils if necessary, install trees or shrubs, backfill holes, stake, and perform related landscaping duties such as raking, mulching, and watering. Job Classification: 37-3011.00 - Landscaping and Groundskeeping Workers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Must lift/carry 50 lbs when necessary. Travel to customer locations for installations within Orlando-Kissimmee-Sanford, FL MSA. Saturday work required, when necessary. Hours may vary and overtime required based on weather conditions and project need. Number of Hours Per Week: 40 Work Schedule (Start/End time): 6:00 A.M. - 2:30 P.M.</t>
  </si>
  <si>
    <t>H-400-26184-077417</t>
  </si>
  <si>
    <t>Moon Valley Nursery of Texas, LLC - Wharton</t>
  </si>
  <si>
    <t>Transplant trees or shrubs and install onto customer properties. Extract trees or shrubs from ground, care for established root systems, prune roots, wrap root ball in burlap or pot, and tie tree branches to prepare for moving. Load and unload trees and shrubs, soil, mulch, hand tools, and landscaping materials. Dig holes, separate soils if necessary, install trees or shrubs, backfill holes, stake, and perform related landscaping duties such as raking, mulching, and watering. Job Classification: 37-3011.00 - Landscaping and Groundskeeping Workers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Must lift/carry 50 lbs when necessary. Travel to customer locations for installations within Wharton County, Texas. Saturday work required, when necessary. Hours may vary and overtime required based on weather conditions and project need. Number of Hours Per Week: 40 Work Schedule (Start/End time): 6:00 A.M. - 2:30 P.M.</t>
  </si>
  <si>
    <t>H-400-26184-077412</t>
  </si>
  <si>
    <t>Moon Valley Nursery, LLC - Riverside</t>
  </si>
  <si>
    <t>Transplant trees or shrubs and install onto customer properties. Extract trees or shrubs from ground, care for established root systems, prune roots, wrap root ball in burlap or pot, and tie tree branches to prepare for moving. Load and unload trees and shrubs, soil, mulch, hand tools, and landscaping materials. Dig holes, separate soils if necessary, install trees or shrubs, backfill holes, stake, and perform related landscaping duties such as raking, mulching, and watering. Job Classification: 37-3011.00 - Landscaping and Groundskeeping Workers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Must lift/carry 50 lbs when necessary. Travel to customer locations for installations within Riverside County, California. Saturday work required, when necessary. Hours may vary and overtime required based on weather conditions and project need. Number of Hours Per Week: 40 Work Schedule (Start/End time): 6:00 A.M. - 2:30 P.M.</t>
  </si>
  <si>
    <t>H-400-26184-077446</t>
  </si>
  <si>
    <t>Old Saltys Seafood, Inc.</t>
  </si>
  <si>
    <t>jaynewcomb380@yahoo.com</t>
  </si>
  <si>
    <t>+14435210016</t>
  </si>
  <si>
    <t>Under direct supervision Seafood Processors/Crab Pickers will steam, clean and pick whole crabs. weigh, separate processed meat by size, or quality, and place in containers, and seal, count, measure, ice, debone, pack, cook, break, seafood processing and preparation of orders for wholesale/ retail sale. Clean and prepare work and equipment to meet all regulations state and federal satisfactory for food safety, load/unload, may have occasional use of material handling devices, dump, move, dock work, freeze, shovel crabs, staple and assemble boxes. Workers will assist with unloading raw product, (crabs from boats or trucks), and place in processing area, or on the tables to be processed. Workers will also assist with loading finished products onto trucks for shipment. Piece rate may be offered; rate is determined based on prevailing wage determination. See attached Addendum. Job Classification: 51-3022.00 - Meat, Poultry, and Fish Cutters and Trimmers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Lift/carry up to 50 pounds. Employer paid drug test is Post Accident. The employer may conduct lawful, job-related screening of applicants, including inquiries into criminal history, where permitted by applicable federal, state, and local laws. Any consideration of criminal history will be conducted on an individualized basis and employment decisions will be made in a nondiscriminatory manner consistent with applicable laws and business necessity. No infectious diseases; seafood allergies may be fatal. Number of Hours Per Week: 35 Work Schedule (Start/End time): 6:00 A.M. - 2:30 P.M.</t>
  </si>
  <si>
    <t>H-400-26184-077418</t>
  </si>
  <si>
    <t>Orchid Island Golf &amp; Beach Club, Inc.</t>
  </si>
  <si>
    <t>careers@orchidislandclub.com</t>
  </si>
  <si>
    <t>+17725811008</t>
  </si>
  <si>
    <t>Servers will be responsible for greeting customers, providing customers with menus, setting up the dining room, assigning customers to tables suitable for their needs, taking and placing customers' orders, carrying trays and plates, serving alcoholic and non­alcoholic drinks and serving food and beverages. Schedule: 35 hours per week. Work schedule can vary and can include evening, weekend, and holiday hours. Work may be performed on any day of the week from Monday through Sunday. Example shifts: 9:00am - 4:00pm, 3:00pm - 10:00pm, or 8:00am - 3:00pm. Shift hours may vary. See attached job description for additional information. Job Classification: 35-3031.00 - Waiters and Waitresses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1 Special Requirements: The Petitioner will consider for employment any person who possesses at least one (1) month of experience in a fine-dining or high volume environment at a high-end restaurant, resort, or private club. Applicant must complete pre-employment background check and drug screening at employer's expense. Number of Hours Per Week: 35 Work Schedule (Start/End time): 9:00 A.M. - 4:00 P.M.</t>
  </si>
  <si>
    <t>H-400-26184-077419</t>
  </si>
  <si>
    <t>Tennis Professional</t>
  </si>
  <si>
    <t>Tennis Professionals will be responsible for giving lessons and clinics to members and guests on the techniques and strategies of tennis and pickleball under the guidance of the Director of Racquets and Recreation. Greet and provide service to members when inside and on duty. This includes pro shop sales, front desk duties consisting of billing members for their tennis/pickleball lessons and for any pro shop purchases such as tennis/pickleball attire or merchandise, game arranging, phone calls and computer work consisting of making reservations for tennis and pickleball court times and lessons to assist in the overall success of the tennis program. Organize team practice schedules and league schedules with Team Captains and league officials by arranging members to play in matches, inviting members from other clubs to play in matches and tournaments and setting up the schedules for matches/tournaments. Assure the organization of courts players, opposing teams, and refreshments are properly arranged. Watch and critique matches. Assist in the organization of all Club tournaments and events. Share court maintenance daily duties of grooming the tennis/pickleball courts by dragging with a steel rake and lining the courts with a lining tool, and assume all responsibilities on facility technician’s days off which are to maintain cleanliness of facilities and courts. String rackets when needed and make light racket repairs. Provide all members and guests with courteous, prompt and professional attention. Schedule: 35 hours per week. Work schedule can vary and can include evening, weekend, and holiday hours. Work may be performed on any day of the week from Monday through Sunday. Example shifts: Example shifts: 6:00am – 1:00pm, 7:00am – 2:00pm, or 8:00am to 3:00pm. See attached job description for additional information. Job Classification: 25-3021.00 - Self-Enrichment Teachers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12 Special Requirements: The Petitioner will consider for employment any person who possesses a High School Diploma, general education degree (GED) or its equivalency, and at least a minimum of one (1) year of experience teaching tennis and pickleball. Certification with Racquet Sports Professionals Association (RSPA) as a Tennis Level 1 Instructor. (If not certified, must take and pass test within first three months of employment). Applicant must complete pre-employment background check and drug screening at employer's expense. Number of Hours Per Week: 35 Work Schedule (Start/End time): 6:00 A.M. - 1:00 P.M.</t>
  </si>
  <si>
    <t>H-400-26184-077423</t>
  </si>
  <si>
    <t xml:space="preserve">Orchid Island Golf &amp; Beach Club, Inc. </t>
  </si>
  <si>
    <t>Line Cooks will be responsible for preparing, seasoning, and cooking soups, meats, vegetables, desserts, and other food items in a restaurant. Schedule: 35 hours per week. Work schedule can vary and can include evening, weekend, and holiday hours. Work may be performed on any day of the week from Monday through Sunday. Example shifts: 8:00am - 3:00pm, 2:00pm - 9:00pm, or 7:00am - 2:00pm. Shift hours may vary. See attached job description for additional information. Job Classification: 35-2014.00 - Cooks, Restaurant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6 Special Requirements: The Petitioner will consider for employment any person who possesses at least six (6) months of culinary experience in a fine-dining or high-volume environment at a high-end restaurant, resort, or private club. Applicant must complete pre-employment background check and drug screening at employer's expense. Number of Hours Per Week: 35 Work Schedule (Start/End time): 8:00 A.M. - 3:00 P.M.</t>
  </si>
  <si>
    <t>H-400-26184-077451</t>
  </si>
  <si>
    <t>Pamlico Packing Company, Inc.</t>
  </si>
  <si>
    <t>pamlicopacking@gmail.com</t>
  </si>
  <si>
    <t>+12527453688</t>
  </si>
  <si>
    <t>Shrimp Processors</t>
  </si>
  <si>
    <t>Workers will place shrimp on tables for de-heading, peeling; deveining; sorting and placing into containers; pack with ice; place containers onto pallets and wrap for shipping; dispose of shrimp shells in designated area(s); lift/carry up to 50 lbs. *Following is an expanded job description regarding load/unloading duties: Workers will assist with unloading raw product (shrimp) from boats or trucks and place in processing area or onto tables to be processed. Workers will also assist with loading finished products into refrigerators or freezers for storage. Workers will assist with loading finished products onto trucks for shipment. Raise/bonus at employer's discretion depending on production levels, experience and/or performance. Employer provides transportation to and from all plant locations. There is no itinerary involved as travel is only between plants located in Pamlico County at 66 Cross Rd, Grantsboro, NC and 28 North First St., Vandemere, NC. See attached Addendum. Job Classification: 51-3022.00 - Meat, Poultry, and Fish Cutters and Trimmers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Lift/carry up to 50 pounds. The employer maintains a workplace free from the use of illegal drugs, alcohol, and unauthorized controlled substances. The use, possession, sale, or being under the influence of illegal drugs or alcohol during working time or on employer premises is prohibited. The employer may conduct lawful, job-related screening of applicants, including inquiries into criminal history, where permitted by applicable federal, state, and local laws. Any consideration of criminal history will be conducted on an individualized basis and employment decisions will be made in a nondiscriminatory manner consistent with applicable laws and business necessity. No infectious diseases; seafood allergies may be fatal. Employer provides transportation to and from all plant locations. There is no itinerary involved as travel is only between plants located in Pamlico County at 66 Cross Rd, Grantsboro, NC and 28 North First St., Vandemere, NC. Number of Hours Per Week: 35 Work Schedule (Start/End time): 6:00 A.M. - 2:00 P.M.</t>
  </si>
  <si>
    <t>H-400-26184-077465</t>
  </si>
  <si>
    <t>Powers &amp; Thomas Midway Entertainment LLC</t>
  </si>
  <si>
    <t>pgamtracy@yahoo.com</t>
  </si>
  <si>
    <t>+15853032618</t>
  </si>
  <si>
    <t>***2nd RFI response*** Tasks performed on Vehicles: Clean. Tools used: May use Broom, Cloth, Soap. Tasks performed on Industrial Machinery. To clarify, the Industrial Machinery are amusement rides, food concessions trailers and related carnival equipment. Replace defective or worn parts such as light bulbs, switches, belts, hoses &amp; belts. Sand, scrape, clean, surfaces and structures to maintain appearance and prevent rust or deterioration. Tools used: May use the following tools, equipment, and materials while performing assigned duties: Wrenches, socket and ratchet sets, screwdrivers, pliers, hammers, pry bars, measuring tape, adjustable wrenches, sandpaper, pencils &amp; gloves. They will use step ladders, vacuums and cleaning equipment and supplies, such as sponges, rags and soap. Tasks performed on Electrical and Electronic Equipment. To clarify the Electrical and Electronic Equipment will be worked on, these would be the sound systems and control boxes that are included in the Amusement Ride. Tasks would be to clean our dust and debris that may have collected within the system, replace light bulbs, place wire ties or similar restraints on wiring. Tools: May use the following tools, equipment, and materials while performing assigned duties: Wrenches, socket and ratchet sets, screwdrivers, pliers, hammers, pry bars, measuring tape, adjustable wrenches, sandpaper, cans of pressurized air, pencils &amp; gloves. They will use step ladders, vacuums and cleaning equipment and supplies, such as sponges, rags and soap. ***1st RFI response*** Specific Tasks and tools used to perform those tasks: The workers will assist with the setup, and dismantling for purposes of review and repair of amusement rides, food concession trailers and related carnival equipment. Replace defective or worn parts such as light bulbs, switches, belts, hoses &amp; belts. Sand, scrape, clean trailers, metal surfaces and structures to maintain appearance and prevent rust or deterioration. Check and replace electrical bulbs, sockets, fuse and lighting fixtures as needed. Clean and maintain work areas. Workers may use the following tools, equipment, and materials while performing assigned duties: Wrenches, socket and ratchet sets, screwdrivers, pliers, hammers, pry bars, measuring tape, adjustable wrenches, sandpaper, pencils &amp; gloves. They will use ladders, vacuums and cleaning equipment and supplies, such as sponges, rags and soap. Neither Vehicles, Industrial Machinery nor Electrical &amp; Electronic Equipment will be serviced, only amusement rides, food concessions trailers and related carnival equipment. No work will be performed on Diesel Engines. ***Original*** Help installation, maintenance, and repair workers in maintenance, parts replacement, and repair of vehicles, industrial machinery, and electrical and electronic equipment. Perform duties such as furnishing tools, materials and supplies to other workers; cleaning work area, machines, and tools; and holding materials or tools for other workers. Job Classification: 49-9071.00 - Maintenance and Repair Workers, General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Post-employment random drug testing and background checks may be required, at no cost to the worker. The job requires the applicant to be qualified, ready, willing, able, and available to perform during the entire employment at the designated worksites; and to follow workplace rules. Number of Hours Per Week: 35 Work Schedule (Start/End time): 8:00 A.M. - 4:00 P.M.</t>
  </si>
  <si>
    <t>H-400-26184-077411</t>
  </si>
  <si>
    <t>Prime Pacific Entertainment LLC</t>
  </si>
  <si>
    <t>primepacificjobs@gmail.com</t>
  </si>
  <si>
    <t>+13609036705</t>
  </si>
  <si>
    <t>Perform a variety of duties at traveling carnival, assembling, disassembling &amp; operating amusement rides. May sell tickets &amp; collect fees from customers; provide information about the facilities, rules and regulations; direct patrons to rides, seats or attractions; monitor activities to ensure adherence to rules and safety procedures; provide assistance to patrons entering or exiting amusement rides; clean rides, booths, facilities or grounds; inspect equipment to detect wear and damage and perform minor repairs, adjustments, or maintenance tasks, such as oiling parts; fasten safety devices for patrons, or provide them with directions for fastening devices. Job Classification: 39-3091.00 - Amusement and Recreation Attendants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Post-employment random drug testing and background checks may be required, at no cost to the worker. The job requires the applicant to be qualified, ready, willing, able, and available to perform during the entire employment at the designated worksites; and to follow workplace rules. Number of Hours Per Week: 35 Work Schedule (Start/End time): 1:00 P.M. - 9:00 P.M.</t>
  </si>
  <si>
    <t>H-400-26184-077452</t>
  </si>
  <si>
    <t>Purcell's Seafood, Inc.</t>
  </si>
  <si>
    <t>purcellsseafood_rich@va.metrocast.net</t>
  </si>
  <si>
    <t>+18048155848</t>
  </si>
  <si>
    <t>Open and remove oyster meat from shell, Separate meat by size/quality, Prepare oysters for wholesale/retail sale, Clean and sanitize work areas and equipment, Place oysters in containers, Seal and pack oysters in containers, Move, dump, and distribute raw product, Remove oysters from boats or trucks, Occasionally use material handling equipment (shell stock washer, scales and equipment to handle shellfish), Freeze and place oysters in containers See attached Addendum. Job Classification: 51-3022.00 - Meat, Poultry, and Fish Cutters and Trimmers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Lift/carry up to 75 pounds. The employer maintains a workplace free from the use of illegal drugs, alcohol, and unauthorized controlled substances. The use, possession, sale, or being under the influence of illegal drugs or alcohol during working time or on employer premises is prohibited. The employer may conduct lawful, job-related screening of applicants, including inquiries into criminal history, where permitted by applicable federal, state, and local laws. Any consideration of criminal history will be conducted on an individualized basis and employment decisions will be made in a nondiscriminatory manner consistent with applicable laws and business necessity. No infectious diseases; seafood allergies may be fatal. Number of Hours Per Week: 44 Work Schedule (Start/End time): 6:00 A.M. - 2:00 P.M.</t>
  </si>
  <si>
    <t>H-400-26184-077454</t>
  </si>
  <si>
    <t>Quality Seafood Co., Inc.</t>
  </si>
  <si>
    <t>info@qualityseafoodco.com</t>
  </si>
  <si>
    <t>+12523382800</t>
  </si>
  <si>
    <t>Seafood Processor/crab Processor</t>
  </si>
  <si>
    <t>SOC Code: 51-3022 — Meat, Poultry, and Fish Cutters and Trimmers • Clean and shuck oysters • Separate meat by size/quality • Prepare seafood for wholesale/retail sale • Clean and sanitize work areas and equipment • Maintain compliance with food safety regulations SOC Code: 53-7064 — Packers and Packagers, Hand • Weigh, count, and measure product • Place seafood in containers • Seal, ice, and pack products • Assemble boxes SOC Code: 53-7062 — Laborers and Freight, Stock, and Material Movers, Hand • Move, dump, and distribute product • Perform dock work • Remove oysters from boats or trucks • Load finished products onto trucks • Use material handling equipment (occasional) • Place raw product on processing tables • Freeze and shovel oysters See attached Addendum. Job Classification: 51-3022.00 - Meat, Poultry, and Fish Cutters and Trimmers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Lift/carry up to 50 pounds. The employer maintains a workplace free from the use of illegal drugs, alcohol, and unauthorized controlled substances. The use, possession, sale, or being under the influence of illegal drugs or alcohol during working time or on employer premises is prohibited. The employer may conduct lawful, job-related screening of applicants, including inquiries into criminal history, where permitted by applicable federal, state, and local laws. Any consideration of criminal history will be conducted on an individualized basis and employment decisions will be made in a nondiscriminatory manner consistent with applicable laws and business necessity. No infectious diseases; seafood allergies may be fatal. Number of Hours Per Week: 40 Work Schedule (Start/End time): 8:30 A.M. - 4:00 P.M.</t>
  </si>
  <si>
    <t>H-400-26184-077455</t>
  </si>
  <si>
    <t>Russell Hall Seafood, Inc.</t>
  </si>
  <si>
    <t>russhall@tarbayseafood.com</t>
  </si>
  <si>
    <t>+14103973490</t>
  </si>
  <si>
    <t>Steam, clean, and pick whole crabs, weigh, separate processed meat by size, or quality, and place in containers, and seal, count, measure, ice, debone, pack, cook, break, seafood processing, and preparation of orders for wholesale/ retail sale. Clean and prepare work and equipment to meet all regulations state and federal satisfactory for food safety, load/unload, may have occasional use of material handling devices, dump, move, dock work, freeze, shovel crabs, staple and assemble boxes. Workers will assist with removing raw product (crabs) from boats or trucks, and place in processing area, or on to tables to be processed. Workers will also assist with placing finished products onto trucks for shipment. Piece rate may be offered; rate is determined based on prevailing wage determination. See attached Addendum. Job Classification: 51-3022.00 - Meat, Poultry, and Fish Cutters and Trimmers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Lift/carry up to 50 pounds. The employer maintains a workplace free from the use of illegal drugs, alcohol, and unauthorized controlled substances. The use, possession, sale, or being under the influence of illegal drugs or alcohol during working time or on employer premises is prohibited. The employer may conduct lawful, job-related screening of applicants, including inquiries into criminal history, where permitted by applicable federal, state, and local laws. Any consideration of criminal history will be conducted on an individualized basis and employment decisions will be made in a nondiscriminatory manner consistent with applicable laws and business necessity. No infectious diseases; seafood allergies may be fatal. Number of Hours Per Week: 40 Work Schedule (Start/End time): 5:00 A.M. - 1:30 P.M.</t>
  </si>
  <si>
    <t>H-400-26184-077457</t>
  </si>
  <si>
    <t>Sant Oyster Company, LLC</t>
  </si>
  <si>
    <t>santoystercompany.llc@gmail.com</t>
  </si>
  <si>
    <t>+19858057472</t>
  </si>
  <si>
    <t>Workers lift sacks of oysters by hand onto a conveyor belt. Use hands to separate oysters by size and quality, removing damaged, undersized, dead, or undesirable oysters. Use hatchet to open oysters and place meat in containers by size or quality. A paint brush is used to paint boats. Rope is used to tie and repair dredges. Cull oysters, wash boats, clean boats, paint boats, repair dredges, clean up workspace after unloading oysters. See attached Addendum. Job Classification: 45-3031.00 - Fishing and Hunting Workers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Lift or carry up to 110 pounds. Employer paid drug test is Post Employment, Upon Suspicion. New hires only - Employer paid post hire criminal background check required. No infectious diseases; seafood allergies may be fatal. Number of Hours Per Week: 35 Work Schedule (Start/End time): 6:00 A.M. - 2:00 P.M.</t>
  </si>
  <si>
    <t>H-400-26184-077425</t>
  </si>
  <si>
    <t>Schulte Hospitality Group, Inc.</t>
  </si>
  <si>
    <t>NAPXN-Hh-Naples.5th.Ave-GM@hyatt.com</t>
  </si>
  <si>
    <t>+12397751000</t>
  </si>
  <si>
    <t>Housekeepers will be responsible for cleaning and maintaining all rooms, suites, and indoor common areas at Hyatt House Naples 5th Avenue’s property, which includes vacuuming floors, dusting, replenishing linens and towels, disinfecting bathrooms, and washing windows. Schedule: 35 hours per week. Work schedule can vary and can include evening, weekend, and holiday hours. Work may be performed on any day of the week from Monday through Sunday. Example shifts: 8:30am – 3:30pm, 9:30am – 4:30pm, or 4:00pm – 11:00pm. Shift hours may vary. Please see Job Description for additional information. Job Classification: 37-2012.00 - Maids and Housekeeping Cleaners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The Petitioner will consider for employment any person who possesses at least three (3) months of experience at a high-end hotel, resort, or private club. Number of Hours Per Week: 35 Work Schedule (Start/End time): 8:30 A.M. - 3:30 P.M.</t>
  </si>
  <si>
    <t>H-400-26184-077462</t>
  </si>
  <si>
    <t>Shell Point Shellfish, LLC</t>
  </si>
  <si>
    <t>mattamuskeetseafood@gmail.com</t>
  </si>
  <si>
    <t>+12529260056</t>
  </si>
  <si>
    <t>SOC Code: 51-3022 — Meat, Poultry, and Fish Cutters and Trimmers • Clean and shuck oysters • Separate meat by size/quality • Prepare seafood for wholesale/retail sale • Clean and sanitize work areas and equipment • Maintain compliance with food safety regulations SOC Code: 53-7064 — Packers and Packagers, Hand • Weigh, count, and measure product • Place seafood in containers • Seal, ice, and pack products • Assemble boxes SOC Code: 53-7062 — Laborers and Freight, Stock, and Material Movers, Hand • Move, dump, and distribute product • Perform dock work • Remove oysters from boats or trucks • Load finished products onto trucks • Use material handling equipment (occasional) • Place raw product on processing tables • Freeze and shovel oysters See attached Addendum. Job Classification: 51-3022.00 - Meat, Poultry, and Fish Cutters and Trimmers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Lift/carry up to 50 pounds. The employer maintains a workplace free from the use of illegal drugs, alcohol, and unauthorized controlled substances. The use, possession, sale, or being under the influence of illegal drugs or alcohol during working time or on employer premises is prohibited. The employer may conduct lawful, job-related screening of applicants, including inquiries into criminal history, where permitted by applicable federal, state, and local laws. Any consideration of criminal history will be conducted on an individualized basis and employment decisions will be made in a nondiscriminatory manner consistent with applicable laws and business necessity. No infectious diseases; seafood allergies may be fatal. Number of Hours Per Week: 35 Work Schedule (Start/End time): 6:00 A.M. - 2:00 P.M.</t>
  </si>
  <si>
    <t>H-400-26184-077426</t>
  </si>
  <si>
    <t>State Fair Spectaculars, LLC</t>
  </si>
  <si>
    <t>25/04/2027</t>
  </si>
  <si>
    <t>tomtalley2@aol.com</t>
  </si>
  <si>
    <t>+18178757338</t>
  </si>
  <si>
    <t>***2nd RFI response*** Assembling Carnival Rides, Food Concessions Stands, Game Stands. Mobile amusement equipment is designed to assembled and disassembled with manual labor and simple tools, such as screwdrivers, pliers, rubber mallets, a variety of wrenches and ratchets. The equipment has built-in hydraulics to raise and lower awnings, arms &amp; platforms. Additional equipment is not required. Operation is opening the entry gate, instructing patrons on safety procedures, ensuring that their safety harnesses are in place, pushing the button to start the timed ride, and then ensuring that the patrons exit the ride prior to the next group enters. Food Concessions involve taking customer order, taking customer payment, preparing the food items as detailed earlier, providing the customer with the payment. Game Concessions involve explaining the games rules to the patron, taking the payment, providing change, and starting the game. Cleaning Rides, Booths, Facilities or Grounds. Sweep, hose down, wash, pick up trash. Perform Minor Repairs. Replace defective or worn parts such as light bulbs, switches, belts, hoses &amp; belts. Workers may use the following tools, equipment, and materials while performing assigned duties: Wrenches, Socket and ratchet sets, screwdrivers, pliers, hammers, measuring tape, adjustable wrenches. They will use ladders, vacuums and cleaning equipment and supplies, such as sponges, rags and soap. ***1st RFI response*** Specific information about type of foods prepared, tasks involved, equipment and tools used. No food items are prepared from scratch. Fountain Drinks: At the start of the shift, worker would open bags of ice (typically 10 to 20 pounds, ice cubed) into both the reservoir on the top of the dispenser and into the ice bin. When an order comes in, the worker would prepare the proper size, flavor drink and place a plastic lid on the cup. Worker would place the drink into the serving area so that another worker, with direct contact with the patron, is able to provide the drink(s) to the patron, along with the balance of the order. Sausage, Hot Dogs, Hamburgers. All the meats come prepackaged. Any vegetables/toppings that are grilled with the items are prepackaged (cleaned and cut into bite size pieces). The meat items as well as the vegetable items would be placed on the flat grill, using tongs to place them onto the grill and a turner spatula to move them around the grill. Olive oil would be poured onto the grill. Part of the grill would be at full heat to grill the meat items, part would be kept at medium heat to grill the vegetables, and parts of the grill would be kept at low temperature to hold the meats and vegetables until they are placed into serving trays. When a client orders these items a different worker would use tongs or gloved hands to pick up proper bread item (roll or bun), meat item (burger or sausage) and toppings and place on the serving plate. ***Original*** Perform a variety of duties at traveling carnival, assembling, disassembling &amp; operating equipment (amusement rides, game and/or food concessions) May sell tickets &amp; collect fees from customers; provide information about the facilities, rules and regulations; direct patrons to rides, seats or attractions; monitor activities to ensure adherence to rules and safety procedures; provide assistance to patrons entering or exiting amusement rides; clean rides, booths, facilities or grounds; inspect equipment to detect wear and damage and perform minor repairs, adjustments, or maintenance tasks, such as oiling parts; fasten safety devices for patrons, or provide them with directions for fastening devices; announce or describe amusement attractions to patrons to entice customers to games and/or other entertainment; and sell and serve refreshments to customers. Job Classification: 35-2019.00 - Cooks, All Other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Post-employment random drug testing and background checks may be required, at no cost to the worker. The job requires the applicant to be qualified, ready, willing, able, and available to perform during the entire employment at the designated worksites; and to follow workplace rules. Number of Hours Per Week: 40 Work Schedule (Start/End time): 1:00 P.M. - 10:00 P.M.</t>
  </si>
  <si>
    <t>H-400-26184-077447</t>
  </si>
  <si>
    <t>Stine Concessions LLC</t>
  </si>
  <si>
    <t>funzone@primetimecarnival.com</t>
  </si>
  <si>
    <t>***RFI Response*** The worker will not be cooking food from “scratch”. Funnel Cakes: Gold Medal Products1 sells the mix that is used. Following instructions printed on the mix container, pour the mix plus appropriate liquid into the commercial batter blender. Once the batter has been blended, a portion is scooped into a dispenser bottle. A deep fryer would contain cooking oil at the proper temp. Worker would slowly pour batter from dispenser bottle into the fryer so that strings of batter would cling together, forming a funnel cake. When one side of the funnel cake is brown, the worker would use a large slotted spoon to flip the half-browned funnel cake. When the funnel cake is browned on both sides, a large, slotted spoon to pick the funnel cake from the fryer and place into a chafing dish under heat lamp. After customer places order, worker would use tongs to place funnel cake into serving boat and add selected topping such as powdered sugar, whipped cream, or compote to the funnel cake and provide the funnel cake to the customer. Deep Fried Oreos: The same batter that was prepared for funnel cakes would be used for deep fried Oreos ®. Worker would pour banner into a small chafing dish. Oreos would be picked up by gloved hand, dropped into the banner to be coated, and then dropped into the hot oil of the deep fryer. They would float to the surface, be scooped up with slotted spoon, and placed into a small chafing dish under heat lamp. After customer places order, worker would use tongs to place Fried Oreos into serving boat and add selected topping to the Oreos and then hand the product to the customer. Fountain Soda. These workers would NOT be serving any alcoholic beverages. For a fountain drink, the worker would take the proper size cup in their hand, use an ice scoop to scoop ice into the cup (unless the patron ordered no ice), place the cup under the nozzle, press the cup against the lever and fill the cup. Take a lid from the lid supply and secure this on the top of the cup. ***Original F.a.2*** Perform a variety of duties at traveling carnival, assembling, disassembling &amp; operating equipment (amusement rides, game and/or food concessions) May sell tickets &amp; collect fees from customers; provide information about the facilities, rules and regulations; direct patrons to rides, seats or attractions; monitor activities to ensure adherence to rules and safety procedures; provide assistance to patrons entering or exiting amusement rides; clean rides, booths, facilities or grounds; inspect equipment to detect wear and damage and perform minor repairs, adjustments, or maintenance tasks, such as oiling parts; fasten safety devices for patrons, or provide them with directions for fastening devices; announce or describe amusement attractions to patrons to entice customers to games and/or other entertainment; and sell and serve refreshments to customers. Job Classification: 35-2019.00 - Cooks, All Other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Post-employment random drug testing and background checks may be required, at no cost to the worker. The job requires the applicant to be qualified, ready, willing, able, and available to perform during the entire employment at the designated worksites; and to follow workplace rules. Number of Hours Per Week: 40 Work Schedule (Start/End time): 1:00 P.M. - 10:00 P.M.</t>
  </si>
  <si>
    <t>H-400-26184-077464</t>
  </si>
  <si>
    <t>Texas Coastal Oysters LLC</t>
  </si>
  <si>
    <t>texascoastaloysters@gmail.com</t>
  </si>
  <si>
    <t>+14099459523</t>
  </si>
  <si>
    <t>Attach apparatus devices to cable, boom &amp; hoist. Load/unload equipment &amp; supplies. Fish/dredge oysters (attach nets &amp; lines, haul in catch), sort, clean catch, culling oysters, transplant oysters, store, and unload oysters. Wash deck, equipment, cooler and cabin. Sort, clean and return undesirables and illegal size oysters to bay. Place PVC pipe and/or oyster markers in private oyster leases. Transplant oysters, shells and rocks. Secure and remove vessels docking lines to and from dock and other vessels. Perform any combination of the following duties aboard the fishing vessel: stands lookout, steer &amp; engine room watches. Load/unload oyster sacks from the vessel to the dock cooler and/or freight trucks. The oyster deckhand must comply with all U.S. Coast Guard safety procedures and all TPWD &amp; LDWF laws. See attached Addendum. Job Classification: 53-7062.00 - Laborers and Freight, Stock, and Material Movers, Hand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Lift/carry up to 110 pounds. Employer paid drug test is Post Employment, Upon Suspicion. The employer may conduct lawful, job-related screening of applicants, including inquiries into criminal history, where permitted by applicable federal, state, and local laws. Any consideration of criminal history will be conducted on an individualized basis and employment decisions will be made in a nondiscriminatory manner consistent with applicable laws and business necessity. Employer paid random alcohol screenings. Upon hiring, employees will be asked to disclose any injury compensation claims. Three months oyster boat deckhand experience required. No infectious diseases; seafood allergies may be fatal. Number of Hours Per Week: 40 Work Schedule (Start/End time): 7:00 A.M. - 3:30 P.M.</t>
  </si>
  <si>
    <t>H-400-26184-077436</t>
  </si>
  <si>
    <t>The J. M. Clayton Company, Inc.</t>
  </si>
  <si>
    <t>jack@jmclayton.com</t>
  </si>
  <si>
    <t>+14102281661</t>
  </si>
  <si>
    <t>Under direct supervision Seafood Processors/Crab Pickers will steam, clean and pick whole crabs, weigh, separate processed meat by size, or quality, and place in containers, and seal, count, measure, ice, debone, pack, cook, break, seafood processing and prepration of orders for wholesale/ retail sale. Clean and prepare work and equipment to meet all regulations state and federal satisfactory for food safety, load/unload, may have occasional use of material handling devices, dump, move, dock work, freeze, shovel crabs, staple and assemble boxes. Workers will assist with unloading raw product, (crabs from boats or trucks), and place in processing area, or on the tables to be processed. Workers will also assist with loading finished products onto trucks for shipment. Piece rate may be offered; rate is determined based on prevailing wage determination. See attached Addendum. Job Classification: 51-3022.00 - Meat, Poultry, and Fish Cutters and Trimmers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Lift/carry up to 50 pounds. The employer maintains a workplace free from the use of illegal drugs, alcohol, and unauthorized controlled substances. The use, possession, sale, or being under the influence of illegal drugs or alcohol during working time or on employer premises is prohibited. The employer may conduct lawful, job-related screening of applicants, including inquiries into criminal history, where permitted by applicable federal, state, and local laws. Any consideration of criminal history will be conducted on an individualized basis and employment decisions will be made in a nondiscriminatory manner consistent with applicable laws and business necessity. No infectious diseases; seafood allergies may be fatal. Number of Hours Per Week: 35 Work Schedule (Start/End time): 5:00 A.M. - 1:00 P.M.</t>
  </si>
  <si>
    <t>H-400-26184-077458</t>
  </si>
  <si>
    <t>Trimper Rides of Ocean City, Inc.</t>
  </si>
  <si>
    <t>HR@trimperrides.com</t>
  </si>
  <si>
    <t>+14102898617</t>
  </si>
  <si>
    <t>H-400-26184-077461</t>
  </si>
  <si>
    <t>Vermont Irish Pub, LLC</t>
  </si>
  <si>
    <t>m8367@aol.com</t>
  </si>
  <si>
    <t>+18023764282</t>
  </si>
  <si>
    <t>Line Cooks are responsible for cooking, line setup, station setup, and cleaning duties, including washing dishes and items used in food preparation before, during, and after service. They are tasked with preparing, seasoning, and cooking soups, meats, vegetables, desserts, and other food items in the restaurant. Line Cooks also create daily specials and ensure the quality of the products being prepared and served. Additional responsibilities include trash removal, placing orders, managing inventory after deliveries, and serving as expediter on the server side. They play a vital role in mentoring new kitchen employees and act as a liaison between the kitchen and the front of house by sharing important information about meal ingredients, quantities on hand, and other relevant details. Line Cooks report to the owner, chef, and manager and are expected to maintain a steady and professional presence during high-pressure situations, showing both leadership and teamwork. Qualified line cooks will receive training on up to four stations, if applicable: Grill Cook, Fryolator Cook, Sauté/Middle, and Garde Manger. Job Classification: 35-2014.00 - Cooks, Restaurant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6 Special Requirements: Complete pre-employment background check; provide at least one reference for prior work experience; at least 6 months in restaurant cooking experience; be able to communicate in English The anticipated start date is October 1, 2026 with an end date of April 30, 2027. The geographic area of intended employment is Ludlow, Vermont. On-the-job training is provided. The employer will make all deductions from the workers paycheck required by law. If the worker completes 50% of the work contract period, employer will pay directly for and/or reimburse workers for transportation and subsistence from the place of recruitment to the place of work. Upon completion of the work contract or where the worker is dismissed earlier, employer will provide or pay for workers reasonable costs of return transportation and subsistence back home or to the place the worker originally departed to work, except where the worker will not return due to subsequent employment with another employer. The employer will pay directly for and/or reimburse workers for all reasonable inbound transportation and subsistence costs within the first workweek. The employer will pay directly for and/or reimburse workers for all reasonable outbound transportation and subsistence costs during the last work week. The amount of transportation payment or reimbursement will be equal to the most economical and reasonable common carrier for the distances involved. Daily subsistence will be provided at a rate of $16.78 per day during travel to a maximum of $68.00 per day with receipts. The employer guarantees to offer work for hours equal to at least three fourths of the workdays in each 12-week period of the total employment period. The employer will reimburse the worker in the first workweek for all visa, visa processing, border crossing and other related fees, including those mandated by the government, incurred by the worker. The employer will also provide to the H-2B workers, without charge or deposit charge, all tools, supplies, and equipment required to perform the duties assigned. Number of Hours Per Week: 40 Work Schedule (Start/End time): 1:00 P.M. - 9:00 P.M.</t>
  </si>
  <si>
    <t>H-400-26184-077499</t>
  </si>
  <si>
    <t>Abbey's Cleaning Services, LLC</t>
  </si>
  <si>
    <t>abbeycleaningservices2018@gmail.com</t>
  </si>
  <si>
    <t>+13379836861</t>
  </si>
  <si>
    <t>Seasonal Plant Cleaners</t>
  </si>
  <si>
    <t>Abbey's Cleaning Services, LLC seeks twenty-five (25) temporary full-time Seasonal Plant Cleaners to perform sanitation and cleaning services in seafood and oyster processing facilities located in Terrebonne Parish, Louisiana, from October 1, 2026, through June 1, 2027. Employees will work forty (40) hours per week on a rotating schedule. No overtime is anticipated. Employees will be paid weekly. The employer will use a single workweek as its standard for computing wages due. Plant Cleaners are responsible for cleaning, sanitizing, and disinfecting seafood and oyster processing facilities throughout the oyster season to maintain compliance with food safety and sanitation standards. Duties include washing and spraying walls, ceilings, floors, drains, shucking tables, conveyors, scales, workstations, processing lines, holding stations, three-compartment wash sinks, and other food-contact surfaces. Workers will clean and sanitize oyster processing equipment and systems before, during, and after production shifts using pressure sprayers, hoses, industrial cleaning equipment, non-toxic cleaning and sanitizing agents, industrial mops, floor squeegees, brushes, and other cleaning tools. Workers will remove oyster residue, mud, shells, liquids, grease, debris, and waste materials from floors, walls, ceilings, equipment, coolers, refrigerated trucks, storage areas, and processing rooms to maintain sanitary working conditions. Workers will clean and disinfect empty coolers, refrigerated trucks, processing areas, loading areas, storage rooms, employee work areas, holding stations, and work surfaces before and after each production shift. Workers will safely handle cleaning chemicals in accordance with employer safety procedures and follow all food safety, sanitation, and workplace safety requirements. Workers must wear employer-provided personal protective equipment, including waterproof boots, gloves, protective clothing, face protection, and other required safety equipment. Workers may rotate among assigned cleaning duties based upon operational needs. Work is performed indoors in cold, wet, humid seafood processing environments. The position requires standing and walking for extended periods, frequent bending, stooping, kneeling, reaching, repetitive cleaning motions, pushing, pulling, and lifting and carrying up to fifty (50) pounds throughout the workday. The employer will provide all cleaning products, sanitizing agents, supplies, equipment, tools, personal protective equipment, and materials necessary to perform the job duties at no cost to the workers. The employer will provide daily transportation at no cost to workers from the central dispatch location at 4889 West Main Street, Houma, Louisiana 70360, or from employer-provided housing located at 202 North Main Project Road, Schriever, Louisiana 70395, to the worksite and return transportation to the central dispatch location or employer-provided housing at the end of each workday. Public transportation is available to the central dispatch location. The anticipated employment period will last more than one hundred twenty (120) days. The employer guarantees to offer employment for a total number of work hours equal to at least three-fourths (3/4) of the workdays in each twelve (12) week period of the total employment period, as required by applicable H-2B regulations. H-2B workers will be reimbursed during the first workweek for all visa processing fees, border crossing fees, and other government-mandated expenses, excluding passport fees. Transportation and daily subsistence from the place from which the worker comes to work for the employer will be provided or reimbursed in accordance with applicable H-2B regulations. Job Classification: 53-7061.00 - Cleaners of Vehicles and Equipment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Three (3) months of work-related experience are required. No formal education is required. Applicants must be able to stand for extended periods, perform repetitive cleaning duties, work rotating day, evening, overnight, and weekend shifts, and lift and carry up to fifty (50) pounds. Work is performed indoors in cold, wet, humid seafood processing environments. Workers must be available for the entire period of employment. All individuals hired must complete Form I-9 and provide documentation establishing identity and employment authorization in the United States, as required by federal law. Number of Hours Per Week: 40 Work Schedule (Start/End time): 2:00 P.M. - 10:00 P.M.</t>
  </si>
  <si>
    <t>H-400-26184-077513</t>
  </si>
  <si>
    <t>Ace Web Entities, LLC</t>
  </si>
  <si>
    <t>rentals@stowemountainrentals.com</t>
  </si>
  <si>
    <t>+18027983142</t>
  </si>
  <si>
    <t>Room Cleaner</t>
  </si>
  <si>
    <t>Duties and Responsibilities: • Clean and disinfect bedrooms, bathrooms, kitchens, and living areas of vacation rental homes. • Replace bed linens and towels; restock guest amenities and paper goods. • Vacuum carpets and rugs; sweep and mop hard floors. • Empty trash and recycling bins and dispose of waste properly. • Perform laundry duties including washing, drying, folding, and organizing linens. • Report any maintenance issues, damages, or missing items to supervisors. • Ensure properties are guest-ready in appearance and cleanliness. • Follow safety procedures and cleaning checklists. Tools and Equipment Used: • Cleaning agents and disinfectants (general-purpose cleaners, bathroom cleaners, degreasers, etc.) • Vacuum cleaners (upright or backpack models) • Mops (standard and microfiber), brooms, and dustpans • Buckets and spray bottles • Microfiber cloths, sponges, and scrub brushes • Laundry machines (washers and dryers) • Personal protective equipment (gloves, masks, aprons as needed) • Carts or totes for transporting linens and cleaning supplies Job Classification: 37-2012.00 - Maids and Housekeeping Cleaners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6 Special Requirements: Organizational Skills Cleaning Skills Number of Hours Per Week: 48 Work Schedule (Start/End time): 9:30 A.M. - 5:30 P.M.</t>
  </si>
  <si>
    <t>H-400-26184-077486</t>
  </si>
  <si>
    <t>Arthur J Ulm III</t>
  </si>
  <si>
    <t>Kristen Wilson</t>
  </si>
  <si>
    <t>29/09/2029</t>
  </si>
  <si>
    <t>amlannom42@gmail.com</t>
  </si>
  <si>
    <t>+16155877843</t>
  </si>
  <si>
    <t>Under the supervision of the mother, the Nanny will perform childcare duties for one 1-year-old child, with additional responsibility for a newborn upon the birth of a second child in October. The Nanny will change diapers and maintain proper hygiene routines, such as diaper changes every 2–3 hours, wiping and bathing the child, and ensuring clean clothing and safe sanitation practices. The Nanny will prepare and clean bottles, including mixing formula or handling expressed breast milk, sterilizing bottles, and properly storing feeding supplies. The Nanny will prepare age-appropriate meals and snacks for the child, such as soft fruits, vegetables, and finger foods suitable for a toddler, while ensuring safe feeding practices. The Nanny will plan and engage in daily developmental and recreational play activities to support cognitive, emotional, and physical development, such as reading storybooks, singing songs, practicing basic words and sounds, and supervising structured indoor and outdoor play. The Nanny will follow and maintain the child’s established daily schedule, including feeding, nap, and activity routines, such as morning wake-up, scheduled meals, afternoon naps, and bedtime routines. The Nanny will monitor the child’s safety and well-being at all times and provide attentive supervision in the home environment, including constant supervision during playtime and ensuring a safe living space free of hazards. The Nanny will assist with transportation of the child between Nashville and Gallatin as required by the family’s work schedule, including securing the child in an appropriate car seat and ensuring safe travel conditions. Job Classification: 39-9011.01 - Nannies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12 Special Requirements: Valid CPR and First Aid Certification. Must be able to lift up to 50 lbs, stand holding a baby for an extended duration. Work will be performed from Sunday through Saturday, from 6:00 a.m. or 8:00 a.m. to 5:00 p.m. or 11:00 p.m., depending on household needs. The worker will have one and a half days off per week, depending on the household schedule, consisting of a half day on Friday and a full day on Saturday. Number of Hours Per Week: 48 Work Schedule (Start/End time): 8:00 A.M. - 5:00 P.M.</t>
  </si>
  <si>
    <t>H-400-26184-077480</t>
  </si>
  <si>
    <t>Avion Hospitality Employee Services LLC</t>
  </si>
  <si>
    <t>employment@windsorcourthotel.com</t>
  </si>
  <si>
    <t>+15047171201</t>
  </si>
  <si>
    <t>Food and Beverage Assistant Server/busser</t>
  </si>
  <si>
    <t>***RFI response*** The Food and Beverage Assistant Server/Busser will assist with setting up banquet rooms and buffet stations for hotel events, meetings, weddings, and hotel functions. Duties include arranging tables, chairs, linens, place settings, buffet equipment such as banquet tables, chafing dishes and food warmers, and beverage stations according to event specifications. The worker may organize food service items, replenish buffet supplies, such as refiling chafing dishes with hot food, replacing empty buffet trays/pans with fresh food, during events, and assist with breakdown of tables and supplies and cleanup after the event ends. Tools, equipment, and materials used may include using hands and arms to carry and move banquet tables, chairs, linen carts, trays, chafing dishes, serving utensils, beverage dispensers, tableware, glassware, carts, cleaning supplies, such as disinfectant spray and sanitizing solutions, multi surface cleanser for table and counters, sanitizing wipes, trashing bags and small hand tools used for setup and breakdown of dining rooms activities. The Food and Beverage Assistant Server/ Busser will assist with restocking bar and food supplies, including glassware, ice, garnishes, mixers, napkins, and beverage products. The worker may help maintain cleanliness of the bar and the restaurant area by removing used glassware, wiping counters, washing bar tools and equipment, and disposing of trash. Additional duties may include bringing supplies from kitchen storage areas to the bar and assisting with maintaining organized inventory and workstations during service. ***Original*** The Food and Beverage Assistant Server/Busser supports efficient restaurant, bar, banquet, and room service operations by delivering prompt, courteous service and ensuring guest satisfaction. The worker takes customer food and beverage orders, serves items in a timely and courteous manner, and prepares itemized checks for payment. The worker greets and escorts guests to tables, sets up and clears tables for cleanliness and proper place settings, serves customers seated at counters, and assists with banquet and buffet setups. The role may also operate a cash register, process payments, and verify the identification of patrons to ensure compliance with age requirements for alcohol service as needed. The worker maintains cleanliness and organization in dining areas, replenishes supplies, and supports waitstaff and bartenders during peak service times. Job Classification: 53-7062.00 - Laborers and Freight, Stock, and Material Movers, Hand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Schedule will be Wednesday, Thursday, Friday, Saturday and Sunday. 8-hour shifts. AM shift starts at 6:00 AM and PM shift starts at 2:00 PM. Schedule and shifts will vary based on business needs. Monday and Tuesday are the designated days off Number of Hours Per Week: 40 Work Schedule (Start/End time): 6:00 A.M. - 2:00 P.M.</t>
  </si>
  <si>
    <t>H-400-26184-077477</t>
  </si>
  <si>
    <t>Laundry/housekeeping</t>
  </si>
  <si>
    <t>***RFI response*** The worker will wash, dry, fold, organize, and transport hotel laundry items, including guest room linens, towels, bedding, bathrobes, cleaning cloths, and employee uniforms when needed. The worker will perform deep-cleaning and maintenance-related housekeeping duties in guest rooms and public areas. Tasks include vacuuming carpets, mopping floors, dusting furniture and fixtures, cleaning windows and mirrors, sanitizing bathrooms, polishing surfaces, removing trash, changing linens, and replenishing guest room supplies. Tools, equipment, and materials used may include vacuum cleaners, mops, brooms, cleaning carts, microfiber cloths, brushes, buckets, floor-cleaning equipment, laundry machines, cleaning chemicals, disinfectants, glass cleaners, and personal protective equipment such as gloves. ***Original*** The Housekeeper is responsible for ensuring clean, comfortable, and well-maintained guest rooms, hallways, and public areas within the hotel. The worker completes laundry and services guest rooms daily in accordance with hotel standard operating procedures by making beds, replacing linens, replenishing amenities, vacuuming carpets, dusting furniture, sanitizing bathrooms, and removing trash. The worker also stocks carts with room amenities and cleaning supplies while following company standards for safety and security at all times. In limited instances, this role is also responsible for conducting periodic room maintenance and deep-cleaning activities within guest rooms, such as scrubbing floors, shampooing carpets, and polishing fixtures. Job Classification: 37-2012.00 - Maids and Housekeeping Cleaners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Schedule will be Monday, Thursday, Friday, Saturday and Sunday, 8 hours shift, from 9:00 AM to 5:30 PM with a 30 min break. Tuesdays and Wednesdays days off. Number of Hours Per Week: 40 Work Schedule (Start/End time): 9:00 A.M. - 5:30 P.M.</t>
  </si>
  <si>
    <t>H-400-26184-077482</t>
  </si>
  <si>
    <t>The Cook is responsible for preparing and cooking food items for a variety of service areas including the restaurant, café, room service, employee cafeteria, and banquets. The role follows standardized recipes and portion guidelines to ensure quality and consistency. The Cook sets up and stocks stations with necessary supplies, prepares menu items using a variety of techniques, and ensures each dish is presented in an appealing and appetizing manner. The Cook maintains cleanliness, sanitation, and safety in the kitchen and work areas while monitoring food temperatures, handling food utensils and equipment properly, and adhering to food safety regulations. The Cook is also responsible for minimizing food waste, reviewing food inventory efficiently, and maximizing the cost-to-production ratio. Job Classification: 35-2014.00 - Cooks, Restaurant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12 Special Requirements: Must be able to stand for long periods of time and work in warm, fast paced kitchen environment. Cooks must also be able to lift 50 pounds.Schedule is from Monday, Tuesday, Friday, Saturday and Sunday- 8-hour shift, morning shift starting at 6:00 AM and PM shift starts at 2:00PM. Schedule will change based on business needs. Wednesday and Thursday are the designated days off Number of Hours Per Week: 40 Work Schedule (Start/End time): 6:00 A.M. - 2:00 P.M.</t>
  </si>
  <si>
    <t>H-400-26184-077476</t>
  </si>
  <si>
    <t>Big Bend Outdoor Center LLC</t>
  </si>
  <si>
    <t>jess@bigbendfarflung.com</t>
  </si>
  <si>
    <t>+14323712633</t>
  </si>
  <si>
    <t>Clean rooms, remove dirty linens and towels, trash. Make the bed with clean linens and blankets, dust, wipe down furniture, remove debris. Vacuum, sweep and mop entire floor area. Clean bathrooms such as toilet, sink, shower, vanity and floors. Restock storage room and carts such as towels, amenities, trash bags and collateral. Clean common areas and kitchens Job Classification: 37-2012.00 - Maids and Housekeeping Cleaners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Able to lift 25lbs, Monday-Sunday, Rotating schedule, average 40 hrs/week, schedule may vary, overtime varies Number of Hours Per Week: 40 Work Schedule (Start/End time): 8:00 A.M. - 4:30 P.M.</t>
  </si>
  <si>
    <t>H-400-26184-076346</t>
  </si>
  <si>
    <t>Milagro Stone Company, LLC</t>
  </si>
  <si>
    <t>milagrostonecompany@gmail.com</t>
  </si>
  <si>
    <t>+17205308358</t>
  </si>
  <si>
    <t>Machine Operators</t>
  </si>
  <si>
    <t>Operate and tend machines and use hand tools for purposes of producing, moving, and trimming raw stone and finished stone products. Lift/carry product by hand. Count/stack/sort materials on pallets for packaging and shipping. The workers will operate various stone-cutting machines that cut and shape stone. They will use hydraulic guillotine cutters, stone saws, drills, hammers, jackhammers, hand tools, and splitting wedges to shape the stone until it is ready for palletization. Lift and carry product by hand. In some instances, the workers will use controls to operate machinery to move stone for other workers to shape. ***RFI response*** Workers in the occupation are expected to utilize the following types of machinery and tools: 1. Feed stock into cutting machines, onto conveyors, or under cutting blades, by threading, guiding, pushing, or turning handwheels. 2. Move stock or scrap to and from machines manually, or by using carts, hand trucks, or lift trucks. 3. Lift raw materials, finished products, and packed items, manually or using hoists. 4. Transfer finished products, raw materials, tools, or equipment between storage and work areas of plants and warehouses, by hand or using hand trucks or powered lift trucks. Job Classification: 53-7041.00 - Hoist and Winch Operators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Must lift/carry 100 lbs., when necessary. Saturday work required, when necessary. Post-hire upon suspicion of use and post-accident drug testing required of foreign and domestic workers. Employer may offer more than the stated work hours, depending on weather, business needs, and other conditions. Extreme heat, cold, rain, or drought may affect exact working hours. Number of Hours Per Week: 40 Work Schedule (Start/End time): 7:30 A.M. - 4:00 P.M.</t>
  </si>
  <si>
    <t>H-400-26184-077509</t>
  </si>
  <si>
    <t>Brandon's Quality Oysters, LLC.</t>
  </si>
  <si>
    <t>Brandonsqualityoysters@gmail.com</t>
  </si>
  <si>
    <t>+19857207727</t>
  </si>
  <si>
    <t>***RFI Response*** Workers may be asked to pressure wash boats using a pressure washer. Workers my be asked to grind or sand using a grinder or sander. Workers may be asked to make minor repairs like changing fuel filters where a wrench would be used. Deckhands will be assisting with handyman and repair projects in order to get the boats prepared. They would be asked to due such tasks as painting with a paint brush, sanding paints with sandpaper in preparation for painting, greasing winches with a grease gun, and nailing deck boards with a hammer. ***Original F.a.2*** Attach apparatus devices to cable, boom &amp; hoist. Load/unload equipment &amp; supplies. Fish/dredge oysters (attach nets &amp; lines, haul in catch), sort, clean catch, culling oysters, transplant oysters, store and unload oysters. Wash deck, equipment, cooler and cabin. Sort, clean and return undesirables and illegal size oysters to bay. Place PVC pipe and/or oyster markers in private oyster leases. Transplant oysters, shells and rocks. Secure and remove vessels docking lines to and from dock and other vessels. Shipyard work includes cleaning the vessel, grinding, painting, lubricating, adjusting and making minor repairs to engine and equipment. Perform maintenance, repair work and handyman activities on the oyster boats, docks and shipyards. Perform any combination of the following duties aboard the fishing vessel: stands lookout, steering &amp; engine room watches. Load/unload oyster sacks from the vessel to the dock cooler and/or freight trucks. The deckhands must be knowledgeable and comply with all U.S. Coast Guard safety procedures and all Texas Parks and Wildlife laws. See attached addendum Job Classification: 45-3031.00 - Fishing and Hunting Workers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Lift/carry up to 100 pounds. No Experience/No educ. 1 day on the job training provided Employer paid drug test is Upon Suspicion. The employer may conduct lawful, job-related screening of applicants, including inquiries into criminal history, where permitted by applicable federal, state, and local laws. Any consideration of criminal history will be conducted on an individualized basis and employment decisions will be made in a nondiscriminatory manner consistent with applicable laws and business necessity. No infectious diseases; seafood allergies may be fatal. Number of Hours Per Week: 35 Work Schedule (Start/End time): 6:00 A.M. - 2:00 P.M.</t>
  </si>
  <si>
    <t>H-400-26184-077501</t>
  </si>
  <si>
    <t>Butler 3G Entertainment, Inc.</t>
  </si>
  <si>
    <t>Robert Pierce</t>
  </si>
  <si>
    <t>butler3g@yahoo.com</t>
  </si>
  <si>
    <t>+14088585369</t>
  </si>
  <si>
    <t>Erect, takedown, attend &amp; maintain equipment; operate games, collect tickets/fees; make change; assist patrons. Job qualifications: Must be able to lift 50 pounds. Heavy lifting and physically mobile required. Travel to all locations required and provided by employer. • No education or experience required. • On-the-job training provided. Job Classification: 39-3091.00 - Amusement and Recreation Attendants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Work hours Hours, schedule, and days vary widely. Typically Wed-Sun, 4pm 11pm. Often 35-45 hours per week, may go up to 60 hours per week. Work needs (i.e., hours, days, schedule, location, and work positions) vary. Work needs subject to industry practice and are not guaranteed per day, per week, per schedule, per location, or per worker, e.g., rainouts, brief periods without scheduled events, event dates and hours set by agreement with sponsor and subject to change (based upon adverse weather, hours of operation, day of the week, attendance, size of the event, school schedules, amount of equipment in operation, staffing, etc.), and unforeseen cancellations. In the event of approved, overlapping events, work needs may cause workers to be adjusted. Job requirements Post-employment random drug testing and background checks may be required by employer at no cost to the worker. The job requires the applicant to be qualified, authorized, ready, willing, able, and available to perform during the entire employment at the designated worksites under adverse weather; satisfy our verification standards or testing; enter into and comply with any employment contract and housing lease; follow workplace, grievance, and housing rules. The grievance procedure requires workers to report any threats to or failure to satisfy working terms and conditions; and meet job performance standards. Work outside in all weather. The job requires the applicant to obtain and show proof of all necessary government authorizations to work this job, such as an H-2B worker visa for foreign workers. Any H-2B worker visa will be issued by the United States consulate in the home country, and after which the applicant will be regarded as recruited at that time and place. Must cooperate with and complete job application and interview, and any supplied information must be truthful and complete. Must comply with grooming requirements and dress code. Must be willing to work up to 7 days/week. Subject to discharge for cause. Number of Hours Per Week: 35 Work Schedule (Start/End time): 4:00 P.M. - 11:00 P.M.</t>
  </si>
  <si>
    <t>H-400-26184-077520</t>
  </si>
  <si>
    <t>C. L. Hospitality Corporation</t>
  </si>
  <si>
    <t>Kendra Held</t>
  </si>
  <si>
    <t>info@cascadeslodge.com</t>
  </si>
  <si>
    <t>+18024223731</t>
  </si>
  <si>
    <t>Clean rooms and common areas. Make beds, vacuum, clean bathrooms, and replace linens. Perform other general housekeeping duties as required. Job Classification: 37-2012.00 - Maids and Housekeeping Cleaners The job/industry classification and description includes general information on the position from ONET/OES and the North American Industry Classification System. Please review Job Duties and Job Order for more information. Job Requirements Experience Required: No Number of Hours Per Week: 35 Work Schedule (Start/End time): 8:00 A.M. - 8:00 P.M.</t>
  </si>
  <si>
    <t>H-400-26184-077479</t>
  </si>
  <si>
    <t>Camp Elena LLC</t>
  </si>
  <si>
    <t>hannah@campelena.com</t>
  </si>
  <si>
    <t>+14694570728</t>
  </si>
  <si>
    <t>Clean rooms, remove dirty linens and towels, trash. Make the bed with clean linens and blankets, dust, wipe down furniture, remove debris. Vacuum, sweep and mop entire floor area. Clean bathrooms such as toilet, sink, shower, vanity and floors. Notify owner of supply needs. Restock storage room and carts such as towels, amenities, trash bags and collateral. Clean common areas and kitchens Job Classification: 37-2012.00 - Maids and Housekeeping Cleaners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Monday-Sunday, Rotating schedule, average 35 hrs/week, schedule may vary, overtime varies Number of Hours Per Week: 35 Work Schedule (Start/End time): 10:00 A.M. - 3:00 P.M.</t>
  </si>
  <si>
    <t>H-400-26185-078599</t>
  </si>
  <si>
    <t>Pennum, Inc.</t>
  </si>
  <si>
    <t>sales@pennum.com</t>
  </si>
  <si>
    <t>+12818096792</t>
  </si>
  <si>
    <t>Fitter</t>
  </si>
  <si>
    <t>Interpret engineering drawings, blueprints, and specifications to determine layout and assembly procedures. Measure, cut, fit, and shape steel pipe and plate components using hand and power tools, including saws, torches, and plasma cutters. Perform layout and fitting of structural steel members, including beams, columns, braces, pipes, and plates, according to project requirements. Align and fit structural and pipe steel components using techniques such as welding, bolting, and riveting to ensure proper alignment and structural integrity. Verify dimensions and alignments of assembled components using levels, squares, and other measuring tools. Fabricate, install, and weld temporary support structures as needed to hold steel components in place during assembly. Collaborate with welders, crane operators, and other team members to coordinate workflow and ensure efficient project execution. Adhere to safety protocols and all OSHA safety rules and guidelines to maintain a safe working environment for yourself and others. Inspect and test completed work to ensure quality standards are met and make adjustments as necessary. Maintain tools, equipment, and work area in a clean and organized manner. Must have working knowledge of modular fabrication practices, including shop-based assembly of pre-engineered structural and piping modules, interpretation of module drawings and tie-in points, dimensional control, and the methods used to transport and erect completed modules at final installation sites. The employer will offer a minimum of 40 hours of work per week. Worker will work one of two shifts: 7:00am-3:30pm or 3:30pm to 12:00am on varying days of the week from Monday through Sunday based on client need. Shifts include 30 minutes unpaid break time. Workdays, hours, and shift time may vary depending on weather. Employer may increase wage or offer bonus based on experience, performance, tenure, and/or market conditions. If applicable an overtime premium will be paid when required by Federal, State, or local law, including at time-and-a-half after 40 hours per workweek. Overtime hours may be available at $34.40 per hour. Job Classification: 47-2221.00 - Structural Iron and Steel Workers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12 Special Requirements: Pre-employment drug test required, cost paid by employer and applied equally to all workers. Pre-employment medical physical required, cost paid by employer and applied equally to all workers. Must pass a written and functional test administrated at the project worksite in Texas at employer's expense. Must be able to lift and/or move a minimum of 50 lbs. Must be willing and able to climb and work in high places that may exceed 200 feet in height, and in confined spaces. Applicant must complete an employment application. Number of Hours Per Week: 40 Work Schedule (Start/End time): 7:00 A.M. - 3:30 P.M.</t>
  </si>
  <si>
    <t>H-400-26184-077522</t>
  </si>
  <si>
    <t>Cogent Ventures, LLC</t>
  </si>
  <si>
    <t>hdilsiz@hotmail.com</t>
  </si>
  <si>
    <t>+17325136934</t>
  </si>
  <si>
    <t>Prepare and cook menu items including döner, grilled meats, vegetables, sauces, and other Turkish specialties. Slice, marinate, season, and portion ingredients according to restaurant standards. Operate grills, vertical broiler, vertical rotisserie, ovens, and other kitchen equipment safely. Prepare wraps, bowls, plates, and sides. Maintain a clean and sanitary workstation; follow all food safety, hygiene, and sanitation procedures. Monitor food quality, temperature, and presentation to ensure consistency. Assist with inventory rotation, food prep, ingredient portioning, and general kitchen organization. Clean and sanitize work areas, equipment, and tools. Work as part of a team in a fast-paced environment. Employer provides all tools, uniforms, and equipment needed to perform the job. No experience required; employer will provide training. Job Classification: 35-2014.00 - Cooks, Restaurant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No special requirements Number of Hours Per Week: 40 Work Schedule (Start/End time): 10:00 A.M. - 6:00 P.M.</t>
  </si>
  <si>
    <t>H-400-26184-077481</t>
  </si>
  <si>
    <t>Doris M Urena</t>
  </si>
  <si>
    <t>09/09/2027</t>
  </si>
  <si>
    <t>Doris.urena@gmail.com</t>
  </si>
  <si>
    <t>+19734930031</t>
  </si>
  <si>
    <t>In Home Nanny</t>
  </si>
  <si>
    <t>***More Specific Description of job duties/functions*** Full time in home care for infant and toddler children, specific job duties include: •Clothing/dressing the children in the morning •Combing children’s hair and brushing children’s teeth •Preparing children’s bottles and sippy cups (juice, milk, tea) •Bottle feeding and burping children •Cooking and preparing children’s snacks and children’s meals (must know how to cook Dominican food for children) •Cleaning children’s pacifiers, bottles, sippy cups, plates, bowls, and utensils using dishwasher (children’s things only) •Changing children’s diapers and assisting children with potty training routine to and from the bathroom •Engaging in indoor play and outdoor play (in our home’s backyard) with children and cleaning up children’s toys after play time ends •Engaging in music time, reading time and crafts time with the children and cleaning up children’s books and crafts supplies once finished •Speaking Spanish to the children throughout the day •Placing children down for one 2-hour nap each day in bassinet, crib, or bed •Clean/wash children’s rags, blankets, sheets, pillows, and clothes (children’s things only) •Fold and put away children’s things in children’s closet and shelves •Taking children out for walks or strolls around the neighborhood or to the nearby park or field or to scheduled classes or activities such as children’s gyms, swim classes, or crafts classes •Bathing the children and dressing the children for bedtime routine •Placing children down for their bedtime •Administering medicines as needed and as prescribed by the children’s doctors (including administering albuterol using nebulizer machine) *Cooking and preparing foods will be limited to children only, and does not extend to the entire family. All job duties/functions will be limited to children only. ***Original/General Description of Job Duties*** Full time in home care for infant and toddler children, including but not limited to: preparing bottles, doing bottle feedings, burping infant, cooking and preparing foods (Dominican food and others), clothing and changing the children, changing diapers, help bathing children, administering medicine to the children, engage in play time, reading, and other learning activities with the children, practice Spanish with the children, place children down for naps, clean children’s clothes, take children out for walks or strolls, or to scheduled classes or activities, assist with night and bedtime routine for children, etc. Job Classification: 39-9011.01 - Nannies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Spanish language fluency Knows how to cook Knows Infant/Toddler/Child CPR Knows how to administer albuterol using nebulizer and inhaler/pump Knows how to swim Non-smoker Number of Hours Per Week: 40 Work Schedule (Start/End time): 8:30 A.M. - 4:30 P.M.</t>
  </si>
  <si>
    <t>H-400-26184-077503</t>
  </si>
  <si>
    <t>EZS Concessions, LLC</t>
  </si>
  <si>
    <t>07/07/2027</t>
  </si>
  <si>
    <t>ezsconcessions@hotmail.com</t>
  </si>
  <si>
    <t>+15038099998</t>
  </si>
  <si>
    <t>Food Concessions Worker</t>
  </si>
  <si>
    <t>Erect and tear down concession trailers. Clean and sanitize work areas and equipment. Cut, prep, and cook limited food and drink items. Take orders, serve customers food &amp; drinks. Collect fees and make change. Job qualifications: Must be able to lift 50 pounds. Heavy lifting and physically mobile required. Travel to all locations required and provided by employer. • No education or experience required. • On-the-job training provided. Job Classification: 35-3023.00 - Fast Food and Counter Workers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Work hours Hours, schedule, and days vary widely. Typically Wed-Sun, 4pm 11pm. Often 35-45 hours per week, may go up to 60 hours per week. Work needs (i.e., hours, days, schedule, location, and work positions) vary. Work needs subject to industry practice and are not guaranteed per day, per week, per schedule, per location, or per worker, e.g., rainouts, brief periods without scheduled events, event dates and hours set by agreement with sponsor and subject to change (based upon adverse weather, hours of operation, day of the week, attendance, size of the event, school schedules, amount of equipment in operation, staffing, etc.), and unforeseen cancellations. In the event of approved, overlapping events, work needs may cause workers to be adjusted. Job requirements Post-employment random drug testing and background checks may be required by employer at no cost to the worker. The job requires the applicant to be qualified, authorized, ready, willing, able, and available to perform during the entire employment at the designated worksites under adverse weather; satisfy our verification standards or testing; enter into and comply with any employment contract and housing lease; follow workplace, grievance, and housing rules. The grievance procedure requires workers to report any threats to or failure to satisfy working terms and conditions; and meet job performance standards. Work outside in all weather. The job requires the applicant to obtain and show proof of all necessary government authorizations to work this job, such as an H-2B worker visa for foreign workers. Any H-2B worker visa will be issued by the United States consulate in the home country, and after which the applicant will be regarded as recruited at that time and place. Must cooperate with and complete job application and interview, and any supplied information must be truthful and complete. Must comply with grooming requirements and dress code. Must be willing to work up to 7 days/week. Subject to discharge for cause. Number of Hours Per Week: 35 Work Schedule (Start/End time): 4:00 P.M. - 11:00 P.M.</t>
  </si>
  <si>
    <t>H-400-26184-077514</t>
  </si>
  <si>
    <t>Eagle Pass Hospitality of Texas, LTD</t>
  </si>
  <si>
    <t>holly.bailey.rm@gmail.com</t>
  </si>
  <si>
    <t>+15759373411</t>
  </si>
  <si>
    <t>Under the supervision of the general manager, housekeepers will perform a variety of cleaning and maintenance tasks to ensure guest rooms and common areas meet established lodging health and sanitation standards. Duties include keeping storage areas and housekeeping carts well-stocked, clean, and organized; carrying linens, towels, toiletries, and cleaning supplies using wheeled carts; and cleaning guestrooms, bathrooms, hallways, lobbies, lounges, restrooms, elevators, stairways, and locker rooms using brooms, mops, dusters, microfiber cloths, disinfectant solutions, vacuum cleaners, and powered floor scrubbers. Workers will empty wastebaskets and transport trash to disposal areas; sweep, scrub, wax, or polish floors; clean and shampoo rugs and carpets; wash windows, walls, ceilings, and woodwork; dust and polish furniture, fixtures, and equipment; and replace light bulbs. Laundry-related tasks include sorting, loading, and unloading linens and towels using commercial washers and dryers; folding and organizing clean laundry; and stocking linen closets. Workers will make beds, move and arrange lightweight furniture, turn mattresses, and hang draperies or clean window blinds. Workers may deliver guest-requested items such as rollaway beds, baby cribs, televisions, or ironing boards; report room damage or lost-and-found items; and assist with basic preparation of rooms or common areas for meetings or events. Workers must follow company safety and sanitation procedures and perform other related housekeeping duties as assigned Job Classification: 37-2011.00 - Janitors and Cleaners, Except Maids and Housekeeping Cleaners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1 Special Requirements: Housekeeper must be able to lift up to 65 lbs., stand for extended periods of time, bend, stretch, twist, and reach with the body, arms, and legs as needed. Number of Hours Per Week: 40 Work Schedule (Start/End time): 9:00 A.M. - 5:00 P.M.</t>
  </si>
  <si>
    <t>H-400-26184-077502</t>
  </si>
  <si>
    <t>Economic Concrete Services, Inc.</t>
  </si>
  <si>
    <t>Trisha Floyd Nielsen</t>
  </si>
  <si>
    <t>economic.concrete09@gmail.com</t>
  </si>
  <si>
    <t>+15153183809</t>
  </si>
  <si>
    <t>Perform tasks involving physical labor at construction sites. Prepare the site for concrete placement by loading and unloading materials, digging, and leveling the earth. Place the concrete under direction of supervisor. May operate hand and power tools. Job Classification: 47-2061.00 - Construction Laborers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Must be able to lift and carry 60 pounds 75 yards. Must be able to perform physical activities such as lift, walk, stoop, bend, push, and pull. Work is outdoors, exposed to weather. Must be capable of doing physically strenuous labor for long hours, occasionally in extreme heat. Weekend work as needed. Number of Hours Per Week: 40 Work Schedule (Start/End time): 7:00 A.M. - 5:00 P.M.</t>
  </si>
  <si>
    <t>H-400-26184-077512</t>
  </si>
  <si>
    <t>Environmental Tree and Design Inc</t>
  </si>
  <si>
    <t>jobs@treemover.com</t>
  </si>
  <si>
    <t>+12813764260</t>
  </si>
  <si>
    <t>Transplant established trees &amp; shrubs. Dig holes, place &amp; plant trees, backfill holes. Stake trees, water, &amp; remove leaves. Job Classification: 37-3011.00 - Landscaping and Groundskeeping Workers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Pre-hire background check required; Random drug testing during employment; Pre-employment drug testing required; Drug testing during employment for cause; Post-Accident Drug Testing, Able to lift 50lbs, Monday-Friday, some weekends as needed, schedule varies, start/end times vary, overtime varies. All background checks are performed equally as to U.S. workers and H-2B workers, and all fees are paid for by the company. See the additional document attached for further details about the administration of our background check policy. All drug testing is performed without regard to an employees citizenship or immigration status, and all testing is paid for by the company. See the additional document attached for further details about the administration of our drug testing policy. Number of Hours Per Week: 40 Work Schedule (Start/End time): 6:00 A.M. - 3:30 P.M.</t>
  </si>
  <si>
    <t>H-400-26184-077527</t>
  </si>
  <si>
    <t>H-400-26184-077533</t>
  </si>
  <si>
    <t>Epic Motor Group LLC</t>
  </si>
  <si>
    <t>Cristina Galeano</t>
  </si>
  <si>
    <t>taylor.johnson@fixautousa.com</t>
  </si>
  <si>
    <t>+18016902353</t>
  </si>
  <si>
    <t>Auto Shop General Support Worker</t>
  </si>
  <si>
    <t>Workers will perform temporary, non-professional, support services in an automotive service and repair facility. Duties include assisting the Production Manager and licensed technicians with routine operational and maintenance activities necessary for daily shop operations. Workers will prepare work areas; clean and organize tools, equipment, and shop spaces; wash and prepare vehicles for service; transport parts and materials; load and unload supplies; and maintain overall shop cleanliness and organization. Workers will assist with surface preparation and finishing support tasks under supervision, including washing, masking, sanding, buffing, polishing, cleaning, and related preparation activities. Workers will clean and maintain work areas, shop facilities, and equipment, including cleaning spray equipment and maintaining paint booth cleanliness, as directed by supervisory staff. Workers will follow all workplace safety procedures, including the proper handling of cleaning materials, paints, chemicals, tools, and equipment, and will use required personal protective equipment (PPE) at all times. Workers will assist with basic vehicle service and maintenance support functions such as tire rotations, oil changes, parts handling, vehicle movement within the facility, and general shop support activities as directed. Workers may assist with basic inspection support activities and reporting of visible conditions to supervisory staff, but do not perform independent diagnostics, certified trade inspections, structural repairs, electrical diagnostics, engine diagnostics, welding, paint mixing, color matching, or licensed trade activities. All duties are performed under direct supervision of the Production Manager and licensed technicians. The position is support-based in nature and does not involve independent skilled-trade work, supervisory authority, professional judgment, or managerial responsibilities. The employer provides on-the-job training to familiarize workers with shop procedures, equipment, and U.S. safety standards. The role is temporary in nature and tied to the employer’s temporary operational business needs. The employer will provide all tools, supplies, safety equipment, and work materials necessary to perform the job, including hand tools, shop tools, cleaning equipment, safety gear, and protective equipment. Workers are not required to provide their own tools. Work is performed in an indoor automotive service and repair facility. The work environment includes exposure to shop equipment, noise, dust, fumes, and cleaning chemicals. The employer provides all required personal protective equipment (PPE), and employees are required to use it in accordance with applicable safety regulations. The position requires standing for extended periods, lifting up to 50 pounds, bending, reaching, kneeling, repetitive movements, and performing manual labor throughout the workday. A valid driver’s license is preferred or required for vehicle movement within the facility and shop operations, if applicable. *Minimum Requirements: Education: No formal education or degree required. Experience: Prior experience in an automotive or mechanical work environment is preferred but not required. Training: On-the-job training is provided by the employer to familiarize workers with shop procedures, equipment, and safety standards. Licenses/Certifications: No licenses or certifications are required *Supervision Structure All duties are performed under the direct supervision by the Production Manager and licensed technicians No independent work assignments No supervisory responsibilities Job Classification: 49-9098.00 - Helpers--Installation, Maintenance, and Repair Workers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Two (2) months of training in automotive shop procedures, basic body shop and paint preparation support tasks, equipment handling, workflow processes, and workplace safety standards. No prior employment experience required. No formal education required. Valid driver's license preferred for vehicle movement within the facility and shop operations, if applicable. Number of Hours Per Week: 40 Work Schedule (Start/End time): 8:00 A.M. - 5:00 P.M.</t>
  </si>
  <si>
    <t>H-400-26184-077508</t>
  </si>
  <si>
    <t>Event EZ LLC</t>
  </si>
  <si>
    <t>kisselentertainment@yahoo.com</t>
  </si>
  <si>
    <t>+15134103387</t>
  </si>
  <si>
    <t>Assist mechanic: Help maintain carnival equipment: manually sand and prep; clean and lubricate parts; assemble, inspect, dismantle, and store carnival equipment. Job qualifications: Must be able to lift 50 pounds. Heavy lifting and physically mobile required. Travel to all locations required and provided by employer. • No education or experience required. • On-the-job training provided. Job Classification: 49-9098.00 - Helpers--Installation, Maintenance, and Repair Workers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Work hours Hours, schedule, and days vary widely. Typically, Mon-Fri, 8AM-5PM. No over time expected Often 35-40 hours per week. Work needs (i.e., hours, days, schedule, location, and work positions) vary. Work needs subject to industry practice and are not guaranteed per day, per week, per schedule, per location, or per worker, e.g., rainouts, brief periods without scheduled events, event dates and hours set by agreement with sponsor and subject to change (based upon adverse weather, hours of operation, day of the week, attendance, size of the event, school schedules, amount of equipment in operation, staffing, etc., and unforeseen cancellations. In the event of approved, overlapping events, work needs may cause workers to be adjusted. Job requirements Post-employment random drug testing and background checks may be required by employer at no cost to the worker. The job requires the applicant to be qualified, authorized, ready, willing, able, and available to perform during the entire employment at the designated worksites under adverse weather; satisfy our verification standards or testing; enter into and comply with any employment contract and housing lease; follow workplace, grievance, and housing rules. The grievance procedure requires workers to report any threats to or failure to satisfy working terms and conditions; and meet job performance standards. Work outside in all weather. The job requires the applicant to obtain and show proof of all necessary government authorizations to work this job, such as an H-2B worker visa for foreign workers. Any H-2B worker visa will be issued by the United States consulate in the home country, and after which the applicant will be regarded as recruited at that time and place. Must cooperate with and complete job application and interview, and any supplied information must be truthful and complete. Must comply with grooming requirements and dress code. Must be willing to work up to 7 days/week. Subject to discharge for cause. Number of Hours Per Week: 35 Work Schedule (Start/End time): 8:00 A.M. - 5:00 P.M.</t>
  </si>
  <si>
    <t>H-400-26184-077500</t>
  </si>
  <si>
    <t>Freedom Ridge Roofing LTD</t>
  </si>
  <si>
    <t>hello@freedomridgeroofing.com</t>
  </si>
  <si>
    <t>+13034859432</t>
  </si>
  <si>
    <t>Under the supervision of the supervisor, a construction laborer will perform ground-level site preparation and cleanup to support installation crews. Duties include setting cones, barriers, caution tape, and tarps to establish safe work zones; clearing loose debris, obstacles, and hazards from work areas; marking and organizing designated staging and access areas; and ensuring ground-level spaces are properly prepared for installation activities. Loading and unloading trucks with construction-related materials used on-site such as hand tools, power tools, ladders, tarps, safety barriers, buckets, fasteners, nails and screws, small equipment, and debris containers, and staging these materials and tools to designated ground-level areas for immediate use by installation crews, without involvement in warehouse or inventory operations. Acting as a spotter for material lifts by assisting with the safe movement and placement of materials, collecting debris, scrap materials, trash, and packaging from the jobsite, using magnetic sweepers to remove nails and metal fragments, and performing general jobsite housekeeping, including sweeping work areas, organizing tools and materials, and maintaining clean, safe, and hazard-free walkways and work zones throughout the construction site. Job Classification: 47-2061.00 - Construction Laborers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Must be able to handle temperature extremes, heights, must be able to use a tape measurer accurately, must be able to lift and carry 25 lbs for 15 yards. Number of Hours Per Week: 40 Work Schedule (Start/End time): 7:00 A.M. - 4:00 P.M.</t>
  </si>
  <si>
    <t>H-400-26184-077485</t>
  </si>
  <si>
    <t>Grout Scouts, Inc.</t>
  </si>
  <si>
    <t>rlovett@groutscouts.com</t>
  </si>
  <si>
    <t>+13193725047</t>
  </si>
  <si>
    <t>Shovel and plow snow from walks, driveways and parking lots and spread salt in those areas. Perform grounds maintenance and other duties as assigned related to facilities and roads maintenance. Potential for spring clean up. Use hand tools such as shovels and brooms. Operate vehicles or powered equipment such as a snow blower. Job Classification: 37-2011.00 - Janitors and Cleaners, Except Maids and Housekeeping Cleaners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Must be able to lift and carry 50 lbs. Must be able to pass a pre-employment drug test, administered to both U.S. and H-2B workers. Saturday and Sunday work required, when necessary. Work hours may include nights and overtime during emergencies and winter storm conditions. Must be able to perform manual physical labor outside during all weather conditions. Number of Hours Per Week: 40 Work Schedule (Start/End time): 7:00 A.M. - 3:30 P.M.</t>
  </si>
  <si>
    <t>H-400-26184-077504</t>
  </si>
  <si>
    <t>H2EP LLC</t>
  </si>
  <si>
    <t>Under the supervision of the general manager, housekeepers will perform a variety of cleaning and maintenance tasks to ensure guest rooms and common areas meet established lodging health and sanitation standards. Duties include keeping storage areas and housekeeping carts well-stocked, clean, and organized; carrying linens, towels, toiletries, and cleaning supplies using wheeled carts; and cleaning guestrooms, bathrooms, hallways, lobbies, lounges, restrooms, elevators, stairways, and locker rooms using brooms, mops, dusters, microfiber cloths, disinfectant solutions, vacuum cleaners, and powered floor scrubbers. Workers will empty wastebaskets and transport trash to disposal areas; sweep, scrub, wax, or polish floors; clean and shampoo rugs and carpets; wash windows, walls, ceilings, and woodwork; dust and polish furniture, fixtures, and equipment; and replace light bulbs. Laundry-related tasks include sorting, loading, and unloading linens and towels using commercial washers and dryers; folding and organizing clean laundry; and stocking linen closets. Workers will make beds, move and arrange lightweight furniture, turn mattresses, and hang draperies or clean window blinds. Workers may deliver guest-requested items such as rollaway beds, baby cribs, televisions, or ironing boards; report room damage or lost-and found items; and assist with basic preparation of rooms or common areas for meetings or events. Workers must follow company safety and sanitation procedures and perform other related housekeeping duties as assigned. Job Classification: 37-2011.00 - Janitors and Cleaners, Except Maids and Housekeeping Cleaners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1 Special Requirements: Requirements: No education is required. However, 1 month of experience as a housekeeper or similar position is required. Required special skills: Housekeeper must be able to lift up to 65 lbs., stand for extended periods of time, bend, stretch, twist, and reachwith the body, arms, and legs as needed. Number of Hours Per Week: 40 Work Schedule (Start/End time): 7:00 A.M. - 3:00 P.M.</t>
  </si>
  <si>
    <t>H-400-26184-077490</t>
  </si>
  <si>
    <t>Wildlife Capture Helicopter Pilot</t>
  </si>
  <si>
    <t>The job of a wildlife capture helicopter pilot is extremely specialized. Job duties are flying a helicopter for helicopter net gun capture, chemical capture, coral capture, telemetry tracking and predator depredation. Job Classification: 53-2012.00 - Commercial Pilots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24 Special Requirements: Helicopter Pilot License The pilot must have a thorough knowledge of how to read and understand wildlife. This pilot must have worked with numerous species of wildlife in their various habitats. Due to the extreme flying conditions during capture, the pilot's flying ability has to be a high standard due to the concentration is required. 2500 hours wildlife capture experience, must include net gun, chemical and mass capture. 1000 hours high altitude experience 500 hours low level flight below 100 ft Must have caught over 15 large game species species of wildlife Rated in MD500D and R44 helicopters. Must be able to lift 200 lbs. Number of Hours Per Week: 40 Work Schedule (Start/End time): 7:00 A.M. - 4:00 P.M.</t>
  </si>
  <si>
    <t>H-400-26184-077526</t>
  </si>
  <si>
    <t>Hospitality Staffing Solutions, LLC</t>
  </si>
  <si>
    <t>lsalamah@hssstaffing.com</t>
  </si>
  <si>
    <t>+17143536802</t>
  </si>
  <si>
    <t>Housekeeping Associate</t>
  </si>
  <si>
    <t>***RFI Response*** Load and unload commercial washers and dryers with hotel towels, washcloths, bath towels, hand towels, bathmats, sheets, twin sheets, fitted sheets, pillowcases, queen sheets, king sheets, and rags.; operate folding and finishing equipment such as CHI-Touch microprocessor, single-lane ironer/folder with CHI-Touch controls, gas-fired ironer. Fold and stack linens to stage linen carts and closets. Deliver and retrieve linens to and from hotel floors. Stock housekeeping closets and carts, and move and stage housekeeping supplies. Follow property brand standards and checklists. Use chemicals and cleaning agents according to their labels and Safety Data Sheets. Follow lock-out and key control procedures as directed by supervisor; handle lost-and-found items per policy; and comply with all health, safety, and sanitation regulations. Perform other related housekeeping tasks as assigned that are necessary for maintaining cleanliness and guest readiness of rooms and property. Maintenance is not required by Housekeepers; users are responsible only for proper operation and cleanliness. The Housekeeper Associate is responsible only for the proper operation, routine cleaning, and safe use of equipment and is not authorized or expected to perform any duties associated with SOC Code 49-9071, Maintenance and Repair Workers, General. The worker’s responsibilities are limited to the routine operation and basic cleanliness of laundry equipment to support normal day to-day use, consistent with SOC Codes 37-2012 (Maids and Housekeeping Cleaners) and 51- 6011 (Laundry and Dry-Cleaning Workers). The Laundry/Housekeeping worker is responsible only for proper operation, routine cleaning, and safe use of these machines and is not authorized or expected to perform any duties associated with SOC Code 49-9071, Maintenance and Repair Workers, General. All maintenance, repair, and technical servicing of equipment remain the responsibility of qualified maintenance personnel. ***Original F.a.2*** At direction of supervisor, perform housekeeping duties including making beds, changing and replenish linens and towels in guest rooms. Clean and sanitize bathrooms, tubs, showers, sinks, mirrors, fixtures, and public areas including lobbies, hallways, elevators, stairwells, public restrooms, fitness areas, and back-of-house corridors. Dust and polish furniture such as light stands, tv stands, bathroom cabinets. Vacuum, sweep, and mop floors. Spot-clean glass, doors, and walls, and remove trash, room-service items, and recyclables. Restock amenities in guest rooms and public areas, and deliver guest requests such as pillows, blankets, and other amenities as needed. Report any maintenance issues to management. Set, reset, and tidy meeting or event rooms as directed. Sort, count, and transport soiled and clean linens. Load and unload commercial washers and dryers; operate folding and finishing equipment. Fold and stack linens to stage linen carts and closets. Deliver and retrieve linens to and from hotel floors. Stock housekeeping closets and carts, and move and stage housekeeping supplies. Follow property brand standards and checklists. Use chemicals and cleaning agents according to their labels and Safety Data Sheets. Follow lock-out and key control procedures as directed by supervisor; handle lost-and-found items per policy; and comply with all health, safety, and sanitation regulations. Perform other related housekeeping tasks as assigned that are necessary for maintaining cleanliness and guest readiness of rooms and property. Job Classification: 51-6021.00 - Pressers, Textile, Garment, and Related Materials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Must be able to stand and walk for extended periods of time, typically up to 810 hours per shift. Must be capable of lifting, carrying, pushing, or pulling housekeeping carts and supplies weighing up to 50 lbs., and pushing or pulling carts on wheels weighing up to approximately 100 lbs. Must be able to bend, kneel, reach, and perform repetitive movements as required. Work will be performed from Friday to Thursday, from 8:00 a.m. to 4:30 p.m., from 9:00 a.m. to 5:00 p.m. and from 3:00 p.m. to 11:00 p.m. Variable shifts including weekends and holidays based on business needs. Number of Hours Per Week: 56 Work Schedule (Start/End time): 8:00 A.M. - 4:30 P.M.</t>
  </si>
  <si>
    <t>H-400-26184-077517</t>
  </si>
  <si>
    <t>Howrey Construction Inc.</t>
  </si>
  <si>
    <t>info@howreyconstruction.com</t>
  </si>
  <si>
    <t>+17122978182</t>
  </si>
  <si>
    <t>Performing tasks involving physical labor at construction sites. Prepare the site for concrete placement by loading and unloading materials, digging, and leveling the earth. Place the concrete under direction of supervisor. May operate hand and power tools. May set up traffic control devices. Job Classification: 47-2061.00 - Construction Laborers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6 Special Requirements: Must be able to lift and carry 100 pounds 25 yds. Must be able to perform physical activities such as lifting, walking, stooping, bending, pushing, and pulling. Work is outdoors, exposed to weather. Must be capable of doing physically strenuous labor for long hours, occasionally in extreme heat. Number of Hours Per Week: 40 Work Schedule (Start/End time): 6:30 A.M. - 6:00 A.M.</t>
  </si>
  <si>
    <t>H-400-26184-077491</t>
  </si>
  <si>
    <t>Lin R. Rogers Electrical Contractors, Inc.</t>
  </si>
  <si>
    <t>mpritchett@lrogerselectric.com</t>
  </si>
  <si>
    <t>+14049559238</t>
  </si>
  <si>
    <t>Electrical Lead</t>
  </si>
  <si>
    <t>At the direction of the Superintendent or foreman, the Electrical Lead oversees apprentices or electrical helpers in the electrical installation work for new construction projects including work for new construction projects, running conduit, reading blueprints, and supporting rough-in through energization stages. Oversee with installation electrical wiring, equipment, and fixtures in newly built commercial and light industrial structures across low and medium voltage applications, including feeders, branch circuits, and distribution systems serving lighting, power, and mechanical loads; help to pull wire and cable of various sizes and types, from low-voltage control conductors through medium-voltage feeders, and assist to install associated raceway systems, supports, and terminations; oversees in setting and installing major distribution equipment such as switchgear, switchboards, panelboards, motor control centers, dry-type and pad-mounted transformers, generators, automatic transfer switches, and associated grounding systems. Install lighting fixtures, receptacles, switches, disconnects, and protective devices throughout the building as part of the rough-in and trim-out phases; to run, bend, and secure conduit of all types and sizes used in commercial and industrial construction, including EMT, IMC, rigid steel, PVC, flexible metal, liquid tight, and underground duct banks encased in concrete, using hand benders, mechanical and hydraulic benders, threading equipment, and other power tools to route wiring through framed walls, ceilings, slabs, and below-grade installations before finishes are applied; to read and interpret electrical blueprints, one-line diagrams, riser diagrams, panel schedules, and architectural and mechanical plan sets to coordinate routing, equipment placement, and circuit layouts with other trades during the rough-in phase; oversees in testing, meggering, and verifying newly installed systems and equipment prior to energization, identifying installation issues, and helping implement corrections before inspection. Follow jobsite safety rules by wearing PPE, observing lockout/tagout procedures on temporary and permanent power, and using ladders, lifts, and scaffolding properly around active construction hazards; Handle materials by loading, unloading, and organizing spools of wire and cable, conduit bundles, fittings, gear sections, and power tools delivered to the jobsite; and to support licensed electricians with related tasks such as drilling and coring structural members for box and conduit penetrations, fabricating and installing supports and racks for conduit runs and cable tray, labeling gear and circuits, and assisting with terminations, trim-out, and final punch-list items before rough-in and final inspections. Electrical Lead may also perform substantive electrical work that he oversees as needed. Job Classification: 47-2111.00 - Electricians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12 Special Requirements: Worker may be required to obtain a Texas TDLR license. Employer will assist with any necessary state licensing requirements. The worker must be able to lift and carry up to 50 lbs, work at heights on ladders or lifts, and stand, walk, bend, kneel, and reach overhead for extended periods. The worker must tolerate occasional exterior heat and sun exposure and work around deenergized electrical circuitry. Work must know how to use basic hand and power tools. Work will be performed from Monday through Friday, from 6:00 AM to 3:00 PM. This work schedule includes two 15-minute uninterrupted breaks and one 30-minute lunch break. Number of Hours Per Week: 45 Work Schedule (Start/End time): 6:00 A.M. - 3:00 P.M.</t>
  </si>
  <si>
    <t>H-400-26184-077510</t>
  </si>
  <si>
    <t>M&amp;N Enterprises</t>
  </si>
  <si>
    <t>mandncarnival@gmail.com</t>
  </si>
  <si>
    <t>+16026177694</t>
  </si>
  <si>
    <t>Assist mechanic: maintain carnival equipment; manually sand and prep; clean and lubricate parts; assemble, inspect, and dismantle carnival equipment Job qualifications: Must be able to lift 50 pounds. Heavy lifting and physically mobile required. Travel to all locations required and provided by employer. • No education or experience required. • On-the-job training provided. Job Classification: 49-9098.00 - Helpers--Installation, Maintenance, and Repair Workers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Work hours Hours, schedule, and days vary widely. Typically Mon-Fri 10AM-5PM Often 35-40 hours per week. No over time expected Work needs (i.e., hours, days, schedule, location, and work positions) vary. Work needs (i.e., hours, days, schedule, location, and work positions) vary. Work needs subject to industry practice and are not guaranteed per day, per week, per schedule, per location, or per worker, e.g., rainouts, brief periods without scheduled events, event dates and hours set by agreement with sponsor and subject to change (based upon adverse weather, hours of operation, day of the week, attendance, size of the event, school schedules, amount of equipment in operation, staffing, etc.), and unforeseen cancellations. In the event of approved, overlapping events, work needs may cause workers to be adjusted. Job requirements Post-employment random drug testing and background checks may be required by employer at no cost to the worker. The job requires the applicant to be qualified, authorized, ready, willing, able, and available to perform during the entire employment at the designated worksites under adverse weather; satisfy our verification standards or testing; enter into and comply with any employment contract and housing lease; follow workplace, grievance, and housing rules. The grievance procedure requires workers to report any threats to or failure to satisfy working terms and conditions; and meet job performance standards. Work outside in all weather. The job requires the applicant to obtain and show proof of all necessary government authorizations to work this job, such as an H-2B worker visa for foreign workers. Any H-2B worker visa will be issued by the United States consulate in the home country, and after which the applicant will be regarded as recruited at that time and place. Must cooperate with and complete job application and interview, and any supplied information must be truthful and complete. Must comply with grooming requirements and dress code. Must be willing to work up to 7 days/week. Subject to discharge for cause. Number of Hours Per Week: 35 Work Schedule (Start/End time): 10:00 A.M. - 5:00 P.M.</t>
  </si>
  <si>
    <t>H-400-26184-077494</t>
  </si>
  <si>
    <t>MHI Lawncare and Landscaping LLC</t>
  </si>
  <si>
    <t>mhilawncarelandscapingllc@gmail.com</t>
  </si>
  <si>
    <t>+18282809978</t>
  </si>
  <si>
    <t>Mow, cut, water, edge lawns using mowers, edgers, weed eaters, blowers and varying gardening hand tools; rake and blow leaves; dig holes and trenches with shovels with a mad depth/width of 3ft to plant; pull, chop weeds, prune/shape shrubs and haul top soil and mulch. Plant trees, shrubs and flowers; remove old/dead trees and shrubs, dispose of debris. Involves loading and unloading tools and supplies and equipment weighing up to 50 lbs. Involves working outdoors in all types of weather. Involves extensive standing, sitting or walking. Involves frequent stooping or bending. Involves repetitive movements. In Event of Accident or Suspection of Use/Employer Paid Drug Test. May provide transportation to work as needed if available. Full time employees receive paid holidays for National holidays. Possibility of performance based raise, bonuses, overtime and Saturdays as required. Transportation provided to multiple worksites from central location in Asheville, NC. 0 minutes of unpaid breaks throughout the day. Daily hours may vary between start and end times listed depending on weather or job assignments. Job Classification: 37-3011.00 - Landscaping and Groundskeeping Workers The job/industry classification and description includes general information on the position from ONET/OES and the North American Industry Classification System. Please review Job Duties and Job Order for more information. Job Requirements Experience Required: No Number of Hours Per Week: 40 Work Schedule (Start/End time): 7:00 A.M. - 6:30 P.M.</t>
  </si>
  <si>
    <t>H-400-26184-077496</t>
  </si>
  <si>
    <t>Mirza Investments LLC</t>
  </si>
  <si>
    <t>Taelor Fletcher</t>
  </si>
  <si>
    <t>info@stardustbigbend.com</t>
  </si>
  <si>
    <t>+14328970990</t>
  </si>
  <si>
    <t>Housekeeping</t>
  </si>
  <si>
    <t>Various duties as assigned such as: clean/maintain overnight guest rooms, grounds, bathrooms; change/clean bed linens/towels, strip sheets from beds; mop/vacuum; remove trash; dust; general cleaning; room assistance; deliver guest requests to rooms; washing, drying, and folding of linens and towels. Job Classification: 37-2012.00 - Maids and Housekeeping Cleaners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Mon-Sun. Average 35 hrs/wk. Daytime shift. Schedule/workdays will vary, end times can vary. overtime varies, able to lift 40lbs. Pre-hire background check required;Pre-employment drug testing required. All drug testing is performed without regard to an employees citizenship or immigration status, and all testing is paid for by the company. See the additional document attached for further details about the administration of our drug testing policy. All background checks are performed equally as to U.S. workers and H-2B workers, and all fees are paid for by the company. See the additional document attached for further details about the administration of our background check policy Number of Hours Per Week: 35 Work Schedule (Start/End time): 8:00 A.M. - 4:00 P.M.</t>
  </si>
  <si>
    <t>H-400-26184-077507</t>
  </si>
  <si>
    <t>Myers International Midways Inc</t>
  </si>
  <si>
    <t>myersmidways@yahoo.com</t>
  </si>
  <si>
    <t>+18132990366</t>
  </si>
  <si>
    <t>Assist mechanic: maintain carnival equipment; manually sand and prep; clean and lubricate parts; assemble, inspect, and dismantle carnival equipment Job qualifications: Must be able to lift 50 pounds. Heavy lifting and physically mobile required. Travel to all locations required and provided by employer. • No education or experience required. • On-the-job training provided. Job Classification: 49-9098.00 - Helpers--Installation, Maintenance, and Repair Workers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Work hours Hours, schedule, and days vary widely. Typically, Mon-Fri, 9AM-6PM. No over time expected Often 35-40 hours per week. May go up to 40 hours per week. Work needs (i.e., hours, days, schedule, location, and work positions) vary. Work needs (i.e., hours, days, schedule, location, and work positions) vary. Work needs subject to industry practice and are not guaranteed per day, per week, per schedule, per location, or per worker, e.g., rainouts, brief periods without scheduled events, event dates and hours set by agreement with sponsor and subject to change (based upon adverse weather, hours of operation, day of the week, attendance, size of the event, school schedules, amount of equipment in operation, staffing, etc.), and unforeseen cancellations. In the event of approved, overlapping events, work needs may cause workers to be adjusted. Job requirements Post-employment random drug testing and background checks may be required by employer at no cost to the worker. The job requires the applicant to be qualified, authorized, ready, willing, able, and available to perform during the entire employment at the designated worksites under adverse weather; satisfy our verification standards or testing; enter into and comply with any employment contract and housing lease; follow workplace, grievance, and housing rules. The grievance procedure requires workers to report any threats to or failure to satisfy working terms and conditions; and meet job performance standards. Work outside in all weather. The job requires the applicant to obtain and show proof of all necessary government authorizations to work this job, such as an H-2B worker visa for foreign workers. Any H-2B worker visa will be issued by the United States consulate in the home country, and after which the applicant will be regarded as recruited at that time and place. Must cooperate with and complete job application and interview, and any supplied information must be truthful and complete. Must comply with grooming requirements and dress code. Must be willing to work up to 7 days/week. Subject to discharge for cause. Number of Hours Per Week: 35 Work Schedule (Start/End time): 9:00 A.M. - 6:00 P.M.</t>
  </si>
  <si>
    <t>H-400-26184-077492</t>
  </si>
  <si>
    <t>Newman Seafood, Inc.</t>
  </si>
  <si>
    <t>officeofnewmanseafood@gmail.com</t>
  </si>
  <si>
    <t>+12529261288</t>
  </si>
  <si>
    <t>Crab Processor</t>
  </si>
  <si>
    <t>SOC Code: 51-3093.00 — Food Cooking Machine Operators and Tenders • Steam whole crabs • Cook seafood using steamers/boilers SOC Code: 51-3022 — Meat, Poultry, and Fish Cutters and Trimmers • Clean and pick crabs • Debone and break seafood • Separate meat by size/quality • Prepare seafood for wholesale/retail sale • Clean and sanitize work areas and equipment • Maintain compliance with food safety regulations SOC Code: 53-7064 — Packers and Packagers, Hand • Weigh, count, and measure product • Place seafood in containers • Seal, ice, and pack products • Assemble boxes SOC Code: 53-7062 — Laborers and Freight, Stock, and Material Movers, Hand • Move, dump, and distribute product • Perform dock work • Remove crabs from boats or trucks • Load finished products onto trucks • Use material handling equipment (occasional) • Place raw product on processing tables • Freeze and shovel crabs See attached Addendum. Job Classification: 51-3093.00 - Food Cooking Machine Operators and Tenders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Lift/carry up to 50 pounds. Employer paid drug test is Post Employment, Random. The employer may conduct lawful, job-related screening of applicants, including inquiries into criminal history, where permitted by applicable federal, state, and local laws. Any consideration of criminal history will be conducted on an individualized basis and employment decisions will be made in a nondiscriminatory manner consistent with applicable laws and business necessity. No infectious diseases; seafood allergies may be fatal. Number of Hours Per Week: 35 Work Schedule (Start/End time): 8:00 A.M. - 4:00 P.M.</t>
  </si>
  <si>
    <t>H-400-26184-077498</t>
  </si>
  <si>
    <t>Old Line LLC</t>
  </si>
  <si>
    <t>jimdrew@gmail.com</t>
  </si>
  <si>
    <t>+17068770038</t>
  </si>
  <si>
    <t>Assist mechanic: Help maintain carnival equipment: manually sand and prep; clean and lubricate parts; assemble, inspect, dismantle, and store rides. Job Classification: 49-9098.00 - Helpers--Installation, Maintenance, and Repair Workers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Must pass post-hire drug and background check paid by employer. Must be able to lift 50 pounds. Hours, schedule, and days vary widely. Typically, Mon-Fri, 8am 4:30pm. Often 35-40 hours per week. Overtime not expected. Work needs (i.e., hours, days, schedule, location, and work positions) vary. Job requirements Post-employment random drug testing and background checks may be required by employer at no cost to the worker. The job requires the applicant to be qualified, authorized, ready, willing, able, and available to perform during the entire employment at the designated worksites under adverse weather; satisfy our verification standards or testing; enter into and comply with any employment contract and housing lease; follow workplace, grievance, and housing rules. The grievance procedure requires workers to report any threats to or failure to satisfy working terms and conditions; and meet job performance standards. Work outside in all weather. The job requires the applicant to obtain and show proof of all necessary government authorizations to work this job, such as an H-2B worker visa for foreign workers. Any H-2B worker visa will be issued by the United States consulate in the home country, and after which the applicant will be regarded as recruited at that time and place. Must cooperate with and complete job application and interview, and any supplied information must be truthful and complete. Must comply with grooming requirements and dress code. Must be willing to work up to 7 days/week. Subject to discharge for cause. Number of Hours Per Week: 35 Work Schedule (Start/End time): 8:00 A.M. - 4:30 P.M.</t>
  </si>
  <si>
    <t>H-400-26184-077525</t>
  </si>
  <si>
    <t>Oyster Delicacy, LLC</t>
  </si>
  <si>
    <t>oysterdelicacyla@gmail.com</t>
  </si>
  <si>
    <t>+19852275461</t>
  </si>
  <si>
    <t>Seasonal Oyster Plant Workers</t>
  </si>
  <si>
    <t>Oyster Delicacy, LLC seeks fifty-five (55) temporary full-time Seasonal Oyster Plant Workers to work in the employer's oyster processing facility located at 4889 W. Main Street, Houma, Louisiana 70360, Terrebonne Parish. Employment is temporary and will begin on October 1, 2026, through June 1, 2027. Employees will work 40 hours per week, with no overtime anticipated, and will be paid weekly. Duties: Workers will sort incoming live oysters using shaking tables or by hand, separating oysters according to size, shell color, and overall condition. Selected workers will shuck oysters by hand using oyster knives and other manual extraction tools, carefully removing the edible meat from the shells. Oyster meat will then be weighed, placed into containers, sealed, and labeled for shipment and distribution. Other workers will clean whole oysters using pressurized washers, brushes, or rotating cleaning equipment to remove algae, mud, and other debris from shell surfaces. After cleaning and processing, oysters and oyster meat will be packed into containers, insulated ice chests, or shipping boxes for transportation to wholesale buyers, restaurants, retailers, and industrial customers. Workers will operate pallet jacks and hand trucks to move oysters, oyster meat, packaging materials, and finished products throughout the processing facility. Workers may rotate among assigned duties throughout the workday based on production needs. All workers must follow food safety, sanitation, and workplace safety procedures and wear employer-provided personal protective equipment, including gloves, aprons, and safety glasses. The employer will use a single workweek as its standard for computing wages due. The wage offered will equal or exceed the highest applicable prevailing wage or the Federal, State, or local minimum wage, as required by law. The employer will reimburse H-2B workers in the first workweek for all visa, visa processing, border crossing, and other government-required fees (excluding passport fees). Transportation and daily subsistence from the place from which the worker comes to work for the employer will be provided or reimbursed, consistent with applicable H-2B regulations. Upon completion of the work contract, or if the worker is dismissed early for reasons other than misconduct or voluntary abandonment, the employer will provide or pay the reasonable cost of return transportation and daily subsistence to the place from which the worker originally departed to work for the employer or to the worker's next H-2B employer, when applicable. Transportation reimbursement will be based upon the most economical and reasonable common carrier available. Daily subsistence during travel will be paid at a rate of at least $16.78 per day, up to $68.00 per day with receipts, as permitted by applicable regulations. All deductions required by law will be made from workers' paychecks. The employer will have furnished lodging available at 4903 W. Main Street, Houma, Louisiana 70360, with fully equipped kitchens where workers may prepare their own meals. Workers who voluntarily choose to reside in the employer-provided lodging will pay $160.00 per month, utilities included, through payroll deduction. Workers who choose not to reside in the employer-provided lodging and instead secure their own housing will not have this deduction made from their paychecks. Public transportation is available to the employer's designated central pickup location at 337 Broadway Avenue, Schriever, Louisiana 70395 for workers who choose not to reside in the employer-provided lodging. The employer will provide daily transportation at no cost to workers between the employer-provided lodging or the designated central pickup location and the worksite, with return transportation provided at the end of each workday. The employer will also provide transportation to workers on Saturdays to the grocery stores to purchase their groceries for the week at no cost. Job Classification: 51-9192.00 - Cleaning, Washing, and Metal Pickling Equipment Operators and Tenders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Applicants must possess a minimum of three (3) months of work-related experience in a related position. No formal education is required. Workers must be able to stand for extended periods, perform repetitive hand movements, frequently bend, stoop, and lift and carry up to 50 pounds. Work is performed indoors in a cold, wet seafood processing facility where workers will process oyster products while complying with all food safety, sanitation, and workplace safety requirements. Workers must be willing and able to work rotating shifts, including: Monday through Friday: Seven (7) hour shifts (6:00 a.m. to 2:00 p.m.; 2:00 p.m. to 10:00 p.m.; or 10:00 p.m. to 6:00 a.m.). Saturday: Five (5) hour shifts (6:00 a.m. to 11:00 a.m.; 11:00 a.m. to 4:00 p.m.; 4:00 p.m. to 9:00 p.m.; 9:00 p.m. to 2:00 a.m.; or 2:00 a.m. to 7:00 a.m.). All individuals hired, including U.S. workers and H-2B workers, must complete Form I-9 and provide documentation establishing identity and employment authorization in the United States, as required by federal law. Workers must be available for the entire period of employment. Number of Hours Per Week: 40 Work Schedule (Start/End time): 10:00 P.M. - 6:00 A.M.</t>
  </si>
  <si>
    <t>H-400-26184-077474</t>
  </si>
  <si>
    <t>Patrick Murphy</t>
  </si>
  <si>
    <t>Vanessa Ryman</t>
  </si>
  <si>
    <t>irldesigns2@optonline.net</t>
  </si>
  <si>
    <t>+12017681577</t>
  </si>
  <si>
    <t>Mow, trim, edge, water lawns and flower beds; Spring clean up (form new edges around shrub border beds; prune/trim where necessary, power rake, dethatch lawn areas, spot seeding, remove all debris and dump), Fall clean up (remove all leaves from property), weed, plant, spread mulch; rake, blow leaves. Job Classification: 37-3011.00 - Landscaping and Groundskeeping Workers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Pre-hire background check required; Random drug testing during employment. Able to lift 75lbs. Monday-Friday, schedule varies, overtime varies. All drug testing is performed without regard to an employees citizenship or immigration status, and all testing is paid for by the company. See the additional document attached for further details about the administration of our drug testing policy. All background checks are performed equally as to U.S. workers and H-2B workers, and all fees are paid for by the company. See the additional document attached for further details about the administration of our background check policy. Number of Hours Per Week: 40 Work Schedule (Start/End time): 7:00 A.M. - 4:00 P.M.</t>
  </si>
  <si>
    <t>H-400-26184-077536</t>
  </si>
  <si>
    <t>Ruidoso Hospitality Inc.</t>
  </si>
  <si>
    <t>Under the supervision of the general manager, housekeepers will perform a variety of cleaning and maintenance tasks to ensure guest rooms and common areas meet established lodging health and sanitation standards. Duties include keeping storage areas and housekeeping carts well-stocked, clean, and organized; carrying linens, towels, toiletries, and cleaning supplies using wheeled carts; and cleaning guestrooms, bathrooms, hallways, lobbies, lounges, restrooms, elevators, stairways, and locker rooms using brooms, mops, dusters, microfiber cloths, disinfectant solutions, vacuum cleaners, and powered floor scrubbers. Workers will empty wastebaskets and transport trash to disposal areas; sweep, scrub, wax, or polish floors; clean and shampoo rugs and carpets; wash windows, walls, ceilings, and woodwork; dust and polish furniture, fixtures, and equipment; and replace light bulbs. Laundry-related tasks include sorting, loading, and unloading linens and towels using commercial washers and dryers; folding and organizing clean laundry; and stocking linen closets. Workers will make beds, move and arrange lightweight furniture, turn mattresses, and hang draperies or clean window blinds. Workers may deliver guest-requested items such as rollaway beds, baby cribs, televisions, or ironing boards; report room damage or lost-and-found items; and assist with basic preparation of rooms or common areas for meetings or events. Workers must follow company safety and sanitation procedures and perform other related housekeeping duties as assigned. Job Classification: 37-2011.00 - Janitors and Cleaners, Except Maids and Housekeeping Cleaners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1 Special Requirements: Housekeeper must be able to lift up to 65 lbs., stand for extended periods of time, bend, stretch, twist, and reach with the body, arms, and legs as needed. Number of Hours Per Week: 40 Work Schedule (Start/End time): 9:00 A.M. - 5:00 P.M.</t>
  </si>
  <si>
    <t>H-400-26185-078604</t>
  </si>
  <si>
    <t>Welder</t>
  </si>
  <si>
    <t>Weld metal pipe and plate components in flat, vertical, or overhead positions for Industrial structural and pipe applications as defined by project specifications, drawings, and welding procedures. Properly set up, utilize, troubleshoot, and operate welding equipment, experience with FCAW (flux core arc welding), RMD (regulated metal deposition), GTAW (Gas Tungsten Arc Welding), and SMAW (Shielded Metal Arc Welding) processes. Lay out, fit, position, align, and secure parts and components prior to assembly, using straightedges, combination squares, calipers, flange lip up pins, wrap arounds, center finders, and rulers. Clamp, hold, tack-weld, heal-bend, grind, or bolt component parts to properly fit plate and pipe to obtain required configuration and positions for welding. Must weld with minimal defects as defined in ASME B31.3. Adhere and comply with all company and OSHA safety rules and guidelines. Read and interpret blueprints, drawings, and specifications to determine the appropriate welding process and materials. The employer will offer a minimum of 40 hours of work per week. Worker will work one of two shifts: 7:00am-3:30pm or 3:30pm to 12:00am on varying days of the week from Monday through Sunday based on client need. Shifts include 30 minutes unpaid break time. Workdays, hours, and shift time may vary depending on weather. Employer may increase wage or offer bonus based on experience, performance, tenure, and/or market conditions. If applicable an overtime premium will be paid when required by Federal, State, or local law, including at time-and-a-half after 40 hours per workweek. Overtime hours may be available at $39.83 per hour. Job Classification: 51-4121.00 - Welders, Cutters, Solderers, and Brazers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12 Special Requirements: Pre-employment drug test required, cost paid by employer and applied equally to all workers. Pre-employment medical physical required, cost paid by employer and applied equally to all workers. Must pass a written and functional test administrated at the project worksite in Texas at employer's expense. Must be able to lift and/or move a minimum of 50 lbs. Must be willing and able to climb and work in high places that may exceed 200 feet in height, and in confined spaces. Applicant must complete an employment application. Number of Hours Per Week: 40 Work Schedule (Start/End time): 7:00 A.M. - 3:30 P.M.</t>
  </si>
  <si>
    <t>H-400-26184-077519</t>
  </si>
  <si>
    <t>SOUTH HILLS STONE</t>
  </si>
  <si>
    <t>southhillsstone@gmail.com</t>
  </si>
  <si>
    <t>+12086508437</t>
  </si>
  <si>
    <t>Stone Splitter</t>
  </si>
  <si>
    <t>Stone Splitter Applicant must be of strong physical character, and display strength and dexterity in both arms and hands, exhibit trunk strength using abdominal and lower back muscles continually over time, as well as be able to spend the majority of the workday standing without giving out. Repeated heavy lifting is required. Position requires the ability to understand and follow verbal and written directions with exactness and integrity. No experience or prior training/education required. Employees will work in teams of 2-4 people. Teams are trained and supervised by production manager. Employees will work indoors. Each team will receive stone delivered in bulk by truck or loader and placed in their working area. Each team will work to process the stone delivered to them by: Job Duty Process • Split, separate or trim stone layers as needed to fit grading specifications using hammers, chisels and bars. • Sorting stones by size, shape, and color Processed Stone is put in stacks and inspected by quality control supervisor prior to packaging teams putting into pallets. Employees are required to follow established safety program including use of safety glasses, steel toed boots, protective gloves, and hearing protection. All PPE provided by employer. Job Classification: 51-9195.03 - Stone Cutters and Carvers, Manufacturing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On the job training provided. Number of Hours Per Week: 40 Work Schedule (Start/End time): 8:00 A.M. - 5:00 P.M.</t>
  </si>
  <si>
    <t>H-400-26184-077530</t>
  </si>
  <si>
    <t>Hand Packers and Packagers</t>
  </si>
  <si>
    <t>Packers and Packagers, Hand Applicant must be of strong physical character, and display strength and dexterity in both arms and hands, exhibit trunk strength using abdominal and lower back muscles continually over time, as well as be able to spend the majority of the workday standing without giving out. Repeated heavy lifting is required. Position requires the ability to understand and follow verbal and written directions with exactness and integrity. No experience or prior training/education required. Employees will work in teams of 2-4 people. Teams are trained and supervised by production manager. Employees will work indoors. Each team will receive stone delivered in bulk by truck or loader and placed in their working area. Each team will work to package the stone delivered to them by: Job Duty Process • Sorting stones by size, shape, and color • Stack stones on pallets or in crates according to product specifications • Wrap crates or pallets with wire or shrink wrap • Secure stone and wire by wrapping with poly or steel strapping according to specifications • Tighten strapping and secure using strapping seals and strapping pliers Completed packages, pallets, or crates are removed and inspected by quality control supervisor. Employees are required to follow established safety program including use of safety glasses, steel toed boots, protective gloves, and hearing protection. All PPE provided by employer. Job Classification: 53-7064.00 - Packers and Packagers, Hand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On the job training provided. Number of Hours Per Week: 40 Work Schedule (Start/End time): 8:00 A.M. - 5:00 P.M.</t>
  </si>
  <si>
    <t>H-400-26184-077515</t>
  </si>
  <si>
    <t>Southern Horticulture Group, LLC</t>
  </si>
  <si>
    <t>giovanni@southern-group.com</t>
  </si>
  <si>
    <t>+18036598110</t>
  </si>
  <si>
    <t>Landscaping Crew Member</t>
  </si>
  <si>
    <t>Landscape or maintain grounds of property using hand or power tools or equipment. Workers typically perform a variety of tasks, which may include any combination of the following: sod laying, mowing, mulching, trimming, pruning, planting, watering, fertilizing, digging, leaf blowing, raking and assists with sprinkler repairs. Job Classification: 37-3011.00 - Landscaping and Groundskeeping Workers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Monday-Friday, Start and end times may vary. Saturdays are optional when necessary, overtime varies, Random drug testing during employment;Drug testing during employment for cause;Post-Accident Drug Testing, Able to lift 50lbs, must be able to physically perform tasks with hands above shoulder level. 3 months experience required in landscape services. All drug testing is performed without regard to an employees citizenship or immigration status, and all testing is paid for by the company. See the additional document attached for further details about the administration of our drug testing policy. Number of Hours Per Week: 40 Work Schedule (Start/End time): 7:00 A.M. - 4:00 P.M.</t>
  </si>
  <si>
    <t>H-400-26184-077506</t>
  </si>
  <si>
    <t>Spectaculars Incorporated</t>
  </si>
  <si>
    <t>spectacularsinc@gmail.com</t>
  </si>
  <si>
    <t>+12105732219</t>
  </si>
  <si>
    <t>Assist mechanic: Help maintain carnival equipment: manually sand and prep; clean and lubricate parts; assemble, inspect, dismantle, and store carnival equipment. Job qualifications: Must be able to lift 50 pounds. Heavy lifting and physically mobile required. Travel to all locations required and provided by employer. • No education required. • 3 months verifiable maintenance experience required • On-the-job training provided. Job Classification: 49-9098.00 - Helpers--Installation, Maintenance, and Repair Workers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Work hours Hours, schedule, and days vary widely. Typically, Mon-Fri, 8:30AM-5PM. No over time expected Often 35-40 hours per week. Work needs (i.e., hours, days, schedule, location, and work positions) vary. Work needs subject to industry practice and are not guaranteed per day, per week, per schedule, per location, or per worker, e.g., rainouts, brief periods without scheduled events, event dates and hours set by agreement with sponsor and subject to change (based upon adverse weather, hours of operation, day of the week, attendance, size of the event, school schedules, amount of equipment in operation, staffing, etc., and unforeseen cancellations. In the event of approved, overlapping events, work needs may cause workers to be adjusted. Job requirements Post-employment random drug testing and background checks may be required by employer at no cost to the worker. The job requires the applicant to be qualified, authorized, ready, willing, able, and available to perform during the entire employment at the designated worksites under adverse weather; satisfy our verification standards or testing; enter into and comply with any employment contract and housing lease; follow workplace, grievance, and housing rules. The grievance procedure requires workers to report any threats to or failure to satisfy working terms and conditions; and meet job performance standards. Work outside in all weather. The job requires the applicant to obtain and show proof of all necessary government authorizations to work this job, such as an H-2B worker visa for foreign workers. Any H-2B worker visa will be issued by the United States consulate in the home country, and after which the applicant will be regarded as recruited at that time and place. Must cooperate with and complete job application and interview, and any supplied information must be truthful and complete. Must comply with grooming requirements and dress code. Must be willing to work up to 7 days/week. Subject to discharge for cause. Number of Hours Per Week: 35 Work Schedule (Start/End time): 8:30 A.M. - 5:00 P.M.</t>
  </si>
  <si>
    <t>H-400-26184-077521</t>
  </si>
  <si>
    <t>Stone Pro INC</t>
  </si>
  <si>
    <t>jmanning@stonepromasonry.com</t>
  </si>
  <si>
    <t>+17155141113</t>
  </si>
  <si>
    <t>**RFI Response** The employee will remove snow by shoveling and plowing snow from walkways, sidewalks, driveways or parking lots. Spread salt on cleared areas to ensure ice melting. The employee will use snow shovels and snow brooms to push and move snow away from walking and driving areas. Operate skid steers such as the Bobcat 5630 with attachments such as plows and pushers to push snow. Use snow blowers such as a Honda 13HP 32 inch two stage track drive snow blower or Ariens Snow Blower 200. Operate pickup trucks with snow plow attachment. These job duties fall under the ONET code for landscaping and groundskeeping workers, 37-3011.00 with tasks of "Operate vehicles or powered equipment, such as...snow blowers" and "Shovel snow from walks, driveways, or parking lots, and spread salt in those areas." **Original Response** Shovel and plow snow from walks, driveways or parking lots and spread salt in those areas. Use hand tools such as shovels and brooms. Operate vehicles or powered equipment such as a skid loader. Job Classification: 47-4051.00 - Highway Maintenance Workers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MUST BE ABLE TO LIFT AND CARRY 50 POUNDS. APPROXIMATELY 40 HOURS WEEK, MONDAY-SUNDAY, DEPENDING ON WEATHER CONDITIONS, WITH TWO DAYS OFF. SHIFT VARIES BASED ON WEATHER CONDITIONS. Number of Hours Per Week: 40 Work Schedule (Start/End time): 8:00 A.M. - 5:00 P.M.</t>
  </si>
  <si>
    <t>H-400-26184-077488</t>
  </si>
  <si>
    <t>Stone Pro Inc.</t>
  </si>
  <si>
    <t>+17152711483</t>
  </si>
  <si>
    <t>Help carpenters by performing duties requiring less skill. Carry tools and wood. Make simple wood cuts. Nail simple lumber pieces. Construct wood forms, ensuring they are aligned, straightened, plumb or square for installation. Assist in raising wood forms to the required elevation. Position wood forms. Secure stakes to grids for constructions of footings, nail scabs to footing forms, place concrete in forms and vibrate and float concrete. Job Classification: 47-3012.00 - Helpers--Carpenters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MUST BE ABLE TO LIFT AND CARRY 80 POUNDS 20 YARDS. APPROXIMATELY 40 HOURS/WEEK, MONDAY-FRIDAY, WITH SATURDAY WORK AS NEEDED. AGE: 18 OR OLDER REQUIRED. Number of Hours Per Week: 40 Work Schedule (Start/End time): 7:00 A.M. - 3:00 P.M.</t>
  </si>
  <si>
    <t>H-400-26184-077493</t>
  </si>
  <si>
    <t>Tend pumps, compressors, or generators to provide power for tools, machinery, or equipment or to heat or move materials, such as asphalt. Lubricate, clean, or repair machinery, equipment, or tools. Measure site where construction work will be performed. Clean or prepare construction sites to eliminate possible hazards. Dig ditches or trenches, backfill excavations, or compact and level earth to grade specifications, using picks, shovels, pneumatic tampers, or rakes. Load, unload, or identify building materials, machinery, or tools, distributing them to the appropriate locations, according to project plans or specifications. Position, join, align, or seal structural components, such as concrete wall sections or pipes. Control traffic passing near, in, or around work zones. Assist in smoothing or finishing freshly poured cement or concrete, using floats, trowels, screeds, or powered cement finishing tools. Erect or dismantle scaffolding, shoring, braces, traffic barricades, ramps, or other temporary structures. Provide assistance to craft workers, such as carpenters, plasterers, or masons. Mop, brush, or spread paints, cleaning solutions, or other compounds over surfaces to clean them or to provide protection. Position or dismantle forms for pouring concrete, using saws, hammers, nails, or bolts. Grind, scrape, sand, or polish surfaces, such as concrete, marble, terrazzo, or wood flooring, using abrasive tools or machines. Place, consolidate, or protect cast-in-place concrete or masonry structures. Mix, pour, or spread concrete, using portable cement mixers. Operate jackhammers or drills to break up concrete or pavement. Apply caulking compounds by hand or caulking guns to protect against entry of water or air. Job Classification: 47-2051.00 - Cement Masons and Concrete Finishers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MUST BE ABLE TO LIFT AND CARRY 80 POUNDS 20 YARDS. APPROXIMATELY 40 HOURS/WEEK, MONDAY-FRIDAY, WITH SATURDAY WORK AS NEEDED. AGE: 18 OR OLDER REQUIRED. Number of Hours Per Week: 40 Work Schedule (Start/End time): 7:00 A.M. - 3:00 P.M.</t>
  </si>
  <si>
    <t>H-400-26184-077487</t>
  </si>
  <si>
    <t>Summit LSG LLC</t>
  </si>
  <si>
    <t>ianvollers@gmail.com</t>
  </si>
  <si>
    <t>+14327777866</t>
  </si>
  <si>
    <t>Clean rooms, remove dirty linens and towels, trash. Make the bed with clean linens and blankets, dust, wipe down furniture, remove debris. Vacuum, sweep and mop entire floor area. Clean bathrooms such as toilet, sink, shower, vanity and floors. Restock storage room and carts such as towels, amenities, trash bags and collateral Job Classification: 37-2012.00 - Maids and Housekeeping Cleaners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Able to lift 25lbs, Monday-Sunday, Rotating schedule, average 40 hrs/week, schedule varies, overtime varies Number of Hours Per Week: 40 Work Schedule (Start/End time): 9:00 A.M. - 4:00 P.M.</t>
  </si>
  <si>
    <t>H-400-26184-077529</t>
  </si>
  <si>
    <t>Sun Valley Ski Education Foundation</t>
  </si>
  <si>
    <t>scott@svsef.org</t>
  </si>
  <si>
    <t>+12087203829</t>
  </si>
  <si>
    <t>Fis Assistant Coach</t>
  </si>
  <si>
    <t>Sun Valley Ski Education Found (SVSEF), a competition and training program for winter sport programs (Alpine Ski Racing, Freeride, Cross-country, Snowboard, etc.), located in Ketchum, Idaho, seeks full-time, seasonal FIS Assistant Coaches to coach SVSEF FIS athletes during ski season (ends in the end of April). The FIS Assistant Coach will assist the FIS Head Coach to train FIS athletes during ski season, including driving the athletes to ski races. Detailed responsibilities include: General Responsibilities: • Assist the Head Coach(s) in successful implementation of the team plan in all areas. • Teach the art of skiing and ski racing with appropriate age-appropriate teaching methods. • Treat with respect all athletes, parents, coaches, SVSEF personnel. • Be professional, be punctual and well prepared for each day. • Innovative and takes action when something needs done – does not wait or need to be asked. • Is responsible and takes care of all team equipment. • Attends weekly team planning and coaches meetings • Work to ensure all team rules and philosophies are adhered to. • Present a professional and positive image of the team when interacting in the community on and off the job. • Performs other related duties as required. Specific Responsibilities: • Responsible for assisting in managing, guiding, and mentoring SVSEF FIS athletes. • Be consistent in messaging SVSEF FIS team athlete expectations with regard to attendance, work ethic, and sportsmanship. • To assist Head FIS coach(s) with intents, entries, and competition planning as needed. • To work with Western Region to maintain a solid relationship between the region and the SVSEF. • To assist head coaches with mid and end of season athlete evaluations as outlined by SVSEF. • Work closely and in coordination with SVSEF FIS Coaching Staff throughout the season. Bring issues and questions to leadership personnel as quickly as possible so resolution can be obtained and prevent misunderstandings or miscommunication from occurring. • Assist with the races conducted at Sun Valley Resort. • Assist athletes/parents in the selection, sizing and acquisition of equipment. • Video and video review • Placing video on Sprongo • Taking care of team equipment and notifying head coach if maintenance / replacement is needed • Wax room oversight and assisting athletes on the road • Responsible for looking after athletes on the road including but not limited to redirecting poor decision making, in rooms at appropriate time, following instructions, being safe and respectful etc. o Room checks while on the road. • Taking care of vans and other company vehicles and trailers while on the road • Ensure professional and efficient athlete and race management while on the road making sure SVSEF athletes are getting everything they need to perform well. • Engaging athletes regularly checking in with them on their well-being, goals, etc. Some of this formally most informally when the chance arrives. • FIS Coaches may have additional responsibilities due to team needs and personal skills / interests as per Head Coaches instructions. • FIS coaches should work together in close coordination with each other as a coaching staff making sure that all team needs are being fulfilled. Job Classification: 27-2022.00 - Coaches and Scouts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24 Special Requirements: Current USSS Level 200 Certification or equivalent is required. Experience coaching FIS level athletes. Applicant must complete pre-employment background check and be able to provide at least two references for prior work experience. Be able to communicate in English. Can lift up to fifty pounds. Clean driving record and valid driver's license. Number of Hours Per Week: 38 Work Schedule (Start/End time): 10:00 A.M. - 5:00 P.M.</t>
  </si>
  <si>
    <t>H-400-26184-077518</t>
  </si>
  <si>
    <t>Van Horn Lodging LLC</t>
  </si>
  <si>
    <t>Van Horn Lodging LLC, D/B/A: Hampton Inn Vanhorn., located at 1921 SW Frontage Rd, Van Horn, TX 79855; Phone Number: 575 937-3411 is looking to fill 14 Housekeeper positions from October 1, 2026 to January 15, 2027. This is for temporary, full-time peakload employment. Duties include: Under the supervision of the general manager, housekeepers will perform a variety of cleaning and maintenance tasks to ensure guest rooms and common areas meet established lodging health and sanitation standards. Duties include keeping storage areas and housekeeping carts well-stocked, clean, and organized; carrying linens, towels, toiletries, and cleaning supplies using wheeled carts; and cleaning guestrooms, bathrooms, hallways, lobbies, lounges, restrooms, elevators, stairways, and locker rooms using brooms, mops, dusters, microfiber cloths, disinfectant solutions, vacuum cleaners, and powered floor scrubbers. Workers will empty wastebaskets and transport trash to disposal areas; sweep, scrub, wax, or polish floors; clean and shampoo rugs and carpets; wash windows, walls, ceilings, and woodwork; dust and polish furniture, fixtures, and equipment; and replace light bulbs. Laundry-related tasks include sorting, loading, and unloading linens and towels using commercial washers and dryers; folding and organizing clean laundry; and stocking linen closets. Workers will make beds, move and arrange lightweight furniture, turn mattresses, and hang draperies or clean window blinds. Workers may deliver guest-requested items such as rollaway beds, baby cribs, televisions, or ironing boards; report room damage or lost-and-found items; and assist with basic preparation of rooms or common areas for meetings or events. Workers must follow company safety and sanitation procedures and perform other related housekeeping duties as assigned. Job Classification: 37-2011.00 - Janitors and Cleaners, Except Maids and Housekeeping Cleaners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1 Special Requirements: Housekeeper must be able to lift up to 65 lbs., stand for extended periods of time, bend, stretch, twist, and reach with the body, arms, and legs as needed. Number of Hours Per Week: 40 Work Schedule (Start/End time): 9:00 A.M. - 5:00 P.M.</t>
  </si>
  <si>
    <t>H-400-26184-077505</t>
  </si>
  <si>
    <t>Wavy Ticket, LLC</t>
  </si>
  <si>
    <t>madisonkissel@yahoo.com</t>
  </si>
  <si>
    <t>+15138270886</t>
  </si>
  <si>
    <t>H-400-26184-077590</t>
  </si>
  <si>
    <t>Apollo Investments, Inc.</t>
  </si>
  <si>
    <t>Annalee Patel</t>
  </si>
  <si>
    <t>brian@photogenicgarden.com</t>
  </si>
  <si>
    <t>+14025703512</t>
  </si>
  <si>
    <t>Responsible for the cultivation and care of the landscaping and grounds surrounding residential or commercial buildings. Workers will be using hand tools such as shovels, wheelbarrows, tampers, mallets, and levels to assist with the installation of retaining walls. No use of mortar will be needed to install retaining walls. Perform landscaping maintenance activities using equipment such as lawn mowers and edgers. Install plant materials; mow and edge lawns. Maintain and care for established lawns. Assist with installation of retaining walls, outdoor equipment, rock gardens and decks. Workers will perform landscaping and groundskeeping duties for residential properties. Duties include mowing, edging, trimming, planting, watering, mulching, weeding, debris removal, and general grounds maintenance using lawn mowers, edgers, string trimmers, hedge trimmers, leaf blowers, shovels, rakes, and wheelbarrows. Workers will create and maintain rock gardens by clearing and preparing designated areas, digging, building berms as needed, transporting and distributing rocks, soil, mulch, and plant materials, and installing edging and ground cover. Tools and equipment used include shovels and wheelbarrows. Materials include rocks, soil, mulch, and plant stock. Workers will assist with the installation of retaining walls by preparing and grading the work area, excavating and leveling wall footprints, transporting and positioning wall materials, backfilling completed sections, and compacting soil and aggregate. Tools and equipment used include shovels, wheelbarrows, levels, measuring tapes, tampers, and rubber mallets. Materials include retaining wall blocks, aggregate base materials, soil, and backfill materials. Workers will prepare sites for patio installations by excavating and grading areas, backfilling and leveling limestone chips, compacting the base, setting patio stones, and restoring surrounding landscape areas with sod. Tools and equipment used include shovels, wheelbarrows, levels, measuring tapes, tampers, and rubber mallets. Materials include limestone chips, patio stones, and sod. Workers will assist with the installation of outdoor landscape features, including water features, fire pits, and landscape lighting. Duties for water features include excavating ponds and streambeds, shaping ground contours, installing waterproof liners, positioning pumps and hoses, and placing rocks and ground cover around completed features. Duties for fire pits include preparing the site, digging trenches for gas lines, positioning fire pit components, and restoring surrounding landscape areas. Duties for landscape lighting include digging shallow trenches, burying electrical wire, connecting landscape lighting fixtures, and installing control timers. Licensed electricians and plumbers perform all required electrical and gas-line connections. Tools and equipment used include shovels, wheelbarrows, measuring tapes, wire stripping tools, and wire nuts. Materials include waterproof pond liners, water pumps, hoses, fire pit components, electrical wire, dielectric waterproof wire nuts, landscape lighting fixtures, rocks, soil, and mulch. Workers will also assist with deck installation by preparing and grading the work area, moving and staging deck materials, measuring layout areas, assisting with placement and alignment of deck components, restoring surrounding landscape areas, and performing final site cleanup. Tools and equipment used include shovels, wheelbarrows, levels, measuring tapes, tampers, and rubber mallets. Materials include decking materials, lumber, fasteners, soil, mulch, and sod. Workers will perform all duties under close supervision and in accordance with employer safety standards. Job Classification: 47-4091.00 - Segmental Pavers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1 Special Requirements: This position requires one (1) month of lawn care and maintenance or related experience. Workers must be able to lift and carry up to 75 pounds and perform physical work. The work schedule is as follows: 45 hour per week from Monday Saturday Mon.-Fri.: 7:00 AM - 7:00 PM Sat.: 7:00 AM-12:00 PM Number of Hours Per Week: 45 Work Schedule (Start/End time): 7:00 A.M. - 7:00 P.M.</t>
  </si>
  <si>
    <t>H-400-26184-077564</t>
  </si>
  <si>
    <t>Central Texas Wholesale Nursery LLC</t>
  </si>
  <si>
    <t>Robert Kershaw</t>
  </si>
  <si>
    <t>tgpconst@gmail.com</t>
  </si>
  <si>
    <t>+15126160221</t>
  </si>
  <si>
    <t>Qualified Winter Landscape Laborer</t>
  </si>
  <si>
    <t>Job Duties: Position offered is for an experienced landscape laborer with a minimum of three (3) months job-related experience in landscape labor who is able to work with and model company landscaping methods and procedures with up to 3 peers, removal and trimming of trees and bushes from the ground; raking and cleaning up ground, leaf removal, and leftover debris; disposal of brush, limbs, and trees; winter landscape planting including hollies and other evergreens, spreading mulch; winterizing plants and trees to protect from freezes with winter maintenance of yards with drainage control; annual winter color installs; property wide mulch installation, application and fertilization to protect plants, winterization and draining of sprinkler systems. Loading and unloading of materials and equipment. Lifting required up to 50 pounds. Work performed on local area jobsites with employer provided transportation to and from the jobsites from a centralized pickup location in the specified area of employment. Job Classification: 37-3011.00 - Landscaping and Groundskeeping Workers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None. Number of Hours Per Week: 40 Work Schedule (Start/End time): 8:00 A.M. - 5:00 P.M.</t>
  </si>
  <si>
    <t>H-400-26184-077553</t>
  </si>
  <si>
    <t>Champlain Orchards, Inc.</t>
  </si>
  <si>
    <t>marketing@champlainorchards.com</t>
  </si>
  <si>
    <t>+18028637676</t>
  </si>
  <si>
    <t>Cellar Worker</t>
  </si>
  <si>
    <t>Produce hard cider in accordance with company standards for food safety, proper food handling practices and sanitation; Ensure that all Federal and State Regulations and standards for product freshness, food safety, weights and measures, store safety, employee safety, refrigeration, and sanitation are met; follow instructions provided by the Hard Cider Maker, conforming to the schedule of tasks given by the same; Scrub and sanitize all production, inventory areas and equipment of hard cider production in accordance with GAP and HACCP requirements. This includes receiving juice and measuring the volume with a flow meter; monitoring fermentations with a hydrometer; making fermentation additions (yeast, nutrients, etc.), blending, filtering and carbonating under the supervision of the Hard Cider Maker, and palletizing finished product off the canning line. Tools, Equipment, and Materials Used: Flow meter, Hydrometer, Fermentation tanks and vessels, Yeast and fermentation nutrients, Filtration equipment, and Carbonation equipment. Wage: Basic wage rate is $27.90/hr. An overtime premium at the rate of, $41.85/hr., will be paid when required by Federal, State, or local law, including at time-and-a-half after 40 hours in a work week. The employer may offer raises/bonuses to temporary employees hired under this job order, at the company's sole discretion, based on individual factors such as performance, skill, and job tenure. Wages will be calculated based on a single workweek. Employees will be paid weekly. Schedule: Must be able to work any 8-hour shift between the hours of 8am to 10 pm any day of the week, days off rotate. Shifts will vary, but an average scheduled workday can be from 8AM to 4, Mon-Fri. The expected work schedule is approximately 40 hours per week. The employer may offer more hours than specified, depending on company needs, and other conditions. On-the-job training is available. If required, the employer will provide company-exclusive uniforms and, at no charge, the tools, supplies, and equipment necessary to perform the assigned jobs. Job Classification: 51-9012.00 - Separating, Filtering, Clarifying, Precipitating, and Still Machine Setters, Operators, and Tenders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12 Special Requirements: Experience/Special Requirements: Must have a minimum of 12 months experience in cidery, brewery, winery or related industries. Weekends and nights are required. The individual must be able to stand for long periods of time; be able to lift, stack and maneuver objects. Number of Hours Per Week: 40 Work Schedule (Start/End time): 8:00 A.M. - 4:00 P.M.</t>
  </si>
  <si>
    <t>H-400-26184-077581</t>
  </si>
  <si>
    <t>Cherie Devaux Racing Inc</t>
  </si>
  <si>
    <t>William Velie</t>
  </si>
  <si>
    <t>achandler@devauxracing.com</t>
  </si>
  <si>
    <t>+15182226853</t>
  </si>
  <si>
    <t>Thoroughbred Racehorse Groom</t>
  </si>
  <si>
    <t>Attends to the overall care of thoroughbred race horses including feeding, watering, maintenance of stalls and rack, cleaning, brushing, exercising, trimming of horses, disinfecting stalls and bedding, administration of meds as directed, inspection of horses physical condition. Will lift legs and clean horse's feet and apply liniments and bandages to legs as required. Will care for 1-5 horses at a time. Split shift 5AM to 11AM and 3PM to 5PM. Days off Rotates. Job Classification: 39-2021.00 - Animal Caretakers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1 Special Requirements: Must be able to lift 50 Lbs Number of Hours Per Week: 56 Work Schedule (Start/End time): 5:00 A.M. - 5:00 P.M.</t>
  </si>
  <si>
    <t>H-400-26184-077542</t>
  </si>
  <si>
    <t>County Road Seafood LLC</t>
  </si>
  <si>
    <t>countyroadseafood@gmail.com</t>
  </si>
  <si>
    <t>+12524948125</t>
  </si>
  <si>
    <t>SOC Code: 51-3022 — Meat, Poultry, and Fish Cutters and Trimmers · Clean and shuck oysters · Separate meat by size/quality · Prepare seafood for wholesale/retail sale · Clean and sanitize work areas and equipment · Maintain compliance with food safety regulations SOC Code: 53-7064 — Packers and Packagers, Hand · Weigh, count, and measure product · Place seafood in containers · Seal, ice, and pack products · Assemble boxes SOC Code: 53-7062 — Laborers and Freight, Stock, and Material Movers, Hand · Move, dump, and distribute product · Perform dock work · Remove oysters from boats or trucks · Load finished products onto trucks · Use material handling equipment (occasional) · Place raw product on processing tables · Freeze and shovel oysters See attached Addendum. Job Classification: 51-3022.00 - Meat, Poultry, and Fish Cutters and Trimmers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Lift/carry up to 50 pounds. Employer paid drug test is Post Employment, Upon Suspicion. The employer may conduct lawful, job-related screening of applicants, including inquiries into criminal history, where permitted by applicable federal, state, and local laws. Any consideration of criminal history will be conducted on an individualized basis and employment decisions will be made in a nondiscriminatory manner consistent with applicable laws and business necessity. Number of Hours Per Week: 35 Work Schedule (Start/End time): 8:00 A.M. - 3:30 P.M.</t>
  </si>
  <si>
    <t>H-400-26184-077584</t>
  </si>
  <si>
    <t>Crawfish Hole Inc</t>
  </si>
  <si>
    <t>wes@crawfishhole.info</t>
  </si>
  <si>
    <t>+13187920903</t>
  </si>
  <si>
    <t>Short Order Cook</t>
  </si>
  <si>
    <t>Clean and Prepare Crawfish - Grading, boiling, weighing, and sacking Prepare &amp; prepping of food for - Cooking, grilling, frying, broiling, boiling etc. Maintain a clean work area - Clean and Sanitize all surfaces (Table, counters, floors), Removal of all debris and trash etc. Job Classification: 35-2014.00 - Cooks, Restaurant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3 MONTHS RESTAURANT COOKING EXPERIENCE MUST BE ABLE TO LIFT TO 50 LBS., STAND, STOOP, BEND, WALK, KNEEL, REACH OVER HEAD OR TO GROUND LEVEL FOR PROLONG PERIOD. ONCE HIRED MAY BE REQUIRED TO TAKE A RANDOM DRUG TEST AT NO COST TO WORKER. TESTING POSITIVE OR FAILURE TO COMPLY WITH TESTING MAY RESULT IN IMMEDIATE TERMINATION FROM EMPLOYMENT The standard work schedule is form 7:00 am until l 4:00 pm Monday through Friday; Saturday and Sunday work required, when necessary, Employer will off er 35 Hours per work week- Overtime is offered but not guaranteed - Employer may off er more hours than the stated work hours, depending on weather, business needs and other conditions. Extreme Heat, cold, rain, may affect exact hours Number of Hours Per Week: 35 Work Schedule (Start/End time): 4:00 A.M. - 7:00 P.M.</t>
  </si>
  <si>
    <t>H-400-26184-077543</t>
  </si>
  <si>
    <t>DOC'S LANDSCAPING &amp; LAWN SERVICE , LLC.</t>
  </si>
  <si>
    <t>DOCSLANDSCAPINGLEX@GMAIL.COM</t>
  </si>
  <si>
    <t>+17319680846</t>
  </si>
  <si>
    <t>Helper-construction Trades</t>
  </si>
  <si>
    <t>***2nd RFI response*** The worker assists with the placement of reinforcing steel, rebar, and wire mesh used in concrete construction projects. Specific tasks include carrying, unloading, staging, sorting, positioning, and placing rebar and wire mesh within forms and excavated areas; holding materials in place while experienced workers secure them; measuring and aligning reinforcing materials according to layout instructions; and assisting with tying reinforcing steel using pre-cut tie wire. Tools and equipment used include rebar tying tools, pliers, wire cutters, measuring tapes, levels, rebar chairs, spacers, wheelbarrows, material carts, and hand tools commonly used to position reinforcing materials. Materials handled include reinforcing steel bars (rebar), welded wire mesh, tie wire, rebar chairs, spacers, and related concrete reinforcement materials. ***1st RFI response*** The worker assists experienced construction workers, concrete finishers, equipment operators, and supervisors engaged in the installation of swimming pools, driveways, sidewalks, patios, walkways, and related concrete structures. The worker may operate plate compactors, concrete mixers, power wheelbarrows, material carts, water pumps, pressure washers, portable generators, small power tools (drills, grinders, routers), shovels, rakes, brooms, wheelbarrows, buckets, tampers, hand floats, measuring tapes, and levels. Duties include loading, unloading, moving, and staging construction materials; assisting with site preparation, excavation, grading, backfilling, and cleanup; constructing, placing, bracing, stripping, and removing concrete forms; assisting with the placement of reinforcing steel, rebar, and wire mesh; transporting tools, equipment, and materials; assisting with concrete placement, spreading, consolidation, and finishing under supervision; holding and positioning materials; cleaning and maintaining tools, equipment, forms, and work areas; removing debris, excess concrete, and waste materials; and assisting with final grading and site restoration. The worker uses equipment to compact soil and aggregate base materials, mix concrete and mortar, transport concrete and construction materials, assist with concrete placement, remove water from excavated areas, maintain worksite conditions, and support concrete, pool, driveway, sidewalk, patio, and walkway construction projects. Materials handled include concrete, gravel, sand, crushed stone, rebar, wire mesh, lumber forms, PVC pipe, pool construction materials, backfill materials, and related construction supplies. ***Original*** Perform tasks involving physical labor at construction sites. May operate hand and power tools of all types: air hammers, earth tampers, cement mixers, small mechanical hoists, surveying and measuring equipment, and a variety of other equipment and instruments. May clean and prepare sites, dig trenches, set braces to support the sides of excavations, erect scaffolding, and clean up rubble, debris and other waste materials. May assist other craft workers. Job Classification: 47-2051.00 - Cement Masons and Concrete Finishers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ABLE TO LIFT AND CARRY 50 POUNDS. SOME OT AND WEEKENDS REQUIRED. 8 HOUR WORKDAY .Random drug testing post-hire may occur. Number of Hours Per Week: 40 Work Schedule (Start/End time): 6:00 A.M. - 5:00 P.M.</t>
  </si>
  <si>
    <t>H-400-26184-077558</t>
  </si>
  <si>
    <t>Dirty Boats Texas, LLC</t>
  </si>
  <si>
    <t>Brndnoyster@yahoo.com</t>
  </si>
  <si>
    <t>+19858609070</t>
  </si>
  <si>
    <t>Workers may be asked to pressure wash boats using a pressure washer. Workers my be asked to grind or sand using a grinder or sander. Workers may be asked to make minor repairs like changing fuel filters where a wrench would be used. Deckhands will be assisting with handyman and repair projects in order to get the boats prepared. They would be asked to due such tasks as painting with a paint brush, sanding paints with sandpaper in preparation for painting, greasing winches with a grease gun, and nailing deck boards with a hammer. Attach apparatus devices to cable, boom &amp; hoist. Load/unload equipment &amp; supplies. Fish/dredge oysters (attach nets &amp; lines, haul in catch), sort, clean catch, culling oysters, transplant oysters, store and unload oysters. Wash deck, equipment, cooler and cabin. Sort, clean and return undesirables and illegal size oysters to bay. Place PVC pipe and/or oyster markers in private oyster leases. Transplant oysters, shells and rocks. Secure and remove vessels docking lines to and from dock and other vessels. Shipyard work includes cleaning the vessel, grinding, painting, lubricating, adjusting and making minor repairs to engine and equipment. Perform maintenance, repair work and handyman activities on the oyster boats, docks and shipyards. Perform any combination of the following duties aboard the fishing vessel: stands lookout, steering &amp; engine room watches. Load/unload oyster sacks from the vessel to the dock cooler and/or freight trucks. The deckhands must be knowledgeable and comply with all U.S. Coast Guard safety procedures and all Texas Parks and Wildlife laws. No Experience/No educ.1 day on the job training provided See attached addendum Job Classification: 43-5011.00 - Cargo and Freight Agents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Lift/carry up to 100 pounds. Employer paid drug test is Post Employment, Upon Suspicion. The employer may conduct lawful, job-related screening of applicants, including inquiries into criminal history, where permitted by applicable federal, state, and local laws. Any consideration of criminal history will be conducted on an individualized basis and employment decisions will be made in a nondiscriminatory manner consistent with applicable laws and business necessity. No infectious diseases; seafood allergies may be fatal. Number of Hours Per Week: 35 Work Schedule (Start/End time): 6:00 A.M. - 2:00 P.M.</t>
  </si>
  <si>
    <t>H-400-26184-077546</t>
  </si>
  <si>
    <t>Eben's Hearth Restaurant Inc</t>
  </si>
  <si>
    <t>Shaunette Constable</t>
  </si>
  <si>
    <t>ebens2023@gmail.com</t>
  </si>
  <si>
    <t>+13153863276</t>
  </si>
  <si>
    <t>The role of the Cook is to ensure that the kitchen is ready for production, fully stocked and prepares all food. The cook must ensure all meals are made consistently to our high standards. Season and cook food according to recipes or personal judgement. Other duties may include monitoring product qualities and food freshness to ensure minimal waste. Ensure that food is stored and cooked at correct temperature by regulating temperature of ovens, broilers, grills, roasters. Ensure all cookware, dishware, and restaurant wash ware is cleaned and sanitized. Must work well in a fast-paced kitchen environment. Must be honest and dependable, work well with others, have good time management skills. Must be able to follow directions well. Must be organized and detail-oriented, independent worker and a problem solver. Must have commercial kitchen experience, fine dining, baking experience and customer service. This role uses ovens, grills, knives and mixers among other restaurant equipment. Employee could be exposed to hot water, potentially slippery floors, garbage disposals and cleaning chemicals. Employee must lift and move up to 50 pounds. No experience is required. Employee must also follow any other kitchen related task assigned by the supervisor. Job Classification: 35-2014.00 - Cooks, Restaurant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Employee must lift and move up to 50 pounds. Employees will work Mon to Sun, an average of 40 hours/wk. Must be able to work any 8-hour shift within the hours of 8 am to 11 pm any day of the week; days off rotate, shifts vary, weekends and holidays are required. This job requires continuous movement, regularly bending, lifting, pushing, must be flexible, be able to communicate in English and be a team player. Number of Hours Per Week: 40 Work Schedule (Start/End time): 8:00 A.M. - 11:00 P.M.</t>
  </si>
  <si>
    <t>H-400-26184-077586</t>
  </si>
  <si>
    <t>Eddi's Irrigation LLC</t>
  </si>
  <si>
    <t>Craig McDougal</t>
  </si>
  <si>
    <t>eddislandscape@yahoo.com</t>
  </si>
  <si>
    <t>+14059234243</t>
  </si>
  <si>
    <t>Lawn mowing, weed wacking, trimming shrubs and landscaping; equipment used is lawn mower, weed wackers, back pack blowers, hedge trimmers, shovels, wheel barrels. All tools will be provided. Job Classification: 37-3011.00 - Landscaping and Groundskeeping Workers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1 Special Requirements: Must be able to lift 50 lbs Number of Hours Per Week: 40 Work Schedule (Start/End time): 8:00 A.M. - 6:00 P.M.</t>
  </si>
  <si>
    <t>H-400-26184-077560</t>
  </si>
  <si>
    <t>H-400-26184-077578</t>
  </si>
  <si>
    <t>Transplant established trees &amp; shrubs. Dig holes, place &amp; plant trees, backfill holes. Stake trees, water, &amp; remove leaves. Job Classification: 37-3011.00 - Landscaping and Groundskeeping Workers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Pre-hire background check required; Random drug testing during employment; Pre-employment drug testing required; Drug testing during employment for cause; Post-Accident Drug Testing; Able to lift 50lbs, Monday-Friday, some weekends as needed, schedule varies, start/end times vary, overtime varies. All background checks are performed equally as to U.S. workers and H-2B workers, and all fees are paid for by the company. See the additional document attached for further details about the administration of our background check policy. All drug testing is performed without regard to an employees citizenship or immigration status, and all testing is paid for by the company. See the additional document attached for further details about the administration of our drug testing policy. Number of Hours Per Week: 40 Work Schedule (Start/End time): 6:00 A.M. - 3:30 P.M.</t>
  </si>
  <si>
    <t>H-400-26184-077544</t>
  </si>
  <si>
    <t>H-400-26184-077561</t>
  </si>
  <si>
    <t>Evan Andrews</t>
  </si>
  <si>
    <t>Michael Freestone</t>
  </si>
  <si>
    <t>10/09/2027</t>
  </si>
  <si>
    <t>hschofie@gmail.com</t>
  </si>
  <si>
    <t>+16178630726</t>
  </si>
  <si>
    <t>Provide full-time care for a two-year-old child with epilepsy. Provide constant supervision, monitoring for signs of seizure. Administer medication with proper timing and dose as needed to manage seizures. Perform first aid or cardiopulmonary resuscitation (CPR) when required. Remove hazards and develop appropriate boundaries and rules to create a safe environment. Ensure physical safety through the use of provided adaptive devices. Regulate rest periods and nap schedules. Structure age-appropriate activities, such as lap play, reading, and arts and crafts to encourage intellectual development. Prepare and serve nutritionally balanced meals for the child, strictly adhering to the child's medical diet for managing epilepsy. Model appropriate social behaviors. Organize and conduct age-appropriate recreational activities, such as games, arts and crafts, sports, walks, and play days. Work with parents to develop and implement discipline programs to promote desirable child behavior. Perform light housekeeping duties related to child's care. Hours for the position are as follows: Mon: 9:00am to 4:00pm Tues: 9:00am to 4:00pm Wed: 9:00am to 4:00pm Thurs: 9:00am to 4:00pm Fri: 7:00am to 4:00pm Sat: 7:00am to 10:00am Job Classification: 31-1121.00 - Home Health Aides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24 Special Requirements: First Aid Certification and CPR Certification Number of Hours Per Week: 39 Work Schedule (Start/End time): 9:00 A.M. - 4:00 P.M.</t>
  </si>
  <si>
    <t>H-400-26184-077576</t>
  </si>
  <si>
    <t>Favela Industries, Inc</t>
  </si>
  <si>
    <t>favelaole@gmail.com</t>
  </si>
  <si>
    <t>+15127730625</t>
  </si>
  <si>
    <t>Job Duties: Removal and trimming of bushes; trimming and removal of fallen trees from the ground using chainsaws, chippers, and loppers; raking and cleaning up ground, leaf removal, and leftover debris; disposal of brush, limbs, and fallen trees by operating tools such as chainsaws and chippers to clear ground of fallen trees from winter storms; winter landscape planting including hollies and other evergreens, spreading mulch, perennial rye grass installation, application and fertilization, winterizing plants and trees to protect from freezes with winter maintenance of yards with drainage control; annual winter color installs; property wide mulch installation, application and fertilization to protect plants, and winterization and draining of sprinkler system; retention pond cleanouts clearing away trash, leaves, branches, and other floating debris using hand rakes. Maintaining natural vegetation through mowing, trimming, and mulching land surrounding pond. Remove accumulated deposits of snow on an ongoing basis in extreme weather conditions on various commercial properties using snow blowers and standard commercial snow shovels. Ice remediation and salt application. Loading and unloading of materials and equipment. Lifting required up to 50 pounds. Work performed on local area jobsites with employer provided transportation to and from jobsites from a centralized pickup location in the specified area of employment. Job Classification: 37-3011.00 - Landscaping and Groundskeeping Workers The job/industry classification and description includes general information on the position from ONET/OES and the North American Industry Classification System. Please review Job Duties and Job Order for more information. Job Requirements Experience Required: No Number of Hours Per Week: 40 Work Schedule (Start/End time): 7:30 A.M. - 4:00 P.M.</t>
  </si>
  <si>
    <t>H-400-26184-077593</t>
  </si>
  <si>
    <t>Garcia Advanced Roofing Solutions and Repairs LLC</t>
  </si>
  <si>
    <t>Tiffanygarcia278@yahoo.com</t>
  </si>
  <si>
    <t>+14053719028</t>
  </si>
  <si>
    <t>Job duties include following safety protocols and wearing appropriate personal protective equipment, assisting with loading and unloading equipment and materials, cleaning and preparing construction sites, assisting tradespeople with their task, erecting and dismantling scaffolding and other temporary structures, maintaining a clean and organized work environment. Job Classification: 47-2061.00 - Construction Laborers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Must be able to lift 50 lbs Number of Hours Per Week: 40 Work Schedule (Start/End time): 7:00 A.M. - 4:00 P.M.</t>
  </si>
  <si>
    <t>H-400-26184-077559</t>
  </si>
  <si>
    <t>Green Dream Lawns, LLC</t>
  </si>
  <si>
    <t>jobs@kellerservicestx.com</t>
  </si>
  <si>
    <t>+15126359874</t>
  </si>
  <si>
    <t>Qualified Winter Landscape Maintenance</t>
  </si>
  <si>
    <t>Position offered is for an experienced landscape laborer with a minimum of three months experience in landscape labor who can work with and model company landscaping methods and procedures with up to 3 peers. Removal and trimming of trees and bushes from the ground; raking and cleaning up ground, leaf removal, and leftover debris; disposal of brush, limbs, and trees; winter landscape planting including hollies and other evergreens, spreading mulch; perennial rye grass installation, application and fertilization, winterizing plants and trees to protect from freezes with winter maintenance of yards with drainage control; annual winter color installs; perennial cutbacks, pruning, and dead heading; property wide mulch installation, application and fertilization to protect plants, and winterization and draining of sprinkler system; retention pond cleanouts. Ice remediation and salt application. Loading and unloading of materials and equipment. Lifting requires up to 50 pounds. Work performed on local area jobsites with employer provided transportation to and from jobsites from a centralized pickup location in the specified area of employment. Job Classification: 37-3011.00 - Landscaping and Groundskeeping Workers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None Number of Hours Per Week: 40 Work Schedule (Start/End time): 8:00 A.M. - 5:00 P.M.</t>
  </si>
  <si>
    <t>H-400-26184-077588</t>
  </si>
  <si>
    <t>Position offered is for an experienced landscape laborer with a minimum of three months experience in landscape labor who can work with and model company landscaping methods and procedures with up to 3 peers. Removal and trimming of trees and bushes from the ground; raking and cleaning up ground, leaf removal, and leftover debris; disposal of brush, limbs, and trees; winter landscape planting including hollies and other evergreens, spreading mulch; perennial rye grass installation, application and fertilization, winterizing plants and trees to protect from freezes with winter maintenance of yards with drainage control; annual winter color installs; perennial cutbacks, pruning, and dead heading; property wide mulch installation, application and fertilization to protect plants, and winterization and draining of sprinkler system; retention pond cleanouts. Ice remediation and salt application. Loading and unloading of materials and equipment. Lifting requires up to 50 pounds. Work performed on local area jobsites with employer provided transportation to and from jobsites from a centralized pickup location in the specified area of employment. Job Classification: 37-3011.00 - Landscaping and Groundskeeping Workers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Number of Hours Per Week: 40 Work Schedule (Start/End time): 8:00 A.M. - 5:00 P.M.</t>
  </si>
  <si>
    <t>H-400-26185-078649</t>
  </si>
  <si>
    <t>Perfect Pie LLC</t>
  </si>
  <si>
    <t>10/11/2026</t>
  </si>
  <si>
    <t>rebeccal7@yahoo.com</t>
  </si>
  <si>
    <t>+16513439610</t>
  </si>
  <si>
    <t>Amusement &amp; Recreation Attendant</t>
  </si>
  <si>
    <t>Duties may include: Set up, tear downs concessions: Open/close windows, use wench to raise/lower signage, hook up water/sewer/electric hoses, clean concession stand. Inspect equipment to detect wear and damage and perform minor repairs, adjustments, or maintenance tasks, such as oiling parts. There are no specific tools, equipment, or techniques required. Perfect Pie is a traveling concessionaire to various fairs and festivals. They cook a variety of fair food, i.e. dip and fry corndogs, serve hot dogs to order, fry cheese curds, and serve beverages. Duties include simple cooking and selling of fair food to customers at festivals and county/state fairs. Take orders from customer, receive payment, and make change. Maintain clean work area. Set up, tear downs concessions. Maintain/repair equipment &amp; other related Amusement &amp; Recreation Attendant activities as per SOC/OES 35-2015 (onetonline.org). Standard/Expected Schedule: Monday - Sunday 11:00AM-11:00PM.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Optional, shared housing available at no cost to the worker. Job Classification: 35-2011.00 - Cooks, Fast Food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Must show proof of legal authorization to work in the United States. Drug/alcohol/tobacco free work zone. Perform physical activities: such as lift, balance, walk, stoop, handle, position, move, manipulate materials use static strength to exert maximum muscle force to lift, push, pull, carry objects up to 50lbs. All applicants must be able, willing and qualified to perform work described and must be available for the entire period specified and work throughout all areas of intended employment.Based on Employer's discretion/cost: Worker may have random drug/alcohol testing during employment: positive test/refusal to abide = dismissal. Work is performed outdoors, exposed to weather; must be capable of doing physically strenuous labor for long hours, occasionally in extreme heat or cold. Variable weather conditions apply; hours may fluctuate (+/-), possible downtime and/or overtime. Number of Hours Per Week: 40 Work Schedule (Start/End time): 11:00 A.M. - 11:00 P.M.</t>
  </si>
  <si>
    <t>H-400-26184-077583</t>
  </si>
  <si>
    <t>Lady Olivia at North Cliff</t>
  </si>
  <si>
    <t>lonclfarm@gmail.com</t>
  </si>
  <si>
    <t>+15402227105</t>
  </si>
  <si>
    <t>Attends to the overall care of thoroughbred racehorses including feeding, watering, maintenance of stalls and rack, cleaning, brushing, exercising, trimming of horses, disinfecting stalls and bedding, administration of meds as directed, inspection of horse's physical condition. Will lift legs and clean horse's feet and apply liniments and bandages to legs as required. Will care for 1-5 horses at a time. Split shift 5AM to 11AM and 3PM to 5PM. Days off Rotates. Job Classification: 39-2021.00 - Animal Caretakers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1 Special Requirements: Must be able to lift 50 Lbs Number of Hours Per Week: 56 Work Schedule (Start/End time): 5:00 A.M. - 5:00 P.M.</t>
  </si>
  <si>
    <t>H-400-26184-077552</t>
  </si>
  <si>
    <t>Louisiana Sunken Marsh Fisheries</t>
  </si>
  <si>
    <t>louisianasunken@gmail.com</t>
  </si>
  <si>
    <t>Temporary Oyster Boat Deck Hand Workers</t>
  </si>
  <si>
    <t>Louisiana Sunken Marsh Fisheries is seeking forty-five (45) Temporary Oyster Boat Deck Hand Workers for the period of October 1, 2026, through June 1, 2027. Throughout their shift, workers may rotate among tasks as needed. Workers will perform duties aboard large commercial oyster vessels operating in coastal and marshland waters. Duties include deploying dredge nets into the water to collect oysters, raising filled dredge nets onto the vessel deck, and removing oysters from the nets. Workers will inspect, separate, and measure oysters to ensure they meet the legal minimum size requirement of three (3) inches, returning undersized oysters to the water. Oysters meeting size requirements will be cleaned using water hoses to remove dirt and debris, then sorted, bagged, labeled, and prepared for transport to the port for pickup by processing facilities. Additional duties include organizing equipment, maintaining a clean and safe work environment aboard the vessel, and assisting with loading and unloading bagged oysters. Work is physically demanding and requires standing for extended periods, performing repetitive tasks, and lifting up to fifty (50) pounds while working on wet and unstable surfaces. Job Classification: 45-3031.00 - Fishing and Hunting Workers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Three (3) months of work-related experience is required. Workers must be willing and able to perform job duties aboard moving commercial oyster vessels operating on the water, including standing for extended periods, performing repetitive tasks, and lifting up to fifty (50) pounds while working on wet and unstable surfaces. Work is performed on a rotating schedule consisting of Monday through Friday, seven (7) hours per day between 6:00 a.m. and 7:00 p.m., and Saturdays, five (5) hours per day between 6:00 a.m. and 4:00 p.m. All hired workers will be required to complete Form I-9 to verify their identity and authorization to work in the United States Number of Hours Per Week: 40 Work Schedule (Start/End time): 1:00 P.M. - 7:00 P.M.</t>
  </si>
  <si>
    <t>H-400-26184-077596</t>
  </si>
  <si>
    <t>McLean Robertson Racing</t>
  </si>
  <si>
    <t>macshorses@icloud.com</t>
  </si>
  <si>
    <t>+17087905694</t>
  </si>
  <si>
    <t>Attends to the overall care of thoroughbred racehorses including feeding, watering, maintenance of stalls and rack, cleaning, brushing, exercising, trimming of horses, disinfecting stalls and bedding, administration of meds as directed, inspection of horse's physical condition. Will lift legs and clean horse's feet and apply liniments and bandages to legs as required. Will care for 1-5 horses at a time. Split shift 5AM to 11AM and 3PM to 5PM. Days off Rotates. Job Classification: 39-2021.00 - Animal Caretakers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1 Special Requirements: Must be able to lift 50 lbs. Number of Hours Per Week: 56 Work Schedule (Start/End time): 5:00 A.M. - 5:00 P.M.</t>
  </si>
  <si>
    <t>H-400-26184-077554</t>
  </si>
  <si>
    <t>Palm Beach Equine Clinic, LLC</t>
  </si>
  <si>
    <t>Martin Arburua</t>
  </si>
  <si>
    <t>srentas@equineclinic.com</t>
  </si>
  <si>
    <t>+15617931599</t>
  </si>
  <si>
    <t>Equine Veterinary Technician</t>
  </si>
  <si>
    <t>Perform and assist with digital radiology. Perform and assist with routine equine dentistry, work with e-film, HVMS, and excel spreadsheets. Lead horses so veterinarians may check for soundness. Administer anesthesia under direction of vet, perform laboratory tests on blood, urine, or feces, such as urinalyses or blood counts, to assist in the diagnosis and treatment of animal health problem. Care for and monitor the condition of animals recovering from surgery, prepare and administer medications, vaccines, serums, or treatments, as prescribed. Administer emergency first aid, monitor overall condition of equines. Job Classification: 29-2056.00 - Veterinary Technologists and Technicians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12 Special Requirements: 12 MONTHS EXPERIENCE IN HANDLING RADIOACTIVE MATERIALS; KNOWLEDGE OF ADVANCED IMAGING TECHNIQUES. MUST BE AN EXPERIENCED EQUESTRIAN/HORSEMAN/HORSEWOMAN AS WORKING WITH AND HANDLING HORSES FOR VETS TO CHECK FOR SOUNDNESS IS A REQUIREMENT. Number of Hours Per Week: 40 Work Schedule (Start/End time): 8:30 A.M. - 5:30 P.M.</t>
  </si>
  <si>
    <t>H-400-26184-077570</t>
  </si>
  <si>
    <t>SOC Code: 51-3022 — Meat, Poultry, and Fish Cutters and Trimmers · Clean and shuck oysters · Separate meat by size/quality · Prepare seafood for wholesale/retail sale · Clean and sanitize work areas and equipment · Maintain compliance with food safety regulations SOC Code: 53-7064 — Packers and Packagers, Hand · Weigh, count, and measure product · Place seafood in containers · Seal, ice, and pack products · Assemble boxes SOC Code: 53-7062 — Laborers and Freight, Stock, and Material Movers, Hand · Move, dump, and distribute product · Perform dock work · Remove oysters from boats or trucks · Load finished products onto trucks · Use material handling equipment (occasional) · Place raw product on processing tables · Freeze and shovel oysters 2nd plant is located at 28 North First Street, Vandemere, NC 28587-Pamlico County. See attached Addendum. Job Classification: 51-3022.00 - Meat, Poultry, and Fish Cutters and Trimmers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Lift/carry up to 50 pounds. The employer maintains a workplace free from the use of illegal drugs, alcohol, and unauthorized controlled substances. The use, possession, sale, or being under the influence of illegal drugs or alcohol during working time or on employer premises is prohibited. The employer may conduct lawful, job-related screening of applicants, including inquiries into criminal history, where permitted by applicable federal, state, and local laws. Any consideration of criminal history will be conducted on an individualized basis and employment decisions will be made in a nondiscriminatory manner consistent with applicable laws and business necessity. No infectious diseases; seafood allergies may be fatal. Number of Hours Per Week: 35 Work Schedule (Start/End time): 6:00 A.M. - 1:30 P.M.</t>
  </si>
  <si>
    <t>H-400-26184-077580</t>
  </si>
  <si>
    <t>ParCou LLC</t>
  </si>
  <si>
    <t>L. Mabel Arroyo</t>
  </si>
  <si>
    <t>parcoullc@par-cou.com</t>
  </si>
  <si>
    <t>+19015049150</t>
  </si>
  <si>
    <t>General Cleaner</t>
  </si>
  <si>
    <t>Keep buildings in clean and orderly condition. Perform heavy cleaning duties, such as cleaning floors, shampooing rugs, washing walls and glass, and removing rubbish. Service, clean, or supply restrooms. Gather and empty trash. Clean building floors by sweeping, mopping, scrubbing, or vacuuming. Notify managers concerning the need for major repairs or additions to building operating systems. Follow procedures for the use of chemical cleaners and power equipment to prevent damage to floors and fixtures. Mix water and detergents or acids in containers to prepare cleaning solutions, according to specifications. Clean windows, glass partitions, or mirrors, using soapy water or other cleaners, sponges, or squeegees. Requisition supplies needed for cleaning and maintenance duties. Dust furniture, walls, machines, or equipment. Clean and polish furniture and fixtures. Move heavy furniture, equipment, or supplies, either manually or with hand trucks. Strip, seal, finish, and polish floors. Clean chimneys, flues, and connecting pipes, using power or hand tools. Steam-clean or shampoo carpets. Job Classification: 37-2011.00 - Janitors and Cleaners, Except Maids and Housekeeping Cleaners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6 Number of Hours Per Week: 35 Work Schedule (Start/End time): 6:30 A.M. - 10:00 P.M.</t>
  </si>
  <si>
    <t>H-400-26184-077540</t>
  </si>
  <si>
    <t>Pine Springs Road, LLC</t>
  </si>
  <si>
    <t>H-400-26184-077592</t>
  </si>
  <si>
    <t>Rising Sun Racing Stables Inc.</t>
  </si>
  <si>
    <t>dan@fidelityfirst.net</t>
  </si>
  <si>
    <t>+14109784556</t>
  </si>
  <si>
    <t>Thoroughbred Horse Groom</t>
  </si>
  <si>
    <t>Attends to the overall care of thoroughbred race horses including feeding, watering, maintenance of stalls and rack, cleaning, brushing, exercising, trimming of horses, disinfecting stalls and bedding, administration of meds as directed, inspection of horses physical condition. Will lift legs and clean horse's feet and apply liniments and bandages to legs as required. Will care for 1-5 horses at a time. Split shift 5AM to 11AM and 3PM to 5PM. Days off Rotates. Job Classification: 39-2021.00 - Animal Caretakers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1 Special Requirements: Must be able to lift 50 lbs. Number of Hours Per Week: 56 Work Schedule (Start/End time): 5:00 A.M. - 5:00 P.M.</t>
  </si>
  <si>
    <t>H-400-26184-077562</t>
  </si>
  <si>
    <t>Rotolo Consultants, Inc</t>
  </si>
  <si>
    <t>Palmer Packer</t>
  </si>
  <si>
    <t>info@rotoloconsultants.com</t>
  </si>
  <si>
    <t>+19856432427</t>
  </si>
  <si>
    <t>Laborers will be needed for turf care, pruning, fertilization, irrigation system maintenance and repair, general clean up and installation of mortarless segmental concrete masonry wall units. Job Classification: 37-3011.00 - Landscaping and Groundskeeping Workers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Must pass a pre-employment drug test paid by employer and applied equally to all workers, U.S. and foreign/H-2B. Must pass a post- incident drug testing. Employees must comply with all RCI employee policies, safety procedures, and the employee handbook. Non-compliance, poor performance, or violation of company policies may result in disciplinary action, up to and including termination. Must be able to work weekends and holidays. Applicants must complete an employment application. Number of Hours Per Week: 40 Work Schedule (Start/End time): 6:00 A.M. - 2:30 P.M.</t>
  </si>
  <si>
    <t>H-400-26184-077577</t>
  </si>
  <si>
    <t>H-400-26184-077573</t>
  </si>
  <si>
    <t>Rotolo Consultants, Inc.</t>
  </si>
  <si>
    <t>H-400-26184-077557</t>
  </si>
  <si>
    <t>Perform tasks involving physical labor at building construction projects. May operate hand and power tools of all types; air hammers, power saws, power drills and a variety of other equipment and instruments. May clean and prepare sites. May assist other craft workers. Job Classification: 47-2061.00 - Construction Laborers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Must pass a pre-employment drug test paid by employer and applied equally to all workers, U.S. and foreign/H-2B. Must pass a post- incident drug testing. Employees must comply with all RCI employee policies, safety procedures, and the employee handbook. Non-compliance, poor performance, or violation of company policies may result in disciplinary action, up to and including termination. Must be able to work weekends and holidays. Applicants must complete an employment application. Number of Hours Per Week: 40 Work Schedule (Start/End time): 6:00 A.M. - 2:30 P.M.</t>
  </si>
  <si>
    <t>H-400-26184-077556</t>
  </si>
  <si>
    <t>H-400-26184-077566</t>
  </si>
  <si>
    <t>H-400-26184-077574</t>
  </si>
  <si>
    <t>H-400-26184-077579</t>
  </si>
  <si>
    <t>H-400-26184-077569</t>
  </si>
  <si>
    <t>H-400-26184-077572</t>
  </si>
  <si>
    <t>H-400-26184-077585</t>
  </si>
  <si>
    <t>H-400-26184-077537</t>
  </si>
  <si>
    <t>S.E.W. Friel LLC</t>
  </si>
  <si>
    <t>frielresume@gmail.com</t>
  </si>
  <si>
    <t>+14108278811</t>
  </si>
  <si>
    <t>Packers</t>
  </si>
  <si>
    <t>Packers will primarily pack and package products in our plant. The packers will load materials into packaging equipment; examine and inspect containers and products to ensure that they are in good shape; remove defective or damaged products and materials; stack finished products on pallets; mark and label containers and pallets; clean work areas by using various hand tools and cleaning solutions. Packers will perform additional similar related duties as assigned. No Experience/No educ. See attached addendum Job Classification: 53-7064.00 - Packers and Packagers, Hand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Lift/carry up to 50 pounds. The employer maintains a workplace free from the use of illegal drugs, alcohol, and unauthorized controlled substances. The use, possession, sale, or being under the influence of illegal drugs or alcohol during working time or on employer premises is prohibited. The employer may conduct lawful, job-related screening of applicants, including inquiries into criminal history, where permitted by applicable federal, state, and local laws. Any consideration of criminal history will be conducted on an individualized basis and employment decisions will be made in a nondiscriminatory manner consistent with applicable laws and business necessity. Number of Hours Per Week: 35 Work Schedule (Start/End time): 5:00 A.M. - 12:30 P.M.</t>
  </si>
  <si>
    <t>H-400-26184-077594</t>
  </si>
  <si>
    <t>SR Drywall LLC</t>
  </si>
  <si>
    <t>srdrywallokc@gmail.com</t>
  </si>
  <si>
    <t>+14055354501</t>
  </si>
  <si>
    <t>Tidying up work areas, unloading materials, preparing worksites, handing tools to supervisor, cleaning debris and work areas. Job Classification: 47-2061.00 - Construction Laborers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Must be able to lift 50 lbs. Number of Hours Per Week: 40 Work Schedule (Start/End time): 7:00 A.M. - 4:00 P.M.</t>
  </si>
  <si>
    <t>H-400-26184-077548</t>
  </si>
  <si>
    <t>Southeastern Event Staffing Services, Inc.</t>
  </si>
  <si>
    <t>info@drewexpo.com</t>
  </si>
  <si>
    <t>+17067370650</t>
  </si>
  <si>
    <t>Assist mechanic: maintain carnival equipment; manually sand and prep; clean and lubricate parts; assemble, inspect, dismantle, and store truss concessions; heavy lifting &amp; physically mobile. Job Classification: 49-9099.00 - Installation, Maintenance, and Repair Workers, All Other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Must pass post-hire drug and background check paid by employer. Must be able to lift 50 pounds. Hours, schedule, and days vary widely. Typically, Mon-Fri, 8AM-5PM. No over time expected Often 35-40 hours per week. Work needs (i.e., hours, days, schedule, location, and work positions) vary. Job requirements Post-employment random drug testing and background checks may be required by employer at no cost to the worker. The job requires the applicant to be qualified, authorized, ready, willing, able, and available to perform during the entire employment at the designated worksites under adverse weather; satisfy our verification standards or testing; enter into and comply with any employment contract and housing lease; follow workplace, grievance, and housing rules. The grievance procedure requires workers to report any threats to or failure to satisfy working terms and conditions; and meet job performance standards. Work outside in all weather. The job requires the applicant to obtain and show proof of all necessary government authorizations to work this job, such as an H-2B worker visa for foreign workers. Any H-2B worker visa will be issued by the United States consulate in the home country, and after which the applicant will be regarded as recruited at that time and place. Must cooperate with and complete job application and interview, and any supplied information must be truthful and complete. Must comply with grooming requirements and dress code. Must be willing to work up to 7 days/week. Subject to discharge for cause. Number of Hours Per Week: 35 Work Schedule (Start/End time): 8:00 A.M. - 5:00 P.M.</t>
  </si>
  <si>
    <t>H-400-26184-077565</t>
  </si>
  <si>
    <t>Southwest Nursery and Supply, LLC</t>
  </si>
  <si>
    <t>beallsnursery@comcast.net</t>
  </si>
  <si>
    <t>+19722454557</t>
  </si>
  <si>
    <t>Plant Nursery Laborer</t>
  </si>
  <si>
    <t>Plant, spray, weed, fertilize, and water plants, using hand tools and gardening tools in wholesale setting, maintain grounds, cleaning shop and equipment and relocate product. Involves loading and unloading tools and supplies and equipment weighing up to 40 lbs. Involves working outdoors in all types of weather. Involves extensive standing, sitting or walking. Involves frequent stooping or bending. Involves repetitive movements. Post Hire/Employer Paid Drug Test. Wage range based on tenure w/ possibility of performance based raise, eligible for health benefits after 60 days, 3 types of plans, base plan is offered at zero cost to eligible employees. 401K available after one accumulated year of employment. Possibility of performance based raise, bonuses, overtime and Saturdays as required. . 45 minutes of unpaid breaks throughout the day. Daily hours may vary between start and end times listed depending on weather or job assignments. Job Classification: 45-2092.00 - Farmworkers and Laborers, Crop, Nursery, and Greenhouse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None. Number of Hours Per Week: 40 Work Schedule (Start/End time): 7:30 A.M. - 4:30 P.M.</t>
  </si>
  <si>
    <t>H-400-26184-077582</t>
  </si>
  <si>
    <t>Surecut Lawncare LLC</t>
  </si>
  <si>
    <t>dawson@goodhouse.ai</t>
  </si>
  <si>
    <t>+15733955554</t>
  </si>
  <si>
    <t>Laying sod, seed lawns, moving grass, trimming bushes and trees, planting flowers, bushes, and trees, water, plant material, fertilize lawns, rake lawns. Must be able to use lawn mower, weedeater, rake, hoe, bobcat, and aerator. All tools will be provided. Job Classification: 37-3011.00 - Landscaping and Groundskeeping Workers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Must be able to lift 50 lbs. Number of Hours Per Week: 48 Work Schedule (Start/End time): 7:00 A.M. - 5:00 P.M.</t>
  </si>
  <si>
    <t>H-400-26184-077587</t>
  </si>
  <si>
    <t>H-400-26184-077547</t>
  </si>
  <si>
    <t>T&amp;L Trucks, Inc</t>
  </si>
  <si>
    <t>teddixon21@gmail.com</t>
  </si>
  <si>
    <t>+17242726964</t>
  </si>
  <si>
    <t>Qualified Landscape Laborer</t>
  </si>
  <si>
    <t>Position offered is for an experienced landscape laborer with a minimum of one month experience in winter duties who is able to work with and model company landscaping methods and procedures with up to 3 peers, duties to include removal and trimming of bushes; trimming and removal of fallen trees using chainsaws, chippers, and loppers; raking and cleaning up ground, leaf removal, and leftover debris; disposal of brush, limbs, and trees; winter landscape planting including hollies and other evergreens, spreading mulch, winterizing plants and trees to protect from freezes with winter maintenance of yards with drainage control; annual winter color installs; property wide mulch installation, application and fertilization to protect plants, and winterization and draining of sprinkler system; retention pond cleanouts clearing away trash, leaves, branches, and other floating debris using hand rakes. Maintaining natural vegetation through mowing, trimming, and mulching land surrounding pond. Remove accumulated deposits of snow on an ongoing basis in extreme weather conditions on various commercial properties using snow blowers and standard commercial snow shovels. Ice remediation and salt application. Loading and unloading of materials and equipment. Lifting required up to 50 pounds. Work performed on local area jobsites with employer provided transportation to and from jobsites. from a centralized pickup location in the specified area of employment. Job Classification: 37-3011.00 - Landscaping and Groundskeeping Workers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1 Special Requirements: Employer paid pre-hire criminal background check Number of Hours Per Week: 40 Work Schedule (Start/End time): 7:00 A.M. - 4:00 P.M.</t>
  </si>
  <si>
    <t>H-400-26184-077568</t>
  </si>
  <si>
    <t>Top Notch Landscaping &amp; Supply, LLC</t>
  </si>
  <si>
    <t>Office@topnotchlandscape.com</t>
  </si>
  <si>
    <t>+13042330332</t>
  </si>
  <si>
    <t>Landscape or maintain grounds of property using hand or power tools or equipment. Workers typically perform a variety of tasks, which may include any combination of the following: sod laying, mowing, trimming, planting, watering, fertilizing, digging, raking, and mulching. Entry level requires supervision. Job Classification: 37-3011.00 - Landscaping and Groundskeeping Workers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Must lift/carry 50 lbs., when necessary. Saturday and Sunday work required, when necessary. Employer may offer more than the stated work hours, depending on weather, business needs, and other conditions. Extreme heat, cold, rain, or drought may affect exact working hours. Number of Hours Per Week: 40 Work Schedule (Start/End time): 7:30 A.M. - 4:00 P.M.</t>
  </si>
  <si>
    <t>H-400-26184-077555</t>
  </si>
  <si>
    <t>WB Payson Park LLC</t>
  </si>
  <si>
    <t>gwenn@paysonpark.com</t>
  </si>
  <si>
    <t>+17725973555</t>
  </si>
  <si>
    <t>Racehorse Track Maintenance Worker</t>
  </si>
  <si>
    <t>***RFI response*** Tractors, attachments and mowers to be used include: • New Holland TS6.110 Utility tractor – Approx. 10,330lbs 110 Horsepower • New Holland TS6.120 Utility tractor – Approx. 12,190lbs 120 horsepower • New Holland Power Star 75 Utility tractor – Approx. 5,027lbs 74 Horsepower • Horsemen’s track 14’ Point Hitch Harrow – Approx. 2800lbs without pins, 3900 with pins • Horsemen’s track 14’ 3-point hitch float – approx. 5900lbs • Horsemen’s track 16’ ¾ skid plate float – approx. 4800lbs • Horsemen’s track 9’6” track packer - approx. 4800lbs • Toro Turfmaster 72” Mower – Approx. 1657lbs. 36 Horsepower • John Deere Z985R Z Trak Mower – Approx. 1556lbs 40 Horsepower Repair and replace PVC piping running rails on inside and outside of tracks as needed from damage such as cracks or breaks due to impact or degradation due to weather. Repairs are completed by replacing damaged parts. Replace running rail support poles with 4-foot galvanized pipes that stabilize the rails in place as needed due to corrosion. Earth series 32.7C gas powered t-Post driver is used as needed to drive replacement rail posts (support poles) into the ground. PVC piping replacement running rails are 94-96 inches in length. Cut replacements to appropriate size using hacksaw, reciprocating saw or ratcheting PVC cutter. Rubber mallet, hammer, drill and screws are used as needed to install replacement PVC piping rails. Safety equipment including hearing protection, gloves and safety glasses worn when performing duties. ***Original*** Maintain safe and groomed dirt and turf racehorse training tracks using equipment including tractors, harrows and mowers. Clear debris from tracks, general maintenance of tracks including harrowing and watering dirt track, mow, water and fill divots on turf track. Repair and replace track running rails as needed. Job Classification: 47-4031.00 - Fence Erectors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6 Special Requirements: Work schedule includes 1 hour paid lunch. Days and hours may rotate. Number of Hours Per Week: 48 Work Schedule (Start/End time): 8:00 A.M. - 4:00 P.M.</t>
  </si>
  <si>
    <t>H-400-26184-077575</t>
  </si>
  <si>
    <t>Webb's Seafood, Inc.</t>
  </si>
  <si>
    <t>webbsseafood@aol.com</t>
  </si>
  <si>
    <t>+18507229598</t>
  </si>
  <si>
    <t>Workers obtain raw oysters from the conveyor system located at their individual shucking stations. The conveyor continuously supplies product to each station for processing as part of the normal production workflow. The workers perform the shucking and processing duties using shucking knives, culling irons to open the oyster to be frozen. The oysters enter a freezer tunnel on a conveyor belt and after the oysters are frozen, they exit the tunnel on a conveyor belt and are then placed in packaging using their hands. Shovels and washing brushes are used for processing area cleanup. All required PPE equipment is provided for the worker. Obtain and distribute sacks of oysters; dumps oysters in shell stock area. Workers will wash, sort and place oysters still in the shell in bags and boxes. Workers will shuck oysters by holding the oyster firmly, forcing knife between halves of shell at hinge juncture. Twists knife to sever muscles holding shell together and pries open. Will shuck off the top shell and leave the oyster meat attached to the bottom shell or cut the whole oyster from shell, discards shell. Wash, sort, freeze and place processed meat in containers for further processing or sale. Assist with cleaning plant at end of shift. Piece rate may be offered; rate is determined based on prevailing wage determination. No Experience/No educ. 21 days on the job training provided. See attached Addendum Job Classification: 51-3022.00 - Meat, Poultry, and Fish Cutters and Trimmers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Lift/carry up to 75 pounds. Employer paid drug test is Pre-Employment, Post Accident, Random, Upon Suspicion. The employer may conduct lawful, job-related screening of applicants, including inquiries into criminal history, where permitted by applicable federal, state, and local laws. Any consideration of criminal history will be conducted on an individualized basis and employment decisions will be made in a nondiscriminatory manner consistent with applicable laws and business necessity. Employer paid drug test is Pre-Employment, Random (post-employment), Post Accident and Upon Suspicion (Post Employment).No infectious diseases; seafood allergies may be fatal. Number of Hours Per Week: 35 Work Schedule (Start/End time): 7:00 A.M. - 3:00 P.M.</t>
  </si>
  <si>
    <t>H-400-26184-077595</t>
  </si>
  <si>
    <t>Will Walden Racing Stable LLC</t>
  </si>
  <si>
    <t>willwaldenracing@gmail.com</t>
  </si>
  <si>
    <t>+18593826670</t>
  </si>
  <si>
    <t>Attends to the overall care of thoroughbred race horses including feeding, watering, maintenance of stalls and rack, cleaning, brushing, exercising, trimming of horses, disinfecting stalls and bedding, administration of meds as directed, inspection of horses physical condition. Will lift legs and clean horse's feet and apply liniments and bandages to legs as required. Will care for 1-5 horses at a time. Split shift 5AM to 11AM and 3PM to 5PM. Days off Rotates. Job Classification: 39-2021.00 - Animal Caretakers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1 Special Requirements: Must be able to lift up to 50 lbs Number of Hours Per Week: 56 Work Schedule (Start/End time): 5:00 A.M. - 5:00 P.M.</t>
  </si>
  <si>
    <t>H-400-26184-077591</t>
  </si>
  <si>
    <t>William Robert Bailes</t>
  </si>
  <si>
    <t>rbailes921@aol.com</t>
  </si>
  <si>
    <t>+13012665712</t>
  </si>
  <si>
    <t>H-400-26184-077607</t>
  </si>
  <si>
    <t>AAA Landscape, Inc.</t>
  </si>
  <si>
    <t>rdavid@aaalandscaping.com</t>
  </si>
  <si>
    <t>+14057522300</t>
  </si>
  <si>
    <t>Lawn and landscaping maintenance and installation. Mowing, trimming, edging, blowing off of all lawns. Haul off clippings, weeding, mulching, and planting flowerbeds. Trimming shrubs, install plant material and trees. Will use riding lawnmowers and push mowers, trimmers, edgers, weed eaters, blowers, hedge trimmers, and chainsaws. Job Classification: 37-3011.00 - Landscaping and Groundskeeping Workers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Must be able to lift 50 lbs Number of Hours Per Week: 40 Work Schedule (Start/End time): 7:00 A.M. - 5:00 P.M.</t>
  </si>
  <si>
    <t>H-400-26184-077617</t>
  </si>
  <si>
    <t>H-400-26184-077597</t>
  </si>
  <si>
    <t>Alex P. Clark</t>
  </si>
  <si>
    <t>apclark35@gmail.com</t>
  </si>
  <si>
    <t>+13372510880</t>
  </si>
  <si>
    <t>H-400-26184-077604</t>
  </si>
  <si>
    <t>Appia Wind Services, LLC</t>
  </si>
  <si>
    <t>info@appiawind.com</t>
  </si>
  <si>
    <t>+18176811053</t>
  </si>
  <si>
    <t>Wind Blade Repair Technicians</t>
  </si>
  <si>
    <t>The wind blade repair technician will complete detailed component inspections and reporting on findings, and perform basic fiberglass repairs on wind turbine blades, nacelles and nose cones. Worker will read and follow work instructions, blade schematics and layup schedules. Worker will make use of tools typical of the fiberglass repair trade and calculate mixing ratios and curing times of composite repair materials. Worker will lift, push, pull and carry items up to 50 lbs., stand, stoop, kneel, and bend for prolonged periods of time. Worker will grip and manually manipulate, often with repetitive motion, items such as hand tools, turbine parts. The wind blade technician will work in confined spaces and at heights over 100 meters. Job Classification: 49-9081.00 - Wind Turbine Service Technicians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24 Special Requirements: 24 months of wind industry experience working with epoxies, polyesters, or gel coats. Demonstrated use and understanding of intermediate level of power tools. Technical Course or Higher Education Degree in areas such as Production Management, Industrial Process Improvement, or Quality Management. Wind industry experience working with epoxies, polyesters, or gel coats. GWO (Global Wind Organization). BST - Basic Safety Training Certification. GWO (Global Wind Organization). ART Advanced Rescue Training. Valid Drivers License required. The workers will be subject to drug testing upon reasonable suspicion, paid by the employer and applied equally to all workers, U.S. and foreign/H-2B. The workers are subject to employment criminal background checks, paid by the employer and applied equally to all workers, U.S. and foreign/H-2B. Number of Hours Per Week: 40 Work Schedule (Start/End time): 8:00 A.M. - 5:00 P.M.</t>
  </si>
  <si>
    <t>H-400-26184-077598</t>
  </si>
  <si>
    <t>Ballyerin Racing Inc.</t>
  </si>
  <si>
    <t>Ballyerinracing@hotmail.com</t>
  </si>
  <si>
    <t>+18595764872</t>
  </si>
  <si>
    <t>H-400-26184-077651</t>
  </si>
  <si>
    <t>Carol Lindell</t>
  </si>
  <si>
    <t>Francisco Alvillar</t>
  </si>
  <si>
    <t>11/08/2027</t>
  </si>
  <si>
    <t>carol.lindell@gmail.com</t>
  </si>
  <si>
    <t>+15122006603</t>
  </si>
  <si>
    <t>a. Care, teach, and perform age-appropriate activities for young children, such as lap play, reading, and arts and crafts, to encourage intellectual development of children. b. Organize and conduct age-appropriate recreational and enriching activities, such as games, arts and crafts, sports, walks, and play dates. c. If required, supervise and assist children with school work and communication with teachers or instructors. d. Help prepare and serve nutritionally balanced meals and snacks for children. e. Model appropriate social and moral behaviors and encourage concern for others to cultivate development of interpersonal relationships and communication skills. f. Vigilantly monitor and engage children to ensure they are safe, secure, and involved in developmentally appropriate, risk-free activities. g. Observe children's behavior for irregularities, take temperature, transport children to doctor, or administer medications, as directed, to maintain children's health. h. Work with parents to develop and implement discipline programs to promote desirable child behavior. i. Perform housekeeping and cleaning duties related to children's care. j. Meet regularly with parents to discuss children's activities and development. k. Help develop or monitor family schedule. l. Shop for groceries, clothing, and other items needed for children's care. Job Classification: 39-9011.01 - Nannies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EMPLOYER WILL OFFER AT LEAST 36 HOURS A WEEK; BETWEEN 6AM - 12 NOON AND 3-8 PM; 6 DAYS A WEEK (SUNDAYS OFF), SOMETIMES SPLITSHIFT IS REQUIRED, WITH SOME AFTERNOON/EVENING HOURS. ALTHOUGH UNANTICIPATED, IF WORKER IS OFFERED AND ACCEPTS TO WORK MORE THAN 40 HOURS ("OVERTIME") IN ANY GIVEN WEEK, EMPLOYER WILL COMPENSATE WORKER OVERTIME AT TIME AND HALF, WHICH IS $22.22. Number of Hours Per Week: 36 Work Schedule (Start/End time): 6:00 A.M. - 8:00 P.M.</t>
  </si>
  <si>
    <t>H-400-26184-077608</t>
  </si>
  <si>
    <t>Corporate eWaste Solutions</t>
  </si>
  <si>
    <t>31/08/2027</t>
  </si>
  <si>
    <t>HR@cews.com</t>
  </si>
  <si>
    <t>+17148829009</t>
  </si>
  <si>
    <t>Electronic Waste Sorter</t>
  </si>
  <si>
    <t>Perform manual labor duties in a recycling facility processing electronic waste materials. Receive, unload, and move incoming shipments of discarded electronic equipment, including computers, monitors, phones, solar panels and related components. Sort and separate materials by type and condition into designated categories for reuse or recycling, following established procedures and supervisor instructions. Perform basic, routine disassembly of electronic devices using standard hand tools (such as screwdrivers, pliers and drills) to separate components, in accordance with set guidelines. No repair, testing, or troubleshooting of equipment is performed. Visually recognize and remove hazardous materials, including batteries, cathode ray tubes (CRTs), mercury lamps, and handle according to provided instructions and safety procedures. Weigh, label, and move materials using basic tracking methods, such as scales, logs, or barcode scanners, as instructed. Prepare materials for further processing or shipment by stacking, palletizing, wrapping, or placing items in designated containers. Maintain cleanliness and organization of work areas, including sorting stations, storage bins, and processing areas. Follow all safety procedures, including the proper use of personal protective equipment (PPE), OSHA standards, and adhere to company policies and standard operating procedures. Perform repetitive tasks in a production-based environment, including standing for extended periods, lifting, bending, and handling materials throughout the work shift. Job Classification: 53-7062.04 - Recycling and Reclamation Workers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3 months of related experience required. Must be able to lift up to 50 lbs repeatedly. Must be able to stand, bend, and move for extended periods. The role involves sustained physical activity such as lifting, moving, and handling materials. Must be able to perform repetitive manual tasks throughout the work shift. Must be able to handle materials using both hands and perform simple grasping and manipulation tasks. Must be able to follow written and verbal instructions, including safety policies. Must be able to work assigned shifts, including evenings, nights, weekends, and holidays, as required. Must be able to wear and properly use required personal protective equipment (PPE) at all times and follow established safety procedures and company policies. Must be able to work in a recycling facility environment with exposure to dust, noise, and electronic waste materials (Working conditions include high temperatures, extremely dry air, and drought-like climate conditions, particularly during summer months).This position operates on a continuous 24hour schedule, divided into three consecutive 8hour shifts to ensure uninterrupted processing of electronic waste materials. Rotating schedule with various 8-hours shifts: Day Shift from 6:00am-2:00pm. Swing shift from 2:00pm to 10:00pm. Night shift from 10:00pm to 6:00am. Employees rotate shifts weekly or monthly. Occasional weekend and holiday work as needed. The workers will be subject to drug testing upon reasonable suspicion, paid by the employer and applied equally to all workers, U.S. and foreign/H-2B. The workers are subject to pre-employment criminal background checks, paid by the employer and applied equally to all workers, U.S. and foreign/H-2B. The work schedule is as follows: 40 hours a week from Monday to Friday. Rotating schedule, various 8-hours shifts: Day Shift from 6:00am-2:00pm. Swing shift from 2:00pm to 10:00pm. Night shift from 10:00pm to 6:00am. Employees rotate shifts weekly or monthly. Occasional weekend and holiday work as needed. Number of Hours Per Week: 40 Work Schedule (Start/End time): 6:00 A.M. - 10:00 P.M.</t>
  </si>
  <si>
    <t>H-400-26184-077642</t>
  </si>
  <si>
    <t>De La Cruz Racing LLC</t>
  </si>
  <si>
    <t>normarose2016@gmail.com</t>
  </si>
  <si>
    <t>+13177025213</t>
  </si>
  <si>
    <t>H-400-26184-077613</t>
  </si>
  <si>
    <t>Dolphin Pool Services, LLC</t>
  </si>
  <si>
    <t>operations@dolphinpooldmv.com</t>
  </si>
  <si>
    <t>+18666817665</t>
  </si>
  <si>
    <t>Pool Technician</t>
  </si>
  <si>
    <t>Performing job duties related to pool opening/closing and maintenance care. Maintain private and public swimming pools, hot tubs and wading pools. Maintain proper chemical balance of pools along with storing of chemicals. Maintain an automated record of all activities and submit a report via email/text to the office after each pool visit. Transport various types of materials and equipment. Clean and service swimming pool filtration system. Use swimming pool vacuum cleaner to clean pool floors. Use telescopic pole with net to clean and remove any leaves or debris. Scrub pool floors and walls using brush. On the job training is provided. The worker transports, loads, unloads, stages, organizes, and moves materials, tools, equipment, supplies, and chemicals required for swimming pool opening, closing, winterization, winter care, and maintenance services at residential and commercial swimming pools, hot tubs, and wading pools. Duties include loading and securing equipment and supplies on company vehicles; transporting materials between company facilities and customer locations; unloading, staging, and organizing equipment at job sites; and returning equipment and unused materials to vehicles upon completion of services. Workers may use two-wheel dollies and similar material-handling equipment to move heavy items. Tools, equipment, and materials used include air blowers, air compressors, drain pumps, drain hoses, winter safety covers, cover installation and anchor tools, skimmer plugs, gizmos, chemical test kits, pool vacuum cleaners, telescopic poles, skimmer nets, pool brushes, hand drills, wrenches, screwdrivers, extension cords, external batteries, antifreeze, algaecide, chlorine products, dechlorine products, pH reducers, plaster protectants, and other pool maintenance chemicals and supplies. Workers operate company-owned pickup trucks, including Ford F-150, Chevrolet Silverado, or similar vehicles, to transport employees, tools, equipment, chemicals, and supplies to customer locations. Vehicles have an approximate gross vehicle weight of 6,700 pounds. The worker services swimming pool filtration systems as part of pool opening, closing, winterization, winter care, and maintenance services. Duties include shutting down filtration systems; turning off and securing pumps, filters, heaters, chlorination equipment, and circulation systems; draining water from equipment and piping to prevent freeze damage; removing and reinstalling drain plugs; disconnecting, reconnecting, and inspecting system components; airblowing circulation lines; inspecting equipment and plumbing for proper winterization; checking for leaks, damage, freeze risks, and pipe bursts; cleaning equipment rooms; and preparing filtration systems for seasonal shutdown. Workers use air blowers, air compressors, drain pumps, drain hoses, hand drills, wrenches, screwdrivers, extension cords, chemical test kits, and other pool service tools. Winterization duties include lowering pool water levels 16–24 inches below the waterline using pumps and hoses; air-blowing suction, return, and water-feature lines; installing skimmer plugs and gizmos; installing, adjusting, and securing winter safety covers and anchors; applying winter treatment chemicals; removing debris using pool vacuums, skimmer nets, and telescopic poles; brushing pool surfaces; air-blowing pool decks; organizing equipment rooms; and monitoring equipment and plumbing systems to help prevent freeze damage. Workers maintain electronic service records and submit reports by email or text message after each pool visit. Job Classification: 49-9099.00 - Installation, Maintenance, and Repair Workers, All Other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Must be able to lift 50 pounds and work in adverse weather conditions. The work schedule varies, and shifts are flexible. Must be able to work 40 - 65 hours per week; overtime available, as weather permits. Must possess a valid drivers license or foreign equivalent or have the ability to possess a valid drivers license in the United States. The workers will be subject to drug testing upon reasonable suspicion, paid by the employer and applied equally to all workers, U.S. and foreign/H-2B. Number of Hours Per Week: 40 Work Schedule (Start/End time): 8:00 A.M. - 5:00 P.M.</t>
  </si>
  <si>
    <t>H-400-26184-077622</t>
  </si>
  <si>
    <t>Energy Panel Structures, Inc</t>
  </si>
  <si>
    <t>rwesley@epsbuildings.com</t>
  </si>
  <si>
    <t>+17128593219</t>
  </si>
  <si>
    <t>Workers will primarily be working on general production work and assembling trusses. Workers will load lumber onto a truss table at joints and fasten it with various tools, including hammers, nails, drills, screws, and the application of glue. The worker may operate a roller to secure truss plates. After trusses are assembled, a forklift will load completed trusses, material plates, and wall panels onto trucks for transportation. Workers will lift raw materials, finished products, and packed items, manually or using hoists. The worker will load and unload items onto equipment for processing and package finished products for shipping. The worker will ensure products are in conformance with the company’s specifications. Workers will sort materials or products for processing, storing, shipping, or grading. The worker will accurately record the product’s data and pull maged or ineffective equipment off the processing line. Workers will also clean work areas and equipment. Job Classification: 53-7041.00 - Hoist and Winch Operators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Must be able to lift seventy-five (75) lbs. frequently throughout the workday. Must be able to pass pre-employment, post-accident, and other random drug testing. Hours and shifts are flexible workers may be required to work night shifts. The workers will be subject to drug testing upon reasonable suspicion, paid by the employer and applied equally to all workers, U.S. and foreign/H-2B. The work schedule is as follows: 40 hours a week, divided into multiple 8-hour shifts: Day shift: 7:00 AM 3:30 PM (Mon. Fri.) Night shift: 3:30 PM 12:00 AM (Sun. Thurs.) Workers will be limited to 40 hours per week; any hours worked beyond that will be considered overtime. Number of Hours Per Week: 40 Work Schedule (Start/End time): 7:00 A.M. - 12:00 A.M.</t>
  </si>
  <si>
    <t>H-400-26184-077623</t>
  </si>
  <si>
    <t>Four Star Sales LLC</t>
  </si>
  <si>
    <t>AJ@fourstarsales.com</t>
  </si>
  <si>
    <t>+18592524800</t>
  </si>
  <si>
    <t>Barn Foreman</t>
  </si>
  <si>
    <t>Attends to the overall care of thoroughbred racehorses including feeding, watering, maintenance of stalls and rack, cleaning, brushing, exercising, trimming of horses, disinfecting stalls and bedding, administration of meds as directed, inspection of horse's physical condition. Will care for yearlings and breeding stock throughout consignment process. Job Classification: 39-2021.00 - Animal Caretakers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1 Special Requirements: Must be able to lift up to 50 lbs Number of Hours Per Week: 56 Work Schedule (Start/End time): 5:00 A.M. - 5:00 P.M.</t>
  </si>
  <si>
    <t>H-400-26184-077611</t>
  </si>
  <si>
    <t>Grass Works Lawn Care, LLC</t>
  </si>
  <si>
    <t>fmycue@yahoo.com</t>
  </si>
  <si>
    <t>+15127309482</t>
  </si>
  <si>
    <t>Landscape or maintain grounds of property using hand or power tools or equipment such as lawnmowers, leaf blowers, grass trimmers, and pruning shears. Workers typically perform a variety of tasks, which may include any combination of the following: sod laying, mowing, trimming, planting, watering, fertilizing, digging, raking, sprinkler installation, and installation of mortarless segmental concrete masonry wall units. Perform winter cutbacks on perennials and plants in order to properly prepare lawns or landscapes for winter weather and new growth in the Spring. Maintain irrigation systems on flower beds, including winterizing the systems before temperatures drop below freezing to prevent damage. Assist with yard clean up, leaf removal, mulch or replace the mulch, and leaf cleanup. Job Classification: 37-3011.00 - Landscaping and Groundskeeping Workers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Must have at least three (3) months of landscaping or related experience. Must be able to lift up to 60 lbs. Number of Hours Per Week: 35 Work Schedule (Start/End time): 8:00 A.M. - 5:00 P.M.</t>
  </si>
  <si>
    <t>H-400-26184-077619</t>
  </si>
  <si>
    <t>H-400-26184-077638</t>
  </si>
  <si>
    <t>Hallaton, Inc.</t>
  </si>
  <si>
    <t>tharman@hallaton.com</t>
  </si>
  <si>
    <t>+17318858888</t>
  </si>
  <si>
    <t>Construction laborers will perform manual labor, such as moving sandbags, debris and hundreds of thousands of square feet of liner material used for water containment and landfill lining systems. Job Classification: 47-2061.00 - Construction Laborers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Must be able to lift 50 lbs. Number of Hours Per Week: 40 Work Schedule (Start/End time): 7:00 A.M. - 4:00 P.M.</t>
  </si>
  <si>
    <t>H-400-26184-077647</t>
  </si>
  <si>
    <t>Handal Racing LLC</t>
  </si>
  <si>
    <t>eliacermontecino@yahoo.com</t>
  </si>
  <si>
    <t>+19512704234</t>
  </si>
  <si>
    <t>Attends to the overall care of thoroughbred racehorses including feeding, watering, maintenance of stalls and rack, cleaning, brushing, exercising, trimming of horses, disinfecting stalls and bedding, administration of meds as directed, inspection of horse's physical condition. Will lift legs and clean horse's feet and apply liniments and bandages to legs as required. Will care for 1-5 horses at a time. Split shift 5AM to 11AM and 3PM to 5PM. Days off Rotates. Job Classification: 39-2021.00 - Animal Caretakers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1 Special Requirements: Must be able to lift 50 lbs Number of Hours Per Week: 56 Work Schedule (Start/End time): 5:00 A.M. - 5:00 P.M.</t>
  </si>
  <si>
    <t>H-400-26184-077625</t>
  </si>
  <si>
    <t>Jamie Ness Racing</t>
  </si>
  <si>
    <t>mmexjock@icloud.com</t>
  </si>
  <si>
    <t>+17276428553</t>
  </si>
  <si>
    <t>H-400-26184-077633</t>
  </si>
  <si>
    <t>John J Robb Public Racing Stables</t>
  </si>
  <si>
    <t>lbrobb@aol.com</t>
  </si>
  <si>
    <t>+14103530419</t>
  </si>
  <si>
    <t>H-400-26184-077627</t>
  </si>
  <si>
    <t>Joseph Landscaping</t>
  </si>
  <si>
    <t>jamesconley236@gmail.com</t>
  </si>
  <si>
    <t>+13046417978</t>
  </si>
  <si>
    <t>Winter Landscape Maintenance</t>
  </si>
  <si>
    <t>Removal and trimming of trees and bushes from the ground; raking and cleaning up ground, leaf removal, and leftover debris; disposal of brush, limbs, and trees; winter landscape planting including hollies and other evergreens, spreading mulch; perennial rye grass installation, application and fertilization, winterizing plants and trees to protect from freezes; annual winter color installs; property wide mulch installation, application and fertilization to protect plants, and winterization and draining of sprinkler system; retention pond cleanouts. Remove accumulated deposits of snow on an ongoing basis in extreme weather conditions on various commercial properties using snow blowers and standard commercial snow shovels. Ice remediation and salt application. Loading and unloading of materials and equipment. Lifting requires up to 50 pounds. Work performed on local area jobsites with employer-provided transportation to and from jobsites from a centralized pickup location in the specified area of employment. Job Classification: 37-3011.00 - Landscaping and Groundskeeping Workers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Additional requirements: Employer paid pre-hire drug test. Number of Hours Per Week: 40 Work Schedule (Start/End time): 8:00 A.M. - 5:00 P.M.</t>
  </si>
  <si>
    <t>H-400-26184-077624</t>
  </si>
  <si>
    <t>Joshtylane Equine</t>
  </si>
  <si>
    <t>jcservis@aol.com</t>
  </si>
  <si>
    <t>+12153786251</t>
  </si>
  <si>
    <t>Attends to the overall care of thoroughbred race horses including feeding, watering, maintenance of stalls and rack, cleaning, brushing, exercising, trimming of horses, disinfecting stalls and bedding, administration of meds as directed, inspection of horses physical condition. Will lift legs and clean horse's feet and apply liniments and bandages to legs as required. Will care for 1-5 horses at a time. Split shift 5AM to 11AM and 3PM to 5PM. Days off Rotates. Job Classification: 39-2021.00 - Animal Caretakers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1 Special Requirements: Must be able to lift 50 lbs Number of Hours Per Week: 56 Work Schedule (Start/End time): 5:00 A.M. - 5:00 P.M.</t>
  </si>
  <si>
    <t>H-400-26184-077649</t>
  </si>
  <si>
    <t>Kelli Martinez</t>
  </si>
  <si>
    <t>martinezstables@hotmail.com</t>
  </si>
  <si>
    <t>+14022763791</t>
  </si>
  <si>
    <t>H-400-26184-077641</t>
  </si>
  <si>
    <t>Knuckleheads FEC, LLC</t>
  </si>
  <si>
    <t>apalmer@dellsknuckleheads.com</t>
  </si>
  <si>
    <t>+16082548838</t>
  </si>
  <si>
    <t>Ride Operator</t>
  </si>
  <si>
    <t>Duties: Maintain safe daily operation of rides and jump courts, Provide excellent level of customer service, Consistently and politely enforce the safety standards of the facility, and standards specific to each attraction, Complete opening and closing duties, Promptly informs the Manager on Duty of any and all customer complaints or comments or discipline issues with customers, Report any and all injuries to court supervisor and/or management who is responsible for backing up the footage on the video cameras and uploading to the Incident Report Form with completed waiver, Ability to read and interpret documents such as safety rules, operating and maintenance instructions, and procedure manuals. Ability to write routine reports and correspondence. Ability to speak effectively before groups of customers or employees of business, and additional duties/tasks as assigned by the General Manager. Job Classification: 39-3091.00 - Amusement and Recreation Attendants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Must be able to lift 30 lbs Number of Hours Per Week: 56 Work Schedule (Start/End time): 8:00 A.M. - 10:00 P.M.</t>
  </si>
  <si>
    <t>H-400-26184-077650</t>
  </si>
  <si>
    <t>LBL Gunite of Tulsa LP</t>
  </si>
  <si>
    <t>bettyklein@usgunite.com</t>
  </si>
  <si>
    <t>+19182245700</t>
  </si>
  <si>
    <t>Concrete Finisher/maintenance</t>
  </si>
  <si>
    <t>Must be able to form concrete and check that they are properly constructed, work with basic concrete tools, such as levels, shovels, and trowels, be able to read and follow blue prints, able to signal drivers and other employees, check concrete to make sure it is properly aligned and at proper depth, clean equipment and work areas. Job Classification: 47-2051.00 - Cement Masons and Concrete Finishers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1 Special Requirements: MUST BE ABLE TO LIFE 50LBS. MUST BE ABLE TO WORK OUTDOORS. PRE-HIRED BACKGROUND CHECK REQUIRED. RANDOM DRUG TESTING DURING EMPLOYMENT. PRE-EMPLOYMENT DRUG TESTING REQUIRED. H-2B WORKERS WILL HAVE BACKGROUND CHECK AND DRUG SCREEN AFTER ARRIVING IN US BEFORE BEGINNING EMPLOYMENT AT EMPLOYERS EXPENSE. H-2B WORKERS THAT FAIL BACKGROUND CHECK OR DRUG SCREEN WILL HAVE RETURN TRANSPORTATION PAID FOR BY EMPLOYER. Number of Hours Per Week: 40 Work Schedule (Start/End time): 7:00 A.M. - 4:00 P.M.</t>
  </si>
  <si>
    <t>H-400-26184-077629</t>
  </si>
  <si>
    <t>Landscaping Worx, LLC</t>
  </si>
  <si>
    <t>maria@landscapingworx.com</t>
  </si>
  <si>
    <t>+19312169840</t>
  </si>
  <si>
    <t>Landscape Maintenance Laborer</t>
  </si>
  <si>
    <t>As a landscaper, workers will be performing landscaping tasks such as seeding, sodding, and hydroseeding. These tasks will also include hardscaping, incorporating the distribution of stones, crushed shells, mulch, etc., to allow for a more appealing yard. Workers can also help with grading by redistributing soil in the yard as instructed. Workers will use various hand tools to perform landscaping tasks, such as rakes, string lines, shovels, wheelbarrows, hand tampers, spades, and lawnmowers. Workers will be required to maintain completed jobs by watering and mowing. In preparation for the winter season, workers will be performing job site clean-up and ensuring equipment is properly stored for the colder months. Workers will also perform overseeding to prepare for the possible frost season, including applying fertilizer treatment to bushes, trees, and other natural flora. Job Classification: 37-3011.00 - Landscaping and Groundskeeping Workers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Employer will perform a background check. On-the-job training is provided. Each applicant (U.S. and H-2B workers alike) must complete the Employers standard online employment application as part of the hiring process. The application is uniformly required of all candidates and does not impose additional or different requirements on U.S. workers. The workers will be subject to drug testing upon reasonable suspicion, paid by the employer, and applied equally to all workers, U.S. and foreign/H-2B. The work schedule is as follows: 40 a week from Monday to Saturday. 8-hour shifts from 7:00am to 4:00pm with employees scheduled 5 of the 6 days each week. Number of Hours Per Week: 48 Work Schedule (Start/End time): 7:00 A.M. - 4:00 P.M.</t>
  </si>
  <si>
    <t>H-400-26184-077615</t>
  </si>
  <si>
    <t>Maker Stable LLC</t>
  </si>
  <si>
    <t>chyland410@yahoo.com</t>
  </si>
  <si>
    <t>+15022351871</t>
  </si>
  <si>
    <t>H-400-26184-077610</t>
  </si>
  <si>
    <t>Maple Valley Farms LLC</t>
  </si>
  <si>
    <t>kevinannas@charter.net</t>
  </si>
  <si>
    <t>+18288510357</t>
  </si>
  <si>
    <t>Lawn mowing, weed wacking, trimming shrubs and landscaping; equipment used is lawn mower, weed wackers, back pack blowers, hedge trimmers, shovels, wheel barrels. All tools will be provided at no cost to the worker. Job Classification: 37-3011.00 - Landscaping and Groundskeeping Workers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1 Special Requirements: Must be able to lift 50 lbs. Number of Hours Per Week: 40 Work Schedule (Start/End time): 7:00 A.M. - 4:00 P.M.</t>
  </si>
  <si>
    <t>H-400-26184-077646</t>
  </si>
  <si>
    <t>Mid-West Gunite, LP</t>
  </si>
  <si>
    <t>Nyanez@usgunite.com</t>
  </si>
  <si>
    <t>+13149143624</t>
  </si>
  <si>
    <t>Concrete Finisher</t>
  </si>
  <si>
    <t>Must be able to form concrete and check that they are properly constructed, work with basic concrete tools, such as levels shovels, and trowels, be able to read and follow blue print, able to signal drivers and other employees, check concrete to make sure it is properly aligned and at proper depth. clean equipment and work areas. All tools will be provided Job Classification: 47-2051.00 - Cement Masons and Concrete Finishers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1 Special Requirements: -MUST BE ABLE TO LIFT 50LBS. - MUST BE ABLE TO WORK OUTDOORS -PRE-HIRE BACKGROUND CHECK REQUIRED. RANDOM DRUG TESTING DURING EMPLOYMENT. PRE-EMPLOYMENT DRUG TESTING REQUIRED. H-2B WORKERS WILL HAVE BACKGROUND CHECK AND DRUG SCREEN AFTER ARRIVING IN US BEFORE BEGINNING EMPLOYMENT AT EMPLOYERS EXPENSE. H-2B WORKERS THAT FAIL BACKGR OUND CHECK OR DRUG SCREEN WILL HAVE RETURN TRANSPORTATION PAID FOR BY EMPLOYER. Number of Hours Per Week: 40 Work Schedule (Start/End time): 7:00 A.M. - 4:00 P.M.</t>
  </si>
  <si>
    <t>H-400-26184-077640</t>
  </si>
  <si>
    <t>Milkies Lawn and Garden Service, Inc</t>
  </si>
  <si>
    <t>dustin@milkie.com</t>
  </si>
  <si>
    <t>+18142445557</t>
  </si>
  <si>
    <t>Workers will perform winter property maintenance services for commercial and residential properties. Workers will remove snow and ice from sidewalks, entryways, driveways, pathways, and parking areas using hand tools such as shovels and walk-behind snow blowers. No work will be performed on highways or municipal roads. Workers will apply salt and other de-icing materials to prevent hazardous conditions. Duties include clearing walkways, spreading ice melt, and performing general winter storm cleanup to ensure safe access to properties. Workers will prepare for snow events by organizing and stocking materials, including loading and distributing supplies such as bags of ice melt. Workers will also clean and maintain tools and equipment after use. All snow removal duties are performed manually at ground level. Job Classification: 37-2011.00 - Janitors and Cleaners, Except Maids and Housekeeping Cleaners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1 Special Requirements: 1 month of related experience required. Must lift and carry up to 50 lbs. Employees must be available to work weekends and holidays as needed based on weather conditions to perform snow removal duties. Additional hours may be offered depending on weather conditions, business needs, and operational demands. Work hours may vary, and weather conditions such as extreme cold, snow, or storms may impact the exact schedule. The workers will be subject to drug testing upon workers, US and foreign/H-2B. The workers are subject to employment criminal background checks, paid by the employer and applied qually to all workers, US and foreign/H-2B. Number of Hours Per Week: 35 Work Schedule (Start/End time): 7:30 A.M. - 3:30 P.M.</t>
  </si>
  <si>
    <t>H-400-26184-077626</t>
  </si>
  <si>
    <t>Motley-Motley, Inc.</t>
  </si>
  <si>
    <t>j@motleymotley.com</t>
  </si>
  <si>
    <t>+15095923188</t>
  </si>
  <si>
    <t>Heavy Equipment Operators</t>
  </si>
  <si>
    <t>As a heavy equipment operator, workers will operate all types of caterpillar equipment, excavators, wheel loader, track skid steer, dozers, scrapers, graders, and forklifts. Using either control mechanisms or direct physical activity to operate machines or processes including starting machine, engage clutch, and push and move levers to guide machine along forms or guidelines and to control the operation of machine attachments. Using excavators, wheel loader, track skid steer, and dozers, workers will move material and debris as required by the crew leader. Equipment operated will be used for applying concrete, asphalt, or other materials to roadbeds, parking lots, or airport runways and taxiways or for tamping gravel, dirt, or other materials. Workers will also be performing end-of-the-season tasks, i.e., cleaning debris from worksites, removing ice/snow from worksites, and performing cleaning, oiling, and maintenance of equipment in preparation for storage. To perform ice and snow removal at the worksite, the workers will operate front-end loaders and skid-steer loaders equipped with snow pushers and snow-bucket attachments to clear accumulated snow and ice from equipment, material stockpiles, and worksite access points. Removed snow and ice will be piled or disposed of in designated stockpiles areas or loaded into dump trucks for transport offsite as needed. Workers may also use hand tools, including shovels and ice scrapers, to remove snow and ice from around equipment and structures that cannot be accessed by heavy equipment. Equipment and tools used include front-end loaders, skid-steer loaders, snow pushers, snow-bucket attachments, dump trucks, shovels, and ice scrapers. Job Classification: 47-2071.00 - Paving, Surfacing, and Tamping Equipment Operators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6 Special Requirements: Six (6) months of construction labor experience. Must be able to lift and carry 50 lbs frequently. Must pass an employer-paid post-accident drug test. The workers will be subject to drug testing upon reasonable suspicion, paid by the employer and applied equally to all workers, U.S. and foreign/H-2B. Post-accident, the worker must pass an employer-paid post-accident drug test. Number of Hours Per Week: 40 Work Schedule (Start/End time): 8:00 A.M. - 5:00 P.M.</t>
  </si>
  <si>
    <t>H-400-26184-077636</t>
  </si>
  <si>
    <t>+15094326533</t>
  </si>
  <si>
    <t>Perform general labor at worksite. Prepare grade for concrete, utility pipe installation, hand compaction of gravel materials in trench, grade checking with GPS or Laser, shoveling, operating remotely controlled equipment. Sort cargo before loading and unloading. Maintain and clean work areas to ensure a safe working environment. Workers will also be performing end-of-the-season tasks, i.e., cleaning debris from worksites, removing ice/snow from worksites, and performing cleaning, oiling, and maintenance of equipment in preparation for storage. Workers will prepare grade for concrete placement by measuring, marking, leveling, and grading work areas. Specific tasks include spreading, raking, and leveling soil, gravel, sand, and aggregate materials; removing excess material; compacting subgrade surfaces; and checking elevations to ensure proper slope and grade prior to concrete placement. In performing these duties, workers will use shovels, rakes, grading bars, picks, hand tampers, plate compactors, laser levels, GPS grade-control devices, measuring tapes, string lines, and marking paint and will work with materials including soil, gravel, sand, aggregate base, and concrete forms. Workers will assist with underground utility pipe installation by placing bedding material in trenches, positioning and aligning pipe sections, installing fittings and couplings, backfilling trenches, and compacting fill material around installed pipe. Workers will also place, spread, and compact gravel, sand, and soil materials in trenches and around utility installations. In performing these duties, workers will use shovels, rakes, hand tampers, plate compactors, pipe lasers, measuring tapes, levels, pipe slings, jumping-jack compactors, and hand tools used to connect and secure pipe sections, and will work with materials including. PVC, HDPE, concrete, and metal pipe; fittings and couplings; gravel, sand, bedding materials, and backfill materials. Workers may operate remotely controlled trench rollers and plate compactors. Using remote-control units, workers will maneuver equipment to compact soil, gravel, and backfill materials in trenches, around utility lines, and in confined or hazardous work areas. Specific duties include starting and stopping equipment, controlling movement and compaction patterns, monitor equipment performance, and ensure proper compaction of materials to project specifications. Workers will assist with the installation of underground utility Domestic Water Service Pipes, Sanitary Sewer Pipes, and Storm Drainpipes. Job Classification: 47-2151.00 - Pipelayers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6 Special Requirements: Six (6) months of construction labor experience. Must be able to lift and carry 50 lbs frequently. Must pass an employer-paid post-accident drug test. The workers will be subject to drug testing upon reasonable suspicion, paid by the employer and applied equally to all workers, U.S. and foreign/H-2B. Post-accident, the worker must pass an employer-paid post-accident drug test. Number of Hours Per Week: 40 Work Schedule (Start/End time): 8:00 A.M. - 5:00 P.M.</t>
  </si>
  <si>
    <t>H-400-26184-077614</t>
  </si>
  <si>
    <t>Nolan's Lawn Care, LLC</t>
  </si>
  <si>
    <t>nolan@nolan-landscaping.com</t>
  </si>
  <si>
    <t>+13193259190</t>
  </si>
  <si>
    <t>Winter Landscape Laborer</t>
  </si>
  <si>
    <t>Workers will perform lawn maintenance and commercial landscape installation tasks such as planting trees, shrubs and perennials. Workers will also install mulching, river rock, landscape fabric, landscaping edging (black plastic edging, steel edging, bullet edging, etc.) Workers will use hand tools such as rakes, shovels, wheelbarrows, and picks. Workers will install sod grass by preparing soil and laying sod or hydro seeds on lawns. Workers will also assist in installing erosion control matting, retaining walls, and concrete pavers. Workers will operate powered equipment such as mowers, weed eaters, saws for hardscape material cutting, and mini skid steers and tractors to plant trees, install retaining walls, and prep areas for rock/mulch installation. Workers will also perform winterization tasks such as winter cutbacks on perennials and plants in order to properly prepare lawn or landscape for winter weather and new growth in the Spring. Maintain irrigation systems, including winterizing the systems before temperatures drop below freezing to prevent damage. Job Classification: 47-4091.00 - Segmental Pavers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Must be able to lift fifty (50) lbs. frequently throughout the workday. Workers may occasionally work Saturdays. Number of Hours Per Week: 40 Work Schedule (Start/End time): 7:00 A.M. - 5:00 P.M.</t>
  </si>
  <si>
    <t>H-400-26184-077620</t>
  </si>
  <si>
    <t>Winter Maintenance and Mowing Technician</t>
  </si>
  <si>
    <t>Workers will assist with yard clean up, leaf removal, mulch or replace the mulch, and leaf cleanup. Workers will perform various winterization and autumnal duties such as planting of winter species trees/shrubs/annuals, winter pruning of trees/shrubs, digging, raking, leaf removal, aeration &amp; overseeding of turf areas. Workers will also perform landscape duties and/or maintain grounds of property using hand or power tools or equipment which is not limited to edgers, zero-turn mowers, aerators, sprayers, blowers, seed spreaders, rakes, shovels, hand pruners, and hedge shears. Workers typically perform a variety of tasks, which may include any combination of the following: gather and remove litter, sod laying, mowing, trimming, planting, aerating, overseeding, watering, digging, raking, and sprinkler installation. Workers will assist with yard clean up, snow removal, mulch or replace mulch, and leaf cleanup. Workers will also use hand tools to install and remove plants. Job Classification: 37-3011.00 - Landscaping and Groundskeeping Workers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Must be able to lift fifty (50) lbs. frequently throughout the workday. Number of Hours Per Week: 40 Work Schedule (Start/End time): 7:00 A.M. - 5:00 P.M.</t>
  </si>
  <si>
    <t>H-400-26184-077648</t>
  </si>
  <si>
    <t>Omni Montelucia, LLC</t>
  </si>
  <si>
    <t>chris.mcclintock@omnihotels.com</t>
  </si>
  <si>
    <t>+14806273200</t>
  </si>
  <si>
    <t>Cooks will produce high-quality food according to recipes &amp; menus, or perform assigned special tasks, in a timely, organized manner. Cooks will prepare, season &amp; cook soups, meats, vegetables, desserts, and other food items in a restaurant. Cooks will ensure a high level of sanitation &amp; safety at all times. Job Classification: 35-2014.00 - Cooks, Restaurant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No minimum education or training required. Must be able to lift, push, and pull 50 lbs. Must be able to work at least a 5-day workweek. Must be able to work weekends and holidays as required. Must be able to obtain ServSafe Food Handlers Certification. Each applicant (U.S. and H-2B workers alike) must complete the Employers standard online employment application as part of the hiring process. The application is uniformly required of all candidates and does not impose additional or different requirements on U.S. workers. The workers will be subject to drug testing upon reasonable suspicion, paid by the employer and applied equally to all workers, U.S. and foreign/H-2B. The workers are subject to employment criminal background checks, paid by the employer and applied equally to all workers, U.S. and foreign/H-2B. Sunday to Saturday, rotating and varying 8-hour shifts from 5:00 AM to 1:00 AM. Workdays and shift times may vary with occupancy and events. Number of Hours Per Week: 35 Work Schedule (Start/End time): 5:00 A.M. - 1:00 A.M.</t>
  </si>
  <si>
    <t>H-400-26184-077644</t>
  </si>
  <si>
    <t>Housekeepers will maintain the hotel/resort/villa in a clean and orderly manner. Housekeepers will clean guest rooms, conference facilities, halls, public area spaces, bathrooms, and windows, and clean and polish mirrors. Housekeepers will remove, sort, fold, carry, and replace linens; make beds, replenish supplies, set up guest room and meeting room furniture, pictures, and amenities according to resort standards. Housekeepers will dust, mop, vacuum, extract/shampoo carpets, and dispose of refuse. Housekeepers will follow the required safe cleaning and sanitizing procedures. Job Classification: 37-2011.00 - Janitors and Cleaners, Except Maids and Housekeeping Cleaners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No minimum education or training required. Must be able to lift, push, and pull 50 lbs. Must be able to work at least a 5-day workweek. Must be able to work weekends and holidays as required. Each applicant (U.S. and H-2B workers alike) must complete the Employers standard online employment application as part of the hiring process. The application is uniformly required of all candidates and does not impose additional or different requirements on U.S. workers. The workers will be subject to drug testing upon reasonable suspicion, paid by the employer and applied equally to all workers, U.S. and foreign/H-2B. The workers are subject to employment criminal background checks, paid by the employer and applied equally to all workers, U.S. and foreign/H-2B. Sunday to Saturday, rotating and varying 8-hour shifts from 5:00 AM to 2:00 AM. Workdays and shift times may vary with occupancy and events. Number of Hours Per Week: 35 Work Schedule (Start/End time): 5:00 A.M. - 2:00 A.M.</t>
  </si>
  <si>
    <t>H-400-26184-077602</t>
  </si>
  <si>
    <t>Plett Transport</t>
  </si>
  <si>
    <t>pletttrans@gmail.com</t>
  </si>
  <si>
    <t>+14055670025</t>
  </si>
  <si>
    <t>Cdl Driver</t>
  </si>
  <si>
    <t>***RFI Response*** Must have current CDL for over the road commercial driving. 2 years experience preferred. Driver responsible for making sure loads get tarped, strapped, and secured properly. Driver must be professional, safety conscious, and follow rules/laws of the Department of Transportation. Driver must pass pre employment drug screen/alcohol tests. Driver must have a current medical card. Driver must be able to drive a truck and trailer that has a gross weight of 80,000 lbs. ***Original F.a.2*** Securing Loads, Tarping, and Pulling Flatbed trailers. Job Classification: 53-3032.00 - Heavy and Tractor-Trailer Truck Drivers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2 Special Requirements: CDL License Must be able to lift 50 lbs Number of Hours Per Week: 40 Work Schedule (Start/End time): 7:00 A.M. - 6:00 P.M.</t>
  </si>
  <si>
    <t>H-400-26184-077600</t>
  </si>
  <si>
    <t>R&amp;L Construction LLC</t>
  </si>
  <si>
    <t>fabian010129@yahoo.com</t>
  </si>
  <si>
    <t>+19185000630</t>
  </si>
  <si>
    <t>Concrete Laborer/finisher</t>
  </si>
  <si>
    <t>Cleaning and preparing construction sites, loading and unloading materials, pouring and finishing concrete, building forms and assisting skilled trades people in their duties. Need to be outside for 8 hours a day. Job Classification: 47-2051.00 - Cement Masons and Concrete Finishers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1 Special Requirements: Must be able to lift 50 lbs. Number of Hours Per Week: 40 Work Schedule (Start/End time): 7:00 A.M. - 4:00 P.M.</t>
  </si>
  <si>
    <t>H-400-26184-077601</t>
  </si>
  <si>
    <t>RG Hot Shot LLC</t>
  </si>
  <si>
    <t>reygonzalez4323@gmail.com</t>
  </si>
  <si>
    <t>+18327316633</t>
  </si>
  <si>
    <t>Tidying up work areas, unloading materials, preparing worksites for skilled tradespeople to do skilled labor (i.e., will organize tools, lay down tarps, set up ladders), handing tools to supervisor, cleaning debris and work areas, pouring and finishing concrete. Job Classification: 47-2051.00 - Cement Masons and Concrete Finishers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1 Special Requirements: Must be able to lift 50 lbs. Number of Hours Per Week: 40 Work Schedule (Start/End time): 9:00 A.M. - 5:00 P.M.</t>
  </si>
  <si>
    <t>H-400-26184-077628</t>
  </si>
  <si>
    <t>Richard Vega Racing Stable Inc.</t>
  </si>
  <si>
    <t>horsehoppin@aol.com</t>
  </si>
  <si>
    <t>+12156382229</t>
  </si>
  <si>
    <t>H-400-26184-077612</t>
  </si>
  <si>
    <t>Rigney Racing LLC</t>
  </si>
  <si>
    <t>pbauer@clarendonflavors.com</t>
  </si>
  <si>
    <t>+15028896779</t>
  </si>
  <si>
    <t>H-400-26184-077621</t>
  </si>
  <si>
    <t>Romans Racing Stable</t>
  </si>
  <si>
    <t>lmhuffinc@outlook.com</t>
  </si>
  <si>
    <t>+15024194557</t>
  </si>
  <si>
    <t>H-400-26184-077639</t>
  </si>
  <si>
    <t>Saffie Joseph Jr Racing Inc.</t>
  </si>
  <si>
    <t>saffiejoseph@yahoo.com</t>
  </si>
  <si>
    <t>+13053387517</t>
  </si>
  <si>
    <t>H-400-26184-077630</t>
  </si>
  <si>
    <t>Schultz Racing Stable LLC</t>
  </si>
  <si>
    <t>lindsayfschultz@gmail.com</t>
  </si>
  <si>
    <t>+18602185306</t>
  </si>
  <si>
    <t>ATTENDS TO THE OVERALL CARE OF THOROUGHBRED RACEHORSES INCLUDING FEED, WATER, MAINTENANCE OF STALLS &amp; TACK, CLEAN, BRUSH, EXERCISE, TRIM OF HORSES, DISINFECT STALLS &amp; BEDDING. WILL LIFT LEGS AND CLEAN HORSES FEET AND APPLY LINIMENTS AND BANDAGES TO LEGS AS REQUIRED. WILL CARE FOR 1-5 HORSES AT A TIME. SPLIT SHIFTS 5-11 AM AND 3-5 PM. Days Off Rotates, workers will work 40hrs a week unless they decide to work overtime Job Classification: 39-2021.00 - Animal Caretakers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1 Special Requirements: Must be able to lift 50 lbs. Number of Hours Per Week: 56 Work Schedule (Start/End time): 5:00 A.M. - 5:00 P.M.</t>
  </si>
  <si>
    <t>H-400-26184-077609</t>
  </si>
  <si>
    <t>Stidham Racing Stable</t>
  </si>
  <si>
    <t>pbelanto@hotmail.com</t>
  </si>
  <si>
    <t>+15049150231</t>
  </si>
  <si>
    <t>H-400-26184-077616</t>
  </si>
  <si>
    <t>Texas Winterscapes LLC</t>
  </si>
  <si>
    <t>Elliott Mason</t>
  </si>
  <si>
    <t>admin@texaswinterscapes.com</t>
  </si>
  <si>
    <t>+13464154410</t>
  </si>
  <si>
    <t>Removal and trimming of trees and bushes from the ground; raking and cleaning up ground, leaf removal, and leftover debris; disposal of brush, limbs, and trees; winter landscape planting including hollies and other evergreens, spreading mulch; perennial rye grass installation, application and fertilization, winterizing plants and trees to protect from freezes with winter maintenance of yards with drainage control; annual winter color installs; perennial cutbacks, pruning, and dead heading; property wide mulch installation, application and fertilization to protect plants, and winterization and draining of sprinkler system; retention pond cleanouts. Ice remediation and salt application. Organizing and preparing various stock of holiday decor including string lights, ornaments, and season and holiday arrangements, displays and settings. Also, to include installing and/or removing such holiday decor/stock and materials from jobsites and prepare for storage. Loading and unloading of materials and equipment. Lifting required up to 50 pounds. Work performed on local area jobsites with employer provided transportation to and from jobsites from a centralized pickup location in the specified area of employment. Job Classification: 49-9099.00 - Installation, Maintenance, and Repair Workers, All Other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Must be 18 years or older. Must show proof of legal authorization to work in the United States. Perform physical activities: such as lift, balance, walk, stoop, handle, position, move, manipulate materials use static strength to exert maximum muscle force to lift, push, pull, carry objects up to 50lbs. All applicants must be able, willing, qualified to perform work described and must be available for the entire period specified.Outdoors, exposed to weather; must be capable of doing physically strenuous labor for long hours, occasionally in extreme heat or cold. Variable weather conditions apply; hours may fluctuate (+/-), possible downtime and/or OT. Drug testing may be required of foreign and domestic workers post-hire post-accident at no cost to workers.Employer paid pre-hire drug test and pre-hire criminal background check. Number of Hours Per Week: 40 Work Schedule (Start/End time): 6:30 A.M. - 3:30 P.M.</t>
  </si>
  <si>
    <t>H-400-26184-077632</t>
  </si>
  <si>
    <t>Trinity Landscaping LLC</t>
  </si>
  <si>
    <t>shane@trinitylandscaping.com</t>
  </si>
  <si>
    <t>+19403838258</t>
  </si>
  <si>
    <t>Mow, cut, water, edge lawns: rake and blow leaves; dig holes using hand tools with a max depth/width of 3 ft to plant; pull, chop weeds, prune, trim and haul topsoil and mulch. Involves loading and unloading tools and supplies and equipment weighing up to 50 lbs. Involves working outdoors in all types of weather. Involves extensive standing, sitting or walking. Involves frequent stooping or bending. Involves repetitive movements.. Optional company vehicle for personal and work transportation as needed and if available, must have a drivers license and be eligible to drive. Possibility of performance based raise, bonuses, overtime and Saturdays as required. Transportation provided to multiple worksites from central location in Denton, TX. 60 minutes of unpaid breaks throughout the day. Daily hours may vary between start and end times listed depending on weather or job assignments. Job Classification: 37-3011.00 - Landscaping and Groundskeeping Workers The job/industry classification and description includes general information on the position from ONET/OES and the North American Industry Classification System. Please review Job Duties and Job Order for more information. Job Requirements Experience Required: No Number of Hours Per Week: 40 Work Schedule (Start/End time): 6:30 A.M. - 3:30 P.M.</t>
  </si>
  <si>
    <t>H-400-26184-077637</t>
  </si>
  <si>
    <t>W. Ellery Kellum, Inc.</t>
  </si>
  <si>
    <t>hannah@kellumseafood.com</t>
  </si>
  <si>
    <t>+18044385476</t>
  </si>
  <si>
    <t>**RFI No tools are used for this task. The worker dumps a bucket that is on a gantry system in front of them. That places the oysters on their workstations. **Original** Obtain &amp; distribute product; use knife to cut oyster from shell; discard shell; inspect meat for blemishes &amp; remove/discard; separate processed meat by size or quality &amp; place oysters in containers; assist with handling shell oysters; assist with cleaning work station at end of shift. No Experience/No educ.7 days on the job training provided See attached addendum Job Classification: 51-3022.00 - Meat, Poultry, and Fish Cutters and Trimmers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Lift/carry up to 75 pounds. Employer paid drug test is Random. The employer may conduct lawful, job-related screening of applicants, including inquiries into criminal history, where permitted by applicable federal, state, and local laws. Any consideration of criminal history will be conducted on an individualized basis and employment decisions will be made in a nondiscriminatory manner consistent with applicable laws and business necessity. No infectious diseases; seafood allergies may be fatal Number of Hours Per Week: 35 Work Schedule (Start/End time): 6:00 A.M. - 1:00 P.M.</t>
  </si>
  <si>
    <t>H-400-26184-077603</t>
  </si>
  <si>
    <t>Werre Racing LLC</t>
  </si>
  <si>
    <t>werreracing@gmail.com</t>
  </si>
  <si>
    <t>+15026040765</t>
  </si>
  <si>
    <t>Attends to the overall care of thoroughbred racehorses including feeding, watering, maintenance of stalls and rack, cleaning, brushing, exercising, trimming of horses, disinfecting stalls and bedding, administration of meds as directed, inspection of horse's physical condition. Will lift legs and clean horse's feet and apply liniments and bandages to legs as required. Will care for 1-5 horses at a time. Split shift 5AM to 11AM and 3PM to 5PM. Days off Rotates. Job Classification: 39-2021.00 - Animal Caretakers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1 Special Requirements: Must be able to lift up to 50 lbs Number of Hours Per Week: 56 Work Schedule (Start/End time): 5:00 A.M. - 5:00 P.M.</t>
  </si>
  <si>
    <t>H-400-26184-077634</t>
  </si>
  <si>
    <t>Wesley Ward Enterprises LLC</t>
  </si>
  <si>
    <t>bearfan@mac.com</t>
  </si>
  <si>
    <t>+18188025880</t>
  </si>
  <si>
    <t>H-400-26184-077618</t>
  </si>
  <si>
    <t>William Becker</t>
  </si>
  <si>
    <t>Redbird27@hotmail.com</t>
  </si>
  <si>
    <t>+16185300978</t>
  </si>
  <si>
    <t>H-400-26184-077635</t>
  </si>
  <si>
    <t>Witt Racing Stable</t>
  </si>
  <si>
    <t>ewitt.70@gmail.com</t>
  </si>
  <si>
    <t>+14794612449</t>
  </si>
  <si>
    <t>ATTENDS TO THE OVERALL CARE OF THOROUGHBRED RACEHORSES INCLUDING FEED, WATER, MAINTENANCE OF STALLS &amp; TACK, CLEAN, BRUSH, EXERCISE, TRIM OF HORSES, DISINFECT STALLS &amp; BEDDING. WILL LIFT LEGS AND CLEAN HORSES FEET AND APPLY LINIMENTS AND BANDAGES TO LEGS AS REQUIRED. WILL CARE FOR 5 HORSES AT A TIME. SPLIT SHIFTS 5-11 AM AND 3-5 PM. Days Off Rotates. Job Classification: 39-2021.00 - Animal Caretakers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1 Special Requirements: Must be able to lift 50 lbs. Number of Hours Per Week: 56 Work Schedule (Start/End time): 5:00 A.M. - 5:00 P.M.</t>
  </si>
  <si>
    <t>H-400-26184-077645</t>
  </si>
  <si>
    <t>Wolochuk Inc.</t>
  </si>
  <si>
    <t>dwolochuk84@aol.com</t>
  </si>
  <si>
    <t>+18058966514</t>
  </si>
  <si>
    <t>H-400-26184-077665</t>
  </si>
  <si>
    <t>A.F. Wendling, Inc.</t>
  </si>
  <si>
    <t>mbeckner@afwendling.com</t>
  </si>
  <si>
    <t>+13045664733</t>
  </si>
  <si>
    <t>Production Cook</t>
  </si>
  <si>
    <t>The Production Cook is responsible for preparing and handling food in our manufacturing cook room to support increased winter volume and build inventory for periods of reduced labor, particularly when staff are focused on meat production during the summer. This role involves operating and maintaining production machinery and equipment, following standard operating procedures (SOPs) and sanitation guidelines to ensure safety and hygiene. The Production Cook packages finished products for distribution and sales, reports any equipment malfunctions or safety concerns to the lead, and collaborates with team members to meet production targets. Under the direction of the Plant Lead, the cook prepares products according to standardized recipes and portioning controls, assists with cleaning duties in the cook room, packing area, and other designated zones, and completes all required record keeping to ensure compliance with USDA guidelines and procedures. Additional duties as assigned may also be part of this role. The Production Cook will prepare meat-based products, including pulled pork, hot dog chili, chili with beans, and taco filling. Cooking method is boiling. The cook operates commercial kettles to cook products to the required internal temperatures in compliance with USDA heat-treatment standards. The cook monitors kettle temperatures, adjusts heat settings, and ensures product consistency according to standardized recipes and portioning controls. This role supports increased winter volume and builds inventory for periods of reduced labor, particularly when staff are focused on meat production during the summer. The Production Cook will operate commercial food production equipment and tools, including use 60-gallon commercial gas kettles, stainless steel paddles &amp; pitch forks, commercial can opener, burr submersible blender, electronic scale and label printer, knives, buckets, measuring cups, pans scoop, thermometers, tape gun, blast freezer, grinder, pallet jack and date labeler. The Production Cook is responsible for preparing and handling food in a USDA-monitored plant for heat-treated food products. Job Classification: 51-3093.00 - Food Cooking Machine Operators and Tenders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1 Special Requirements: Candidates must be able to follow written recipes and instructions for cooking and packaging with strong attention to detail and a commitment to quality. A basic understanding of food safety and hygiene practices is essential. The role requires the ability to work in a cold, fast-paced environment, standing and walking for extended periods. Physical capabilities include lifting, carrying, and positioning up to 20 pounds regularly, up to 50 pounds frequently, and up to 100 pounds occasionally. Employees must frequently bend, reach above shoulder level, grasp objects, climb, kneel, squat, twist, and stand throughout the shift, with the ability to push and pull up to 150 pounds occasionally. Using hands and fingers to handle objects, tools, or controls is also required. The work environment is maintained at approximately 40 degrees Fahrenheit.The workers will be subject to pre-employment and random drug testing, paid by the employer and applied equally to all workers, U.S. and foreign/H-2B. The workers are subject to pre and post employment criminal background checks, paid by the employer and applied equally to all workers, U.S. and foreign/H-2B. Eligible workers who are authorized and qualified to drive vehicles may be assigned to transport other workers between employer-provided housing and assigned worksites, or between worksites, as needed. All time spent driving at the direction of the employer will be considered hours worked and will be compensated at the applicable hourly rate. Number of Hours Per Week: 40 Work Schedule (Start/End time): 7:00 A.M. - 5:00 P.M.</t>
  </si>
  <si>
    <t>H-400-26184-077655</t>
  </si>
  <si>
    <t>AML Property Maintenance, LLC</t>
  </si>
  <si>
    <t>amlproperty1@gmail.com</t>
  </si>
  <si>
    <t>+13155919000</t>
  </si>
  <si>
    <t>Workers will perform seasonal snow removal and winter groundskeeping on residential and commercial properties only. Duties include hand shoveling and clearing snow from sidewalks, entrances, steps, around handicapped bollards, and at emergency exit doors, as well as spreading salt in these areas. Workers will operate handheld/backpack snowblowers (non-DOT) for snow clearing. Additional duties include trash pickup, debris cleanup, staking properties, and cleaning and preparing equipment for the winter season. Work is performed only on privately owned or privately contracted properties and does not include maintenance of public roads, highways, or municipal infrastructure. Wage: Basic wage rate is $18.76/hr. An overtime premium at the rate of, $28.14/hr., will be paid when required by Federal, State, or local law, including at time-and-a-half after 40 hours in a work week. The employer may offer raises/bonuses to temporary employees hired under this job order, at the company's sole discretion, based on individual factors such as performance, skill, and job tenure. Wages will be calculated based on a single workweek. Employees will be paid weekly. Schedule: Shifts may vary, but an average scheduled workday can be from 7AM to 3PM, Mon.-Fri. The expected work schedule is approximately 35 hours per week. The employer may offer more hours than specified, depending on company needs, and other conditions. The employer will provide daily transportation to and from the work site at no cost to the worker. Use of transportation is voluntary. Employer provides daily transportation between work sites. Job Classification: 37-2011.00 - Janitors and Cleaners, Except Maids and Housekeeping Cleaners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Workers may be required to work nights and weekends when weather conditions necessitate schedule adjustments. Number of Hours Per Week: 35 Work Schedule (Start/End time): 7:00 A.M. - 3:00 P.M.</t>
  </si>
  <si>
    <t>H-400-26184-077660</t>
  </si>
  <si>
    <t>Alan Bedard Racing Stable</t>
  </si>
  <si>
    <t>abstable@comcast.net</t>
  </si>
  <si>
    <t>+12673076100</t>
  </si>
  <si>
    <t>H-400-26184-077681</t>
  </si>
  <si>
    <t>Anne Raquel Bacani</t>
  </si>
  <si>
    <t>Winston Lee</t>
  </si>
  <si>
    <t>05/08/2029</t>
  </si>
  <si>
    <t>tendercare4child@gmail.com</t>
  </si>
  <si>
    <t>+17027228468</t>
  </si>
  <si>
    <t>Care for child and perform all related child care duties in regard to the child, prepare meals and snacks for child, assist child with hygiene including brushing teeth, dress child appropriate to the child’s activities, teach child appropriate social behavior, supervise child’s activities and monitor safety at all times, put the child to sleep for naps, work with the parents on appropriate discipline guidelines and on child’s growth and social development, supervise playtime with child’s friend, organize and conduct age-appropriate recreational activities, such as games, arts and crafts, and sports. Job Classification: 39-9011.01 - Nannies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12 Number of Hours Per Week: 40 Work Schedule (Start/End time): 9:00 A.M. - 5:00 P.M.</t>
  </si>
  <si>
    <t>H-400-26184-077659</t>
  </si>
  <si>
    <t>Aranda Pools, Inc.</t>
  </si>
  <si>
    <t>servicearandapools@outlook.com</t>
  </si>
  <si>
    <t>+14325633315</t>
  </si>
  <si>
    <t>Concrete finisher for swimming pools. Will set forms to hold concrete; check that forms are properly constructed to architects specifications; spray concrete from gunite machine into forms; after gunite concrete is sprayed will spread level and smooth concrete using basic concrete tools such as levels, shovels, and trowels; Chip, scrape, and grind high spots, ridges, and rough projections to finish concrete, using pneumatic chisels, power grinders, or hand tools; wet concrete surface, and rub with stone to smooth surface and obtain specified finish; be able to read blueprints; be able to signal drivers and other employees to direct gunite spraying into specified areas; check concrete to make sure it is properly aligned and at proper depth; clean equipment and work areas. All tools provided by employer. Job Classification: 47-2051.00 - Cement Masons and Concrete Finishers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1 Special Requirements: MUST BE ABLE TO LIFT 50LBS. PRE-EMPLOYMENT DRUG TESTING REQUIRED, RANDOM DRUG TESTING DURING EMPLOYMENT FOR CAUSE. REQUIRED PHYSICAL ABILITY TO CROUCH, CRAWL, KNEEL, BEND OVER, MANEUVER IN SMALLS PLACES. H-2B WORKERS WILL HAVE BACKGROUND CHECK AND DRUG SCREEN AFTER ARRIVING IN US BEFORE BEGINNING EMPLOYMENT AT EMPLOYERS EXPENSE. H-2B WORKERS THAT FAIL BACKGROUND CHECK OR DRUG SCREEN WILL HAVE RETURN TRANSPORTATION PAID FOR BY EMPLOYER Number of Hours Per Week: 40 Work Schedule (Start/End time): 6:00 A.M. - 6:00 P.M.</t>
  </si>
  <si>
    <t>H-400-26184-077699</t>
  </si>
  <si>
    <t>Benny RC Framing LLC</t>
  </si>
  <si>
    <t>joseb200886@gmail.com</t>
  </si>
  <si>
    <t>+19182714243</t>
  </si>
  <si>
    <t>Helpers/carpenters</t>
  </si>
  <si>
    <t>Clean work areas, machines, or equipment, to maintain a clean and safe job site. Fasten timbers or lumber with glue, screws, pegs, or nails and install hardware. Perform tie spacing layout and measure, mark, drill or cut. Select tools, equipment, or materials from storage and transport items to work site. Drill holes timbers or lumber. Job Classification: 47-3012.00 - Helpers--Carpenters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1 Special Requirements: Must be able to lift 50 lbs Number of Hours Per Week: 40 Work Schedule (Start/End time): 8:00 A.M. - 5:00 P.M.</t>
  </si>
  <si>
    <t>H-400-26184-077671</t>
  </si>
  <si>
    <t>Brellanick Stables Inc.</t>
  </si>
  <si>
    <t>mvpinoracing@yahoo.com</t>
  </si>
  <si>
    <t>+14845714944</t>
  </si>
  <si>
    <t>H-400-26184-077688</t>
  </si>
  <si>
    <t>C.R. TROUT</t>
  </si>
  <si>
    <t>dortiz332986@icloud.com</t>
  </si>
  <si>
    <t>+14056410399</t>
  </si>
  <si>
    <t>H-400-26184-077673</t>
  </si>
  <si>
    <t>Chad C Brown Inc.</t>
  </si>
  <si>
    <t>+15022624735</t>
  </si>
  <si>
    <t>H-400-26184-077666</t>
  </si>
  <si>
    <t>Colebrook Stable LLC</t>
  </si>
  <si>
    <t>colebrookstableoffice@gmail.com</t>
  </si>
  <si>
    <t>+18593219947</t>
  </si>
  <si>
    <t>H-400-26184-077668</t>
  </si>
  <si>
    <t>H-400-26184-077663</t>
  </si>
  <si>
    <t>Delacour Stable LLC</t>
  </si>
  <si>
    <t>leoffutt@yahoo.com</t>
  </si>
  <si>
    <t>+14109911434</t>
  </si>
  <si>
    <t>H-400-26184-077696</t>
  </si>
  <si>
    <t>Fernando Abreu Inc</t>
  </si>
  <si>
    <t>nappyabreu79@yahoo.com</t>
  </si>
  <si>
    <t>+19543839312</t>
  </si>
  <si>
    <t>H-400-26184-077657</t>
  </si>
  <si>
    <t>Green Energy Contracting, LLC</t>
  </si>
  <si>
    <t>support@geclandscaping.com</t>
  </si>
  <si>
    <t>+18505374043</t>
  </si>
  <si>
    <t>Winter Landscaper</t>
  </si>
  <si>
    <t>Landscapers will maintain grounds of property using hand or power tools or equipment such as lawnmowers, leaf blowers, grass trimmers, and pruning shears. Workers typically perform a variety of tasks, which may include any combination of the following: sod laying, mowing, trimming, planting, watering, fertilizing, digging, raking, sprinkler installation, and installation of mortarless segmental concrete masonry wall units. Workers may operate vehicles or powered equipment, such as mowers, tractors, skid steer loaders, and mini excavators. Workers may assist with yard clean up, leaf removal, mulch or replace mulch, and leaf cleanup. In preparation for the winter season, workers will be performing job site clean-up and ensuring equipment is properly stored for the colder months. Workers will also perform overseeding to prepare for possible frost season, including applying fertilizer treatment to bushes, tress, and other natural flora. Workers will perform winter cutbacks on plants in order to properly prepare lawn/landscape for winter weather and new growth in the Spring. Maintain irrigation systems for flower beds, including winterizing the systems before temperature drops for possible frost season to prevent damage. Employer provides 90 days of training. Job Classification: 37-3011.00 - Landscaping and Groundskeeping Workers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Must be able to lift up to 75 lbs. for 75 yards throughout the day. Ability to pass random or post-accident drug screening paid for by Employer. Number of Hours Per Week: 40 Work Schedule (Start/End time): 6:30 A.M. - 5:00 P.M.</t>
  </si>
  <si>
    <t>H-400-26184-077686</t>
  </si>
  <si>
    <t>Green Energy Solutions LLC</t>
  </si>
  <si>
    <t>micayla.green@ges.energy</t>
  </si>
  <si>
    <t>+14059134370</t>
  </si>
  <si>
    <t>Cleaning and preparing construction sites, loading and unloading materials, and assisting skilled trades people in their duties. Job Classification: 47-2061.00 - Construction Laborers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Must be able to lift 50 lbs. Number of Hours Per Week: 40 Work Schedule (Start/End time): 7:00 A.M. - 4:00 P.M.</t>
  </si>
  <si>
    <t>H-400-26184-077693</t>
  </si>
  <si>
    <t>Hopes Racing Stable</t>
  </si>
  <si>
    <t>trainerlupe@aol.com</t>
  </si>
  <si>
    <t>+12157694896</t>
  </si>
  <si>
    <t>H-400-26184-077669</t>
  </si>
  <si>
    <t>Imperium Paver's LLC</t>
  </si>
  <si>
    <t>imperiumpavers8001@gmail.com</t>
  </si>
  <si>
    <t>+13214196281</t>
  </si>
  <si>
    <t>Tidying up work areas, unloading materials, preparing worksites for skilled tradespeople to do skilled labor (i.e., will organize tools, lay down tarps, set up ladders), handing tools to supervisor, cleaning debris and work areas, pouring and finishing concrete. Job Classification: 47-2051.00 - Cement Masons and Concrete Finishers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1 Special Requirements: Must be able to lift 50 lbs. Number of Hours Per Week: 40 Work Schedule (Start/End time): 7:00 A.M. - 4:00 P.M.</t>
  </si>
  <si>
    <t>H-400-26184-077690</t>
  </si>
  <si>
    <t>Joanne Shankle</t>
  </si>
  <si>
    <t>jrshankle12@aol.com</t>
  </si>
  <si>
    <t>+13016483260</t>
  </si>
  <si>
    <t>H-400-26184-077679</t>
  </si>
  <si>
    <t>Kraken Pool Plaster</t>
  </si>
  <si>
    <t>krakenpoolplaster@gmail.com</t>
  </si>
  <si>
    <t>+19184063153</t>
  </si>
  <si>
    <t>Plaster Finisher</t>
  </si>
  <si>
    <t>Finish plaster concrete and pour cement pools. Workers will set forms, spread concrete, level concrete, and smooth concrete using basic concrete tools, including levels, shovels, brooms, and trowels. Finishers will grind rough edges and finishes, using pneumatic grinder or hand tools. Must be able to read basic blueprints, and clean equipment and work areas. All tools provided by employer. Job Classification: 47-2051.00 - Cement Masons and Concrete Finishers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1 Special Requirements: Must be able to lift 50 lbs Number of Hours Per Week: 40 Work Schedule (Start/End time): 8:00 A.M. - 5:00 P.M.</t>
  </si>
  <si>
    <t>H-400-26184-077700</t>
  </si>
  <si>
    <t>La Pana, LLC</t>
  </si>
  <si>
    <t>info@fokofamilia.com</t>
  </si>
  <si>
    <t>+15025104281</t>
  </si>
  <si>
    <t>Baking and following recipes, ordering ingredients, taking customer orders, cleaning kitchen and equipment. Job Classification: 51-3011.00 - Bakers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Must be able to lift 50 lbs. Must comply with regulations set by Louisville Metro Department of Public Health. Number of Hours Per Week: 56 Work Schedule (Start/End time): 7:00 A.M. - 4:00 P.M.</t>
  </si>
  <si>
    <t>H-400-26184-077704</t>
  </si>
  <si>
    <t>Liberty D's LLC</t>
  </si>
  <si>
    <t>emiliosalinas92@gmail.com</t>
  </si>
  <si>
    <t>+14053216232</t>
  </si>
  <si>
    <t>***RFI Response*** “Food Prepping and handling, practice sanitation for kitchen and deliver prepared dishes to clients. Preparing meats, seafood, vegetables, and other items required, and special function purposes as assigned. Will reheat and plate dishes prepared by the Chef to go out to clients. Properly assembles all tools and utensils needed to accomplish job duties, uses safe and sanitary food handling procedures including those relating to personal hygiene. Maintains and cleans workstation and equipment. Disposes of trash and food preparation waste at the end of shift”. ***Original F.a.2*** Food Prepping and handling, practice sanitation for kitchen and deliver prepared dishes to clients. Prepares meats, seafood, vegetables, and other items required and special function purposes as assigned. Carefully follows standard recipes when pre-preparing and preparing all items. Properly assembles all tools and utensils needed to accomplish job duties, uses safe and sanitary food handling procedures including those relating to personal hygiene. Maintains and cleans workstation and equipment. Disposes of trash and food preparation waste at the end of shift. Job Classification: 35-2014.00 - Cooks, Restaurant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1 Special Requirements: Must be able to lift 50 lbs Number of Hours Per Week: 56 Work Schedule (Start/End time): 7:00 A.M. - 11:30 P.M.</t>
  </si>
  <si>
    <t>H-400-26184-077662</t>
  </si>
  <si>
    <t>Light &amp; Foliage Supply LLC</t>
  </si>
  <si>
    <t>26/04/2027</t>
  </si>
  <si>
    <t>servicemanagement@lightandfoliage.com</t>
  </si>
  <si>
    <t>+19153072648</t>
  </si>
  <si>
    <t>Removal and trimming of trees and bushes from the ground; raking and cleaning up ground, leaf removal, and leftover debris; disposal of brush, limbs, and trees; winter landscape planting including hollies and other evergreens, spreading mulch; perennial rye grass installation, application and fertilization, winterizing plants and trees to protect from freezes; annual winter color installs; perennial cutbacks, pruning, and dead heading; property wide mulch installation, application and fertilization to protect plants, and winterization and draining of sprinkler system; retention pond cleanouts. Remove accumulated deposits of snow on an ongoing basis in extreme weather conditions on various commercial properties using snow blowers and standard commercial snow shovels. Ice remediation and salt application. Loading and unloading of materials and equipment. Lifting required up to 50 pounds. Work performed on local area jobsites with employer provided transportation to and from jobsites from a centralized pickup location in the specified area of employment. Job Classification: 37-3011.00 - Landscaping and Groundskeeping Workers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None. Number of Hours Per Week: 40 Work Schedule (Start/End time): 6:30 A.M. - 3:30 P.M.</t>
  </si>
  <si>
    <t>H-400-26184-077658</t>
  </si>
  <si>
    <t>Linda Rice Racing</t>
  </si>
  <si>
    <t>lindariceracing@aol.com</t>
  </si>
  <si>
    <t>+15164378521</t>
  </si>
  <si>
    <t>Attends to the overall care of thoroughbred race horses including feeding, watering, maintenance of stalls and rack, cleaning, brushing, exercising, trimming of horses, disinfecting stalls and bedding, administration of meds as directed, inspection of horses physical condition. Will lift legs and clean horse's feet and apply liniments and bandages to legs as required. Will care for 5 horses at a time. Split shift 5AM to 11AM and 3PM to 5PM. Days off Rotates. Job Classification: 39-2021.00 - Animal Caretakers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1 Special Requirements: Must be able to lift 75 lbs. Number of Hours Per Week: 56 Work Schedule (Start/End time): 5:00 A.M. - 5:00 P.M.</t>
  </si>
  <si>
    <t>H-400-26184-077682</t>
  </si>
  <si>
    <t>MCA Racing Stables LLC</t>
  </si>
  <si>
    <t>mcaracingstable@aol.com</t>
  </si>
  <si>
    <t>+17323374789</t>
  </si>
  <si>
    <t>H-400-26184-077680</t>
  </si>
  <si>
    <t>MIGUEL VERA RACING STABLES LLC</t>
  </si>
  <si>
    <t>migueloscarvera1970@gmail.com</t>
  </si>
  <si>
    <t>+16093192219</t>
  </si>
  <si>
    <t>H-400-26184-077698</t>
  </si>
  <si>
    <t>Megan Salzman</t>
  </si>
  <si>
    <t>salzman02@msn.com</t>
  </si>
  <si>
    <t>+14109848838</t>
  </si>
  <si>
    <t>Attends to the overall care of thoroughbred horses including feeding, watering, maintenance of stalls and tack, cleaning ,brushing, trimming of horses, disinfecting stalls and bedding, administration of meds as directed, inspection of horses' physical condition. Will lift legs and clean horses' feet and apply liniments and bandages to legs as required. Will care for 1-5 horses at a time. Work day is split shift: 5am-11am, 3pm - 5pm. Days off rotates. Job Classification: 39-2021.00 - Animal Caretakers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1 Special Requirements: Must be able to lift 50 lbs Number of Hours Per Week: 56 Work Schedule (Start/End time): 5:00 A.M. - 5:00 P.M.</t>
  </si>
  <si>
    <t>H-400-26184-077664</t>
  </si>
  <si>
    <t>Midwest Pool Construction LLP</t>
  </si>
  <si>
    <t>Midwestpoolsconstruction@gmail.com</t>
  </si>
  <si>
    <t>+19186007397</t>
  </si>
  <si>
    <t>Office Clerk</t>
  </si>
  <si>
    <t>Will assist office manager in clerical duties under supervision. Duties will include drafting memos, arranging delivery of materials, scheduling dates for worksite operations. Job Classification: 43-6014.00 - Secretaries and Administrative Assistants, Except Legal, Medical, and Executive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1 Special Requirements: Must be able to lift 30 lbs Number of Hours Per Week: 40 Work Schedule (Start/End time): 8:00 A.M. - 5:00 P.M.</t>
  </si>
  <si>
    <t>H-400-26184-077672</t>
  </si>
  <si>
    <t>Northeast Hardscaping &amp; Lighting LLC</t>
  </si>
  <si>
    <t>northeastlightingco@gmail.com</t>
  </si>
  <si>
    <t>+15183394277</t>
  </si>
  <si>
    <t>Clean and prepare the exterior of homes and businesses for holiday decoration, removing obstructions and debris as needed. Assist with assembling and hanging exterior seasonal decorations. Remove decorations at the end of the season. Clean, place into storage containers. Dispose of trash. Job Classification: 49-9099.00 - Installation, Maintenance, and Repair Workers, All Other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1 Special Requirements: Must be able to lift 50 lbs. Number of Hours Per Week: 40 Work Schedule (Start/End time): 7:00 A.M. - 5:00 P.M.</t>
  </si>
  <si>
    <t>H-400-26184-077654</t>
  </si>
  <si>
    <t>Cleaning and sanitizing china, glass, silver, pots and pans, stainless steel, and the entire kitchen area, including walls, floors, drains, and equipment. Report broken or damaged equipment for repairs. Dispose of trash from the kitchen area properly and maintain the dumpster area. Follow the required safe cleaning and sanitizing procedures. Job Classification: 35-9021.00 - Dishwashers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No minimum education or training required. Must be able to lift, push, and pull 50 lbs. Must be able to work at least a 5-day workweek. Must be able to work weekends and holidays as required. Must be able to obtain ServSafe Food Handlers Certification. Each applicant (U.S. and H-2B workers alike) must complete the Employers standard online employment application as part of the hiring process. The application is uniformly required of all candidates and does not impose additional or different requirements on U.S. workers. The workers will be subject to drug testing upon reasonable suspicion, paid by the employer and applied equally to all workers, U.S. and foreign/H-2B. The workers are subject to employment criminal background checks, paid by the employer and applied equally to all workers, U.S. and foreign/H-2B. Sunday to Saturday, rotating and varying 8-hour shifts from 5:00 AM to 1:00 AM. Workdays and shift times may vary with occupancy and events. Number of Hours Per Week: 35 Work Schedule (Start/End time): 5:00 A.M. - 1:00 A.M.</t>
  </si>
  <si>
    <t>H-400-26184-077678</t>
  </si>
  <si>
    <t>Padinac Inc.</t>
  </si>
  <si>
    <t>mixa_kg@yahoo.com</t>
  </si>
  <si>
    <t>+13013268416</t>
  </si>
  <si>
    <t>H-400-26184-077684</t>
  </si>
  <si>
    <t>Pamas Construction</t>
  </si>
  <si>
    <t>pamasconstruction@gmail.com</t>
  </si>
  <si>
    <t>+14054657704</t>
  </si>
  <si>
    <t>Cleaning and preparing construction sites, loading and unloading materials, pouring and finishing concrete, building forms and assisting skilled trades people in their duties Job Classification: 47-2051.00 - Cement Masons and Concrete Finishers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1 Special Requirements: Must be able to lift 50 lbs. Number of Hours Per Week: 40 Work Schedule (Start/End time): 7:00 A.M. - 4:00 P.M.</t>
  </si>
  <si>
    <t>H-400-26184-077667</t>
  </si>
  <si>
    <t>Rancho Monarca LLC</t>
  </si>
  <si>
    <t>ranchomonarca@gmail.com</t>
  </si>
  <si>
    <t>+13179104186</t>
  </si>
  <si>
    <t>H-400-26184-077656</t>
  </si>
  <si>
    <t>Smoky Mountain Pool Plastering, LP</t>
  </si>
  <si>
    <t>asteelman@usgunite.com</t>
  </si>
  <si>
    <t>+14235412246</t>
  </si>
  <si>
    <t>Finish plaster concrete and portland cement pools. Workers will set forms, spread concrete, level concrete, and smooth concrete using basic concrete tools, including levels, shovels, brooms, and trowels. Finishers will grind rough edges and finishes, using pneumatic grinder or hand tools. Must be able to read basic blueprints, and clean equipment and work areas. Job Classification: 47-2051.00 - Cement Masons and Concrete Finishers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1 Special Requirements: MUST BE ABLE TO LIFT 50LBS. MUST BE ABLE TO WORK OUTDOORS. PRE-HIRED BACKGROUND CHECK REQUIRED. RANDOM DRUG TESTING DURING EMPLOYMENT. PRE-EMPLOYMENT DRUG TESTING REQUIRED. H-2B WORKERS WILL HAVE BACKGROUND CHECK AND DRUG SCREEN AFTER ARRIVING IN US BEFORE BEGINNING EMPLOYMENT AT EMPLOYERS EXPENSE. H-2B WORKERS THAT FAIL BACKGROUND CHECK OR DRUG SCREEN WILL HAVE RETURN TRANSPORTATION PAID FOR BY EMPLOYER.D. Number of Hours Per Week: 40 Work Schedule (Start/End time): 7:00 A.M. - 4:00 P.M.</t>
  </si>
  <si>
    <t>H-400-26184-077661</t>
  </si>
  <si>
    <t>Sola Dei Gloria</t>
  </si>
  <si>
    <t>hughimcmahon@verizon.net</t>
  </si>
  <si>
    <t>+14435464357</t>
  </si>
  <si>
    <t>H-400-26184-077689</t>
  </si>
  <si>
    <t>Stinebaugh Racing</t>
  </si>
  <si>
    <t>jsracing05@yahoo.com</t>
  </si>
  <si>
    <t>+19152271776</t>
  </si>
  <si>
    <t>H-400-26184-077701</t>
  </si>
  <si>
    <t>TIMOTHY A HILLS INC</t>
  </si>
  <si>
    <t>tahillsracing@comcast.net</t>
  </si>
  <si>
    <t>+19543834163</t>
  </si>
  <si>
    <t>H-400-26184-075879</t>
  </si>
  <si>
    <t>PLCL Contracting LLC</t>
  </si>
  <si>
    <t>plclcontractingllc@gmail.com</t>
  </si>
  <si>
    <t>+12527461030</t>
  </si>
  <si>
    <t>H-400-26184-077691</t>
  </si>
  <si>
    <t>Tampa Bay Downs Inc.</t>
  </si>
  <si>
    <t>greg@tampabaydowns.com</t>
  </si>
  <si>
    <t>+18138543539</t>
  </si>
  <si>
    <t>Prepare, season, and cook soups, meats, vegetables, fruits, desserts, and other food items in restaurants on-site. Knowledge of safe and proper knife handling and food safety. Job Classification: 35-2014.00 - Cooks, Restaurant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1 Special Requirements: Must be able to lift 30 lbs. Number of Hours Per Week: 56 Work Schedule (Start/End time): 8:00 A.M. - 10:00 P.M.</t>
  </si>
  <si>
    <t>H-400-26184-077697</t>
  </si>
  <si>
    <t>Cleaner</t>
  </si>
  <si>
    <t>Sweeping floor, Disinfecting surfaces, Taking out trash Cleaning restrooms Job Classification: 37-2011.00 - Janitors and Cleaners, Except Maids and Housekeeping Cleaners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1 Special Requirements: Must be able to lift 30 lbs Number of Hours Per Week: 56 Work Schedule (Start/End time): 8:00 A.M. - 10:00 P.M.</t>
  </si>
  <si>
    <t>H-400-26184-077692</t>
  </si>
  <si>
    <t>Tanner Tracy Racing LLC</t>
  </si>
  <si>
    <t>tanner.tracy36@gmail.com</t>
  </si>
  <si>
    <t>+15152029959</t>
  </si>
  <si>
    <t>H-400-26184-077705</t>
  </si>
  <si>
    <t>Removal and trimming of trees and bushes from the ground; raking and cleaning up ground, leaf removal, and leftover debris; disposal of brush, limbs, and trees; winter landscape planting including hollies and other evergreens, spreading mulch; perennial rye grass installation, application and fertilization, winterizing plants and trees to protect from freezes with winter maintenance of yards with drainage control; annual winter color installs; perennial cutbacks, pruning, and dead heading; property wide mulch installation, application and fertilization to protect plants, and winterization and draining of sprinkler system; retention pond cleanouts. Ice remediation and salt application. Organizing and preparing various stock of holiday decor including string lights, ornaments, and season and holiday arrangements, displays and settings. Also, to include installing and/or removing such holiday decor/stock and materials from jobsites and prepare for storage. Loading and unloading of materials and equipment. Lifting required up to 50 pounds. Work performed on local area jobsites with employer provided transportation to and from jobsites from a centralized pickup location in the specified area of employment. Job Classification: 49-9099.00 - Installation, Maintenance, and Repair Workers, All Other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Must be 18 years or older. Must show proof of legal authorization to work in the United States. Perform physical activities: such as lift, balance, walk, stoop, handle, position, move, manipulate materials use static strength to exert maximum muscle force to lift, push, pull, carry objects up to 50lbs. All applicants must be able, willing, qualified to perform work described and must be available for the entire period specified. Outdoors, exposed to weather; must be capable of doing physically strenuous labor for long hours, occasionally in extreme heat or cold. Variable weather conditions apply; hours may fluctuate (+/-), possible downtime and/or OT. Employer paid pre-hire drug test and pre-hire criminal background check. Number of Hours Per Week: 40 Work Schedule (Start/End time): 6:30 A.M. - 3:30 P.M.</t>
  </si>
  <si>
    <t>H-400-26184-077677</t>
  </si>
  <si>
    <t>Traits LLC</t>
  </si>
  <si>
    <t>ianwilkes05@icloud.com</t>
  </si>
  <si>
    <t>+18592799915</t>
  </si>
  <si>
    <t>H-400-26184-077683</t>
  </si>
  <si>
    <t>Tribal Landscape LLC</t>
  </si>
  <si>
    <t>info@triballandscape.com</t>
  </si>
  <si>
    <t>+14056972583</t>
  </si>
  <si>
    <t>Lawn and landscaping maintenance and installation. Mowing, trimming, edging, blowing off of all lawns. Haul off clippings, weeding, mulching, and planting flowerbeds. Trimming shrubs, install plant material and trees. Will use riding lawnmowers and push mowers, trimmers, edgers, weed eaters, blowers, hedge trimmers, and chainsaws. Job Classification: 37-3011.00 - Landscaping and Groundskeeping Workers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Must be able to lift 50 lbs. Number of Hours Per Week: 40 Work Schedule (Start/End time): 7:00 A.M. - 5:00 P.M.</t>
  </si>
  <si>
    <t>H-400-26184-077695</t>
  </si>
  <si>
    <t>US LBM Co. LLC</t>
  </si>
  <si>
    <t>aaron_nichols@trussabc.com</t>
  </si>
  <si>
    <t>+17152058180</t>
  </si>
  <si>
    <t>Woodworking Machine Operators</t>
  </si>
  <si>
    <t>Set up, tend, and operate woodworking machines or assist with tasks associated with woodworking machines. Sorting, moving, fastening, and positioning lumber. Examine finished workpieces for smoothness, shape, angle, depth-of-cut, or conformity to specifications and verify dimensions visually and using hands, rules, calipers, templates, or gauges. Monitor the operation of machines and make adjustments to correct problems and ensure conformance to specifications. Perform general site clean-up; and during winter months, perform cold-weather support duties such as clearing snow and ice from work areas, walkways, and equipment access points, applying de-icing materials as needed, protecting materials and equipment from freezing conditions, assisting with winterization of tools and machinery, and maintaining safe, accessible, and operational work environments in inclement weather. Set up, tend, operate, and assist with woodworking and automated production equipment used in the manufacture of engineered wood structural components. Workers will position, align, and secure wood members in accordance with production specifications and machine requirements. Examine finished products for dimensional accuracy, alignment, shape, angle, and conformity to specifications through visual inspection and the use of measuring devices including rules, templates, gauges, and calipers. Monitor machine operations, identify production issues, make routine equipment adjustments, and assist in maintaining efficient machine performance. Load and unload materials, removing production debris, maintaining clean and safe work areas, and performing routine housekeeping around machinery and production equipment. As needed during winter months, protect materials and equipment from freezing conditions by cleaning and lubricating hand and pneumatic tools and storing them indoors to prevent exposure to the weather. Use pallet jacks to move containers of connector plates and fasteners into and out of buildings, to avoid exposure to the elements. During periods of inclement weather, workers may remove snow and ice from production access points, material storage areas, and around stacker equipment to maintain safe operation of woodworking production equipment. Workers will follow the processes outlined below using the specified equipment: Auto jigging truss tables. which utilize automated positioning devices to hold wood members in place during the manufacturing process. Workers place wood compo into the jigging system and verify proper alignment prior to machine operation. Computer-controlled laser projection viewing system that projects production layouts and component placement locations directly onto manufacturing tables. Workers activate, monitor, and follow the projected patterns to ensure components are positioned according to specifications. Gantry press systems used to roll over trusses to press in the connector plates which hold the wood members together. Workers control the gantry equipment from an operator platform using joystick controls, monitor pressing operations, and make operational adjustments as necessary to ensure quality and production standards are maintained. Motorized conveyor systems that transport raw materials, work-in-process components, and finished products throughout the manufacturing process. Workers load, position, transfer, and remove materials from conveyor systems while maintaining continuous production flow. Automated truss stackers used to lift, stack, bundle, and organize finished products for storage and shipment. Workers utilize remote-control systems to operate stacking equipment and monitor equipment performance to ensure proper handling of finished products. Pallet Jacks to move containers of connector plates and fasteners in and out buildings to avoid exposure to elements. Shovels and Scrapers used for snow and ice removal around doors. Job Classification: 51-7042.00 - Woodworking Machine Setters, Operators, and Tenders, Except Sawing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Must be able to lift seventy-five (75) lbs. for 75 yards. Must be able to pass employer-paid pre-employment, post-accident, and other random drug testing. Number of Hours Per Week: 40 Work Schedule (Start/End time): 7:00 A.M. - 11:00 P.M.</t>
  </si>
  <si>
    <t>H-400-26184-077703</t>
  </si>
  <si>
    <t>Production Worker Helper</t>
  </si>
  <si>
    <t>Help production workers by performing duties requiring less skill, including supplying or holding materials or tools and cleaning the work area and equipment; assist with general production work and assembling trusses by loading lumber onto truss tables at joints and fastening components using tools such as hammers, nails, drills, screws, and glue application; operate rollers to secure truss plates; load and unload items onto equipment for processing and package finished products for shipping; ensure products conform to company specifications; accurately record product data and remove damaged or ineffective equipment from the processing line; and during winter months, perform cold-weather support duties such as clearing snow and ice from work areas, walkways, and loading zones, applying de-icing materials as needed, assisting with safe material handling in slippery or freezing conditions, protecting lumber and equipment from moisture and freezing temperatures, and maintaining clean, safe, and accessible work environments in inclement weather. Job Classification: 51-7042.00 - Woodworking Machine Setters, Operators, and Tenders, Except Sawing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Three (3) months of production or related experience required. Must be able to lift seventy-five (75) lbs. frequently throughout the workday. Must be able to pass employer-paid pre-employment, post-accident, and other random drug testing. Number of Hours Per Week: 40 Work Schedule (Start/End time): 7:00 A.M. - 11:00 P.M.</t>
  </si>
  <si>
    <t>H-400-26184-077653</t>
  </si>
  <si>
    <t>US Pool Plastering of OK</t>
  </si>
  <si>
    <t>premierlp@uspoolplaster.com</t>
  </si>
  <si>
    <t>+19182740200</t>
  </si>
  <si>
    <t>Finish plaster concrete and portland cement pools. Workers will set forms, spread concrete, level concrete, and smooth concrete using basic concrete tools, including levels, shovels, brooms, and trowels. Finishers will grind rough edges and finishes, using pneumatic grinder or hand tools. Must be able to read basic blueprints, and clean equipment and work areas. Job Classification: 47-2051.00 - Cement Masons and Concrete Finishers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1 Special Requirements: Must be able to lift 50 lbs Number of Hours Per Week: 40 Work Schedule (Start/End time): 7:00 A.M. - 4:00 P.M.</t>
  </si>
  <si>
    <t>H-400-26184-077694</t>
  </si>
  <si>
    <t>Vaccarezza Racing LLC</t>
  </si>
  <si>
    <t>nvaccarezz@gmail.com</t>
  </si>
  <si>
    <t>+19548031108</t>
  </si>
  <si>
    <t>H-400-26184-077652</t>
  </si>
  <si>
    <t>H-400-26184-077670</t>
  </si>
  <si>
    <t>Wyoming Sugar Company</t>
  </si>
  <si>
    <t>help@success.seamless.ai</t>
  </si>
  <si>
    <t>+13073473261</t>
  </si>
  <si>
    <t>Yard and Factory Laborer</t>
  </si>
  <si>
    <t>1. Operate or tend equipment that cleans, slices, diffuses various products from sugar beets (Flume operation, Rock/trash catcher operation, Filter cleaning &amp; operation, Lime handling &amp; operation, Chipper House operation, Knife filing &amp; Setting, etc). 2. Perform sanitation and clean-up duties (Clean floors, handrails, and work surfaces, pick up debris and keep work area free from clutter, etc). 3. Sulfur addition to maintain an even flow of sulfur into the stove feeder system (fill hopper, tally amount used, observe flow of materials, listen for machine malfunctions, monitor temperature/humidity/pressure gauges/etc, adjust controls to maintain prescribed operating conditions, and notify supervisors if corrective actions fail). 4. Observe, feel, taste, or otherwise examine products during and after processing to ensure conformance to standards. 5. Set temperature and time controls, and start equipment, such as conveyors, kilns, boilers, blowers, driers, or pumps. 6. Observe flow of materials and listen for machine malfunctions, such as jamming or spillage, and notify supervisors if corrective actions fail. 7. Observe temperature, humidity, pressure gauges, and product samples and adjust controls, such as thermostats and valves, to maintain prescribed operating conditions for specific stages. 8. Other duties specified by employer or supervisor. Job Classification: 51-9032.00 - Cutting and Slicing Machine Setters, Operators, and Tenders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Must pass a pre-employment, post-incident drug testing, and reasonable suspicion drug testing paid by employer and applied equally to all workers, U.S. and foreign/H-2B. Must be able to work weekends and holidays. Applicants must complete an employment application. Must be at least 18. Must be able to lift 50 lbs. Must be able to stand on feet for long periods of time. Must be able to work in below freezing temperatures and above 100. Must be able to climb up stairways and ladders. Number of Hours Per Week: 40 Work Schedule (Start/End time): 6:00 A.M. - 2:00 P.M.</t>
  </si>
  <si>
    <t>H-400-26184-077729</t>
  </si>
  <si>
    <t>Brendan Walsh Racing Stables LLC</t>
  </si>
  <si>
    <t>rachelwade65@gmail.com</t>
  </si>
  <si>
    <t>+18592271163</t>
  </si>
  <si>
    <t>H-400-26184-077719</t>
  </si>
  <si>
    <t>CBC Racing Stable</t>
  </si>
  <si>
    <t>troysingh46@icloud.com</t>
  </si>
  <si>
    <t>+12406466919</t>
  </si>
  <si>
    <t>H-400-26184-077764</t>
  </si>
  <si>
    <t>Complete Land Innovations, LLC</t>
  </si>
  <si>
    <t>amber@landscape-texas.com</t>
  </si>
  <si>
    <t>+15129650732</t>
  </si>
  <si>
    <t>Job Duties: Position offered is for an experienced landscape laborer with a minimum of 3 months experience in landscape labor who is able to work with and model company landscaping methods and procedures with up to 3 peers, removal and trimming of bushes; trimming and removal of fallen trees using chainsaws and loppers; raking and cleaning up ground, leaf removal, and leftover debris; disposal of brush, limbs, and fallen trees by operating tools such as chainsaws and chippers to clear ground of fallen trees from winter storms and load the cut branches/small logs onto truck for removal; winter landscape planting including hollies and other evergreens, spreading mulch; perennial rye grass installation, application and fertilization, winterizing plants and trees to protect from freezes with winter maintenance of yards with drainage control; annual winter color installs; property wide mulch installation, application and fertilization to protect plants, and winterization and draining of sprinkler system; retention pond cleanouts. Loading and unloading of materials and equipment. Lifting required up to 50 pounds. Work performed on local area jobsites with employer provided transportation to and from jobsites from a centralized pickup location in the specified area of employment. Job Classification: 37-3011.00 - Landscaping and Groundskeeping Workers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Number of Hours Per Week: 40 Work Schedule (Start/End time): 7:00 A.M. - 4:00 P.M.</t>
  </si>
  <si>
    <t>H-400-26184-077712</t>
  </si>
  <si>
    <t>Contour Land Management LLC</t>
  </si>
  <si>
    <t>Joseph Zavaletta</t>
  </si>
  <si>
    <t>contourlandmanagement@gmail.com</t>
  </si>
  <si>
    <t>+14065484344</t>
  </si>
  <si>
    <t>Landscape Construction</t>
  </si>
  <si>
    <t>DUTIES: planting trees and shrubs, moving soil, sod, and mulch, assisting crew leaders with both manual tools and self-propelled machinery to excavate small trenches for irrigation pipes and installation of sprinklers (approx. 6” wide and 12” deep), pull, cut, and glue PVC sprinkler pipe, assisting with installation of sprinkler lines, heads, and valves, assemble fencing by preparing site, excavate post holes (approx. 24” deep), attach top and bottom rails to fence posts using brackets, screws, or nails, set posts in concrete footings, hang gates in designated openings using hinges and latches, mow, blow, and edge during growing season, trim around existing plantings, remove any support staking and wildlife fencing on plantings, fall cleanup, pruning, spreading granular fertilizer, applying rodent protection on plantings, installing wildlife protection fencing, trimming, removal of snow and ice, and the clearing of wood and debris. TOOLS include shovels, rakes, post-hole diggers, hammers, saws, wheelbarrows, as well as motorized machinery such as a Ditch Witch, or a mini-Skid Steer. In addition to those tools referenced, manual hand tools would include hand saws, pruners, mowers, and trimmers. Job Classification: 47-4031.00 - Fence Erectors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Must be able to lift up to 50 pounds, and stand or bend for all or most of work shift. Number of Hours Per Week: 40 Work Schedule (Start/End time): 7:00 A.M. - 4:30 P.M.</t>
  </si>
  <si>
    <t>H-400-26184-077728</t>
  </si>
  <si>
    <t>Cristian Leonardo Alcala</t>
  </si>
  <si>
    <t>cristianalcala7@yahoo.com</t>
  </si>
  <si>
    <t>+12397288506</t>
  </si>
  <si>
    <t>H-400-26184-077723</t>
  </si>
  <si>
    <t>Cunningham Racing Stables LLC</t>
  </si>
  <si>
    <t>racer063@msn.com</t>
  </si>
  <si>
    <t>+16169151437</t>
  </si>
  <si>
    <t>H-400-26184-077767</t>
  </si>
  <si>
    <t>DH Stowe Management LLC</t>
  </si>
  <si>
    <t>Clark Trainor</t>
  </si>
  <si>
    <t>h2bjobs@destinationhotels.com</t>
  </si>
  <si>
    <t>Clean floors, vacuum, sweep, dust, mop, wash, strip, wax, buff, and shampoo carpets. Wash windows, walls, tables, etc. Dust furniture, fixtures and woodwork. Strip and make beds. Clean and stock bathrooms. Straighten rooms, stock guest rooms with glasses, stationary, etc. Empty trash receptacles and pick up litter in and around buildings. Deliver items to guest rooms. Move furniture. Follow established health and safety procedures for using cleaning chemicals, etc. Restock linen closets. Returns articles left in rooms to lost and found following policy. Upholds all safety standards. Stock and sort supplies. Ensure security of guest rooms and privacy of guests. Report to work in required uniform and in adherence with the dress code. Job Classification: 37-2011.00 - Janitors and Cleaners, Except Maids and Housekeeping Cleaners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Must be able to lift, push, and pull a minimum of 25 lbs. Must be able to communicate and understand basic English. Pre-hire background check required. References might be requested. On-the-Job Training provided. Will Train. Following Shifts are available 7 days a week including weekends and holidays. Work hours from: 7am-3:30pm, 7:30am-4pm, 8am-4:30pm, 3-11:30pm, 6pm - 2am, 11pm-7:30am, 11am-7:30pm, 10pm-6am, shifts based on the time of the season, daylight, and need. Hourly Wage: $20.00 to $23.00 per hour (based on merit and past experience with our company) Overtime Possible: Overtime may be available at $30 to $34.50 per hour. Fringe Benefits: Free shift meals and access to all discounts and benefits of any worker with the same hire status. Number of Hours Per Week: 35 Work Schedule (Start/End time): 7:00 A.M. - 3:30 P.M.</t>
  </si>
  <si>
    <t>H-400-26184-077731</t>
  </si>
  <si>
    <t>Dallas Stewart Racing Stable Inc.</t>
  </si>
  <si>
    <t>ystewart1@aol.com</t>
  </si>
  <si>
    <t>+15023873698</t>
  </si>
  <si>
    <t>H-400-26184-077732</t>
  </si>
  <si>
    <t>Danner Racing</t>
  </si>
  <si>
    <t>kelseydannerracing@gmail.com</t>
  </si>
  <si>
    <t>+15029396466</t>
  </si>
  <si>
    <t>H-400-26184-077721</t>
  </si>
  <si>
    <t>Duties: Bartender will execute craft cocktails mix and serve drinks to patrons, directly or through waitstaff. Bartender will greet all guests and members promptly and politely, and by name whenever possible. Worker will maintain cleanliness and organization of bar/ bar storage areas at all times. Worker will execute cocktail recipes and demonstrate ability to follow recipes for syrups and all house-made ingredients. Worker will enter all transactions accordingly into point-of-sale system and issue accurate checks to members and guests. Worker will display extensive knowledge of all beverages and ingredients, as well as recommendations for pairings of food. Worker will demonstrate comprehensive knowledge of wine and ability to make recommendations from the club wine list. Worker will demonstrate sense of urgency for responding to guest needs during all interactions. No experience is required. Job Classification: 35-3011.00 - Bartenders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Employee will work Mon to Sun, an average of 40 hours/wk. Must be able to work any 8-hour shift within the hours of 8 am to 11 pm any day of the week; days off rotate, shifts vary, weekends and holidays are required. This job requires continuous movement, regularly bending, lifting, pushing, must be flexible, be able to communicate in English and be a team player. Must be able to lift/carry up to 40 lbs. when necessary. Number of Hours Per Week: 40 Work Schedule (Start/End time): 8:00 A.M. - 11:00 P.M.</t>
  </si>
  <si>
    <t>H-400-26184-077745</t>
  </si>
  <si>
    <t>Eco Turf Solutions, Inc.</t>
  </si>
  <si>
    <t>sarah@ecoturfsolutions.com</t>
  </si>
  <si>
    <t>+12818412158</t>
  </si>
  <si>
    <t>Removal and trimming of bushes; trimming and removal of fallen trees using chainsaws and loppers; raking and cleaning up ground, leaf removal, and leftover debris; disposal of brush, limbs, and fallen trees by operating tools such as chainsaws and chippers to clear ground of fallen trees from winter storms and load the cut branches/small logs onto truck for removal; winter landscape planting including hollies and other evergreens, spreading mulch; perennial rye grass installation, application and fertilization, winterizing plants and trees to protect from freezes with winter maintenance of yards with drainage control; annual winter color installs; property wide mulch installation, application and fertilization to protect plants, and winterization and draining of sprinkler system; retention pond cleanouts. Loading and unloading of materials and equipment. Lifting required up to 50 pounds. Work performed on local area jobsites with employer provided transportation to and from jobsites from a centralized pickup location in the specified area of employment. Job Classification: 37-3011.00 - Landscaping and Groundskeeping Workers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Additional requirements: employer paid pre-hire drug testing and employer paid criminal background check. Number of Hours Per Week: 40 Work Schedule (Start/End time): 7:00 A.M. - 4:00 P.M.</t>
  </si>
  <si>
    <t>H-400-26184-077716</t>
  </si>
  <si>
    <t>Enid Professional Christmas Lights LLC</t>
  </si>
  <si>
    <t>Enidchristmaslights@yahoo.com</t>
  </si>
  <si>
    <t>+15807472211</t>
  </si>
  <si>
    <t>Holiday Decorators and Groundskeepers</t>
  </si>
  <si>
    <t>***RFI Response*** “Clean and prepare the exterior of homes and businesses for holiday decoration, removing obstructions and debris as needed. Assist with assembling and installing exterior seasonal decorations; attach prepackaged lights, garland, wreaths and other decorations to window, doors and eaves. Remove decorations at the end of the season. Clean, place into storage containers. Dispose of trash.” ***Original F.a.2*** Assist with assembling and installing exterior seasonal decorations; attach lights, garland, wreaths and other decorations to window, doors and eaves. Remove decorations at the end of the season. Clean, place into storage containers. Dispose of trash. May assist with cleaning exterior of homes and businesses in preparation of holiday season. Job Classification: 49-9099.00 - Installation, Maintenance, and Repair Workers, All Other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Must be able to lift 50 lbs Number of Hours Per Week: 40 Work Schedule (Start/End time): 7:00 A.M. - 5:00 P.M.</t>
  </si>
  <si>
    <t>H-400-26184-077724</t>
  </si>
  <si>
    <t>Fair Hill Equine Therapy Center</t>
  </si>
  <si>
    <t>sam@fairhilletc.com</t>
  </si>
  <si>
    <t>+14106202175</t>
  </si>
  <si>
    <t>H-400-26184-077756</t>
  </si>
  <si>
    <t>Farmhouse GL LLC</t>
  </si>
  <si>
    <t>Jonathan Grode</t>
  </si>
  <si>
    <t>deborah@fitchranch.com</t>
  </si>
  <si>
    <t>+19705312102</t>
  </si>
  <si>
    <t>Line Cooks will be responsible for preparing, seasoning, and cooking dishes such as soups, meats, vegetables, or desserts in restaurant. May order supplies, keep records and accounts, price items on menu, or plan menu. Job Classification: 35-2014.00 - Cooks, Restaurant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F.A.5 A-H. (CONTINUED) SCHEDULE: 40 HOURS PER WEEK. WORK SCHEDULE CAN VARY AND CAN INCLUDE EVENINGS, WEEKENDS, AND HOLIDAYS. WORK MAY BE PERFORMED ON ANY DAY OF THE WEEK FROM MONDAY THROUGH SUNDAY. DAYS OFF VARY. SAMPLE SHIFTS: 7AM to 3PM, 10AM to 6PM, 3PM to 11PM. SHIFT HOURS MAY VARY. Number of Hours Per Week: 40 Work Schedule (Start/End time): 7:00 A.M. - 3:00 P.M.</t>
  </si>
  <si>
    <t>H-400-26184-077751</t>
  </si>
  <si>
    <t>First Choice Christmas Lights, LLC</t>
  </si>
  <si>
    <t>nicole@firstchoicelights.com</t>
  </si>
  <si>
    <t>+18176825262</t>
  </si>
  <si>
    <t>Organizing and preparing various stock of holiday decor including string lights, ornaments, and season and holiday arrangements, prepared by worker attaching ornaments to garland, wreaths and trees as needed. The set-up of outdoor photo opportunity displays with ground mounts and anchoring using hammers, stakes, and wires displays and settings. Also, to include installing and/or removing such holiday decor/stock and materials from jobsites to prepare for storage. Loading and unloading materials and equipment such as plastic tubs with light bulbs and wire, small garland/ ornament boxes and mounting supplies for outdoor displays by hand. Lifting required up to 50 pounds. Work performed on local area jobsites with employer provided transportation to and from jobsites from a centralized pickup location in the specified area of employment. Job Classification: 49-9099.00 - Installation, Maintenance, and Repair Workers, All Other The job/industry classification and description includes general information on the position from ONET/OES and the North American Industry Classification System. Please review Job Duties and Job Order for more information. Job Requirements Experience Required: No Number of Hours Per Week: 40 Work Schedule (Start/End time): 8:00 A.M. - 5:00 P.M.</t>
  </si>
  <si>
    <t>H-400-26184-077725</t>
  </si>
  <si>
    <t>Fitch Ranch Artisan Meat Company LLC</t>
  </si>
  <si>
    <t>Deborah@FitchRanch.com</t>
  </si>
  <si>
    <t>Butcher</t>
  </si>
  <si>
    <t>Butchers will be responsible for artisan meat cutting, processing, and packaging. Will lift and hang animal carcass on meat hanging hooks until ready to cut; breaking down parts of the animal into cuts (such as shoulder, rib, loin, leg) by cutting, boning, fat trimming, and portioning large cuts of meat to specifications using meat processing equipment such as boning hooks, breaking knives, meat and bone band saws, cutting boards, and scales to weigh; packaging the cuts by using semi-automated vacuum sealing machines and meat vacuum bags to then be refrigerated. Job Classification: 51-3021.00 - Butchers and Meat Cutters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F.A.5 A-H. (CONTINUED) SCHEDULE: 40 HOURS PER WEEK. WORK SCHEDULE CAN VARY AND CAN INCLUDE EVENINGS, WEEKENDS, AND HOLIDAYS. WORK PERFORMED ON ANY DAY OF THE WEEK FROM MONDAY THROUGH SUNDAY. DAYS OFF VARY. SAMPLE SHIFTS: 7AM to 3PM, 10AM to 6PM, 3PM to 11PM. SHIFT HOURS MAY VARY. Number of Hours Per Week: 40 Work Schedule (Start/End time): 7:00 A.M. - 3:00 P.M.</t>
  </si>
  <si>
    <t>H-400-26184-077738</t>
  </si>
  <si>
    <t>G.R. Arnold II Racing Stable, Inc.</t>
  </si>
  <si>
    <t>kball@shawneefarm.com</t>
  </si>
  <si>
    <t>+18597342332</t>
  </si>
  <si>
    <t>H-400-26184-077761</t>
  </si>
  <si>
    <t>GT Landworks, LLC</t>
  </si>
  <si>
    <t>gemma@gtlandworks.com</t>
  </si>
  <si>
    <t>+15127857207</t>
  </si>
  <si>
    <t>Job Duties: raking and cleaning up ground, leaf removal, and leftover debris; disposal of brush, limbs, and fallen trees by operating tools such as chainsaws to cut and clear ground of fallen trees from winter storms, loading small logs and cut branches onto trailer; winter landscape planting including hollies and other evergreens, spreading mulch; perennial rye grass installation, application and fertilization, winterizing plants and trees to protect from freezes with winter maintenance of yards with drainage control; annual winter color installs; perennial cutbacks, pruning, and dead heading; property wide mulch installation, application and fertilization to protect plants, and winterization and draining of sprinkler system; Organizing and preparing various stock of holiday decor including string lights, ornaments, and season and holiday arrangements, displays and settings. Also, to include installing and/or removing such holiday decor/stock and materials from jobsites and prepare for storage. Loading and unloading of materials and equipment. Lifting required up to 50 pounds. Work performed on local area jobsites with employer provided transportation to and from jobsites from a centralized pickup location in the specified area of employment. Job Classification: 37-3011.00 - Landscaping and Groundskeeping Workers The job/industry classification and description includes general information on the position from ONET/OES and the North American Industry Classification System. Please review Job Duties and Job Order for more information. Job Requirements Experience Required: No Number of Hours Per Week: 40 Work Schedule (Start/End time): 8:00 A.M. - 5:00 P.M.</t>
  </si>
  <si>
    <t>H-400-26184-077714</t>
  </si>
  <si>
    <t>Glen Hill Farm LLC</t>
  </si>
  <si>
    <t>denice@glenhill.farm</t>
  </si>
  <si>
    <t>H-400-26184-077733</t>
  </si>
  <si>
    <t>JANE CIBELLI RACING STABLE INC</t>
  </si>
  <si>
    <t>JJOADBY@AOL.COM</t>
  </si>
  <si>
    <t>+17274219133</t>
  </si>
  <si>
    <t>H-400-26184-077758</t>
  </si>
  <si>
    <t>Jesus Espinosa Framing Inc</t>
  </si>
  <si>
    <t>jespinosaframing@gmail.com</t>
  </si>
  <si>
    <t>+14065994991</t>
  </si>
  <si>
    <t>***RFI response*** Perform tasks involving physical labor at construction sites, and assist senior team members in the operation of hand and power tools of all types, including Milwaukee nail guns, Husky air hammers, Stark earth tampers, Yardmax cement mixers, Vevor small mechanical hoists, DeWalt compound miter saw, and Bosch surveying and measuring equipment; use of non-motorized tools such as shovels to dig trenches, set lumber braces (2x4”s or 2x6”s) to support the sides of excavations, erect scaffolding, and use shovels to clean and prepare sites, remove rubble and debris, and if necessary snow and ice. ***Original*** DUTIES: Perform tasks involving physical labor at construction sites; operate hand and power tools of all types: air hammers, earth tampers, cement mixers, small mechanical hoists, surveying and measuring equipment, and a variety of other equipment and instruments; uses tools to clean and prepare sites, dig trenches, set braces to support the sides of excavations, erect scaffolding, and clean up rubble, debris, and other waste materials, will assist other team workers, and if necessary shovel snow and ice. Job Classification: 47-2061.00 - Construction Laborers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Must be able to lift up to 75 pounds, and stand or bend for all or most of work shift. Number of Hours Per Week: 40 Work Schedule (Start/End time): 7:00 A.M. - 4:30 P.M.</t>
  </si>
  <si>
    <t>H-400-26184-077743</t>
  </si>
  <si>
    <t>John Alexander Ortiz</t>
  </si>
  <si>
    <t>jaoracing@gmail.com</t>
  </si>
  <si>
    <t>+18593964128</t>
  </si>
  <si>
    <t>H-400-26184-077740</t>
  </si>
  <si>
    <t>Jorge Abreu Corp</t>
  </si>
  <si>
    <t>abs1234@verizon.net</t>
  </si>
  <si>
    <t>+19548715655</t>
  </si>
  <si>
    <t>H-400-26184-077727</t>
  </si>
  <si>
    <t>L &amp; G Racing Stables</t>
  </si>
  <si>
    <t>lgracingstables@yahoo.com</t>
  </si>
  <si>
    <t>+17134161280</t>
  </si>
  <si>
    <t>H-400-26184-077768</t>
  </si>
  <si>
    <t>Lone Peak Management, LLC</t>
  </si>
  <si>
    <t>Mariana Baron</t>
  </si>
  <si>
    <t>kmih2bapplications@gmail.com</t>
  </si>
  <si>
    <t>+14065220002</t>
  </si>
  <si>
    <t>Carry linens, towels, toilet items, and cleaning supplies using wheeled carts; clean rooms, hallways, lobbies, lounges, restrooms, corridors, elevators, stairways, locker rooms, and other work areas according to applicable health standards; disinfect equipment and supplies using germicides and/or steam-operated sterilizers; replenish supplies, such as drinking glasses, linens, writing supplies, and bathroom items; clean rugs, carpets, upholstered furniture, and draperies, using vacuum cleaners and shampooers; keep storage areas and carts well-stocked, clean, and tidy. Job Classification: 37-2012.00 - Maids and Housekeeping Cleaners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Must be able to lift up to 50 lbs. and stand or bend for all or most of the work shift. Schedule: 35 hours per week. Monday through Sunday (schedule varies). Work schedule can include evening, weekend, and holiday hours. Shifts: 9:00am to 4:00pm (shift hours may vary). Number of Hours Per Week: 35 Work Schedule (Start/End time): 9:00 A.M. - 4:00 P.M.</t>
  </si>
  <si>
    <t>H-400-26184-077730</t>
  </si>
  <si>
    <t>Lotus Equine LLC</t>
  </si>
  <si>
    <t>desototrainingctr@gmail.com</t>
  </si>
  <si>
    <t>+15206689552</t>
  </si>
  <si>
    <t>Show Horse Groom</t>
  </si>
  <si>
    <t>***RFI Response*** Attends to the overall care of Arabian &amp; American Saddlebred show horses including feeding, watering, cleaning, brushing, show clipping of horses, inspection of horses' physical condition, stall cleaning, lounging horses, washing &amp; tacking horses. Days off Rotates. Split shifts 5-11 am and 3-5 pm ***Original F.a.2*** Attends to the overall care of Arabian &amp; American Saddlebred show horses including feeding, watering, cleaning, brushing, show clipping of horses, inspection of horses' physical condition, stall cleaning, lounging horses, washing &amp; tacking horses. Split shifts 5-11 am and 3-5 pm. Job Classification: 39-2021.00 - Animal Caretakers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1 Special Requirements: Must be able to lift 50 lbs Number of Hours Per Week: 56 Work Schedule (Start/End time): 5:00 A.M. - 5:00 P.M.</t>
  </si>
  <si>
    <t>H-400-26184-077739</t>
  </si>
  <si>
    <t>MIKE TROMBETTA RACING STABLE LLC</t>
  </si>
  <si>
    <t>lucy@trombettastables.com</t>
  </si>
  <si>
    <t>+14109774351</t>
  </si>
  <si>
    <t>H-400-26184-077755</t>
  </si>
  <si>
    <t>Madison Lawn Care of Sioux Falls, Inc.</t>
  </si>
  <si>
    <t>info@hbasiouxempire.com</t>
  </si>
  <si>
    <t>+16053675300</t>
  </si>
  <si>
    <t>Snow Removal Laborers</t>
  </si>
  <si>
    <t>A variety of duties for snow removal using hand tools and equipment such as ice picks, shovels, small snow skidder, snow blowers, and salt spreaders. Operate vehicles (non-DOT) with plow and/or salt spreading attachments to clear snow/ice from driveways, parking lots, and other surfaces and other related snow shoveler activities. Work is performed only on privately owned or privately contracted properties and does not include maintenance of public roads, highways, or municipal infrastructure. The employer will provide daily transportation to and from the work site at no cost to the worker. Use of transportation is voluntary. Employer provides daily transportation between work sites. Wage: Basic wage rate is $25.44/hr. An overtime premium at the rate of, $38.16/hr., will be paid when required by Federal, State, or local law, including at time-and-a-half after 40 hours in a work week. The employer may offer raises/bonuses to temporary employees hired under this job order, at the company's sole discretion, based on individual factors such as performance, skill, and job tenure. Wages will be calculated based on a single workweek. Employees will be paid bi-weekly. Schedule: Shifts may vary, but an average scheduled workday can be from 7AM to 4PM, Mon-Fri.. Shift includes a 60-minute unpaid break. The expected work schedule is approximately 40 hours per week. The employer may offer more hours than specified, depending on company needs, and other conditions. On-the-job training is available. Job Classification: 47-4051.00 - Highway Maintenance Workers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No minimum education required, or experience required. Must be able to lift, carry, push, pull objects up to 50lbs. Work is performed outdoors exposed to variable weather conditions. Applicant must complete an employment application. Work on Saturdays and Sundays may be required depending on weather conditions and needs of the business. All applicants must be able, willing and qualified to perform work described for the entire specified time period. Must show proof of legal authorization to work in the U.S. Drug/alcohol/tobacco free work zone. Number of Hours Per Week: 40 Work Schedule (Start/End time): 7:00 A.M. - 4:00 P.M.</t>
  </si>
  <si>
    <t>H-400-26184-077753</t>
  </si>
  <si>
    <t>Sequoia Maintenance Services LLC</t>
  </si>
  <si>
    <t>https://www.workintexas.com</t>
  </si>
  <si>
    <t>+19722029564</t>
  </si>
  <si>
    <t>Use power &amp; hand tools to maintain lawns. Rake and blow leaves; prune and haul topsoil and mulch. Pick up trash and debris. Involves loading and unloading tools and supplies and equipment weighing up to 50 lbs. Involves working outdoors in all types of weather. Involves extensive standing, sitting or walking. Involves frequent stooping or bending. Involves repetitive movements. Possibility of performance based raise, bonuses, overtime and Saturdays as required. Transportation provided to multiple worksites from central location in Carrollton, TX. 60 minutes of unpaid breaks throughout the day. Daily hours may vary between start and end times listed depending on weather or job assignments. Job Classification: 37-3011.00 - Landscaping and Groundskeeping Workers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None. Number of Hours Per Week: 40 Work Schedule (Start/End time): 7:00 A.M. - 3:00 P.M.</t>
  </si>
  <si>
    <t>H-400-26184-077746</t>
  </si>
  <si>
    <t>NexGen-US LBM LLC dba Truss Pro's Inc.</t>
  </si>
  <si>
    <t>+17159244867</t>
  </si>
  <si>
    <t>Woodworking Machine Operator</t>
  </si>
  <si>
    <t>Set up, adjust, tend and assist in operating woodworking machines used to cut, shape, and finish wood components. Duties include handling, loading, and positioning lumber and other wood materials for processing. Workers will sort, move, and organize lumber by size and type, as well as measure, align, position, and fasten wood pieces using hand tools, nails, screws, and adhesives. Employees may assist skilled operators by supplying materials, holding components in place, and supporting general production tasks. Responsibilities also include maintaining a clean and organized work area. The workers will use the machines listed below in the performance of their assigned job duties. None of these machines involve sawing operations. • Auto jigging truss tables, • Laser projection viewing systems, • Truss stackers, • Conveyor systems, and • Gantry press systems. Job Classification: 51-7042.00 - Woodworking Machine Setters, Operators, and Tenders, Except Sawing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Must be able to lift and carry 75 lbs. for 75 yards and handle extreme temperatures. Number of Hours Per Week: 40 Work Schedule (Start/End time): 7:30 A.M. - 4:30 P.M.</t>
  </si>
  <si>
    <t>H-400-26184-077741</t>
  </si>
  <si>
    <t>NexGen-US LBM, LLC</t>
  </si>
  <si>
    <t>Helper production workers will assist by performing duties requiring less skill. Duties include the following: supplying or holding materials or tools and cleaning the work area and equipment. Workers will assist with general production work and assembling truss wall panels. Workers will help hand load lumber onto framing tables where various tolls such as hammers, pneumatic nail guns, nails, drills, other misc . hand tolls, screws, application of glue will be used to fasten the lumber together to create the finished wall panel product. The worker will assist loading and unloading items onto equipment for processing and package finished products for shipping will be performed using standard non-powered methods (e.g./hand carts or team work). The worker will help ensure products are in conformance with the company's specifications. The production worker will accurately record the product's data and pull damaged or ineffective equipment. During winter months, workers will assist with additional duties including clearing snow and ice from work areas, maintaining safe and accessible production spaces, handling and storing materials in cold conditions, performing general facility, upkeep, and supporting production operations as needed to ensure workflow continuity despite seasonal weather conditions. Job Classification: 51-9198.00 - Helpers--Production Workers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Must be able lift seventy-five (75) lbs. frequently throughout the workday. Must be able to pass the employer-paid pre-employment, post accident, and other random drug testing. Flexible Hours may be required. Number of Hours Per Week: 40 Work Schedule (Start/End time): 7:30 A.M. - 4:30 P.M.</t>
  </si>
  <si>
    <t>H-400-26184-077717</t>
  </si>
  <si>
    <t>Oliver Racing Stable</t>
  </si>
  <si>
    <t>vickioliver72@gmail.com</t>
  </si>
  <si>
    <t>+18596215259</t>
  </si>
  <si>
    <t>H-400-26184-077734</t>
  </si>
  <si>
    <t>Pecoraro Stable Inc</t>
  </si>
  <si>
    <t>pecoraro0423@gmail.com</t>
  </si>
  <si>
    <t>+19542329903</t>
  </si>
  <si>
    <t>H-400-26184-077726</t>
  </si>
  <si>
    <t>Pewter Stable LLC</t>
  </si>
  <si>
    <t>katedemasi1@gmail.com</t>
  </si>
  <si>
    <t>+16093305754</t>
  </si>
  <si>
    <t>H-400-26184-077766</t>
  </si>
  <si>
    <t>Prestonwood Landscape Services-DFW LLC</t>
  </si>
  <si>
    <t>hr@prestonwoodlandscape.com</t>
  </si>
  <si>
    <t>+12143574668</t>
  </si>
  <si>
    <t>Lawn Maintenance Crew Helper</t>
  </si>
  <si>
    <t>Use hand/power tools to maintain lawns, dig holes and trenches using hand tools with a max depth/width of 3 ft to install sprinkler systems and/or plants, lay sod &amp; plant. May operate motorized vehicles. Involves loading and unloading tools and supplies and equipment weighing up to 50 lbs. Involves working outdoors in all types of weather. Involves extensive standing, sitting or walking. Involves frequent stooping or bending. Involves repetitive movements. Post Hire/Employer Paid Drug Test. Optional advance pay of $200 for settling expenses. Optional healthcare $38.24/$48.48, dental &amp; vision at $10.12/$11.45. Voluntary Life, Disability, Accident: Depends on coverage starting at $4.65.” Possibility of performance based raise, bonuses, overtime and Saturdays as required. Transportation provided to multiple worksites from central location in Dallas, TX. 60 minutes of unpaid breaks throughout the day. Daily hours may vary between start and end times listed depending on weather or job assignments. Job Classification: 37-3011.00 - Landscaping and Groundskeeping Workers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None. Number of Hours Per Week: 40 Work Schedule (Start/End time): 7:00 A.M. - 4:00 P.M.</t>
  </si>
  <si>
    <t>H-400-26184-077707</t>
  </si>
  <si>
    <t>R&amp;L Winter Concessions LLC</t>
  </si>
  <si>
    <t>rodneyalbers@yahoo.com</t>
  </si>
  <si>
    <t>+14053873886</t>
  </si>
  <si>
    <t>Food prepping and handling, practice sanitation for kitchen, deliver prepared dishes to clients. Job Classification: 35-9099.00 - Food Preparation and Serving Related Workers, All Other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1 Special Requirements: Must be able to lift 50 lbs. Number of Hours Per Week: 40 Work Schedule (Start/End time): 7:00 A.M. - 4:00 P.M.</t>
  </si>
  <si>
    <t>H-400-26184-077760</t>
  </si>
  <si>
    <t>RSG Landscaping LLC</t>
  </si>
  <si>
    <t>dshumaker@rsglandscaping.com</t>
  </si>
  <si>
    <t>+14349932753</t>
  </si>
  <si>
    <t>Landscape or maintain grounds of property using hand or power tools or equipment, which includes edgers, sprayers, blowers, rakes, shovels, hand pruners, and hedge shears. Workers typically perform a variety of tasks, which may include any combination of the following: planting of winter species trees/shrubs/annuals, winter pruning of trees/shrubs, digging, raking, leaf removal, aeration &amp; overseeding of turf areas, sprinkler winterizations, sodding, mowing, trimming, planting, watering, digging, raking, assisting in the creation of rock gardens, ponds, decks, drainage systems, irrigation systems, retaining walls, fences, planters, or playground equipment. There will be no mortar used for segmental retaining wall installations. These devices will "lock" onto themselves with "lips" that are made into the product. They stack on top of each other until the top where a "cap" is glued on. The intent with the workers would be to help bring the individual block segments over to the area and lay them behind the area so their crew leader can place them in place. They may also help hand spread gravel using round point shovels and hard rakes in preparation for the segmental pieces and area behind them. Additionally, workers will not be "installing" as installation is not included within the tasks assigned. For drainage pipes, workers will be placing 4" ADS Corrugated drain tubing (black flexible pipe) into open trenches and covering it up with soil using rakes and shovels. For irrigation systems, workers will be shutting systems down for the winter season (irrigation winterization). This process involves turning the water service valve off and opening the low-point drain valve to let the water drain out using gravity. On some systems they may assist the irrigation technician by connecting an air compressor hose to the irrigation pipes (a 1/2 turn on the hose) and opening the valves to let the air push the water out until no water is left (usually 2 minutes or less per zone). Currently no fence work is planned. Workers will decorate gardens with stones or plants. Due to the autumn and winter festivities, the winter laborers will also be assisting with Christmas and Halloween decorations. Workers will also work on snow removal, hauling or spreading topsoil, or spreading straw over seeded soil to hold the soil in place. Care for natural turf fields, ensuring the underlying soil has the required composition to allow proper drainage and support the grasses. And to assist in performing these duties workers will operate small vehicles or powered equipment, such as mowers, chainsaws, electric clippers, sod cutters, or pruning saws. Workers will be using John Deer Mowers to perform mowing duties when needed. Additionally, workers may be asked to drive pick-up trucks such as a Ford F150 provided by the Employer to get to and from the worksite if a valid driver's license permits. Although mowing season will come to an end in late October, workers may be asked to mow using the John Deere Z960 Lawn Mower. This mower weighs approximately 1,340lb. Workers will not be driving trucks to perform work duties. All winter laborers will be in entry-level positions supervised by a superior or team leader. Workers will assist in creating decorative rubber lined water features, decks, retaining walls, fences and playground areas by carrying and positioning materials, digging post holes, spreading gravel and playground chips, hand-placing rubber liners, pipe, edging, and blocks and site cleanup. Tool and materials include shovels, rakes, hammers, saws, levels, wheelbarrows, PVC pipe, liners, rock, lumber, concrete, gravel, blocks and edging. Workers will assist in placing seasonal decorations, including pumpkins, mums, wreaths, roping, artificial trees, poinsettias, and lighting, using hands, telescoping poles and wire ties. Snow removal duties include shoveling, scraping and de-icing using shovels, scrapers, spreaders, rock salt and calcium chloride. Job Classification: 49-9099.00 - Installation, Maintenance, and Repair Workers, All Other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Must lift/carry 50 lbs, when necessary. Saturday and Sunday work is required when necessary. Post-hire random, post-accident, and upon suspicion of use, drug testing is required of foreign and domestic workers paid for by the employer. Post-hire background checks may be required for foreign and domestic workers based on contract requirements. Employers may offer more than the stated work hours depending on weather, business needs, and other conditions. Extreme heat, cold, rain, or drought may affect exact working hours. On-the-job training will be provided to the worker. Number of Hours Per Week: 35 Work Schedule (Start/End time): 7:00 A.M. - 3:30 P.M.</t>
  </si>
  <si>
    <t>H-400-26184-077713</t>
  </si>
  <si>
    <t>Robertino Diodoro</t>
  </si>
  <si>
    <t>rdiodoro16@gmail.com</t>
  </si>
  <si>
    <t>+15012769459</t>
  </si>
  <si>
    <t>Attends to the overall care of thoroughbred race horses including feeding, watering, maintenance of stalls and rack, cleaning, brushing, exercising, trimming of horses, disinfecting stalls and bedding, administration of meds as directed, inspection of horses physical condition. Will lift legs and clean horse's feet and apply liniments and bandages to legs as required. Will care for 1-5 horses at a time. Split shift 5AM to 11AM and 3PM to 5PM. Days off Rotates. Job Classification: 39-2021.00 - Animal Caretakers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1 Special Requirements: Must be able to lift 50 lbs. Number of Hours Per Week: 56 Work Schedule (Start/End time): 5:00 P.M. - 5:00 P.M.</t>
  </si>
  <si>
    <t>H-400-26184-077742</t>
  </si>
  <si>
    <t>Rock Chuckers, LLC</t>
  </si>
  <si>
    <t>kami@rockchuckers-utah.com</t>
  </si>
  <si>
    <t>+13859005872</t>
  </si>
  <si>
    <t>General Landscape Labor including: Raking and shoveling areas to a finish grade in prep for landscape material or bark mulch. Sweeping streets and parking lots after the project is complete. General Landscape Maintenance including: Mowing lawns, picking up garbage, weed eating or edging, running blowers for grass clippings. Job Classification: 37-3011.00 - Landscaping and Groundskeeping Workers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2 Special Requirements: Understanding of grades / slopes and how to use laser equipment to perform tasks. Number of Hours Per Week: 40 Work Schedule (Start/End time): 8:00 A.M. - 4:30 P.M.</t>
  </si>
  <si>
    <t>H-400-26184-077737</t>
  </si>
  <si>
    <t>STALL RACING LLC</t>
  </si>
  <si>
    <t>stallracing@hotmail.com</t>
  </si>
  <si>
    <t>+15046285222</t>
  </si>
  <si>
    <t>H-400-26184-077706</t>
  </si>
  <si>
    <t>Sea Farms, Inc.</t>
  </si>
  <si>
    <t>shelby@seafarmsinc.net</t>
  </si>
  <si>
    <t>+18046845327</t>
  </si>
  <si>
    <t>Open and remove oyster meat from shell, separate meat by size/quality, prepare oysters for wholesale/retail sale, clean and sanitize work areas and equipment, place oysters in containers, seal and pack oysters in containers, move, dump, and distribute raw product, remove oysters from boats or trucks, occasionally use material handling equipment (shell stock washer, scales and equipment to handle shellfish), freeze and place oysters in containers See attached addendum. Job Classification: 53-7062.00 - Laborers and Freight, Stock, and Material Movers, Hand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Lift/carry up to 50 pounds. The employer maintains a workplace free from the use of illegal drugs, alcohol, and unauthorized controlled substances. The use, possession, sale, or being under the influence of illegal drugs or alcohol during working time or on employer premises is prohibited. The employer may conduct lawful, job-related screening of applicants, including inquiries into criminal history, where permitted by applicable federal, state, and local laws. Any consideration of criminal history will be conducted on an individualized basis and employment decisions will be made in a nondiscriminatory manner consistent with applicable laws and business necessity. No infectious diseases; seafood allergies may be fatal. Number of Hours Per Week: 40 Work Schedule (Start/End time): 6:00 A.M. - 2:00 P.M.</t>
  </si>
  <si>
    <t>H-400-26184-078157</t>
  </si>
  <si>
    <t>SHARP FORESTRY, INC.</t>
  </si>
  <si>
    <t>SAYDE LEONEL DE CERVANTES</t>
  </si>
  <si>
    <t>https://mdes.ms.gov/i-need-a-job/job-search</t>
  </si>
  <si>
    <t>+16622431751</t>
  </si>
  <si>
    <t>Tree Pruners</t>
  </si>
  <si>
    <t>Will cut away dead or excess branches from trees to maintain or improve appearance, health &amp; value of trees in the woods. Will use a variety of techniques to prune, trim and remove branches from trees for aesthetics and to make an area safer if the tree is posing a potential threat. Operate an array of equipment to remove and dispose of unwanted branches, which can entail using brush chippers, boom trucks, stump chippers, power saws and many others, climb trees using climb hooks, belts and ladders in order to access the worksite; prune the top of trees to make them usable as conduit poles; clear the site once the job is done by loading up branches and other pieces of debris into work truck. This job will be performed on top of trees in the woods. Job Classification: 37-3013.00 - Tree Trimmers and Pruners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12 Number of Hours Per Week: 40 Work Schedule (Start/End time): 8:00 A.M. - 4:00 P.M.</t>
  </si>
  <si>
    <t>H-400-26184-077708</t>
  </si>
  <si>
    <t>Skyland Farm LLC</t>
  </si>
  <si>
    <t>Denice@southerlyva.com</t>
  </si>
  <si>
    <t>+15407290361</t>
  </si>
  <si>
    <t>***RFI Response*** Attends to the overall care of Arabian &amp; American Saddlebred show horses including feeding, watering, cleaning, brushing, show clipping of horses, inspection of horses' physical condition, stall cleaning, lounging horses, washing &amp; tacking horses. Days off Rotates. Split shifts 5-11 am and 3-5 pm ***Original F.a.2*** Attends to the overall care of Arabian &amp; American Saddlebred show horses including feeding, watering, cleaning, brushing, show clipping of horses, inspection of horses' physical condition, stall cleaning, lounging horses, washing &amp; tacking horses. Days off Rotates. Split shifts 5-11 am and 3-5 pm. Job Classification: 39-2021.00 - Animal Caretakers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1 Special Requirements: Must be able to lift 50 lbs Number of Hours Per Week: 56 Work Schedule (Start/End time): 5:00 A.M. - 5:00 P.M.</t>
  </si>
  <si>
    <t>H-400-26184-077736</t>
  </si>
  <si>
    <t>Sugar Bowl Ski Team &amp; Academy</t>
  </si>
  <si>
    <t>Natalia Fridman</t>
  </si>
  <si>
    <t>bzagar@sbacademy.org</t>
  </si>
  <si>
    <t>+15304161195</t>
  </si>
  <si>
    <t>Alpine Ski Assistant Coach</t>
  </si>
  <si>
    <t>Sugar Bowl Ski Team &amp; Academy in Norden, CA, seeks 6 Ski Alpine Assistant Coach - for temporary, full-time employment (10/01/2026 to 05/31/2027). Duties: The Alpine Ski Assistant Coaches will perform the following duties: ATHLETE TRAINING, PREPARATION &amp; ADMINISTRATION: Be on time to prepare equipment (gates, timing, video) for each training session. Support Head Coach and share coaching, set course, maintain course and track, responsible for video and timing, as directed by Head Coach. Be available to lead free-skiing sessions when necessary. Communicate effectively with athletes. Utilize video review / archiving techniques online (Sprongo, Dropbox, etc.). Meet with athletes, coaches, and parents for program nights/explanations. Assist with conditioning sessions. Assist with equipment recommendations and maintenance for all athletes. Administer goal setting, and along with Head Coach, keep track of each athlete’s goals and participate in athlete evaluation. Attend meetings as necessary. Attend end of year Awards Banquet. TRAVEL: Transport SBSTA athletes to races and projects. When directed by Head Coach, be ready to take charge of a project or a race trip as acting Head Coach. After each trip, direct athletes to properly clean up interior of the vehicle (with athletes). Fill out a Vehicle Log sheet after each trip. Report expenses (with receipts) to the Head Coach and Business office. EQUIPMENT: Assist with the repair and maintenance of equipment as necessary. PROFESSIONAL DEVELOPMENT: Review technical videos and publications. Attend professional development courses / clinics / seminars to upgrade / update personal skills. Travel and coach team at divisional, regional, national, and international ski competitions (competitions last 3 to 6 days) throughout the season. Lodging and transportation will be provided during travel for ski competitions with students. May perform other job duties pursuant to 27-2022, Coaches and Scouts. F.A.5.A-F.A.6B: 35+ hours/week. Tues-Sun 6-hour shifts between 8:00 am and 2:00 pm. 6 days per week, Tues-Sun. May work evenings, weekends, holidays, as needed. Schedule (including workdays) may vary. May work more than the guaranteed hours. Will not work more than 40 hours per week; position is not eligible for overtime. F.B.8A: Workers will be paid no less than the wage listed. Employer may pay higher wage rates to workers based on seniority with employer and level of skill. F.B.8A: Depending on work conditions, the employer may offer workers performing certain tasks during certain periods of the season an opportunity to earn an incentive bonus over and above the guaranteed rate of pay set forth above. If offered, such incentive bonuses will be based on the quantity and quality of work performed and offered to all workers working on the activity(ies) and during the time period(s) when such incentive bonuses are offered. If an incentive bonus is offered, the fact that the bonus is to be offered and the manner in which the bonus will be determined, will be explained to all affected workers before the start of any work period or activity subject to such a bonus. Incentive bonuses are offered at the sole discretion of the employer, and no bonus or opportunity to earn a bonus is promised or guaranteed. Job Classification: 27-2022.00 - Coaches and Scouts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12 Special Requirements: Must have 3 years of alpine ski racing as a top-ranked performer or 12 months of experience in alpine ski coaching. On-the-job training will be provided. Must be a certified ski coach or ski instructor equivalent to United States Ski and Snowboard (USSS) or have the ability to obtain coaching certification. Must be able to communicate well with athletes, staff and parents. Number of Hours Per Week: 35 Work Schedule (Start/End time): 8:00 A.M. - 2:00 P.M.</t>
  </si>
  <si>
    <t>H-400-26184-077715</t>
  </si>
  <si>
    <t>Sugarbush Mountain Resort</t>
  </si>
  <si>
    <t>atodd@sugarbush.com</t>
  </si>
  <si>
    <t>+18025836381</t>
  </si>
  <si>
    <t>Food Worker</t>
  </si>
  <si>
    <t>Will include but not limited to cleaning area; setting up for lunch and other events; washing dishes; prepping food; serving guests on the buffet line; pouring beer Job Classification: 37-2011.00 - Janitors and Cleaners, Except Maids and Housekeeping Cleaners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Must be able to lift 35 lbs. Number of Hours Per Week: 56 Work Schedule (Start/End time): 8:00 A.M. - 10:00 P.M.</t>
  </si>
  <si>
    <t>H-400-26184-077718</t>
  </si>
  <si>
    <t>Line/prep Cook</t>
  </si>
  <si>
    <t>Prepare, season, and cook soups, meats, vegetables, fruits, desserts, and other food items in one of eight restaurants on-site. Knowledge of safe and proper knife handling and food safety. Job Classification: 35-2014.00 - Cooks, Restaurant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Must be able to lift 35 lbs Number of Hours Per Week: 56 Work Schedule (Start/End time): 8:00 A.M. - 10:00 P.M.</t>
  </si>
  <si>
    <t>H-400-26184-077720</t>
  </si>
  <si>
    <t>Front Desk Clerk</t>
  </si>
  <si>
    <t>Job duties will involve the following: displaying always, a friendly, courteous and professional manner in all dealings with guests, patrons and other employees. Welcome and register hotel guests with an emphasis on fulfilling requests, following special handling instructions and adhering to established credit policies and procedures. Properly handle a multitude of keys. Quote and be familiar with room and rate availability for current and future dates. Accept reservations, changes and cancellations in the absence of reservations staff. Select and assign rooms for arriving guests; pre-register individuals or groups as required; assist in escorting VIPs and return guests to their rooms as requested. Work closely with the Concierge and Valet to coordinate the efficient handling of guest luggage and follow up on guest requests. Job Classification: 43-4081.00 - Hotel, Motel, and Resort Desk Clerks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Must be able to lift 35 lbs Number of Hours Per Week: 56 Work Schedule (Start/End time): 8:00 A.M. - 10:00 P.M.</t>
  </si>
  <si>
    <t>H-400-26184-077722</t>
  </si>
  <si>
    <t>clean areas in thorough and timely manner to the standards required, provide various housekeeping services to guests during their stay like washing windows, vacuuming and cleaning carpets and rugs, cleaning and sanitizing toilets, showers, bathtubs countertops, and sinks to the standards required, report any maintenance issues, damage or missing items to the Clay Brook Housekeeping Supervisor and provide courteous guest service Job Classification: 37-2012.00 - Maids and Housekeeping Cleaners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Must be able to lift 35 lbs Number of Hours Per Week: 56 Work Schedule (Start/End time): 8:00 A.M. - 10:00 P.M.</t>
  </si>
  <si>
    <t>H-400-26184-077752</t>
  </si>
  <si>
    <t>T &amp; W Seafood, Inc.</t>
  </si>
  <si>
    <t>wrightbrandoysters@aol.com</t>
  </si>
  <si>
    <t>+12518247880</t>
  </si>
  <si>
    <t>Workers may use arm and hands to carry sacks of oysters from storage/cooler to the shucking station. Workers will process oysters at their station using a knife and hammer. Obtain and distribute product; use knife to cut oyster from shell; inspect meat for blemishes and remove/discard, separate processed meat by size or quality and place oysters in containers; assist with cleaning work station at end of shift. Piece rate may be offered; rate is determined based on prevailing wage determination. Second plant location: 14450 Railroad Street Coden, AL 36523 No Experience/No educ. 14 days on the job training provided See attached addendum Job Classification: 51-3022.00 - Meat, Poultry, and Fish Cutters and Trimmers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Lift/carry up to 50 pounds. Employer paid drug test is Post Employment, Upon Suspicion. The employer may conduct lawful, job-related screening of applicants, including inquiries into criminal history, where permitted by applicable federal, state, and local laws. Any consideration of criminal history will be conducted on an individualized basis and employment decisions will be made in a nondiscriminatory manner consistent with applicable laws and business necessity.No infectious diseases; seafood allergies may be fatal. Number of Hours Per Week: 35 Work Schedule (Start/End time): 3:30 A.M. - 11:00 A.M.</t>
  </si>
  <si>
    <t>H-400-26184-077709</t>
  </si>
  <si>
    <t>U.K.A.G Inc.</t>
  </si>
  <si>
    <t>agoes.nz@gmail.com</t>
  </si>
  <si>
    <t>+14053644637</t>
  </si>
  <si>
    <t>Embroidery Machine Operator</t>
  </si>
  <si>
    <t>Operating embroidery machine using pre-made designs on sport apparel. Job Classification: 51-6031.00 - Sewing Machine Operators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1 Number of Hours Per Week: 40 Work Schedule (Start/End time): 8:00 A.M. - 5:00 P.M.</t>
  </si>
  <si>
    <t>H-400-26184-077825</t>
  </si>
  <si>
    <t>1899, LLC Landscape Solutions</t>
  </si>
  <si>
    <t>Jobs@1899llc.com</t>
  </si>
  <si>
    <t>+18436700195</t>
  </si>
  <si>
    <t>The workers will be responsible for landscaping and maintaining grounds and property using hand and power tools and equipment. They will mow and maintain existing landscaping, trimming, planting, pruning, sod laying, fertilizing, watering, leaf cleanup, digging, raking, and basic irrigation. They will sweep walkways of debris, cut down tree limbs, trim shrubs and pull weeds. The workers will also perform minor repairs and maintenance procedures on equipment used in groundskeeping. Job Classification: 37-3011.00 - Landscaping and Groundskeeping Workers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1 Special Requirements: Ability to lift 50 lbs. DAILY HOURS MAY VARY BASED ON WEATHER. SATURDAY WORK REQUIRED, WHEN NECESSARY. POST-HIRE DRUG TESTING MAY BE CONDUCTED RANDOMLY, POST-ACCIDENT, AND UPON SUSPICION AT EMPLOYER'S EXPENSE. TRAVEL TO WORKSITE LOCATIONS IN CHARLESTON COUNTY OF SOUTH CAROLINA. Number of Hours Per Week: 45 Work Schedule (Start/End time): 6:45 A.M. - 3:30 P.M.</t>
  </si>
  <si>
    <t>H-400-26184-077810</t>
  </si>
  <si>
    <t>A Ferris Allen III</t>
  </si>
  <si>
    <t>ferrisafa@aol.com</t>
  </si>
  <si>
    <t>+14107079206</t>
  </si>
  <si>
    <t>H-400-26184-077793</t>
  </si>
  <si>
    <t>A&amp;A Tile and Coping, Inc.</t>
  </si>
  <si>
    <t>mr677529@gmail.com</t>
  </si>
  <si>
    <t>+12678859991</t>
  </si>
  <si>
    <t>Winter Tile Setter Laborer</t>
  </si>
  <si>
    <t>With little to no supervision, the tile setter laborer will apply hard tile, stone and comparable materials on swimming pools. The tile setter laborer will cut and shape tile to fit around obstacles and into odd spaces and corners. The tile setter laborer will mix, apply and spread plaster, concrete, mortar, cement, mastic, glue or other adhesives to form a bed for the tiles, using brush, trowel and screed. The tile setter laborer will apply mortar to back of tile, position the tile, and press or tap with trowel to affix tile to base. the tile setter laborer will measure and mark surfaces to be tiled, align and straighten tile using levels and squares. Tile Setter Laborers will prepare for the winter season by cleaning equipment and preparing for storing. Additionally, tile setter laborers will be performing finishing touches on projects such as setting to ensure the work is completed before the winter season. Job Classification: 47-2044.00 - Tile and Stone Setters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Must be able to lift and carry up to 50 lbs for 75 yards. Number of Hours Per Week: 40 Work Schedule (Start/End time): 9:00 A.M. - 5:00 P.M.</t>
  </si>
  <si>
    <t>H-400-26184-077834</t>
  </si>
  <si>
    <t>A. Pizano Irrigation Systems, Inc.</t>
  </si>
  <si>
    <t>Branislav Hruz</t>
  </si>
  <si>
    <t>a.pizano69@outlook.com</t>
  </si>
  <si>
    <t>+18472635168</t>
  </si>
  <si>
    <t>Mow, cut, water, and edge lawns. Rake and blow leaves, pull and chop weeds; sprinkler installation, haul topsoil, and mulch. Clean Up. Job Classification: 37-3011.00 - Landscaping and Groundskeeping Workers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Able to lift/carry 50 lbs when necessary. Number of Hours Per Week: 40 Work Schedule (Start/End time): 8:00 A.M. - 5:00 P.M.</t>
  </si>
  <si>
    <t>H-400-26184-077813</t>
  </si>
  <si>
    <t>Alpha Consolidated Contracting Services, LLC</t>
  </si>
  <si>
    <t>Ashley Wells</t>
  </si>
  <si>
    <t>accs.llc@icloud.com</t>
  </si>
  <si>
    <t>+18502516361</t>
  </si>
  <si>
    <t>Duties may include: gather, sheer, cut manual, treat, arrange, tie, package of previously gathered raw nursery-Christmas tree, limbs, boughs, etc. material. Cut natural pine product @ 11” w/clippers, tie, treat, arrange to produce wreaths. Another worker tie up bouquet w/ a circular hook. 100% quality must be done &amp; other related Wreath Maker activities as per SOC/OES 27-1023 (onetonline.org).Possible weekend/holiday work. Standard/Expected Schedule: Monday-Friday 7:00AM-6:00PM. Offering +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Piece rate may apply: worker will never make less than Prevailing Wage or Federal/State/Local minimum wage. Job Classification: 27-1023.00 - Floral Designers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Must show proof of legal authorization to work in the United States. Drug/alcohol/tobacco free work zone. Perform physical activities such as: lift, balance, walk, stoop, handle, position, move, manipulate materials use static strength to exert max muscle force to lift, push, pull, carry objects up to 60lbs (possible 2-person). All applicants must be able, willing and qualified to perform work described and must be available for the entire period specified. Based on Employer's discretion/cost: Worker may have random drug/alcohol testing during employment: positive test/refusal to abide = dismissal. Possible background check post hire at employer's expense. No smoking or drinking alcohol in lodging. Work is indoor/outdoor. Temperature changes due to climate control for product storage/gathering is outdoors. Due to wet climate conditions; may walk in mud &amp;amp; must be able to work in potentially wet clothes. Rashes, allergies may occur due to exposure to pine dust, contaminates, bugs, finger cuts may occur as working with limbs, etc. Extensive standing, stooping, bending (no sitting no cell phone use or smoking during work hours) Quality guidelines apply. Must have hand dexterity. Must work full Christmas seasonal contract. Daily production target must be met by workers. Must keep housing clean and tidy. Number of Hours Per Week: 40 Work Schedule (Start/End time): 7:00 A.M. - 6:00 P.M.</t>
  </si>
  <si>
    <t>H-400-26184-077799</t>
  </si>
  <si>
    <t>American Crystal Sugar Company</t>
  </si>
  <si>
    <t>Loan Huynh</t>
  </si>
  <si>
    <t>careers@crystalsugar.com</t>
  </si>
  <si>
    <t>+12182364400</t>
  </si>
  <si>
    <t>House Mechanic 2nd</t>
  </si>
  <si>
    <t>Perform a wide variety of duties and tasks predominantly associated with the mechanical (millwright) discipline including a multitude of maintenance interventions ranging from basic parts replacements to equipment refurbishment to optimizing equipment performance to advanced troubleshooting. Maintenance activities include, but are not limited to, inspection, (parts) replacements, alignment, balancing, installation, and refurbishment. Understand and maintain complex processing equipment including their operating principles and role in the process/factory. Understand equipment function and application to the extent that equipment performance can be optimized. Work closely with Production gaining a detailed understanding of operating parameters to ensure that maintenance interventions are both appropriate and effective. Coordinate with production supervision to execute maintenance interventions on production equipment to ensure that equipment is properly configured and/or set up. Must think in abstract terms, solve complex problems and apply troubleshooting skills. Maintain mechanical power transmission equipment including drives and conveying equipment employed in a variety of factory specific applications. Maintain fluid systems, including liquid, pneumatic, hydraulic, pumps, valves, compressors, blowers, and fans. Perform a variety of joining and fabrication activities. Weld, cut, braze, and solder a variety of materials, including welding carbon steel using the SMAW and GMAW processes and welding stainless steel metals using the SMAW process. F.a.5a-F.a.6b: 36+ hours/week. 12-hour shifts 8:00 am to 8:00 pm (day shift) and 8:00 pm to 8:00 am (night shift), 4 days per week, Sun-Sat on a rotating Dupont Schedule: WEEK 1: Mon-Thur: Day Shift, Fri-Sun: Off (total 48 hours) WEEK 2: Mon-Thur: Off, Fri-Sun: Night Shift (total 36 hours) WEEK3: Mon: Night Shift, Tue-Thur: Off, Fri-Sun: Day Shift (total 48 hours) WEEK 4: Mon: Off, Tue-Thur: Night Shift, Fri-Sun: Off (total 36 hours) May work evenings, weekends, holidays, as needed. Schedule (including workdays) may vary. May work more than the guaranteed hours. May work overtime. OT varies and must be pre-approved. F.b.8a: Wage is subject to change as of August 1, 2026 based on the Collective Bargaining Agreement, but workers will be paid no less than $33.78 per hour. F.b.9: Effective January 1, 2024, per MN State Statute, an employee will earn one hour of paid sick and safe time for every 30 hours worked, up to at least 48 hours of accrued Earned Sick and Safe Time (ESST) per year, provided the employee works a minimum of 80 hours in a calendar year. F.d.4: Workers have the option of employer-provided housing for the first month for $500 per month for a double occupancy room, and if elected, employer will deduct costs from worker’s paycheck. Workers also have the option of securing their own lodging. Job Classification: 49-9044.00 - Millwrights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12 Special Requirements: High school diploma, GED certificate, or foreign equivalent required. On-the-job training will not be provided. Must possess 12 months of experience in mechanical or millwright work. Must submit to and successfully pass a pre-employment Safety Screen that evaluates workers ability to safely execute duties and tasks of this position. Must complete and pass a mechanical aptitude test. Must complete and pass 1G welding test within 180 days of job offer. Must be able to read, write, and speak English to comprehend and interpret technical literature, reference material, and understand how to use SDS information. Must be a team player who demonstrates initiative and professional work ethic. Must possess good communication and interpersonal skills. Must be able to work overtime as needed. Must be able to work rotating and extended shifts. Physical / Cognitive Requirements: Must be able to work independently and in a team environment. Must be able to communicate effectively and have training / knowledge in emergency evacuation procedures. Must know and understand all current GMPs, safety rules / procedures and SDS information as they apply to the packaging area and packaging of food products. Must understand equipment operating principles and fundamentals. Must follow Good Manufacturing Practices and personal protective equipment requirements. Occasional exposure to noise levels above 85dB. Airborne sugar dust varies from light to heavy depending on the area. Exposure to outdoor environment, temperatures will vary from cool to moderately hot. Personal protective equipment must be worn as required; must be able to be properly fit tested for use of dust respirators. Must be able to walk and stand throughout the day. Frequently will turn, twist, bend/stoop, squat, climb stairs and ladders (including ships ladders), reach above shoulder height, crouch, crawl, kneel, balance, push / pull, shovel sugar, re-stack pallets, walk distances, sometimes over uneven surfaces and/or at elevated heights. Employee must be able to perform repetitive tasks with fine manipulation. Must be able to lift up to 50 pounds on a continual basis, 50-100 pounds on occasion with lifting assistance. Employees must be able to shovel into containers at shoulder level occasionally. Must be able to reach overhead with hands and arms and perform repetitive upper body movement. Must be able to open top and bottom railcar doors. Must be able to work on various walking surfaces which may be slippery due to loose sugar, water or ice, and uneven at times concrete, steel grating, aluminum decking and rail yard areas. Exposure to cleaning and sanitizing chemicals, hot water, high humidity, high traffic areas, moving machinery, lifting of materials or cased product, stair climbing, elevated work areas. Reasonable accommodation may be made to enable individuals with disabilities to perform the essential functions of this job. In determining who is the most qualified applicant, the company reserves the right to consider a variety of factors including skills, training, education, employees job performances evaluated by employees supervisor, employees disciplinary record and employees attendance record. Number of Hours Per Week: 36 Work Schedule (Start/End time): 8:00 A.M. - 8:00 P.M.</t>
  </si>
  <si>
    <t>H-400-26184-077784</t>
  </si>
  <si>
    <t>Backwoods, LLC</t>
  </si>
  <si>
    <t>freddyrussell5@gmail.com</t>
  </si>
  <si>
    <t>+14435538544</t>
  </si>
  <si>
    <t>Seafood / Deer Processor</t>
  </si>
  <si>
    <t>Prepare and handle raw crabs and other raw seafood products, including oysters and shrimp. Separate live crabs by size and weight; separate processed seafood meat by size or grade. Skin, butcher, process, and package deer. Package seafood products and deer into appropriate containers for distribution. Seal, count, measure, ice, debone, and prepare orders for wholesale or retail sales. Follow all state and federal food safety guidelines, ensuring cleanliness of workstations and equipment. Clean and maintain workstations and equipment to ensure sanitary processing conditions. Assist in unloading raw seafood from trucks and placing them in the designated processing area or on worktables. Assemble packaging materials, prepare products for shipment, and assist with loading finished goods onto trucks for delivery. See attached Addendum. Job Classification: 53-7064.00 - Packers and Packagers, Hand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Ability to lift, carry, and move items weighing 50 pounds or more as required for handling seafood products and deer, packaging, and supplies. The employer maintains a workplace free from the use of illegal drugs, alcohol, and unauthorized controlled substances. The use, possession, sale, or being under the influence of illegal drugs or alcohol during working time or on employer premises is prohibited. The employer may conduct lawful, job-related screening of applicants, including inquiries into criminal history, where permitted by applicable federal, state, and local laws. Any consideration of criminal history will be conducted on an individualized basis and employment decisions will be made in a nondiscriminatory manner consistent with applicable laws and business necessity. Number of Hours Per Week: 35 Work Schedule (Start/End time): 7:00 A.M. - 2:00 P.M.</t>
  </si>
  <si>
    <t>H-400-26184-077775</t>
  </si>
  <si>
    <t>Bradley Belcher</t>
  </si>
  <si>
    <t>17/08/2028</t>
  </si>
  <si>
    <t>bwbelcher19@gmail.com</t>
  </si>
  <si>
    <t>+13048881397</t>
  </si>
  <si>
    <t>Recruitment Information</t>
  </si>
  <si>
    <t>Care for child and perform all related child care duties in regard to the child, prepare meals and snacks for child, dress child appropriate to the child’s activities, teach child appropriate social behavior, supervise child’s activities and monitor safety at all times, put the child to sleep for naps, work with the parents on appropriate discipline guidelines and on child’s growth and social development, supervise playtime with child’s friend, organize and conduct age-appropriate recreational activities, such as games, arts and crafts, and sports. Job Classification: 39-9011.01 - Nannies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12 Number of Hours Per Week: 36 Work Schedule (Start/End time): 7:30 A.M. - 4:30 P.M.</t>
  </si>
  <si>
    <t>H-400-26184-077783</t>
  </si>
  <si>
    <t>Carlina Kate Hagger</t>
  </si>
  <si>
    <t>Nicole Micheroni</t>
  </si>
  <si>
    <t>30/09/2029</t>
  </si>
  <si>
    <t>carlinahagger@gmail.com</t>
  </si>
  <si>
    <t>+18142066107</t>
  </si>
  <si>
    <t>Live-in Nanny</t>
  </si>
  <si>
    <t>Job Duties: - Provide attentive care for a toddler in a private household setting - Plan and engage in age-appropriate educational, recreational, and outdoor activities - Escort the toddler to local playgrounds, libraries, or similar community locations - Assist with maintaining consistent sleep routines and support toilet training - Prepare simple meals and snacks for the toddler - Perform light household duties related to the child, including laundry, organizing play areas, and cleaning dishes used for the toddler - Maintain cleanliness of common areas used in connection with childcare activities Requirements: - No education required - Minimum of 12 months of experience providing care for infants or toddlers ages one though three - CPR and First Aid certification, or willingness to obtain within 15 business days of hire - Ability to lift up to 30 pounds and actively engage in childcare activities - Ability to communicate in English with employer regarding childcare activities, scheduling updates, and toddler’s daily status Work Schedule: - Full-time position with variable schedule, including early mornings, evenings, and weekends, and overtime coverage as required based on the employer’s work schedule. - Position requires residing in the employer’s home to accommodate work hours and childcare responsibilities that extend beyond a standard daily schedule Job Classification: 39-9011.01 - Nannies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12 Special Requirements: Ability to communicate in English with employer regarding childcare activities, scheduling updates, and toddlers daily status Ability to lift up to 30 pounds and actively engage in childcare activities. Number of Hours Per Week: 43 Work Schedule (Start/End time): 7:15 A.M. - 3:15 P.M.</t>
  </si>
  <si>
    <t>H-400-26184-077814</t>
  </si>
  <si>
    <t>Commercial Solutions LLC</t>
  </si>
  <si>
    <t>csolutions123@aol.com</t>
  </si>
  <si>
    <t>+13184456745</t>
  </si>
  <si>
    <t>Clean and Prepare Crawfish - Grading, boiling, weighing, and sacking Prepare &amp; prepping of food for - Cooking, grilling, frying, broiling, boiling etc. Maintain a clean work area - Clean and Sanitize all surfaces (Table, counters, floors), Removal of all debris and trash etc. Job Classification: 35-2014.00 - Cooks, Restaurant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Must be able to work weekends Must be able to lift up 50lbs, stoop, bend, sit, walk, kneel, reach (over head or ground level) for prolong period Once hired worker may be required to take a random drug test (at no cost to worker) Testing positive or Failure to comply with testing may result in immediate termination from employment The standard work schedule is from 7:00 am until 4:00 pm Monday through Friday; Saturday and Sunday work required, when necessary, Employer will offer 35 Hours per work week- Overtime is offered but not guaranteed - Employer may offer more hours than the stated work hours, depending on product/seafood availability , business needs and other conditions. Number of Hours Per Week: 35 Work Schedule (Start/End time): 7:00 A.M. - 4:00 P.M.</t>
  </si>
  <si>
    <t>H-400-26184-077782</t>
  </si>
  <si>
    <t>Cornerstone Collective Services LLC</t>
  </si>
  <si>
    <t>cornerstonelandscapingfl@gmail.com</t>
  </si>
  <si>
    <t>+13215226242</t>
  </si>
  <si>
    <t>Job Duties: Removal and trimming of bushes; trimming and removal of fallen trees using chainsaws and loppers; raking and cleaning up ground, leaf removal, and leftover debris; disposal of brush, limbs, and fallen trees by operating tools such as chainsaws and chippers to clear ground of fallen trees from winter storms and load the cut branches/small logs onto truck for removal; winter landscape planting including hollies and other evergreens, spreading mulch; perennial rye grass installation, application and fertilization, winterizing plants and trees to protect from freezes with winter maintenance of yards with drainage control; Annual winter color installs(pansies, poinsettias, evergreens) property wide mulch installation, application and fertilization to protect plants, and retention pond cleanouts. Organizing and preparing various stock of holiday decor including string lights, ornaments, and seasonal/ holiday arrangements, displays and settings. Also, to include installing and/or removing such holiday decor/stock and materials from jobsites and prepare for storage. Loading and unloading of materials and equipment. Lifting required up to 50 pounds. Work performed on local area jobsites with employer provided transportation to and from jobsites from a centralized pickup location in the specified area of employment. Job Classification: 37-3011.00 - Landscaping and Groundskeeping Workers The job/industry classification and description includes general information on the position from ONET/OES and the North American Industry Classification System. Please review Job Duties and Job Order for more information. Job Requirements Experience Required: No Number of Hours Per Week: 35 Work Schedule (Start/End time): 7:00 A.M. - 3:00 P.M.</t>
  </si>
  <si>
    <t>H-400-26184-077798</t>
  </si>
  <si>
    <t>Crawfish Magic, Inc</t>
  </si>
  <si>
    <t>Elaine Trujillo</t>
  </si>
  <si>
    <t>cewilkerson@lacrawfishtime.com</t>
  </si>
  <si>
    <t>+13379882645</t>
  </si>
  <si>
    <t>Cook, Short Order</t>
  </si>
  <si>
    <t>WORKERS WILL WASH, PREPARE, &amp; COOK CRAWFISH, SEAFOOD, &amp; OTHER MENU ITEMS. COOKING PROCESSES MAY INCLUDE BOILING, BROILING, FRYING, STEAMING, GRILLING, AS EXAMPLES OF HOW THE FOOD WILL BE PREPARED. WORKERS WILL HAVE GENERAL CLEAN UP DUTIES TO INCLUDE INSPECTING &amp; CLEANING FOOD PREP AREAS SUCH AS EQUIPMENT &amp; WORK SURFACES, OR SERVING AREAS TO ENSURE SAFE &amp; SANITARY FOOD HANDLING PRACTICES. WORKERS ARE TO ENSURE FRESHNESS OF FOOD &amp; INGREDIENTS BY CHECKING FOR QUALITY &amp; MAY BE REQUIRED TO ROTATE STOCK. MUST BE ABLE TO LIFT 30-40 LBS, WHEN NECESSARY. MUST BE AVAILABLE FOR THE ENTIRE SEASON, ABLE, WILLING, AND QUALIFIED TO PERFORM THE WORK. 3 MONTHS POSITIVE VERIFIABLE EXPERIENCE REQUIRED IN JOB OFFERED. WORKER MAY BE REQUIRED TO TAKE A RANDOM DRUG TEST, POST HIRE, AT NO COST TO WORKER. POST ACCIDENT DRUG TESTING REQUIRED. Job Classification: 35-2014.00 - Cooks, Restaurant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MUST BE ABLE TO LIFT 30-40 LBS, WHEN NECESSARY. MUST BE AVAILABLE FOR THE ENTIRE SEASON, ABLE, WILLING, AND QUALIFIED TO PERFORM THE WORK. WORKER MAY BE REQUIRED TO TAKE A RANDOM DRUG TEST, POST HIRE, AT NO COST TO WORKER. POST ACCIDENT DRUG TESTING REQUIRED. 3 MONTHS POSITIVE VERIFIABLE EXPERIENCE REQUIRED IN JOB OFFERED. Number of Hours Per Week: 40 Work Schedule (Start/End time): 2:00 P.M. - 10:00 P.M.</t>
  </si>
  <si>
    <t>H-400-26184-077789</t>
  </si>
  <si>
    <t>Deer Valley Resort Company, LLC</t>
  </si>
  <si>
    <t>deervalleyh2b@deervalley.com</t>
  </si>
  <si>
    <t>+14356456893</t>
  </si>
  <si>
    <t>Snow Operations Level 1</t>
  </si>
  <si>
    <t>Become familiar and competent with Deer Valley Snowmaking and Slope grooming equipment and techniques. Maintain, move, and set up snowmaking equipment including but not limited to, snow guns and hoses to maximize snowmaking operations. Conduct equipment and production checks including monitoring weather conditions during snowmaking operations. Provide consistent snow density and distribution while creating a skiable snow surface with grooming machinery. Slope Maintenance staff will work full-time on the Snowmaking and/or Grooming crews as workloads dictate throughout the season. Perform maintenance and troubleshooting of snowmaking guns, hydrants, and equipment. Competently and conscientiously perform the required equipment inspections, servicing, and record tracking of the results accurately and completely. Safely operate heavy machinery, company vehicles and snowmobiles as assigned. Quickly and accurately report any problem with the product or equipment to a supervisor. Assist with maintenance and equipment repairs as needed. Exhibit professional conduct and proper radio etiquette. Maintain the cleanliness of the equipment and facilities. Must be responsive to direction and instruction while training, performing assignments and mentoring less experienced staff. Job Classification: 51-9193.00 - Cooling and Freezing Equipment Operators and Tenders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3 months experience in operating snowmaking equipment. Able to lift and carry at least 60 pounds. Able to walk on steep and variable terrain and tolerate working in extreme conditions. Must be able to work all scheduled shifts including, weekends, holidays, swing and graveyard shifts. Background checks are completed in new hire or rehire onboarding with Human Resources. Drug screening is completed randomly, if there is a worksite injury, or if there is damage to Deer Valley property that is more than $150. On-the-Job Training provided. Will Train. Days and Shifts: Dependent on weather: 12:45pm - 1am, 4:30pm - 1:00am, 12:45am - 1pm, 12:45am - 9:30am, including weekends and holidays. Hourly Wage: $21.29-$36.05 per hour (based on merit and past experience with our company) Overtime Possible: Overtime may be available at $31.94-$54.08 per hour. Fringe Benefits: Meal plans are $3.50/meal, ski lift passes are free, retail discounts range from 10-20% off in all Deer Valley outlets. Number of Hours Per Week: 35 Work Schedule (Start/End time): 12:45 P.M. - 1:00 A.M.</t>
  </si>
  <si>
    <t>H-400-26184-077836</t>
  </si>
  <si>
    <t>Diggin Landscaping Inc</t>
  </si>
  <si>
    <t>kraig@digginlandscaping.com</t>
  </si>
  <si>
    <t>+13305628000</t>
  </si>
  <si>
    <t>Mow, cut, water, and edge lawns. Rake and blow leaves, pull and chop weeds; haul topsoil and mulch. Clean Up. Job Classification: 37-3011.00 - Landscaping and Groundskeeping Workers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Able to lift/carry 50 lbs when necessary. Number of Hours Per Week: 40 Work Schedule (Start/End time): 8:00 A.M. - 5:00 P.M.</t>
  </si>
  <si>
    <t>H-400-26184-077796</t>
  </si>
  <si>
    <t>F/V RESOLUTION LLC</t>
  </si>
  <si>
    <t>PAUL CHRISTENSEN ESQ</t>
  </si>
  <si>
    <t>fvresolution@gmail.com</t>
  </si>
  <si>
    <t>+17072187499</t>
  </si>
  <si>
    <t>Commercial Fisherman</t>
  </si>
  <si>
    <t>Off shore fishermen needed aboard commercial fishing vessel. Requires knowledge of commercial fishing and rope splicing technique, continuous lift of 90 lbs cages. Work is performed at sea, aboard ship. Fisherman will deploy, retrieve, launch and clean fish nets, and crab cages. Other duties are routine fishing equipment maintenance, including wire repair of holes in nets, ensuring properly functioning fishing hardware, inspection of ropes, as well as perform rope splicing and knot tying technique. The Fisherman will use seamanship and marine safety procedures. Work is performed at sea aboard a fishing vessel. Actual daily employment start and end times may vary, depending on weather conditions that affect crew safety. Job Classification: 45-3031.00 - Fishing and Hunting Workers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REQUIRES KNOWLEDGE OF COMMERCIAL FISHING TECHNIQUE. MUST BE ABLE TO CONTINUOUSLY LIFT 90-POUND CAGES THROUGH THE WORKDAY. REQUIRES KNOWLEDGE OF ROPE SPLICING TECHNIQUES AS WELL AS WIRING AND REPAIRING NETS. MUST PASS DRUG TEST PURSUANT TO U.S. COAST GUARD REGULATIONS. Number of Hours Per Week: 40 Work Schedule (Start/End time): 7:30 A.M. - 3:30 P.M.</t>
  </si>
  <si>
    <t>H-400-26184-076149</t>
  </si>
  <si>
    <t>SiteScape, Inc.</t>
  </si>
  <si>
    <t>mike@sitescapeinc.com</t>
  </si>
  <si>
    <t>+15864570114</t>
  </si>
  <si>
    <t>Landscape or maintain grounds of property using hand or power tools or equipment. Workers typically perform a variety of tasks, which may include any combination of the following: sod laying, seeding, trimming, planting, watering, fertilizing, digging, grading, raking, and installation of mortarless segmental concrete masonry wall units. Load/unload/move trees/shrubs/landscape materials; remove debris. Entry level; requires supervision. Job Classification: 37-3011.00 - Landscaping and Groundskeeping Workers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Must lift/carry 50 lbs., when necessary. Saturday work required, when necessary. Employer-paid post-hire drug testing required of foreign and domestic workers upon suspicion of use. Employer may offer more than the stated work hours depending on weather, business needs, and other conditions. Extreme heat, cold, rain, or drought may affect exact working hours. Number of Hours Per Week: 40 Work Schedule (Start/End time): 7:30 A.M. - 4:00 P.M.</t>
  </si>
  <si>
    <t>H-400-26184-077822</t>
  </si>
  <si>
    <t>Gasparilla Inn, Inc.</t>
  </si>
  <si>
    <t>06/07/2027</t>
  </si>
  <si>
    <t>dgolden@gasparillainn.com</t>
  </si>
  <si>
    <t>+19419644572</t>
  </si>
  <si>
    <t>Beach Attendant</t>
  </si>
  <si>
    <t>Beach Attendants will be responsible for performing a variety of attending duties at the beach, including escorting guests to their beach chairs, providing guests with towels and other linens upon request, assisting guests with beach umbrellas and chairs, answering guest questions or referring guest problems or complaints to supervisors, maintaining inventories, safety and cleanliness of the beach facilities, sweeping and mopping the deck, tables, and chairs, removing trash if needed, and adhering to operational procedures for pool and fitness equipment. Beach Attendants will assist in the implementation of programs, youth programs, special events, and conference recreation events by assisting the Family Recreational Manager with monitoring and assisting child and family activities on the beach including beach games, beach limbo, and beach/pool games. Beach Attendants will also be responsible for taking and placing orders, carrying trays and plates, serving food and alcoholic and non-alcoholic beverages to guests at the beach or pool, cleaning glasses, and cleaning and clearing tables. Beach Attendants may need to lift and carry up to 50 lbs. Job Classification: 35-3041.00 - Food Servers, Nonrestaurant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The petitioner will consider for employment any person who possesses at least three (3) months of experience at a high-end hotel, resort, or private club. Individuals who did not work for the company within the last 90 days before their new start date must complete pre-employment background check and drug screening. Beach Attendants may need to lift and carry up to 50 lbs. Must be 18 years old (serving alcohol). Must be able to read, write, and speak English. Must have or be able to get ServSafe Certification. Must complete Human Trafficking Training and Blood Borne Pathogens Training upon Hire. Must be able to complete Alcohol Compliance Training. Must have or be able to get CPR/First Aid Certification. Applicant must complete pre-employment background check and drug screening. Individuals who did not work for the company within the last 90 days before their new start date must complete pre-employment background check and drug screening. On-the-Job Training provided. Will Train. Days and Shifts: Following Shifts available 7 days a week including weekends and holidays. Work hours from: 5:30am-12:30pm / 10:00am-4:00pm / 3:00 pm-11:00 pm, shift hours may vary based on the time of the season, daylight, and need. Hourly Wage: $15.79 to $23.00 per hour (based on merit and past experience with our company) Overtime Possible: Overtime may be available at $23.69 to $34.50 per hour. Employees may be eligible to receive additional compensation in the form of a discretionary season-end bonus, as well as service charges- take out. Fringe Benefits: Free employee meals, 5 free uniforms, free transportation for weekly shopping trips, Free GIBA pass if residing off island, free parking. Number of Hours Per Week: 35 Work Schedule (Start/End time): 5:30 A.M. - 12:30 P.M.</t>
  </si>
  <si>
    <t>H-400-26184-077843</t>
  </si>
  <si>
    <t>Cooks will be responsible for preparing, seasoning, and cooking soups, meats, vegetables, desserts, and other food items in a restaurant. Perform daily cleaning of restaurant kitchen work area including cleaning your assigned food preparation area, equipment, work surfaces, and serving area, using a hand towel, soap, sanitizer, and any necessary cleaning agents. Cooks must be able to lift and carry overhead up to 50 lbs. Job Classification: 35-2014.00 - Cooks, Restaurant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6 Special Requirements: The petitioner will consider for employment any person who possesses at least six (6) months of culinary experience in a fine-dining or high volume environment at a high-end restaurant, resort, or private club. Individuals who did not work for the company within the last 90 days before their new start date must complete pre-employment background check and drug screening. Cooks must be able to lift and carry overhead up to 50 lbs. Must be able to read, write, and speak English. Must have or be able to get ServSafe Certification. Must complete Human Trafficking Training and Blood Borne Pathogens Training upon Hire. On-the-Job Training provided. Will Train. Days and Shifts: Following Shifts available 7 days a week including weekends and holidays. Work hours from: 3:00am-11:00am/ 5:00am-1:30pm/ 8:00am-3:30pm / 2:00pm-10:00pm, shift hours may vary based on the time of the season, daylight, and need. Hourly Wage: $17.88 to $23.50 per hour (based on merit and past experience with our company) Overtime Possible: Overtime may be available at $26.82 to $35.25 per hour. Individuals who did not work for the company within the last 90 days before their new start date must complete pre- employment background check and drug screening. Employees may be eligible to receive additional compensation in the form of a discretionary season-end bonus, as well as service charges- take out. Fringe Benefits: Free employee meals, 5 free uniforms, free transportation for weekly shopping trips, Free GIBA pass if residing off island, free parking. Number of Hours Per Week: 35 Work Schedule (Start/End time): 3:00 A.M. - 11:00 A.M.</t>
  </si>
  <si>
    <t>H-400-26184-077833</t>
  </si>
  <si>
    <t>Bellhop</t>
  </si>
  <si>
    <t>Bellhops will be responsible for receiving and marking baggage, greeting incoming guests and escorting them to their rooms, transporting guests by golf cart about premises, maintaining clean lobbies or entrance areas, handling guest complaints, and transferring luggage, trunks, and packages to and from rooms, loading areas, vehicles, or transportation terminals, by hand or using baggage carts. Bellhops may need to lift and carry up to 60 lbs. Job Classification: 39-6011.00 - Baggage Porters and Bellhops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The petitioner will consider for employment any person who possesses at least three (3) months of experience at a high-end hotel, resort, or private club. Individuals who did not work for the company within the last 90 days before their new start date must complete pre-employment background check and drug screening. Must be able to read, write, and speak English. Must have or be able to attain driver license to drive golf carts. Must have or be able to get ServSafe Certification. Must complete Human Trafficking Training and Blood Borne Pathogens Training upon Hire. Must have or be able to get CPR/First Aid Certification. On-the-Job Training provided. Will Train. Days and Shifts: Following Shifts are available 7 days a week including weekends and holidays. Work hours from: 7:00am-3:30pm / 11:00am-7:30pm / 3:00pm-11:30pm / 11:00pm-7:30am, shift hours may vary based on the time of the season, daylight, and need. Hourly wages: The Bellhop position is considered a tipped position since the position will receive more than $30 a month in tips. However, the employer will not claim a tip credit. In addition to an hourly rate of $11.98, the position is eligible to receive a portion of their wages from service charges (commissions) charged to customers and any tips the employee receives directly from the customer. The company guarantees that each worker will receive enough in hourly pay and service charges (commissions) to earn at least a minimum of $15.91 per hour - 7i Exempt. Overtime: The service charges the workers receive are considered a commission. Under the FLSA section 207(i) if certain conditions are met the workers are exempt from overtime pay. However, if these conditions are not met, overtime pay will be paid at one and one-half times the regular rate for hours worked over 40 in the workweek, at no less than the guaranteed rate of $15.91 * 1.5 per hour. Employees may be eligible to receive additional compensation in the form of a discretionary season-end bonus, as well as service charges. Fringe Benefits: Free employee meals, 5 free uniforms, free transportation for weekly shopping trips, Free GIBA pass if residing off island, free parking. Number of Hours Per Week: 35 Work Schedule (Start/End time): 7:00 A.M. - 3:30 P.M.</t>
  </si>
  <si>
    <t>H-400-26184-077795</t>
  </si>
  <si>
    <t>Gulf Coast Oysters, Inc.</t>
  </si>
  <si>
    <t>captjure@gmail.com</t>
  </si>
  <si>
    <t>+12813391222</t>
  </si>
  <si>
    <t>Obtain and distribute product; use knife to cut oyster from shell; discard shell; inspect meat for blemishes and remove/discard; separate processed meat by size or quality and place oysters in containers; assist with cleaning work station at end of shift. Piece rate may be offered pending guaranteed prevailing wage rate. 3 months experience/No educ See attached addendum Job Classification: 51-3022.00 - Meat, Poultry, and Fish Cutters and Trimmers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Lift/carry up to 50 pounds. The employer maintains a workplace free from the use of illegal drugs, alcohol, and unauthorized controlled substances. The use, possession, sale, or being under the influence of illegal drugs or alcohol during working time or on employer premises is prohibited. The employer may conduct lawful, job-related screening of applicants, including inquiries into criminal history, where permitted by applicable federal, state, and local laws. Any consideration of criminal history will be conducted on an individualized basis and employment decisions will be made in a nondiscriminatory manner consistent with applicable laws and business necessity. No infectious diseases; seafood allergies may be fatal Number of Hours Per Week: 35 Work Schedule (Start/End time): 6:00 A.M. - 1:00 P.M.</t>
  </si>
  <si>
    <t>H-400-26184-077824</t>
  </si>
  <si>
    <t>HBLT, LLC</t>
  </si>
  <si>
    <t>hblithr@gmail.com</t>
  </si>
  <si>
    <t>+15128362325</t>
  </si>
  <si>
    <t>Qualified Winter Season Laborer</t>
  </si>
  <si>
    <t>Position offered is for an experienced winter season laborer with a minimum of three (3) months job-related experience who is able to work with and model company winter season methods and procedures with up to 3 peers, with duties to include new winter foliage and plant installation (evergreens, hollies, etc.); trimming of trees and bushes from the ground; raking and cleaning up ground, leaf, and leftover debris removal; disposal of brush, limbs, and trees; retention pond cleanouts; winterizing plants and trees to protect from freezes; winter maintenance of yards with drainage control; perennial rye grass installation, application and fertilization, annual winter color installs; perennial cutbacks, pruning, and dead heading; property wide mulch installation, application and fertilization to protect plants, Loading and unloading of materials and equipment. Lifting required up to 50 pounds. Work performed on local area jobsites with employer provided transportation to and from the jobsites from a centralized pickup location in the specified area of employment. Job Classification: 37-3011.00 - Landscaping and Groundskeeping Workers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Employer Paid Pre-Hire Criminal Background Check and Employer Paid Random Drug Testing Number of Hours Per Week: 35 Work Schedule (Start/End time): 7:30 A.M. - 3:00 P.M.</t>
  </si>
  <si>
    <t>H-400-26184-077837</t>
  </si>
  <si>
    <t>Hoosier companies, LLC.</t>
  </si>
  <si>
    <t>hoosierlawncare@yahoo.com</t>
  </si>
  <si>
    <t>+13178444604</t>
  </si>
  <si>
    <t>H-400-26184-077845</t>
  </si>
  <si>
    <t>Igloo Products Corp.</t>
  </si>
  <si>
    <t>igloofactorystore@igloocorp.com</t>
  </si>
  <si>
    <t>+12813946200</t>
  </si>
  <si>
    <t>Production Helper</t>
  </si>
  <si>
    <t>Help operators by performing duties requiring less skill. Duties include supplying or holding materials or tools, and cleaning work area and equipment. Tasks include but not entirely: Operate machineryused in the production or distribution process and assist machine operators. Examine products to verify conformance to quality standards. Observe equipment operations so that malfunctions can be detected andnotify operators of any malfunctions. Lift raw materials, finished products, and packed items, manually orusing hoists. Count finished products to determine if product orders are complete. Mark or tag identificationon parts. Load and unload items from machines, conveyors, conveyances and trucks. Record information,such as the number of products tested, meter readings, or dates and times of product production. Work Environment: Warehouse is hot and humid in the summer months, cold during the winter months. High noiselevel requires use of hearing protection. Minimum 35 hours per week up to possible 50 hours per week, employees should receive at least one full day of rest within each six-day work period whenever feasible. Open 7 days/week. Rotating shifts, 6:00am-6:00pm and 6:00pm-6:00am. Normal schedule includes 3 days on/2 days off/2 days on/3 days off and may beFriday, Saturday, Sunday. Workdays and shift time may vary with production schedule. Breaks and lunch included within shift schedule. Employer may increase wage based on experience, performance, tenure,and/or market conditions. Overtime hours may be available but not mandatory at $28.47 per hour. An overtime premium will be paid when required by Federal, State, or local law, including at time-and-a-half after 40 hours per workweek. A single workweek will be used to compute wages due. Pay received bi-weekly. Job Classification: 53-7062.00 - Laborers and Freight, Stock, and Material Movers, Hand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No minimum education or experience required. Employer will provide on the job training. Must be able to work a 12-hr rotating shift, including weekends and holidays. Day and night shifts assigned based on need. Able to lift 50 lbs. multiple times during 12-hr shift. Bend and stand repeatedly. Able to push 80lbs onrollers/wheels. Applicants must complete an employment application. Applicant must be at least 18 years of age. Must be able to work the entire contract period. Pre-employment/post-injury or incident and reasonable suspicion drug test required, cost paid by employerand applied equally to all workers, US and foreign/H2B. Pre-employment criminal background check required, cost paid by employer and applied equally to all workers, US and foreign/H2B. The employer guarantees to offer work for hours equal to at least three-fourths of the workdays in each 12-week period of the total employment period. H-2B workers will be reimbursed in the first workweek for all visa, visa processing, border crossing, and otherrelated fees, including those mandated by the government (excluding passport fees). If worker completes half the employment period, employer will arrange and pay directly for transportationand subsistence from the place of recruitment to the place of work. Upon completion of the employmentperiod or where the worker is dismissed early, the employer will provide or pay for workers reasonable costsof return transportation and subsistence back home or to the place the worker originally departed to work,except where the worker will not return due to subsequent employment with another employer or where theemployer has appropriately reported a workers voluntary abandonment of employment. The amount oftransportation payment or reimbursement will be equal to the most economical and reasonable commoncarrier for the distances involved. Daily subsistence will be provided at a rate of at least $16.78 per dayduring travel to a maximum of $68.00 per day with receipts. All transportation costs are to be preapproved.If necessary, employer will reimburse worker within first pay period for approved cost of meals and lodgingat the applicable exchange rate, not to exceed reasonable costs. Receipts must be submitted. Number of Hours Per Week: 48 Work Schedule (Start/End time): 6:00 A.M. - 6:00 P.M.</t>
  </si>
  <si>
    <t>H-400-26184-077773</t>
  </si>
  <si>
    <t>IlluminArt, Inc.</t>
  </si>
  <si>
    <t>tim@illumiartinc.com</t>
  </si>
  <si>
    <t>+18176056101</t>
  </si>
  <si>
    <t>Holiday Light Installer</t>
  </si>
  <si>
    <t>Job Duties: Organizing and preparing various stocks of holiday decor including string lights, ornaments, and seasonal and holiday arrangements prepared by worker attaching ornaments to garland, wreaths and trees as needed. The set-up of outdoor photo opportunity displays with ground mounts and anchoring using hammers, stakes and wires, displays and settings. Also, to include installing and/or removing such holiday decor/stock and materials from jobsites and prepare for storage. Loading and unloading of materials and equipment such as plastic tubs with light bulbs and wire, small garland/ornaments boxes and mounting supplies for outdoor displays by hand. Lifting required up to 50 pounds. Work performed on local area jobsites with employer provided transportation to and from jobsites from a centralized pickup location in the specified area of employment. Job Classification: 49-9099.00 - Installation, Maintenance, and Repair Workers, All Other The job/industry classification and description includes general information on the position from ONET/OES and the North American Industry Classification System. Please review Job Duties and Job Order for more information. Job Requirements Experience Required: No Number of Hours Per Week: 40 Work Schedule (Start/End time): 8:00 A.M. - 4:30 P.M.</t>
  </si>
  <si>
    <t>H-400-26184-077809</t>
  </si>
  <si>
    <t>John's Country Nursery, Inc.</t>
  </si>
  <si>
    <t>Michael Lerner</t>
  </si>
  <si>
    <t>johnscountrysocial@gmail.com</t>
  </si>
  <si>
    <t>+14406854338</t>
  </si>
  <si>
    <t>Landscape and maintain properties using tools or equipment. Tasks may include cutting, edge lawns, sod laying, mowing, trimming, planting, watering, fertilizing, digging, raking, and blowing leaves; pulling, chopping weeds, pruning, seeding, hauling, spreading topsoil and mulch, sprinkler installation, and installation of mortarless segmental concrete masonry wall units. Job Classification: 37-3011.00 - Landscaping and Groundskeeping Workers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Able to lift/carry 50 lbs when necessary. Number of Hours Per Week: 40 Work Schedule (Start/End time): 8:00 A.M. - 5:00 P.M.</t>
  </si>
  <si>
    <t>H-400-26184-077815</t>
  </si>
  <si>
    <t>KLEK Industries Inc.</t>
  </si>
  <si>
    <t>Joanly De Los Santos</t>
  </si>
  <si>
    <t>BRIANPLUNNE@AOL.COM</t>
  </si>
  <si>
    <t>+19372994999</t>
  </si>
  <si>
    <t>Snow Removal Laborers will assist in clearing snow and ice from commercial and residential properties, walkways, entryways, driveways, sidewalks, stairwells, parking areas, and pedestrian paths during snow events. Workers will use a combination of manual tools and powered snow equipment. Duties include: Shovel snow and apply de-icing agents such as salt or sand to surface, operate walk-behind or small ride-on snow removal machines (e.g., single-seat snow throwers, snow blowers, or powered sweepers), clear snow from tight or elevated spaces (e.g., stairs, decks, rooftops when safe), Manually load and carry bags or buckets of de-icing materials (such as salt or calcium chloride), and apply them using hand-held, walk behind, or backpack spreaders to sidewalks, stairs, and other pedestrian areas to prevent ice buildup and ensure safe footing, maintain equipment by cleaning and refueling; report malfunctions to supervisors, Safely store snow removal tools and de-icing materials on site, and manually transport them between work areas using hand carts, sleds, or by carrying them as needed, follow all site safety protocols, including proper snow disposal procedures, may assist in post-event cleanup or snow relocation efforts. The job will require the worker to be exposed to weather/outdoor, noise, cold temperatures and to wear common protective/safety equipment. The worker must have attention to detail, and be thorough in completing work tasks, cooperative, and responsible. Job Classification: 37-2011.00 - Janitors and Cleaners, Except Maids and Housekeeping Cleaners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The job will require the worker to perform physical activities such as lifting, balancing, walking, bending, stooping, reaching, pushing, pulling, and shoveling. Must be able to lift 50 pounds. Number of Hours Per Week: 35 Work Schedule (Start/End time): 6:00 A.M. - 2:00 P.M.</t>
  </si>
  <si>
    <t>H-400-26184-077797</t>
  </si>
  <si>
    <t>LNW Landscaping, LLC</t>
  </si>
  <si>
    <t>lydia@perfectfinish.net</t>
  </si>
  <si>
    <t>+14695264015</t>
  </si>
  <si>
    <t>Job Duties: Removal and trimming of bushes; trimming and removal of fallen trees using chainsaws and loppers; raking and cleaning up ground, leaf removal, and leftover debris; disposal of brush, limbs, and fallen trees by operating tools such as chainsaws and chippers to clear ground of fallen trees from winter storms and load the cut branches/small logs onto truck for removal; winter landscape planting including hollies and other evergreens, spreading mulch; perennial rye grass installation, application and fertilization, winterizing plants and trees to protect from freezes with winter maintenance of yards with drainage control; annual winter color installs; property wide mulch installation, application and fertilization to protect plants, and winterization and draining of sprinkler system; retention pond cleanouts. Remove accumulated deposits of snow on an ongoing basis in extreme weather conditions on various commercial properties using snow blowers and standard commercial snow shovels. Ice remediation and salt application. Loading and unloading of materials and equipment. Lifting required up to 50 pounds. Work performed on local area jobsites with employer provided transportation to and from jobsites from a centralized pickup location in the specified area of employment. Job Classification: 37-3011.00 - Landscaping and Groundskeeping Workers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Employer Paid Pre-hire Drug Testing and Pre-hire Criminal Background Check Number of Hours Per Week: 40 Work Schedule (Start/End time): 7:00 A.M. - 4:00 P.M.</t>
  </si>
  <si>
    <t>H-400-26184-077802</t>
  </si>
  <si>
    <t>Job Duties: Position offered is for an experienced landscape laborer with a minimum of three months experience in winter duties who is able to work with and model company landscaping methods and procedures with up to 3 peers, removal and trimming of bushes; trimming and removal of fallen trees using chainsaws and loppers; raking and cleaning up ground, leaf removal, and leftover debris; disposal of brush, limbs, and fallen trees by operating tools such as chainsaws and chippers to clear ground of fallen trees from winter storms and load the cut branches/small logs onto truck for removal; winter landscape planting including hollies and other evergreens, spreading mulch; perennial rye grass installation, application and fertilization, winterizing plants and trees to protect from freezes with winter maintenance of yards with drainage control; annual winter color installs; property wide mulch installation, application and fertilization to protect plants, and winterization and draining of sprinkler system; retention pond cleanouts. Remove accumulated deposits of snow on an ongoing basis in extreme weather conditions on various commercial properties using snow blowers and standard commercial snow shovels. Ice remediation and salt application. Loading and unloading of materials and equipment. Lifting required up to 50 pounds. Work performed on local area jobsites with employer provided transportation to and from jobsites from a centralized pickup location in the specified area of employment. Job Classification: 37-3011.00 - Landscaping and Groundskeeping Workers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Employer Paid Pre-hire Drug Testing and Pre-hire Criminal Background Check Number of Hours Per Week: 40 Work Schedule (Start/End time): 7:00 A.M. - 4:00 P.M.</t>
  </si>
  <si>
    <t>H-400-26184-077785</t>
  </si>
  <si>
    <t>LNW Landscaping, LLC.</t>
  </si>
  <si>
    <t>Job Duties: Removal and trimming of bushes; trimming and removal of fallen trees using chainsaws and loppers; raking and cleaning up ground, leaf removal, and leftover debris; disposal of brush, limbs, and fallen trees by operating tools such as chainsaws and chippers to clear ground of fallen trees from winter storms and load the cut branches/small logs onto truck for removal; winter landscape planting including hollies and other evergreens, spreading mulch; perennial rye grass installation, application and fertilization, winterizing plants and trees to protect from freezes with winter maintenance of yards with drainage control; annual winter color installs; property wide mulch installation, application and fertilization to protect plants, and winterization and draining of sprinkler system; retention pond cleanouts. Remove accumulated deposits of snow on an ongoing basis in extreme weather conditions on various commercial properties using snow blowers and standard commercial snow shovels. Ice remediation and salt application. Loading and unloading of materials and equipment. Lifting required up to 50 pounds. Work performed on local area jobsites with employer provided transportation to and from jobsites from a centralized pickup location in the specified area of employment. Job Classification: 37-3011.00 - Landscaping and Groundskeeping Workers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Employer Paid Pre-hire drug testing and Pre-hire criminal background check. Number of Hours Per Week: 40 Work Schedule (Start/End time): 7:00 A.M. - 4:00 P.M.</t>
  </si>
  <si>
    <t>H-400-26184-077792</t>
  </si>
  <si>
    <t>Job Duties: Position offered is for an experienced landscape laborer with a minimum of three months experience in winter duties who is able to work with and model company landscaping methods and procedures with up to 3 peers, removal and trimming of bushes; trimming and removal of fallen trees using chainsaws and loppers; raking and cleaning up ground, leaf removal, and leftover debris; disposal of brush, limbs, and fallen trees by operating tools such as chainsaws and chippers to clear ground of fallen trees from winter storms and load the cut branches/small logs onto truck for removal; winter landscape planting including hollies and other evergreens, spreading mulch; perennial rye grass installation, application and fertilization, winterizing plants and trees to protect from freezes with winter maintenance of yards with drainage control; annual winter color installs; property wide mulch installation, application and fertilization to protect plants, and winterization and draining of sprinkler system; retention pond cleanouts. Remove accumulated deposits of snow on an ongoing basis in extreme weather conditions on various commercial properties using snow blowers and standard commercial snow shovels. Ice remediation and salt application. Loading and unloading of materials and equipment. Lifting required up to 50 pounds. Work performed on local area jobsites with employer provided transportation to and from jobsites from a centralized pickup location in the specified area of employment. Job Classification: 37-3011.00 - Landscaping and Groundskeeping Workers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Employer Paid Pre-hire drug testing and Pre-hire criminal background check Number of Hours Per Week: 40 Work Schedule (Start/End time): 7:00 A.M. - 4:00 P.M.</t>
  </si>
  <si>
    <t>H-400-26184-077774</t>
  </si>
  <si>
    <t>Accommodate hotel, motel, and resort patrons by registering and assigning rooms to guests, issuing room keys or cards, transmitting and receiving messages, keeping records of occupied rooms and guests' accounts, making and confirming reservations, and presenting statements to and collecting payments from departing guests. Job Classification: 43-4081.00 - Hotel, Motel, and Resort Desk Clerks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Must be able to lift up to 50 lbs. and stand or bend for all or most of the work shift and have familiarity with the English language. Schedule: 35 hours per week. Monday through Sunday (schedule varies). Work schedule can include evening, weekend, and holiday hours. Shifts: 9:00am to 4:00pm (shift hours may vary). Number of Hours Per Week: 35 Work Schedule (Start/End time): 9:00 A.M. - 4:00 P.M.</t>
  </si>
  <si>
    <t>H-400-26184-077808</t>
  </si>
  <si>
    <t>Mariani Enterprises, LLC</t>
  </si>
  <si>
    <t>Mimi Alworth</t>
  </si>
  <si>
    <t>hiring@southviewdesign.com</t>
  </si>
  <si>
    <t>+14804880128</t>
  </si>
  <si>
    <t>Landscape Equipment Repairer</t>
  </si>
  <si>
    <t>Diagnose, adjust, repair, or overhaul small engines used to power lawn mowers, plows, throwers, chain saws, and other related landscaping equipment. All other job duties related to the Outdoor Power Equipment and Other Small Engine Mechanics position pursuant to 49-3053. May perform other job duties pursuant to 49-3053, Outdoor Power Equipment and Other Small Engine Mechanics. F.a.5a-F.a.6b: 35 hours/week. 8-hour shifts between 7:30 am and 4:00 pm. 5 days per week, Mon-Fri. F.b.8a: Workers will be paid no less than the wage listed. Employer may pay higher wage rates to workers based on seniority with employer and level of skill. F.b.9: H-2B workers are eligible for the following benefits: 401(k) plan with company match; Medical insurance; Dental insurance; Vision insurance; FSA/HSA; PerkSpot; Long-Term Disability and Life Insurance; Paid time Off; Tuition Reimbursement (after one year of service). Effective January 1, 2024, per MN State Statute, an employee will earn one hour of paid sick and safe time for every 30 hours worked, up to at least 48 hours of accrued Earned Sick and Safe Time (ESST) per year, provided the employee works a minimum of 80 hours in a calendar year. F.d.4: Workers who are not able to return to their residence within the workday have the option of employer-provided housing for $600-800 per month, and if elected, employer will deduct costs from worker’s paycheck. Workers also have the option of securing their own lodging. Job Classification: 49-3053.00 - Outdoor Power Equipment and Other Small Engine Mechanics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3 months of experience working with landscaping tools or equipment required. On-the-job training will be provided. A criminal background check and drug screen is required. The drug screening must be completed before beginning employment. Employees who have worked for Mariani Enterprises in the past 3 years are exempt from criminal background check and drug screening requirements. Number of Hours Per Week: 35 Work Schedule (Start/End time): 7:30 A.M. - 4:00 P.M.</t>
  </si>
  <si>
    <t>H-400-26184-077803</t>
  </si>
  <si>
    <t>Rake, aerate, dethatch, perform general lawn maintenance, perennial cutbacks, leaf collection, backpack blowing, snow preparation of maintenance client properties by marking areas where walkways and driveways exist in 6 foot increments to designate pathways so that snow equipment does not destroy landscaping and vegetation, installation of property markers for snow removal using hammers, stakes, maps, and shovels, and other tasks related to fall cleanup/snow removal preparation, including using backpack blowers, rakes, shovels, and wheelbarrows and/or carts to remove piled up leaves and other debris from properties so they do not clog up or impede the machinery used for snow removal equipment. May perform other job duties pursuant to 37-3011, Landscaping and Groundskeeping Workers. F.a.5a-F.a.6b: 35 hours/week. 8-hour shifts between 7:00 am and 4:00 pm. 5 days per week, Mon-Fri. May work evenings, weekends, holidays, as needed. Schedule (including workdays) may vary. May work more than the guaranteed hours. May work overtime. OT varies. F.b.8a: Workers will be paid no less than the wage listed. Employer may pay higher wage rates to workers based on seniority with employer and level of skill. Overtime hours may vary. F.b.9: H-2B workers are eligible for the following benefits: 401(k) plan with company match; Medical insurance; Dental insurance; Vision insurance; FSA/HSA; PerkSpot; Long-Term Disability and Life Insurance; Paid time Off; Tuition Reimbursement (after one year of service). Effective January 1, 2024, per MN State Statute, an employee will earn one hour of paid sick and safe time for every 30 hours worked, up to at least 48 hours of accrued Earned Sick and Safe Time (ESST) per year, provided the employee works a minimum of 80 hours in a calendar year. F.c.1: The H-2B Temporary Grounds Maintenance Workers will perform job duties at 2383 Pilot Knob Road, Mendota Heights, MN 55120 and at multiple worksites within the area of intended employment, including the following counties: Anoka, Carver, Dakota, Hennepin, Le Sueur, Ramsey, Scott, Washington, Wright, and Rice. F.d.1: Employer will provide daily transportation from 2383 Pilot Knob Road, Mendota Heights, MN 55120 to and from worksites, or employee may report directly to the worksite on their own. F.d.4: Workers who are not able to return to their residence within the workday have the option of employer-provided housing for $600-800 per month, and if elected, employer will deduct costs from worker's paycheck. Workers also have the option of securing their own lodging. Job Classification: 37-3011.00 - Landscaping and Groundskeeping Workers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No formal education, training or experience required. On-the-job training will be provided. Must be able to lift 50 pounds. A criminal background check and drug screen is required. The drug screening must be completed before beginning employment. Employees who have worked for Mariani Enterprises in the past 3 years are exempt from criminal background check and drug screening requirements. Number of Hours Per Week: 35 Work Schedule (Start/End time): 7:00 A.M. - 4:00 P.M.</t>
  </si>
  <si>
    <t>H-400-26184-077804</t>
  </si>
  <si>
    <t>Irrigation Blowout Laborer</t>
  </si>
  <si>
    <t>Maintain irrigation systems, including winterizing the systems. Perform winterization and blowout of irrigation system, including all water lines, valves and pump stations. May perform other job duties pursuant to 37-3011, Landscaping and Groundskeeping Workers. F.a.5a-F.a.6b: 35 hours/week. 8-hour shifts between 7:00 am and 4:00 pm. 5 days per week, Mon-Fri. May work evenings, weekends, holidays, as needed. Schedule (including workdays) may vary. May work more than the guaranteed hours. May work overtime. OT varies. F.b.8a: Workers will be paid no less than the wage listed. Employer may pay higher wage rates to workers based on seniority with employer and level of skill. Overtime hours may vary. F.b.9: H-2B workers are eligible for the following benefits: 401(k) plan with company match; Medical insurance; Dental insurance; Vision insurance; FSA/HSA; PerkSpot; Long-Term Disability and Life Insurance; Paid time Off; Tuition Reimbursement (after one year of service). Effective January 1, 2024, per MN State Statute, an employee will earn one hour of paid sick and safe time for every 30 hours worked, up to at least 48 hours of accrued Earned Sick and Safe Time (ESST) per year, provided the employee works a minimum of 80 hours in a calendar year. F.c.1: The H-2B Temporary Irrigation Blowout Laborers will perform job duties at 2383 Pilot Knob Road, Mendota Heights, MN 55120 and at multiple worksites within the area of intended employment, including the following counties: Anoka, Carver, Dakota, Hennepin, Le Sueur, Ramsey, Scott, Washington, Wright, and Rice. F.d.1: Employer will provide daily transportation from 2383 Pilot Knob Road, Mendota Heights, MN 55120 to and from worksites, or employee may report directly to the worksite on their own. F.d.4: Workers who are not able to return to their residence within the workday have the option of employer-provided housing for $600-800 per month, and if elected, employer will deduct costs from worker's paycheck. Workers also have the option of securing their own lodging. Job Classification: 37-3011.00 - Landscaping and Groundskeeping Workers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No formal education, training or experience required. On-the-job training will be provided. Must be able to lift 50 pounds. A criminal background check and drug screen is required. The drug screening must be completed before beginning employment. Employees who have worked for Mariani Enterprises in the past 3 years are exempt from criminal background check and drug screening requirements. Number of Hours Per Week: 35 Work Schedule (Start/End time): 7:00 A.M. - 4:00 P.M.</t>
  </si>
  <si>
    <t>H-400-26184-077835</t>
  </si>
  <si>
    <t>Mary Dwyer</t>
  </si>
  <si>
    <t>DISTRICT OF COLUMBIA</t>
  </si>
  <si>
    <t>25/08/2027</t>
  </si>
  <si>
    <t>housemgmt08@gmail.com</t>
  </si>
  <si>
    <t>+12155202453</t>
  </si>
  <si>
    <t>Care for child and perform all related child care duties in regard to the child, prepare meals and snacks for child, change diapers, bathe and potty train the child, assist child with hygiene including brushing teeth, dress child appropriate to the child’s activities, teach child appropriate social behavior, supervise child’s activities and monitor safety at all times, put the child to sleep for naps, work with the parents on appropriate discipline guidelines and on child’s growth and social development, supervise playtime with child’s friend, organize and conduct age-appropriate recreational activities, such as games, arts and crafts, and sports. Job Classification: 39-9011.01 - Nannies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12 Number of Hours Per Week: 40 Work Schedule (Start/End time): 8:00 A.M. - 4:00 P.M.</t>
  </si>
  <si>
    <t>H-400-26184-077791</t>
  </si>
  <si>
    <t>Nice and Green Dominguez Landscaping</t>
  </si>
  <si>
    <t>martindominguez26@icloud.com</t>
  </si>
  <si>
    <t>+14409831487</t>
  </si>
  <si>
    <t>Landscape and maintain properties using tools or equipment. Tasks may include cutting, edging lawns, sod laying, mowing, trimming, planting, watering, fertilizing, digging, raking, and blowing leaves; pulling, chopping weeds, pruning, seeding, hauling, spreading topsoil and mulch, sprinkler installation, and installation of mortarless segmental concrete masonry wall units. Job Classification: 37-3011.00 - Landscaping and Groundskeeping Workers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Able to lift/carry 50 lbs when necessary. Number of Hours Per Week: 40 Work Schedule (Start/End time): 8:00 A.M. - 5:00 P.M.</t>
  </si>
  <si>
    <t>H-400-26184-077817</t>
  </si>
  <si>
    <t>Novel Construction, LLC</t>
  </si>
  <si>
    <t>25/07/2029</t>
  </si>
  <si>
    <t>contentcase@constructconnect.com</t>
  </si>
  <si>
    <t>+17877545353</t>
  </si>
  <si>
    <t>Construction Equipment Operator</t>
  </si>
  <si>
    <t>Operate excavators, loaders, skid steers, backhoes, and forklifts to support earthmoving, grading, and material handling for the one‑time project. Perform trenching, backfilling, compaction, and site preparation tasks specific to the project scope. Load and unload materials and equipment. Conduct pre‑operation inspections, identify issues, and report maintenance needs. Assist with site cleanup, debris removal, and general labor tasks tied to the project timeline. Follow all safety protocols and equipment procedures. Wage: Basic wage rate is $14.25/hr. An overtime premium at the rate of, $21.38/hr., will be paid when required by Federal, State, or local law, including at time-and-a-half after 40 hours in a work week. The employer may offer raises/bonuses to temporary employees hired under this job order, at the company's sole discretion, based on individual factors such as performance, skill, and job tenure. Wages will be calculated based on a single workweek. Employees will be paid weekly. Schedule: Shifts may vary, but an average scheduled workday can be from 7AM to 2PM, Mon - Fri and 5 hrs Sat. The expected work schedule is approximately 40 hours per week. The employer may offer more hours than specified, depending on company needs, and other conditions. The employer will provide daily transportation to and from the work site at no cost to the worker. Use of transportation is voluntary. Employer provides daily transportation between work sites. Job Classification: 47-2073.00 - Operating Engineers and Other Construction Equipment Operators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6 Special Requirements: 6 months experience operating heavy construction equipment. Ability to lift 5075 lbs and work outdoors. Number of Hours Per Week: 40 Work Schedule (Start/End time): 7:00 A.M. - 2:00 P.M.</t>
  </si>
  <si>
    <t>H-400-26184-077778</t>
  </si>
  <si>
    <t>Nutrition 101, LLC</t>
  </si>
  <si>
    <t>anna.price@101.us</t>
  </si>
  <si>
    <t>+17657781101</t>
  </si>
  <si>
    <t>Production Workers</t>
  </si>
  <si>
    <t>Operate or tend machines to prepare products for storage or shipment. Unload food waste product and use the equipment to organize the product for further processing. Load the product into automatic depackaging machines and monitor the machines as they further process the product. Ensure product is delivered to appropriate storage and packaging waste generated from the depackaging is baled or collected for follow on actions. Prepare semi-trailers for return to customer site. Involves loading and unloading tools and supplies and equipment weighing up to 50 lbs. Involves working outdoors in all types of weather. Involves extensive standing, sitting or walking. Involves frequent stooping or bending. Involves repetitive movements. Post Hire/Employer Paid Drug Test. Optional medical, dental, etc. benefits available at employees own expense. Possibility of performance based raise, bonuses, overtime and Saturdays as required. . 60 minutes of unpaid breaks throughout the day. Daily hours may vary between start and end times listed depending on weather or job assignments. Job Classification: 51-9111.00 - Packaging and Filling Machine Operators and Tenders The job/industry classification and description includes general information on the position from ONET/OES and the North American Industry Classification System. Please review Job Duties and Job Order for more information. Job Requirements Experience Required: No Number of Hours Per Week: 40 Work Schedule (Start/End time): 6:00 A.M. - 6:00 P.M.</t>
  </si>
  <si>
    <t>H-400-26184-077841</t>
  </si>
  <si>
    <t>On Site Management Inc</t>
  </si>
  <si>
    <t>hr@onsitemanagement.com</t>
  </si>
  <si>
    <t>+14065829200</t>
  </si>
  <si>
    <t>***RFI response*** assist senior team members with operating hand and power tools, including: (1) Dewalt nail guns, Ingersoll Rand air hammers, MultiQuip cement mixers, Wacker-Neuson earth tampers and vibrators, Vevor small mechanical hoists, Milwaukee compound miter saws, and DeWalt surveying and measuring equipment; (2) if needed, excavate and trench using a walk-behind RT45 Ditch Witch at 38 HP weighing over 2500 lbs, and/or a John Deere Skid Steer 320G at 69 HP weighing over 7500 lbs; (3) use a combination of motorized tools listed above or manual tools such as shovels, rakes, hammers, saws, wheelbarrows, to clean and prepare sites, set lumber braces (2x4”s or 2x6”s) that support sides of extensions, and if necessary remove snow and ice; (4) some mechanical inclination, a willingness to accept instruction and be a team-player, and perform with a positive attitude. ***Original*** DUTIES: assist senior team members with operating hand and power tools, such as air hammers, earth tampers, cement mixers, small mechanical hoists, surveying and measuring equipment, and a variety of other equipment and instruments, make sure sites are cleaned and prepared, dig trenches, set braces to support the sides of excavations; clean up rubble, debris and other waste materials, including helping others on site; some mechanical inclination, a willingness to accept instruction and be a team-player, and perform with a positive attitude. Job Classification: 47-2073.00 - Operating Engineers and Other Construction Equipment Operators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Standing, bending, and walking for extended periods of time, working at heights up to 30 feet, repetitive motions including bending and pushing, must be able to lift heavy equipment (up to 50 pounds) repeatedly and for extended periods of time, strong attention to safety awareness. Number of Hours Per Week: 40 Work Schedule (Start/End time): 7:00 A.M. - 4:30 P.M.</t>
  </si>
  <si>
    <t>H-400-26184-077838</t>
  </si>
  <si>
    <t>Paul's Lawn Care, LLC</t>
  </si>
  <si>
    <t>Paul_lawncare@yahoo.com</t>
  </si>
  <si>
    <t>+15185883581</t>
  </si>
  <si>
    <t>***RFI Response*** Tree trimming is conducted from ground level, using manual and gas powered equipment like loppers, pole saw, and pole trimmers. It may include shaping the tree or bush and cutting dead branches ***Original Duties*** The landscape laborers will be responsible for all phases of landscape maintenance and weekly lawn service. This will include mowing, weed-whacking, raking, leaf cleanup, shoveling, trimming, blowing, edging, install/pruning/trimming of trees and bushes, grading, laying down mulch/topsoil, hydroseeding, seasonal clean-ups. Wheeling barrels of mulch and topsoil. Use an array of hand tools and gas-powered tools, including mowers, string trimmers, air blowers, shears. Job Classification: 37-3011.00 - Landscaping and Groundskeeping Workers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Ability to lift 40-80 lbs regularly. Saturday work required, when necessary. Hours and schedule may vary. Number of Hours Per Week: 40 Work Schedule (Start/End time): 7:00 A.M. - 4:00 P.M.</t>
  </si>
  <si>
    <t>H-400-26184-077832</t>
  </si>
  <si>
    <t>Poured Foundations Of Ohio, Inc.</t>
  </si>
  <si>
    <t>lynn.drill@jthoover.com</t>
  </si>
  <si>
    <t>+13028322139</t>
  </si>
  <si>
    <t>Perform tasks involving physical labor at construction sites. May operate hand and power tools of all types: air hammers, earth tampers, cement mixers, small mechanical hoists, surveying, and measuring equipment, and a variety of other equipment and instruments. May clean and prepare sites, dig trenches, set braces to support the sides of excavations, erect scaffolding, and clean up rubble, debris, and other waste materials. May assist other craft workers. Job Classification: 47-2061.00 - Construction Laborers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Able to lift and carry 80 pounds when necessary; some OT and weekend work required. Number of Hours Per Week: 40 Work Schedule (Start/End time): 8:00 A.M. - 5:00 P.M.</t>
  </si>
  <si>
    <t>H-400-26184-077844</t>
  </si>
  <si>
    <t>Professional Concessions, Inc.</t>
  </si>
  <si>
    <t>bbeckpci@aol.com</t>
  </si>
  <si>
    <t>+15617931971</t>
  </si>
  <si>
    <t>Concession Workers</t>
  </si>
  <si>
    <t>Setting up and breaking down portable concession sales units including tents, trussing, and food service equipment. Stock stands with food, ice, and beverages. Put stock items away after event. Cook hamburgers, hot dogs, and French fries with minimal preparation. Job Classification: 35-2019.00 - Cooks, All Other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Must lift/carry 50 pounds, when necessary. Saturday and Sunday work required, when necessary. Post-hire employment eligibility check (e-Verify) required of all workers in the position, both foreign and domestic. Number of Hours Per Week: 40 Work Schedule (Start/End time): 9:00 A.M. - 5:00 P.M.</t>
  </si>
  <si>
    <t>H-400-26184-077840</t>
  </si>
  <si>
    <t>Professional Landscaping, LLC.</t>
  </si>
  <si>
    <t>professionallandscapingservices@yahoo.com</t>
  </si>
  <si>
    <t>+17656229177</t>
  </si>
  <si>
    <t>H-400-26184-077805</t>
  </si>
  <si>
    <t>Raphael Donde</t>
  </si>
  <si>
    <t>Vi Nanthaveth</t>
  </si>
  <si>
    <t>RAPHAELDONDE1@GMAIL.COM</t>
  </si>
  <si>
    <t>+15128906428</t>
  </si>
  <si>
    <t>Care Provider</t>
  </si>
  <si>
    <t>CHILD SUPERVISION &amp; SAFETY: Provide continuous supervision of 16 year old son with Autism, and 18 year old daughter with ADHD and Oppositional Defiant Disorder (ODD) within the home and during outside activities; Maintain a safe, structured, calm, and supportive environment; Monitor children for emotional distress, behavioral escalation, impulsive conduct, or unsafe behavior; Assist with de-escalation during behavioral or emotional episodes; Prevent wandering, unsafe interactions, or self-harming behaviors when necessary; Supervise recreational activities, homework time, meals, and bedtime routines; Accompany children to appointments, school-related activities, therapy sessions, and community outings when directed. SPECIAL NEEDS SUPPORT: Assist children with executive functioning tasks, emotional regulation, focus, organization, and daily routines; Provide structured reminders for medication schedules, hygiene, school assignments, meals, and sleep routines; Reinforce behavioral plans and consistent household expectations established by the parent and healthcare providers; Help reduce emotional overstimulation and anxiety through routine management and supportive interaction; Provide patient redirection during episodes of defiance, emotional dysregulation, attention difficulties, or oppositional behaviors; Observe and report behavioral changes, emotional concerns, or unusual incidents to the parent. HOUSEHOLD MANAGEMENT DUTIES: Perform general household cleaning and organization necessary to maintain sanitary and safe living conditions; Clean kitchen, bathrooms, bedrooms, living areas, and common spaces; Wash dishes, sanitize surfaces, and maintain household hygiene standards; Do laundry, folding, ironing, and linen changes; Organize household supplies, clothing, medications, and school materials; Assist with grocery shopping, errands, prescription pickup, and household inventory management. MEAL PREPARATION &amp; NUTRITION SUPPORT: Prepare daily meals and snacks for children and household members; Follow dietary instructions, food sensitivities, and nutritional guidelines provided by the parent; Maintain cleanliness and sanitation in food preparation areas; Assist children during meals when supervision or encouragement is needed. OTHER SUPPORT: Provide non-medical household assistance to support a medically compromised parent experiencing physical limitations; Assist with physically demanding household tasks that the parent have difficulty performing; Help maintain stability and continuity of care within the home environment; Provide additional supervision of children during periods when the parent is medically fatigued or attending medical appointments. Job Classification: 35-2013.00 - Cooks, Private Household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12 Special Requirements: CPR and First Aid Certification(s) (can be a joint certification for both or separate certifications). Valid Driver's License. Must be capable of recognizing signs of emotional distress, behavioral escalation, anxiety, impulsivity, or unsafe behavior in children and respond appropriately using non-physical de-escalation techniques. Number of Hours Per Week: 39 Work Schedule (Start/End time): 8:00 A.M. - 7:00 P.M.</t>
  </si>
  <si>
    <t>H-400-26184-077823</t>
  </si>
  <si>
    <t>STM Landscaping, LLC.</t>
  </si>
  <si>
    <t>STMLandscapingcentralia@gmail.com</t>
  </si>
  <si>
    <t>+16185324126</t>
  </si>
  <si>
    <t>Workers may be asked to cut anything voluntarily growing in a landscape bed that can also be removed from the ground. Equipment used may be (but not limited to) the following: bypass lopper, gas powered hitch pruners, wheel barrows, tractors (Bobcat MT100), mini stand on skid steer, chippers used to grind debris removed from landscape beds, Ford F250 trucks, or hand pump sprayers. Workers may be asked to use the following equipment: bypass lopper, gas powered hitch pruners, wheel barrows, tractors (Bobcat MT100), mini stand on skid steer, chippers used to grind debris removed from landscape beds, Ford F250 trucks, hand pump sprayers, etc. Workers will not handle or mix any pesticides or chemicals. Supervisors handle cutting down the trees. Workers may be asked to gather equipment and would hand said equipment to the supervisor from ground level. Debris will be loaded by hand onto trucks (consistent with a Ford F250) hauling utility trailers. Work takes place on residential or commercial lawns. The job in question does not fall in line with any forestry work. Workers typically perform a variety of tasks, which may include any combination of the following: prune, gather/remove litter/debris, haul debris, cut down small trees and saplings, spread straw/topsoil. Operate shredding and chipping equipment, and feed limbs and brush into the machines. Operate loaders, brush chippers, tractors, power saws, trucks, sprayers and other equipment and tools. Hoist tools and equipment to tree trimmers, and lower branches to the ground. Load debris and refuse onto trucks and haul it away for disposal. Load truck with needed products and equipment. Fall property maintenance such as rake/blow leaves; pull/chop weeds; prune, mulch. Maintain/clean tools, equipment &amp; work sites. These workers are laborers, they are not tree trimmers or arborists. The landscape code of 37-3011 should be assigned (see ONET description). No Experience/No educ See attached addendum Job Classification: 37-3011.00 - Landscaping and Groundskeeping Workers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Lift/ carry up to 50 pounds. The employer maintains a workplace free from the use of illegal drugs, alcohol, and unauthorized controlled substances. The use, possession, sale, or being under the influence of illegal drugs or alcohol during working time or on employer premises is prohibited. The employer may conduct lawful, job-related screening of applicants, including inquiries into criminal history, where permitted by applicable federal, state, and local laws. Any consideration of criminal history will be conducted on an individualized basis and employment decisions will be made in a nondiscriminatory manner consistent with applicable laws and business necessity. Number of Hours Per Week: 35 Work Schedule (Start/End time): 7:00 A.M. - 4:00 P.M.</t>
  </si>
  <si>
    <t>H-400-26184-077831</t>
  </si>
  <si>
    <t>Samson Landscaping and Supply, LLC</t>
  </si>
  <si>
    <t>sam@samsonlandscape.com</t>
  </si>
  <si>
    <t>+12165026757</t>
  </si>
  <si>
    <t>Landscape or maintain grounds of property using hand or power tools or equipment. Workers typically perform a variety of tasks, which may include any combination of the following: sod laying, mowing, trimming, planting, watering, fertilizing, digging, raking, sprinkler installation, and installation of mortarless segmental concrete masonry wall units. Job Classification: 37-3011.00 - Landscaping and Groundskeeping Workers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Able to lift/carry 50lbs. Number of Hours Per Week: 40 Work Schedule (Start/End time): 8:00 A.M. - 5:00 P.M.</t>
  </si>
  <si>
    <t>H-400-26184-077816</t>
  </si>
  <si>
    <t>Simmon's Chesapeake Bay Seafood, Inc.</t>
  </si>
  <si>
    <t>chesapeakebayseafood27@gmail.com</t>
  </si>
  <si>
    <t>+14435217328</t>
  </si>
  <si>
    <t>Under direct supervision Seafood Processors/Crab Pickers will steam, clean and pick whole crabs. weigh, separate processed meat by size, or quality, and place in containers, and seal, count, measure, ice, debone, pack, cook, break, seafood processing and preparation of orders for wholesale/ retail sale. Clean and prepare work and equipment to meet all regulations state and federal satisfactory for food safety, load/unload, may have occasional use of material handling devices, dump, move, dock work, freeze, shovel crabs, staple and assemble boxes. Workers will assist with unloading raw product, (crabs, from boats or trucks), and place in processing area, or on the tables to be processed. Workers will also assist with loading finished products onto trucks for shipment. Piece rate may be offered; rate is determined based on prevailing wage determination. See attached Addendum. Job Classification: 51-3022.00 - Meat, Poultry, and Fish Cutters and Trimmers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Lift/carry up to 50 pounds. The employer maintains a workplace free from the use of illegal drugs, alcohol, and unauthorized controlled substances. The use, possession, sale, or being under the influence of illegal drugs or alcohol during working time or on employer premises is prohibited. The employer may conduct lawful, job-related screening of applicants, including inquiries into criminal history, where permitted by applicable federal, state, and local laws. Any consideration of criminal history will be conducted on an individualized basis and employment decisions will be made in a nondiscriminatory manner consistent with applicable laws and business necessity. No infectious diseases; seafood allergies may be fatal. Number of Hours Per Week: 40 Work Schedule (Start/End time): 5:00 A.M. - 1:30 P.M.</t>
  </si>
  <si>
    <t>H-400-26184-077828</t>
  </si>
  <si>
    <t>Timbo's Construction, Inc.</t>
  </si>
  <si>
    <t>ethan@timbosconstruction.com</t>
  </si>
  <si>
    <t>+16628434740</t>
  </si>
  <si>
    <t>Perform a variety of physical labor tasks at construction sites. Operate hand and power tools of all types, including air hammers, earth tampers, small mechanical hoists, and measuring or surveying equipment including laser levels, measuring devices such as grade sticks, level rods and tape measures. Load, unload, and move construction materials such as lumber, steel panels, tin sheets, siding, trusses, and other components to designated areas. Assist in positioning and securing structural components under the direction of skilled craft workers. Prepare construction sites by cleaning debris, digging trenches, setting braces to support excavations, and erecting scaffolding. The trenches are typically 6 inches deep, 8 inches wide typically. Shovels and a machine with operator are used to quicken the process. Tend to pumps, compressors, or generators to supply power for tools or equipment, and assist in heating or moving materials such as asphalt or concrete. Perform routine maintenance by lubricating, cleaning, and repairing tools and equipment as needed. Assist skilled trades personnelâ€”such as carpenters, concrete finishers, or equipment operatorsâ€”by providing necessary materials and tools. Signal equipment operators to facilitate alignment, movement, or adjustment of machinery and materials. Measure and mark construction layouts as directed. Support building weatherization and site preparation tasks, including installing temporary insulation, applying weatherproofing materials, or erecting enclosures. Participate in cold-weather concrete pouring by preparing the area, confirming equipment readiness, and ensuring site conditions are suitable for curing. Remove worn or damaged materials, clean work areas, and maintain tools and equipment in good condition. Job Classification: 47-2061.00 - Construction Laborers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Three months of construction experience required. Must be able to lift and carry 50lbs for 75 yards. May occasionally work on Saturdays. The Employer will provide on-the-job training to perform the duties assigned. Each applicant (U.S. and H-2B workers alike) must complete the Employers standard online employment application as part of the hiring process. The application is uniformly required of all candidates and does not impose additional or different requirements on U.S. workers. The workers may be subject to post-employment drug testing upon reasonable suspicion, paid by the employer and applied equally to all workers, U.S. and foreign/H-2B. The workers are subject to post-employment criminal background checks, paid by the employer and applied equally to all workers, U.S. and foreign/H-2B. Number of Hours Per Week: 45 Work Schedule (Start/End time): 8:00 A.M. - 5:00 P.M.</t>
  </si>
  <si>
    <t>H-400-26184-077811</t>
  </si>
  <si>
    <t>Torres Construction LLC</t>
  </si>
  <si>
    <t>torresconstinc@gmail.com</t>
  </si>
  <si>
    <t>***RFI response*** DUTIES: assist senior team members with: (1) reading plans, instructions, or specifications, and measuring, marking, or recording distances to layout areas where construction work will be performed, erecting or dismantling temporary structures as needed, and if needed removing snow and ice from common areas; (2) loading or unloading building materials including new and reclaimed 2x4s, 2x6s, and 4x8 and/or 4x16 plywood, using powered tools including Metabo nail guns, Ingersoll-Rand air hammers, Husqvarna earth tampers, DeWalt compound miter saws, and non-powered tools such as shovels, rakes, hammers, saws, wheelbarrows; (3) lifting heavy equipment (up to 75 pounds) repeatedly, standing and walking at heights of up to 30 feet for extended periods of time; performing repetitive motions including bending and pushing, and lifting heavy equipment (up to 75 pounds) repeatedly (4) some understanding of English, and a willingness to accept instruction and be a team-player, perform with a positive attitude and a strong attention to safety awareness. ***Original*** Perform tasks involving physical labor and helping assist senior workers to: read plans, instructions, or specifications to help determine and coordinate work activities; measure, mark, or record distances to layout areas where construction work will be performed; load, unload, or identify building materials, machinery, or tools, distributing them to the appropriate locations as directed; operating hand and power tools of all types; a willingness to accept instruction and be a team-player and perform with a positive attitude; erect or dismantle temporary structures as needed; provide assistance to senior workers; removal of snow and ice from common walkways as needed; strong attention to safety awareness. Special Requirements: some understanding of English, standing and walking at heights of up to 30 feet for extended periods of time; able to perform repetitive motions including bending and pushing; and lifting heavy equipment (up to 75 pounds) repeatedly. Job Classification: 47-2061.00 - Construction Laborers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SpecialRequirements:standing and walking for extended periods of time, working at heights up to 30 feet,repetitive motions including bending and pushing, must be able to lift heavy equipment (up to 50 pounds)repeatedly and for extended periods of time, strong attention to safety awareness. Number of Hours Per Week: 40 Work Schedule (Start/End time): 7:00 A.M. - 4:30 P.M.</t>
  </si>
  <si>
    <t>H-400-26184-077846</t>
  </si>
  <si>
    <t>Wildwood Christmas Lights LLC</t>
  </si>
  <si>
    <t>wildwoodchristmaslights@gmail.com</t>
  </si>
  <si>
    <t>+16368876155</t>
  </si>
  <si>
    <t>Outdoor Holiday Lighting/décor Installation &amp; Removal</t>
  </si>
  <si>
    <t>Unpack, inspect and test lights and decorations, replace bulbs if needed. Hang lights on exterior landscape and buildings. Maintain/service lights and décor that break or go out. Light landscape maintenance/clean up to prep/maintain sites for installation; Mow, cut, edge lawns: rake and blow leaves. Remove lights and décor, inspect and pack for storage. Snow shovel and blow walkways, decks and driveways. Involves loading and unloading tools and supplies and equipment weighing up to 50 lbs. Involves working outdoors in all types of weather. Involves extensive standing, sitting or walking. Involves frequent stooping or bending. Involves repetitive movements.. Optional housing provided at $85 per week, depending on availability (subject to change based on local market/inflation). Possibility of performance based raise, bonuses, overtime and Saturdays as required. Transportation provided to multiple worksites from central location in Wildwood, MO. Daily hours may vary between start and end times listed depending on weather or job assignments. Job Classification: 49-9099.00 - Installation, Maintenance, and Repair Workers, All Other The job/industry classification and description includes general information on the position from ONET/OES and the North American Industry Classification System. Please review Job Duties and Job Order for more information. Job Requirements Experience Required: No Number of Hours Per Week: 40 Work Schedule (Start/End time): 8:00 A.M. - 5:30 P.M.</t>
  </si>
  <si>
    <t>H-400-26184-077926</t>
  </si>
  <si>
    <t xml:space="preserve"> True North Contracting Inc.</t>
  </si>
  <si>
    <t>Savanna Barksdale</t>
  </si>
  <si>
    <t>wuglals@michfb.com</t>
  </si>
  <si>
    <t>+15173915090</t>
  </si>
  <si>
    <t>Landscaping Worker</t>
  </si>
  <si>
    <t>Worker will prepare residential and commercial properties for fall and winter seasons using various landscaping equipment such as a mower, weed eater, hedge trimmer and a leaf blower as directed by supervisor to assist in collection of leaves and debris and perform general grounds clean-up as instructed by supervisor. Worker will mark properties with stakes in the ground along sidewalks and parking lot curbs. Worker will use a shovel or snow blower to remove snow from sidewalks, driveways, or parking lots, and spread salt in those areas. If worker is eligible to drive under Michigan law, Employer may require worker to drive in Employer-provided vehicles to and from the worksite and to locations within 15 miles as directed. To be eligible for driving jobs, worker must understand and agree to driving rules. Worker will be required to lift various equipment and materials weighing up to 50 pounds. Pay will be hourly. Job Classification: 37-3011.00 - Landscaping and Groundskeeping Workers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3 months verifiable commercial landscaping experience required. Applicants must furnish job references from employers within the last 5 years establishing acceptable prior experience. 50-pound lifting requirement. Some tasks will require two or more workers to jointly lift 100 pounds, however, the employer will use 50 pounds as the general lifting requirement. Full season commitment: job offered requires worker be available for work every day that work is available for full employment period. Worker agrees to be available for and perform the assigned work whenever work is available through full employment period. Worker must be able to perform all duties within job description in safe manner adhering to all established safety guidelines, practices and procedures. Worker must possess requisite physical strength and endurance to repeat landscaping labor process throughout workday. Worker must work at sustained pace and make good faith efforts to work efficiently as reasonable under working conditions. Work may be performed during moderate rain and in high humidity and in temperatures as low as 15 degrees F and up to 105 degrees F. Worker may be required to work outside when grass/plants are wet with dew/rain and should have suitable clothing for variable weather conditions. Employer provides instructions and general supervision. Worker must conform to specific instructions given for each days work. All work-related injuries must be immediately reported to employer. Worker must wear all required and assigned personal protective equipment at all required times. Worker must wear proper clothing and footwear for conditions and all footwear must be closed-toe. Employer conducts and worker must attend orientation on workplace rules, policies and safety information. Worker must follow work rules. Other duties assigned under this order will be consistent with landscaping workers, under the Bureau of Labor Statistics Occupational Employment Statistics Standard Occupational Classification Code for Landscaping and Groundskeeping Workers 37-3011. Number of Hours Per Week: 35 Work Schedule (Start/End time): 8:00 A.M. - 3:30 P.M.</t>
  </si>
  <si>
    <t>H-400-26184-077898</t>
  </si>
  <si>
    <t>AMERICAN TEXTILE COMPANY, INC.</t>
  </si>
  <si>
    <t>TRACEY VALERIO</t>
  </si>
  <si>
    <t>JCOTTLE@AMERICANTEXTILE.COM</t>
  </si>
  <si>
    <t>+19722250540</t>
  </si>
  <si>
    <t>Operate sewing or surging machine to sew ATC products. Sew accurate care labels into product. Remove filled pillow shells from conveyor belt, close the opening, and replace return pillow to conveyor belt for further processing. Guide pillows or parts under machine needles and presser feet to sew parts together. Remove holding devices and finished items from machines. Place pillow shell over stuffer, fill shell with fiber, then place pillow on conveyor for further processing. Bag pillows as they come through the conveyor. Monitor machine operation to detect problems such as defective stitching, breaks in thread, or machine malfunctions. Place spools of thread, cord, or other materials on spindles, insert bobbins, and thread ends through machine guides and components. Position items under needles, using marks on machines, clamps, templates, or cloth as guides. Examine and inspect containers, materials, or products to ensure that product quality and packing specifications are met. Measure, weigh, and count products and materials. Record product, packaging, and order information on specified forms and records. Seal containers or materials, using glues, fasteners, tape, and hand tools. Assemble, line, and pad cartons, crates, and containers, using hand tools. Carefully and safely use all company equipment and property. Report any equipment problems to immediate supervisor, or the maintenance department. Perform duties in such a way to ensure the safety of oneself and one’s co-workers. Responsible for production changeover duties in between work orders. Perform other job duties as needed or assigned by Supervisor or lead. Job Classification: 51-9199.00 - Production Workers, All Other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Possess basic math skills Ability to occasionally carry, push or pull objects weighting up to and including 50 pounds. Able to ambulate or stand for a full shift (12 hours) Number of Hours Per Week: 40 Work Schedule (Start/End time): 8:00 A.M. - 5:00 P.M.</t>
  </si>
  <si>
    <t>H-400-26184-077927</t>
  </si>
  <si>
    <t>Blue Star Amusements LLC</t>
  </si>
  <si>
    <t>bluestar4190@gmail.com</t>
  </si>
  <si>
    <t>+19738091370</t>
  </si>
  <si>
    <t>H-400-26184-077918</t>
  </si>
  <si>
    <t>Bradford Barrett</t>
  </si>
  <si>
    <t>bsbarret@hotmail.com</t>
  </si>
  <si>
    <t>+14436038118</t>
  </si>
  <si>
    <t>Home Caregiver</t>
  </si>
  <si>
    <t>Assist severely disabled person with all activities of daily living, including dressing, bathing, eating, positioning in bed, transfers to wheelchair from bed, taking medication, water, and hydration, catheter and colostomy maintenance including bag changes and flushes, laundry and light cleaning, meal preparation, positioning for daily naps and overnight sleep. Assist with stretching and limb exercises. Maintain detailed hourly records in writing following caregiver guidebook protocols. Provide verbal feedback to the next shift. All activities completed under supervision and guidance of the disabled person. Job Classification: 31-1121.00 - Home Health Aides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Shifts available daily, MondaySunday, 35-40 hours per week, with weekend/holiday work required. Rotating shifts at the following times (subject to change): 6am-3pm 2pm-11pm 10pm-7am No preferential treatment will be given for H-2B workers and all workers (H-2B and U.S.) will receive the same wages, benefits, and Number of Hours Per Week: 40 Work Schedule (Start/End time): 6:00 A.M. - 3:00 P.M.</t>
  </si>
  <si>
    <t>H-400-26184-077922</t>
  </si>
  <si>
    <t>Classy Cajun Oyster Farm, LLC</t>
  </si>
  <si>
    <t>classycajunoyster@gmail.com</t>
  </si>
  <si>
    <t>+19857205457</t>
  </si>
  <si>
    <t>Seasonal Oyster Plant Worker</t>
  </si>
  <si>
    <t>Classy Cajun Oyster Farm LLC seeks forty (40) temporary full-time Seasonal Oyster Plant Workers to work in the employer's oyster processing facility located at 6888 Grand Caillou Road, Dulac, Louisiana 70353, Terrebonne Parish. Employment is temporary and will begin on October 1, 2026, through June 1, 2027. Employees will work 40 hours per week, with no overtime anticipated, and will be paid weekly. Duties: Workers will unload oysters from delivery vessels or containers and place them onto processing tables, conveyor systems, or mechanical shaking tables for processing. Workers will wash oysters using clean water to remove sediment and debris, then inspect, sort, grade, and separate oysters by size and quality, either manually or with basic grading equipment. Depending upon production needs, workers will process whole oysters or manually shuck oysters using oyster shucking knives while wearing cut-resistant gloves or hand guards, carefully removing the oyster meat, ensuring all shell fragments are removed, and that the product meets required quality control and food safety standards. Processed oyster meat or whole oysters will be placed into clean food-grade containers for weighing, grading, labeling, icing, and packing according to customer specifications and applicable food safety requirements. Packed ice boxes will be prepared for storage or loading onto refrigerated trucks for delivery to restaurants, wholesalers, retailers, manufacturers, and other commercial customers. Workers will maintain the cleanliness and organization of their immediate work areas during production, including the proper handling and storage of tools, knives, containers, materials, and equipment, while following all food safety, sanitation, hygiene, and workplace safety procedures. Facility-wide cleaning, sanitizing, and disinfecting before and after production shifts is performed by a contracted cleaning service. Workers may rotate among assigned duties throughout the workday based upon production needs. Tools and equipment used may include, but are not limited to, oyster shucking knives, cut-resistant gloves or hand guards, processing tables, mechanical shaking tables, conveyor systems, sorting trays, weighing scales, plastic food-grade containers, ice machines, labeling equipment, and other processing tools. Employer-provided personal protective equipment, including waterproof aprons, rubber boots, hairnets, gloves, and other required food safety attire, must be worn at all times. Work is performed indoors in a cold and wet seafood processing environment. The employer will provide transportation at no cost to workers who do not reside in employer-arranged lodging from the central pickup location at 222 Mark Street, Chauvin, Louisiana 70344, to the processing facility located at 6888 Grand Caillou Road, Dulac, Louisiana 70353, with return transportation provided at the end of each workday. The employer will also provide transportation at no cost to workers residing in employer-arranged lodging between the lodging location and the worksite. Public transportation is available to the central pickup location. Job Classification: 45-2041.00 - Graders and Sorters, Agricultural Products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Applicants must have a minimum of three (3) months of work-related experience in seafood or similar food processing environments. No formal education is required. Workers must be able to perform work duties while standing for extended periods in a cold and wet indoor seafood processing environment and perform repetitive manual tasks. Workers must be willing to work rotating shifts, including Monday through Friday shifts of 6:00 a.m. to 2:00 p.m., 2:00 p.m. to 10:00 p.m., or 10:00 p.m. to 6:00 a.m., and Saturday shifts of 6:00 a.m. to 11:00 a.m., 11:00 a.m. to 4:00 p.m., or 4:00 p.m. to 9:00 p.m. This is a seasonal, full-time position, averaging 40 hours per week. No overtime is available. Number of Hours Per Week: 40 Work Schedule (Start/End time): 2:00 P.M. - 10:00 P.M.</t>
  </si>
  <si>
    <t>H-400-26184-077903</t>
  </si>
  <si>
    <t>Cluckin' Weiner LLC</t>
  </si>
  <si>
    <t>h2bapplicants@gmail.com</t>
  </si>
  <si>
    <t>Attendants</t>
  </si>
  <si>
    <t>***2nd RFI response*** Cotton Candy: The worker operates a cotton candy machine using granulated sugar as the primary ingredient. Sugar is placed into the heated spinning head, which dissolves and forms into fine strands. The finished cotton candy is then placed into bags and hung on a designated display line. Corn Dogs: A corn batter mixture is prepared by combining corn meal batter with water according to manufacturer specifications. Hot dogs are individually immersed in the prepared batter and then deep-fried in a commercial fryer until the coating achieves the desired color and texture. Funnel Cake: Funnel cake batter is prepared by mixing commercial funnel cake mix with water to reach proper consistency. The mixed batter is then dispensed into a deep fryer for cooking until golden brown. Nachos: Tortilla chips are placed in a heated holding unit to maintain temperature. Cheese sauce is kept in a separate hot holding station. The chips are plated on a serving tray, and warm cheese sauce is dispensed over the chips using a squeeze bottle. Caramel Apples: Caramel product is heated in a commercial heating apparatus. Fresh apples are individually submerged in warm caramel and rotated to ensure complete coating. Finished products are placed on serving trays to cool. Popcorn: Popcorn kernels are loaded into a commercial popcorn machine. The kernels are heated until fully popped, and the finished product is emptied into serving containers. Bottled water and carbonated beverages are stored and maintained in commercial coolers at appropriate temperatures Snow Cones: Ice is produced using a commercial ice shaving machine, dispensed into cups, and topped with liquid flavoring. Lemonade: Lemonade concentrate is mixed with water in a pitcher and served over ice ***1st RFI response*** Workers sell and serve food and beverage items from temporary carnival concession stands during carnival operations. Duties include: taking customer orders, handling cash and electronic payments, dispensing beverages, serving pre-prepared or concession food items to customers, packaging food items for customer purchase, restocking food products, beverages, condiments, and supplies, maintaining cleanliness of concession service areas, following food handling and sanitation procedures. The tools, equipment, and materials used to perform the tasks are: cash registers and point-of-sale systems, credit card terminals, cash drawers, beverage dispensers, food serving utensils, packaging materials, refrigeration equipment, food and beverage products, and cleaning and sanitizing supplies. Workers may perform limited preparation of standard carnival concession items using established procedures and equipment. Any preparation is incidental to the primary duty of serving customers and selling food and beverages. Workers perform routine cleaning activities associated with daily carnival operations. Duties include: picking up litter and debris, sweeping walkways and ride areas, emptying trash receptacles, wiping down ride surfaces, game booths, and concession counters, cleaning spills, maintaining orderly work and customer areas, and assisting with opening and closing cleanup activities. The tools, equipment, and materials used to perform the tasks are: brooms, dustpans, mops, buckets, trash bags, cleaning cloths, basic cleaning solutions, paper products, and personal protective equipment. These cleaning duties are routine and incidental to carnival operations and are performed to maintain a clean and safe environment for customers and employees. ***Original*** Perform a variety of attending duties at amusement facility/carnival. Operate amusement concessions and rides. May direct patrons to rides, seats, or attractions. Tend amusement booths in carnival, performing duties, such as conducting games, photographing patrons, or awarding prizes. Sell and serve refreshments to customers. May clean rides, booths, facilities, or grounds of carnival area. Job Classification: 35-2019.00 - Cooks, All Other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Saturday and Sunday work required, when necessary. Post-hire drug testing required of foreign and domestic workers upon suspicion of use. Exact daily work hours vary by day and work day vary by week to include Saturday and Sunday. Hours will vary depending on staff, production quotas, and other factors to be evaluated on a daily basis. Employer may offer more than the stated work hours depending on weather, business needs, and other conditions. Extreme heat, cold, rain, or drought may affect exact working hours. Employer is exempt from paying any overtime per Section 13(a)(3) of the Fair Labor Standards Act (FLSA) for Seasonal Amusement and Recreational Establishments. Number of Hours Per Week: 40 Work Schedule (Start/End time): 3:00 P.M. - 11:00 P.M.</t>
  </si>
  <si>
    <t>H-400-26184-077938</t>
  </si>
  <si>
    <t>Crystal Seas Seafood, LLC</t>
  </si>
  <si>
    <t>crystalseas.oysters@gmail.com</t>
  </si>
  <si>
    <t>+12284522722</t>
  </si>
  <si>
    <t>Shellfish Processor</t>
  </si>
  <si>
    <t>H-2B workers are not involved in fetching sacks oysters. Mostly they wait for oysters to be brought to their shucking station. Workers may sometimes retrieve raw product from sacks already placed in the shucking area using a box or bucket. Workers use hand tools to open oysters and required PPE such as slickers and gloves. Workers may use manual hand trucks. Workers clean their work station with soap &amp; water to rid of shells, mud etc. May use buckets, brooms and squeegees. Obtain &amp; distribute product; use knife to cut oyster from shell; discard shell; inspect meat for blemishes &amp; remove/discard; separate processed meat by size and quality and place oysters in containers; assist with cleaning work stations at end of shift. Piece rate may be offered; rate will be determined based on wage determination. No Experience/No educ. 3 days on the job training provided See attached addendum Job Classification: 51-3022.00 - Meat, Poultry, and Fish Cutters and Trimmers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Lift/carry up to 35 pounds. Employer paid drug test is Post Accident. The employer may conduct lawful, job-related screening of applicants, including inquiries into criminal history, where permitted by applicable federal, state, and local laws. Any consideration of criminal history will be conducted on an individualized basis and employment decisions will be made in a nondiscriminatory manner consistent with applicable laws and business necessity. No infectious diseases; seafood allergies may be fatal Number of Hours Per Week: 36 Work Schedule (Start/End time): 4:00 A.M. - 10:30 P.M.</t>
  </si>
  <si>
    <t>H-400-26184-077909</t>
  </si>
  <si>
    <t>Dallas Limestone LLC</t>
  </si>
  <si>
    <t>sales@dallaslimestone.com</t>
  </si>
  <si>
    <t>+19722039816</t>
  </si>
  <si>
    <t>Stone Carver</t>
  </si>
  <si>
    <t>Hand carve stone into detailed architectural elements such as Columns, Fountains, Pavers, Benches, Mantels, Figurines and other products by using chisels and hammers. Job Classification: 51-9195.03 - Stone Cutters and Carvers, Manufacturing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6 Special Requirements: Knowledge of using the chisel and hammer Number of Hours Per Week: 40 Work Schedule (Start/End time): 8:00 A.M. - 5:00 P.M.</t>
  </si>
  <si>
    <t>H-400-26184-077913</t>
  </si>
  <si>
    <t>Fishermans Point Fisheries LLC</t>
  </si>
  <si>
    <t>Jose De Wit</t>
  </si>
  <si>
    <t>fishermanspointfisheries@gmail.com</t>
  </si>
  <si>
    <t>+17868387392</t>
  </si>
  <si>
    <t>Fishing Worker</t>
  </si>
  <si>
    <t>Deploy, haul, and reset lobster and stone crab traps in designated offshore fishing areas using vessel equipment and manual labor. Remove catch from traps and measure to ensure compliance with legal size requirements. Connect accessories such as floats, weights, ropes, and buoys to traps and lines. Load and unload traps and catch by hand or using hoisting equipment. Sort, pack, and store catch aboard the vessel using ice and proper handling procedures. Wash and clean decks and vessel equipment using brushes, detergents, and water. Assist in monitoring navigational and fish-finding equipment during offshore operations. Job duties are performed aboard a commercial fishing vessel during offshore operations. On-land duties are limited to pier-side loading and unloading, and vessel preparation between trips. Job Classification: 45-3031.00 - Fishing and Hunting Workers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12 Special Requirements: No education required. Minimum 12 months experience as Commercial fishing. Stand throughout the shift. Use of: Trap handling and fishing equipment, such as hydraulic winch, lobster and stone crab traps, ice storage containers, deck brushes, and navigational instruments. Basic English skills. Must be able to lift and carry weights sufficient to move traps, catch, and fishing equipment necessary to complete assigned tasks. Must be able to handle equipment at both deck level and overhead rigging height. Duties are performed primarily on board a commercial fishing vessel. Stand throughout the shift. 40 hours per week, 5 days per week. Typical schedule is Monday through Friday, 4:00 AM to 2:00 PM. Schedule may vary and can include evenings, weekends, or holidays, as needed. Employer will rely on workers own representations and observations to assess if worker meets the lifting, standing, and other physical ability requirements stated here. Number of Hours Per Week: 40 Work Schedule (Start/End time): 4:00 A.M. - 2:00 P.M.</t>
  </si>
  <si>
    <t>H-400-26184-077848</t>
  </si>
  <si>
    <t>Dishwasher is responsible to wash and sanitize pots, pans and other kitchen utensils/equipment according to hotel specifications and standards. Clean and maintain equipment and pot washing/kitchen/cafeteria/compactor/storage areas. Assist in washing wares by operating the dishwashing machine. Complete other special cleaning projects as assigned. The Dishwasher purpose is to ensure that the level of service provided to the guest is highly individualized and that each guest feels that their comfort and convenience are the principal concerns of The Gasparilla Inn &amp; Club. Dishwashers may need to lift and carry up to 50 lbs. Job Classification: 35-9021.00 - Dishwashers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Must have or be able to get Service Safe Certification. Special Requirements for the Job: Individuals who did not work for the company within the last 90 days before their new start date must complete pre-employment background check and drug screening. Dishwashers must be able to lift and carry up to 50 lbs. Must have or be able to get ServSafe Certification. Must complete Human Trafficking Training and Blood Borne Pathogens Training upon Hire. On-the-Job Training provided. Will Train. Days and Shifts: Following Shifts available 7 days a week including weekends and holidays. Work hours from: 7:00am-2pm / 9:00am-4:00pm / 3:00pm-10:00pm, shift hours may vary based on the time of the season, daylight, and need. Hourly Wage: $14.92 to $18.50 per hour (based on merit and past experience with our company) Overtime Possible: Overtime may be available at $22.38 to $27.75 per hour. Employees may be eligible to receive additional compensation in the form of a discretionary season-end bonus, as well as service charges- take out. Fringe Benefits: Free employee meals, 5 free uniforms, free transportation for weekly shopping trips, Free GIBA pass if residing off island, free parking. Number of Hours Per Week: 35 Work Schedule (Start/End time): 7:00 A.M. - 2:00 P.M.</t>
  </si>
  <si>
    <t>H-400-26184-077852</t>
  </si>
  <si>
    <t>Front Desk Attendant</t>
  </si>
  <si>
    <t>Front Desk Attendants will be responsible for operating telephones in a polite and friendly manner following proper telephone etiquette, greeting members and guests, assisting with reservations and luggage, distributing The Inn Club information and schedules, and collecting and sorting the mail on a daily basis. Front Desk Attendants may need to lift and carry up to 60 lbs. Job Classification: 43-4081.00 - Hotel, Motel, and Resort Desk Clerks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The petitioner will consider for employment any person who possesses at least three (3) months of guest service experience at a high-end hotel, resort, or private club. Individuals who did not work for the company within the last 90 days before their new start date must complete pre-employment background check and drug screening. Front Desk Attendants must be able to lift and carry up to 60 lbs. Must be able to read, write, and speak English. Must have or be able to get ServSafe Certification. Must complete Human Trafficking Training and Blood Borne Pathogens Training upon Hire. Must have or be able to get CPR/First Aid Certification. On-the-Job Training provided. Will Train. Days and Shifts: Following Shifts are available 7 days a week including weekends and holidays. Work hours from: 7:00am-3:30pm / 11:00am-7:30pm / 3:00pm-11:30pm /11:00pm-7:30am, shift hours may vary based on the time of the season, daylight, and need. Hourly Wage: $18.00 to $23.00 per hour (based on merit and past experience with our company) Overtime Possible: Overtime may be available at $27 to $34.50 per hour. Employees may be eligible to receive additional compensation in the form of a discretionary season-end bonus, as well as servicecharges-take out. Fringe Benefits: Free employee meals, 5 free uniforms, free transportation for weekly shopping trips, Free GIBA pass if residing off island, free parking. Number of Hours Per Week: 35 Work Schedule (Start/End time): 7:00 A.M. - 3:30 P.M.</t>
  </si>
  <si>
    <t>H-400-26184-077857</t>
  </si>
  <si>
    <t>Housekeepers will be responsible for cleaning and maintaining all rooms, suites, villas, and indoor common areas at Gasparilla Inn &amp; Clubs property, which includes vacuuming floors, rearranging furniture, dusting, replenishing linens and towels, disinfecting bathrooms, washing windows, making beds and washing and putting away dirty glasses, kitchen housewares to include silverware, dishes, pots, pans, etc in the Villas, Beach Cottages and Estate Homes. Transport dirty linens by golf cart to laundry department and process all soiled hotel bed linens, terry and food and beverage table linens by in accordance with hotel's standards. Clean, press and finish staff and guest garments, as well as designated guest room fabrics and articles using a handheld residential iron and ironing board. Perform Cyclical Carpet and upholstery cleaning and floor polishing with a Sandia Extraction Carpet Cleaner Machine, Puzzi Upholstery Cleaner Machine, Global Floor Buffer Machine. Assist with tile and grout cleaning by hand with brushes daily while cleaning the bathrooms in guest rooms, suites, and villas. Housekeepers may need to lift and carry up to 80 lbs. Job Classification: 37-2011.00 - Janitors and Cleaners, Except Maids and Housekeeping Cleaners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The petitioner will consider for employment any person who possesses at least three (3) months of experience at a high-end hotel, resort, or private club. Individuals who did not work for the company within the last 90 days before their new start date must complete pre-employment background check and drug screening. Housekeepers must be able to lift and carry up to 80 lbs. Must be able to read, write, and speak English. Must have or be able to attain a driver license if driving golf carts. Must have or be able to get ServSafe Certification. Must complete Human Trafficking Training and Blood Borne Pathogens Training upon Hire. On-the-Job Training provided. Will Train. Days and Shifts: Following Shifts available 7 days a week including weekends and holidays. Work hours from: 7:00am-3:30pm / 8:00am-4:30pm /9:00am-6:00 pm/ 2:00pm-10:30pm/ 3:00pm-11:00pm, shift hours may vary based on the time of the season, daylight, and need. Hourly Wage: $16.54 to $26.00 per hour (based on merit and past experience with our company) Overtime Possible: Overtime may be available at $24.81 to $39.00 per hour. Employees may be eligible to receive additional compensation in the form of a discretionary season-end bonus, as well as servicecharges-take out. Fringe Benefits: Free employee meals, 5 free uniforms, free transportation for weekly shopping trips, Free GIBA pass if residing off island, free parking. Number of Hours Per Week: 35 Work Schedule (Start/End time): 7:00 A.M. - 3:30 P.M.</t>
  </si>
  <si>
    <t>H-400-26184-077861</t>
  </si>
  <si>
    <t>The Housekeeping Supervisor supports the department by ensuring cleanliness of the property in accordance with the Gasparilla Inn &amp; Club standards. This position is considered a non-management position and functions as a room supervisor inspector and will supervise housekeeping laundry employees. Coordinates room readiness with front office and maintenance departments for guest arrivals and service requests. Conducts property, out of service, VIP and cleaned rooms to ensure quality standards are achieved. Inspects Public Areas of the property by golf cart, and inspects and supervises the turndown housekeeping shift and employees. Will contribute knowledge and information to the employee performance evaluations. Ensure proper usage of chemicals and cleaning supplies by monitoring usage, and ensuring proper labelling of hazardous supplies in accordance with the Inn’s hazard communication program. Reports any issues such as furniture, fixtures, decor needs, etc. when there may be a need for replacement on rehabbing to Housekeeping Manager and Director to foster open communications. Answers the Maintenance phone as necessary. Might need to clean, wash or dust occasionally. Job Classification: 37-1011.00 - First-Line Supervisors of Housekeeping and Janitorial Workers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12 Special Requirements: The petitioner will consider for employment any person who possesses at least one (1) year of Housekeeping Supervisor experience at a high-end hotel, resort, or private club. Individuals who did not work for the company within the last 90 days before their new start date must complete pre-employment background check and drug screening. Housekeeping Supervisors must be able to lift and carry up to 80 lbs. Must be able to read, write, and speak English. Must have or be able to attain driver license to drive golf carts. Must have or be able to get ServSafe Certification. Must complete Human Trafficking Training and Blood Borne Pathogens Training upon Hire. Must have or be able to get CPR/First Aid Certification. On-the-Job Training provided. Will Train. Days and Shifts: Following Shifts available 7 days a week including weekends and holidays. Work hours from: 7:00am-3:30pm / 8:00am-4:30pm / 3:00pm-11:00pm, shift hours may vary based on the time of the season, daylight, and need. Hourly Wage: $23.78 to $26.00 per hour (based on merit and past experience with our company) Overtime Possible: Overtime may be available at $35.67 to $39.00 per hour. Employees may be eligible to receive additional compensation in the form of a discretionary season-end bonus, as well as service charges. Fringe Benefits: Free employee meals, 5 free uniforms, free transportation for weekly shopping trips, Free GIBA pass if residing off island, free parking. Number of Hours Per Week: 35 Work Schedule (Start/End time): 7:00 A.M. - 3:30 P.M.</t>
  </si>
  <si>
    <t>H-400-26184-077867</t>
  </si>
  <si>
    <t>Waiters/Waitresses will be responsible for greeting customers, seating customers, setting up the dining areas, taking and placing guest orders in person or over the phone, carrying trays and plates, serving food and beverages, and cleaning and clearing tables. Setting up the dining areas includes set tables with Silverware, glassware, plates, napkins, condiments. Refill salt, pepper, sugar, and station supplies. Polish glassware and silverware. Check table alignment and overall appearance of dining room. Prepare coffee, tea supplies, extra utensils. Review specials, menu changes, and reservations with staff. Maintain table cleanliness, and reset tables, clear tables. Restock supplies for next shift. Waiter/Waitress may need to lift and carry up to 50 lbs. Job Classification: 35-3031.00 - Waiters and Waitresses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The petitioner will consider for employment any person who possesses at least three (3) months of experience in a fine-dining or high-volume environment at a high-end restaurant, resort, or private club. Individuals who did not work for the company within the last 90 days before their new start date must complete pre-employment background check and drug screening. Waiter/Waitress may need to lift and carry up to 50 lbs. Must be able to read, write, and speak English. Must be 18 years old (serving alcohol). Must have or be able to get ServSafe Certification. Must complete Human Trafficking Training and Blood Borne Pathogens Training upon Hire. Must be able to complete Alcohol Compliance Training. On-the-Job Training provided. Will Train. Days and Shifts: Following Shifts available 7 days a week including weekends and holidays. Work hours from: 5:30am-12:30pm / 10:00am-4:00pm / 3:00 pm-11:00 pm, shift hours may vary based on the time of the season, daylight, and need. Hourly wages: The Waiter/Waitress position is considered a tipped position since the position will receive more than $30 a month in tips. However, the employer will not claim a tip credit. In addition to an hourly rate of $11.98, the position is eligible to receive a portion of their wages from service charges (commissions) charged to customers and any tips the employee receives directly from the customer. The company guarantees that each worker will receive enough in hourly pay and service charges (commissions) to earn at least a minimum of $18.95 per hour. Overtime: The service charges the workers receive are considered a commission. Under the FLSA section 207(i) if certain conditions are met the workers are exempt from overtime pay. However, if these conditions are not met, overtime pay will be paid at one and one-half time the regular rate for hours worked over 40 in the workweek, at no less than the guaranteed rate of $18.95 * 1.5 per hour. Employees may be eligible to receive additional compensation in the form of a discretionary season-end bonus, as well as servicecharges. Fringe Benefits: Free employee meals, 5 free uniforms, free transportation for weekly shopping trips, Free GIBA pass if residing off island, free parking. Number of Hours Per Week: 35 Work Schedule (Start/End time): 5:30 A.M. - 12:30 P.M.</t>
  </si>
  <si>
    <t>H-400-26184-077900</t>
  </si>
  <si>
    <t>Great Amusements, Inc.</t>
  </si>
  <si>
    <t>shelleebosley@aol.com</t>
  </si>
  <si>
    <t>+18134776650</t>
  </si>
  <si>
    <t>Perform a variety of duties at traveling carnival, assembling, disassembling &amp; operating amusement rides. May sell tickets &amp; collect fees from customers; provide information about the facilities, rules and regulations; direct patrons to rides, seats or attractions; monitor activities to ensure adherence to rules and safety procedures; provide assistance to patrons entering or exiting amusement rides; clean rides, booths, facilities or grounds; inspect equipment to detect wear and damage and perform minor repairs, adjustments, or maintenance tasks, such as oiling parts; fasten safety devices for patrons, or provide them with directions for fastening devices. Job Classification: 39-3091.00 - Amusement and Recreation Attendants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Post-employment random drug testing and background checks may be required, at no cost to the worker. The job requires the applicant to be qualified, ready, willing, able, and available to perform during the entire employment at the designated worksites; and to follow workplace rules. Number of Hours Per Week: 40 Work Schedule (Start/End time): 1:00 P.M. - 10:00 P.M.</t>
  </si>
  <si>
    <t>H-400-26184-077862</t>
  </si>
  <si>
    <t>Green Land Lawn &amp; Landscaping, LLC</t>
  </si>
  <si>
    <t>Kenneth Schmitt</t>
  </si>
  <si>
    <t>icanmow4u@gmail.com</t>
  </si>
  <si>
    <t>+19136383269</t>
  </si>
  <si>
    <t>Mow, cut, water, edge lawns and trees, rake ad blow leaves, pull and cop weeds, prune and haul topsoil and mulch, plant flowers, shrubs, and trees. Able to lift weight as required to carry and use landscaping equipment and material needed for assigned tasks. Able to tolerate outdoor work temperatures (over 90 degrees and under 32 degrees Fareneit). Worker’s ability to meet these requirements will be determined by worker’s own representations and observation by Employer or Employer’s representative Multiple worksites within MSA. Workers will report each day to 19720 Mission Road, Stilwell, KS 66085. Company will provide daily transportation to and from worksites. Job Classification: 37-3011.00 - Landscaping and Groundskeeping Workers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ABLE TO TOLERATE OUTDOOR WORK TEMPERATURES (OVER 90 DEGREES AND UNDER 32 DEGREES FAHRENHEIT). WORKERS ABILITY TO MEET THESE REQUIREMENTS, WITH OR WITHOUT REASONABLE ACCOMMODATIONS, WILL BE DETERMINED BY WORKERS OWN REPRESENTATIONS AND OBSERVATION BY EMPLOYER OR EMPLOYERS REPRESENTATIVE Number of Hours Per Week: 40 Work Schedule (Start/End time): 8:00 A.M. - 4:30 P.M.</t>
  </si>
  <si>
    <t>H-400-26184-077859</t>
  </si>
  <si>
    <t>Gutierrez Roofing &amp; Construction LLC</t>
  </si>
  <si>
    <t>chicana_mex1988@outlook.com</t>
  </si>
  <si>
    <t>+17083681356</t>
  </si>
  <si>
    <t>Roofing Laborer</t>
  </si>
  <si>
    <t>***RFI Response*** Cover roofs of structures with shingles, slate, asphalt, aluminum, wood, or related materials. May spray roofs, sidings, and walls with material to bind, seal, insulate, or soundproof sections of structures. Remove debris from work sites. Workers will use framing gun, staples gun, hammer, drill, saw, and compressor. The workers will use the following materials: shingles, slate, aluminum, wood, and asphalt for roofing. ***Original F.a.2*** Cover roofs of structures with shingles, slate, asphalt, aluminum, wood, or related materials. May spray roofs, sidings, and walls with material to bind, seal, insulate, or soundproof sections of structures. Remove debris from work sites. Job Classification: 47-2181.00 - Roofers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Must lift/carry 50 pounds, when necessary. Saturday work required, when necessary. Post-employment drug testing required of all workers in the position, both foreign and domestic, upon suspicion of use. Number of Hours Per Week: 40 Work Schedule (Start/End time): 7:00 A.M. - 4:00 P.M.</t>
  </si>
  <si>
    <t>H-400-26184-077917</t>
  </si>
  <si>
    <t>Infinity Jewelry LLC</t>
  </si>
  <si>
    <t>Manju Bhavnani</t>
  </si>
  <si>
    <t>customerservice@infinityjewelry.net</t>
  </si>
  <si>
    <t>+17877883464</t>
  </si>
  <si>
    <t>Jewelry Salesperson</t>
  </si>
  <si>
    <t>Greet each customer warmly and establish a personal connection to enhance the shopping experience; listen to customers to understand their needs and provide tailored product recommendations; leverage product knowledge, selling techniques, and client records to drive successful sales; and maintain display cases and stockroom organization. Shifts will vary Monday through Sunday; 40 hours/week minimum and up to 20 hours/week overtime. Job Classification: 41-2031.00 - Retail Salespersons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6 Special Requirements: Must have 6 months of experience as a high end jewelry salesperson. Minimum age: 18. Number of Hours Per Week: 40 Work Schedule (Start/End time): 9:30 A.M. - 6:30 P.M.</t>
  </si>
  <si>
    <t>H-400-26184-077928</t>
  </si>
  <si>
    <t>KLF Inc.</t>
  </si>
  <si>
    <t>nicki.fotw@gmail.com</t>
  </si>
  <si>
    <t>+19414745343</t>
  </si>
  <si>
    <t>Assist in the set-up and preparation of the kitchen daily. Prepare food items for food outlets according to designed menus, recipes, and sample photographs. Set up line with predetermined place to ensure everything will be ready for service. Prepare food items for Members and guests using a quality predetermined method in a timely and consistent manner. Prepare/Cook all hot and cold food according to recipes, quality standards, presentations standards, and food preparation checklist. Demonstrate safe and proper use of equipment at all times. Perform duties in a safe manner. Reduce kitchen waste. Consult with the Sous Chef daily on Restaurant service. Understand and implement the basic culinary tasks and procedures such as first-in/first-out, labeling and sanitation. Monitor all food quality and presentation while preparing food. Stock and rotate food. Alert the Sous Chef in regard to low inventory items. Work on the line, salad station, and prep station or any other stations as needed. Control the pace of the food orders and set the tone for the ticket flowing process. Test foods to determine if they have been cooked sufficiently. Operate, maintain and properly clean deep fryer, broiler, stove, food processor, oven steam table, and flat top grill. Advise in the preparation of ingredients for cooking, including portioning, chopping, and storing food. Label, date, store and rotate all products while maintaining assigned stock levels. Control food items requested, ensuring stock is maintained without over production. Demonstrate proper production of food items, working efficiently to achieve maximum productivity. Assist in the set-up and break down of workstation. Check and ensure the correctness of the temperature of appliances and food. Follow all company and safety and security policies and procedures. Cut, trim, and bone meats, fish and poultry for cooking as directed. Practice basic sanitation and stock rotation and refrigerator cleanliness; keep all work areas clean and tidy. Proficiently perform duties on cold entree lines, as well as duties involving food preparation as required. Job Classification: 35-2014.00 - Cooks, Restaurant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Basic computer skills. Able to speak/write English clearly legibly. Perform basic math calculations. Talk and/or hear. Frequently lift up to 30 pounds. Use hands/fingers to handle/lift items. Constantly stand/walk/climb or balance, bend, stoop, kneel, crouch or reach with hands/arms. Must be able to stand for extended periods. Must pass pre-employment background check, paid by employer, carried out equally among US workers &amp; H-2B workers. On-the-Job Training provided. Will Train. Days and Shifts: Following Shifts are available 7 days a week including weekends and holidays. Work hours from: 8AM-3PM, 9AM-4PM, 3PM-10PM, 3PM-11PM, 4PM-10PM, 4PM-11PM, 4PM-12AM, 5PM-11PM, shifts based on the time of the season, daylight, and need. Hourly Wage: $19.38 to $27.00 /hr (based on performance on job and culinary degrees) Possible Wage Increase: Raises may be given based on performance on job and culinary degrees. Overtime Possible: Overtime may be available at $29.07 to $40.50/hr. Will require Pre-hire Criminal Background Check. Bonus: Potential Performance based bonus up to $1200. Number of Hours Per Week: 35 Work Schedule (Start/End time): 8:00 A.M. - 3:00 P.M.</t>
  </si>
  <si>
    <t>H-400-26184-077894</t>
  </si>
  <si>
    <t>Kinseth Hotel Corporation</t>
  </si>
  <si>
    <t>recruiter@elementbozeman.com</t>
  </si>
  <si>
    <t>+14065512315</t>
  </si>
  <si>
    <t>Room Attendants</t>
  </si>
  <si>
    <t>DUTIES include: carry linens, towels, toilet items, and cleaning supplies using wheeled carts; clean rooms, hallways, lobbies, lounges, restrooms, corridors, elevators, stairways, locker rooms, and other work areas according to applicable health standards; disinfect equipment and supplies using germicides and/or steam-operated sterilizers; replenish supplies, such as drinking glasses, linens, writing supplies, and bathroom items; clean rugs, carpets, upholstered furniture, and draperies, using vacuum cleaners and shampooers; keep common areas, storage areas, and carts well-stocked, clean, and tidy, and when necessary assist with keeping common areas free of snow and ice. Job Classification: 37-2011.00 - Janitors and Cleaners, Except Maids and Housekeeping Cleaners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Must be able to lift up to 50 pounds and stand or bend for all or most of work shift. Number of Hours Per Week: 40 Work Schedule (Start/End time): 8:00 A.M. - 5:00 P.M.</t>
  </si>
  <si>
    <t>H-400-26184-077866</t>
  </si>
  <si>
    <t>LFM Hospitality Services LLC</t>
  </si>
  <si>
    <t>lfmhospitalityservices@gmail.com</t>
  </si>
  <si>
    <t>+18509195261</t>
  </si>
  <si>
    <t>Fast-food Cooks</t>
  </si>
  <si>
    <t>***2nd RFI response*** Also, ovens (Rapid-cook ovens) for baking items on the menu. This involves not baking items from scratch but rather only to warm pre-made or frozen items using a given time and temperature sequences. ***1st RFI response*** Preparing food items, cooking fast-food proteins as requested from the menu by customers. Using cooking grills such as the flat-top grill for burger meats, Deep fryers for French Frys and fried Fast foods. Also, ovens for baking items on the menu. Spatulas, knives and other kitchen utensils will also be used by workers for food preparation including fresh vegetable preparations and burgers. Workers will be helping to keep the fast-food kitchen setup at high quality and high standards. ***Original*** Preparing food items, cooking fast-food proteins as requested from the menu by customers. Helping to keep the fast-food kitchen setup at high quality and high standards. Job Classification: 35-2011.00 - Cooks, Fast Food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no special requirements needed Number of Hours Per Week: 37 Work Schedule (Start/End time): 8:30 A.M. - 4:30 P.M.</t>
  </si>
  <si>
    <t>H-400-26184-077915</t>
  </si>
  <si>
    <t>Legacy Assets and Associates LLC, Management</t>
  </si>
  <si>
    <t>anthony@rentlm.com</t>
  </si>
  <si>
    <t>+15639406384</t>
  </si>
  <si>
    <t>Painter Helpers</t>
  </si>
  <si>
    <t>Help painters, paperhangers, plasterers by performing duties requiring less skill. Duties include minor wallboard repairs, paint touch ups, using, supplying, installing or holding materials or tools, and cleaning units, common area, and work area and preparing and repairing work area and equipment. Job Classification: 47-3014.00 - Helpers--Painters, Paperhangers, Plasterers, and Stucco Masons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Must be able to lift and carry 75 lbs. for 75 yds and handle temperature extremes. Some weekend work. Number of Hours Per Week: 40 Work Schedule (Start/End time): 8:00 A.M. - 4:30 P.M.</t>
  </si>
  <si>
    <t>H-400-26184-077897</t>
  </si>
  <si>
    <t>+15632756631</t>
  </si>
  <si>
    <t>Janitors</t>
  </si>
  <si>
    <t>Keep units, buildings and grounds in clean and orderly condition. Perform heavy cleaning duties, such as cleaning floors, cleaning bathrooms, shampooing rugs, washing walls and glass, and removing rubbish. Duties may include tending furnaces and boilers, performing routine maintenance activities, notifying management of need for repairs, and cleaning snow or debris from sidewalk. Job Classification: 37-2011.00 - Janitors and Cleaners, Except Maids and Housekeeping Cleaners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Some weekend work. Must be able to lift and carry 75lbs for 75 yds. Must be able to handle temperature extremes. Number of Hours Per Week: 40 Work Schedule (Start/End time): 8:00 A.M. - 4:30 P.M.</t>
  </si>
  <si>
    <t>H-400-26184-077921</t>
  </si>
  <si>
    <t>Lutz's Landscaping, LLC</t>
  </si>
  <si>
    <t>Lutzslandscaping@live.com</t>
  </si>
  <si>
    <t>+14124861957</t>
  </si>
  <si>
    <t>Landscape or maintain grounds of property using hand or power tools or equipment. Workers typically perform a variety of tasks, which may include any combination of the following: sod laying, mowing, mulching, trimming, planting, watering, fertilizing, digging, raking, sprinkler installation, and installation of mortarless segmental concrete masonry wall units. Gather and remove litter. Use hand tools, such as shovels, rakes, pruning saws, saws, hedge or brush trimmers, or axes. Operate vehicles or powered equipment, such as mowers, tractors, twin-axle vehicles, snow blowers, chainsaws, electric clippers, sod cutters, or pruning saws. Water lawns, trees, or plants, using portable sprinkler systems, hoses, or watering cans. Prune or trim trees, shrubs, or hedges, using shears, pruners, or chain saws. Workers may occasionally operate compact wheel loaders and wheel barrows/similar to load, transport, position, and remove landscape materials to assist with the installation of those materials on jobsites. Job Classification: 37-3011.00 - Landscaping and Groundskeeping Workers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Requires three months of previous landscape experience. Must lift/carry 50 lbs., when necessary. Saturday and Sunday work required, when necessary. Employer may offer more than the stated work hours depending on weather, business needs, and other conditions. Extreme heat, cold, rain, or drought may affect exact working hours. Number of Hours Per Week: 35 Work Schedule (Start/End time): 8:00 A.M. - 4:00 P.M.</t>
  </si>
  <si>
    <t>H-400-26184-077929</t>
  </si>
  <si>
    <t>Madison Club Staffing, LLC</t>
  </si>
  <si>
    <t>aallen@discoverylandco.com</t>
  </si>
  <si>
    <t>+13108592531</t>
  </si>
  <si>
    <t>Create and present new ideas to the Executive Chef. Stock the kitchen with raw materials and ingredients on a daily basis. Master all basic cooking methods. Acquire ingredients daily for the assigned station. Help and prepare food items as per standard recipe cards whilst maintaining portion control and minimizing waste. Maintain and clean equipment on a regular basis. Promptly report any hazards, unsafe working conditions, or equipment which requires repair/maintenance. Attend department meetings as necessary. Adhere to all Department of Health food &amp; safety standards. Comply with company and department policies and procedures at all times. Carry out any other duties as and when assigned by the Management of the Hotel and department. Maintain cleanliness and organization of kitchen and storage areas at all times. Execute recipes and follow recipes and all house-made ingredients promptly and efficiently. Plate and present all food accordingly. Demonstrate a sense of urgency for responding to guest needs during all interactions. Perform any other duties as assigned. Job Classification: 35-2014.00 - Cooks, Restaurant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12 Special Requirements: Farm-to-table experience highly desired. Employer will assist in worker obtaining Riverside County Food Handlers Card, including assisting with the cost. Ability to work a flexible schedule, including evenings, weekends, and holiday and a shift greater than eight (8) hours in length. Ability to work in a team environment. Ability to stay calm and focused during the busiest of times. Ability to read, write, speak and understand English; additional languages preferred. Ability to meet the physical demands of the position including, but not limited to, working indoors and outdoors, standing, walking, and moving for periods of greater than four (4) hours, and lifting, carrying, bending, stooping, squatting, reaching, pushing and pulling. Must be able to lift 40 lbs. Each applicant (U.S. and H-2B workers alike) must complete the Employers standard online employment application as part of the hiring process. The application is uniformly required of all candidates and does not impose additional or different requirements on U.S. workers. The workers will be subject to drug testing upon reasonable suspicion, paid by the employer and applied equally to all workers, U.S. and foreign/H-2B. The workers are subject to employment criminal background checks, paid by the employer and applied equally to all workers, U.S. and foreign/H-2B. Number of Hours Per Week: 40 Work Schedule (Start/End time): 7:00 A.M. - 11:00 P.M.</t>
  </si>
  <si>
    <t>H-400-26184-077892</t>
  </si>
  <si>
    <t xml:space="preserve">Madison Club Staffing, LLC </t>
  </si>
  <si>
    <t>Maintain full knowledge of all menu items, beverage items, and wines. Prepare work area for opening, mid-shift, and/or closing duties. Prepare and serve beverages, including those that contain alcohol. Consistently check food orders for accuracy prior to delivering to the table. Follow posted side work during shifts and during non-busy hours. Understand food allergies and communicate when needed. Follow proper food handling procedures per Riverside County Food Handler Certification. Support a safe working environment at all times. Keep products well stocked and organized. Input all food and beverage orders into Jonas for member accounts to be charged. Report to work as scheduled, in uniform, clocked in, and ready to be in position. Follow Club policies and standard operating procedures. Communicate with F&amp;B management to ensure member satisfaction. Greet all members formally by using their surname. Perform additional duties as assigned. Job Classification: 35-3031.00 - Waiters and Waitresses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6 Special Requirements: Six months of fine-dining service experience in high-volume and full-service restaurant, resort, or private club. Current Riverside County Food Handler Card. General competency with point of sale system, Jonas experience preferred. Must be able to carry out instructions furnished in written, oral, or diagram form. Must be able to communicate effectively with members, guest and coworkers. Must be able to work flexible schedules including weekends and holidays. Must be able to remain on feet standing and walking for long periods of time, up to 8 hours. As well as sit, squat, reach, bend, stoop, and twist. Must be able to lift and carry 30lbs. Must be able to work outdoors, exposure to various weather conditions such as heat, cold, wind and rain. Must be able to demonstrate competency as developed in the training schedule. Must be outgoing, friendly, courteous and patient. Maintain a professional appearance and following uniform policies. Each applicant (U.S. and H-2B workers alike) must complete the Employers standard online employment application as part of the hiring process. The application is uniformly required of all candidates and does not impose additional or different requirements on U.S. workers. The workers will be subject to drug testing upon reasonable suspicion, paid by the employer and applied equally to all workers, U.S. and foreign/H-2B. The workers are subject to both employment criminal background checks, paid by the employer and applied equally to all workers, U.S. and foreign/H-2B. Number of Hours Per Week: 40 Work Schedule (Start/End time): 7:00 A.M. - 11:00 A.M.</t>
  </si>
  <si>
    <t>H-400-26184-077902</t>
  </si>
  <si>
    <t>Mount Kailash LLC</t>
  </si>
  <si>
    <t>gary.spectrum@gmail.com</t>
  </si>
  <si>
    <t>+17603092300</t>
  </si>
  <si>
    <t>Jewelry Clerk</t>
  </si>
  <si>
    <t>Greet customers, determine customer needs, utilize product knowledge, selling skills and client files to successfully close transactions; maintain caselines; answer telephone inquiries from customers for new orders, payments, appraisals and/or repairs; and dropbox and email urgent requests to management. Shifts will vary from 9am to 11pm; up to 6 days/week; 40 hours/week minimum and up to 32hours/week overtime. Job Classification: 41-2031.00 - Retail Salespersons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6 Special Requirements: Must have 6 months of sales experience with high end jewelry. Minimum age: 18. Number of Hours Per Week: 40 Work Schedule (Start/End time): 9:00 A.M. - 11:00 P.M.</t>
  </si>
  <si>
    <t>H-400-26184-077911</t>
  </si>
  <si>
    <t>Fine Jewelry Salesperson</t>
  </si>
  <si>
    <t>Greet and make a connection with each customer; actively listen to determine his/her needs and present options to meet those needs; utilize product knowledge of diamonds, sapphires, rubies, emeralds and tanzanite, selling skills, and client file to successfully close transactions; maintain caselines and stock areas. Shifts will vary from 9am to 11pm; up to 6 days/week; 40 hours/week minimum and up to 32hours/week overtime. Job Classification: 41-2031.00 - Retail Salespersons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6 Special Requirements: Must have 6 months of sales experience with high end jewelry including all of the following gemstones: diamonds, sapphires, rubies, emeralds and tanzanite. Minimum age: 18. Number of Hours Per Week: 40 Work Schedule (Start/End time): 9:00 A.M. - 11:00 P.M.</t>
  </si>
  <si>
    <t>H-400-26184-077895</t>
  </si>
  <si>
    <t>PARAMOUNT LANDSCAPE</t>
  </si>
  <si>
    <t>ELIDELOSSANTOS@GMAIL.COM</t>
  </si>
  <si>
    <t>+14404129700</t>
  </si>
  <si>
    <t>Snow Removal Laborers will assist in clearing snow and ice from commercial and residential properties, walkways, entryways, driveways, sidewalks, stairwells, parking areas, and pedestrian paths during snow events. Workers will use a combination of manual tools and powered snow equipment. Duties include: Shovel snow and apply de-icing agents such as salt or sand to surface, operate walk-behind or small ride-on snow removal machines (e.g., single-seat snow throwers, snow blowers, or powered sweepers), clear snow from tight or elevated spaces (e.g., stairs, decks, rooftops when safe), Manually load and carry bags or buckets of de-icing materials (such as salt or calcium chloride), and apply them using hand-held, walkbehind, or backpack spreaders to sidewalks, stairs, and other pedestrian areas to prevent ice buildup and ensure safe footing, maintain equipment by cleaning and refueling; report malfunctions to supervisors, Safely store snow removal tools and de-icing materials on site, and manually transport them between work areas using hand carts, sleds, or by carrying them as needed, follow all site safety protocols, including proper snow disposal procedures, may assist in post-event cleanup or snow relocation efforts. The job will require the worker to be exposed to weather/outdoor, noise, cold temperatures and to wear common protective/safety equipment. The worker must have attention to detail, and be thorough in completing work tasks, cooperative, and responsible. Job Classification: 37-2011.00 - Janitors and Cleaners, Except Maids and Housekeeping Cleaners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The job will require the worker to perform physical activities such as lifting, balancing, walking, bending, stooping, reaching, pushing, pulling, and shoveling. Must be able to lift 50 pounds. Number of Hours Per Week: 35 Work Schedule (Start/End time): 7:00 A.M. - 3:00 P.M.</t>
  </si>
  <si>
    <t>H-400-26184-077854</t>
  </si>
  <si>
    <t>Perez Gulf Seafood Processing</t>
  </si>
  <si>
    <t>pgulfseafoodprocessing26@gmail.com</t>
  </si>
  <si>
    <t>+16507859953</t>
  </si>
  <si>
    <t>Seafood Processing Worker</t>
  </si>
  <si>
    <t>Perez Gulf Seafood Processing seeks thirty-five (35) temporary full-time Seasonal Seafood Processing Workers to perform duties in its seasonal seafood processing plant located in Pierre Part, Louisiana, during the 2026–2027 oyster and shrimp processing season. Employment is temporary and will begin on October 1, 2026, and continue through June 1, 2027. Workers perform duties associated with receiving, unloading, sorting, washing, inspecting, processing, packaging, and preparing oysters and shrimp for commercial distribution. Workers receive raw oysters and shrimp delivered to the processing plant and unload shellfish from delivery trucks using manual handling methods. Workers transfer containers, sacks, or bins of oysters and shrimp to designated processing areas using carts, hand trucks, plastic bins, and pallet jacks when applicable. Workers sort oysters and shrimp by size, quality, and processing requirements, wash shellfish to remove debris, damaged product, shells, and foreign material, and prepare seafood for processing. Workers manually shuck oysters using oyster knives and other appropriate hand tools to open shells and remove oyster meat. Workers inspect oyster meat, remove shell fragments, rinse and clean oyster meat, weigh, grade, package, label, ice, refrigerate, and prepare oysters for commercial distribution. Workers also wash, sort, peel, devein, trim, clean, weigh, package, label, ice, refrigerate, and prepare shrimp for commercial distribution using shrimp peeling tools, trimming knives, and other seafood processing equipment. Additional duties include handling shellfish on processing tables, maintaining refrigerated storage areas, cleaning and sanitizing processing tables, equipment, tools, and work areas, and handling seafood in accordance with all applicable food safety, sanitation, and hygiene standards. Workers use standard seafood processing tools and equipment, including oyster knives, shucking tools, shrimp peeling and deveining tools, trimming knives, cutting boards, processing tables, weighing scales, water hoses, rinsing stations, ice bins, storage containers, packaging materials, carts, hand trucks, and pallet jacks when applicable. The position requires standing for extended periods, repetitive hand movements, frequent lifting, and working in cold, wet, and humid conditions while maintaining product quality, sanitation, and food safety standards. The employer will provide or reimburse inbound transportation and daily subsistence, when required by applicable law, from the place from which the worker comes to work for the employer to the place of employment during the first workweek. Upon completion of the work contract, or if the worker is dismissed earlier, the employer will provide or reimburse the reasonable costs of return transportation and daily subsistence to the place from which the worker originally departed to work for the employer. The employer will also provide return transportation and subsistence to workers who will not return home because they are immediately employed by another H-2B employer, where required by applicable law. The employer will not provide return transportation or subsistence to workers who voluntarily abandon employment or are terminated for cause consistent with applicable law. Job Classification: 53-7062.00 - Laborers and Freight, Stock, and Material Movers, Hand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Workers must have 3 months of work-related experience in a seafood or food processing experience in a seafood processing plant environment; no education required; must be willing to work on a rotating schedule and work in a cold and wet environment; the worker must be willing and able to stand to perform work duties. Number of Hours Per Week: 40 Work Schedule (Start/End time): 10:00 P.M. - 6:00 A.M.</t>
  </si>
  <si>
    <t>H-400-26184-077896</t>
  </si>
  <si>
    <t>Perfect Cuts Commercial Services, LLC</t>
  </si>
  <si>
    <t>Kevin Lashus</t>
  </si>
  <si>
    <t>cason@perfectcutsinc.com</t>
  </si>
  <si>
    <t>+15124535569</t>
  </si>
  <si>
    <t>Remove and trim bushes, dispose of brush, rake and clean up ground and leftover debris, landscape planting, spreading mulch, leaf removal, install rye-grass seed, seasonal landscaping. Job Classification: 37-3011.00 - Landscaping and Groundskeeping Workers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Number of Hours Per Week: 40 Work Schedule (Start/End time): 8:00 A.M. - 5:00 P.M.</t>
  </si>
  <si>
    <t>H-400-26184-077923</t>
  </si>
  <si>
    <t>Popcorn Neal, Inc.</t>
  </si>
  <si>
    <t>carmenkellogg@aol.com</t>
  </si>
  <si>
    <t>+13132156459</t>
  </si>
  <si>
    <t>***2nd RFI response*** Tasks performed on Vehicles: Clean. Tools used: May use Broom, Cloth, Soap. Tasks performed on Industrial Machinery. To clarify, the Industrial Machinery are amusement rides, food concessions trailers and related carnival equipment. Replace defective or worn parts such as light bulbs, switches, belts, hoses &amp; belts. Sand, scrape, clean, surfaces and structures to maintain appearance and prevent rust or deterioration. Tools used: May use the following tools, equipment, and materials while performing assigned duties: Wrenches, socket and ratchet sets, screwdrivers, pliers, hammers, pry bars, measuring tape, adjustable wrenches, sandpaper, pencils &amp; gloves. They will use step ladders, vacuums and cleaning equipment and supplies, such as sponges, rags and soap. Tasks performed on Electrical and Electronic Equipment. To clarify the Electrical and Electronic Equipment will be worked on, these would be the sound systems and control boxes that are included in the Amusement Ride. Tasks would be to clean our dust and debris that may have collected within the system, replace light bulbs, place wire ties or similar restraints on wiring. Tools: May use the following tools, equipment, and materials while performing assigned duties: Wrenches, socket and ratchet sets, screwdrivers, pliers, hammers, pry bars, measuring tape, adjustable wrenches, sandpaper, cans of pressurized air, pencils &amp; gloves. They will use step ladders, vacuums and cleaning equipment and supplies, such as sponges, rags and soap. ***RFI response*** Specific Tasks and tools used to perform those tasks: The workers will assist with the installation, setup, and dismantling of amusement rides, food concession trailers and related carnival equipment. Replace defective or worn parts such as light bulbs, switches, belts, hoses &amp; belts. Sand, scrape, clean trailers, metal surfaces and structures to maintain appearance and prevent rust or deterioration. Check and replace electrical bulbs, sockets, fuse and lighting fixtures as needed. Clean and maintain work areas. Workers may use the following tools, equipment, and materials while performing assigned duties: Wrenches, Socket and ratchet sets, screwdrivers, pliers, hammers, pry bars, measuring tape, adjustable wrenches. They will use ladders, vacuums and cleaning equipment and supplies, such as sponges, rags and soap. Neither Vehicles, Industrial Machinery nor Electrical &amp; Electronic Equipment will be serviced, only amusement rides, food concessions trailers and related carnival equipment. No work will be performed on Diesel Engines. Work will take place at the Carnival “Winter Quarters” where they park their equipment when not on the road. ***Original*** Help installation, maintenance, and repair workers in maintenance, parts replacement, and repair of vehicles, industrial machinery, and electrical and electronic equipment. Perform duties such as furnishing tools, materials and supplies to other workers; cleaning work area, machines, and tools; and holding materials or tools for other workers. Job Classification: 49-9071.00 - Maintenance and Repair Workers, General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Post-employment random drug testing &amp; background checks may be required, at no cost to the worker. The job requires the applicant to be qualified, ready, willing, able, &amp; available to perform during the entire employment at the designated worksite; to enter into &amp; comply with employment contract; to follow workplace rules. Number of Hours Per Week: 35 Work Schedule (Start/End time): 8:00 A.M. - 4:00 P.M.</t>
  </si>
  <si>
    <t>H-400-26184-077941</t>
  </si>
  <si>
    <t>Pride Amusements of Missouri, Inc.</t>
  </si>
  <si>
    <t>slb3811@gmail.com</t>
  </si>
  <si>
    <t>+12198517711</t>
  </si>
  <si>
    <t>***2nd RFI response*** Tasks performed on Vehicles: Clean. Tools used: May use Broom, Cloth, Soap. Tasks performed on Industrial Machinery. To clarify, the Industrial Machinery are amusement rides, food concessions trailers and related carnival equipment. Replace defective or worn parts such as light bulbs, switches, belts, hoses &amp; belts. Sand, scrape, clean, surfaces and structures to maintain appearance and prevent rust or deterioration. Tools used: May use the following tools, equipment, and materials while performing assigned duties: Wrenches, socket and ratchet sets, screwdrivers, pliers, hammers, pry bars, measuring tape, adjustable wrenches, sandpaper, pencils &amp; gloves. They will use step ladders, vacuums and cleaning equipment and supplies, such as sponges, rags and soap. Tasks performed on Electrical and Electronic Equipment. To clarify the Electrical and Electronic Equipment will be worked on, these would be the sound systems and control boxes that are included in the Amusement Ride. Tasks would be to clean our dust and debris that may have collected within the system, replace light bulbs, place wire ties or similar restraints on wiring. Tools: May use the following tools, equipment, and materials while performing assigned duties: Wrenches, socket and ratchet sets, screwdrivers, pliers, hammers, pry bars, measuring tape, adjustable wrenches, sandpaper, cans of pressurized air, pencils &amp; gloves. They will use step ladders, vacuums and cleaning equipment and supplies, such as sponges, rags and soap. ***1st RFI response*** Specific Tasks and tools used to perform those tasks: The workers will assist with the setup, and dismantling for purposes of review and repair of amusement rides, food concession trailers and related carnival equipment. Replace defective or worn parts such as light bulbs, switches, belts, hoses &amp; belts. Sand, scrape, clean trailers, metal surfaces and structures to maintain appearance and prevent rust or deterioration. Check and replace electrical bulbs, sockets, fuse and lighting fixtures as needed. Clean and maintain work areas. Workers may use the following tools, equipment, and materials while performing assigned duties: Wrenches, socket and ratchet sets, screwdrivers, pliers, hammers, pry bars, measuring tape, adjustable wrenches, sandpaper, pencils &amp; gloves. They will use ladders, vacuums and cleaning equipment and supplies, such as sponges, rags and soap. Neither Vehicles, Industrial Machinery nor Electrical &amp; Electronic Equipment will be serviced, only amusement rides, food concessions trailers and related carnival equipment. No work will be performed on Diesel Engines. Work will take place at the Carnival “Winter Quarters” where they park their equipment when not on the road. ***Original*** Help installation, maintenance, and repair workers in maintenance, parts replacement, and repair of vehicles, industrial machinery, and electrical and electronic equipment. Perform duties such as furnishing tools, materials and supplies to other workers; cleaning work area, machines, and tools; and holding materials or tools for other workers. Job Classification: 49-9071.00 - Maintenance and Repair Workers, General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Post-employment random drug testing &amp; background checks may be required, at no cost to the worker. The job requires the applicant to be qualified, ready, willing, able, &amp; available to perform during the entire employment at the designated worksite; to enter into &amp; comply with employment contract; to follow workplace rules. Number of Hours Per Week: 35 Work Schedule (Start/End time): 8:00 A.M. - 4:00 P.M.</t>
  </si>
  <si>
    <t>H-400-26184-077914</t>
  </si>
  <si>
    <t>Rockwall Turf &amp; Sprinkler, Inc.</t>
  </si>
  <si>
    <t>landartofrockwall@gmail.com</t>
  </si>
  <si>
    <t>+19727716025</t>
  </si>
  <si>
    <t>Use power &amp; hand tools to maintain lawns. Mow, cut, water, edge lawns: rake and blow leaves; dig holes and trenches with shovels with a max depth/width of 3 ft to plant; pull, chop weeds, prune and haul topsoil and mulch. Involves loading and unloading tools and supplies and equipment weighing up to 50 lbs. Involves working outdoors in all types of weather. Involves extensive standing, sitting or walking. Involves frequent stooping or bending. Involves repetitive movements. Post Hire/Employer Paid Drug Test. Possibility of vehicle use as needed. Possibility of performance based raise, bonuses, overtime and Saturdays as required. Transportation provided to multiple worksites from central location in Rockwall, TX. 60 minutes of unpaid breaks throughout the day. Daily hours may vary between start and end times listed depending on weather or job assignments. Job Classification: 37-3011.00 - Landscaping and Groundskeeping Workers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None. Number of Hours Per Week: 40 Work Schedule (Start/End time): 8:00 A.M. - 5:00 P.M.</t>
  </si>
  <si>
    <t>H-400-26184-077853</t>
  </si>
  <si>
    <t>Roe Enterprises Inc</t>
  </si>
  <si>
    <t>kim@roeenterprises1.com</t>
  </si>
  <si>
    <t>+16067838529</t>
  </si>
  <si>
    <t>Groundskeeping Helper</t>
  </si>
  <si>
    <t>Employer is seeking full-time temporary workers who will assist senior crew members with the following: tree clearing projects around water and sewer utilities; operating a push or riding lawnmower; removing weeds and dead plants, removing and pruning overgrown limbs and leaves; removing overgrowth and keep outdoor areas tidy; clearing walkways and pedestrian areas after landscape maintenance; keep common areas clear of snow or ice; properly store and maintain all equipment and tools. Job Classification: 37-3011.00 - Landscaping and Groundskeeping Workers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Lift up to 50 pounds and bend or stand for all or most of work shift. Number of Hours Per Week: 40 Work Schedule (Start/End time): 7:00 A.M. - 4:30 P.M.</t>
  </si>
  <si>
    <t>H-400-26184-077920</t>
  </si>
  <si>
    <t>SRS Farm, Inc.</t>
  </si>
  <si>
    <t>srsfarmhiring@gmail.com</t>
  </si>
  <si>
    <t>+14109847512</t>
  </si>
  <si>
    <t>Assist with the daily care of horses and preparation of horses for training/show. Feed/water horse, clean tack, bathe, brush, and clip horse, apply horse boots and prepare horse to be saddled for show. Clean horse's feet, apply/remove leg wraps/boots and saddle for training. Bathe/cool down horse after training/show. Assist veterinarian while performing physical examinations by keeping the horse calm and under control. Assist farriers as they inspect, remove, apply, adjust, and work with horse's hooves and shoes by keeping the horse calm and under control. Clean/re-bed stalls. Hose down horse with cold/warm water. Wrap horse in brace or poultice bandages as necessary. Job Classification: 39-2021.00 - Animal Caretakers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Ability to lift 150lbs with assistance. 48 HOURS PER WEEK. SCHEDULE AND HOURS MAY VARY BASED ON SHOW SCHEDULE AND WEATHER CONDITIONS. OVERTIME HOURS WILL VARY. TRAVEL TO HORSE SHOW LOCATIONS WITHIN MARION COUNTY, FLORIDA. POST-HIRE RANDOM DRUG TESTING AT EMPLOYER'S EXPENSE. Number of Hours Per Week: 48 Work Schedule (Start/End time): 7:30 A.M. - 4:30 P.M.</t>
  </si>
  <si>
    <t>H-400-26184-077890</t>
  </si>
  <si>
    <t>Sandoval Masonry Inc</t>
  </si>
  <si>
    <t>SandovalMasonry@gmail.com</t>
  </si>
  <si>
    <t>Stonemason Helper</t>
  </si>
  <si>
    <t>DUTIES include: apply caulk, sealants, or other agents to installed surfaces; apply grout between joints of bricks or tiles, using grouting trowels; arrange or store materials, machines, tools, or equipment; clean installation surfaces, equipment, tools, work sites, or storage areas, using water, chemical solutions, oxygen lances, or polishing machines; correct surface imperfections or fill chipped, cracked, or broken bricks or tiles, using fillers, adhesives, or grouting materials; cut materials to specified sizes for installation, using power saws or tile cutters; erect scaffolding or other installation structures; locate and supply materials to masons for installation; mix mortar, plaster, and grout, manually or using machines, according to standard formulas; modify material moving, mixing, grouting, grinding, polishing, or cleaning procedures, according to installation or material requirements; move or position materials such as marble slabs, assisting team members using cranes, hoists, or dollies; provide assistance in the preparation, installation, repair, or rebuilding of tile, brick, or stone surfaces; remove damaged tile, brick, or mortar, and clean or prepare surfaces, using pliers, hammers, chisels, drills, wire brushes, or metal wire anchors; remove excess grout or residue from tile or brick joints, using sponges or trowels; transport materials, tools, or machines to installation sites, manually, or using conveyance equipment. Job Classification: 47-2021.00 - Brickmasons and Blockmasons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Must be able to lift up to 75 pounds, and stand or bend for all or most of work shift. Number of Hours Per Week: 40 Work Schedule (Start/End time): 7:00 A.M. - 4:30 P.M.</t>
  </si>
  <si>
    <t>H-400-26184-077935</t>
  </si>
  <si>
    <t>Shangrila LLC</t>
  </si>
  <si>
    <t>Provide one-on-one consultations for high-value jewelry clients. Showcase curated selections of exclusive pieces under the company brand Passions by Gary K. Provide in-depth explanations and answer client inquiries regarding the unique characteristics of gemstones, including diamonds, sapphires, rubies, emeralds, and tanzanite — covering aspects like hardness, value, origin, durability, price trends, rarity, and more. Effectively close sales and update client files. Shifts will vary from 9am to 9pm; up to 6 days/week; 40 hours/week minimum and up to 32hours/week overtime. Workers will be assigned daily to work at our main location at 4620 Arville Street, Suite F, Las Vegas, NV 89103 and/or various kiosks/booths/pop-up shops within the same area of intended employment in the county/township and BLS area Clark County of Las Vegas-Henderson-Paradise, NV. Job Classification: 41-2031.00 - Retail Salespersons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6 Special Requirements: Must have 6 months of sales experience with high end jewelry including all of the following gemstones: diamonds, sapphires, rubies, emeralds and tanzanite. Minimum age: 18. Number of Hours Per Week: 40 Work Schedule (Start/End time): 9:00 A.M. - 9:00 P.M.</t>
  </si>
  <si>
    <t>H-400-26184-077930</t>
  </si>
  <si>
    <t>Greet customers, determine customer needs, utilize product knowledge, selling skills and client files to successfully close transactions; maintain caselines; answer telephone inquiries from customers for new orders, payments, appraisals and/or repairs; and dropbox and email urgent requests to management. Shifts will vary from 9am to 9pm; up to 6 days/week; 40 hours/week minimum and up to 32hours/week overtime. Workers will be assigned daily to work at our main location at 4620 Arville Street, Suite F, Las Vegas, NV 89103 and/or various kiosks/booths/pop-up shops within the same area of intended employment in the county/township and BLS area Clark County of Las Vegas-Henderson-Paradise, NV. Job Classification: 41-2031.00 - Retail Salespersons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6 Special Requirements: Must have 6 months of sales experience with high end jewelry. Minimum age: 18. Number of Hours Per Week: 40 Work Schedule (Start/End time): 9:00 A.M. - 9:00 P.M.</t>
  </si>
  <si>
    <t>H-400-26184-077850</t>
  </si>
  <si>
    <t>Silvis Group, Inc.</t>
  </si>
  <si>
    <t>cfligger@silvisgroup.com</t>
  </si>
  <si>
    <t>+17245475268</t>
  </si>
  <si>
    <t>Worker will be required to perform a variety of landscaping tasks focused on fall and early winter operations, including but not limited to leaf removal, seasonal cleanup, pruning, and preparation of properties for winter dormancy and the upcoming spring season. Duties will include clearing leaves and debris, cutting back perennials and shrubs, removing dead or damaged plant material, and preparing lawns, garden beds, and landscaped areas for winter conditions. The worker will perform winter cutbacks and seasonal preparation for spring, including clearing landscape beds and stabilizing soil and plant areas to prevent erosion and damage during colder months. The worker will perform installation, maintenance, and winterization of irrigation systems, including blowing out lines, shutting down systems, and protecting components from freezing temperatures. As late-season weather conditions require, the worker may perform incidental snow removal from walkways, driveways, landscaped areas, and work areas using shovels, snow blowers, or similar equipment to maintain access and protect landscape materials. Additional duties include pruning and seasonal plant care for shrubs, trees, flowers, and other plant materials to ensure proper health and regrowth in the next season. The worker will also assist with installation and maintenance of landscape features, including sprinkler irrigation systems and mortarless segmental concrete masonry wall units, as needed during the fall installation period. The worker will utilize hand tools and power equipment such as leaf blowers, hedge trimmers, pruning shears, edgers, and shovels to complete assigned tasks. Limited general landscaping tasks such as mowing, trimming, and planting may be performed as needed, but the primary focus of the position is seasonal cleanup, winterization, and preparation activities. The worker may be required to demonstrate how to perform an assignment to other employees at a supervisor's request. Job Classification: 37-3011.00 - Landscaping and Groundskeeping Workers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Three months of experience required. Must be able to lift/carry 50 lbs. Availability to work on weekends when needed. Each applicant (U.S. and H-2B workers alike) must complete the Employers standard online employment application as part of the hiring process. The application is uniformly required of all candidates and does not impose additional or different requirements on U.S. workers. The workers will be subject to Employer-paid drug testing before commencing work, post-hire at random, upon suspicion of use, and post-accident, which is applied equally to all workers, U.S. and foreign/H-2B. Post-hire background checks and employment eligibility (e-Verify) checks are required for foreign and domestic workers. Number of Hours Per Week: 35 Work Schedule (Start/End time): 7:00 A.M. - 3:30 P.M.</t>
  </si>
  <si>
    <t>H-400-26184-077873</t>
  </si>
  <si>
    <t>Superior Landscape &amp; Maintenance Specialists Inc</t>
  </si>
  <si>
    <t>rafaelazuara@cox.net</t>
  </si>
  <si>
    <t>+12256103131</t>
  </si>
  <si>
    <t>Pulling weeds by hand, mowing grass with mowers, edging by hand and with edger, using rakes, hoe, manual shovel, spreading mulch by hand, blower, cleaning up debris in work area, applying herbicides, fertilizer, watering planting/removal of varies types of plants (seasonal color, annuals, shrubs, trees etc.), preparing flowerbeds and yards for irrigation of lawns, spreading mulch, soil and weeding by hand, mowing, edging, stringing, trimming, pruning, fertilizing, diseases, and insect control, maintain drainage and irrigation. Use and maintain equipment and tools (ex: shovels, hoes, trimmers, mowers, weed eater, etc.(when time allows) Minor maintenance on equipment, maintain a clean work area, remove trash/debris Job Classification: 37-3011.00 - Landscaping and Groundskeeping Workers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ABLE TO BEND, REACH TO GROUND LEVEL OR OVERHEAD, STAND, WALK, KNEEL FOR LONG PROLONGED PERIOD OF TIME, ABLE TO LIFT UP TO 50LBS, ABLE TO WORK IN ALL-WEATHER CONDITION FROM EXTREME HEAT, COLD OR RAIN. ABLE TO WORK WEEKENDS ONCE HIRED WORKER MAY BE REQUIRED TO TAKE A RANDOM DRUG TEST, AT NO COST TO WORKER. TESTING POSITIVE OR FAILURE TO COMPLY MAY RESULT IN TERMINATION HAVING ALLERGIES TO FERTILIZER, DUST, PESTICIDE, INSECT SPRAY AND RELATED CHEMICALS COULD AFFECT WORKERS ABILITY TO WORK. Anticipated Days and Hours Work Per Week -The standard work schedule is from 7:00 am until 4:00 pm Monday through Friday; Saturday and Sunday work required, when necessary, Employer will offer 35 Hours per work week- Overtime is offered but not guaranteed - Employer may offer more hours than the stated work hours, depending on weather, business needs and other conditions. Extreme Heat, cold, rain, may affect exact Number of Hours Per Week: 35 Work Schedule (Start/End time): 7:00 A.M. - 4:00 P.M.</t>
  </si>
  <si>
    <t>H-400-26184-077856</t>
  </si>
  <si>
    <t>THE ENDURANCE GROUP</t>
  </si>
  <si>
    <t>VIC@EGPROS.COM</t>
  </si>
  <si>
    <t>+16145304545</t>
  </si>
  <si>
    <t>Snow Removal Laborers will assist in clearing snow and ice from commercial and residential properties, walkways, entryways, driveways, sidewalks, stairwells, parking areas, and pedestrian paths during snow events. Workers will use a combination of manual tools and powered snow equipment. Duties include: Shovel snow and apply de-icing agents such as salt or sand to surface, operate walk-behind or small ride-on snow removal machines (e.g., single-seat snow throwers, snow blowers, or powered sweepers), clear snow from tight or elevated spaces (e.g., stairs, decks, rooftops when safe), Manually load and carry bags or buckets of de-icing materials (such as salt or calcium chloride), and apply them using hand-held, walk-behind, or backpack spreaders to sidewalks, stairs, and other pedestrian areas to prevent ice buildup and ensure safe footing, maintain equipment by cleaning and refueling; report malfunctions to supervisors, Safely store snow removal tools and de-icing materials on site, and manually transport them between work areas using hand carts, sleds, or by carrying them as needed, follow all site safety protocols, including proper snow disposal procedures, may assist in post-event cleanup or snow relocation efforts. The job will require the worker to be exposed to weather/outdoor, noise, cold temperatures and to wear common protective/safety equipment. The worker must have attention to detail, and be thorough in completing work tasks, cooperative, and responsible. Job Classification: 37-2011.00 - Janitors and Cleaners, Except Maids and Housekeeping Cleaners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The job will require the worker to perform physical activities such as lifting, balancing, walking, bending, stooping, reaching, pushing, pulling, and shoveling. Must be able to lift 50 pounds. Number of Hours Per Week: 35 Work Schedule (Start/End time): 7:00 A.M. - 3:00 P.M.</t>
  </si>
  <si>
    <t>H-400-26184-077884</t>
  </si>
  <si>
    <t>Tenshi Seafood (USA) Inc.</t>
  </si>
  <si>
    <t>tenshiseafoodusa@gmail.com</t>
  </si>
  <si>
    <t>+17782976122</t>
  </si>
  <si>
    <t>Seafood Processing Labor</t>
  </si>
  <si>
    <t>Unload crabs from delivery vehicles and transport them manually to holding tanks or the processing area. Inspect seafood for quality, removing any dead or undersized crabs according to company standards. Weigh crabs, record accurate weights, and pack them in Styrofoam boxes with gel packs. Sort crabs by size and grade based on company specifications. Label packed seafood products clearly and accurately for tracking and distribution. Load labeled boxes onto designated carts or storage areas for local delivery or export. Maintain strict quality control to ensure all seafood meets freshness and safety standards. Monitor and record water tank and freezer temperatures regularly to preserve seafood quality. Clean and sanitize workstations, tanks, and tools daily according to food safety regulations. Move supplies and packaging materials throughout the facility manually or using hand-operated tools as needed. Job Classification: 53-7062.00 - Laborers and Freight, Stock, and Material Movers, Hand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6 Special Requirements: Complete pre-employment background check; provide at least one reference for prior work experience; be able to lift heavy objects Number of Hours Per Week: 35 Work Schedule (Start/End time): 9:00 A.M. - 4:00 P.M.</t>
  </si>
  <si>
    <t>H-400-26184-077860</t>
  </si>
  <si>
    <t>The Scottsdale Co.</t>
  </si>
  <si>
    <t>Benjamin Snyder</t>
  </si>
  <si>
    <t>steve@linvilleridge.com</t>
  </si>
  <si>
    <t>+18282606227</t>
  </si>
  <si>
    <t>Perform fall-and-winter season landscaping maintenance and repair work, such as: helping winterize irrigation systems; spreading weed, pest, and disease prevention applications; covering greens and other cold-weather vulnerable vegetation; removing snow with snow blowers and shovels; pruning and trimming trees, shrubs, and hedges, and other similar tasks. Prepare flower beds for winter by trimming, clearing, and covering. Assist with various landscaping repair and improvement projects while member and guest traffic is low. Load and unload utility trailers. Keep landscaping tools and equipment maintained and organized. Job Classification: 37-3011.00 - Landscaping and Groundskeeping Workers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Must have or be able to obtain a state driver's license. Must be able to lift and carry at least 50 lbs. Number of Hours Per Week: 53 Work Schedule (Start/End time): 6:30 A.M. - 3:30 P.M.</t>
  </si>
  <si>
    <t>H-400-26184-077937</t>
  </si>
  <si>
    <t>The Stratton Corporation</t>
  </si>
  <si>
    <t>humanresources@stratton.com</t>
  </si>
  <si>
    <t>+18022974106</t>
  </si>
  <si>
    <t>Housekeeper (10 Month)</t>
  </si>
  <si>
    <t>Responsible for cleaning and maintaining all rooms, suites, and indoor common areas at Stratton Mountain Resort, which includes vacuuming floors, dusting, replenishing linens and towels, disinfecting bathrooms, and washing windows. Job Classification: 37-2012.00 - Maids and Housekeeping Cleaners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Three (3) months of housekeeping experience at a high-end hotel, resort, or private club required. On-the-Job Training provided. Will Train. Days and Shifts: Following Shifts are available 7 days a week including weekends and holidays. Work hours from: 6:00am-1:00pm, 7:00am-2:00pm, 8:00am-3:00pm, 12:00pm-7:00pm, shifts based on the time of the season, daylight, and need. Hourly Wage: $20.00 to $23.00 per hour (Based on merit, experience and lead roles) Overtime Possible: Overtime may be available at $30.00 to $34.50 per hour. Possible Wage Increase: Raises may be given based on merit, experience and lead roles. Bonus: Gratuities possible Fringe Benefits: Meal and retail discounts, free ski lift pass. Number of Hours Per Week: 35 Work Schedule (Start/End time): 6:00 A.M. - 1:00 P.M.</t>
  </si>
  <si>
    <t>H-400-26184-077934</t>
  </si>
  <si>
    <t>Vista Turf LLC</t>
  </si>
  <si>
    <t>lstice@vistaturflawns.com</t>
  </si>
  <si>
    <t>+14693338873</t>
  </si>
  <si>
    <t>Use power &amp; hand tools to maintain lawns. Rake and blow leaves; dig holes using hand tools with a max depth/width of 24 in to plant; prune and haul topsoil and mulch. Involves loading and unloading tools and supplies and equipment weighing up to 50 lbs. Involves working outdoors in all types of weather. Involves extensive standing, sitting or walking. Involves frequent stooping or bending. Involves repetitive movements. Possibility of performance based raise, bonuses, overtime and Saturdays as required. Transportation provided to multiple worksites from central location in Midlothian, TX. 60 minutes of unpaid breaks throughout the day. Daily hours may vary between start and end times listed depending on weather or job assignments. Job Classification: 37-3011.00 - Landscaping and Groundskeeping Workers The job/industry classification and description includes general information on the position from ONET/OES and the North American Industry Classification System. Please review Job Duties and Job Order for more information. Job Requirements Experience Required: No Number of Hours Per Week: 40 Work Schedule (Start/End time): 7:00 A.M. - 5:00 P.M.</t>
  </si>
  <si>
    <t>H-400-26184-077916</t>
  </si>
  <si>
    <t>Wade Shows, Inc.</t>
  </si>
  <si>
    <t>Joanna@wadeshowsinc.com</t>
  </si>
  <si>
    <t>+17342661668</t>
  </si>
  <si>
    <t>H-400-26184-077086</t>
  </si>
  <si>
    <t>Skyviews of America, LLC</t>
  </si>
  <si>
    <t>info@skyviewsmiami.com</t>
  </si>
  <si>
    <t>Amusement Worker</t>
  </si>
  <si>
    <t>Perform a variety of attending duties at amusement or recreation facility. Sell and collect tickets/fees, assist patrons, operate/attend amusement booths, rides, and games, sell and prepare food. Simple Carnival type food is prepared using pre-frozen and pre-packaged items that are cooked/heated, and assembled such as corn dogs, hot dogs, sausages. Using proper safety precautions and sanitary measures operate large-volume cooking equipment, such as grills, deep-fat fryers, griddles or hot plates. Wash, cut, and prepare foods designated for cooking using knives or slicers. Following simple specified instructions: Set up-and take down the booth, this consists of opening the awnings and closing them. No tools are needed. Replenish food, paper products, or prizes as needed. Using basic cleaning supplies and following proper safety precautions and sanitary measures ensure all items are cleaned and stored in a specified safe manner for transportation. Check for any food service equipment not working properly and report to maintenance personnel for repair or replacement. For example, watch for damage to electrical cords and report issues as needed. Assist patrons in getting into rides, inform patron to fasten belt, bar, or other safety device. Ensure safety at all times. Operate the control console to start and stop the ride. Attend games by explaining the rules of the games, assist in playing the games (such as handing a patron a ball to throw or ring to toss), retrieving and providing prizes for winners at games. Hours, schedule and days vary – Sample shift 10:00am – 7:00pm with 1-hour unpaid break; 40 hrs./wk., extra hours may be required or available, may include weekends and holidays (i.e., hours, days, schedule, location, and work positions) vary. Work needs are not guaranteed per day, per week, per schedule, per location, or per worker, e.g., rainouts, brief periods without scheduled events, event dates and hours set by agreement with sponsor and subject to change and unforeseen cancellations. $15.60 an hour. No overtime is expected, but if work necessitating OT occurs, it will be paid in accordance with applicable Federal, State, and Local laws. May increase wages for performance/tenure or changes in market conditions. Weekly pay, single workweek used for computing wages. Employer will provide workers at no charge all tools, supplies and equipment required to perform job. Required uniform provided at no cost to worker. Job Classification: 39-3091.00 - Amusement and Recreation Attendants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The job requires that the applicant be qualified, ready, willing, able, and available to perform during the entire employment at the designated worksites under adverse weather; to enter into and comply with employment contracts; to follow workplace rules; and to meet job performance standards. Must comply with grooming requirements and dress code. Subject to discharge for cause. Must be willing to work up to 7days/wk. Post-employment/post-injury or incident and reasonable suspicion drug test required, cost paid by employer and applied equally to all workers, US and foreign/H2B. Applicants must cooperate with and complete job application and interview truthfully. Number of Hours Per Week: 40 Work Schedule (Start/End time): 10:00 A.M. - 7:00 P.M.</t>
  </si>
  <si>
    <t>H-400-26184-077939</t>
  </si>
  <si>
    <t>Wisconsin Building Supply - US LBM, LLC</t>
  </si>
  <si>
    <t>mike.petrina@wibuildingsupply.com</t>
  </si>
  <si>
    <t>+19204965094</t>
  </si>
  <si>
    <t>Winter Woodworking Machine Operator</t>
  </si>
  <si>
    <t>Set-up, tend and operate woodworking machines or assist with tasks associated with woodworking machines to assemble wall panels or trusses. Sorting, moving, fastening, and positioning lumber. Clean-up site. Winter duties include basic snow removal around work areas and entrances, clearing walkways and workspaces to maintain safe access, removing ice buildup as needed, and assisting with general clean-up and simple support tasks. Job Classification: 51-7042.00 - Woodworking Machine Setters, Operators, and Tenders, Except Sawing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three (3) months of production or related experience. Must be able to lift seventy-five (75) lbs. for 75 yards. Must be able to pass employer-paid pre-employment, post-accident, and other random drug testing. Number of Hours Per Week: 40 Work Schedule (Start/End time): 7:00 A.M. - 3:30 P.M.</t>
  </si>
  <si>
    <t>H-400-26184-077858</t>
  </si>
  <si>
    <t>Yaadtz PA LLC</t>
  </si>
  <si>
    <t>Hasmik Vardanyan</t>
  </si>
  <si>
    <t>hiringatyaadtz@gmail.com</t>
  </si>
  <si>
    <t>+18434677829</t>
  </si>
  <si>
    <t>Clean guest rooms, bathrooms, and common areas. Change bed linens and make beds. Replenish towels and toiletries. Sweep, mop, vacuum, and dust rooms and hallways. Dispose of trash. Report damage or maintenance issues to management. Restock cleaning supplies. Assist with laundry, including washing, drying, and folding linens. Follow health and safety regulations. Respond to guest requests for additional supplies. Job Classification: 37-2012.00 - Maids and Housekeeping Cleaners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No Special Requirements Number of Hours Per Week: 35 Work Schedule (Start/End time): 8:00 A.M. - 4:00 P.M.</t>
  </si>
  <si>
    <t>H-400-26184-077952</t>
  </si>
  <si>
    <t>AJ Pool Plastering, LLC</t>
  </si>
  <si>
    <t>info@ajpoolplastering.com</t>
  </si>
  <si>
    <t>+12033802656</t>
  </si>
  <si>
    <t>Interior Pool Plasterer</t>
  </si>
  <si>
    <t>Mix &amp; carry plaster, apply and cure plaster to pools, clean work areas &amp; equipment. Additional duties may include light facility/equipment maintenance &amp; inventory. Involves loading and unloading tools and supplies and equipment weighing up to 90 lbs. Involves working outdoors in all types of weather. Involves extensive standing, sitting or walking. Involves frequent stooping or bending. Involves repetitive movements.. Advance pay if needed, vehcile available for work and personal use, free housing, utilities at employees own expense. Possibility of performance based raise, bonuses, overtime and Saturdays as required. Transportation provided to multiple worksites from central location in Stratford, CT. 60 minutes of unpaid breaks throughout the day. Daily hours may vary between start and end times listed depending on weather or job assignments. Job Classification: 47-2161.00 - Plasterers and Stucco Masons The job/industry classification and description includes general information on the position from ONET/OES and the North American Industry Classification System. Please review Job Duties and Job Order for more information. Job Requirements Experience Required: No Number of Hours Per Week: 40 Work Schedule (Start/End time): 7:00 A.M. - 5:00 P.M.</t>
  </si>
  <si>
    <t>H-400-26184-077963</t>
  </si>
  <si>
    <t>+14129481020</t>
  </si>
  <si>
    <t>H-400-26184-077947</t>
  </si>
  <si>
    <t>dcrisi-couchenour@americantextile.com</t>
  </si>
  <si>
    <t>H-400-26184-077970</t>
  </si>
  <si>
    <t>BGOMEZ@AMERICANTEXTILE.COM</t>
  </si>
  <si>
    <t>H-400-26184-077983</t>
  </si>
  <si>
    <t>Affordable Interior Systems, Inc.</t>
  </si>
  <si>
    <t>brianm@panpacificsourcing.com</t>
  </si>
  <si>
    <t>+19788750869</t>
  </si>
  <si>
    <t>Workers will load the assembly line, assemble chairs with rivet gun and glides, assemble desks and tables with the use of a screw gun, and ensure that all work assembled meet an acceptable standard. Each Assembler will package chairs, desks, and tables and prepare for shipment. Job Classification: 51-2092.00 - Team Assemblers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Must be able to read and write and have a GED or foreign equivalent. The workers will be subject to drug testing upon reasonable suspicion, paid by the employer and applied equally to all workers, U.S. and foreign/H-2B. The workers are subject to employment criminal background checks, paid by the employer and applied equally to all workers, U.S. and foreign/H-2B. Number of Hours Per Week: 45 Work Schedule (Start/End time): 7:30 A.M. - 3:30 P.M.</t>
  </si>
  <si>
    <t>H-400-26184-078006</t>
  </si>
  <si>
    <t>Alejandro's SJ LLC</t>
  </si>
  <si>
    <t>Nataly Mualem</t>
  </si>
  <si>
    <t>alejandroscompany@icloud.com</t>
  </si>
  <si>
    <t>+18043861058</t>
  </si>
  <si>
    <t>The Cook prepares and cooks traditional Mexican food in a full-service restaurant according to established recipes and food safety standards. Duties include preparing meats, rice, beans, sauces, and salsas using raw ingredients by washing, cutting, chopping, seasoning, measuring, mixing, boiling, frying, grilling, and cooking food. The Cook may also prepare seasonal or specialty menu items and uses pre-made ingredients, such as tortillas, as part of meal assembly. Responsibilities include maintaining ingredient quality, monitoring proper cooking and storage temperatures, using standard kitchen tools and equipment safely, and keeping work areas clean and sanitary in compliance with health and safety regulations. Job Classification: 35-2014.00 - Cooks, Restaurant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6 Special Requirements: Must be able to lift and carry 25 pounds for 10 yards, must be able to stoop and bend. Number of Hours Per Week: 40 Work Schedule (Start/End time): 3:00 P.M. - 10:00 P.M.</t>
  </si>
  <si>
    <t>H-400-26184-077961</t>
  </si>
  <si>
    <t>BENNY AND SONS PINE STRAW LLC</t>
  </si>
  <si>
    <t>efrenacosta2024@gmail.com</t>
  </si>
  <si>
    <t>+13866883124</t>
  </si>
  <si>
    <t>Workers will perform duties associated with and directly related to pine straw harvest, Including but not limited to, choosing 7 rows of pines, picking up sticks and using a rake to rake the straw and make a large pile, then bailing the pine straw and compating the straw with a shovel. The employer will provide all tools, supplies, and equipment necessary to perform the job at no cost to the worker. In order to perform the tasks the worker will utilize essential tools such as but not limited to: Pine straw rake, pitchfork, shovel, leaf blowers, box baler, bailing twine, work gloves, eye and hearing protection, sturdy work boots. The workers will obtain the pine straw from pine fields. The workers activities every year, along the employment period are remove grass, shrubs, cones, and other debris from the baling rows. Every fifth or sixth row can be used as a debris row to keep the baling rows cleared. The workers will then rake pine needles by hand into windrows in the center of the baling rows. They need to be sure to exclude insects, weeds, and debris from the pine straw windrows to ensure high-quality straw to the customers that requested the product. The baler should follow the raker down the windrows with a box baler, packing the bales into the baler and ensuring the twine is tight enough to hold the straw bales, sometimes this is difficult, the key to baling is the ability to wrap twine around the straw to hold it together, the employer offers training post hire and assist the workers whenever is neccesary. When the pine straw bales are tightly packaged and dry, the workers need to haul the bales on trailers or to a storage facility. Job Classification: 37-3011.00 - Landscaping and Groundskeeping Workers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THE WORKER NEEDS TO KNOW HOW TO RAKE AND BALE PINESTRAW PROPERLY, NEEDS TO BE IN GOOD SHAPE TO MAKE REPETITIVE MOVES, BEND DOWN SEVERAL TIMES, EXTENSIVE PUSHING AND PULLING, EXTENSIVE WALKING ARE IMPLIED BUT NOT LIMITED TO. APPLICANTS MUST: *HAVE NO PHYSICAL LIMITATIONS. *MUST BE ABLE FOR EXTENSIVE, STOOPING, WALKING, PUSHING AND PULLING. *MUST BE ABLE TO LIFT 60/80 LBS. *APPLICANTS MUST BE ABLE TO BALE 120 BALES PER DAY. *APPLICANTS MUST BE ABLE TO BE EXPOSED TO EXTREME TEMPERATURES OR OTHER WEATHER CONDITIONS. *MINIMUM AGE REQUIREMENT 18 YEARS OLD. *THE EMPLOYER WILL PROVIDE 2 DAYS OF TRAINING POST HIRE. Number of Hours Per Week: 36 Work Schedule (Start/End time): 7:30 A.M. - 2:30 P.M.</t>
  </si>
  <si>
    <t>H-400-26184-077997</t>
  </si>
  <si>
    <t>Belmont Capital, LLC</t>
  </si>
  <si>
    <t>gphenneger@belmontllc.com</t>
  </si>
  <si>
    <t>+18288985737</t>
  </si>
  <si>
    <t>Concessions Worker</t>
  </si>
  <si>
    <t>Take customer food and beverage orders, answer questions, and address routine concerns. Operate a cash register or point-of-sale system to complete sales transactions. Stock concession items. Clean and sanitize counters, kitchen areas, and food service spaces. Prepare daily food and beverage items using proper food-safety and sanitation practices. Keep displayed products clean and organized, and provide courteous customer service. Belmont Capital, LLC is the foodservice operations management provider for Sugar Mountain Ski Resort. The work will take place in the Ski Resort Lodge cafeteria and other counter-service locations and concessions stands on the premises of Sugar Mountain Resort in Banner Elk, North Carolina. The workers will stock bags of chips, sandwiches, and condiments. They will refill ice coolers. They will also stock prepared foods such as baked good, French-fries, hamburgers, sausages/hotdogs, and other already prepared foods to their stations manually to be available for guest purchase. These tasks are performed by hand. Tools are not necessary. The workers will compile sandwiches and wraps; Wrap premade items in plastic wrap such as muffins, cookies, and pastries; Set cups at the drink station; and fill a cooler with water. Proper food-safety and sanitation includes: Washing hands; Wearing gloves while prepping food; and ensuring food has proper expiration labels. The workers will not drive any vehicles for work related purposes. Job Classification: 35-3023.00 - Fast Food and Counter Workers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Must be able to lift/carry at least 25 pounds. Must be able to obtain a state driver's license. Number of Hours Per Week: 35 Work Schedule (Start/End time): 6:00 A.M. - 11:00 P.M.</t>
  </si>
  <si>
    <t>H-400-26184-077974</t>
  </si>
  <si>
    <t>Best Season Landscaping LLC</t>
  </si>
  <si>
    <t>natomiranda@yahoo.com</t>
  </si>
  <si>
    <t>+14404763865</t>
  </si>
  <si>
    <t>**RFI** The snow removal duties are performed using shovels, snow shovels, push brooms, ice chippers, hand spreaders, backpack blowers, snow blowers, and similar hand tools and small equipment. Employees may also apply salt, sand, or ice melt products using hand-held spreaders. **Original** Keep buildings and grounds in clean and orderly condition. Perform heavy cleaning duties, such as cleaning floors, shampooing rugs, washing walls and glass, and removing rubbish. Duties may include tending furnace and boiler, performing routine maintenance activities, notifying management of need for repairs, and cleaning snow or debris from sidewalks and parking lots. Job Classification: 37-2011.00 - Janitors and Cleaners, Except Maids and Housekeeping Cleaners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Must be able to lift 75 lbs for 75 yards, tolerate temperature extremes and outdoor work. Frequent bending and lifting. Number of Hours Per Week: 40 Work Schedule (Start/End time): 8:00 A.M. - 5:00 P.M.</t>
  </si>
  <si>
    <t>H-400-26184-077967</t>
  </si>
  <si>
    <t>Beus Landscaping</t>
  </si>
  <si>
    <t>msutton@simplifiedlandscape.com</t>
  </si>
  <si>
    <t>+18016031213</t>
  </si>
  <si>
    <t>Snow Laborer</t>
  </si>
  <si>
    <t>Sidewalk shoveling, shovel accumulated deposits of snow on an ongoing basis in extreme weather conditions on various properties, operate snowblower. Lifting required up to 50 lbs. Job Classification: 37-2011.00 - Janitors and Cleaners, Except Maids and Housekeeping Cleaners The job/industry classification and description includes general information on the position from ONET/OES and the North American Industry Classification System. Please review Job Duties and Job Order for more information. Job Requirements Experience Required: No Number of Hours Per Week: 40 Work Schedule (Start/End time): 8:00 A.M. - 4:00 P.M.</t>
  </si>
  <si>
    <t>H-400-26184-077980</t>
  </si>
  <si>
    <t>Castlerock Construction and Concrete, Inc.</t>
  </si>
  <si>
    <t>amy@castlerockcci.com</t>
  </si>
  <si>
    <t>+16052030292</t>
  </si>
  <si>
    <t>Snow Cleaners</t>
  </si>
  <si>
    <t>Removing snow and ice mitigation is performed daily for site access and safety reasons. It entails primarily less-skilled manual labor including shoveling, sweeping, or using snow blowers to move excess snow from the construction site. Most areas where work is actually being performed must be cleaned manually because larger equipment will not fit, is too heavy or too large and powerful and may risk damaging current construction. On rare occasions, more skilled workers may use trucks with a snow-blade and/or a skid loader for larger areas and/or site ingress and egress areas. The snow cleaners will have to store, maintain and place the chains on the truck and skid loader tires when conditions are slick from snow and ice. Snow shelters are used on concrete construction sites to keep the temperatures high so that concrete can properly set when the outside temperatures are cold. Snow shelters are erected by snow cleaners under the supervision of the foremen, using basic materials such as two-inch by four-inch or four-inch by four-inch lumber that is fastened together temporarily and covered with reinforced plastic or canvas. Once covered, diesel heaters will pump warm air through hoses into the shelters long enough for the concrete to properly set. The snow shelters are erected following a basic, repetitious pattern and the lumber is preserved and used again if possible. Snow cleaners will also cover concrete with water hoses, heavy blankets and tarps to keep the concrete warm and prevent damage from snow, ice and moisture accumulation. likewise, the snow cleaners will take the hoses, blankets and tarps off when the concrete is properly set. On a regular basis, the workers will have to manually shovel and sweep the snow off the tarps and blankets first before removing them when the snow accumulates on top of them. All of the materials used to remove snow and keep the construction site and concrete clean and warm is the responsibility of the workers to maintain. Thus, all heaters, chains, blankets, tarps, shovels, sweeps, snow blowers, reinforced plastic, canvas, lumber, hoses, pumps and the shelters for storage must be maintained, cleaned and organized by the snow cleaners. Overall site cleanliness is the responsibility of snow cleaners during the snow and cold weather months. Job Classification: 47-4051.00 - Highway Maintenance Workers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Ability to lift and carry up to 50 pounds. Prolonged standing, walking on slippery surfaces, and navigating large areas. Frequent bending, stooping, kneeling, pushing, and pulling heavy equipment. Climbing ladders, manual dexterity for handling tools, and operating machinery. Endurance for extended periods in various weather conditions, including cold and wet environments. Number of Hours Per Week: 40 Work Schedule (Start/End time): 8:00 A.M. - 5:00 P.M.</t>
  </si>
  <si>
    <t>H-400-26184-077951</t>
  </si>
  <si>
    <t>Christmas Decor of Charleston, Inc.</t>
  </si>
  <si>
    <t>06/03/2027</t>
  </si>
  <si>
    <t>kelly@pls6.com</t>
  </si>
  <si>
    <t>+18432168445</t>
  </si>
  <si>
    <t>Holiday Decorators</t>
  </si>
  <si>
    <t>Assist with assembling and installing exterior seasonal decorations; attach low voltage lights, garland, wreaths and other decorations to windows, doors and eaves. Remove decorations at end of the season. Clean, place into storage containers. Dispose of trash. May assist with cleaning exterior of homes and businesses in preparation of holiday season. Workers are NOT 49-9099.01 Geothermal Technicians - they are outdoor laborers. No Experience/No educ. 5 days on the job training provided See attached addendum Job Classification: 49-9099.00 - Installation, Maintenance, and Repair Workers, All Other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Lift/carry up to 50 pounds. Employer paid drug test is Post Accident, Random. The employer may conduct lawful, job-related screening of applicants, including inquiries into criminal history, where permitted by applicable federal, state, and local laws. Any consideration of criminal history will be conducted on an individualized basis and employment decisions will be made in a nondiscriminatory manner consistent with applicable laws and business necessity. Number of Hours Per Week: 35 Work Schedule (Start/End time): 7:30 A.M. - 4:30 P.M.</t>
  </si>
  <si>
    <t>H-400-26184-077966</t>
  </si>
  <si>
    <t>Complete Lawn Specialists, Inc.</t>
  </si>
  <si>
    <t>langendorf@hurley.law</t>
  </si>
  <si>
    <t>+19377462622</t>
  </si>
  <si>
    <t>1. Duty: Remove snow from sidewalks, driveways, or parking areas The employee will use manual snow removal tools only, such as snow shovels, brooms, pushers, and hand-held or walk-behind salt spreaders. No motorized snow plows, ride-on equipment, or powered snow blowers will be used. The work involves clearing walkways and entry paths around commercial properties to maintain safe pedestrian access. 2. Duty: Clean facilities or sites The employee will perform routine janitorial cleaning of indoor and outdoor common areas of commercial properties, including: Sweeping, mopping, and vacuuming floors Emptying trash cans and removing litter Removing leaves, small debris, and snow from outdoor entryways and sidewalks using hand tools “Facilities or sites” refers to interior and exterior areas of commercial buildings, including offices, lobbies, restrooms, retail facilities, walkways, entrances, and storage spaces. No landscaping, construction, or repair tasks are performed. 3. Requirement: Frequent bending, stooping, kneeling, pushing, and pulling heavy equipment This refers to normal physical activity associated with janitorial work. The “heavy equipment” includes: Rolling mop buckets filled with water (approximately 30–35 lbs) Walk-behind floor scrubbers or vacuums Trash bins or supply carts These items are pushed or pulled manually during cleaning duties. 4. Requirement: Climbing ladders, manual dexterity for handling tools, and operating machinery Climbing ladders: Employees may occasionally use a 6-8 foot step ladder to reach high windows, gutters, or shelves. Manual dexterity: Workers use basic cleaning tools such as spray bottles, mops, squeegees, trash pickers, and refillable dispensers. Machinery operated: Employees may operate manual or walk-behind janitorial machines, such as: Commercial vacuum cleaners Walk-behind floor polishers or buffers These machines are used for cleaning floors and surfaces. No riding, powered snow plows, or landscaping machinery is used. Job Classification: 37-2011.00 - Janitors and Cleaners, Except Maids and Housekeeping Cleaners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Ability to lift and carry up to 50 pounds. Prolonged standing, walking on slippery surfaces, and navigating large areas. Frequent bending, stooping, kneeling, pushing, and pulling heavy equipment. Climbing ladders, manual dexterity for handling tools, and operating machinery. Endurance for extended periods in various weather conditions, including cold and wet environments. Number of Hours Per Week: 40 Work Schedule (Start/End time): 8:00 A.M. - 5:00 P.M.</t>
  </si>
  <si>
    <t>H-400-26184-077958</t>
  </si>
  <si>
    <t>Cubby, Inc.</t>
  </si>
  <si>
    <t>ann.son@me.com</t>
  </si>
  <si>
    <t>+18436191608</t>
  </si>
  <si>
    <t>Laundry &amp; Dry Cleaning Workers</t>
  </si>
  <si>
    <t>Workers will mark articles, sort, wash, dry, iron, fold and wrap clothes and linens. Workers will load, remove and process laundry and dry leaning. Will sort items according to their supervisor's instructions: operate or tend washing or dry-cleaning machines to wash or dry-clean industrial articles, such as table cloths, draperies and fine linens; workers will prepare the same for pick up. There are two dry-cleaning locations within 10 feet of each other. Second work location is 707 Long Point Road, Mt. Pleasant, SC in Charleston County. No Experience/No educ. See attached addendum Job Classification: 51-6011.00 - Laundry and Dry-Cleaning Workers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Lift/carry up to 35 pounds. Employer paid drug test is Random. The employer may conduct lawful, job-related screening of applicants, including inquiries into criminal history, where permitted by applicable federal, state, and local laws. Any consideration of criminal history will be conducted on an individualized basis and employment decisions will be made in a nondiscriminatory manner consistent with applicable laws and business necessity. Number of Hours Per Week: 35 Work Schedule (Start/End time): 7:00 A.M. - 2:00 P.M.</t>
  </si>
  <si>
    <t>H-400-26184-078008</t>
  </si>
  <si>
    <t>E&amp;C Disposal, LLC</t>
  </si>
  <si>
    <t>ERICKA LOPEZ</t>
  </si>
  <si>
    <t>uscompany.email@gmail.com</t>
  </si>
  <si>
    <t>+18307768794</t>
  </si>
  <si>
    <t>Helpers, Installation, Maintenance, and Repair Workers</t>
  </si>
  <si>
    <t>Help to collect the construction trash, heavy-duty waste and recyclable materials onto the designated dumpster location. Select and recycle construction material as yard waste, drywall, roofing shingles and concrete. Help truck drivers to deliver and install, clean and empty dumpsters, trash carts, bins or portable toilets in designated locations such construction jobsites, commercial and residential locations. Empty waste and recycling containers into the dumpsters from designated locations. Help to secure and cover loaded materials to prevent from falling during transportation. Maintain dumpsters, trash carts, bins or portable toilets of every construction, commercial or residential location by cleaning and repairing them. Will use pressure water to clean the dumpsters, trash carts, bins and portable toilets. Help to clean lots after complete demolition of structures, houses or buildings by collecting all waste and put it in the dumpsters. Clean construction jobsites during and after construction. Job Classification: 47-2061.00 - Construction Laborers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"1hr Lunch Break" Number of Hours Per Week: 40 Work Schedule (Start/End time): 8:00 A.M. - 5:00 P.M.</t>
  </si>
  <si>
    <t>H-400-26184-077996</t>
  </si>
  <si>
    <t>Earthscapes Lawn and Land Service</t>
  </si>
  <si>
    <t>trey@earthscapesvb.com</t>
  </si>
  <si>
    <t>+17576190844</t>
  </si>
  <si>
    <t>The employee(s) will perform traditional landscaping services. These tasks will include but are not limited to mowing, edging, debris cleanup, and blowing. The employee(s) will also assist in landscape installations and renovations; this may include plants, flowers, fountain, and related work. The employees may work with and have some maintenance responsibilities for a deck lawn mower, push mowers, leaf/grass blowers, weedeaters, hedge trimmers, and potentially other landscaping tools and equipment. They may also use hand tools, such as shovels, rakes, pruning saws, saws, hedge or brush trimmers, or axes. Job Classification: 37-3011.00 - Landscaping and Groundskeeping Workers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Ability to lift and carry up to 50 pounds. Prolonged standing, walking on slippery surfaces, and navigating large areas. Frequent bending, stooping, kneeling, pushing, and pulling heavy equipment. Climbing ladders, manual dexterity for handling tools, and operating machinery. Endurance for extended periods in various weather conditions, including cold and wet environments. Number of Hours Per Week: 45 Work Schedule (Start/End time): 8:00 A.M. - 5:00 P.M.</t>
  </si>
  <si>
    <t>H-400-26184-077949</t>
  </si>
  <si>
    <t>Education Services of Alaska</t>
  </si>
  <si>
    <t>aerrcsupport@alaskaacsa.org</t>
  </si>
  <si>
    <t>+18002527522</t>
  </si>
  <si>
    <t>School Counselor</t>
  </si>
  <si>
    <t>Provide social services and assistance to improve the social and psychological functioning of students and their families and to maximize the academic functioning of children. Responsible for coordinating and implementing a comprehensive school counseling program to include academic advisement, personal/social counseling, career development, and parent/community involvement. Provides an ongoing program of individual, small group, and large group counseling services in the areas of academic advisement, career awareness, and social/personal development per the national standards established by the American School Counselor Association. Consults and works collaboratively with administrators, teachers, school personnel, district personnel, parents, and various community agencies to meet the counseling and educational planning needs of students, including schoolwide needs. Collaborates with teachers, parents, and school administrators to develop plans and strategies to improve students' academic performance and social development. Interprets and utilizes school records, including cognitive, aptitude, and achievement tests, for educational planning. Reviews and evaluates student records and transcripts. Addresses individual student needs and refers students to appropriate school and community resources as necessary. Meet with families to discuss issues such as access to special education resources or frequent absences. Provides preventive and responsive services, including crisis counseling as needed, and addresses student mental health needs as appropriate. Facilitates the involvement of parents in the education of their students, including assisting in parent/teacher/counselor conferences. Assists students in developing self-understanding, self-acceptance, and effective interpersonal skills. Provides information about appropriate community resources. Performs and other duties as assigned. Works under the supervision of the Lead Special Education Teacher. Job Classification: 21-1012.00 - Educational, Guidance, and Career Counselors and Advisors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Bachelors or foreign degree equivalent in Social Work, Counseling, Psychology or a related field is required. Workdays and Schedule: Monday through Friday, 8am to 4pm, including hour duty free lunch break. Employer will offer at least (no less than) 40 hours per week. Number of Hours Per Week: 40 Work Schedule (Start/End time): 8:00 A.M. - 4:00 P.M.</t>
  </si>
  <si>
    <t>H-400-26184-077971</t>
  </si>
  <si>
    <t>Erica's Lawn Care Company</t>
  </si>
  <si>
    <t>Kenneth SCHMITT</t>
  </si>
  <si>
    <t>oseguera0224@gmail.com</t>
  </si>
  <si>
    <t>+16189474999</t>
  </si>
  <si>
    <t>Landscape and maintain grounds of property using hand and/or power tools or equipment. Workers will perform a variety of tasks to maintain various landscape structures and designs which structures and designs include existing lawns, flower beds, existing trees and tree planters and buildings around which lawns are located. Work will include sod laying, planting, mowing, trimming, watering, fertilizing, digging, raking, and maintenance of existing plantings and landscape and removal of old or dead plantings. Position requires good hand/eye coordination and ability to lift weight as required to carry and use landscaping equipment and material needed for assigned tasks, such as trimmers, mowers, blowers, fertilizer, mulch, and new shrubs and trees and other plants and equipment. Employer will rely on the representations of potential worker and Employer's observations to determine if worker meets physical requirements of this position. Able to tolerate outdoor work temperature expected in the St. Louis MO/IL MSA Area (over 90 degrees and under 32 degrees Fahrenheit possible). Job Classification: 37-3011.00 - Landscaping and Groundskeeping Workers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REQUIREMENTS: NO MINIMUM EDUCATION/EXPERIENCE REQUIRED. ABLE BODIED TO USE COMMERCIAL MOWERS, LEAF BLOWERS, CHAIN SAWS, SMALLER TRACTORS, ELECTRIC CLIPPERS, SOD CUTTERS AND PRUNING SAWS AND OTHER LANDSCAPING MECHANICAL EQUIPMENT. NO TRAINING PROVIDED, GOOD HAND/EYE COORDINATION; ABLE TO LIFT WEIGHT AS REQUIRED TO CARRY AND USE LANDSCAPING EQUIPMENT AND MATERIAL; MUST BE ABLE TO TOLERATE TEMPERATURE EXTREMES CONSISTENT WITH WORKING OUTSIDE IN A WIDE VARIETY OF WEATHER CONDITIONS THROUGHOUT THE YEAR IN SOUTHWESTERN ILLINOIS AND ST. LOUIS MSA ( 90+ DEG F TO UNDER 32 DEG F); EMPLOYER WILL RELY ON WORKER REPRESENTATIONS THAT THEY ARE ABLE TO MEET THE PHYSICAL REQUIREMENTS. WITH OR WITHOUT REASONABLE ACCOMMODATIONS, TO PERFORM WORK AND ON EMPLOYERS OBSERVATIONS. Number of Hours Per Week: 40 Work Schedule (Start/End time): 7:00 A.M. - 3:30 P.M.</t>
  </si>
  <si>
    <t>H-400-26184-077985</t>
  </si>
  <si>
    <t>Gaston Street LLC</t>
  </si>
  <si>
    <t>ccwalker2012@gmail.com</t>
  </si>
  <si>
    <t>+19723423981</t>
  </si>
  <si>
    <t>Care for children in private households and provide support and expertise to parents in satisfying children's physical, emotional, intellectual, and social needs. Duties may include meal planning and preparation, laundry and clothing care for the children, organization of play activities and outings, discipline, intellectual stimulation, language activities, and transportation. Job Classification: 39-9011.01 - Nannies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Must be able to lift 30 pounds. Some weekend work required. Number of Hours Per Week: 40 Work Schedule (Start/End time): 6:30 A.M. - 7:00 P.M.</t>
  </si>
  <si>
    <t>H-400-26184-077995</t>
  </si>
  <si>
    <t>Grand Junction Holiday Lighting, Inc.</t>
  </si>
  <si>
    <t>gogreen@liquigreenlawn.com</t>
  </si>
  <si>
    <t>+19702561928</t>
  </si>
  <si>
    <t>Install holiday decor, lighting, and banners at various jobsites. Utilize tools such as zip ties, hammers, drills, nails, screws, utility hook to facilitate installation as necessary. Set up and work from ladders and/or lifts when required. Locate, report, and troubleshoot power issues related to lighting or lit decor. Job Classification: 49-9099.00 - Installation, Maintenance, and Repair Workers, All Other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Must be able to lift and carry 50 lbs. Number of Hours Per Week: 40 Work Schedule (Start/End time): 7:00 A.M. - 4:00 P.M.</t>
  </si>
  <si>
    <t>H-400-26184-077950</t>
  </si>
  <si>
    <t>Green Up Lawncare LLC</t>
  </si>
  <si>
    <t>brad.davis@greenuplawns.com</t>
  </si>
  <si>
    <t>+12257563905</t>
  </si>
  <si>
    <t>Use hand/power tools to maintain lawns, dig holes and trenches using hand tools with a max depth/width of 6 in to install sprinkler systems and/or plant, lay sod &amp; plant. Involves extensive standing, loading and unloading tools, supplies and equipment. May operate motorized vehicles, specifically a John Deere Z930M Ztrak but may also include Chevy Silverado 2500, Isuzu NPR HD, Chevy Express 3500 Van, Ford Transit Connect, Ford E350 SD or a Ford Ranger. Workers are only eligible to drive a truck if they have a valid drivers license. Involves loading and unloading tools and supplies and equipment weighing up to 50 lbs. Involves working outdoors in all types of weather. Involves extensive standing, sitting or walking. Involves frequent stooping or bending. Involves repetitive movements.. Optional housing, utilities and transportation for work and personal use provided if available, at $80 per week (subject to change based on local market and inflation). Possibility of performance based raise, bonuses, overtime and Saturdays as required. Transportation provided to multiple worksites from central location in Prairieville, LA. 60 minutes of unpaid breaks throughout the day. Daily hours may vary between start and end times listed depending on weather or job assignments. Job Classification: 37-3011.00 - Landscaping and Groundskeeping Workers The job/industry classification and description includes general information on the position from ONET/OES and the North American Industry Classification System. Please review Job Duties and Job Order for more information. Job Requirements Experience Required: No Number of Hours Per Week: 40 Work Schedule (Start/End time): 8:00 A.M. - 5:00 P.M.</t>
  </si>
  <si>
    <t>H-400-26184-077084</t>
  </si>
  <si>
    <t>Skyviews R80 XL, LLC</t>
  </si>
  <si>
    <t>Perform a variety of attending duties at amusement or recreation facility. Sell and collect tickets/fees, assist patrons, operate/attend amusement booths, rides, and games, sell and prepare food. Simple Carnival type food is prepared using pre-frozen and pre-packaged items that are cooked/heated, and assembled such as corn dogs, hot dogs, sausages. Using proper safety precautions and sanitary measures operate large-volume cooking equipment, such as grills, deep-fat fryers, griddles or hot plates. Wash, cut, and prepare foods designated for cooking using knives or slicers. Following simple specified instructions: Set up-and take down the booth, this consists of opening the awnings and closing them. No tools are needed. Replenish food, paper products, or prizes as needed. Using basic cleaning supplies and following proper safety precautions and sanitary measures ensure all items are cleaned and stored in a specified safe manner for transportation. Check for any food service equipment not working properly and report to maintenance personnel for repair or replacement. For example, watch for damage to electrical cords and report issues as needed. Assist patrons in getting into rides, inform patron to fasten belt, bar, or other safety device. Ensure safety at all times. Operate the control console to start and stop the ride. Attend games by explaining the rules of the games, assist in playing the games (such as handing a patron a ball to throw or ring to toss), retrieving and providing prizes for winners at games. Hours, schedule and days vary – Sample shift 10:00am – 7:00pm with 1-hour unpaid break; 40 hrs./wk., extra hours may be required or available, may include weekends and holidays (i.e., hours, days, schedule, location, and work positions) vary. Work needs are not guaranteed per day, per week, per schedule, per location, or per worker, e.g., rainouts, brief periods without scheduled events, event dates and hours set by agreement with sponsor and subject to change and unforeseen cancellations. $17.81/hr. No overtime is expected, but if work necessitating OT occurs, it will be paid in accordance with applicable Federal, State, and Local laws. May increase wages for performance/tenure or changes in market conditions. Weekly pay, single workweek used for computing wages. Employer will provide workers at no charge all tools, supplies and equipment required to perform job. Required uniform provided at no cost to worker. Job Classification: 39-3091.00 - Amusement and Recreation Attendants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The job requires that the applicant be qualified, ready, willing, able, and available to perform during the entire employment at the designated worksites under adverse weather; to enter into and comply with employment contracts; to follow workplace rules; and to meet job performance standards. Must comply with grooming requirements and dress code. Subject to discharge for cause. Must be willing to work up to 7days/wk. Post-employment/post-injury or incident and reasonable suspicion drug test required, cost paid by employer and applied equally to all workers, US and foreign/H2B. Applicants must cooperate with and complete job application and interview truthfully. Number of Hours Per Week: 40 Work Schedule (Start/End time): 10:00 A.M. - 7:00 P.M.</t>
  </si>
  <si>
    <t>H-400-26184-077987</t>
  </si>
  <si>
    <t>HIBBERT HOSPITALITY INTERNATIONAL</t>
  </si>
  <si>
    <t>MARK CARCHIDI</t>
  </si>
  <si>
    <t>HIBBERTO92@GMAIL.COM</t>
  </si>
  <si>
    <t>+17747126509</t>
  </si>
  <si>
    <t>Industrial Launderers</t>
  </si>
  <si>
    <t>WILL TRAIN TO OPERATE AND TEND WASHING AND DRY-CLEANING MACHINES TO WASH/DRY AND DRY CLEAN GARMENTS, SHEETS, BLANKETS, TOWELS, FINE LINENS, TABLECLOTHS, NAPKINS. SPECIALIZING IN HOSPITALITY SERVICES. SHIFT REQUIRED TO WORK IS: 8AM - 4PM, 5 DAYS PER WEEK, 40 HOURS PER WEEK. OVERTIME MAY BE AVAILABLE. Job Classification: 51-6011.00 - Laundry and Dry-Cleaning Workers The job/industry classification and description includes general information on the position from ONET/OES and the North American Industry Classification System. Please review Job Duties and Job Order for more information. Job Requirements Experience Required: No Number of Hours Per Week: 40 Work Schedule (Start/End time): 8:00 A.M. - 4:00 P.M.</t>
  </si>
  <si>
    <t>H-400-26184-077957</t>
  </si>
  <si>
    <t>JENSEN TUNA INC</t>
  </si>
  <si>
    <t>info@jensentuna.com</t>
  </si>
  <si>
    <t>+19858688809</t>
  </si>
  <si>
    <t>Fish Cutter/trimmers</t>
  </si>
  <si>
    <t>Use hand or hand tools to perform routine cutting and trimming of seafood. Package seafood into containers by placing cleaned/cut fish into trays. Includes weighing portions, vacuum sealing, and stacking finished packages onto pallets or racks. Employees will regularly stretch across processing tables, conveyor belts, or boat hulls to reach fish and supplies. Tools and supplies may include knives, gloves, ice bins, packaging film, and cartons. Unload tuna and swordfish for processing, unload boxes, and reload packaged product onto pallets for shipping. Involves loading and unloading tools and supplies and equipment weighing up to 50 lbs. Involves working outdoors in all types of weather. Involves frequent stooping or bending. Possibility of performance based raise, bonuses, overtime and Saturdays as required. 60 minutes of unpaid breaks throughout the day. Daily hours may vary between start and end times listed depending on weather or job assignments. Job Classification: 53-7062.00 - Laborers and Freight, Stock, and Material Movers, Hand The job/industry classification and description includes general information on the position from ONET/OES and the North American Industry Classification System. Please review Job Duties and Job Order for more information. Job Requirements Experience Required: No Number of Hours Per Week: 40 Work Schedule (Start/End time): 5:00 A.M. - 1:00 P.M.</t>
  </si>
  <si>
    <t>H-400-26184-077976</t>
  </si>
  <si>
    <t>Knott's Land Care, LLC</t>
  </si>
  <si>
    <t>doug@knottslandcare.com</t>
  </si>
  <si>
    <t>+16036895030</t>
  </si>
  <si>
    <t>Perform manual snow removal and janitorial services for commercial properties, including clearing sidewalks, walkways, driveways, parking areas, and entry paths using hand tools such as snow shovels, brooms, pushers, and hand-held or walk-behind salt spreaders to maintain safe pedestrian access. Duties also include routine cleaning of interior and exterior common areas, such as offices, lobbies, restrooms, retail spaces, entrances, walkways, and storage areas by sweeping, mopping, vacuuming, emptying trash, removing litter, and clearing small debris or snow. The position requires frequent bending, stooping, kneeling, pushing, and pulling of janitorial equipment including mop buckets, floor scrubbers, vacuums, supply carts, and trash bins, as well as occasional use of step ladders to clean high windows, gutters, or shelves. Workers must use manual dexterity to operate standard cleaning tools and walk-behind cleaning machines, including commercial vacuums, floor polishers, and buffers. No landscaping, construction, repair work, motorized snow removal equipment, or ride-on machinery is involved. Job Classification: 37-2011.00 - Janitors and Cleaners, Except Maids and Housekeeping Cleaners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Must be able to lift and carry 75 lbs of snow for 75 yards and be able to handle temperature extremes. Some weekend work. Number of Hours Per Week: 50 Work Schedule (Start/End time): 8:00 A.M. - 5:00 P.M.</t>
  </si>
  <si>
    <t>H-400-26184-077990</t>
  </si>
  <si>
    <t>LOCAL ROOTS LANDSCAPING, LLC</t>
  </si>
  <si>
    <t>rob@localrootslandscaping.com</t>
  </si>
  <si>
    <t>+14129774616</t>
  </si>
  <si>
    <t>H-400-26184-077986</t>
  </si>
  <si>
    <t>brian@olaughlininc.com</t>
  </si>
  <si>
    <t>Maintenance and Repair Workers</t>
  </si>
  <si>
    <t>Workers will perform routine maintenance and minor repairs on equipment at ready-mix concrete facilities and worksites located in Shelbina, MO (499 N 4th St, Shelby County). Work is performed outdoors and in equipment yards. Specific equipment includes: Electric motors and drives powering conveyor belts, mixers, and aggregate systems Cement batch plant components (mixers, silos, bins, belts, water systems) Skid steers, generators, air compressors, and light towers Routine tasks involve inspecting motors, replacing filters, checking fluid levels, lubricating parts, and diagnosing equipment malfunctions using hand tools and meters. The duties align with SOC code 49-9071.00 – Maintenance and Repair Workers, General. Work is performed daily on-site. The President will oversee worksite activities. Perform routine maintenance, such as inspecting drives, motors, or belts, checking fluid levels, replacing filters, or doing other preventive maintenance actions. Inspect, operate, or test machinery or equipment to diagnose machine malfunctions.Respond promptly to maintenance requests, assessing repair needs and determining the necessary tools and materials for completion.Perform general maintenance, such as inspecting drives, motors, or belts, checking fluid levels, replacing filters, or doing other preventive actions. Report issues to supervisors and recommending maintenance solutions. Use hand tools, power tools, and equipment safely and according to company policies and OSHA standards. Maintain a clean and organized workspace, ensuring compliance with safety standards and regulations. Document work performed and parts used in maintenance logs for accurate records and reporting. Job Classification: 49-3042.00 - Mobile Heavy Equipment Mechanics, Except Engines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Ability to lift up to 50 pounds and stand, walk, or bend for extended periods. Comfortable working in various conditions, including confined spaces, heights, and different weather environments. Number of Hours Per Week: 40 Work Schedule (Start/End time): 8:00 A.M. - 4:00 P.M.</t>
  </si>
  <si>
    <t>H-400-26184-077992</t>
  </si>
  <si>
    <t>MORRIS LAWN &amp; LANDSCAPE INC.</t>
  </si>
  <si>
    <t>mowerman1996@gmail.com</t>
  </si>
  <si>
    <t>+18122905002</t>
  </si>
  <si>
    <t>1. Duty: Remove snow from sidewalks, driveways, or parking areas The employee will use manual snow removal tools only, such as snow shovels, brooms, pushers, and hand-held or walk-behind salt spreaders. No motorized snow plows, ride-on equipment, or powered snow blowers will be used. The work involves clearing walkways and entry paths around commercial properties to maintain safe pedestrian access. 2. Duty: Clean facilities or sites The employee will perform routine janitorial cleaning of indoor and outdoor common areas of commercial properties, including: Sweeping, mopping, and vacuuming floors Emptying trash cans and removing litter Removing leaves, small debris, and snow from outdoor entryways and sidewalks using hand tools “Facilities or sites” refers to interior and exterior areas of commercial buildings, including offices, lobbies, restrooms, retail facilities, walkways, entrances, and storage spaces. No landscaping, construction, or repair tasks are performed. 3. Requirement: Frequent bending, stooping, kneeling, pushing, and pulling heavy equipment This refers to normal physical activity associated with janitorial work. The “heavy equipment” includes: Rolling mop buckets filled with water (approximately 30–35 lbs) Walk-behind floor scrubbers or vacuums Trash bins or supply carts These items are pushed or pulled manually during cleaning duties. 4. Requirement: Climbing ladders, manual dexterity for handling tools, and operating machinery Climbing ladders: Employees may occasionally use a 6-8 foot step ladder to reach high windows, gutters, or shelves. Manual dexterity: Workers use basic cleaning tools such as spray bottles, mops, squeegees, trash pickers, and refillable dispensers. Machinery operated: Employees may operate manual or walk-behind janitorial machines, such as: Commercial vacuum cleaners Walk-behind floor polishers or buffers These machines are used for cleaning floors and surfaces. No riding, powered snow plows, or landscaping machinery is used.. Job Classification: 37-2011.00 - Janitors and Cleaners, Except Maids and Housekeeping Cleaners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Must be able to lift and carry 75 lbs of snow for 75 yards and be able to handle temperature extremes. Some weekend work. Number of Hours Per Week: 40 Work Schedule (Start/End time): 8:00 A.M. - 5:00 P.M.</t>
  </si>
  <si>
    <t>H-400-26184-078014</t>
  </si>
  <si>
    <t>MT Cleaning Services LLC</t>
  </si>
  <si>
    <t>contact@mtcleaningservices.com</t>
  </si>
  <si>
    <t>+14064303453</t>
  </si>
  <si>
    <t>Carry linens, towels, toilet items, and cleaning supplies, using wheeled carts. Disinfect equipment and supplies using germicides or steam operated sterilizers. Clean vacation rental homes including: rooms, entryways, family room, kitchens, hallways, restrooms, corridors, stairways, and other areas so that health standards are met. Remove residue and/or waste from snow from flooring, carpet and tile. Empty wastebaskets and transport other trash and waste to disposal areas. Observe precautions required to protect vacation rental property and report damage, theft, and found articles to supervisors. Job Classification: 37-2012.00 - Maids and Housekeeping Cleaners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Lift and carry 25lbs for 50 yds. Must be able to bend arms, legs and back, extend arms and hands upward, work on hands and knees and use hands and arms to grip, push and pull. Must be able to handle temperature extremes. Some weekend work. Will travel to worksites within the area of intended employment. Number of Hours Per Week: 40 Work Schedule (Start/End time): 9:00 A.M. - 5:00 P.M.</t>
  </si>
  <si>
    <t>H-400-26184-077946</t>
  </si>
  <si>
    <t>Modern Method Gunite, Inc.</t>
  </si>
  <si>
    <t>16/02/2027</t>
  </si>
  <si>
    <t>info@mmgtx.com</t>
  </si>
  <si>
    <t>+12818471855</t>
  </si>
  <si>
    <t>Pool Plaster Chip Out / Demo Crew Member</t>
  </si>
  <si>
    <t>Saw cut under tile using angle grinders, chip out pool plaster using small to medium-sized electric or air chipping hammers, remove chipped out material using buckets and wheelbarrows. Make ready pool shell by cleaning / power washing surface, unload and dispose of material at dump sites. May perform other job duties pursuant to 47-2061, Construction Laborers. F.a.5a-F.a.6b: 35+ hours/week. 8-hour shifts between 7:00 am and 3:00 pm. Schedule includes 1-hour unpaid lunch break. 5 days per week, Mon-Fri. May work evenings, weekends, holidays, as needed. Schedule (including workdays) may vary. May work more than the guaranteed hours. May work overtime. OT varies and must be pre-approved. F.b.8a: Workers will be paid no less than the wage listed. Employer may pay higher wage rates to workers based on seniority with employer and level of skill. Overtime hours may vary. F.b.8a: Depending on work conditions, the employer may offer workers performing certain tasks during certain periods of the season an opportunity to earn an incentive bonus over and above the guaranteed rate of pay set forth above. If offered, such incentive bonuses will be based on the quantity and quality of work performed and offered to all workers working on the activity(ies) and during the time period(s) when such incentive bonuses are offered. If an incentive bonus is offered, the fact that the bonus is to be offered and the manner in which the bonus will be determined, will be explained to all affected workers before the start of any work period or activity subject to such a bonus. Incentive bonuses are offered at the sole discretion of the employer, and no bonus or opportunity to earn a bonus is promised or guaranteed. F.c.1: The H-2B Temporary Pool Plaster Chip Out / Demo Crew Members will perform job duties at 3334 Brownie Campbell Road, Houston, TX 77086 and at multiple worksites within the area of intended employment, including the following counties: Harris, Fort Bend, Brazoria, Galveston, Chambers, Liberty, Montgomery, Waller, Austin, Jefferson, Hardin, San Jacinto, Polk, Walker, Grimes, Washington, Lee, Brazos, and Burleson. F.d.1: Employer will provide daily transportation from 3334 Brownie Campbell Road, Houston, TX 77086 to and from worksites. Job Classification: 47-2061.00 - Construction Laborers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No formal education, training or experience required. On-the-job training will be provided. Must be able to lift at least 50 pounds. Number of Hours Per Week: 35 Work Schedule (Start/End time): 7:00 A.M. - 3:00 P.M.</t>
  </si>
  <si>
    <t>H-400-26184-077977</t>
  </si>
  <si>
    <t>Northwood Foods, LLC</t>
  </si>
  <si>
    <t>humanresources@northwoodfoods.net</t>
  </si>
  <si>
    <t>+16413241466</t>
  </si>
  <si>
    <t>Production Line Operator</t>
  </si>
  <si>
    <t>The Production Line Operator is responsible for using hand tools to perform cutting and trimming of pork products. The specific responsibilities include: (1) Proper, safe handling and carrying of knives, including keeping knife sharp, concentration on tasks when using knives, and maintaining proper work-place spacing; (2) Follow all GMP, Food Safety/Quality and Safety rules; (3) Understand proper cuts of pork for customer specifications and yields; (4) perform safe handling and disposal of meat products; (5) Communicate any known deficiencies or issues with the product or process; and (6) Always wear required personal protective equipment when performing job. Job Classification: 51-3022.00 - Meat, Poultry, and Fish Cutters and Trimmers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Ability to understand proper meat cuts and weights, ability to understand food safety practices. Availability to work on Saturdays as needed. The Employer will provide on-the-job training to perform the duties assigned. The Employer will provide, without charge or deposit charge, all tools, supplies, and equipment required to perform the duties assigned. The workers will be subject to drug testing upon reasonable suspicion, paid by the employer and applied equally to all workers, U.S. and foreign/H-2B. Worker may need to complete employment application provided via email or onsite. Number of Hours Per Week: 45 Work Schedule (Start/End time): 6:30 A.M. - 5:00 P.M.</t>
  </si>
  <si>
    <t>H-400-26184-078000</t>
  </si>
  <si>
    <t>Palate De La Rosa Corp.</t>
  </si>
  <si>
    <t>yairdelaros@gmail.com</t>
  </si>
  <si>
    <t>+12396828503</t>
  </si>
  <si>
    <t>Responsible for assisting head chef in kitchen. Duties include preparing and cooking Mexican cuisine; cutting meat and vegetables; monitoring the supply of ingredients; following health and safety regulations; maintain cleanliness of kitchen; using equipment properly; plating food; loss and waste prevention. Job Classification: 35-2014.00 - Cooks, Restaurant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12 Special Requirements: 12 months working in restaurant/commercial kitchen. Must have the ability to use tools that are standard in a commercial restaurant; must be able to understand and follow instructions and safety rules. Basic literacy skills consistent with 6th grade reading, writing, and math. Number of Hours Per Week: 40 Work Schedule (Start/End time): 11:00 A.M. - 5:00 P.M.</t>
  </si>
  <si>
    <t>H-400-26184-078001</t>
  </si>
  <si>
    <t>Farmers Market Assistant</t>
  </si>
  <si>
    <t>Employee will use kitchen and oven trays and pans to transport, store, stock and display finished products, both in refrigerated and heated storage areas like under heat lamps, refrigerators, freezers, and display counters, both refrigerated and non-refrigerated areas. Product Description: Finished Product: High quality ethnic meals, prepackaged food items like tacos, burritos, quesadillas, etc. Bottled drinks and water, sauces and other condiments like hot sauce, salsa, melted cheese, etc. Inventory items: restock will be all types of product ingredients like, fresh produce, dairy products, meats and cheeses, eggs, water and other soft drinks. Paper goods will also be part of inventory and would need to be restocked often. Health and Safety guidelines involved: Given that food items will be stored and sold Farmers Market Assistants must abide by Health Department rules and standards regarding food handling and storage, for both finished and raw foodstuff. These include but are not limited to temperature controls on refrigerators, heat lamps and other storage areas, must be able to follow directions related to dating and tracking and container labeling with food expiration dates, cleanliness of food prep and storage areas, use of cleaning products and their proper storage and labeling, etc. Tools Used: Food Preparation: knives, cutting boards, manual juicer, hot plates, refrigerated display cases, blender, kitchen and oven trays, pots and pans. Paper Products: plastic or Styrofoam containers, plastic silverware, napkins, table disinfectant. Cart / Stall: tables, cash register, display cases, pens and paper. Cleaning: mops, brooms, mop bucket, vacuum cleaner, rags, disinfectant solutions and cleaners, dusters. Description of End of Day Activities: At the end of the workday FMA must store all finish food products and raw materials in appropriate location (refrigerator, freezer or other dry storage), must clean and disinfect food prep areas with proper disinfectant solution, using sponges, cleaning rags, floors must be swept and mopped. Stalls or carts must be properly closed and secured. Market Set Up Includes activities related to opening the cart or stall area, cleaning display areas, turning on equipment, attractively display of food items for sale, set up cash register, ensure change levels in register, etc. Job Classification: 35-2021.00 - Food Preparation Workers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Must have the ability to use tools associated with restaurant; must have valid driver's license; must be able to understand and follow instructions and safety rules. Basic literacy skills consistent with 6th grade reading, writing, and math. Number of Hours Per Week: 40 Work Schedule (Start/End time): 11:00 A.M. - 7:00 P.M.</t>
  </si>
  <si>
    <t>H-400-26184-078002</t>
  </si>
  <si>
    <t>Primarily responsible for seating guests and taking orders. Duties include: providing menus, taking orders, and answering inquiries regarding menu items; serving food and drinks; monitoring tables for customer satisfaction; handling payments; cleaning and resetting tables; assisting with special events; providing quality service to customers; following health and safety regulations. Job Classification: 35-3031.00 - Waiters and Waitresses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Must have the ability to provide sales and customer service and use tools that are standard with a restaurant; must be able to understand and follow instructions and safety rules. Basicliteracy skills consistent with 6th grade reading, writing, and math. Number of Hours Per Week: 40 Work Schedule (Start/End time): 11:00 A.M. - 5:00 P.M.</t>
  </si>
  <si>
    <t>H-400-26184-077994</t>
  </si>
  <si>
    <t>Panaha LLC</t>
  </si>
  <si>
    <t>pooja1415@hotmail.com</t>
  </si>
  <si>
    <t>+13044354662</t>
  </si>
  <si>
    <t>Personal Care Aide</t>
  </si>
  <si>
    <t>Provide personal care to a child with a cognitive and intellectual disability, including assistance with ambulation, hygiene, dressing, grooming, eating, and toileting. Perform healthcare-related tasks, such as monitoring vital signs and administering medications, under the direction of the treating physician and supervising Board Certified Behavior Analyst (BCBA). Implement structured behavioral support routines as directed by the supervising BCBA to develop and reinforce daily living and self-care skills. Prepare and maintain records of the child's progress, behavioral data, and services performed, reporting changes in the child's condition to the parent or supervisor. Participate in case reviews and consult with the care team, including parents, BCBA, and medical providers, to evaluate the child's needs and plan for continuing services. Care for the child during periods of incapacitation or family disruption, providing companionship, personal care, and support in developing greater independence in daily life. Instruct and advise the child on issues such as hygiene, nutrition, and daily living skills. Plan, shop for, and prepare nutritious meals according to the child's dietary needs. Perform housekeeping duties related to the child's care, such as cleaning, washing clothes, and running errands. Transport the child to physicians' offices, therapy appointments, school, and community outings using a motor vehicle. Job Classification: 31-1121.00 - Home Health Aides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6 Special Requirements: High School/GED. Minimum 6 months experience as personal care, disability care, or a related field. Basic English skills. Use of: Kitchen and laundry equipment, household vehicle. Ability to understand and respond to the basic needs and non-verbal cues of a non-verbal child with cognitive and intellectual disabilities. Eligibility for driver's license. Must be able to lift and carry weights sufficient to complete assigned tasks. Must be able to remain active throughout the shift. 48 hours per week, 6 days per week, 8 hours per day. Schedule may vary and can include weekends and holidays as needed. Optional occasional travel possible on trips up to 10 days, twice a year, to accompany the child for holidays or therapy Employer will rely on worker's own representations and observations of the worker to assess if worker meets the physical ability and eligibility requirements stated here. Number of Hours Per Week: 48 Work Schedule (Start/End time): 6:00 A.M. - 2:00 P.M.</t>
  </si>
  <si>
    <t>H-400-26184-077968</t>
  </si>
  <si>
    <t>Pennington Lawn &amp; Landscape LLC</t>
  </si>
  <si>
    <t>michael@penningtonlawnbr.com</t>
  </si>
  <si>
    <t>+12258060008</t>
  </si>
  <si>
    <t>PULLING WEEDS BY HAND, MOWING GRASS WITH MOWERS, EDGING BY HAND AND WITH EDGER, USING RACKS, HOEING, MANUEL SHOVELING, SPREADING MULCH BY HAND, BLOWER, CLEANING AND REMOVING DEBRIS IN WORK AREA, APPLYING PESTICIDES, FERTILIZER, WATERING, PLANTING AND REMOVING VARIOUS TYPES OF PLANTS Job Classification: 37-3011.00 - Landscaping and Groundskeeping Workers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HAVING ALLERGIES TO FERTILIZER, DUST, PESTICIDE, INSECT SPRAY AND RELATED CHEMICALS COULD AFFECT WORKERS ABILITY TO WORK. ONCE HIRED WORKER MAY BE REQUIRED TO SUBMIT A RANDOM DRUG TEST (AT NO COST TO WORKER). TESTING POSITIVE OR NOT COMPLYING WITH DRUG TESTING MAY RESULT IN TERMINATION FROM EMPLOYMENT. MUST BE ABLE TO WALK, LIFT UP TO 50 LBS, STAND, SIT, STOOP, BEND, REACH OVERHEAD AND GROUND LEVEL FOR LONG PERIOD OF TIME. MUST BE ABLE TO WORK IN ALL KIND OF WEATHER (HOT, COLD OR RAIN) AND MUST BE ABLE TO WORK (WEEKENDS IF NEEDED)Monday through Friday; Saturday and Sunday work required, when necessary, Employer will offer 35 Hours per work week- Overtime is offered but not guaranteed - Employer may offer more hours than the stated work hours, depending on weather, business needs and other conditions. Extreme Heat, cold, rain, may affect exact WORKER WILL BE PAID ON FRIDAY WEEKLY DIRECT DEPOSIT - IF WORKER DOES NOT HAVE A CHECKING ACCOUNT WORKER WILL RECEIVE A CHECK ONLY DURING THE FIRST 30 DAYS OF EMPLOYMENT TO ALL WOREKR TIME TO SET UP OR HAVE A DIRCT DEPOSIT ACTIVATE. Number of Hours Per Week: 35 Work Schedule (Start/End time): 7:00 A.M. - 4:00 P.M.</t>
  </si>
  <si>
    <t>H-400-26184-077955</t>
  </si>
  <si>
    <t>Petar’s Restaurant Group LLC</t>
  </si>
  <si>
    <t>10/06/2027</t>
  </si>
  <si>
    <t>petarsrestaurant@outlook.com</t>
  </si>
  <si>
    <t>+12393701330</t>
  </si>
  <si>
    <t>Prepare, season, weigh, measure &amp; mix ingredients for recipes. Cook, test, garnish &amp; arrange cooked food. Practice sanitary food handling. Job Classification: 35-2014.00 - Cooks, Restaurant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6 Special Requirements: Ability to lift 50 pounds. On-the-Job Training provided. Will Train. Following Shifts available 6 days a week including nights, weekends and holidays. Rotating shifts. Work hours from: 3:00pm to 11:00pm, shifts based on the time of the season, daylight, and need. Hourly Wage: $17.88 to $25.00 per hour (based on merit and past experience with our company) Possible Wage Increase: Petars offers pay raises based on merit. Overtime Possible: Overtime may be available. at $26.82 to $37.50 per hour. Number of Hours Per Week: 35 Work Schedule (Start/End time): 3:00 P.M. - 11:00 P.M.</t>
  </si>
  <si>
    <t>H-400-26184-077978</t>
  </si>
  <si>
    <t>Raymond Lawn Service LLC</t>
  </si>
  <si>
    <t>jraymond@raymondlawnservice.com</t>
  </si>
  <si>
    <t>+12673855634</t>
  </si>
  <si>
    <t>Workers will remove snow from walkways, driveways, and parking lots using only manual tools such as snow shovels and hand-pushed salt spreaders, with no use of snow plows or motorized snow removal equipment. In addition to snow removal, workers will clean indoor and outdoor common areas of commercial properties, including entryways, hallways, lobbies, break rooms, restrooms, and parking areas. Cleaning duties include sweeping, mopping, emptying trash, wiping surfaces, restocking supplies, and picking up litter to maintain safe and sanitary conditions. The position requires frequent bending, stooping, kneeling, pushing, and pulling while maneuvering commercial-grade trash bins, loading debris bags into dumpsters, and transporting supplies on rolling carts. Workers must also climb ladders to clean light fixtures, ceiling vents, and windows, while using manual dexterity to operate cleaning tools such as brooms, mops, squeegees, dusters, and spray bottles. Additional machinery used in the role includes upright and backpack vacuums, floor buffers, and wet/dry shop vacs for deep cleaning floors and removing water or debris. Job Classification: 37-2011.00 - Janitors and Cleaners, Except Maids and Housekeeping Cleaners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Ability to lift and carry up to 50 pounds. Prolonged standing, walking on slippery surfaces, and navigating large areas. Frequent bending, stooping, kneeling, pushing, and pulling heavy equipment. Climbing ladders, manual dexterity for handling tools, and operating machinery. Endurance for extended periods in various weather conditions, including cold and wet environments. Number of Hours Per Week: 60 Work Schedule (Start/End time): 6:00 A.M. - 6:00 P.M.</t>
  </si>
  <si>
    <t>H-400-26184-077943</t>
  </si>
  <si>
    <t>Romsdahl Companies</t>
  </si>
  <si>
    <t>karl.a@romsdahlcompanies.com</t>
  </si>
  <si>
    <t>+15077362187</t>
  </si>
  <si>
    <t>Perform tasks requiring less skill at the construction site including assisting carpenters to layout materials, siding, lumber for buildings, fasten wood to erect walls, build forms and set trusses. Will lift, carry, hold, measure, cut, nail, assemble and fasten wood and other materials as directed by supervisor. Will clean up waste materials at job sites. Job Classification: 47-3012.00 - Helpers--Carpenters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Must be able to lift and carry 75lbs for 75 yards. Must be able to handle temperature extremes. Some weekend work. Number of Hours Per Week: 40 Work Schedule (Start/End time): 7:00 A.M. - 5:00 P.M.</t>
  </si>
  <si>
    <t>H-400-26184-077988</t>
  </si>
  <si>
    <t>Perform manual labor at the concrete construction site. Prepare the site for placing of concrete by loading and unloading materials, running string-lines, cutting wood with skill saw, using a sledgehammer to pound stakes into the ground, digging and leveling the earth using shovels and platepackers. Assist with placing concrete by using wheelbarrows, concrete rakes and shovels. Place concrete. Clean up waste materials. Job Classification: 47-2061.00 - Construction Laborers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Must be able to lift and carry 75lbs for 50 yards. Must be able to handle temperature extremes. Some weekend work. Number of Hours Per Week: 40 Work Schedule (Start/End time): 7:00 A.M. - 5:00 P.M.</t>
  </si>
  <si>
    <t>H-400-26184-077998</t>
  </si>
  <si>
    <t>Superior Landscape &amp; Irrigation</t>
  </si>
  <si>
    <t>michele@superiorlandscape-irrigation.com</t>
  </si>
  <si>
    <t>+16512465716</t>
  </si>
  <si>
    <t>Keep buildings and grounds in clean and orderly condition. Perform heavy cleaning duties, such as cleaning floors, shampooing rugs, washing walls and glass, and removing rubbish. Duties may include tending furnace and boiler, performing routine maintenance activities, notifying management of need for repairs, and cleaning snow or debris from sidewalk. Job Classification: 37-2011.00 - Janitors and Cleaners, Except Maids and Housekeeping Cleaners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Must be able to lift and carry 25 lbs 50 yds. Must be able to handle extreme temperatures. Number of Hours Per Week: 40 Work Schedule (Start/End time): 8:00 A.M. - 5:00 P.M.</t>
  </si>
  <si>
    <t>H-400-26184-077991</t>
  </si>
  <si>
    <t>TCT Irrigation, Ltd.</t>
  </si>
  <si>
    <t>jimmy@olympiclawns.com</t>
  </si>
  <si>
    <t>+15138294070</t>
  </si>
  <si>
    <t>Keep buildings and grounds in clean and orderly condition. Perform heavy cleaning duties, such as cleaning floors, shampooing rugs, washing walls and glass, and removing rubbish. Duties may include tending furnace and boiler, performing routine maintenance activities, notifying management of need for repairs, and cleaning snow or debris from sidewalk. Job Classification: 37-2011.00 - Janitors and Cleaners, Except Maids and Housekeeping Cleaners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Must be able to lift and carry 25 lbs 50 yds. Must be able to handle extreme temperatures. Number of Hours Per Week: 40 Work Schedule (Start/End time): 7:30 A.M. - 4:30 P.M.</t>
  </si>
  <si>
    <t>H-400-26184-077993</t>
  </si>
  <si>
    <t>The Agents Companies, Inc</t>
  </si>
  <si>
    <t>bmesser@sealingagents.com</t>
  </si>
  <si>
    <t>+17045320999</t>
  </si>
  <si>
    <t>As general laborers, the workers will supplement workers already in place by performing physical labor activities at construction sites; assist coating sprayers by performing duties requiring less skill; use, supply, or hold materials or tools and clean work area and equipment; may operate hand and power tools of various types such as chipping hammers, earth tampers, and a variety of other small equipment; may clean and prepare sites, dig trenches, set braces to support the sides of excavations, and clean debris and other waste materials; safely operate company equipment, help with light maintenance and cleaning, and perform tasks as directed by supervisor or crew leader in a safe and timely manner. Workers will also perform end-of season duties such as cleaning up the worksite and removing the ice and snow. this includes, but is not limited to, removing worn, damaged, or outdated materials, clean debris from work areas by hand, or cleaning tools such as brooms, mops, buckets, vacuums, and ladders. Workers will also engage in cleaning/basic maintenance, such as removing grime, grease, or mud from the equipment, either by hand or using tools such as water hoses, brushes, sponges, and degreasers. Workers will also perform ice and snow removal tasks using tools, including shovels, ice choppers, rakes, and brooms, and may apply brine solutions to the ground as ice and snow pretreatment. Workers will assist coating sprayers by preparing and cleaning work areas; loading, unloading, moving, and staging materials; preparing foundation walls prior to spray application by cleaning them of debris; staging spray guns and lines, drain board, and rolls of foundation drain and drainage mats. Upon completion of the application, workers will assist with measurements and photographs of completed work and perform final cleanup before leaving the job. Tools, equipment, and materials used may include spray guns and lines, drain board, foundation drain, drainage mats, and materials associated with the coating application process. Workers will perform work in areas around foundations that have been excavated for project development. Some foundations may require additional digging on a case-by-case basis. In those situations, workers will dig trenches manually using shovels, picks, spades, digging bars, and rakes as needed. Workers may safely operate company equipment as required by the scope of work. Equipment may include pressure washers, portable generators, air compressors, water pumps, wheelbarrows, material carts, spray rigs, pickup trucks, dingos, skid steers, and other small construction equipment used to transport materials and support construction activities. Workers will help with light maintenance and cleaning by cleaning tools and equipment; removing dirt, mud, grease, coatings, and debris; washing equipment with water hoses, brushes, sponges, and degreasers; checking fluid levels; organizing tools and materials; and maintaining clean work areas. Workers will perform tasks as directed by the supervisor or crew leader, including loading, unloading, and staging materials; site preparation and cleanup; trench preparation; setting and removing braces and protective coverings; assisting skilled workers; handling tools and supplies; removing debris; and supporting general construction operations. End-of-season duties may include additional foundation preparation, including the removal of snow or ice. Final end-of-season duties may also include cleanup of fleet vehicles, accounting for tools and equipment used, and assisting with the consolidation of used inventory. Workers will operate dingos and skid steers to move waterproofing materials, spreading aggregate, debris, load and unload materials and assist with cleanup (not primary excavation). Pickup trucks will transport workers, tools, equipment, waterproofing materials, coatings, membranes, drainage products, and supplies. Job Classification: 53-7051.00 - Industrial Truck and Tractor Operators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1 Special Requirements: One month of construction or related experience. Must be able to lift and carry 75 lbs. for 75 yards frequently throughout the workday. This position supports all areas of business as determined by supervisor and performs home division work on interior of homes during inclement weather. While performing the duties of this job, the temporary worker is regularly required to stand, walk, and sit. The employee is often required to use hands to finger, handle, or feel; reach with hands and arms; climb or balance; stoop, kneel, crouch, or crawl; and talk and hear. The employee must be able to lift and/or move heavy objects. Vision abilities pertaining to this job include close vision, distance vision, peripheral vision, depth perception and ability to adjust focus. The work environment characteristics described here are representative of those an employee encounters while performing the essential functions of this job. Reasonable accommodations may be made to enable individuals with disabilities to perform the essential functions. The company will provide protective gear for the employees use in all applicable situations. While performing the duties of this job, the employee will regularly encounter outside weather conditions, and regularly encounter moving mechanical parts, high places, fumes, or airborne particles, and chemicals. The employee will often encounter wet and/or humid conditions. The noise level in the work environment ranges from moderate to loud. Number of Hours Per Week: 40 Work Schedule (Start/End time): 6:00 A.M. - 3:00 P.M.</t>
  </si>
  <si>
    <t>H-400-26184-078009</t>
  </si>
  <si>
    <t>As general laborers, the workers will supplement workers already in place by performing physical labor activities at construction sites; Assist coating sprayers by performing duties requiring less skill; use, supply, or hold materials or tools and clean work area and Equipment; may operate hand and power tools of various types such as chipping hammers, earth tampers, and a variety of other small equipment; may clean and prepare sites, dig trenches, set braces to support the sides of excavations, and clean debris and other waste materials: safely operate company equipment, help with light maintenance and cleaning, and perform tasks as directed by supervisor or Crew leader in a safe and timely manner. Workers will also perform end-ofseason duties such as cleaning up the worksite and removing the Ice and snow. This includes, but is not limited to, removing worn, damaged, or outdated materials, cleaning debris from work areas by hand, or cleaning tools such as brooms, mops, buckets, vacuums, and ladders. Workers will also engage in cleaning/basic maintenance, such as removing grime, grease, or mud from the equipment, either by hand or using tools such as water hoses, brushes, sponges, and degreasers. Workers will also perform ice and snow removal tasks using tools, including shovels, ice choppers, rakes, and brooms, and may apply brine Solutions to the ground as ice and snow pretreatment. Workers perform a general labor in support of foundation coating sprayers and crew leaders. Duties include preparing foundation walls and work areas by removing dirt, mud, debris, and loose concrete; sweeping footings; and patching minor wall defects such as honeycombs, cold joints, and form-tie holes. Workers assist skilled coating personnel by setting up spray guns,hoses, spray rigs, generators, air compressors, and water pumps; staging materials; supplying tools and materials; taking measurements and photographs; and assisting with foundation drainage installations. Workers load, unload, carry, and distribute materials, tools, and equipment throughout the jobsite. They perform excavation-related tasks, including digging, cleaning, and backfilling trenches using shovels, picks, spades, digging bars, and rakes. They may operate wheelbarrows, material carts, trucks, dingos, skid steers, and other small construction equipment to transport materials and support site operations. Tools used include shovels, spades, picks, rakes, brooms, chipping hammers, earth tampers, drills, grinders, saws, pressure washers, tape measures, utility knives, and powder-actuated fastening tools. Equipment includes spray guns, spray rigs, generators, air compressors, water pumps, wheelbarrows, material carts, trucks, dingos, and skid steers. Materials handled include foundation coating products, drain board rolls, foundation drainpipe, drainage mats, patching materials, fasteners, and protective coverings. Workers also perform site cleanup and light maintenance, including collecting and disposing of debris, washing tools and equipment, removing mud, grease, and coatings, checking fluid levels, organizing tools and materials, and maintaining clean work areas. All tasks are performed under supervisor or crew leader direction and may include site preparation, material staging, trenching, assisting skilled workers, snow and ice removal, equipment cleaning, inventory organization, and tool tracking. Job Classification: 47-2061.00 - Construction Laborers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1 Special Requirements: One month of construction or related experience. Must be able to lift and carry 75 lbs. for 75 yards frequently throughout the workday. This position supports all areas of business as determined by supervisor and performs home division work on interior of homes during inclement weather. While performing the duties of this job, the temporary worker is regularly required to stand, walk, and sit. The employee is often required to use hands to finger, handle, or feel; reach with hands and arms; climb or balance; stoop, kneel, crouch, or crawl; and talk and hear. The employee must be able to lift and/or move heavy objects. Vision abilities pertaining to this job include close vision, distance vision, peripheral vision, depth perception and ability to adjust focus. The work environment characteristics described here are representative of those an employee encounters while performing the essential functions of this job. Reasonable accommodations may be made to enable individuals with disabilities to perform the essential functions. The company will provide protective gear for the employees use in all applicable situations. While performing the duties of this job, the employee will regularly encounter outside weather conditions, and regularly encounter moving mechanical parts, high places, fumes, or airborne particles, and chemicals. The employee will often encounter wet and/or humid conditions. The noise level in the work environment ranges from moderate to loud. Number of Hours Per Week: 40 Work Schedule (Start/End time): 6:00 A.M. - 3:00 P.M.</t>
  </si>
  <si>
    <t>H-400-26184-078003</t>
  </si>
  <si>
    <t>As general laborers, the workers will supplement workers already in place by performing physical labor activities at construction sites; assist coating sprayers by performing duties requiring less skill; use, supply, or hold materials or tools and clean work area and equipment; may operate hand and power tools of various types such as chipping hammers, earth tampers, and a variety of other small equipment; may clean and prepare sites, dig trenches, set braces to support the sides of excavations, and clean debris and other waste materials; safely operate company equipment, help with light maintenance and cleaning, and perform tasks as directed by supervisor or Crew leader in a safe and timely manner. Workers will also perform end-of-season duties such as cleaning up the worksite and removing the ice and snow. This includes, but is not limited to, removing worn, damaged, or outdated materials, clean debris from work areas by hand, or cleaning tools such as brooms, mops, buckets, vacuums, and ladders. Workers will also engage in cleaning/basic maintenance, such as removing grime, grease, or mud from the equipment, either by hand or using tools such as water hoses, brushes, sponges, and degreasers. Workers will also perform ice and snow removal tasks using tools, including shovels, ice choppers, rakes, and brooms, and may apply brine solutions to the ground as ice and snow pretreatment. Workers will assist coating sprayers by preparing and cleaning work areas; loading, unloading, moving, and staging materials; masking surfaces with tape, plastic sheeting, and drop cloths; holding hoses, spray lines, and materials during coating operations; supplying coatings and related materials to coating sprayers; removing masking materials after coating application; and cleaning tools and equipment after use. Tools, equipment, and materials used may include buckets, brushes, scrapers, brooms, tape, plastic sheeting, drop cloths, hoses, spray lines, coatings, primers, solvents, and cleaning solutions. Trenches will be dug manually using shovels, picks, spades, digging bars, and rakes. Workers may also assist equipment operators by hand-cleaning and shaping trenches excavated by construction equipment. Workers may set braces to support the sides of excavations and remove debris and waste materials from trench areas. Workers will safely operate company equipment, including pressure washers, portable generators, air compressors, water pumps, wheelbarrows, material carts, and other small construction equipment used to transport materials and support construction activities. Workers will help with light maintenance and cleaning by cleaning tools and equipment; removing dirt, mud, grease, coatings, and debris; washing equipment using water hoses, brushes, sponges, and degreasers; checking fluid levels; organizing tools and materials; and maintaining clean work areas. Workers will perform tasks as directed by the supervisor or crew leader in a safe and timely manner, including loading, unloading, and staging materials; site preparation and cleanup; trench preparation; setting and removing braces and protective coverings; assisting skilled workers; handling tools and supplies; removing debris; and supporting general construction operations. Job Classification: 47-2061.00 - Construction Laborers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1 Special Requirements: Must be able to lift and carry 75 lbs. For 75 yards frequently throughout the workday. This position supports all areas of business as determined by the supervisor and performs home division work on the interior of homes during inclement weather. While performing the duties of this job, the temporary worker is regularly required to stand, walk, and sit. The employee is often required to use hands to finger, handle, or feel; reach with hands and arms; climb or balance; stoop, kneel, crouch, or crawl; and talk and hear. The employee must be able to lift and/or move heavy objects. Vision abilities pertaining to this job include close vision, distance vision, peripheral vision, depth perception and ability to adjust focus. The work environment characteristics described here are representative of those an employee encounters while performing the essential functions of this job. Reasonable Accommodations may be made to enable individuals with disabilities to perform the essential functions. The company will provide protective gear for the employees use in all applicable situations. While performing the duties of this job, the employee will regularly encounter outside weather conditions, and regularly encounter moving mechanical parts, high places, fumes, or airborne particles, and chemicals. The Employee will often encounter wet and/or humid conditions. The noise level in the work environment ranges from moderate to loud. Each applicant (U.S. and H-2B workers alike) must complete the Employers standard online employment application as part of the hiring process. The application is uniformly required of all candidates and does not impose additional or different requirements on U.S. workers. The workers will be subject to drug testing upon reasonable suspicion, paid by the employer and applied equally to all workers, U.S. and foreign/H-2B. The workers are subject to employment criminal background checks, paid by the employer and applied equally to all workers, U.S. and foreign/H-2B. Number of Hours Per Week: 40 Work Schedule (Start/End time): 6:00 A.M. - 3:00 P.M.</t>
  </si>
  <si>
    <t>H-400-26184-077999</t>
  </si>
  <si>
    <t>As general laborers, the workers will supplement workers already in place by performing physical labor activities at construction sites; assist coating sprayers by performing duties requiring less skill; use, supply, or hold materials or tools and clean work area and equipment; may operate hand and power tools of various types such as chipping hammers, earth tampers, and a variety of other small equipment; may clean and prepare sites, dig trenches, set braces to support the sides of excavations, and clean debris and other waste materials; safely operate company equipment, help with light maintenance and cleaning, and perform tasks as directed by supervisor or Crew leader in a safe and timely manner. Workers will also perform end-of-season duties such as cleaning up the worksite and removing the ice and snow. This includes, but is not limited to, removing worn, damaged, or outdated materials, clean debris from work areas by hand, or cleaning tools such as brooms, mops, buckets, vacuums, and ladders. Workers will also engage in cleaning/basic maintenance, such as removing grime, grease, or mud from the equipment, either by hand or using tools such as water hoses, brushes, sponges, and degreasers. Workers will also perform ice and snow removal tasks using tools, including shovels, ice choppers, rakes, and brooms, and may apply brine solutions to the ground as ice and snow pretreatment. Workers perform a general labor in support of foundation coating sprayers and crew leaders. Duties include preparing foundation walls and work areas by removing dirt, mud, debris, and loose concrete; sweeping footings; and patching minor wall defects such as honeycombs, cold joints, and form-tie holes. Workers assist skilled coating personnel by setting up spray guns, hoses, spray rigs, generators, air compressors, and water pumps; staging materials; supplying tools and materials; taking measurements and photographs; and assisting with foundation drainage installations. Workers load, unload, carry, and distribute materials, tools, and equipment throughout the jobsite. They perform excavation-related tasks, including digging, cleaning, and backfilling trenches using shovels, picks, spades, digging bars, and rakes. They may operate wheelbarrows, material carts, trucks, dingos, skid steers, and other small construction equipment to transport materials and support site operations. Tools used include shovels, spades, picks, rakes, brooms, chipping hammers, earth tampers, drills, grinders, saws, pressure washers, tape measures, utility knives, and powder-actuated fastening tools. Equipment includes spray guns, spray rigs, generators, air compressors, water pumps, wheelbarrows, material carts, trucks, dingos, and skid steers. Materials handled include foundation coating products, drain board rolls, foundation drainpipe, drainage mats, patching materials, fasteners, and protective coverings. Workers also perform site cleanup and light maintenance, including collecting and disposing of debris, washing tools and equipment, removing mud, grease, and coatings, checking fluid levels, organizing tools and materials, and maintaining clean work areas. All tasks are performed under supervisor or crew leader direction and may include site preparation, material staging, trenching, assisting skilled workers, snow and ice removal, equipment cleaning, inventory organization, and tool tracking. Job Classification: 47-2061.00 - Construction Laborers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1 Special Requirements: Must be able to lift and carry 75 lbs. For 75 yards frequently throughout the workday. This position supports all areas of business as determined by the supervisor and performs home division work on the interior of homes during inclement weather. While performing the duties of this job, the temporary worker is regularly required to stand, walk, and sit. The employee is often required to use hands to finger, handle, or feel; reach with hands and arms; climb or balance; stoop, kneel, crouch, or crawl; and talk and hear. The employee must be able to lift and/or move heavy objects. Vision abilities pertaining to this job include close vision, distance vision, peripheral vision, depth perception and ability to adjust focus. The work environment characteristics described here are representative of those an employee encounters while performing the essential functions of this job. Reasonable Accommodations may be made to enable individuals with disabilities to perform the essential functions. The company will provide protective gear for the employees use in all applicable situations. While performing the duties of this job, the employee will regularly encounter outside weather conditions, and regularly encounter moving mechanical parts, high places, fumes, or airborne particles, and chemicals. The Employee will often encounter wet and/or humid conditions. The noise level in the work environment ranges from moderate to loud. Each applicant (U.S. and H-2B workers alike) must complete the Employers standard online employment application as part of the hiring process. The application is uniformly required of all candidates and does not impose additional or different requirements on U.S. workers. The workers will be subject to drug testing upon reasonable suspicion, paid by the employer and applied equally to all workers, U.S. and foreign/H-2B. The workers are subject to employment criminal background checks, paid by the employer and applied equally to all workers, U.S. and foreign/H-2B. Number of Hours Per Week: 40 Work Schedule (Start/End time): 6:00 A.M. - 3:00 P.M.</t>
  </si>
  <si>
    <t>H-400-26184-077954</t>
  </si>
  <si>
    <t>Valodi Inc</t>
  </si>
  <si>
    <t>diana.elsupertaco@gmail.com</t>
  </si>
  <si>
    <t>+19709458638</t>
  </si>
  <si>
    <t>***RFI response*** Employer’s cash register uses a “Square” system with touch screen POS (Point of Sale) terminals both for the front and kitchen, along with self-order kiosks. If mobile catering or special events are scheduled, worker will be in charge of preparing, packing, and delivering food to customers, which does not mean actual delivery, only that he/she is responsible for making sure customers have their food in a timely manner. Packaging is crucial for quality and customer satisfaction, so workers will use leak-proof plastic bags, vented containers for fried foods (to prevent sogginess), insulated soup bowls or aluminum for hot items, separate hot/cold items, and include utensils/napkins in sealed pouches. Since delivery may expose food to longer transit times, delivery is generally by bicycle if within 2-3 miles (or 30 minutes). If farther away, an authorized worker will use the Subaru 5 passenger SUV, one of the Employer’s fully-insured vehicles. ***Original*** DUTIES: prepare necessary components of each dish on our menu using our proven recipes; utilize our serving portion sizes and all necessary meal prep procedures used in the kitchen; ensure the kitchen, all food prep areas, and all storage and eating areas meet local health codes and restaurant cleaning standards; work with a team of cooks to do portion prep work for other shifts when needed; monitor product freshness and rotate out the old product based on a planned schedule; set up and stock stations with all necessary supplies; chop, mix, saut, prepare sauces, and other food preparation; cook menu items in cooperation with the rest of the kitchen staff; plate food in a professional and appetizing manner for the customer; clean up the station and take care of leftover food stock inventory; when necessary be available to work cashier and holidays, and if mobile catering or special events are scheduled, be in charge of preparing, packing, and delivering food to customers. Job Classification: 35-2014.00 - Cooks, Restaurant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Must be able to lift up to 50 pounds and stand or bend for all or most of work shift. Number of Hours Per Week: 40 Work Schedule (Start/End time): 2:00 P.M. - 10:00 P.M.</t>
  </si>
  <si>
    <t>H-400-26184-077989</t>
  </si>
  <si>
    <t>Werbrich's Landscaping LLC</t>
  </si>
  <si>
    <t>kevin@werbrichslandscping.com</t>
  </si>
  <si>
    <t>+15133532875</t>
  </si>
  <si>
    <t>Keep buildings and grounds in clean and orderly condition. Perform heavy cleaning duties, such as cleaning floors, shampooing rugs, washing walls and glass, and removing rubbish. Duties may include tending furnace and boiler, performing routine maintenance activities, notifying management of need for repairs, and cleaning snow or debris from sidewalk. Job Classification: 37-2011.00 - Janitors and Cleaners, Except Maids and Housekeeping Cleaners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Must be able to lift and carry 25 lbs 50 yds. Must be able to handle extreme temperatures. Number of Hours Per Week: 40 Work Schedule (Start/End time): 8:00 A.M. - 4:00 P.M.</t>
  </si>
  <si>
    <t>H-400-26184-077944</t>
  </si>
  <si>
    <t>West Coast Commercial Janitorial</t>
  </si>
  <si>
    <t>sloclean@gmail.com</t>
  </si>
  <si>
    <t>+18053164606</t>
  </si>
  <si>
    <t>Perform light cleaning duties such as dusting, sweeping, vacuuming, and mopping in private households and commercial establishments in a clean and orderly manner. Perform light cleaning duties such as dusting and polishing furniture and equipment. Use hand tools such as dusters, brooms, and vacuums. Empty wastebaskets and transport other trash and waste to disposal areas, refill cleaning supplies and sanitize surfaces and fixtures. Job Classification: 37-2012.00 - Maids and Housekeeping Cleaners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Must be able to lift and carry at least 20 lbs. Must be able to use abdominal and lower back muscles to support part of the body, and will bend, stretch, twist, or reach with body, arms, and legs repeatedly or continuously. On-the-Job Training provided. Will Train. Days and Shifts: Monday - Friday, occasional weekends. Work hours from: 8:00 AM to 4:00 PM. Hourly Wage: $18.80 - $20.00 per hour (based on merit and past experience with our company) Overtime Possible: Overtime may be available at $28.20 - $30.00 per hour. Possible Wage Increase: Raises above the stated rate are possible based on merit and performance. Number of Hours Per Week: 35 Work Schedule (Start/End time): 8:00 A.M. - 4:00 P.M.</t>
  </si>
  <si>
    <t>H-400-26184-077982</t>
  </si>
  <si>
    <t>West Wind Express, Inc.</t>
  </si>
  <si>
    <t>Ewa Brozek</t>
  </si>
  <si>
    <t>p_dziedzic@yahoo.com</t>
  </si>
  <si>
    <t>+17739211700</t>
  </si>
  <si>
    <t>The employee will drive a tractor-trailer combination or a truck with a capacity of at least 26,001 pounds Gross Vehicle Weight. Travel will be national – within US states Drive a truck. Unload truck. Check vehicles to ensure that mechanical, safety, and emergency equipment is in good working order. Follow appropriate safety procedures for transporting goods. Inspect loads to ensure that cargo is secure. Maintain logs of working hours or of vehicle service or repair status, following applicable state and federal regulations. Secure cargo for transport. CDL from abroad with ability of obtaining CDL from any US state within 60 days from employment. 6 months experience as truck driver. Job Classification: 53-3032.00 - Heavy and Tractor-Trailer Truck Drivers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6 Special Requirements: CDL from abroad with ability of obtaining CDL from any US state within 60 days from employment. 6 months experience as truck driver. The employer is not required to pay overtime if the driver qualifies for the Motor Carrier Act (MCA) exemption. The employer does not provide basic commercial driving training as the job requires applicants to already possess a CDL from any country plus min 6 months of experience as necessary qualifications. The employer will provide: orientation regarding company policies, safety training specific to the employer. Training on company equipment, electronic logging devices (ELDs), refrigeration units, routes, and loading/unloading procedures. Number of Hours Per Week: 45 Work Schedule (Start/End time): 7:00 A.M. - 4:00 P.M.</t>
  </si>
  <si>
    <t>H-400-26184-078026</t>
  </si>
  <si>
    <t>Action Landscaping, Inc.</t>
  </si>
  <si>
    <t>21/11/2026</t>
  </si>
  <si>
    <t>actionlandscapinginc@gmail.com</t>
  </si>
  <si>
    <t>+16362967469</t>
  </si>
  <si>
    <t>Segmental Pavers</t>
  </si>
  <si>
    <t>Lay out, cut, and place segmental paving units. Includes installers of bedding and restraining materials for the paving units. Job Classification: 47-4091.00 - Segmental Pavers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1 Special Requirements: EXTENSIVE STOOPING AND BENDING REQUIRED. MUST BE ABLE TO LIFT 60 LBS. Number of Hours Per Week: 40 Work Schedule (Start/End time): 7:00 A.M. - 3:00 P.M.</t>
  </si>
  <si>
    <t>H-400-26184-078068</t>
  </si>
  <si>
    <t>Blue Boy Lawn Landscape and Garden Center</t>
  </si>
  <si>
    <t>blueboyland@outlook.com</t>
  </si>
  <si>
    <t>+12708717401</t>
  </si>
  <si>
    <t>Landscape or maintain grounds of property using hand or power tools or equipment such as lawnmowers, leaf blowers, grass trimmers, and pruning shears. Workers typically perform a variety of tasks, which may include any combination of the following: sod laying, mowing, trimming, planting, watering, fertilizing, digging, raking, sprinkler installation, and installation of mortarless segmental concrete masonry wall units. Perform winter cutbacks on perennials and plants in order to properly prepare lawns or landscapes for winter weather and new growth in the Spring. Maintain irrigation systems on flower beds, including winterizing the systems before temperatures drop below freezing to prevent damage. Assist with yard clean up, leaf removal, mulch or replace the mulch, and leaf cleanup. Job Classification: 37-3011.00 - Landscaping and Groundskeeping Workers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Must be able to lift up to 60 lbs. Must have prior knowledge of the industry. The workers will be subject to drug testing upon reasonable suspicion, paid by the employer and applied equally to all workers, U.S. and foreign/H-2B. The workers are subject to pre-employment criminal background checks, paid by the employer and applied equally to all workers, U.S. and foreign/H-2B. Number of Hours Per Week: 40 Work Schedule (Start/End time): 7:00 A.M. - 6:00 P.M.</t>
  </si>
  <si>
    <t>H-400-26184-078083</t>
  </si>
  <si>
    <t>CRAWFISH ASIAN CUISINE LLC</t>
  </si>
  <si>
    <t>CRAWFISHASIANGROUP@GMAIL.COM</t>
  </si>
  <si>
    <t>+17756226802</t>
  </si>
  <si>
    <t>Prepare and cook menu items in a commercial restaurant kitchen, including stir-fried noodle and rice dishes, grilled meat and seafood items, and Vietnamese dishes such as pho broth, noodles, and spring roll fillings; Follow standardized recipes, portion sizes, and plating guidelines established by the restaurant; Operate commercial kitchen equipment including Wok stations, gas burners, flat-top grills, stock pots, and food prep utensils; Coordinate cooking times with other kitchen staff to complete orders during peak service periods; monitor food while cooking to ensure proper temperatures and doneness; Maintain a clean and organized cooking station; Clean and sanitize cooking surfaces, utensils, and equipment in accordance with food safety standards. Job Classification: 35-2014.00 - Cooks, Restaurant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24 Special Requirements: No minimum education or experience required. Employer will provide on-the-job training. Must be able to perform the duties of the position. Number of Hours Per Week: 40 Work Schedule (Start/End time): 12:00 P.M. - 8:30 P.M.</t>
  </si>
  <si>
    <t>H-400-26184-078056</t>
  </si>
  <si>
    <t>ColTattoos LLC</t>
  </si>
  <si>
    <t>18/11/2026</t>
  </si>
  <si>
    <t>hiringatcoltattoos@gmail.com</t>
  </si>
  <si>
    <t>+18432223012</t>
  </si>
  <si>
    <t>Mobile Kiosk Associate</t>
  </si>
  <si>
    <t>Assist with daily operations of a mobile retail kiosk at fairs and temporary events. Set up and dismantle booths and merchandise displays using basic, employer-provided hand tools such as screwdrivers, tape measure, scissors, box cutters. Provide customer service and process sales transactions using a point-of-sale system. Sell retail items such as gifts and souvenirs, including keychains, earrings, and hair accessories. Replenish merchandise displays and maintain inventory levels. Maintain cleanliness and sanitation of the work area using employer provided materials. Occasionally assist (less than 10% of the workday) with temporary tattoo setup by preparing brushes and necessary supplies. Job Classification: 53-7062.00 - Laborers and Freight, Stock, and Material Movers, Hand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No Special Requirements Number of Hours Per Week: 40 Work Schedule (Start/End time): 11:00 A.M. - 11:00 P.M.</t>
  </si>
  <si>
    <t>H-400-26184-078069</t>
  </si>
  <si>
    <t>Composite Construction Systems, Inc.</t>
  </si>
  <si>
    <t>dannette@ccsicol.com</t>
  </si>
  <si>
    <t>+17065618500</t>
  </si>
  <si>
    <t>Construction Laborer Helpers</t>
  </si>
  <si>
    <t>Perform site layout and measurement to assist with construction of commercial buildings. Install temporary shoring, bracing, and safety rails to ensure compliance with jobsite safety standards. Load and unload materials and tools from trucks; transport them to appropriate work areas using manual or powered equipment. Operate power tools and hand tools including saws, drills, hammers, and impact wrenches to assist with framing, prefab wall installation, and general construction tasks. Position, align, and secure prefabricated structural components using bolts, nails, or adhesives. Set up and operate portable generators to supply temporary power for tools and equipment. Operate various jobsite equipment including forklifts, boom lifts, and scissor lifts, in accordance with OSHA and site safety protocols. Assist skilled tradespeople as needed with framing, demolition, and finish work. Maintain a clean and organized jobsite through regular housekeeping duties and debris removal. Perform inventory checks and material handling to support job progress and prevent delays. Serve as a flagger to direct traffic and maintain safety during deliveries or crane operations. Job Classification: 47-2061.00 - Construction Laborers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Must be able to lift and carry 75lbs/75yds. Some weekend work required. Number of Hours Per Week: 50 Work Schedule (Start/End time): 8:00 A.M. - 5:00 P.M.</t>
  </si>
  <si>
    <t>H-400-26184-078016</t>
  </si>
  <si>
    <t>Discovery Kauai Management, LLC</t>
  </si>
  <si>
    <t>+17177286868</t>
  </si>
  <si>
    <t>Operates mowers and string trimmers in trimming greens, aprons, and tees around trees, fence lines, banks, and hillsides; also edges cart paths, and rakes, and maintains sand bunkers. Additionally performs aerification, overseeding, dethatching, and topdressing activities on greens, tees, and fairways. Prune or trim shrubs and edges using shears or pruners. Assists with tropical vegetation trimming, palm frond removal, brush clearing, and storm debris cleanup throughout golf course property. Sets tee markers and cups on greens daily, maintains ball washers, replaces tee towels and flags when needed, removes debris, sands and seeds tee and drop area divots, and clean flower beds. Maintains fuel and fluid levels for all types of equipment such as golf carts and buggies daily, reports equipment problems or failure to the equipment manager immediately such as golf course mowers, golf course utility vehicles, rakes etc. Loads, unloads, and transports sod, mulch, fertilizer, soil, gravel, and landscaping materials throughout the golf course property. Under the direction of the superintendent or assistant superintendent, the groundskeeper-labor-rough crew marks the course for cart control weekly, moves cart control barriers and replaces worn or lost ropes and signs, and may mark hazard and drop areas. Assists with installation and relocation of erosion-control materials, hazard markers, and protective barriers during heavy rain conditions. Waters and fertilize tees, greens, and fairways, and under direct supervision of the director of agronomy or assistant superintendent, sprays chemicals on landscaped areas. Helps in project work, and assists in the construction of new greens, tees, and fairways. Assists with turf renovation, landscape enhancement, and golf course preservation projects during peak tropical growing conditions. Grades and prepares soil base, lays sod, and seeds tees, greens and fairways. Applies mulch, soil amendments, and landscaping materials around ornamental plants, palm trees, and golf course grounds. Installs forms and lays walks and paths using gravel and asphalt mixes, excavates and backfills ditches and trenches with hand tools, repairs and replaces pipe on irrigation systems. Assist with maintaining drainage ditches, culverts, and runoff areas to minimize erosion and water accumulation caused by tropical weather conditions. May be asked to operate mowers, small utility vehicles for golf course use, such as the John deere TX gator weighing approximately 600 lbs., or other light equipment. May also operate blowers, aerators, trenchers, seeders, and other turf maintenance equipment used for golf course preservation and landscaping activities. Job Classification: 37-3011.00 - Landscaping and Groundskeeping Workers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Possession of a valid drivers license or international equivalent required. Must be able to operate trucks, golf carts, and lightly motorized equipment. Must have knowledge of operating hand and power tools, and golf course maintenance equipment. Must work a flexible schedule, including evenings, weekends, and holiday and a shift greater than eight (8) hours in length. Must read, write, speak and understand English. Must meet the physical demands of the position including, but not limited to, working indoors and outdoors, standing, walking, and moving for periods of greater than four (4) hours, and lifting, carrying, bending, stooping, squatting, reaching, pushing, and pulling. Must be able to lift 50 lbs. Background check will be performed at the expense of the employer. Number of Hours Per Week: 40 Work Schedule (Start/End time): 5:00 A.M. - 8:00 P.M.</t>
  </si>
  <si>
    <t>H-400-26184-078025</t>
  </si>
  <si>
    <t>Maintain sanitation standards in all kitchen work areas including outdoor food outlets and employee dining room by cleaning dishes and kitchen work areas, sweeping kitchen work areas, and removing trash. Operate commercial dishwashing machines to clean and sanitize dishes, glassware, silverware, pots, pans, and kitchen utensils used in daily F&amp;B operations. Ensure all utensils and equipment are properly cleaned, dried, sorted, and stored in designated storage areas. Maintain safety, proper storage of chemicals, and chemical concentration logs. Daily set-ups of china, glassware, and silverware items for all outlets. Sweep and mop kitchen floors during and after service periods and maintain cleanliness of dishwashing stations, storage rooms, and waste disposal areas. Attends department meetings as necessary. Completion of all opening/closing procedures as instructed. Complete monthly inventory checks. Maintain all equipment and be sure it is properly handled and maintained. Adhere to all company policies and procedures, and all government, safety, health, and security standards are always complied with through the department. Assist with unloading and transporting food supplies, kitchen equipment, and service items between storage and operational work areas. Job Classification: 35-9021.00 - Dishwashers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Must work a flexible schedule, including evenings, weekends, and holiday and a shift greater than eight (8) hours in length. Worker may be required to work breakfast, lunch or dinner shift. Must read, write, speak and understand English. Must meet the physical demands of the position including, but not limited to, working indoors and outdoors, standing, walking, and moving for periods of greater than four (4) hours, and lifting, carrying, bending, stooping, squatting, reaching, pushing, and pulling. Must be able to lift 50 lbs. Background check will be performed at the expense of the employer. Three (3) months experience at a high-end restaurant, resort, or private club required. Number of Hours Per Week: 40 Work Schedule (Start/End time): 5:00 A.M. - 11:00 P.M.</t>
  </si>
  <si>
    <t>H-400-26184-078037</t>
  </si>
  <si>
    <t>Drunken Cookies LLC</t>
  </si>
  <si>
    <t>trentville@gmail.com</t>
  </si>
  <si>
    <t>+19394078249</t>
  </si>
  <si>
    <t>Pastry Chef</t>
  </si>
  <si>
    <t>Will train to perform duties including: Measure, weigh, portion, and combine ingredients such as sugar, flour, eggs, and butter to prepare cookie doughs, fillings, icings, and other cookie components, by hand or using mixing or blending machines. Roll, knead, cut, shape, or portion dough to form cookies and other baked goods. Place dough in pans, molds, sheets, or pans to bake in production ovens. Set time and speed controls for mixing and blending machines, and time and temperature for production ovens. Decorate, pipe, fill, or apply chocolate coatings, cookie fillings, and other components or toppings to cookies and baked goods by hand. Assemble often-elaborate cookie, brownie, and cookie-shot creations. Adjust portions, measurements, temperatures, cooking times, and other variables to adjust for amounts of items or batches, color and texture of items in production, ambient humidity, and other variables. Bag and seal cookies. Assist with packaging baked-good sales orders as needed. Perform other pastry-kitchen station duties as assigned by supervisors and managers. Follow proper food-handling procedures to ensure food safety, including wrapping, labeling, dating, stocking, storing, rotating, and checking temperatures. Job Classification: 51-3011.00 - Bakers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12 Special Requirements: No education required. Minimum 12 months experience as baker, pastry chef, or related occupation. Basic English skills. May be assigned to other worksites located within the same Metropolitan Statistical Area (MSA) of San Juan-Bayamon-Caguas, PR. Ability to lift/carry/push/pull 50 lbs. Work schedule will vary and will include evenings, weekends, and holidays. Work may be performed on any day of the week from Monday through Sunday. Standard workweek is 40 hours per week, 5 days per week. 8-hour shift schedules, first shift starts at 5 a.m., last shift ends at 1 p.m. Shifts hours may vary. Employer will rely on workers own representations and observations of worker to assess if worker meets the lifting, standing, and other physical ability requirements stated herein. Number of Hours Per Week: 40 Work Schedule (Start/End time): 5:00 A.M. - 1:00 P.M.</t>
  </si>
  <si>
    <t>H-400-26184-078081</t>
  </si>
  <si>
    <t>Evercor Employment Services, Inc.</t>
  </si>
  <si>
    <t>recruiting@evercor.com</t>
  </si>
  <si>
    <t>+18773837267</t>
  </si>
  <si>
    <t>Snow Removal / Property Maintenance Worker</t>
  </si>
  <si>
    <t>Perform temporary, full-time winter property maintenance and snow removal services for commercial and residential properties. Remove snow, ice, slush, leaves, branches, mud, and debris from sidewalks, walkways, entrances, parking lots, and common areas using shovels, snow blowers, brooms, backpack blowers, and other hand or power tools. Apply salt and ice melt materials to maintain safe conditions. Perform exterior cleaning, trash removal, sweeping, seasonal cleanup, and related property maintenance duties. During non-snow periods, assist with street and parking lot sweeping operations and general exterior maintenance. Work may include overnight, weekend, holiday, and emergency weather-response shifts. Duties may also include fall and spring cleanup activities such as raking leaves, clearing gutters, removing branches and storm debris, cleaning landscaped areas, and preparing properties for seasonal weather conditions. Job Classification: 37-3011.00 - Landscaping and Groundskeeping Workers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Must lift/carry 50 lbs., when necessary. Saturday and Sunday work required, when necessary. Maximum shifts are 12 hours per day. The actual work schedule for each day of the week is subject to change. Not every employee will work 12 hour shifts, 7 days a week. An employee may work up to 12 hours per day, but may work alternating days or may work a portion of a 12 hour shift. We will offer at least 40 hours in a typical workweek. Hours in excess of 40 will vary depending on staff and other factors to be evaluated on a daily basis. must be able to operate zero turn mowers, weed whackers, and backpack blowers. employer-paid drug testing required of foreign and domestic workers prior to commencing work and post-hire upon suspicion of use and post-accident. post-hire background check and employment eligibility (e-verify) check required of foreign and domestic workers. driver's license required for workers who drive company vehicles. Employer may offer more than the stated work hours depending on weather, business needs, and other conditions. Extreme heat, cold, rain, or drought may affect exact working hours. Number of Hours Per Week: 35 Work Schedule (Start/End time): 7:00 A.M. - 5:00 P.M.</t>
  </si>
  <si>
    <t>H-400-26184-078082</t>
  </si>
  <si>
    <t>Snow Plow Driver</t>
  </si>
  <si>
    <t>Perform temporary, full-time snow removal and winter maintenance driving services for commercial and residential properties. Operate snow plows and salt spreaders to clear snow and ice from parking lots, drive lanes, entrances, and paved surfaces. Transport crews, materials, salt, and equipment between job sites. Inspect and maintain vehicles and snow equipment and assist with manual snow removal, salting, seasonal cleanup, and street sweeping operations as needed. Work may involve overnight, weekend, holiday, and emergency weather-response shifts. Job Classification: 47-4051.00 - Highway Maintenance Workers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Driver license Must lift/carry 50 lbs., when necessary. Saturday and Sunday work required, when necessary. Maximum shifts are 12 hours per day. The actual work schedule for each day of the week is subject to change. Not every employee will work 12 hour shifts, 7 days a week. An employee may work up to 12 hours per day, but may work alternating days or may work a portion of a 12 hour shift. We will offer at least 40 hours in a typical workweek. Hours in excess of 40 will vary depending on staff and other factors to be evaluated on a daily basis. must be able to operate zero turn mowers, weed whackers, and backpack blowers. employer-paid drug testing required of foreign and domestic workers prior to commencing work and post-hire upon suspicion of use and post-accident. post-hire background check and employment eligibility (e-verify) check required of foreign and domestic workers. driver's license required for workers who drive company vehicles. Employer may offer more than the stated work hours depending on weather, business needs, and other conditions. Extreme heat, cold, rain, or drought may affect exact working hours. Number of Hours Per Week: 40 Work Schedule (Start/End time): 7:00 A.M. - 5:00 P.M.</t>
  </si>
  <si>
    <t>H-400-26184-078032</t>
  </si>
  <si>
    <t xml:space="preserve">GTO1 CONSTRUCTION CORPORATION </t>
  </si>
  <si>
    <t xml:space="preserve">YADIRA ZEPEDA </t>
  </si>
  <si>
    <t>gtocon02@gmail.com</t>
  </si>
  <si>
    <t>+18178190609</t>
  </si>
  <si>
    <t>Lead Abatement Worker</t>
  </si>
  <si>
    <t>A Lead Abatement Worker will be specializing in removing lead based paint and other materials on surfaces such as ceilings and walls in as low as 48 F to 98 F temperature. They will be using the wet scrape method and sometimes operating high pressure sprayers, sandblasters, paint brushes, paint rollers, and paint sprayers. Their responsibilities also include wearing protective gear and safely discarding materials. Aside from physical work, a Lead Abatement Worker usually has to climb high places, maintain records and train new workers. They work in a team setting for a more safe and efficient workflow. Job Classification: 47-4041.00 - Hazardous Materials Removal Workers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The length of training will be 2 days prior to the employees being able to begin to do any rehab or lead abatement on the projects the employer has lined up. The cost of training is $300 and the certificate is $103 which is paid directly by the employer. The remaining 3 days of the work week will be for the employees to be taken to the job site and shadow the staff to view how the work is completed. The employee will receive the training certificate completion. The employer will not require the employee to reimburse the employer for the cost of training. They must wear protective gear ad safely discard materials. (On F.a.8. Training: number of months required = it does not allow us to put days. It says we must put a minimum of a month OR if no training is needed put 0 in the placeholder. Since there is training required, we put a minimum of 1. Nonetheless, we want to reiterate that training is only 2 days long, but since we cannot put days, we wanted to specify that here. The job order also matches what we are listing here which it is only 2 days of training and 3 days of shadowing.) Number of Hours Per Week: 40 Work Schedule (Start/End time): 7:30 A.M. - 5:00 P.M.</t>
  </si>
  <si>
    <t>H-400-26184-078030</t>
  </si>
  <si>
    <t>HIDEAWAY BEACH ASSOCIATION</t>
  </si>
  <si>
    <t>H2B2026@hideawaybeachclub.org</t>
  </si>
  <si>
    <t>+12396422812</t>
  </si>
  <si>
    <t>Directly supervise and coordinate activities of workers engaged in preparing and serving food. Coordinate daily work assignments, schedule tasks, and ensure staff are properly deployed to meet operational needs during each shift. Monitor workflow between food preparation and service areas to maintain efficient operations and timely customer service. (2) workers needed. Dates of need: 10/1/26-5/31/27. Rotating shifts. Workdays: Mon-Sun. Work hours: 7am-11pm. Rate of pay: $24.46-$27/hr based on performance, $36.69-$40.50/hr overtime. Workers paid biweekly. 35 hours/wk. Optional housing provided for $26/day with a $200 deposit ($150 refundable, $50 non-refundable: Deposit will be deducted from employee’s second and third paycheck in $100 increments. $50 of this deposit is ineligible for refund as it will cover partial cleaning costs. Deposit refundable upon completing of contract &amp; housing inspection. Additional charges may apply for damages or missing items). Benefits include Christmas Bonus and 401k eligibility. Partial uniforms and shift meals provided. Job location: 250 South Beach Drive, Marco Island, FL 34145. Work is temporary full time employment. A single workweek will be used to compute wages. May get up to 10 hours of overtime when available. All deductions from the worker's paycheck required by law will be made. The employer will provide workers at no charge all tools, supplies, and equipment required to perform the job. The worker will be provided with or reimbursed for transportation and subsistence (including reasonable cost of overnight lodging where necessary up to $110/night for lodging with receipts.) at a rate of $16.78 per day during travel to a maximum of $68.00 per day with receipts from the place from which the worker has come to work for the employer, whether in the U.S. or abroad, to the place of employment, if the worker completes 50 percent of the period of employment covered by the job order, consistent with 20 CFR 655.20(j)(1)(i) by inclusion in the paycheck for the applicable week. Employer will provide or pay for the worker's cost of return transportation and daily subsistence from the place of employment to the place from which the worker, disregarding intervening employment, departed to work for the employer, if the worker completes the certified period of employment or is dismissed from employment for any reason by the employer before the end of the period, consistent with § 655.20(j)(1)(ii); H-2B workers will be reimbursed in the first workweek for all visas, visa processing, border crossing, and other related fees, including those mandated by the government (excluding passport fees). The employer will provide workers all tools, supplies, and equipment required to perform the job at no charge to the worker, in accordance with 20 CFR 655.20(k). Qualified applicants may mail resume to Attn: Pamela Radcliff at 250 South Beach Drive, Marco Island, FL 34145, email to H2B2026@hideawaybeachclub.org or visit your local job center at 3050 Horseshoe Drive North Building A Suite 110 Naples, FL 34104. *Your security deposit is refundable upon completion of your contract and upon inspection of the housing. If a worker abandons their job without permission of the employer or a worker abandons their housing before the end of the petition date for any reason except employer termination, the workers forfeits all housing deposits, PTO, vacation and bonus pay. Upon termination of resignation, the worker must vacate the housing immediately thereafter unless agreed upon by the employer.* Job Classification: 35-1012.00 - First-Line Supervisors of Food Preparation and Serving Workers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Number of Hours Per Week: 35 Work Schedule (Start/End time): 7:00 A.M. - 11:00 P.M.</t>
  </si>
  <si>
    <t>H-400-26184-078036</t>
  </si>
  <si>
    <t>Monitor activities at facility. May provide administrative assistance to membership, including checking membership cards, confirming reservations arranging merchandise &amp; providing facility info, minor cleaning. Work is performed at a private beach club and recreational facility, including pool, beach, dining, retail, and member activity areas, where workers monitor guest and member activities to ensure compliance with club policies and safe use of amenities. Administrative assistance includes greeting members and guests, answering basic questions regarding club amenities and events, verifying reservations, maintaining sign-in/check-in records, and communicating member information to supervisors or appropriate departments. Arranging merchandise includes organizing, stocking, displaying, and replenishing retail items such as apparel, towels, sunscreen, snacks, beverages, and other club-related merchandise in designated sales or storage areas. Minor cleaning duties include wiping counters and tables, sanitizing surfaces, collecting trash, sweeping common areas, and maintaining cleanliness of poolside, dining, retail, and recreational areas using basic cleaning products and equipment such as brooms, mops, disinfectants, towels, and trash receptacles. (4) workers needed. Dates of need: 10/1/26-5/31/27. Rotating shifts. Workdays: Mon-Sun. Work hours: 7am-11pm. Rate of pay: $19-$25/hr based on performance, $28.50-$37.50/hr overtime. Workers paid biweekly. 35 hours/wk. Optional housing provided for $26/day with a $200 deposit ($150 refundable, $50 non-refundable: Deposit will be deducted from employee’s second and third paycheck in $100 increments. $50 of this deposit is ineligible for refund as it will cover partial cleaning costs. Deposit refundable upon completing of contract &amp; housing inspection. Additional charges may apply for damages or missing items). Benefits include Christmas Bonus and 401k eligibility. Partial uniforms and shift meals provided. Job location: 250 South Beach Drive, Marco Island, FL 34145. Work is temporary full time employment. A single workweek will be used to compute wages. May get up to 10 hours of overtime when available. All deductions from the worker's paycheck required by law will be made. The employer will provide workers at no charge all tools, supplies, and equipment required to perform the job. The worker will be provided with or reimbursed for transportation and subsistence (including reasonable cost of overnight lodging where necessary up to $110/night for lodging with receipts.) at a rate of $16.78 per day during travel to a maximum of $68.00 per day with receipts from the place from which the worker has come to work for the employer, whether in the U.S. or abroad, to the place of employment, if the worker completes 50 percent of the period of employment covered by the job order, consistent with 20 CFR 655.20(j)(1)(i) by inclusion in the paycheck for the applicable week. Employer will provide or pay for the worker's cost of return transportation and daily subsistence from the place of employment to the place from which the worker, disregarding intervening employment, departed to work for the employer, if the worker completes the certified period of employment or is dismissed from employment for any reason by the employer before the end of the period, consistent with § 655.20(j)(1)(ii); H-2B workers will be reimbursed in the first workweek for all visas, visa processing, border crossing, and other related fees, including those mandated by the government (excluding passport fees). The employer will provide workers all tools, supplies, and equipment required to perform the job at no charge to the worker, in accordance with 20 CFR 655.20(k). Qualified applicants may mail resume to Attn: Pamela Radcliff at 250 South Beach Drive, Marco Island, FL 34145, email to H2B2026@hideawaybeachclub.org or visit your local job center at 3050 Horseshoe Drive North Building A Job Classification: 37-2012.00 - Maids and Housekeeping Cleaners The job/industry classification and description includes general information on the position from ONET/OES and the North American Industry Classification System. Please review Job Duties and Job Order for more information. Job Requirements Experience Required: No Number of Hours Per Week: 35 Work Schedule (Start/End time): 7:00 A.M. - 11:00 P.M.</t>
  </si>
  <si>
    <t>H-400-26184-078038</t>
  </si>
  <si>
    <t>Prepare, cook, saute, broil, fry such items as seafood, meats, poultry, vegetables, pastas, soups. Keeps kitchen areas clean &amp; sanitized (11) workers needed. Dates of need: 10/1/26-5/31/27. 3 months experience necessary. Rotating shifts. Workdays: Mon-Sun. Work hours: 7am-11pm. Rate of pay: $19.88-$24/hr based on performance, $29.82-$36/hr overtime. Workers paid biweekly. 35 hours/wk. Optional housing provided for $26/day with a $200 deposit ($150 refundable, $50 non-refundable: Deposit will be deducted from employee’s second and third paycheck in $100 increments. $50 of this deposit is ineligible for refund as it will cover partial cleaning costs. Deposit refundable upon completing of contract &amp; housing inspection. Additional charges may apply for damages or missing items). Benefits include Christmas Bonus and 401k eligibility. Partial uniforms and shift meals provided. Job location: 250 South Beach Drive, Marco Island, FL 34145. Work is temporary full time employment. A single workweek will be used to compute wages. May get up to 10 hours of overtime when available. All deductions from the worker's paycheck required by law will be made. The employer will provide workers at no charge all tools, supplies, and equipment required to perform the job. The worker will be provided with or reimbursed for transportation and subsistence (including reasonable cost of overnight lodging where necessary up to $110/night for lodging with receipts.) at a rate of $16.78 per day during travel to a maximum of $68.00 per day with receipts from the place from which the worker has come to work for the employer, whether in the U.S. or abroad, to the place of employment, if the worker completes 50 percent of the period of employment covered by the job order, consistent with 20 CFR 655.20(j)(1)(i) by inclusion in the paycheck for the applicable week. Employer will provide or pay for the worker's cost of return transportation and daily subsistence from the place of employment to the place from which the worker, disregarding intervening employment, departed to work for the employer, if the worker completes the certified period of employment or is dismissed from employment for any reason by the employer before the end of the period, consistent with § 655.20(j)(1)(ii); H-2B workers will be reimbursed in the first workweek for all visas, visa processing, border crossing, and other related fees, including those mandated by the government (excluding passport fees). The employer will provide workers all tools, supplies, and equipment required to perform the job at no charge to the worker, in accordance with 20 CFR 655.20(k). Qualified applicants may mail resume to Attn: Pamela Radcliff at 250 South Beach Drive, Marco Island, FL 34145, email to H2B2026@hideawaybeachclub.org or visit your local job center at 3050 Horseshoe Drive North Building A Suite 110 Naples, FL 34104. *Your security deposit is refundable upon completion of your contract and upon inspection of the housing. If a worker abandons their job without permission of the employer or a worker abandons their housing before the end of the petition date for any reason except employer termination, the workers forfeits all housing deposits, PTO, vacation and bonus pay. Upon termination of resignation, the worker must vacate the housing immediately thereafter unless agreed upon by the employer.* Job Classification: 35-2014.00 - Cooks, Restaurant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Number of Hours Per Week: 35 Work Schedule (Start/End time): 7:00 A.M. - 11:00 P.M.</t>
  </si>
  <si>
    <t>H-400-26184-078041</t>
  </si>
  <si>
    <t>Clean off &amp; set tables, bring food out from kitchen to tables &amp; bars, serve coffee/ water. (3) workers needed. Dates of need: 10/1/26-5/31/27. 3 months experience necessary. Rotating shifts. Workdays: Mon-Sun. Work hours: 7am-11pm. Rate of pay: $15.45-$20.45/hr plus tips but no less than $16.35/hr, $24.53/hr overtime. Workers paid biweekly. 35 hours/wk. Optional housing provided for $26/day with a $200 deposit ($150 refundable, $50 non-refundable: Deposit will be deducted from employee’s second and third paycheck in $100 increments. $50 of this deposit is ineligible for refund as it will cover partial cleaning costs. Deposit refundable upon completing of contract &amp; housing inspection. Additional charges may apply for damages or missing items). Benefits include Christmas Bonus and 401k eligibility. Partial uniforms and shift meals provided. Job location: 250 South Beach Drive, Marco Island, FL 34145. Work is temporary full time employment. A single workweek will be used to compute wages. May get up to 10 hours of overtime when available. All deductions from the worker's paycheck required by law will be made. The employer will provide workers at no charge all tools, supplies, and equipment required to perform the job. The worker will be provided with or reimbursed for transportation and subsistence (including reasonable cost of overnight lodging where necessary up to $110/night for lodging with receipts.) at a rate of $16.78 per day during travel to a maximum of $68.00 per day with receipts from the place from which the worker has come to work for the employer, whether in the U.S. or abroad, to the place of employment, if the worker completes 50 percent of the period of employment covered by the job order, consistent with 20 CFR 655.20(j)(1)(i) by inclusion in the paycheck for the applicable week. Employer will provide or pay for the worker's cost of return transportation and daily subsistence from the place of employment to the place from which the worker, disregarding intervening employment, departed to work for the employer, if the worker completes the certified period of employment or is dismissed from employment for any reason by the employer before the end of the period, consistent with § 655.20(j)(1)(ii); H-2B workers will be reimbursed in the first workweek for all visas, visa processing, border crossing, and other related fees, including those mandated by the government (excluding passport fees). The employer will provide workers all tools, supplies, and equipment required to perform the job at no charge to the worker, in accordance with 20 CFR 655.20(k). Qualified applicants may mail resume to Attn: Pamela Radcliff at 250 South Beach Drive, Marco Island, FL 34145, email to H2B2026@hideawaybeachclub.org or visit your local job center at 3050 Horseshoe Drive North Building A Suite 110 Naples, FL 34104. *Your security deposit is refundable upon completion of your contract and upon inspection of the housing. If a worker abandons their job without permission of the employer or a worker abandons their housing before the end of the petition date for any reason except employer termination, the workers forfeits all housing deposits, PTO, vacation and bonus pay. Upon termination of resignation, the worker must vacate the housing immediately thereafter unless agreed upon by the employer.* Job Classification: 35-9011.00 - Dining Room and Cafeteria Attendants and Bartender Helpers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Number of Hours Per Week: 35 Work Schedule (Start/End time): 7:00 A.M. - 11:00 P.M.</t>
  </si>
  <si>
    <t>H-400-26184-078040</t>
  </si>
  <si>
    <t>Restaurant Supervisor</t>
  </si>
  <si>
    <t>Perform various financial activities, including cash handling and balancing cash receipts at the end of the day or shift. Resolve customer complaints regarding food service and ensure customer satisfaction. Present bills and accept payments. Prepare and maintain work schedules for dining room employees, including servers, hosts/hostesses, bussers, and food service staff. Supervise and coordinate the daily activities of front-of-house dining room employees during assigned shifts. Monitor employee attendance, assign work duties, and ensure staff follow company policies and customer service standards. Train new dining room employees on workplace procedures, safety standards, and customer service practices. Assist management in overseeing smooth restaurant operations and maintaining quality service standards. Communicate operational issues or staffing concerns to upper management as needed (4) workers needed. Dates of need: 10/1/26-5/31/27. 3 months experience necessary. Rotating shifts. Workdays: Mon-Sun. Work hours: 7am-11pm. Rate of pay: $25-$30/hr based on performance, $37.50-$45/hr overtime. Workers paid biweekly. 35 hours/wk. Optional housing provided for $26/day with a $200 deposit ($150 refundable, $50 non-refundable: Deposit will be deducted from employee’s second and third paycheck in $100 increments. $50 of this deposit is ineligible for refund as it will cover partial cleaning costs. Deposit refundable upon completing of contract &amp; housing inspection. Additional charges may apply for damages or missing items). Benefits include Christmas Bonus and 401k eligibility. Partial uniforms and shift meals provided. Job location: 250 South Beach Drive, Marco Island, FL 34145. Work is temporary full time employment. A single workweek will be used to compute wages. May get up to 10 hours of overtime when available. All deductions from the worker's paycheck required by law will be made. The employer will provide workers at no charge all tools, supplies, and equipment required to perform the job. The worker will be provided with or reimbursed for transportation and subsistence (including reasonable cost of overnight lodging where necessary up to $110/night for lodging with receipts.) at a rate of $16.78 per day during travel to a maximum of $68.00 per day with receipts from the place from which the worker has come to work for the employer, whether in the U.S. or abroad, to the place of employment, if the worker completes 50 percent of the period of employment covered by the job order, consistent with 20 CFR 655.20(j)(1)(i) by inclusion in the paycheck for the applicable week. Employer will provide or pay for the worker's cost of return transportation and daily subsistence from the place of employment to the place from which the worker, disregarding intervening employment, departed to work for the employer, if the worker completes the certified period of employment or is dismissed from employment for any reason by the employer before the end of the period, consistent with § 655.20(j)(1)(ii); H-2B workers will be reimbursed in the first workweek for all visas, visa processing, border crossing, and other related fees, including those mandated by the government (excluding passport fees). The employer will provide workers all tools, supplies, and equipment required to perform the job at no charge to the worker, in accordance with 20 CFR 655.20(k). Qualified applicants may mail resume to Attn: Pamela Radcliff at 250 South Beach Drive, Marco Island, FL 34145, email to H2B2026@hideawaybeachclub.org or visit your local job center at 3050 Horseshoe Drive North Building A Suite 110 Naples, FL 34104. *Your security deposit is refundable upon completion of your contract and upon inspection of the housing. If a worker abandons their job without permission of the employer or a worker abandons their housing before the end of the petition date for any reason except employer termination, the workers forfeits all housing deposits, PTO, vacati Job Classification: 35-1012.00 - First-Line Supervisors of Food Preparation and Serving Workers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Number of Hours Per Week: 35 Work Schedule (Start/End time): 7:00 A.M. - 11:00 P.M.</t>
  </si>
  <si>
    <t>H-400-26184-078043</t>
  </si>
  <si>
    <t>Take orders, serve food &amp; beverages to guests. Clean off &amp; set tables. Take payments, give receipts. Keep all stations stocked (20) workers needed. Dates of need: 10/1/26-5/31/27. 3 months experience necessary. Rotating shifts. Workdays: Mon-Sun. Work hours: 7am-11pm. Rate of pay: $9.15-$14.15/hr plus tips but no less than $20.13/hr, $30.20/hr overtime. Workers paid biweekly. 35 hours/wk. Optional housing provided for $26/day with a $200 deposit ($150 refundable, $50 non-refundable: Deposit will be deducted from employee’s second and third paycheck in $100 increments. $50 of this deposit is ineligible for refund as it will cover partial cleaning costs. Deposit refundable upon completing of contract &amp; housing inspection. Additional charges may apply for damages or missing items). Benefits include Christmas Bonus and 401k eligibility. Partial uniforms and shift meals provided. Job location: 250 South Beach Drive, Marco Island, FL 34145. Work is temporary full time employment. A single workweek will be used to compute wages. May get up to 10 hours of overtime when available. All deductions from the worker's paycheck required by law will be made. The employer will provide workers at no charge all tools, supplies, and equipment required to perform the job. The worker will be provided with or reimbursed for transportation and subsistence (including reasonable cost of overnight lodging where necessary up to $110/night for lodging with receipts.) at a rate of $16.78 per day during travel to a maximum of $68.00 per day with receipts from the place from which the worker has come to work for the employer, whether in the U.S. or abroad, to the place of employment, if the worker completes 50 percent of the period of employment covered by the job order, consistent with 20 CFR 655.20(j)(1)(i) by inclusion in the paycheck for the applicable week. Employer will provide or pay for the worker's cost of return transportation and daily subsistence from the place of employment to the place from which the worker, disregarding intervening employment, departed to work for the employer, if the worker completes the certified period of employment or is dismissed from employment for any reason by the employer before the end of the period, consistent with § 655.20(j)(1)(ii); H-2B workers will be reimbursed in the first workweek for all visas, visa processing, border crossing, and other related fees, including those mandated by the government (excluding passport fees). The employer will provide workers all tools, supplies, and equipment required to perform the job at no charge to the worker, in accordance with 20 CFR 655.20(k). Qualified applicants may mail resume to Attn: Pamela Radcliff at 250 South Beach Drive, Marco Island, FL 34145, email to H2B2026@hideawaybeachclub.orgor visit your local job center at 3050 Horseshoe Drive North Building A Suite 110 Naples, FL 34104. *Your security deposit is refundable upon completion of your contract and upon inspection of the housing. If a worker abandons their job without permission of the employer or a worker abandons their housing before the end of the petition date for any reason except employer termination, the workers forfeits all housing deposits, PTO, vacation and bonus pay. Upon termination of resignation, the worker must vacate the housing immediately thereafter unless agreed upon by the employer.* Job Classification: 35-3031.00 - Waiters and Waitresses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Number of Hours Per Week: 35 Work Schedule (Start/End time): 7:00 A.M. - 11:00 P.M.</t>
  </si>
  <si>
    <t>H-400-26184-078034</t>
  </si>
  <si>
    <t>IKLW, LLC</t>
  </si>
  <si>
    <t>13/06/2027</t>
  </si>
  <si>
    <t>ANNA@ISLANDKITCHEN.COM</t>
  </si>
  <si>
    <t>Cooks, All Other</t>
  </si>
  <si>
    <t>***RFI response*** The worker will be employed by an off-premise catering company that prepares and serves food for private events, such as, corporate functions, weddings, festivals, etc. Food is prepared in a commercial kitchen and transported to event locations where it is cooked, finished, and served from a mobile food truck and catering stations. Prior to events, the worker will assist with food preparation by washing, peeling, cutting, slicing, chopping, portioning, marinating, and assembling ingredients; preparing sandwiches, wraps, salads, tacos, burgers, grilled items, seafood, breakfast items, side dishes, and other quick-service menu items; stocking and organizing ingredients; labeling and storing food; and loading food, supplies, and equipment onto catering vehicles and food trucks. At catering events and on the food truck, the worker will prepare, cook, heat, grill, fry, sauté, assemble, garnish, and serve menu items according to established recipes and food safety standards. The worker will operate flat-top grills, griddles, fryers, ovens, steam tables, food warmers, microwaves, toasters, induction burners, and other standard commercial food-service equipment to cook and finish food orders. Duties include monitoring cooking times and temperatures, replenishing ingredients and supplies, maintaining food presentation standards, packaging orders, and coordinating with other kitchen and service staff to ensure timely food service. The worker will use knives, cutting boards, mixing bowls, measuring utensils, food pans, tongs, spatulas, ladles, thermometers, food storage containers, cleaning supplies, and other standard kitchen tools and materials. The worker will handle meats, poultry, seafood, vegetables, fruits, breads, dairy products, sauces, seasonings, oils, and other food ingredients used in catering operations. Additional duties include maintaining clean and sanitary food preparation, cooking, and service areas; cleaning and sanitizing equipment and work surfaces; disposing of waste; receiving and storing supplies; and assisting with setup and breakdown of catering sites and food truck operations. ***Original*** WILL TRAIN TO PREPARE AND COOK ITEMS THAT REQUIRE ONLY A SHORT PREPARATION TIME. ALSO, PLATE AND GARNISH, AND STORE FOOD. PRACTICE SANITARY FOOD PROCEDURES. REQUIRED TO CLEAN WORK EQUIPMENT AND AREAS. TRAVEL TO DIFFERENT WORK SITES WILL BE PROVIDED BY EMPLOYER. SHIFT REQUIRED TO WORK IS: 2PM-10PM, 40 HOURS PER WEEK, 5 DAYS PER WEEK, WEDNESDAY THROUGH SUNDAY. OVERTIME MAY BE AVAILABLE. Job Classification: 35-2019.00 - Cooks, All Other The job/industry classification and description includes general information on the position from ONET/OES and the North American Industry Classification System. Please review Job Duties and Job Order for more information. Job Requirements Experience Required: No Number of Hours Per Week: 40 Work Schedule (Start/End time): 2:00 P.M. - 10:00 P.M.</t>
  </si>
  <si>
    <t>H-400-26184-078075</t>
  </si>
  <si>
    <t>J&amp;C MILLWORK, LLC</t>
  </si>
  <si>
    <t>+12109523450</t>
  </si>
  <si>
    <t>Helper Carpenter</t>
  </si>
  <si>
    <t>Help experience carpenters with various tasks during construction and repair projects. Duties include gathering and supplying materials, cleaning work areas and equipment, using power tools, and performing tasks like measuring, cutting, and assembling materials. Will assist with tasks like setting up temporary structures or installing fixtures. Job Classification: 47-3012.00 - Helpers--Carpenters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"1hr Lunch Break" Number of Hours Per Week: 40 Work Schedule (Start/End time): 8:00 A.M. - 5:00 P.M.</t>
  </si>
  <si>
    <t>H-400-26184-078045</t>
  </si>
  <si>
    <t>KENSINGTON GOLF &amp; COUNTRY CLUB</t>
  </si>
  <si>
    <t>4hr@kensingtoncc.com</t>
  </si>
  <si>
    <t>+12396494440</t>
  </si>
  <si>
    <t>Monitor guest and member activities at recreational facility, including pool, fitness, lounge, and common recreation areas, to ensure compliance with facility rules and safe use of equipment and amenities. Provide administrative assistance to members and guests by checking membership cards, confirming reservations, answering questions regarding facility services, schedules, and activities, and assisting with guest check-in procedures. Arrange and restock merchandise such as towels, snacks, beverages, apparel, and recreational supplies in designated display and storage areas. Maintain records of reservations, guest attendance, and equipment usage using basic computer systems and office equipment. Distribute recreational equipment and supplies and collect items after use. Perform minor cleaning duties, including wiping tables and counters, cleaning recreational equipment, emptying trash receptacles, sweeping and mopping common areas, and restocking restroom and guest supplies. Use standard cleaning products and equipment, including disinfectants, mops, brooms, vacuums, and cleaning cloths. (3) workers needed. Dates of need: 10/1/26-5/31/27. 3 months experience necessary. Rotating shifts. Workdays: Mon-Sun. Work hours: 7am-10pm. Rate of pay: $17-$18.50/hr based on performance, $25.50-$27.75/hr overtime. Workers paid biweekly. 35 hours/wk. Optional housing provided for $29-$32/day (Any amount above $150 for electric for 2 bedroom apartments and above $200 for three bedroom apartments, will be your responsibility). $500 refundable deposit upon completion of contract and upon inspection of the housing. Uniforms and shift meals provided. Job location: 2700 Pine Ridge Rd. Naples , FL 34109 Work is temporary full time employment. A single workweek will be used to compute wages. May get up to 10 hours of overtime when available. All deductions from the worker's paycheck required by law will be made. The employer will provide workers at no charge all tools, supplies, and equipment required to perform the job. The worker will be provided with or reimbursed for transportation and subsistence (including reasonable cost of overnight lodging where necessary up to $110/night for lodging with receipts.) at a rate of $16.78 per day during travel to a maximum of $68.00 per day with receipts from the place from which the worker has come to work for the employer, whether in the U.S. or abroad, to the place of employment, if the worker completes 50 percent of the period of employment covered by the job order, consistent with 20 CFR 655.20(j)(1)(i) by inclusion in the paycheck for the applicable week. Employer will provide or pay for the worker's cost of return transportation and daily subsistence from the place of employment to the place from which the worker, disregarding intervening employment, departed to work for the employer, if the worker completes the certified period of employment or is dismissed from employment for any reason by the employer before the end of the period, consistent with § 655.20(j)(1)(ii); H-2B workers will be reimbursed in the first workweek for all visas, visa processing, border crossing, and other related fees, including those mandated by the government (excluding passport fees). The employer will provide workers all tools, supplies, and equipment required to perform the job at no charge to the worker, in accordance with 20 CFR 655.20(k). Qualified applicants may mail resume to Attn: Jose Detaille at 2700 Pine Ridge Rd. Naples , FL 34109, email to 4hr@kensingtoncc.com, or visit your local job center at 3050 Horseshoe Drive North Building A Suite 110, Naples, FL 34104 *Your security deposit is refundable upon completion of your contract and upon inspection of the housing. If a worker abandons their job without permission of the employer or a worker abandons their housing before the end of the petition date for any reason except employer termination, the workers forfeits all housing deposits, PTO, vacation and bonus Job Classification: 37-2012.00 - Maids and Housekeeping Cleaners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Number of Hours Per Week: 35 Work Schedule (Start/End time): 7:00 A.M. - 10:00 P.M.</t>
  </si>
  <si>
    <t>H-400-26184-078052</t>
  </si>
  <si>
    <t>Prepare, cook, saute, broil, fry such items as seafood, meats, poultry, vegetables, pastas, soups. Keeps kitchen areas clean &amp; sanitized. Stores all products in proper locations and all other cook related services (17) workers needed. Dates of need: 10/1/26-5/31/27. 3 months experience necessary. Rotating shifts. Workdays: Mon-Sun. Work hours: 7am-10pm. Rate of pay: $19-$27/hr based on performance, $28.50-$40.50/hr overtime. Workers paid biweekly. 35 hours/wk. Optional housing provided for $29-$32/day (Any amount above $150 for electric for 2 bedroom apartments and above $200 for three bedroom apartments, will be your responsibility). $500 refundable deposit upon completion of contract and upon inspection of the housing. Uniforms and shift meals provided. Job location: 2700 Pine Ridge Rd. Naples , FL 34109 Work is temporary full time employment. A single workweek will be used to compute wages. May get up to 10 hours of overtime when available. All deductions from the worker's paycheck required by law will be made. The employer will provide workers at no charge all tools, supplies, and equipment required to perform the job. The worker will be provided with or reimbursed for transportation and subsistence (including reasonable cost of overnight lodging where necessary up to $110/night for lodging with receipts.) at a rate of $16.78 per day during travel to a maximum of $68.00 per day with receipts from the place from which the worker has come to work for the employer, whether in the U.S. or abroad, to the place of employment, if the worker completes 50 percent of the period of employment covered by the job order, consistent with 20 CFR 655.20(j)(1)(i) by inclusion in the paycheck for the applicable week. Employer will provide or pay for the worker's cost of return transportation and daily subsistence from the place of employment to the place from which the worker, disregarding intervening employment, departed to work for the employer, if the worker completes the certified period of employment or is dismissed from employment for any reason by the employer before the end of the period, consistent with § 655.20(j)(1)(ii); H-2B workers will be reimbursed in the first workweek for all visas, visa processing, border crossing, and other related fees, including those mandated by the government (excluding passport fees). The employer will provide workers all tools, supplies, and equipment required to perform the job at no charge to the worker, in accordance with 20 CFR 655.20(k). Qualified applicants may mail resume to Attn: Jose Detaille at 2700 Pine Ridge Rd. Naples , FL 34109, email to 4hr@kensingtoncc.com, or visit your local job center at 3050 Horseshoe Drive North Building A Suite 110, Naples, FL 34104 *Your security deposit is refundable upon completion of your contract and upon inspection of the housing. If a worker abandons their job without permission of the employer or a worker abandons their housing before the end of the petition date for any reason except employer termination, the workers forfeits all housing deposits, PTO, vacation and bonus pay. Upon termination of resignation, the worker must vacate the housing immediately thereafter unless agreed upon by the employer.* Job Classification: 35-2014.00 - Cooks, Restaurant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Number of Hours Per Week: 35 Work Schedule (Start/End time): 7:00 A.M. - 10:00 P.M.</t>
  </si>
  <si>
    <t>H-400-26184-078053</t>
  </si>
  <si>
    <t>Dishwashers</t>
  </si>
  <si>
    <t>Wash, dry pots, pans, glassware, utensils by hand and with machine. Keep kitchen. Areas clean, take garbage out to dumpster (4) workers needed. Dates of need: 10/1/26-5/31/27. Rotating shifts. Workdays: Mon-Sun. Work hours: 7am-10pm. Rate of pay: $14.79-$18.50/hr based on performance, $22.19-$27.75/hr overtime. Workers paid biweekly. 35 hours/wk. Optional housing provided for $29-$32/day (Any amount above $150 for electric for 2 bedroom apartments and above $200 for three bedroom apartments, will be your responsibility). $500 refundable deposit upon completion of contract and upon inspection of the housing. Uniforms and shift meals provided. Job location: 2700 Pine Ridge Rd. Naples , FL 34109 Work is temporary full time employment. A single workweek will be used to compute wages. May get up to 10 hours of overtime when available. All deductions from the worker's paycheck required by law will be made. The employer will provide workers at no charge all tools, supplies, and equipment required to perform the job. The worker will be provided with or reimbursed for transportation and subsistence (including reasonable cost of overnight lodging where necessary up to $110/night for lodging with receipts.) at a rate of $16.78 per day during travel to a maximum of $68.00 per day with receipts from the place from which the worker has come to work for the employer, whether in the U.S. or abroad, to the place of employment, if the worker completes 50 percent of the period of employment covered by the job order, consistent with 20 CFR 655.20(j)(1)(i) by inclusion in the paycheck for the applicable week. Employer will provide or pay for the worker's cost of return transportation and daily subsistence from the place of employment to the place from which the worker, disregarding intervening employment, departed to work for the employer, if the worker completes the certified period of employment or is dismissed from employment for any reason by the employer before the end of the period, consistent with § 655.20(j)(1)(ii); H-2B workers will be reimbursed in the first workweek for all visas, visa processing, border crossing, and other related fees, including those mandated by the government (excluding passport fees). The employer will provide workers all tools, supplies, and equipment required to perform the job at no charge to the worker, in accordance with 20 CFR 655.20(k). Qualified applicants may mail resume to Attn: Jose Detaille at 2700 Pine Ridge Rd. Naples , FL 34109, email to 4hr@kensingtoncc.com, or visit your local job center at 3050 Horseshoe Drive North Building A Suite 110, Naples, FL 34104 *Your security deposit is refundable upon completion of your contract and upon inspection of the housing. If a worker abandons their job without permission of the employer or a worker abandons their housing before the end of the petition date for any reason except employer termination, the workers forfeits all housing deposits, PTO, vacation and bonus pay. Upon termination of resignation, the worker must vacate the housing immediately thereafter unless agreed upon by the employer.* Job Classification: 35-9021.00 - Dishwashers The job/industry classification and description includes general information on the position from ONET/OES and the North American Industry Classification System. Please review Job Duties and Job Order for more information. Job Requirements Experience Required: No Number of Hours Per Week: 35 Work Schedule (Start/End time): 7:00 A.M. - 10:00 P.M.</t>
  </si>
  <si>
    <t>H-400-26184-078054</t>
  </si>
  <si>
    <t>Take orders, serve food &amp; beverages to guests. Clean off &amp; set tables. Take payments, give receipts. Keep all stations stocked and all other server related services (22) workers needed. Dates of need: 10/1/26-5/31/27. 3 months experience necessary. Rotating shifts. Workdays: Mon-Sun. Work hours: 7am-10pm. Rate of pay: $11.98-$13.40/hr plus tips but no less than $18.71 /hr, $28.07/hr overtime. Workers paid biweekly. 35 hours/wk. Optional housing provided for $29-$32/day (Any amount above $150 for electric for 2 bedroom apartments and above $200 for three bedroom apartments, will be your responsibility). $500 refundable deposit upon completion of contract and upon inspection of the housing. Uniforms and shift meals provided. Job location: 2700 Pine Ridge Rd. Naples , FL 34109 Work is temporary full time employment. A single workweek will be used to compute wages. May get up to 10 hours of overtime when available. All deductions from the worker's paycheck required by law will be made. The employer will provide workers at no charge all tools, supplies, and equipment required to perform the job. The worker will be provided with or reimbursed for transportation and subsistence (including reasonable cost of overnight lodging where necessary up to $110/night for lodging with receipts.) at a rate of $16.78 per day during travel to a maximum of $68.00 per day with receipts from the place from which the worker has come to work for the employer, whether in the U.S. or abroad, to the place of employment, if the worker completes 50 percent of the period of employment covered by the job order, consistent with 20 CFR 655.20(j)(1)(i) by inclusion in the paycheck for the applicable week. Employer will provide or pay for the worker's cost of return transportation and daily subsistence from the place of employment to the place from which the worker, disregarding intervening employment, departed to work for the employer, if the worker completes the certified period of employment or is dismissed from employment for any reason by the employer before the end of the period, consistent with § 655.20(j)(1)(ii); H-2B workers will be reimbursed in the first workweek for all visas, visa processing, border crossing, and other related fees, including those mandated by the government (excluding passport fees). The employer will provide workers all tools, supplies, and equipment required to perform the job at no charge to the worker, in accordance with 20 CFR 655.20(k). Qualified applicants may mail resume to Attn: Jose Detaille at 2700 Pine Ridge Rd. Naples , FL 34109, email to 4hr@kensingtoncc.com, or visit your local job center at 3050 Horseshoe Drive North Building A Suite 110, Naples, FL 34104 *Your security deposit is refundable upon completion of your contract and upon inspection of the housing. If a worker abandons their job without permission of the employer or a worker abandons their housing before the end of the petition date for any reason except employer termination, the workers forfeits all housing deposits, PTO, vacation and bonus pay. Upon termination of resignation, the worker must vacate the housing immediately thereafter unless agreed upon by the employer.* Job Classification: 35-3031.00 - Waiters and Waitresses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Number of Hours Per Week: 35 Work Schedule (Start/End time): 7:00 A.M. - 10:00 P.M.</t>
  </si>
  <si>
    <t>H-400-26184-078015</t>
  </si>
  <si>
    <t>Manatt’s Inc.</t>
  </si>
  <si>
    <t>susane@manatts.com</t>
  </si>
  <si>
    <t>+16415229206</t>
  </si>
  <si>
    <t>Winter Paving, Surfacing, and Tamping Equipment Operators</t>
  </si>
  <si>
    <t>As a paving, surfacing, and tamping equipment operator, the worker will operate paving equipment used for applying concrete, asphalt, and other materials to roadbeds, parking lots, or airport runways and taxiways or for tamping gravel, dirt, or other materials. The equipment the worker may use includes concrete and asphalt paving machine operators, form tampers, tamping machine operators, and stone spreader operators. Fastens attachments to equipment with clevis or wedge pin hitches, connects hydraulic hoses, belts, mechanical linkage or power takeoff shaft to tractor to provide power to raise, lower or tilt attachment. Greases, oils, and performs minor repairs on equipment. Must complete a formal “winterization checklist” before seasonal shutdown or freezing weather. Participate in season closing activities such as cleaning the shops, storing equipment, fill equipment with antifreeze, clean equipment before putting it away for the season. Job Classification: 47-2071.00 - Paving, Surfacing, and Tamping Equipment Operators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6 Special Requirements: Six (6) months of related equipment operation experience required. While performing the duties of this Job, the employee is regularly required to use hands and fingers to handle or feel and reach with hands and arms. The employee is frequently required to stand; climb or balance; stoop, kneel, crouch, or crawl and talk or hear. The employee is occasionally required to stand; walk; stoop, kneel, crouch, or crawl; and taste or smell. The employee must regularly lift and/or move up to 50 pounds, frequently lift and/or move up to 75 pounds, and occasionally lift and/or move up to 100 pounds with assistance. Specific vision abilities required by this job include close vision, distance vision, color vision, peripheral vision, depth perception, and ability to adjust focus. Must be able to handle temperature extremes including cold and heat. Each applicant (U.S. and H-2B workers alike) must complete the Employers standard online employment application as part of the hiring process. The application is uniformly required of all candidates and does not impose additional or different requirements on U.S. workers. The workers will be subject to drug testing upon reasonable suspicion, paid by the employer and applied equally to all workers, U.S. and foreign/H-2B. Number of Hours Per Week: 40 Work Schedule (Start/End time): 8:00 A.M. - 5:00 P.M.</t>
  </si>
  <si>
    <t>H-400-26184-078042</t>
  </si>
  <si>
    <t>Marker 60, LLC</t>
  </si>
  <si>
    <t>csepe@cabbagekey.com</t>
  </si>
  <si>
    <t>+12392832287</t>
  </si>
  <si>
    <t>***RFI response*** Dishwashers will be responsible for washing dishes and all cooking materials by machine or hand, maintaining kitchen work areas and equipment in clean condition, sweeping and scrubbing floors, preparing various foods for cooking by our Cooks or serving by our Server-Host staff, and sorting and removing trash. Preparing foods includes peeling potatoes and carrots with handheld peelers as well as washing various vegetables. No cooking required. ***Original*** Dishwashers who will be responsible for washing dishes and all cooking materials by machine or hand, maintaining kitchen work areas and equipment in clean condition, sweeping and scrubbing floors, preparing various foods for cooking or serving, and sorting and removing trash. Job Classification: 35-9021.00 - Dishwashers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Applicant must complete preemployment background check. Three (3) months of experience restaurant, resort, or private club required. Days and Shifts: Monday - Sunday; shifts available 7 days a week. Work hours from: 10:00am to 6:00pm; 8:00am to 4:00pm; 4:00pm to 12:00am, shift hours may vary based on the time of the season, daylight, and need. Hourly Wage: $17.00 - $21.00 per hour based on merit and past experience with our company. Overtime Possible: Overtime may be available. at $25.50 - $31.50 per hour. Occasional Bonus for group events may be available as deemed appropriate by the department manager. Fringe Benefits: Tarpon Lodge: 20% discount on food &amp; beverage; 25% in the gift shop. Cabbage Key: 25% discount on food, beverage &amp; gift shop purchases. Number of Hours Per Week: 35 Work Schedule (Start/End time): 8:00 A.M. - 4:00 P.M.</t>
  </si>
  <si>
    <t>H-400-26184-078073</t>
  </si>
  <si>
    <t>Groundskeeper will be responsible for maintaining the outdoor areas of the property, ensuring they are clean, safe and visually appealing, through tasks like mowing lawns, trimming hedges, planting flowers and operating lawn care equipment. Job Classification: 37-3011.00 - Landscaping and Groundskeeping Workers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Ability to speak &amp; read English. Applicant must complete pre-employment background check. On-the-Job Training provided. Will Train. Days and Shifts: Monday - Sunday; shifts available 7 days a week. Work hours from: 10:00am to 6:00pm; 8:00am to 4:00pm; 4:00pm to 12:00am, shift hours may vary based on the time of the season, daylight, and need. Hourly Wage: $17.78 - $21.00 per hour based on merit and past experience with our company. Overtime Possible: Overtime may be available at $26.67 - $31.50 per hour. Occasional Bonus for group events may be available as deemed appropriate by the department manager. Fringe Benefits: Tarpon Lodge: 20% discount on food &amp; beverage; 25% in the gift shop. Cabbage Key: 25% discount on food, beverage &amp; gift shop purchases. Number of Hours Per Week: 35 Work Schedule (Start/End time): 8:00 A.M. - 4:00 P.M.</t>
  </si>
  <si>
    <t>H-400-26184-078033</t>
  </si>
  <si>
    <t>Marvin Lumber and Cedar Company, LLC</t>
  </si>
  <si>
    <t>Volha Andreyeva</t>
  </si>
  <si>
    <t>Apply@marvin.com</t>
  </si>
  <si>
    <t>+12183864222</t>
  </si>
  <si>
    <t>Marvin Lumber and Cedar Company, LLC, Warroad, MN, a manufacturer of wood windows and doors is offering full-time temporary employment to Production Worker positions being filled are for our manufacturing plant located in Warroad, MN. Job duties include: • Pull and prime parts for warehouse. • Assemble window sashes and window frames; apply aluminum clad to wood parts, glaze and install window sash. • May require use of woodworking, power or hand tools. • Place completed unit on tow line cart and deliver to loading dock. • Clean work area at end of shift. Temporary Production Worker positions are for the evening shift. Hours are: Mon - Thurs 3:30 p.m. - 1:30 a.m. with 0-16 hours of overtime. (2 extra hours a day and/or adding Fri night shift of up to 10 hours.) Job Classification: 51-2092.00 - Team Assemblers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There are no minimum education, training or experience requirements for these positions. Applicant must have the ability to perform job duties and the ability to pass a pre-employment criminal background check, drug test, and physical assessment. Number of Hours Per Week: 40 Work Schedule (Start/End time): 3:30 P.M. - 1:30 A.M.</t>
  </si>
  <si>
    <t>H-400-26184-078055</t>
  </si>
  <si>
    <t>Mountain Lake Corporation</t>
  </si>
  <si>
    <t>recruiting@mountainlakeflorida.com</t>
  </si>
  <si>
    <t>+18636792408</t>
  </si>
  <si>
    <t>Assign and monitor daily duties of kitchen and food service workers. Coordinate food preparation and service activities to ensure timely completion of customer orders. Train employees on food preparation, sanitation, and workplace safety procedures. Inspect food quality, presentation, and cleanliness of work areas. Schedule workers and maintain adequate staffing during shifts. Monitor inventory and communicate supply needs and operational issues to management. (2) workers needed. Dates of need: 10/1/26-5/31/27. 3 months experience necessary. Rotating shifts. Workdays: Mon-Sun. Work hours: 6am-10pm. Rate of pay: $20-$30/hr based on performance, $30-$45/hr overtime. Workers paid biweekly. 35 hours/wk. Optional housing provided for $50/week shared occupancy, $100/week single occupancy with a $300 deposit ($250 refundable / $50 non refundable) upon completing of contract &amp; housing inspection). Uniforms and shift meals provided. Job location: 2300 N. Scenic Highway, Lake Wales, FL 33898 Work is temporary full time employment. A single workweek will be used to compute wages. May get up to 10 hours of overtime when available. All deductions from the worker's paycheck required by law will be made. The employer will provide workers at no charge all tools, supplies, and equipment required to perform the job. The worker will be provided with or reimbursed for transportation and subsistence (including reasonable cost of overnight lodging where necessary up to $110/night for lodging with receipts.) at a rate of $16.78 per day during travel to a maximum of $68.00 per day with receipts from the place from which the worker has come to work for the employer, whether in the U.S. or abroad, to the place of employment, if the worker completes 50 percent of the period of employment covered by the job order, consistent with 20 CFR 655.20(j)(1)(i) by inclusion in the paycheck for the applicable week. Employer will provide or pay for the worker's cost of return transportation and daily subsistence from the place of employment to the place from which the worker, disregarding intervening employment, departed to work for the employer, if the worker completes the certified period of employment or is dismissed from employment for any reason by the employer before the end of the period, consistent with § 655.20(j)(1)(ii); H-2B workers will be reimbursed in the first workweek for all visas, visa processing, border crossing, and other related fees, including those mandated by the government (excluding passport fees). The employer will provide workers all tools, supplies, and equipment required to perform the job at no charge to the worker, in accordance with 20 CFR 655.20(k). Qualified applicants may mail resume to Attn: Aaron Langley at 2300 N. Scenic Highway, Lake Wales, FL 33898, email to recruiting@mountainlakeflorida.com, or visit your local job center at 915 Avenue East (Oakland Neighborhood Center) Haines City, FL 33844. *Your security deposit is refundable upon completion of your contract and upon inspection of the housing. If a worker abandons their job without permission of the employer or a worker abandons their housing before the end of the petition date for any reason except employer termination, the workers forfeits all housing deposits, PTO, vacation and bonus pay. Upon termination of resignation, the worker must vacate the housing immediately thereafter unless agreed upon by the employer.* Job Classification: 35-1012.00 - First-Line Supervisors of Food Preparation and Serving Workers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Number of Hours Per Week: 35 Work Schedule (Start/End time): 6:00 A.M. - 10:00 P.M.</t>
  </si>
  <si>
    <t>H-400-26184-078059</t>
  </si>
  <si>
    <t>Receiver</t>
  </si>
  <si>
    <t>Purchasing agent. Verifies and maintains records on incoming and outgoing shipments involving inventory. Duties include verifying and recording incoming merchandise or material and arranging for the transportation of products. May prepare items for shipment (1) worker needed. Dates of need: 10/1/26-5/31/27. 3 months experience necessary. Rotating shifts. Workdays: Mon-Sun. Work hours: 6am-10pm. Rate of pay: $20.25-$25/hr based on performance, $30.38-$36.38/hr overtime. Workers paid biweekly. 35 hours/wk. Optional housing provided for $50/week shared occupancy, $100/week single occupancy with a $300 deposit ($250 refundable / $50 non refundable) upon completing of contract &amp; housing inspection). Uniforms and shift meals provided. Job location: 2300 N. Scenic Highway, Lake Wales, FL 33898 Work is temporary full time employment. A single workweek will be used to compute wages. May get up to 10 hours of overtime when available. All deductions from the worker's paycheck required by law will be made. The employer will provide workers at no charge all tools, supplies, and equipment required to perform the job. The worker will be provided with or reimbursed for transportation and subsistence (including reasonable cost of overnight lodging where necessary up to $110/night for lodging with receipts.) at a rate of $16.78 per day during travel to a maximum of $68.00 per day with receipts from the place from which the worker has come to work for the employer, whether in the U.S. or abroad, to the place of employment, if the worker completes 50 percent of the period of employment covered by the job order, consistent with 20 CFR 655.20(j)(1)(i) by inclusion in the paycheck for the applicable week. Employer will provide or pay for the worker's cost of return transportation and daily subsistence from the place of employment to the place from which the worker, disregarding intervening employment, departed to work for the employer, if the worker completes the certified period of employment or is dismissed from employment for any reason by the employer before the end of the period, consistent with § 655.20(j)(1)(ii); H-2B workers will be reimbursed in the first workweek for all visas, visa processing, border crossing, and other related fees, including those mandated by the government (excluding passport fees). The employer will provide workers all tools, supplies, and equipment required to perform the job at no charge to the worker, in accordance with 20 CFR 655.20(k). Qualified applicants may mail resume to Attn: Aaron Langley at 2300 N. Scenic Highway, Lake Wales, FL 33898, email to recruiting@mountainlakeflorida.com, or visit your local job center at 915 Avenue East (Oakland Neighborhood Center) Haines City, FL 33844. *Your security deposit is refundable upon completion of your contract and upon inspection of the housing. If a worker abandons their job without permission of the employer or a worker abandons their housing before the end of the petition date for any reason except employer termination, the workers forfeits all housing deposits, PTO, vacation and bonus pay. Upon termination of resignation, the worker must vacate the housing immediately thereafter unless agreed upon by the employer.* Job Classification: 43-5071.00 - Shipping, Receiving, and Inventory Clerks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Number of Hours Per Week: 35 Work Schedule (Start/End time): 6:00 A.M. - 10:00 P.M.</t>
  </si>
  <si>
    <t>H-400-26184-078060</t>
  </si>
  <si>
    <t>Prepare, cook, saute, broil, fry such items as seafood, meats, poultry, vegetables, pastas, soups. Keeps kitchen areas clean &amp; sanitized. Stores all products in proper locations and all other cook related services (23) workers needed. Dates of need: 10/1/26-5/31/27. 3 months experience necessary. Rotating shifts. Workdays: Mon-Sun. Work hours: 6am-10pm. Rate of pay: $16.75-$23.50/hr based on performance, $25.13-$35.25/hr overtime. Workers paid biweekly. 35 hours/wk. Optional housing provided for $50/week shared occupancy, $100/week single occupancy with a $300 deposit ($250 refundable / $50 non refundable) upon completing of contract &amp; housing inspection). Uniforms and shift meals provided. Job location: 2300 N. Scenic Highway, Lake Wales, FL 33898 Work is temporary full time employment. A single workweek will be used to compute wages. May get up to 10 hours of overtime when available. All deductions from the worker's paycheck required by law will be made. The employer will provide workers at no charge all tools, supplies, and equipment required to perform the job. The worker will be provided with or reimbursed for transportation and subsistence (including reasonable cost of overnight lodging where necessary up to $110/night for lodging with receipts.) at a rate of $16.78 per day during travel to a maximum of $68.00 per day with receipts from the place from which the worker has come to work for the employer, whether in the U.S. or abroad, to the place of employment, if the worker completes 50 percent of the period of employment covered by the job order, consistent with 20 CFR 655.20(j)(1)(i) by inclusion in the paycheck for the applicable week. Employer will provide or pay for the worker's cost of return transportation and daily subsistence from the place of employment to the place from which the worker, disregarding intervening employment, departed to work for the employer, if the worker completes the certified period of employment or is dismissed from employment for any reason by the employer before the end of the period, consistent with § 655.20(j)(1)(ii); H-2B workers will be reimbursed in the first workweek for all visas, visa processing, border crossing, and other related fees, including those mandated by the government (excluding passport fees). The employer will provide workers all tools, supplies, and equipment required to perform the job at no charge to the worker, in accordance with 20 CFR 655.20(k). Qualified applicants may mail resume to Attn: Aaron Langley at 2300 N. Scenic Highway, Lake Wales, FL 33898, email to recruiting@mountainlakeflorida.com, or visit your local job center at 915 Avenue East (Oakland Neighborhood Center) Haines City, FL 33844. *Your security deposit is refundable upon completion of your contract and upon inspection of the housing. If a worker abandons their job without permission of the employer or a worker abandons their housing before the end of the petition date for any reason except employer termination, the workers forfeits all housing deposits, PTO, vacation and bonus pay. Upon termination of resignation, the worker must vacate the housing immediately thereafter unless agreed upon by the employer.* Job Classification: 35-2014.00 - Cooks, Restaurant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Number of Hours Per Week: 35 Work Schedule (Start/End time): 6:00 A.M. - 10:00 P.M.</t>
  </si>
  <si>
    <t>H-400-26184-078061</t>
  </si>
  <si>
    <t>Perform various financial activities, such as cash handling. Resolve customer complaints regarding food service. Compile and balance cash receipts at the end of the day or shift. Present bills and accept payments. Make schedule for dining room employees (3) workers needed. Dates of need: 10/1/26-5/31/27. 3 months experience necessary. Rotating shifts. Workdays: Mon-Sun. Work hours: 6am-10pm. Rate of pay: $21-$29/hr based on performance, $31.50-$43.50/hr overtime. Workers paid biweekly. 35 hours/wk. Optional housing provided for $50/week shared occupancy, $100/week single occupancy with a $300 deposit ($250 refundable / $50 non refundable) upon completing of contract &amp; housing inspection). Uniforms and shift meals provided. Job location: 2300 N. Scenic Highway, Lake Wales, FL 33898 Work is temporary full time employment. A single workweek will be used to compute wages. May get up to 10 hours of overtime when available. All deductions from the worker's paycheck required by law will be made. The employer will provide workers at no charge all tools, supplies, and equipment required to perform the job. The worker will be provided with or reimbursed for transportation and subsistence (including reasonable cost of overnight lodging where necessary up to $110/night for lodging with receipts.) at a rate of $16.78 per day during travel to a maximum of $68.00 per day with receipts from the place from which the worker has come to work for the employer, whether in the U.S. or abroad, to the place of employment, if the worker completes 50 percent of the period of employment covered by the job order, consistent with 20 CFR 655.20(j)(1)(i) by inclusion in the paycheck for the applicable week. Employer will provide or pay for the worker's cost of return transportation and daily subsistence from the place of employment to the place from which the worker, disregarding intervening employment, departed to work for the employer, if the worker completes the certified period of employment or is dismissed from employment for any reason by the employer before the end of the period, consistent with § 655.20(j)(1)(ii); H-2B workers will be reimbursed in the first workweek for all visas, visa processing, border crossing, and other related fees, including those mandated by the government (excluding passport fees). The employer will provide workers all tools, supplies, and equipment required to perform the job at no charge to the worker, in accordance with 20 CFR 655.20(k). Qualified applicants may mail resume to Attn: Aaron Langley at 2300 N. Scenic Highway, Lake Wales, FL 33898, email to recruiting@mountainlakeflorida.com, or visit your local job center at 915 Avenue East (Oakland Neighborhood Center) Haines City, FL 33844. *Your security deposit is refundable upon completion of your contract and upon inspection of the housing. If a worker abandons their job without permission of the employer or a worker abandons their housing before the end of the petition date for any reason except employer termination, the workers forfeits all housing deposits, PTO, vacation and bonus pay. Upon termination of resignation, the worker must vacate the housing immediately thereafter unless agreed upon by the employer.* Job Classification: 35-1012.00 - First-Line Supervisors of Food Preparation and Serving Workers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Number of Hours Per Week: 35 Work Schedule (Start/End time): 6:00 A.M. - 10:00 P.M.</t>
  </si>
  <si>
    <t>H-400-26184-078062</t>
  </si>
  <si>
    <t>Wash, dry pots, pans, dishware, utensils by hand and with machine. Take garbage out to dumpsters. Wash, mop, dry floors. Stock shelves. Keep kitchen areas clean and sanitized. (7) workers needed. Dates of need: 10/1/26-5/31/27. 3 months experience necessary. Rotating shifts. Workdays: Mon-Sun. Work hours: 6am-10pm. Rate of pay: $14.22-$18.25/hr based on performance, $21.33-$27.38/hr overtime. Workers paid biweekly. 35 hours/wk. Optional housing provided for $50/week shared occupancy, $100/week single occupancy with a $300 deposit ($250 refundable / $50 non refundable) upon completing of contract &amp; housing inspection). Uniforms and shift meals provided. Job location: 2300 N. Scenic Highway, Lake Wales, FL 33898 Work is temporary full time employment. A single workweek will be used to compute wages. May get up to 10 hours of overtime when available. All deductions from the worker's paycheck required by law will be made. The employer will provide workers at no charge all tools, supplies, and equipment required to perform the job. The worker will be provided with or reimbursed for transportation and subsistence (including reasonable cost of overnight lodging where necessary up to $110/night for lodging with receipts.) at a rate of $16.78 per day during travel to a maximum of $68.00 per day with receipts from the place from which the worker has come to work for the employer, whether in the U.S. or abroad, to the place of employment, if the worker completes 50 percent of the period of employment covered by the job order, consistent with 20 CFR 655.20(j)(1)(i) by inclusion in the paycheck for the applicable week. Employer will provide or pay for the worker's cost of return transportation and daily subsistence from the place of employment to the place from which the worker, disregarding intervening employment, departed to work for the employer, if the worker completes the certified period of employment or is dismissed from employment for any reason by the employer before the end of the period, consistent with § 655.20(j)(1)(ii); H-2B workers will be reimbursed in the first workweek for all visas, visa processing, border crossing, and other related fees, including those mandated by the government (excluding passport fees). The employer will provide workers all tools, supplies, and equipment required to perform the job at no charge to the worker, in accordance with 20 CFR 655.20(k). Qualified applicants may mail resume to Attn: Aaron Langley at 2300 N. Scenic Highway, Lake Wales, FL 33898, email to recruiting@mountainlakeflorida.com, or visit your local job center at 915 Avenue East (Oakland Neighborhood Center) Haines City, FL 33844. *Your security deposit is refundable upon completion of your contract and upon inspection of the housing. If a worker abandons their job without permission of the employer or a worker abandons their housing before the end of the petition date for any reason except employer termination, the workers forfeits all housing deposits, PTO, vacation and bonus pay. Upon termination of resignation, the worker must vacate the housing immediately thereafter unless agreed upon by the employer.* Job Classification: 35-9021.00 - Dishwashers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Number of Hours Per Week: 35 Work Schedule (Start/End time): 6:00 A.M. - 10:00 P.M.</t>
  </si>
  <si>
    <t>H-400-26184-078067</t>
  </si>
  <si>
    <t>Take orders, serve food &amp; beverages to guests. Clean off &amp; set tables. Take payments, give receipts. Keep all stations stocked and all other server related services (20) workers needed. Dates of need: 10/1/26-5/31/27. 3 months experience necessary. Rotating shifts. Workdays: Mon-Sun. Work hours: 6am-10pm. Rate of pay: $18.25-$23.50/hr based on performance, $27.38-$35.25/hr overtime. Workers paid biweekly. 35 hours/wk. Optional housing provided for $50/week shared occupancy, $100/week single occupancy with a $300 deposit ($250 refundable / $50 non refundable) upon completing of contract &amp; housing inspection). Uniforms and shift meals provided. Job location: 2300 N. Scenic Highway, Lake Wales, FL 33898 Work is temporary full time employment. A single workweek will be used to compute wages. May get up to 10 hours of overtime when available. All deductions from the worker's paycheck required by law will be made. The employer will provide workers at no charge all tools, supplies, and equipment required to perform the job. The worker will be provided with or reimbursed for transportation and subsistence (including reasonable cost of overnight lodging where necessary up to $110/night for lodging with receipts.) at a rate of $16.78 per day during travel to a maximum of $68.00 per day with receipts from the place from which the worker has come to work for the employer, whether in the U.S. or abroad, to the place of employment, if the worker completes 50 percent of the period of employment covered by the job order, consistent with 20 CFR 655.20(j)(1)(i) by inclusion in the paycheck for the applicable week. Employer will provide or pay for the worker's cost of return transportation and daily subsistence from the place of employment to the place from which the worker, disregarding intervening employment, departed to work for the employer, if the worker completes the certified period of employment or is dismissed from employment for any reason by the employer before the end of the period, consistent with § 655.20(j)(1)(ii); H-2B workers will be reimbursed in the first workweek for all visas, visa processing, border crossing, and other related fees, including those mandated by the government (excluding passport fees). The employer will provide workers all tools, supplies, and equipment required to perform the job at no charge to the worker, in accordance with 20 CFR 655.20(k). Qualified applicants may mail resume to Attn: Aaron Langley at 2300 N. Scenic Highway, Lake Wales, FL 33898, email to recruiting@mountainlakeflorida.com, or visit your local job center at 915 Avenue East (Oakland Neighborhood Center) Haines City, FL 33844. *Your security deposit is refundable upon completion of your contract and upon inspection of the housing. If a worker abandons their job without permission of the employer or a worker abandons their housing before the end of the petition date for any reason except employer termination, the workers forfeits all housing deposits, PTO, vacation and bonus pay. Upon termination of resignation, the worker must vacate the housing immediately thereafter unless agreed upon by the employer.* Job Classification: 35-3031.00 - Waiters and Waitresses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Number of Hours Per Week: 35 Work Schedule (Start/End time): 6:00 A.M. - 10:00 P.M.</t>
  </si>
  <si>
    <t>H-400-26184-078063</t>
  </si>
  <si>
    <t>Clean off &amp; set tables, bring food out from kitchen to tables, serve water/coffee. Move tables around. Keep all working areas clean &amp; sanitized. Stock up bars with supplies (2) workers needed. Dates of need: 10/1/26-5/31/27. 3 months experience necessary. Rotating shifts. Workdays: Mon-Sun. Work hours: 6am-10pm. Rate of pay: $17.50-$21/hr based on performance, $26.25-$31.50/hr overtime. Workers paid biweekly. 35 hours/wk. Optional housing provided for $50/week shared occupancy, $100/week single occupancy with a $300 deposit ($250 refundable / $50 non refundable) upon completing of contract &amp; housing inspection). Uniforms and shift meals provided. Job location: 2300 N. Scenic Highway, Lake Wales, FL 33898 Work is temporary full time employment. A single workweek will be used to compute wages. May get up to 10 hours of overtime when available. All deductions from the worker's paycheck required by law will be made. The employer will provide workers at no charge all tools, supplies, and equipment required to perform the job. The worker will be provided with or reimbursed for transportation and subsistence (including reasonable cost of overnight lodging where necessary up to $110/night for lodging with receipts.) at a rate of $16.78 per day during travel to a maximum of $68.00 per day with receipts from the place from which the worker has come to work for the employer, whether in the U.S. or abroad, to the place of employment, if the worker completes 50 percent of the period of employment covered by the job order, consistent with 20 CFR 655.20(j)(1)(i) by inclusion in the paycheck for the applicable week. Employer will provide or pay for the worker's cost of return transportation and daily subsistence from the place of employment to the place from which the worker, disregarding intervening employment, departed to work for the employer, if the worker completes the certified period of employment or is dismissed from employment for any reason by the employer before the end of the period, consistent with § 655.20(j)(1)(ii); H-2B workers will be reimbursed in the first workweek for all visas, visa processing, border crossing, and other related fees, including those mandated by the government (excluding passport fees). The employer will provide workers all tools, supplies, and equipment required to perform the job at no charge to the worker, in accordance with 20 CFR 655.20(k). Qualified applicants may mail resume to Attn: Aaron Langley at 2300 N. Scenic Highway, Lake Wales, FL 33898, email to recruiting@mountainlakeflorida.com, or visit your local job center at 915 Avenue East (Oakland Neighborhood Center) Haines City, FL 33844. *Your security deposit is refundable upon completion of your contract and upon inspection of the housing. If a worker abandons their job without permission of the employer or a worker abandons their housing before the end of the petition date for any reason except employer termination, the workers forfeits all housing deposits, PTO, vacation and bonus pay. Upon termination of resignation, the worker must vacate the housing immediately thereafter unless agreed upon by the employer.* Job Classification: 35-9011.00 - Dining Room and Cafeteria Attendants and Bartender Helpers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Number of Hours Per Week: 35 Work Schedule (Start/End time): 6:00 A.M. - 10:00 P.M.</t>
  </si>
  <si>
    <t>H-400-26184-078064</t>
  </si>
  <si>
    <t>Takes orders, prepares and serves drinks to the clients. Keeps bar stocked and clean, brings food from kitchen to bar and takes payments (4) workers needed. Dates of need: 10/1/26-5/31/27. 3 months experience necessary. Rotating shifts. Workdays: Mon-Sun. Work hours: 6am-10pm. Rate of pay: $18.25-$24.50/hr based on performance, $27.38-$36.75/hr overtime. Workers paid biweekly. 35 hours/wk. Optional housing provided for $50/week shared occupancy, $100/week single occupancy with a $300 deposit ($250 refundable / $50 non refundable) upon completing of contract &amp; housing inspection). Uniforms and shift meals provided. Job location: 2300 N. Scenic Highway, Lake Wales, FL 33898 Work is temporary full time employment. A single workweek will be used to compute wages. May get up to 10 hours of overtime when available. All deductions from the worker's paycheck required by law will be made. The employer will provide workers at no charge all tools, supplies, and equipment required to perform the job. The worker will be provided with or reimbursed for transportation and subsistence (including reasonable cost of overnight lodging where necessary up to $110/night for lodging with receipts.) at a rate of $16.78 per day during travel to a maximum of $68.00 per day with receipts from the place from which the worker has come to work for the employer, whether in the U.S. or abroad, to the place of employment, if the worker completes 50 percent of the period of employment covered by the job order, consistent with 20 CFR 655.20(j)(1)(i) by inclusion in the paycheck for the applicable week. Employer will provide or pay for the worker's cost of return transportation and daily subsistence from the place of employment to the place from which the worker, disregarding intervening employment, departed to work for the employer, if the worker completes the certified period of employment or is dismissed from employment for any reason by the employer before the end of the period, consistent with § 655.20(j)(1)(ii); H-2B workers will be reimbursed in the first workweek for all visas, visa processing, border crossing, and other related fees, including those mandated by the government (excluding passport fees). The employer will provide workers all tools, supplies, and equipment required to perform the job at no charge to the worker, in accordance with 20 CFR 655.20(k). Qualified applicants may mail resume to Attn: Aaron Langley at 2300 N. Scenic Highway, Lake Wales, FL 33898, email to recruiting@mountainlakeflorida.com, or visit your local job center at 915 Avenue East (Oakland Neighborhood Center) Haines City, FL 33844. *Your security deposit is refundable upon completion of your contract and upon inspection of the housing. If a worker abandons their job without permission of the employer or a worker abandons their housing before the end of the petition date for any reason except employer termination, the workers forfeits all housing deposits, PTO, vacation and bonus pay. Upon termination of resignation, the worker must vacate the housing immediately thereafter unless agreed upon by the employer.* Job Classification: 35-3011.00 - Bartenders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Number of Hours Per Week: 35 Work Schedule (Start/End time): 6:00 P.M. - 10:00 P.M.</t>
  </si>
  <si>
    <t>H-400-26184-078046</t>
  </si>
  <si>
    <t>P&amp;B Davis LLC</t>
  </si>
  <si>
    <t>Christopher Gaston</t>
  </si>
  <si>
    <t>patshow76@gmail.com</t>
  </si>
  <si>
    <t>+17279106254</t>
  </si>
  <si>
    <t>Prepare, season, and cook Thai dishes such as spring rolls, soups, rice, meats, vegetables, or desserts in Thai restaurant. Worker may also engage in the following: - Inspect and clean food preparation areas, such as equipment, work surfaces, and serving areas, to ensure safe and sanitary food-handling practices. - Ensure food is stored and cooked at correct temperature by regulating temperature of ovens, broilers, grills, and roasters. - Season and cook food according to recipes or personal judgment and experience. - Turn or stir foods to ensure even cooking. - Observe and test foods to determine if they have been cooked sufficiently, using methods such as tasting, smelling, or piercing them with utensils. - Bake, roast, broil, and steam meats, fish, vegetables, and other foods. - Wash, peel, cut, and seed fruits and vegetables to prepare them for consumption. Job Classification: 35-2014.00 - Cooks, Restaurant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6 Special Requirements: Regarding the anticipated days and hours of work per week, there will be shifts available for the workers. Employer's hours of operation are Sunday - Saturday, 11:00am to 9:00pm. Workers are guaranteed 40 hour work week, 5 days a week, 8 hours a day within the hours of operation. Number of Hours Per Week: 56 Work Schedule (Start/End time): 11:00 A.M. - 9:00 P.M.</t>
  </si>
  <si>
    <t>H-400-26184-078080</t>
  </si>
  <si>
    <t>Prepare, cook, saute, broil, fry such items as seafood, meats, poultry, vegetables, pastas, soups. Keeps kitchen areas clean &amp; sanitized. Stores all products in proper locations (12) workers needed. Dates of need: 10/1/26-5/31/27. 3 months experience necessary. Rotating shifts. Workdays: Mon-Sun. Work hours: 7am-11pm. Rate of pay: $18.50-$24/hr based on performance, $27.75-$36/hr overtime. Workers paid biweekly. The Club offers a discretionary annual bonus at the end of the season, based on job performance and the condition of the corporate housing. Optional housing provided for $180/week, no deposit required however failed apartment/house inspections may result in disciplinary action, and/ or financial responsibility for replacing damaged or missing items. Upon termination of employment or resignation from your position, the worker must vacate housing immediately unless alternative arrangements have been approved and documented in writing by The Country Club of Florida. Uniforms and shift meals provided. Job location: 22 Country Road, Village of Golf, FL 33436. Work is temporary full time employment. A single workweek will be used to compute wages. May get up to 10 hours of overtime when available. All deductions from the worker's paycheck required by law will be made. The employer will provide workers at no charge all tools, supplies, and equipment required to perform the job. The worker will be provided with or reimbursed for transportation and subsistence (including reasonable cost of overnight lodging where necessary up to $110/night for lodging with receipts.) at a rate of $16.78 per day during travel to a maximum of $68.00 per day with receipts from the place from which the worker has come to work for the employer, whether in the U.S. or abroad, to the place of employment, if the worker completes 50 percent of the period of employment covered by the job order, consistent with 20 CFR 655.20(j)(1)(i) by inclusion in the paycheck for the applicable week. Employer will provide or pay for the worker's cost of return transportation and daily subsistence from the place of employment to the place from which the worker, disregarding intervening employment, departed to work for the employer, if the worker completes the certified period of employment or is dismissed from employment for any reason by the employer before the end of the period, consistent with § 655.20(j)(1)(ii); H-2B workers will be reimbursed in the first workweek for all visas, visa processing, border crossing, and other related fees, including those mandated by the government (excluding passport fees). The employer will provide workers all tools, supplies, and equipment required to perform the job at no charge to the worker, in accordance with 20 CFR 655.20(k). Qualified applicants may mail resume to Attn: John Collier at 22 Country Road, Village of Golf, FL 33436, email to TCCF@ccfgolf.com, or visit your local job center at 3400 Belvedere Road West Palm Beach, FL 33406. *Your security deposit is refundable upon completion of your contract and upon inspection of the housing. If a worker abandons their job without permission of the employer or a worker abandons their housing before the end of the petition date for any reason except employer termination, the workers forfeits all housing deposits, PTO, vacation and bonus pay. Upon termination of resignation, the worker must vacate the housing immediately thereafter unless agreed upon by the employer.* Job Classification: 35-2014.00 - Cooks, Restaurant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Number of Hours Per Week: 35 Work Schedule (Start/End time): 7:00 P.M. - 11:00 P.M.</t>
  </si>
  <si>
    <t>H-400-26184-078022</t>
  </si>
  <si>
    <t>THE SAILFISH CLUB OF FL, INC</t>
  </si>
  <si>
    <t>HR@sailfishclub.com</t>
  </si>
  <si>
    <t>+15618440206</t>
  </si>
  <si>
    <t>Take orders, serve food &amp; beverages to guests. Clean off &amp; set tables. Take payments, give receipts. Keep all stations stocked and all other server related services (10) workers needed. Dates of need: 10/1/26-5/31/27. 3 months experience necessary. Rotating shifts. Workdays: Mon-Sun. Work hours: 6am-10pm. Rate of pay: $10-$12/hr plus tips but no less than $18.71/hr, $28.07/hr overtime. Workers paid biweekly. 35 hours/wk. Optional housing provided for $150-$250/week with a $300 deposit, refundable upon completing of contract &amp; housing inspection. Uniforms and shift meals provided. Job location: 1338 North Lake Way, Palm Beach FL 33480 Work is temporary full time employment. A single workweek will be used to compute wages. May get up to 10 hours of overtime when available. All deductions from the worker's paycheck required by law will be made. The employer will provide workers at no charge all tools, supplies, and equipment required to perform the job. The worker will be provided with or reimbursed for transportation and subsistence (including reasonable cost of overnight lodging where necessary up to $110/night for lodging with receipts.) at a rate of $16.78 per day during travel to a maximum of $68.00 per day with receipts from the place from which the worker has come to work for the employer, whether in the U.S. or abroad, to the place of employment, if the worker completes 50 percent of the period of employment covered by the job order, consistent with 20 CFR 655.20(j)(1)(i) by inclusion in the paycheck for the applicable week. Employer will provide or pay for the worker's cost of return transportation and daily subsistence from the place of employment to the place from which the worker, disregarding intervening employment, departed to work for the employer, if the worker completes the certified period of employment or is dismissed from employment for any reason by the employer before the end of the period, consistent with § 655.20(j)(1)(ii); H-2B workers will be reimbursed in the first workweek for all visas, visa processing, border crossing, and other related fees, including those mandated by the government (excluding passport fees). The employer will provide workers all tools, supplies, and equipment required to perform the job at no charge Job Classification: 35-3031.00 - Waiters and Waitresses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Number of Hours Per Week: 35 Work Schedule (Start/End time): 6:00 A.M. - 10:00 P.M.</t>
  </si>
  <si>
    <t>H-400-26184-078020</t>
  </si>
  <si>
    <t>Prepare, cook, saute, broil, fry such items as seafood, meats, poultry, vegetables, pastas, soups. Keeps kitchen areas clean &amp; sanitized. Stores all products in proper locations and all other cook related services (7) workers needed. Dates of need: 10/1/26-5/31/27. 3 months experience necessary. Rotating shifts. Workdays: Mon-Sun. Work hours: 6am-10pm. Rate of pay: $20-$23.50/hr based on performance, $30-$35.25/hr overtime. Workers paid biweekly. 35 hours/wk. Optional housing provided for $150-$250/week with a $300 deposit, refundable upon completing of contract &amp; housing inspection. Uniforms and shift meals provided. Job location: 1338 North Lake Way, Palm Beach FL 33480 Work is temporary full time employment. A single workweek will be used to compute wages. May get up to 10 hours of overtime when available. All deductions from the worker's paycheck required by law will be made. The employer will provide workers at no charge all tools, supplies, and equipment required to perform the job. The worker will be provided with or reimbursed for transportation and subsistence (including reasonable cost of overnight lodging where necessary up to $110/night for lodging with receipts.) at a rate of $16.78 per day during travel to a maximum of $68.00 per day with receipts from the place from which the worker has come to work for the employer, whether in the U.S. or abroad, to the place of employment, if the worker completes 50 percent of the period of employment covered by the job order, consistent with 20 CFR 655.20(j)(1)(i) by inclusion in the paycheck for the applicable week. Employer will provide or pay for the worker's cost of return transportation and daily subsistence from the place of employment to the place from which the worker, disregarding intervening employment, departed to work for the employer, if the worker completes the certified period of employment or is dismissed from employment for any reason by the employer before the end of the period, consistent with § 655.20(j)(1)(ii); H-2B workers will be reimbursed in the first workweek for all visas, visa processing, border crossing, and other related fees, including those mandated by the government (excluding passport fees). The employer will provide workers all tools, supplies, and equipment required to perform the job at no charge to the worker, in accordance with 20 CFR 655.20(k). Qualified applicants may mail resume to Attn: Ryan Barry at 1338 North Lake Way, Palm Beach FL 33480, email to HR@sailfishclub.com, or visit your local job center at 3400 Belvedere Road West Palm Beach, FL 33406. *Your security deposit is refundable upon completion of your contract and upon inspection of the housing. If a worker abandons their job without permission of the employer or a worker abandons their housing before the end of the petition date for any reason except employer termination, the workers forfeits all housing deposits, PTO, vacation and bonus pay. Upon termination of resignation, the worker must vacate the housing immediately thereafter unless agreed upon by the employer.* Job Classification: 35-2014.00 - Cooks, Restaurant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Number of Hours Per Week: 35 Work Schedule (Start/End time): 6:00 A.M. - 10:00 P.M.</t>
  </si>
  <si>
    <t>H-400-26184-078057</t>
  </si>
  <si>
    <t>The Venice Golf and Country Club No. 1 Inc.</t>
  </si>
  <si>
    <t>H2Bjobs@venicegcc.com</t>
  </si>
  <si>
    <t>+19414929600</t>
  </si>
  <si>
    <t>Prepare, cook, saute, broil, fry such items as seafood, meats, poultry, vegetables, pastas, soups. Keeps kitchen areas clean &amp; sanitized. Stores all products in proper locations and all other cook related services (4) workers needed. Dates of need: 10/1/26-5/31/27. 3 months experience necessary. Rotating shifts. Workdays: Mon-Sun. Work hours: 6am-10pm. Rate of pay: $18.23-$23/hr based on performance, $27.35-$34.50/hr overtime. Workers paid weekly. 35 hours/wk. Optional housing provided for $150-$200/wk all inclusive with a $350 deposit ($300.00 refundable upon inspection and completion of contract/$50.00 non-refundable). Uniforms and shift meals provided. Job location: 250 Venice Golf Club Drive, Venice, FL 34292. Work is temporary full time employment. A single workweek will be used to compute wages. May get up to 10 hours of overtime when available. All deductions from the worker's paycheck required by law will be made. The employer will provide workers at no charge all tools, supplies, and equipment required to perform the job. The worker will be provided with or reimbursed for transportation and subsistence (including reasonable cost of overnight lodging where necessary up to $110/night for lodging with receipts.) at a rate of $16.78 per day during travel to a maximum of $68.00 per day with receipts from the place from which the worker has come to work for the employer, whether in the U.S. or abroad, to the place of employment, if the worker completes 50 percent of the period of employment covered by the job order, consistent with 20 CFR 655.20(j)(1)(i) by inclusion in the paycheck for the applicable week. Employer will provide or pay for the worker's cost of return transportation and daily subsistence from the place of employment to the place from which the worker, disregarding intervening employment, departed to work for the employer, if the worker completes the certified period of employment or is dismissed from employment for any reason by the employer before the end of the period, consistent with § 655.20(j)(1)(ii); H-2B workers will be reimbursed in the first workweek for all visas, visa processing, border crossing, and other related fees, including those mandated by the government (excluding passport fees). The employer will provide workers all tools, supplies, and equipment required to perform the job at no charge to the worker, in accordance with 20 CFR 655.20(k). Qualified applicants may mail resume to Attn: Peter Cizdziel at 250 Venice Golf Club Drive, Venice, FL 34292, email to H2Bjobs@venicegcc.com, or visit your local job center at 3660 N. Washington Blvd. Sarasota, FL 34234. *Your security deposit is refundable upon completion of your contract and upon inspection of the housing. If a worker abandons their job without permission of the employer or a worker abandons their housing before the end of the petition date for any reason except employer termination, the workers forfeits all housing deposits, PTO, vacation and bonus pay. Upon termination of resignation, the worker must vacate the housing immediately thereafter unless agreed upon by the employer.* Job Classification: 35-2014.00 - Cooks, Restaurant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Number of Hours Per Week: 35 Work Schedule (Start/End time): 6:00 A.M. - 10:00 P.M.</t>
  </si>
  <si>
    <t>H-400-26184-078058</t>
  </si>
  <si>
    <t>Take orders, serve food &amp; beverages to guests. Clean off &amp; set tables. Take payments, give receipts. Keep all stations stocked and all other server related services (8) workers needed. Dates of need: 10/1/26-5/31/27. 3 months experience necessary. Rotating shifts. Workdays: Mon-Sun. Work hours: 6am-10pm. Rate of pay: $10.98/hr plus tips but no less than $18.74/hr, $28.11/hr overtime. Workers paid weekly. 35 hours/wk. Optional housing provided for $150-$200/wk all inclusive with a $350 deposit ($300.00 refundable upon inspection and completion of contract/$50.00 non-refundable). Uniforms and shift meals provided. Job location: 250 Venice Golf Club Drive, Venice, FL 34292. Work is temporary full time employment. A single workweek will be used to compute wages. May get up to 10 hours of overtime when available. All deductions from the worker's paycheck required by law will be made. The employer will provide workers at no charge all tools, supplies, and equipment required to perform the job. The worker will be provided with or reimbursed for transportation and subsistence (including reasonable cost of overnight lodging where necessary up to $110/night for lodging with receipts.) at a rate of $16.78 per day during travel to a maximum of $68.00 per day with receipts from the place from which the worker has come to work for the employer, whether in the U.S. or abroad, to the place of employment, if the worker completes 50 percent of the period of employment covered by the job order, consistent with 20 CFR 655.20(j)(1)(i) by inclusion in the paycheck for the applicable week. Employer will provide or pay for the worker's cost of return transportation and daily subsistence from the place of employment to the place from which the worker, disregarding intervening employment, departed to work for the employer, if the worker completes the certified period of employment or is dismissed from employment for any reason by the employer before the end of the period, consistent with § 655.20(j)(1)(ii); H-2B workers will be reimbursed in the first workweek for all visas, visa processing, border crossing, and other related fees, including those mandated by the government (excluding passport fees). The employer will provide workers all tools, supplies, and equipment required to perform the job at no charge to the worker, in accordance with 20 CFR 655.20(k). Qualified applicants may mail resume to Attn: Peter Cizdziel at 250 Venice Golf Club Drive, Venice, FL 34292, email to H2Bjobs@venicegcc.com, or visit your local job center at 3660 N. Washington Blvd. Sarasota, FL 34234. *Your security deposit is refundable upon completion of your contract and upon inspection of the housing. If a worker abandons their job without permission of the employer or a worker abandons their housing before the end of the petition date for any reason except employer termination, the workers forfeits all housing deposits, PTO, vacation and bonus pay. Upon termination of resignation, the worker must vacate the housing immediately thereafter unless agreed upon by the employer.* Job Classification: 35-3031.00 - Waiters and Waitresses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Number of Hours Per Week: 35 Work Schedule (Start/End time): 6:00 A.M. - 10:00 P.M.</t>
  </si>
  <si>
    <t>H-400-26184-078027</t>
  </si>
  <si>
    <t>Thunderbird Field Services, LLC</t>
  </si>
  <si>
    <t>05/05/2027</t>
  </si>
  <si>
    <t>HR@Thunderbirdfs.com</t>
  </si>
  <si>
    <t>+19039282208</t>
  </si>
  <si>
    <t>Perform labor to machine plant tree seedlings and apply insecticides using equipment to reforest and maintain timberlands. Check equipment to ensure that it is operating properly. Confer with other workers to discuss issues such as safety, cutting heights, or work needs. Operate bulldozers to pull a variety of scarification or site preparation equipment over areas to be regenerated. Fill sprayer tanks with water and chemicals, according to formulas. Mix pesticides, fungicides, for application to trees, shrubs, or botanical crops. Perform reforestation or forest renewal, including nursery and silviculture operations, site preparation, seeding and tree planting programs, cone collection, and tree improvement. Sort tree seedlings, discarding substandard seedlings, according to standard charts or verbal instructions. Workers who apply for and obtain, or currently hold a FLC or FLCE certificate of registration with driving authorized by the USDOL Wage and Hour Division during the employment period may transport workers, count and check, and may be offered additional work hours. Employer may pay piece rates of $25.00 per acre planted correctly, or Prevailing Wage per hour, whichever is higher. Raises and/or bonuses may be offered at employer's discretion, based on individual factors such as performance, skill, and tenure. Job Classification: 45-4011.00 - Forest and Conservation Workers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No education or experience required. Requires physical stamina. Work is in adverse weather. Must lift and carry 50 lbs. Extensive walking over rough terrain. Work schedule and locations dependent on weather conditions. Employer may offer more than the stated work hours depending on weather, business needs, and other conditions. Extreme heat, cold, rain, or drought may affect exact working hours. Number of Hours Per Week: 45 Work Schedule (Start/End time): 6:00 A.M. - 4:00 P.M.</t>
  </si>
  <si>
    <t>H-400-26184-078018</t>
  </si>
  <si>
    <t>Titania Crew LTD</t>
  </si>
  <si>
    <t>rodtitania@gmail.com</t>
  </si>
  <si>
    <t>+16129910531</t>
  </si>
  <si>
    <t>Snow Cleaners and Janitors</t>
  </si>
  <si>
    <t>Removing snow and ice mitigation is performed daily for site access and safety reasons. It entails primarily less-skilled manual labor including shoveling, sweeping, or using snow blowers to move excess snow from the construction site. Most areas where work is actually being performed must be cleaned manually because larger equipment will not fit, is too heavy or too large and powerful and may risk damaging current construction. On rare occasions, more skilled workers may use trucks with a snow-blade and/or a skid loader for larger areas and/or site ingress and egress areas. The snow cleaners will have to store, maintain and place the chains on the truck and skid loader tires when conditions are slick from snow and ice. Snow shelters are used on concrete construction sites to keep the temperatures high so that concrete can properly set when the outside temperatures are cold. Snow shelters are erected by snow cleaners under the supervision of the foremen, using basic materials such as two-inch by four-inch or four-inch by four-inch lumber that is fastened together temporarily and covered with reinforced plastic or canvas. Once covered, diesel heaters will pump warm air through hoses into the shelters long enough for the concrete to properly set. The snow shelters are erected following a basic, repetitious pattern and the lumber is preserved and used again if possible. Snow cleaners will also cover concrete with water hoses, heavy blankets and tarps to keep the concrete warm and prevent damage from snow, ice and moisture accumulation. Likewise, the snow cleaners will take the hoses, blankets and tarps off when the concrete is properly set. On a regular basis, the workers will have to manually shovel and sweep the snow off the tarps and blankets first before removing them when the snow accumulates on top of them. All of the materials used to remove snow and keep the construction site and concrete clean and warm is the responsibility of the workers to maintain. Thus, all heaters, chains, blankets, tarps, shovels, sweeps, snow blowers, reinforced plastic, canvas, lumber, hoses, pumps and the shelters for storage must be maintained, cleaned and organized by the snow cleaners. Overall site cleanliness is the responsibility of snow cleaners during the snow and cold weather months. Job Classification: 37-2011.00 - Janitors and Cleaners, Except Maids and Housekeeping Cleaners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Must be able to lift and carry 75 lbs of snow for 75 yards and be able to handle temperature extremes. Some weekend work. Number of Hours Per Week: 40 Work Schedule (Start/End time): 7:00 A.M. - 3:30 P.M.</t>
  </si>
  <si>
    <t>H-400-26184-078019</t>
  </si>
  <si>
    <t>Clean and prepare construction sites; load and unload building material; set and remove braces; dig trenches and backfill holes; compact earth and spread concrete; haul gravel and stone; use hammers, chipping hammers, shovels and rakes; operate drills, jackhammers, and concrete mixer. Job Classification: 47-2061.00 - Construction Laborers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Must be able to lift and carry 75 lbs 75 yds and handle extreme temperatures Number of Hours Per Week: 40 Work Schedule (Start/End time): 7:00 A.M. - 3:30 P.M.</t>
  </si>
  <si>
    <t>H-400-26184-078024</t>
  </si>
  <si>
    <t>+14065804190</t>
  </si>
  <si>
    <t>Housecleaner</t>
  </si>
  <si>
    <t>Carry linens, towels, toilet items, and cleaning supplies, using wheeled carts. Disinfect equipment and supplies using germicides or steam operated sterilizers. Clean vacation and company rental homes including: rooms, hallways, restrooms, corridors, stairways, and other areas so that health standards are met. Empty wastebaskets and transport other trash and waste to disposal areas. Observe precautions required to protect vacation rental property and report damage, theft, and found articles to supervisors. Job Classification: 37-2012.00 - Maids and Housekeeping Cleaners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Lift and carry 25lbs for 50 yds. Must be able to bend arms, legs and back, extend arms and hands upward, work on hands and knees and use hands and arms to grip, push and pull. Number of Hours Per Week: 40 Work Schedule (Start/End time): 7:00 A.M. - 3:30 P.M.</t>
  </si>
  <si>
    <t>H-400-26184-078021</t>
  </si>
  <si>
    <t>Total Turf Golf Services Inc</t>
  </si>
  <si>
    <t>susana@totalturfservices.com</t>
  </si>
  <si>
    <t>+12153667155</t>
  </si>
  <si>
    <t>Seasonal Janitors</t>
  </si>
  <si>
    <t>Seasonal Snow Cleaners perform custodial, snow removal, and seasonal cleanup tasks to maintain the safety and cleanliness of commercial or institutional properties. During winter, they manually remove snow and ice from sidewalks and walkways using shovels, handheld blowers, brooms, and walk-behind salt spreaders, and apply de-icing materials to prevent slips. Workers clean indoor areas such as restrooms, lobbies, and common spaces by sweeping, mopping, vacuuming, and removing trash, and maintain outdoor areas by picking up litter and debris. In addition to winter work, they assist with leaf cleanup in the fall and help restore property conditions after spring storms by removing fallen branches, clearing walkways, and disposing of storm debris. All tasks are performed using manual or walk-behind tools only, with no motorized equipment. Job Classification: 37-2011.00 - Janitors and Cleaners, Except Maids and Housekeeping Cleaners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Work is physically demanding and requires strength, endurance, and agility. Workers must be able to lift and carry heavy loads, operate equipment on icy or uneven ground, and perform tasks like bending, twisting, and shoveling for extended periods. They must also tolerate harsh outdoor conditions, including cold, snow, and wind. Number of Hours Per Week: 35 Work Schedule (Start/End time): 7:00 A.M. - 5:30 P.M.</t>
  </si>
  <si>
    <t>H-400-26184-078077</t>
  </si>
  <si>
    <t>Troon Golf, LLC</t>
  </si>
  <si>
    <t>immigration@troon.com</t>
  </si>
  <si>
    <t>+14806061000</t>
  </si>
  <si>
    <t>Prepare, cook, saute, broil, fry such items as seafood, meats, poultry, vegetables, pastas, soups. Keeps kitchen areas clean &amp; sanitized. Stores all products in proper locations and all other cook related services (15) workers needed. Dates of need: 10/1/26-5/31/27. 3 months experience necessary. Rotating shifts. Workdays: Mon-Sun. Work hours: 6am-10pm. Rate of pay: $20-$25 based on performance, $30-$37.50/hr overtime. Workers paid biweekly. 35 hours/wk. Optional housing provided for $387.50/bi-weekly with a $400 refundable deposit upon completing of contract &amp; housing inspection. Bonus available upon performance and employer's discretion. Uniforms and shift meals provided at cost. Job location: 9800 Treviso Bay Blvd, Naples, FL 34113 Work is temporary full time employment. A single workweek will be used to compute wages. May get up to 10 hours of overtime when available. All deductions from the worker's paycheck required by law will be made. The employer will provide workers at no charge all tools, supplies, and equipment required to perform the job. The worker will be provided with or reimbursed for transportation and subsistence (including reasonable cost of overnight lodging where necessary up to $110/night for lodging with receipts.) at a rate of $16.78 per day during travel to a maximum of $68.00 per day with receipts from the place from which the worker has come to work for the employer, whether in the U.S. or abroad, to the place of employment, if the worker completes 50 percent of the period of employment covered by the job order, consistent with 20 CFR 655.20(j)(1)(i) by inclusion in the paycheck for the applicable week. Employer will provide or pay for the worker's cost of return transportation and daily subsistence from the place of employment to the place from which the worker, disregarding intervening employment, departed to work for the employer, if the worker completes the certified period of employment or is dismissed from employment for any reason by the employer before the end of the period, consistent with § 655.20(j)(1)(ii); H-2B workers will be reimbursed in the first workweek for all visas, visa processing, border crossing, and other related fees, including those mandated by the government (excluding passport fees). The employer will provide workers all tools, supplies, and equipment required to perform the job at no charge to the worker, in accordance with 20 CFR 655.20(k). Qualified applicants may mail resume to Attn: Carol Meichner-Smith at 9800 Treviso Bay Blvd, Naples, FL 34113, email to immigration@troon.com, or visit your local job center at 3050 Horseshoe Drive North Building A Suite 110 Naples, FL 34104. *Your security deposit is refundable upon completion of your contract and upon inspection of the housing. If a worker abandons their job without permission of the employer or a worker abandons their housing before the end of the petition date for any reason except employer termination, the workers forfeits all housing deposits, PTO, vacation and bonus pay. Upon termination of resignation, the worker must vacate the housing immediately thereafter unless agreed upon by the employer.* Job Classification: 35-2014.00 - Cooks, Restaurant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Number of Hours Per Week: 35 Work Schedule (Start/End time): 6:00 A.M. - 10:00 P.M.</t>
  </si>
  <si>
    <t>H-400-26184-078079</t>
  </si>
  <si>
    <t>Take orders, serve food &amp; beverages to guests. Clean off &amp; set tables. Take payments, give receipts. Keep all stations stocked and all other server related services (15) workers needed. Dates of need: 10/1/26-5/31/27. 3 months experience necessary. Rotating shifts. Workdays: Mon-Sun. Work hours: 6am-10pm. Rate of pay: $12/hr plus tips but no less than $20.13/hr, $30.20/hr overtime. Workers paid biweekly. 35 hours/wk. Optional housing provided for $387.50/bi-weekly with a $400 refundable deposit upon completing of contract &amp; housing inspection. Bonus available upon performance and employer's discretion. Uniforms and shift meals provided at cost. Job location: 9800 Treviso Bay Blvd, Naples, FL 34113 Work is temporary full time employment. A single workweek will be used to compute wages. May get up to 10 hours of overtime when available. All deductions from the worker's paycheck required by law will be made. The employer will provide workers at no charge all tools, supplies, and equipment required to perform the job. The worker will be provided with or reimbursed for transportation and subsistence (including reasonable cost of overnight lodging where necessary up to $110/night for lodging with receipts.) at a rate of $16.78 per day during travel to a maximum of $68.00 per day with receipts from the place from which the worker has come to work for the employer, whether in the U.S. or abroad, to the place of employment, if the worker completes 50 percent of the period of employment covered by the job order, consistent with 20 CFR 655.20(j)(1)(i) by inclusion in the paycheck for the applicable week. Employer will provide or pay for the worker's cost of return transportation and daily subsistence from the place of employment to the place from which the worker, disregarding intervening employment, departed to work for the employer, if the worker completes the certified period of employment or is dismissed from employment for any reason by the employer before the end of the period, consistent with § 655.20(j)(1)(ii); H-2B workers will be reimbursed in the first workweek for all visas, visa processing, border crossing, and other related fees, including those mandated by the government (excluding passport fees). The employer will provide workers all tools, supplies, and equipment required to perform the job at no charge to the worker, in accordance with 20 CFR 655.20(k). Qualified applicants may mail resume to Attn: Carol Meichner-Smith at 9800 Treviso Bay Blvd, Naples, FL 34113, email to immigration@troon.com, or visit your local job center at 3050 Horseshoe Drive North Building A Suite 110 Naples, FL 34104. *Your security deposit is refundable upon completion of your contract and upon inspection of the housing. If a worker abandons their job without permission of the employer or a worker abandons their housing before the end of the petition date for any reason except employer termination, the workers forfeits all housing deposits, PTO, vacation and bonus pay. Upon termination of resignation, the worker must vacate the housing immediately thereafter unless agreed upon by the employer.* Job Classification: 35-3031.00 - Waiters and Waitresses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Number of Hours Per Week: 35 Work Schedule (Start/End time): 6:00 A.M. - 10:00 P.M.</t>
  </si>
  <si>
    <t>H-400-26184-078078</t>
  </si>
  <si>
    <t>Veloz Landscape &amp; Nursery LLC</t>
  </si>
  <si>
    <t>Francisco@velozcompanies.com</t>
  </si>
  <si>
    <t>+14402511386</t>
  </si>
  <si>
    <t>Jantorial Laborer</t>
  </si>
  <si>
    <t>1. Duty: Remove snow from sidewalks, driveways, or parking areas The employee will use manual snow removal tools only, such as snow shovels, brooms, pushers, and hand-held or walk-behind salt spreaders. No motorized snow plows, ride-on equipment, or powered snow blowers will be used. The work involves clearing walkways and entry paths around commercial properties to maintain safe pedestrian access. 2. Duty: Clean facilities or sites The employee will perform routine janitorial cleaning of indoor and outdoor common areas of commercial properties, including: Sweeping, mopping, and vacuuming floors Emptying trash cans and removing litter Removing leaves, small debris, and snow from outdoor entryways and sidewalks using hand tools “Facilities or sites” refers to interior and exterior areas of commercial buildings, including offices, lobbies, restrooms, retail facilities, walkways, entrances, and storage spaces. No landscaping, construction, or repair tasks are performed. 3. Requirement: Frequent bending, stooping, kneeling, pushing, and pulling heavy equipment This refers to normal physical activity associated with janitorial work. The “heavy equipment” includes: Rolling mop buckets filled with water (approximately 30–35 lbs) Walk-behind floor scrubbers or vacuums Trash bins or supply carts These items are pushed or pulled manually during cleaning duties. 4. Requirement: Climbing ladders, manual dexterity for handling tools, and operating machinery Climbing ladders: Employees may occasionally use a 6-8 foot step ladder to reach high windows, gutters, or shelves. Manual dexterity: Workers use basic cleaning tools such as spray bottles, mops, squeegees, trash pickers, and refillable dispensers. Machinery operated: Employees may operate manual or walk-behind janitorial machines, such as: Commercial vacuum cleaners Walk-behind floor polishers or buffers These machines are used for cleaning floors and surfaces. No riding, powered snow plows, or landscaping machinery is used. Job Classification: 37-2011.00 - Janitors and Cleaners, Except Maids and Housekeeping Cleaners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Ability to lift and carry up to 50 pounds. Prolonged standing, walking on slippery surfaces, and navigating large areas. Frequent bending, stooping, kneeling, pushing, and pulling heavy equipment. Climbing ladders, manual dexterity for handling tools, and operating machinery. Endurance for extended periods in various weather conditions, including cold and wet environments. Number of Hours Per Week: 40 Work Schedule (Start/End time): 8:00 A.M. - 4:00 P.M.</t>
  </si>
  <si>
    <t>H-400-26184-078029</t>
  </si>
  <si>
    <t>Vineyards Country Club</t>
  </si>
  <si>
    <t>21/07/2027</t>
  </si>
  <si>
    <t>employment@vineyardscountryclubnaples.com</t>
  </si>
  <si>
    <t>+12393531500</t>
  </si>
  <si>
    <t>Directly supervise and coordinate activities of workers engaged in preparing and serving food. (2) workers needed. Dates of need: 10/1/26-7/21/27. 3 months experience necessary. Rotating shifts. Workdays: Mon-Sun. Work hours: 6pm-10pm. Rate of pay: $24.46-$27.46/hr based on performance, $36.69-$41.19/hr overtime. Workers paid biweekly. 35 hours/wk. Optional housing provided for $375/biweekly with a $350 Deposit ($200 refundable upon completing of contract &amp; housing inspection/ $150 non-refundable) Uniforms and shift meals provided. Job location: 400 Vineyards Blvd, Naples, FL 34119 Work is temporary full time employment. A single workweek will be used to compute wages. May get up to 10 hours of overtime when available. All deductions from the worker's paycheck required by law will be made. The employer will provide workers at no charge all tools, supplies, and equipment required to perform the job. The worker will be provided with or reimbursed for transportation and subsistence (including reasonable cost of overnight lodging where necessary up to $110/night for lodging with receipts.) at a rate of $16.78 per day during travel to a maximum of $68.00 per day with receipts from the place from which the worker has come to work for the employer, whether in the U.S. or abroad, to the place of employment, if the worker completes 50 percent of the period of employment covered by the job order, consistent with 20 CFR 655.20(j)(1)(i) by inclusion in the paycheck for the applicable week. Employer will provide or pay for the worker's cost of return transportation and daily subsistence from the place of employment to the place from which the worker, disregarding intervening employment, departed to work for the employer, if the worker completes the certified period of employment or is dismissed from employment for any reason by the employer before the end of the period, consistent with § 655.20(j)(1)(ii); H-2B workers will be reimbursed in the first workweek for all visas, visa processing, border crossing, and other related fees, including those mandated by the government (excluding passport fees). The employer will provide workers all tools, supplies, and equipment required to perform the job at no charge to the worker, in accordance with 20 CFR 655.20(k). Qualified applicants may mail resume to Attn: Jeffrey Lesek at 400 Vineyards Blvd, Naples, FL 34119, email to employment@vineyardscountryclubnaples.com, or visit your local job center at 6800 Shoppes at Plantation Drive, Suite 170, Fort Myers, FL 33912 *Your security deposit is refundable upon completion of your contract and upon inspection of the housing. If a worker abandons their job without permission of the employer or a worker abandons their housing before the end of the petition date for any reason except employer termination, the workers forfeits all housing deposits, PTO, vacation and bonus pay. Upon termination of resignation, the worker must vacate the housing immediately thereafter unless agreed upon by the e Job Classification: 35-1012.00 - First-Line Supervisors of Food Preparation and Serving Workers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Number of Hours Per Week: 35 Work Schedule (Start/End time): 6:00 A.M. - 10:00 P.M.</t>
  </si>
  <si>
    <t>H-400-26184-078105</t>
  </si>
  <si>
    <t>Adrians Landscaping, Inc.</t>
  </si>
  <si>
    <t>adrianchavezlandscape@gmail.com</t>
  </si>
  <si>
    <t>+14402517700</t>
  </si>
  <si>
    <t>Landscape or maintain the grounds of the property using hand or power tools or equipment. Workers typically perform a variety of tasks, which may include any combination of the following: sod laying, mowing, trimming, planting, watering, fertilizing, digging, raking, sprinkler installation, and installation of mortarless segmental concrete masonry wall units. Job Classification: 37-3011.00 - Landscaping and Groundskeeping Workers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Able to lift/carry 50 lbs when necessary. Number of Hours Per Week: 40 Work Schedule (Start/End time): 8:00 A.M. - 5:00 P.M.</t>
  </si>
  <si>
    <t>H-400-26184-078093</t>
  </si>
  <si>
    <t>Bayou Gulf Shrimp, LLC</t>
  </si>
  <si>
    <t>bayougulfshrimpllc@gmail.com</t>
  </si>
  <si>
    <t>+19857205611</t>
  </si>
  <si>
    <t>Seasonal Plant Worker</t>
  </si>
  <si>
    <t>Bayou Gulf Shrimp, LLC seeks sixty-five (65) temporary full-time Seasonal Plant Workers to work at its seasonal seafood processing plant located at 6896 Grand Caillou Road, Dulac, Louisiana 70353, Terrebonne Parish, from October 1, 2026 through June 1, 2027. Applicants must possess three (3) months of work-related experience. No formal education is required. Workers must be able to stand for extended periods, perform repetitive tasks, and work in a cold, wet seafood processing environment. The position is full-time and consists of forty (40) hours per week. Work will be performed on rotating shifts Monday through Friday consisting of seven (7) hour shifts (6:00 a.m. to 2:00 p.m., 2:00 p.m. to 10:00 p.m., or 10:00 p.m. to 6:00 a.m.) and five (5) hour shifts on Saturdays (6:00 a.m. to 11:00 a.m., 11:00 a.m. to 4:00 p.m., or 4:00 p.m. to 9:00 p.m.). No overtime is anticipated. Job duties include cleaning and preparing work areas for incoming oysters and shrimp received from commercial fishing vessels or aquaculture farms for processing; placing oysters and shrimp onto processing tables or conveyor belts; sorting oysters and shrimp by size and quality; cleaning oysters and shrimp to remove dirt, debris, and marine growth; inspecting seafood products for foul odors, contamination, or other quality defects and removing non-consumable product from the processing line; weighing, packaging, and labeling oysters and shrimp according to customer specifications; placing processed seafood into ice containers, iceboxes, or other refrigerated storage containers to maintain proper cold temperatures and preserve freshness until shipment; maintaining clean and sanitary work areas throughout the processing operation; and following all food safety, sanitation, quality control, and workplace safety procedures established by the employer. Wages will be paid weekly. The employer will use a single workweek as the standard for computing wages due. The employer will pay the highest of the prevailing wage, the applicable federal minimum wage, the state minimum wage, or the local minimum wage, as required by law. All deductions from the workers' paychecks required by law will be made. The employer will furnish, at no cost to the workers, all tools, supplies, equipment, protective clothing, and any other materials required to perform the assigned job duties. The employer will provide daily transportation, at no cost to the workers, from the centralized pick-up location located at 3282 Bayou Dularge Road, Theriot, Louisiana 70397, and from employer-provided housing located at 5756 Highway 56, Chauvin, Louisiana 70344, to the worksite located at 6896 Grand Caillou Road, Dulac, Louisiana 70353, and return transportation to those locations at the end of each workday. The employer will also provide transportation, at no cost to workers residing in employer-provided housing, every Saturday and Sunday to local grocery stores, supermarkets, pharmacies, and other retail establishments so workers may purchase their weekly groceries, household necessities, personal items, and supplies needed to prepare their daily meals, with return transportation provided to the employer-provided housing. Public transportation is available to the centralized pick-up location for workers who choose not to reside in employer-provided housing. Job Classification: 45-2041.00 - Graders and Sorters, Agricultural Products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Workers must be able to stand for extended periods and work in a cold, wet seafood processing environment. Applicants must have three (3) months of work-related experience. No formal education is required. The position is full-time (40 hours per week). No overtime is available. Number of Hours Per Week: 40 Work Schedule (Start/End time): 2:00 P.M. - 10:00 P.M.</t>
  </si>
  <si>
    <t>H-400-26184-078130</t>
  </si>
  <si>
    <t>crawfishasiangroup@gmail.com</t>
  </si>
  <si>
    <t>Assist in the preparation of ingredients for crawfish and seafood dishes in a commercial kitchen setting. Duties include cleaning, sorting, and portioning live crawfish using strainers, gloves, and commercial sinks; Chopping vegetables and herbs such as onions, garlic, carrots, celery, bell peppers, and cilantro using knives and cutting boards; Preparing spice blends and sauces, such as Cajun seasoning mixes and garlic butter sauce, using mixing bowls, measuring utensils, and food containers; Setting up and organizing ingredients for cooking staff, including transferring prepared items into labeled food storage bins and containers for use in large commercial boiling pots; Cleaning and sanitizing prep tables, knives, cutting boards, sinks, and food containers in accordance with food safety and sanitation standards; Following instructions from senior kitchen staff. Job Classification: 35-2021.00 - Food Preparation Workers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24 Special Requirements: No minimum education or experience required. Employer will provide on-the-job training. Must be able to perform the duties of the position. Number of Hours Per Week: 40 Work Schedule (Start/End time): 12:00 P.M. - 8:30 P.M.</t>
  </si>
  <si>
    <t>H-400-26184-078141</t>
  </si>
  <si>
    <t>Forest Green LLC</t>
  </si>
  <si>
    <t>forestgreenusa@gmail.com</t>
  </si>
  <si>
    <t>+12183088609</t>
  </si>
  <si>
    <t>Landscape or maintain grounds of property using hand or power tools or equipment. Workers typically perform a variety of tasks, which may include any combination of the following: sod laying, mowing, trimming, planting, watering, fertilizing, digging, raking, sprinkler installation, and installation of mortarless segmental concrete masonry wall units Job Classification: 37-3011.00 - Landscaping and Groundskeeping Workers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Lift and Carry 50 pounds. Work in inclement weather. Number of Hours Per Week: 40 Work Schedule (Start/End time): 8:30 A.M. - 4:30 P.M.</t>
  </si>
  <si>
    <t>H-400-26184-078133</t>
  </si>
  <si>
    <t>Keyserv LLC- Birmingham, AL</t>
  </si>
  <si>
    <t>taylor@keyservco.com</t>
  </si>
  <si>
    <t>+19802233959</t>
  </si>
  <si>
    <t>Janitorial Snow Cleaners</t>
  </si>
  <si>
    <t>Perform temporary, full-time winter property maintenance and snow removal services for commercial and residential properties. Remove snow, ice, slush, leaves, branches, mud, and debris from sidewalks, walkways, entrances, parking lots, and common areas using shovels, snow blowers, brooms, backpack blowers, and other hand or power tools. Apply salt and ice melt materials to maintain safe conditions. Perform exterior cleaning, trash removal, sweeping, seasonal cleanup, and related property maintenance duties. Work may include overnight, weekend, holiday, and emergency weather-response shifts. Duties may also include fall and spring cleanup activities such as raking leaves, clearing gutters, removing branches and storm debris, cleaning landscaped areas, and preparing properties for seasonal weather conditions. Job Classification: 37-2011.00 - Janitors and Cleaners, Except Maids and Housekeeping Cleaners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Must lift/carry 50 lbs., when necessary. Saturday and Sunday work required, when necessary. Employer-paid drug testing required of foreign and domestic workers prior to commencing work and post-hire post-accident. Post-hire background check and employment eligibility (e-Verify) check required of foreign and domestic workers. Number of Hours Per Week: 45 Work Schedule (Start/End time): 7:00 A.M. - 5:00 P.M.</t>
  </si>
  <si>
    <t>H-400-26184-078134</t>
  </si>
  <si>
    <t>Holiday Lighting Installers</t>
  </si>
  <si>
    <t>Assist with the installation, maintenance, troubleshooting, and removal of seasonal and holiday lighting displays on residential and commercial properties. Duties include loading and unloading materials, operating hand and power tools, working from ladders and aerial lifts, installing lights, decorations, wiring, and display components, securing lighting systems, performing post-season removal and storage, maintaining a clean and safe worksite, and performing other manual labor tasks as assigned. Follow all safety procedures and maintain tools and equipment in proper working condition. Job Classification: 49-9099.00 - Installation, Maintenance, and Repair Workers, All Other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Must lift/carry 50 lbs., when necessary. Saturday and Sunday work required, when necessary. Employer-paid drug testing required of foreign and domestic workers prior to commencing work and post-hire post-accident. Post-hire background check and employment eligibility (e-Verify) check required of foreign and domestic workers. Number of Hours Per Week: 45 Work Schedule (Start/End time): 7:00 A.M. - 5:00 P.M.</t>
  </si>
  <si>
    <t>H-400-26184-078131</t>
  </si>
  <si>
    <t>Keyserv LLC- Fernandina Beach, FL</t>
  </si>
  <si>
    <t>taylor@keyserco.com</t>
  </si>
  <si>
    <t>+13205371301</t>
  </si>
  <si>
    <t>Holiday Lighting Installer</t>
  </si>
  <si>
    <t>H-400-26184-078132</t>
  </si>
  <si>
    <t>jeff@keyservco.com</t>
  </si>
  <si>
    <t>+19044415026</t>
  </si>
  <si>
    <t>Tree Trimmers and Pruners</t>
  </si>
  <si>
    <t>Using sophisticated climbing and rigging techniques, cut away dead or excess branches from Palm Trees to maintain right-of-way for roads, sidewalks, or utilities, or to improve appearance, health, and value of tree. Prune or treat trees or shrubs using handsaws, hand pruners, clippers, and power pruners. Works off the ground in the tree canopy and may use truck-mounted lifts. Job Classification: 37-3013.00 - Tree Trimmers and Pruners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Must lift/carry 50 lbs., when necessary. Saturday and Sunday work required, when necessary. Employer-paid drug testing required of foreign and domestic workers prior to commencing work and post-hire post-accident. Post-hire background check and employment eligibility (e-Verify) check required of foreign and domestic workers. Number of Hours Per Week: 45 Work Schedule (Start/End time): 7:00 A.M. - 5:00 P.M.</t>
  </si>
  <si>
    <t>H-400-26184-078129</t>
  </si>
  <si>
    <t>Keyserv LLC- Merrit Island FL</t>
  </si>
  <si>
    <t>H-400-26184-078125</t>
  </si>
  <si>
    <t>Lawles Management Company, Inc.</t>
  </si>
  <si>
    <t>lawlessmanagement@yahoo.com</t>
  </si>
  <si>
    <t>+12164819548</t>
  </si>
  <si>
    <t>Segmental Paver Laborer</t>
  </si>
  <si>
    <t>Layout, cut, and paste segmental paving units. Includes installers of bedding and restraining materials for the paving units. Job Classification: 47-4091.00 - Segmental Pavers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Able to lift/carry 50 lbs when necessary. Number of Hours Per Week: 40 Work Schedule (Start/End time): 8:00 A.M. - 5:00 P.M.</t>
  </si>
  <si>
    <t>H-400-26184-078139</t>
  </si>
  <si>
    <t>M3 Entertainment</t>
  </si>
  <si>
    <t>madler@fredastaire.com</t>
  </si>
  <si>
    <t>+17138985019</t>
  </si>
  <si>
    <t>Dance Teacher</t>
  </si>
  <si>
    <t>-Teach private and group lessons throughout the day across multiple dance styles -Build and maintain a personal student roster, tracking individual progress and goals -Compete alongside students in the Pro Am division at regional and national events -Create and perform in showcase productions, including original choreography -Design customized lesson plans tailored to each student's ability and ambitions -Represent the Fred Astaire brand with professionalism, energy, and artistry -Participate in studio events, recitals, and promotional activities Job Classification: 27-2022.00 - Coaches and Scouts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-Proficiency in Ballroom, Latin, Contemporary, and Lyrical styles -Prior competitive or professional dance experience preferred -Strong choreographic ability and performance presence -Excellent interpersonal and communication skills -Ability to motivate and inspire students at all levels -Flexible availability including evenings -Passion for sharing the art of dance with a diverse student community Number of Hours Per Week: 40 Work Schedule (Start/End time): 8:00 A.M. - 4:00 P.M.</t>
  </si>
  <si>
    <t>H-400-26184-078095</t>
  </si>
  <si>
    <t xml:space="preserve">Mariner Sands Country Club </t>
  </si>
  <si>
    <t>H2Bjobs@marinersands.com</t>
  </si>
  <si>
    <t>+17724195327</t>
  </si>
  <si>
    <t>Wash, dry pots, pans, glassware, utensils by hand and with machine. Keep kitchen areas clean, take garbage out to dumpster. (6) workers needed. Dates of need: 10/1/26-5/31/27. Rotating shifts. Workdays: Mon-Sun. Work hours: 6am-10pm. Rate of pay: $15-$18/hr based on performance, $22.50-$27/hr overtime. Workers paid biweekly. 35 hours/wk. Optional housing provided for $175/week with a $10 per pay period- refundable deposit upon completing of contract &amp; housing inspection. Uniforms and shift meals provided. Job location: 6500 SE Mariner Sands Dr, Stuart FL 34997 Work is temporary full time employment. A single workweek will be used to compute wages. May get up to 10 hours of overtime when available. All deductions from the worker's paycheck required by law will be made. The employer will provide workers at no charge all tools, supplies, and equipment required to perform the job. The worker will be provided with or reimbursed for transportation and subsistence (including reasonable cost of overnight lodging where necessary up to $110/night for lodging with receipts.) at a rate of $16.78 per day during travel to a maximum of $68.00 per day with receipts from the place from which the worker has come to work for the employer, whether in the U.S. or abroad, to the place of employment, if the worker completes 50 percent of the period of employment covered by the job order, consistent with 20 CFR 655.20(j)(1)(i) by inclusion in the paycheck for the applicable week. Employer will provide or pay for the worker's cost of return transportation and daily subsistence from the place of employment to the place from which the worker, disregarding intervening employment, departed to work for the employer, if the worker completes the certified period of employment or is dismissed from employment for any reason by the employer before the end of the period, consistent with § 655.20(j)(1)(ii); H-2B workers will be reimbursed in the first workweek for all visas, visa processing, border crossing, and other related fees, including those mandated by the government (excluding passport fees). The employer will provide workers all tools, supplies, and equipment required to perform the job at no charge to the worker, in accordance with 20 CFR 655.20(k). Qualified applicants may mail resume to Attn: Lora Hoffmann at 6500 SE Mariner Sands Dr, Stuart FL 34997, email to H2Bjobs@marinersands.com, or visit your local job center at 2400 SE Salerno Rd Stuart, FL 34997. *Your security deposit is refundable upon completion of your contract and upon inspection of the housing. If a worker abandons their job without permission of the employer or a worker abandons their housing before the end of the petition date for any reason except employer termination, the workers forfeits all housing deposits, PTO, vacation and bonus pay. Upon termination of resignation, the worker must vacate the housing immediately thereafter unless agreed upon by the employer.* Job Classification: 35-9021.00 - Dishwashers The job/industry classification and description includes general information on the position from ONET/OES and the North American Industry Classification System. Please review Job Duties and Job Order for more information. Job Requirements Experience Required: No Number of Hours Per Week: 35 Work Schedule (Start/End time): 6:00 A.M. - 10:00 P.M.</t>
  </si>
  <si>
    <t>H-400-26184-078097</t>
  </si>
  <si>
    <t>Take drink orders, prepare, garnish &amp; serve beverages such as wine, mixed drinks, beer to guests. Cut fruits for drinks. Keep bars stocked and sanitized (3) workers needed. Dates of need: 10/1/26-5/31/27. 3 months experience necessary. Rotating shifts. Workdays: Mon-Sun. Work hours: 10am-11pm. Rate of pay: $20-$25/hr based on performance, $30-$37.50/hr overtime. Workers paid biweekly. 35 hours/wk. Optional housing provided for $175/week with a $10 per pay period- refundable deposit upon completing of contract &amp; housing inspection. Uniforms and shift meals provided. Job location: 6500 SE Mariner Sands Dr, Stuart FL 34997 Work is temporary full time employment. A single workweek will be used to compute wages. May get up to 10 hours of overtime when available. All deductions from the worker's paycheck required by law will be made. The employer will provide workers at no charge all tools, supplies, and equipment required to perform the job. The worker will be provided with or reimbursed for transportation and subsistence (including reasonable cost of overnight lodging where necessary up to $110/night for lodging with receipts.) at a rate of $16.78 per day during travel to a maximum of $68.00 per day with receipts from the place from which the worker has come to work for the employer, whether in the U.S. or abroad, to the place of employment, if the worker completes 50 percent of the period of employment covered by the job order, consistent with 20 CFR 655.20(j)(1)(i) by inclusion in the paycheck for the applicable week. Employer will provide or pay for the worker's cost of return transportation and daily subsistence from the place of employment to the place from which the worker, disregarding intervening employment, departed to work for the employer, if the worker completes the certified period of employment or is dismissed from employment for any reason by the employer before the end of the period, consistent with § 655.20(j)(1)(ii); H-2B workers will be reimbursed in the first workweek for all visas, visa processing, border crossing, and other related fees, including those mandated by the government (excluding passport fees). The employer will provide workers all tools, supplies, and equipment required to perform the job at no charge to the worker, in accordance with 20 CFR 655.20(k). Qualified applicants may mail resume to Attn: Lora Hoffmann at 6500 SE Mariner Sands Dr, Stuart FL 34997, email to H2Bjobs@marinersands.com, or visit your local job center at 2400 SE Salerno Rd Stuart, FL 34997. *Your security deposit is refundable upon completion of your contract and upon inspection of the housing. If a worker abandons their job without permission of the employer or a worker abandons their housing before the end of the petition date for any reason except employer termination, the workers forfeits all housing deposits, PTO, vacation and bonus pay. Upon termination of resignation, the worker must vacate the housing immediately thereafter unless agreed upon by the employer.* Job Classification: 35-3011.00 - Bartenders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Number of Hours Per Week: 35 Work Schedule (Start/End time): 10:00 A.M. - 11:00 P.M.</t>
  </si>
  <si>
    <t>H-400-26184-078098</t>
  </si>
  <si>
    <t>Prepare, cook, saute, broil, fry such items as seafood, meats, poultry, vegetables, pastas, soups. Keeps kitchen areas clean &amp; sanitized. Stores all products in proper locations and all other cook related services (11) workers needed. Dates of need: 10/1/26-5/31/27. 3 months experience necessary. Rotating shifts. Workdays: Mon-Sun. Work hours: 6am-10pm. Rate of pay: $19-$24/hr based on performance, $28.50-$36/hr overtime. Workers paid biweekly. 35 hours/wk. Optional housing provided for $175/week with a $10 per pay period- refundable deposit upon completing of contract &amp; housing inspection. Uniforms and shift meals provided. Job location: 6500 SE Mariner Sands Dr, Stuart FL 34997 Work is temporary full time employment. A single workweek will be used to compute wages. May get up to 10 hours of overtime when available. All deductions from the worker's paycheck required by law will be made. The employer will provide workers at no charge all tools, supplies, and equipment required to perform the job. The worker will be provided with or reimbursed for transportation and subsistence (including reasonable cost of overnight lodging where necessary up to $110/night for lodging with receipts.) at a rate of $16.78 per day during travel to a maximum of $68.00 per day with receipts from the place from which the worker has come to work for the employer, whether in the U.S. or abroad, to the place of employment, if the worker completes 50 percent of the period of employment covered by the job order, consistent with 20 CFR 655.20(j)(1)(i) by inclusion in the paycheck for the applicable week. Employer will provide or pay for the worker's cost of return transportation and daily subsistence from the place of employment to the place from which the worker, disregarding intervening employment, departed to work for the employer, if the worker completes the certified period of employment or is dismissed from employment for any reason by the employer before the end of the period, consistent with § 655.20(j)(1)(ii); H-2B workers will be reimbursed in the first workweek for all visas, visa processing, border crossing, and other related fees, including those mandated by the government (excluding passport fees). The employer will provide workers all tools, supplies, and equipment required to perform the job at no charge to the worker, in accordance with 20 CFR 655.20(k). Qualified applicants may mail resume to Attn: Lora Hoffmann at 6500 SE Mariner Sands Dr, Stuart FL 34997, email to H2Bjobs@marinersands.com, or visit your local job center at 2400 SE Salerno Rd Stuart, FL 34997. *Your security deposit is refundable upon completion of your contract and upon inspection of the housing. If a worker abandons their job without permission of the employer or a worker abandons their housing before the end of the petition date for any reason except employer termination, the workers forfeits all housing deposits, PTO, vacation and bonus pay. Upon termination of resignation, the worker must vacate the housing immediately thereafter unless agreed upon by the employer.* Job Classification: 35-2014.00 - Cooks, Restaurant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Number of Hours Per Week: 35 Work Schedule (Start/End time): 6:00 A.M. - 10:00 P.M.</t>
  </si>
  <si>
    <t>H-400-26184-078099</t>
  </si>
  <si>
    <t>Take orders, serve food &amp; beverages to guests. Clean off &amp; set tables. Take payments, give receipts. Keep all stations stocked and all other server related services. (15) workers needed. Dates of need: 10/1/26-5/31/27. 3 months experience necessary. Rotating shifts. Workdays: Mon-Sun. Work hours: 6am-10pm. Rate of pay: $19-$23/hr based on performance, $28.50-$34.50/hr overtime. Workers paid biweekly. 35 hours/wk. Optional housing provided for $175/week with a $10 per pay period- refundable deposit upon completing of contract &amp; housing inspection. Uniforms and shift meals provided. Job location: 6500 SE Mariner Sands Dr, Stuart FL 34997 Work is temporary full time employment. A single workweek will be used to compute wages. May get up to 10 hours of overtime when available. All deductions from the worker's paycheck required by law will be made. The employer will provide workers at no charge all tools, supplies, and equipment required to perform the job. The worker will be provided with or reimbursed for transportation and subsistence (including reasonable cost of overnight lodging where necessary up to $110/night for lodging with receipts.) at a rate of $16.78 per day during travel to a maximum of $68.00 per day with receipts from the place from which the worker has come to work for the employer, whether in the U.S. or abroad, to the place of employment, if the worker completes 50 percent of the period of employment covered by the job order, consistent with 20 CFR 655.20(j)(1)(i) by inclusion in the paycheck for the applicable week. Employer will provide or pay for the worker's cost of return transportation and daily subsistence from the place of employment to the place from which the worker, disregarding intervening employment, departed to work for the employer, if the worker completes the certified period of employment or is dismissed from employment for any reason by the employer before the end of the period, consistent with § 655.20(j)(1)(ii); H-2B workers will be reimbursed in the first workweek for all visas, visa processing, border crossing, and other related fees, including those mandated by the government (excluding passport fees). The employer will provide workers all tools, supplies, and equipment required to perform the job at no charge to the worker, in accordance with 20 CFR 655.20(k). Qualified applicants may mail resume to Attn: Lora Hoffmann at 6500 SE Mariner Sands Dr, Stuart FL 34997, email to H2Bjobs@marinersands.com, or visit your local job center at 2400 SE Salerno Rd Stuart, FL 34997. *Your security deposit is refundable upon completion of your contract and upon inspection of the housing. If a worker abandons their job without permission of the employer or a worker abandons their housing before the end of the petition date for any reason except employer termination, the workers forfeits all housing deposits, PTO, vacation and bonus pay. Upon termination of resignation, the worker must vacate the housing immediately thereafter unless agreed upon by the employer.* Job Classification: 35-3031.00 - Waiters and Waitresses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Number of Hours Per Week: 35 Work Schedule (Start/End time): 6:00 A.M. - 10:00 P.M.</t>
  </si>
  <si>
    <t>H-400-26184-078108</t>
  </si>
  <si>
    <t>Perform various financial activities, such as cash handling. Resolve customer complaints regarding food service. Compile and balance cash receipts at the end of the day or shift. Present bills and accept payments. Make schedule for dining room employees (3) workers needed. Dates of need: 10/1/26-5/31/27. 3 months experience necessary. Rotating shifts. Workdays: Mon-Sun. Work hours: 6am-10pm. Rate of pay: $23-$27/hr based on performance, $34.50-$40.50/hr overtime. Workers paid biweekly. 35 hours/wk. Optional housing provided for $175/week with a $10 per pay period- refundable deposit upon completing of contract &amp; housing inspection. Uniforms and shift meals provided. Job location: 6500 SE Mariner Sands Dr, Stuart FL 34997 Work is temporary full time employment. A single workweek will be used to compute wages. May get up to 10 hours of overtime when available. All deductions from the worker's paycheck required by law will be made. The employer will provide workers at no charge all tools, supplies, and equipment required to perform the job. The worker will be provided with or reimbursed for transportation and subsistence (including reasonable cost of overnight lodging where necessary up to $110/night for lodging with receipts.) at a rate of $16.78 per day during travel to a maximum of $68.00 per day with receipts from the place from which the worker has come to work for the employer, whether in the U.S. or abroad, to the place of employment, if the worker completes 50 percent of the period of employment covered by the job order, consistent with 20 CFR 655.20(j)(1)(i) by inclusion in the paycheck for the applicable week. Employer will provide or pay for the worker's cost of return transportation and daily subsistence from the place of employment to the place from which the worker, disregarding intervening employment, departed to work for the employer, if the worker completes the certified period of employment or is dismissed from employment for any reason by the employer before the end of the period, consistent with § 655.20(j)(1)(ii); H-2B workers will be reimbursed in the first workweek for all visas, visa processing, border crossing, and other related fees, including those mandated by the government (excluding passport fees). The employer will provide workers all tools, supplies, and equipment required to perform the job at no charge to the worker, in accordance with 20 CFR 655.20(k). Qualified applicants may mail resume to Attn: Lora Hoffmann at 6500 SE Mariner Sands Dr, Stuart FL 34997, email to H2Bjobs@marinersands.com, or visit your local job center at 2400 SE Salerno Rd Stuart, FL 34997. *Your security deposit is refundable upon completion of your contract and upon inspection of the housing. If a worker abandons their job without permission of the employer or a worker abandons their housing before the end of the petition date for any reason except employer termination, the workers forfeits all housing deposits, PTO, vacation and bonus pay. Upon termination of resignation, the worker must vacate the housing immediately thereafter unless agreed upon by the employer.* Job Classification: 35-1012.00 - First-Line Supervisors of Food Preparation and Serving Workers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Number of Hours Per Week: 35 Work Schedule (Start/End time): 6:00 A.M. - 10:00 P.M.</t>
  </si>
  <si>
    <t>H-400-26184-078089</t>
  </si>
  <si>
    <t>McPherson Concrete Storage Systems, Inc.</t>
  </si>
  <si>
    <t>dledeboer@mcphersonconcrete.com</t>
  </si>
  <si>
    <t>+16202414362</t>
  </si>
  <si>
    <t>Prepare a construction site where concrete will be poured. Set and align forms that hold concrete. Spread, level and smooth concrete using rakes, shovels or hand tools. Tear down concrete forms. Clean up the construction site. Job Classification: 47-2051.00 - Cement Masons and Concrete Finishers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Must be able to lift and carry 75lbs for 50 yards. Must be able to handle temperature extremes. Some weekend work. Number of Hours Per Week: 50 Work Schedule (Start/End time): 7:00 A.M. - 5:00 P.M.</t>
  </si>
  <si>
    <t>H-400-26184-078096</t>
  </si>
  <si>
    <t>Naples Lakes Country Club Homeowners Association, Inc.</t>
  </si>
  <si>
    <t>employment@napleslakesfl.com</t>
  </si>
  <si>
    <t>+12397326700</t>
  </si>
  <si>
    <t>Take orders, serve food &amp; beverages to guests. Clean off &amp; set tables. Take payments, give receipts. Keep all stations stocked and all other server related services (15) workers needed. Dates of need: 10/1/26-5/31/27. 3 months experience necessary. Rotating shifts. Workdays: Mon-Sun. Work hours: 6am-10pm. Rate of pay: $11.98-$13/hr plus tips but no less than $20.13/hr, $30.20/hr overtime. Workers paid biweekly. 35 hours/wk. Optional housing provided for $550/month (Utilities and Internet included) with a $200 deposit (non-refundable). Seasonal employees are eligible for medical benefits on the 1st of the month following date of hire. Initial enrollment must be completed within 30 days from date of hire. Uniforms and shift meals provided. Job location: 4784 Naples Lakes Boulevard, Naples, FL 34112. Work is temporary full time employment. A single workweek will be used to compute wages. May get up to 10 hours of overtime when available. All deductions from the worker's paycheck required by law will be made. The employer will provide workers at no charge all tools, supplies, and equipment required to perform the job. The worker will be provided with or reimbursed for transportation and subsistence (including reasonable cost of overnight lodging where necessary up to $110/night for lodging with receipts.) at a rate of $16.78 per day during travel to a maximum of $68.00 per day with receipts from the place from which the worker has come to work for the employer, whether in the U.S. or abroad, to the place of employment, if the worker completes 50 percent of the period of employment covered by the job order, consistent with 20 CFR 655.20(j)(1)(i) by inclusion in the paycheck for the applicable week. Employer will provide or pay for the worker's cost of return transportation and daily subsistence from the place of employment to the place from which the worker, disregarding intervening employment, departed to work for the employer, if the worker completes the certified period of employment or is dismissed from employment for any reason by the employer before the end of the period, consistent with § 655.20(j)(1)(ii); H-2B workers will be reimbursed in the first workweek for all visas, visa processing, border crossing, and other related fees, including those mandated by the government (excluding passport fees). The employer will provide workers all tools, supplies, and equipment required to perform the job at no charge to the worker, in accordance with 20 CFR 655.20(k). Qualified applicants may mail resume to Attn: Joseph F. Basso at 4784 Naples Lakes Boulevard, Naples, FL 34112, email to employment@napleslakesfl.com or visit your local job center at 3050 Horseshoe Drive North Building A Suite 110, Naples, FL 34104. *Your security deposit is refundable upon completion of your contract and upon inspection of the housing. If a worker abandons their job without permission of the employer or a worker abandons their housing before the end of the petition date for any reason except employer termination, the workers forfeits all housing deposits, 4 hours paid Holidays and bonus pay. Upon termination of resignation, the worker must vacate the housing immediately thereafter unless agreed upon by the employer.* Job Classification: 35-3031.00 - Waiters and Waitresses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Number of Hours Per Week: 35 Work Schedule (Start/End time): 6:00 A.M. - 10:00 P.M.</t>
  </si>
  <si>
    <t>H-400-26184-078094</t>
  </si>
  <si>
    <t>Prepare, cook, saute, broil, fry such items as seafood, meats, poultry, vegetables, pastas, soups. Keeps kitchen areas clean &amp; sanitized. Stores all products in proper locations. (15) workers needed. Dates of need: 10/1/26-5/31/27. 3 months experience necessary. Rotating shifts. Workdays: Mon-Sun. Work hours: 6am-10pm. Rate of pay: $21-$26.50/hr based on performance, $31.50-$39.75/hr overtime. Workers paid biweekly. 35 hours/wk. Optional housing provided for $550/month (Utilities and Internet included) with a $200 deposit (non-refundable). Seasonal employees are eligible for medical benefits on the 1st of the month following date of hire. Initial enrollment must be completed within 30 days from date of hire. Uniforms and shift meals provided. Job location: 4784 Naples Lakes Boulevard, Naples, FL 34112. Work is temporary full time employment. A single workweek will be used to compute wages. May get up to 10 hours of overtime when available. All deductions from the worker's paycheck required by law will be made. The employer will provide workers at no charge all tools, supplies, and equipment required to perform the job. The worker will be provided with or reimbursed for transportation and subsistence (including reasonable cost of overnight lodging where necessary up to $110/night for lodging with receipts.) at a rate of $16.78 per day during travel to a maximum of $68.00 per day with receipts from the place from which the worker has come to work for the employer, whether in the U.S. or abroad, to the place of employment, if the worker completes 50 percent of the period of employment covered by the job order, consistent with 20 CFR 655.20(j)(1)(i) by inclusion in the paycheck for the applicable week. Employer will provide or pay for the worker's cost of return transportation and daily subsistence from the place of employment to the place from which the worker, disregarding intervening employment, departed to work for the employer, if the worker completes the certified period of employment or is dismissed from employment for any reason by the employer before the end of the period, consistent with § 655.20(j)(1)(ii); H-2B workers will be reimbursed in the first workweek for all visas, visa processing, border crossing, and other related fees, including those mandated by the government (excluding passport fees). The employer will provide workers all tools, supplies, and equipment required to perform the job at no charge to the worker, in accordance with 20 CFR 655.20(k). Qualified applicants may mail resume to Attn: Joseph F. Basso at 4784 Naples Lakes Boulevard, Naples, FL 34112, email to employment@napleslakesfl.com or visit your local job center at 3050 Horseshoe Drive North Building A Suite 110, Naples, FL 34104. *Your security deposit is refundable upon completion of your contract and upon inspection of the housing. If a worker abandons their job without permission of the employer or a worker abandons their housing before the end of the petition date for any reason except employer termination, the workers forfeits all housing deposits, 4 hours paid Holidays and bonus pay. Upon termination of resignation, the worker must vacate the housing immediately thereafter unless agreed upon by the employer.* Job Classification: 35-2014.00 - Cooks, Restaurant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Number of Hours Per Week: 35 Work Schedule (Start/End time): 6:00 A.M. - 10:00 P.M.</t>
  </si>
  <si>
    <t>H-400-26184-078123</t>
  </si>
  <si>
    <t>PINE CREEK SPORTING CLUB HOA INC</t>
  </si>
  <si>
    <t>pinecreeksportingclubjobs@gmail.com</t>
  </si>
  <si>
    <t>+18633571700</t>
  </si>
  <si>
    <t>Prepare, cook, saute, broil, fry such items as seafood, meats, poultry, vegetables, pastas, soups. Keeps kitchen areas clean &amp; sanitized. Stores all products in proper locations and all other cook related services. (6) workers needed. Dates of need: 10/1/26-5/31/27. 3 months experience necessary. Rotating shifts. Workdays: Mon-Sun. Work hours: 7AM-11PM. Rate of pay: $19.40-$23/hr, $29.10-$34.50/hr overtime. Workers paid biweekly. 35 hours/wk. Optional housing provided for free with a $500 deposit, $300 refundable upon completion of contract and upon inspection of the housing. Deposit to be paid from the funds from the first and second checks upon arrival. Will be held as security, and not as rental payment, final or otherwise to ensure that the Tenant complies with all of the terms and conditions of this Lease. If Tenant should remain in possession of the Leased Premises after the expiration of the Term without the execution by Landlord and Tenant of a written agreement allowing Tenant to do so, Tenant shall be deemed to be occupying the Leased Premises as a tenant-at-sufferance, subject all the covenants and obligations of this Lease and a daily rental of $300.00 shall be due. Uniforms and shift meals provided. End of season and Christmas bonuses available. Job location: 23721 NE 48th Av. Okeechobee, Fl. 34972 Work is temporary full time employment. A single workweek will be used to compute wages. May get up to 10 hours of overtime when available. All deductions from the worker's paycheck required by law will be made. The employer will provide workers at no charge all tools, supplies, and equipment required to perform the job. The worker will be provided with or reimbursed for transportation and subsistence (including reasonable cost of overnight lodging where necessaryup to $110/night for lodging with receipts.) at a rate of $16.78 per day during travel to a maximum of $68.00 per day with receipts from the place from which the worker has come to work for the employer, whether in the U.S. or abroad, to the place of employment, if the worker completes 50 percent of the period of employment covered by the job order, consistent with 20 CFR 655.20(j)(1)(i) by inclusion in the paycheck for the applicable week. Employer will provide or pay for the worker's cost of return transportation and daily subsistence from the place of employment to the place from which the worker, disregarding intervening employment, departed to work for the employer, if the worker completes the certified period of employment or is dismissed from employment for any reason by the employer before the end of the period, consistent with § 655.20(j)(1)(ii); H-2B workers will be reimbursed in the first workweek for all visas, visa processing, border crossing, and other related fees, including those mandated by the government (excluding passport fees). The employer will provide workers all tools, supplies, and equipment required to perform the job at no charge to the worker, in accordance with 20 CFR 655.20(k). Qualified applicants may mail resume to Attn: Brian Boushie at 23721 NE 48th Av. Okeechobee, Fl. 34972, email to pinecreeksportingclubjobs@gmail.com or visit your local job center at 207 SW Park Street Okeechobee, FL 34972. *Your security deposit is refundable upon completion of your contract and upon inspection of the housing. If a worker abandons their job without permission of the employer or a worker abandons their housing before the end of the petition date for any reason except employer termination, the workers forfeits all housing deposits, PTO, vacation and bonus pay. Upon termination of resignation, the worker must vacate the housing immediately thereafter unless agreed upon by the employer.* Job Classification: 35-2014.00 - Cooks, Restaurant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Number of Hours Per Week: 35 Work Schedule (Start/End time): 7:00 A.M. - 11:00 P.M.</t>
  </si>
  <si>
    <t>H-400-26184-078124</t>
  </si>
  <si>
    <t>Take orders, serve food &amp; beverages to guests. Clean off &amp; set tables. Take payments, give receipts. Keep all stations stocked and all other server related services. (8) workers needed. Dates of need: 10/1/26-5/31/27. 3 months experience necessary. Rotating shifts. Workdays: Mon-Sun. Work hours: 7AM-11PM . Rate of pay: $7.50-$12/hr plus tips but no less than $18.75/hr, $28.13/hr overtime. Workers paid biweekly. 35 hours/wk. Optional housing provided for free with a $500 deposit, $300 refundable upon completion of contract and upon inspection of the housing. Deposit to be paid from the funds from the first and second checks upon arrival. Will be held as security, and not as rental payment, final or otherwise to ensure that the Tenant complies with all of the terms and conditions of this Lease. If Tenant should remain in possession of the Leased Premises after the expiration of the Term without the execution by Landlord and Tenant of a written agreement allowing Tenant to do so, Tenant shall be deemed to be occupying the Leased Premises as a tenant-at-sufferance, subject all the covenants and obligations of this Lease and a daily rental of $300.00 shall be due. Uniforms and shift meals provided. End of season bonus available. Job location: 23721 NE 48th Av. Okeechobee, Fl. 34972 Work is temporary full time employment. A single workweek will be used to compute wages. May get up to 10 hours of overtime when available. All deductions from the worker's paycheck required by law will be made. The employer will provide workers at no charge all tools, supplies, and equipment required to perform the job. The worker will be provided with or reimbursed for transportation and subsistence (including reasonable cost of overnight lodging where necessaryup to $110/night for lodging with receipts.) at a rate of $16.78 per day during travel to a maximum of $68.00 per day with receipts from the place from which the worker has come to work for the employer, whether in the U.S. or abroad, to the place of employment, if the worker completes 50 percent of the period of employment covered by the job order, consistent with 20 CFR 655.20(j)(1)(i) by inclusion in the paycheck for the applicable week. Employer will provide or pay for the worker's cost of return transportation and daily subsistence from the place of employment to the place from which the worker, disregarding intervening employment, departed to work for the employer, if the worker completes the certified period of employment or is dismissed from employment for any reason by the employer before the end of the period, consistent with § 655.20(j)(1)(ii); H-2B workers will be reimbursed in the first workweek for all visas, visa processing, border crossing, and other related fees, including those mandated by the government (excluding passport fees). The employer will provide workers all tools, supplies, and equipment required to perform the job at no charge to the worker, in accordance with 20 CFR 655.20(k). Qualified applicants may mail resume to Attn: Brian Boushie at 23721 NE 48th Av. Okeechobee, Fl. 34972, email to pinecreeksportingclubjobs@gmail.com or visit your local job center at 207 SW Park Street Okeechobee, FL 34972. *Your security deposit is refundable upon completion of your contract and upon inspection of the housing. If a worker abandons their job without permission of the employer or a worker abandons their housing before the end of the petition date for any reason except employer termination, the workers forfeits all housing deposits, PTO, vacation and bonus pay. Upon termination of resignation, the worker must vacate the housing immediately thereafter unless agreed upon by the employer.* Job Classification: 35-3031.00 - Waiters and Waitresses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Number of Hours Per Week: 35 Work Schedule (Start/End time): 7:00 A.M. - 11:00 P.M.</t>
  </si>
  <si>
    <t>H-400-26184-078137</t>
  </si>
  <si>
    <t>Palisades Tahoe Resort, LLC</t>
  </si>
  <si>
    <t>recruiting@palisadestahoe.com</t>
  </si>
  <si>
    <t>+15304527242</t>
  </si>
  <si>
    <t>Jr Teams Race Coach</t>
  </si>
  <si>
    <t>Conduct athlete training sessions. Fluent in reading, writing and communicating in English. Provide training direction, feedback and advice to prepare athletes for long-term athletic development and upcoming competitions. Adjust coaching techniques, based on the strengths and weaknesses of athletes. Instruct individuals or groups in rules, tactics, preparedness, and performance principles, such as specific ways of engaging equipment with the snow surface to achieve desired results. Provide leadership, direction, and oversight of athlete development within the assigned program group, ensuring alignment with overall program goals and standards. Support, manage, and mentor coaching staff to maintain consistency in training quality, athlete experience, and program delivery. Know and adhere to schedule, Time &amp; Attendance expectations. Meet, greet and interact with guests, athletes and parents daily. Lead and supervise a group of athletes, independently execute curriculum at direction of Manager. Develop and manage staff schedules to ensure appropriate coverage, efficient operations, and alignment with program needs. Provide day-to-day staff management including oversight, direction, and support of coaching staff. Lead the delivery and execution of program curriculum, ensuring alignment with program standards while taking ownership of day-to-day training quality and athlete experience. Assist in planning training sessions, seasonal programming, and competition preparation in collaboration with Manager/Head Coach. Set up/prepare quality Training Environments: Transport and install necessary equipment for training, safety &amp; security including closures, signage, training poles/panels, drills and other. Implement Team training at the direction of Manager/Head Coach: accountable for the quality of curriculum implemented, products and services delivered. Accountable for the overall quality, consistency, and effectiveness of training environments, curriculum delivery, and athlete outcomes. Support daily program operations including training logistics, scheduling alignment, and resource coordination. Adaptability to training environments and interpersonal dynamics. Help maintain quality and appearance of all Ski Team facilities and physical plant including Team Centre, on-mountain training facilities, signage and program imaging and other. Stay current and adhere to company guidelines, policies and procedures including but not limited to: Employee Ski &amp; Ride Policy, safety, behavior, appearance, travel, time &amp; attendance and other. Communicate effectively with Team Members including guest and employees. Lead clear, professional communication with athletes, parents, and staff, serving as a key point of contact for program-related information, expectations, and feedback. Provide ongoing staff feedback, support performance management, and address day-to-day personnel needs. Model and reinforce team culture, professionalism, and company standards across athletes and staff. Ensure and execute teamwork within the team, departments and company. Attend and positively contribute to required trainings and meetings. Must be able to regularly walk, talk, see, hear, and ski/snowboard. Must be capable of standing and/or balancing for long periods of time, up to 90% or more of a normal work shift. Must be capable of frequently or constantly balancing, reaching, squatting, bending, kneeling, stooping, handling, twisting. Must be capable of occasionally carrying, lifting, pushing or pulling up to 75bs. Specific vision abilities required by this job include close vision, distance vision, peripheral vision, depth perceptions and the ability to adjust focus. Job Classification: 27-2022.00 - Coaches and Scouts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36 Special Requirements: 3 years Alpine racing experience. 3 months ski-coaching or instruction experience. Experience with basic digital/electronic coaching tools. Level 200 USSS or equivalent with 3 months coaching experience On-the-Job Training provided. Will Train. Days and Shifts: Following Shifts available 5 days a week (Wednesday- Sunday) including weekends and holidays. Work hours from: 7:30am to 4:00pm, shifts based on the time of the season, daylight, and need. Hourly Wage: $28.04 to $36.00 per hour (based on merit and past experience with our company) Possible Wage Increase: Possible Pay Raise based on certifications and verifiable experience in the field. Overtime Possible: Overtime may be available at $42.06 to $54.00 per hour. Will require pre-hire criminal background check. References might be requested. Fringe Benefits: Free skiing + riding privileges to 14 iconic resorts including Palisades Tahoe, Mammoth Mountain, Steamboat, Solitude and more! 401(k) plan with generous company match. Free lift tickets, plus 50% off lift tickets, 25%-50% discount at Food &amp; Beverage locations at Olympic Valley and Alpine Meadows, 30% discount at Palisades Tahoe operated retail stores, including The North Face, Oakley and more, Employee Assistance Program (EAP). Number of Hours Per Week: 35 Work Schedule (Start/End time): 7:30 A.M. - 4:00 P.M.</t>
  </si>
  <si>
    <t>H-400-26184-078120</t>
  </si>
  <si>
    <t>Pennington Lawn and Landscape LLC</t>
  </si>
  <si>
    <t>Terri White</t>
  </si>
  <si>
    <t>Holiday/christmas Decorator Laborers</t>
  </si>
  <si>
    <t>Installation all types of Exterior Holiday Decoration on houses, businesses and Properties (depend on each individual clients needs)(include; wreaths, lighting, inflatables, trees, hooks, hangers, etc.) removal of decoration, load and unload decorations from trucks/work carts, unpack and package decoration, check decorations ; clean work area and remove debris Job Classification: 49-9099.00 - Installation, Maintenance, and Repair Workers, All Other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MUST BE ABLE TO CLIMB 8 TO 16 FTS LADDERS, WORK AT HIGH HEIGHTS, WALK, SIT, STAND, BEND, STOOP, REACH (OVERHEAD AND GROUND LEVEL,) KNEEL REPETITIVELY FOR LONG PERIOD OF TIMES, LIFT UP TO 30 LBS. TO 50 LBS, USE HAND TOOLS (HAMMER, STAPLERS, CLIP, EXT. CORD, TIMER ETC.) ABLE TO WORK IN ALL KINDS OF WEATHER EXTREME HEAT, COLD OR RAIN ABLE TO WORK WEEKENDS ONCE HIRED MAY BE REQUIRED TO TAKE A RANDOM DRUG TEST AT NO COST TO WORKER. FAILURE TO COMPLY OR REFUSAL OR TESTING POSITIVE MAY RESULT IN IMMEDIATE TERMINATION FORM EMPLOYMENT. direct deposit - if worker does not have a checking account worker will receive a check only during the first 30 days of employment to allow worker time to set up or have a direct deposit activate The standard work schedule is form 7:00 am until 4:00 pm Monday through Friday; Saturday and Sunday work required, when necessary, Employer will offer 35 Hours per work week- Overtime is offered but not guaranteed - Employer may offer more hours than the stated work hours, depending on weather, business needs and other conditions. Extreme Heat, cold, rain, may affect exact hours Number of Hours Per Week: 35 Work Schedule (Start/End time): 7:00 A.M. - 4:00 P.M.</t>
  </si>
  <si>
    <t>H-400-26184-078126</t>
  </si>
  <si>
    <t>Pipers Landing INC</t>
  </si>
  <si>
    <t>jobs@piperslanding.com</t>
  </si>
  <si>
    <t>+17722837000</t>
  </si>
  <si>
    <t>Take orders, serve food &amp; beverages to guests. Clean off &amp; set tables. Take payments, give receipts. Keep all stations stocked and all other server related services. (5) workers needed. Dates of need: 10/1/26-5/31/27. 3 months experience necessary. Rotating shifts. Workdays: Mon-Sun. Work hours: 6am-10pm. Rate of pay: $21-$25/hr based on performance, $31.50-$37.50/hr overtime. Workers paid biweekly. 35 hours/wk. Optional housing provided for $100/week with a $350 refundable deposit. Uniforms provided. Job location: 6160 S.W. Thistle Terrace, Palm City, Florida 34990 Work is temporary full time employment. A single workweek will be used to compute wages. May get up to 10 hours of overtime when available. All deductions from the worker's paycheck required by law will be made. The employer will provide workers at no charge all tools, supplies, and equipment required to perform the job. The worker will be provided with or reimbursed for transportation and subsistence (including reasonable cost of overnight lodging where necessaryup to $110/night for lodging with receipts.) at a rate of $16.78 per day during travel to a maximum of $68.00 per day with receipts from the place from which the worker has come to work for the employer, whether in the U.S. or abroad, to the place of employment, if the worker completes 50 percent of the period of employment covered by the job order, consistent with 20 CFR 655.20(j)(1)(i) by inclusion in the paycheck for the applicable week. Employer will provide or pay for the worker's cost of return transportation and daily subsistence from the place of employment to the place from which the worker, disregarding intervening employment, departed to work for the employer, if the worker completes the certified period of employment or is dismissed from employment for any reason by the employer before the end of the period, consistent with § 655.20(j)(1)(ii); H-2B workers will be reimbursed in the first workweek for all visas, visa processing, border crossing, and other related fees, including those mandated by the government (excluding passport fees). The employer will provide workers all tools, supplies, and equipment required to perform the job at no charge to the worker, in accordance with 20 CFR 655.20(k). Qualified applicants may mail resume to Attn: Jessica Roy at 6160 S.W. Thistle Terrace, Palm City Florida 34990, email to jobs@piperslanding.com or visit your local job center at 2400 SE Salerno Rd Stuart, FL 34997. *Your security deposit is refundable upon completion of your contract and upon inspection of the housing. If a worker abandons their job without permission of the employer or a worker abandons their housing before the end of the petition date for any reason except employer termination, the workers forfeits all housing deposits, PTO, vacation and bonus pay. Upon termination of resignation, the worker must vacate the housing immediately thereafter unless agreed upon by the employer.* Job Classification: 35-3031.00 - Waiters and Waitresses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Number of Hours Per Week: 35 Work Schedule (Start/End time): 6:00 A.M. - 10:00 P.M.</t>
  </si>
  <si>
    <t>H-400-26184-078127</t>
  </si>
  <si>
    <t>Prepare, cook, saute, broil, fry such items as seafood, meats, poultry, vegetables, pastas, soups. Keeps kitchen areas clean &amp; sanitized. Stores all products in proper locations and all other cook related services. (4) workers needed. Dates of need: 10/1/26-5/31/27. 3 months experience necessary. Rotating shifts. Workdays: Mon-Sun. Work hours: 6am-10pm. Rate of pay: $20-$24/hr based on performance, $30-$36/hr overtime. Workers paid biweekly. 35 hours/wk. Optional housing provided for $100/week with a $350 refundable deposit. Uniforms provided. Job location: 6160 S.W. Thistle Terrace, Palm City, Florida 34990 Work is temporary full time employment. A single workweek will be used to compute wages. May get up to 10 hours of overtime when available. All deductions from the worker's paycheck required by law will be made. The employer will provide workers at no charge all tools, supplies, and equipment required to perform the job. The worker will be provided with or reimbursed for transportation and subsistence (including reasonable cost of overnight lodging where necessaryup to $110/night for lodging with receipts.) at a rate of $16.78 per day during travel to a maximum of $68.00 per day with receipts from the place from which the worker has come to work for the employer, whether in the U.S. or abroad, to the place of employment, if the worker completes 50 percent of the period of employment covered by the job order, consistent with 20 CFR 655.20(j)(1)(i) by inclusion in the paycheck for the applicable week. Employer will provide or pay for the worker's cost of return transportation and daily subsistence from the place of employment to the place from which the worker, disregarding intervening employment, departed to work for the employer, if the worker completes the certified period of employment or is dismissed from employment for any reason by the employer before the end of the period, consistent with § 655.20(j)(1)(ii); H-2B workers will be reimbursed in the first workweek for all visas, visa processing, border crossing, and other related fees, including those mandated by the government (excluding passport fees). The employer will provide workers all tools, supplies, and equipment required to perform the job at no charge to the worker, in accordance with 20 CFR 655.20(k). Qualified applicants may mail resume to Attn: Jessica Roy at 6160 S.W. Thistle Terrace, Palm City Florida 34990, email to jobs@piperslanding.com or visit your local job center at 2400 SE Salerno Rd Stuart, FL 34997. *Your security deposit is refundable upon completion of your contract and upon inspection of the housing. If a worker abandons their job without permission of the employer or a worker abandons their housing before the end of the petition date for any reason except employer termination, the workers forfeits all housing deposits, PTO, vacation and bonus pay. Upon termination of resignation, the worker must vacate the housing immediately thereafter unless agreed upon by the employer.* Job Classification: 35-2014.00 - Cooks, Restaurant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Number of Hours Per Week: 35 Work Schedule (Start/End time): 6:00 A.M. - 10:00 P.M.</t>
  </si>
  <si>
    <t>H-400-26184-078103</t>
  </si>
  <si>
    <t>Quail Creek Sporting Ranch</t>
  </si>
  <si>
    <t>H2BJobs@qcsportingranch.com</t>
  </si>
  <si>
    <t>+18637632529</t>
  </si>
  <si>
    <t>Greet guests in dining and hospitality areas, present menus, and take food and drink orders. Serve food and beverages to guests in dining rooms, lounge areas, and outdoor hospitality settings. Bring food from kitchen and service areas to tables in a timely manner. Clean, reset, and prepare tables for continued guest service. Maintain cleanliness and stock levels of server stations, dining areas, and service supplies. Process guest payments using pos systems and follow customer service standards. Servers will perform duties at a private sporting ranch and hunting lodge facility that provides dining and hospitality services to guests. (6) workers needed. Dates of need: 10/1/26-5/31/27. 3 months experience necessary. Rotating shifts. Workdays: Mon-Sun. Work hours: 6am-10pm. Rate of pay: $15-$23/hr plus tips but no less than $18.75/hr, $28.13/hr overtime. Workers paid biweekly. 35 hours/wk. Optional housing included with a $500 deposit ($350 refundable/ $150.00 non-refundable) upon completion of contract and upon inspection of the housing. Uniforms and shift meals provided. Job location: 12399 NE 224th Street Okeechobee, FL 34972. Work is temporary full time employment. A single workweek will be used to compute wages. May get up to 10 hours of overtime when available. All deductions from the worker's paycheck required by law will be made. The employer will provide workers at no charge all tools, supplies, and equipment required to perform the job. The worker will be provided with or reimbursed for transportation and subsistence (including reasonable cost of overnight lodging where necessary up to $110/night for lodging with receipts.) at a rate of $16.78 per day during travel to a maximum of $68.00 per day with receipts from the place from which the worker has come to work for the employer, whether in the U.S. or abroad, to the place of employment, if the worker completes 50 percent of the period of employment covered by the job order, consistent with 20 CFR 655.20(j)(1)(i) by inclusion in the paycheck for the applicable week. Employer will provide or pay for the worker's cost of return transportation and daily subsistence from the place of employment to the place from which the worker, disregarding intervening employment, departed to work for the employer, if the worker completes the certified period of employment or is dismissed from employment for any reason by the employer before the end of the period, consistent with § 655.20(j)(1)(ii); H-2B workers will be reimbursed in the first workweek for all visas, visa processing, border crossing, and other related fees, including those mandated by the government (excluding passport fees). The employer will provide workers all tools, supplies, and equipment required to perform the job at no charge to the worker, in accordance with 20 CFR 655.20(k). Qualified applicants may mail resume to Attn: George Carmichael at 12399 NE 224th Street Okeechobee, FL 34972, email to H2BJobs@qcsportingranch.com, or visit your local job center at 207 SW Park Street, Okeechobee, FL 34972. *Your security deposit is refundable upon completion of your contract and upon inspection of the housing. If a worker abandons their job without permission of the employer or a worker abandons their housing before the end of the petition date for any reason except employer termination, the workers forfeits all housing deposits, PTO, vacation and bonus pay. Upon termination of resignation, the worker must vacate the housing immediately thereafter unless agreed upon by the employer.* Job Classification: 35-3031.00 - Waiters and Waitresses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Number of Hours Per Week: 35 Work Schedule (Start/End time): 6:00 A.M. - 10:00 P.M.</t>
  </si>
  <si>
    <t>H-400-26184-078102</t>
  </si>
  <si>
    <t>Prepare, cook, saute, broil, fry such items as seafood, meats, poultry, vegetables, pastas, soups. Keeps kitchen areas clean &amp; sanitized. Stores all products in proper locations and all other cook related services (4) workers needed. Dates of need: 10/1/26-5/31/27. 3 months experience necessary. Rotating shifts. Workdays: Mon-Sun. Work hours: 6am-10pm. Rate of pay: $20-$24/hr based on performance, $30-$36/hr overtime. Workers paid biweekly. 35 hours/wk. Optional housing included with a $500 deposit ($350 refundable/ $150.00 non-refundable) upon completion of contract and upon inspection of the housing. Uniforms and shift meals provided. Job location: 12399 NE 224th Street Okeechobee, FL 34972. Work is temporary full time employment. A single workweek will be used to compute wages. May get up to 10 hours of overtime when available. All deductions from the worker's paycheck required by law will be made. The employer will provide workers at no charge all tools, supplies, and equipment required to perform the job. The worker will be provided with or reimbursed for transportation and subsistence (including reasonable cost of overnight lodging where necessary up to $110/night for lodging with receipts.) at a rate of $16.78 per day during travel to a maximum of $68.00 per day with receipts from the place from which the worker has come to work for the employer, whether in the U.S. or abroad, to the place of employment, if the worker completes 50 percent of the period of employment covered by the job order, consistent with 20 CFR 655.20(j)(1)(i) by inclusion in the paycheck for the applicable week. Employer will provide or pay for the worker's cost of return transportation and daily subsistence from the place of employment to the place from which the worker, disregarding intervening employment, departed to work for the employer, if the worker completes the certified period of employment or is dismissed from employment for any reason by the employer before the end of the period, consistent with § 655.20(j)(1)(ii); H-2B workers will be reimbursed in the first workweek for all visas, visa processing, border crossing, and other related fees, including those mandated by the government (excluding passport fees). The employer will provide workers all tools, supplies, and equipment required to perform the job at no charge to the worker, in accordance with 20 CFR 655.20(k). Qualified applicants may mail resume to Attn: George Carmichael at 12399 NE 224th Street Okeechobee, FL 34972, email to H2BJobs@qcsportingranch.com, or visit your local job center at 207 SW Park Street, Okeechobee, FL 34972. *Your security deposit is refundable upon completion of your contract and upon inspection of the housing. If a worker abandons their job without permission of the employer or a worker abandons their housing before the end of the petition date for any reason except employer termination, the workers forfeits all housing deposits, PTO, vacation and bonus pay. Upon termination of resignation, the worker must vacate the housing immediately thereafter unless agreed upon by the employer.* Job Classification: 35-2014.00 - Cooks, Restaurant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Number of Hours Per Week: 35 Work Schedule (Start/End time): 6:00 A.M. - 10:00 P.M.</t>
  </si>
  <si>
    <t>H-400-26184-078088</t>
  </si>
  <si>
    <t>S&amp;S Concrete Floors, Inc.</t>
  </si>
  <si>
    <t>dmsomero@ssconcretefloors.com</t>
  </si>
  <si>
    <t>+16038783311</t>
  </si>
  <si>
    <t>Workers will prepare construction site where concrete will be poured, set, and align forms that hold concrete. Spread, level, and smooth concrete using grates, shovels, and hand tools. Tear down concrete forms, clean-up construction site. Prepare forms to be picked up from construction site to next job site. Job Classification: 47-2051.00 - Cement Masons and Concrete Finishers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Must be able to work in outside conditions, must be able to lift heavy bags of concrete weighing up to 75lbs, and must be able to pass a pre-employment drug test, must be able to pass a random employment drug test. The worker must be able to remain standing for long periods of time and must be able to work efficiently with hands using several tools. The workers will be subject to drug testing upon reasonable suspicion, paid by the employer and applied equally to all workers, U.S. and foreign/H-2B. Number of Hours Per Week: 40 Work Schedule (Start/End time): 6:00 A.M. - 4:00 P.M.</t>
  </si>
  <si>
    <t>H-400-26184-078135</t>
  </si>
  <si>
    <t>Skilled Ambition and Staffing Hospitality LLC</t>
  </si>
  <si>
    <t>ambitioushospitality832@gmail.com</t>
  </si>
  <si>
    <t>+17014954481</t>
  </si>
  <si>
    <t>Host - Hostess</t>
  </si>
  <si>
    <t>Greets and escorts guests to tables, presents menus, and provides courteous customer service. Assists in maintaining cleanliness of dining and host areas, including light cleaning and polishing duties as needed. Coordinates seating arrangements and assists restaurant staff to ensure efficient guest service. Job Classification: 35-9031.00 - Hosts and Hostesses, Restaurant, Lounge, and Coffee Shop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Greets, escorts and provides menus to customers; assists with misc. Cleaning/polishing etc. as necessary. Number of Hours Per Week: 40 Work Schedule (Start/End time): 8:00 A.M. - 4:00 P.M.</t>
  </si>
  <si>
    <t>H-400-26184-078140</t>
  </si>
  <si>
    <t>Clears and removes dirty dishes, glassware, silverware, and other table items from dining areas. Cleans and resets tables for incoming guests. Assists in maintaining cleanliness of dining and service areas. Stocks wait stations with napkins, utensils, glassware, and other necessary supplies to support restaurant operations. Job Classification: 35-9011.00 - Dining Room and Cafeteria Attendants and Bartender Helpers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Clearing dirty plates, glassware, and silverware, and cleaning tables for the next guest. Ensuring wait-stations are stocked with napkins, cutlery, and glassware. No experience required, Employer will train. Number of Hours Per Week: 40 Work Schedule (Start/End time): 8:00 A.M. - 4:00 P.M.</t>
  </si>
  <si>
    <t>H-400-26184-078112</t>
  </si>
  <si>
    <t>Spring Run Golf Club</t>
  </si>
  <si>
    <t>dining@springrun.com</t>
  </si>
  <si>
    <t>+12399490710</t>
  </si>
  <si>
    <t>Take orders, serve food &amp; beverages to guests. Clean off &amp; set tables. Take payments, give receipts. Keep all stations stocked and all other server related services (14) workers needed. Dates of need: 10/1/26-5/31/27. 3 months experience necessary. Rotating shifts. Workdays: Mon-Sun. Work hours: 6am-10pm. Rate of pay: $11-$20/hr plus tips but no less than $18.95/hr, $28.43/hr overtime. Workers paid biweekly. 35 hours/wk. Optional housing provided for $26-$28/day with a $250 refundable deposit upon completing of contract &amp; housing inspection. Uniforms and shift meals provided. Job location: 9501 Spring Run Blvd. Estero, FL 34135. Work is temporary full time employment. A single workweek will be used to compute wages. May get up to 10 hours of overtime when available. All deductions from the worker's paycheck required by law will be made. The employer will provide workers at no charge all tools, supplies, and equipment required to perform the job. The worker will be provided with or reimbursed for transportation and subsistence (including reasonable cost of overnight lodging where necessary up to $110/night for lodging with receipts.) at a rate of $16.78 per day during travel to a maximum of $68.00 per day with receipts from the place from which the worker has come to work for the employer, whether in the U.S. or abroad, to the place of employment, if the worker completes 50 percent of the period of employment covered by the job order, consistent with 20 CFR 655.20(j)(1)(i) by inclusion in the paycheck for the applicable week. Employer will provide or pay for the worker's cost of return transportation and daily subsistence from the place of employment to the place from which the worker, disregarding intervening employment, departed to work for the employer, if the worker completes the certified period of employment or is dismissed from employment for any reason by the employer before the end of the period, consistent with § 655.20(j)(1)(ii); H-2B workers will be reimbursed in the first workweek for all visas, visa processing, border crossing, and other related fees, including those mandated by the government (excluding passport fees). The employer will provide workers all tools, supplies, and equipment required to perform the job at no charge to the worker, in accordance with 20 CFR 655.20(k). Qualified applicants may mail resume to Attn: Mike Zigler at 9501 Spring Run Blvd. Estero, FL 34135, email to dining@springrun.com, or visit your local job center at 3050 Horseshoe Drive North Building A Suite 110, Naples, FL 34104 *Your security deposit is refundable upon completion of your contract and upon inspection of the housing. If a worker abandons their job without permission of the employer or a worker abandons their housing before the end of the petition date for any reason except employer termination, the workers forfeits all housing deposits, PTO, vacation and bonus pay. Upon termination of resignation, the worker must vacate the housing immediately thereafter unless agreed upon by the employer.* Job Classification: 35-3031.00 - Waiters and Waitresses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Number of Hours Per Week: 35 Work Schedule (Start/End time): 6:00 A.M. - 10:00 P.M.</t>
  </si>
  <si>
    <t>H-400-26184-078109</t>
  </si>
  <si>
    <t>Take cocktail orders, prepare, serve, garnish liquor drinks, wine, beer. Serves food at bar. Keeps bar stocked and clean (3) workers needed. Dates of need: 10/1/26-5/31/27. 3 months experience necessary. Rotating shifts. Workdays: Mon-Sun. Work hours: 11am-11pm. Rate of pay: $12-$16/hr plus tips but no less than $19.39/hr, $29.09/hr overtime. Workers paid biweekly. 35 hours/wk. Optional housing provided for $26-$28/day with a $250 refundable deposit upon completing of contract &amp; housing inspection. Uniforms and shift meals provided. Job location: 9501 Spring Run Blvd. Estero, FL 34135. Work is temporary full time employment. A single workweek will be used to compute wages. May get up to 10 hours of overtime when available. All deductions from the worker's paycheck required by law will be made. The employer will provide workers at no charge all tools, supplies, and equipment required to perform the job. The worker will be provided with or reimbursed for transportation and subsistence (including reasonable cost of overnight lodging where necessary up to $110/night for lodging with receipts.) at a rate of $16.78 per day during travel to a maximum of $68.00 per day with receipts from the place from which the worker has come to work for the employer, whether in the U.S. or abroad, to the place of employment, if the worker completes 50 percent of the period of employment covered by the job order, consistent with 20 CFR 655.20(j)(1)(i) by inclusion in the paycheck for the applicable week. Employer will provide or pay for the worker's cost of return transportation and daily subsistence from the place of employment to the place from which the worker, disregarding intervening employment, departed to work for the employer, if the worker completes the certified period of employment or is dismissed from employment for any reason by the employer before the end of the period, consistent with § 655.20(j)(1)(ii); H-2B workers will be reimbursed in the first workweek for all visas, visa processing, border crossing, and other related fees, including those mandated by the government (excluding passport fees). The employer will provide workers all tools, supplies, and equipment required to perform the job at no charge to the worker, in accordance with 20 CFR 655.20(k). Qualified applicants may mail resume to Attn: Mike Zigler at 9501 Spring Run Blvd. Estero, FL 34135, email to dining@springrun.com, or visit your local job center at 3050 Horseshoe Drive North Building A Suite 110, Naples, FL 34104 *Your security deposit is refundable upon completion of your contract and upon inspection of the housing. If a worker abandons their job without permission of the employer or a worker abandons their housing before the end of the petition date for any reason except employer termination, the workers forfeits all housing deposits, PTO, vacation and bonus pay. Upon termination of resignation, the worker must vacate the housing immediately thereafter unless agreed upon by the employer.* Job Classification: 35-3011.00 - Bartenders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Number of Hours Per Week: 35 Work Schedule (Start/End time): 11:00 A.M. - 11:00 P.M.</t>
  </si>
  <si>
    <t>H-400-26184-078110</t>
  </si>
  <si>
    <t>Dining Room Attendants</t>
  </si>
  <si>
    <t>Clean off &amp; set tables, bring food out from kitchen to tables &amp; bars, serve coffee/ water. (6) workers needed. Dates of need: 10/1/26-5/31/27. 3 months experience necessary. Rotating shifts. Workdays: Mon-Sun. Work hours: 6am-10pm. Rate of pay: $12-$15/hr plus tips but no less than $16.04/hr, $24.06/hr overtime. Workers paid biweekly. 35 hours/wk. Optional housing provided for $26-$28/day with a $250 refundable deposit upon completing of contract &amp; housing inspection. Uniforms and shift meals provided. Job location: 9501 Spring Run Blvd. Estero, FL 34135. Work is temporary full time employment. A single workweek will be used to compute wages. May get up to 10 hours of overtime when available. All deductions from the worker's paycheck required by law will be made. The employer will provide workers at no charge all tools, supplies, and equipment required to perform the job. The worker will be provided with or reimbursed for transportation and subsistence (including reasonable cost of overnight lodging where necessary up to $110/night for lodging with receipts.) at a rate of $16.78 per day during travel to a maximum of $68.00 per day with receipts from the place from which the worker has come to work for the employer, whether in the U.S. or abroad, to the place of employment, if the worker completes 50 percent of the period of employment covered by the job order, consistent with 20 CFR 655.20(j)(1)(i) by inclusion in the paycheck for the applicable week. Employer will provide or pay for the worker's cost of return transportation and daily subsistence from the place of employment to the place from which the worker, disregarding intervening employment, departed to work for the employer, if the worker completes the certified period of employment or is dismissed from employment for any reason by the employer before the end of the period, consistent with § 655.20(j)(1)(ii); H-2B workers will be reimbursed in the first workweek for all visas, visa processing, border crossing, and other related fees, including those mandated by the government (excluding passport fees). The employer will provide workers all tools, supplies, and equipment required to perform the job at no charge to the worker, in accordance with 20 CFR 655.20(k). Qualified applicants may mail resume to Attn: Mike Zigler at 9501 Spring Run Blvd. Estero, FL 34135, email to dining@springrun.com, or visit your local job center at 3050 Horseshoe Drive North Building A Suite 110, Naples, FL 34104 *Your security deposit is refundable upon completion of your contract and upon inspection of the housing. If a worker abandons their job without permission of the employer or a worker abandons their housing before the end of the petition date for any reason except employer termination, the workers forfeits all housing deposits, PTO, vacation and bonus pay. Upon termination of resignation, the worker must vacate the housing immediately thereafter unless agreed upon by the employer.* Job Classification: 35-9011.00 - Dining Room and Cafeteria Attendants and Bartender Helpers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Number of Hours Per Week: 35 Work Schedule (Start/End time): 6:00 A.M. - 10:00 P.M.</t>
  </si>
  <si>
    <t>H-400-26184-078111</t>
  </si>
  <si>
    <t>Prepare, cook, saute, broil, fry such items as seafood, meats, poultry, vegetables, pastas, soups. Keeps kitchen areas clean &amp; sanitized. Stores all products in proper locations and all other cook related services (12) workers needed. Dates of need: 10/1/26-5/31/27. 3 months experience necessary. Rotating shifts. Workdays: Mon-Sun. Work hours: 6am-10pm. Rate of pay: $18-$24/hr based on performance, $27-$36/hr overtime. Workers paid biweekly. 35 hours/wk. Optional housing provided for $26-$28/day with a $250 refundable deposit upon completing of contract &amp; housing inspection. Uniforms and shift meals provided. Job location: 9501 Spring Run Blvd. Estero, FL 34135. Work is temporary full time employment. A single workweek will be used to compute wages. May get up to 10 hours of overtime when available. All deductions from the worker's paycheck required by law will be made. The employer will provide workers at no charge all tools, supplies, and equipment required to perform the job. The worker will be provided with or reimbursed for transportation and subsistence (including reasonable cost of overnight lodging where necessary up to $110/night for lodging with receipts.) at a rate of $16.78 per day during travel to a maximum of $68.00 per day with receipts from the place from which the worker has come to work for the employer, whether in the U.S. or abroad, to the place of employment, if the worker completes 50 percent of the period of employment covered by the job order, consistent with 20 CFR 655.20(j)(1)(i) by inclusion in the paycheck for the applicable week. Employer will provide or pay for the worker's cost of return transportation and daily subsistence from the place of employment to the place from which the worker, disregarding intervening employment, departed to work for the employer, if the worker completes the certified period of employment or is dismissed from employment for any reason by the employer before the end of the period, consistent with § 655.20(j)(1)(ii); H-2B workers will be reimbursed in the first workweek for all visas, visa processing, border crossing, and other related fees, including those mandated by the government (excluding passport fees). The employer will provide workers all tools, supplies, and equipment required to perform the job at no charge to the worker, in accordance with 20 CFR 655.20(k). Qualified applicants may mail resume to Attn: Mike Zigler at 9501 Spring Run Blvd. Estero, FL 34135, email to dining@springrun.com, or visit your local job center at 3050 Horseshoe Drive North Building A Suite 110, Naples, FL 34104 *Your security deposit is refundable upon completion of your contract and upon inspection of the housing. If a worker abandons their job without permission of the employer or a worker abandons their housing before the end of the petition date for any reason except employer termination, the workers forfeits all housing deposits, PTO, vacation and bonus pay. Upon termination of resignation, the worker must vacate the housing immediately thereafter unless agreed upon by the employer.* Job Classification: 35-2014.00 - Cooks, Restaurant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Number of Hours Per Week: 35 Work Schedule (Start/End time): 6:00 A.M. - 10:00 P.M.</t>
  </si>
  <si>
    <t>H-400-26184-078084</t>
  </si>
  <si>
    <t>Perform various financial activities, such as cash handling. Resolve customer complaints regarding food service. Compile and balance cash receipts at the end of the day or shift. Present bills and accept payments. Make schedule for dining room employees (3) workers needed. Dates of need: 10/1/26-5/31/27. 3 months experience necessary. Rotating shifts. Workdays: Mon-Sun. Work hours: 6am-10pm. Rate of pay: $23.81-$29/hr based on performance, $35.72-$43.50/hr overtime. Workers paid biweekly. The Club offers a discretionary annual bonus at the end of the season, based on job performance and the condition of the corporate housing. Optional housing provided for $180/week, no deposit required however failed apartment/house inspections may result in disciplinary action, and/ or financial responsibility for replacing damaged or missing items. Upon termination of employment or resignation from your position, the worker must vacate housing immediately unless alternative arrangements have been approved and documented in writing by The Country Club of Florida. Uniforms and shift meals provided. Job location: 22 Country Road, Village of Golf, FL 33436. Work is temporary full time employment. A single workweek will be used to compute wages. May get up to 10 hours of overtime when available. All deductions from the worker's paycheck required by law will be made. The employer will provide workers at no charge all tools, supplies, and equipment required to perform the job. The worker will be provided with or reimbursed for transportation and subsistence (including reasonable cost of overnight lodging where necessary up to $110/night for lodging with receipts.) at a rate of $16.78 per day during travel to a maximum of $68.00 per day with receipts from the place from which the worker has come to work for the employer, whether in the U.S. or abroad, to the place of employment, if the worker completes 50 percent of the period of employment covered by the job order, consistent with 20 CFR 655.20(j)(1)(i) by inclusion in the paycheck for the applicable week. Employer will provide or pay for the worker's cost of return transportation and daily subsistence from the place of employment to the place from which the worker, disregarding intervening employment, departed to work for the employer, if the worker completes the certified period of employment or is dismissed from employment for any reason by the employer before the end of the period, consistent with § 655.20(j)(1)(ii); H-2B workers will be reimbursed in the first workweek for all visas, visa processing, border crossing, and other related fees, including those mandated by the government (excluding passport fees). The employer will provide workers all tools, supplies, and equipment required to perform the job at no charge to the worker, in accordance with 20 CFR 655.20(k). Qualified applicants may mail resume to Attn: John Collier at 22 Country Road, Village of Golf, FL 33436, email to TCCF@ccfgolf.com, or visit your local job center at 3400 Belvedere Road West Palm Beach, FL 33406. *Your security deposit is refundable upon completion of your contract and upon inspection of the housing. If a worker abandons their job without permission of the employer or a worker abandons their housing before the end of the petition date for any reason except employer termination, the workers forfeits all housing deposits, PTO, vacation and bonus pay. Upon termination of resignation, the worker must vacate the housing immediately thereafter unless agreed upon by the employer.* Job Classification: 35-1012.00 - First-Line Supervisors of Food Preparation and Serving Workers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Number of Hours Per Week: 35 Work Schedule (Start/End time): 6:00 A.M. - 10:00 P.M.</t>
  </si>
  <si>
    <t>H-400-26184-078091</t>
  </si>
  <si>
    <t>Takes orders, prepares and serves drinks to the clients. Keeps bar stocked and clean, brings food from kitchen to bar and takes payments (4) workers needed. Dates of need: 10/1/26-5/31/27. 3 months experience necessary. Rotating shifts. Workdays: Mon-Sun. Work hours: 6am-10pm. Rate of pay: $19.51-$24/hr based on performance, $29.27-$36/hr overtime. Workers paid biweekly. The Club offers a discretionary annual bonus at the end of the season, based on job performance and the condition of the corporate housing. Optional housing provided for $180/week, no deposit required however failed apartment/house inspections may result in disciplinary action, and/ or financial responsibility for replacing damaged or missing items. Upon termination of employment or resignation from your position, the worker must vacate housing immediately unless alternative arrangements have been approved and documented in writing by The Country Club of Florida. Uniforms and shift meals provided. Job location: 22 Country Road, Village of Golf, FL 33436. Work is temporary full time employment. A single workweek will be used to compute wages. May get up to 10 hours of overtime when available. All deductions from the worker's paycheck required by law will be made. The employer will provide workers at no charge all tools, supplies, and equipment required to perform the job. The worker will be provided with or reimbursed for transportation and subsistence (including reasonable cost of overnight lodging where necessary up to $110/night for lodging with receipts.) at a rate of $16.78 per day during travel to a maximum of $68.00 per day with receipts from the place from which the worker has come to work for the employer, whether in the U.S. or abroad, to the place of employment, if the worker completes 50 percent of the period of employment covered by the job order, consistent with 20 CFR 655.20(j)(1)(i) by inclusion in the paycheck for the applicable week. Employer will provide or pay for the worker's cost of return transportation and daily subsistence from the place of employment to the place from which the worker, disregarding intervening employment, departed to work for the employer, if the worker completes the certified period of employment or is dismissed from employment for any reason by the employer before the end of the period, consistent with § 655.20(j)(1)(ii); H-2B workers will be reimbursed in the first workweek for all visas, visa processing, border crossing, and other related fees, including those mandated by the government (excluding passport fees). The employer will provide workers all tools, supplies, and equipment required to perform the job at no charge to the worker, in accordance with 20 CFR 655.20(k). Qualified applicants may mail resume to Attn: John Collier at 22 Country Road, Village of Golf, FL 33436, email to TCCF@ccfgolf.com, or visit your local job center at 3400 Belvedere Road West Palm Beach, FL 33406. *Your security deposit is refundable upon completion of your contract and upon inspection of the housing. If a worker abandons their job without permission of the employer or a worker abandons their housing before the end of the petition date for any reason except employer termination, the workers forfeits all housing deposits, PTO, vacation and bonus pay. Upon termination of resignation, the worker must vacate the housing immediately thereafter unless agreed upon by the employer.* Job Classification: 35-3011.00 - Bartenders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Number of Hours Per Week: 35 Work Schedule (Start/End time): 6:00 A.M. - 10:00 P.M.</t>
  </si>
  <si>
    <t>H-400-26184-078115</t>
  </si>
  <si>
    <t>Titania Property Solutions LLC</t>
  </si>
  <si>
    <t>***RFI response*** Workers will perform temporary, full-time janitorial, snow removal, and exterior property maintenance services. Duties include removing snow, ice, slush, leaves, branches, mud, litter, and other debris from sidewalks, walkways, entrances, parking lots, loading areas, and other exterior common areas using shovels, snow blowers, push brooms, backpack blowers, ice choppers, scrapers, rakes, and hand tools. Workers will apply salt, sand, and ice melt materials using handheld or walk-behind spreaders to maintain safe walking and driving surfaces. In addition, workers may assist with street and parking lot sweeping operations as part of routine exterior property maintenance. These duties are limited to cleaning paved surfaces by manually sweeping or using walk-behind or ride-on commercial power sweepers to remove leaves, dirt, dust, trash, gravel, and other accumulated debris from parking lots, private roads, sidewalks, curbs, gutters, loading areas, and similar paved surfaces. Workers may also use push brooms, backpack blowers, litter grabbers, dust pans, shovels, and trash collection containers to gather and dispose of debris. These activities are performed to maintain clean, safe, and presentable commercial and residential properties and are not road construction or municipal street maintenance. General exterior maintenance duties may include collecting litter, emptying exterior trash receptacles, cleaning around entrances and dumpster enclosures, removing fallen branches and storm debris, sweeping sidewalks and curbs, clearing landscaped borders of debris, and preparing exterior areas for seasonal weather conditions using hand tools and standard commercial property maintenance equipment ***Original*** Perform temporary, full-time winter property maintenance and snow removal services for commercial and residential properties. Remove snow, ice, slush, leaves, branches, mud, and debris from sidewalks, walkways, entrances, parking lots, and common areas using shovels, snow blowers, brooms, backpack blowers, and other hand or power tools. Apply salt and ice melt materials to maintain safe conditions. Perform exterior cleaning, trash removal, sweeping, seasonal cleanup, and related property maintenance duties. During non-snow periods, assist with street and parking lot sweeping operations and general exterior maintenance. Work may include overnight, weekend, holiday, and emergency weather-response shifts. Duties may also include fall and spring cleanup activities such as raking leaves, clearing gutters, removing branches and storm debris, cleaning landscaped areas, and preparing properties for seasonal weather conditions. Job Classification: 37-2011.00 - Janitors and Cleaners, Except Maids and Housekeeping Cleaners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Must be able to lift and carry 75 lbs of snow for 75 yards and be able to handle temperature extremes. Some weekend work. Number of Hours Per Week: 40 Work Schedule (Start/End time): 7:00 A.M. - 3:30 P.M.</t>
  </si>
  <si>
    <t>H-400-26184-078117</t>
  </si>
  <si>
    <t>Perform any combination of light cleaning duties to maintain hotel establishments in a clean and orderly manner. Duties may include making beds, replenishing linens, cleaning rooms and halls, and vacuuming. Job Classification: 37-2012.00 - Maids and Housekeeping Cleaners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Lift and carry 25lbs for 50 yds. Must be able to bend arms, legs and back, extend arms and hands upward, work on hands and knees and use hands and arms to grip, push and pull. Number of Hours Per Week: 40 Work Schedule (Start/End time): 7:00 A.M. - 3:30 P.M.</t>
  </si>
  <si>
    <t>H-400-26184-078118</t>
  </si>
  <si>
    <t>Housekeeping Supervisors</t>
  </si>
  <si>
    <t>Job Description: Supervise and coordinate hotel housekeeping staff responsible for cleaning guest rooms and public areas. Ensure all hotel cleanliness standards, guest service expectations, and safety procedures are met efficiently and consistently. Primary Duties: Assign daily cleaning schedules and room lists to housekeeping staff Train new and existing team members on hotel cleaning standards, guest-service expectations, and safety protocols Inspect guest rooms, hallways, and common areas to ensure quality and readiness for guests Monitor inventory of linens, cleaning supplies, and guest amenities; request restocking as needed Assist staff with cleaning tasks during peak periods or staff shortages Address guest requests and coordinate with front desk and management regarding room status updates Maintain housekeeping logs, room assignment records, and attendance sheets Support staff performance through coaching and daily supervision Enforce company policies, OSHA safety rules, and cleanliness standards Cannot hire, fire, or independently discipline employees Cannot set pay rates, pricing, budgets, or negotiate contracts Cannot make scheduling decisions outside the assigned housekeeping roster Works under supervision of hotel management and follows established protocols Job Classification: 37-1011.00 - First-Line Supervisors of Housekeeping and Janitorial Workers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Must be able to lift and carry 75 lbs 75 yds and handle extreme temperatures Number of Hours Per Week: 40 Work Schedule (Start/End time): 7:00 A.M. - 3:30 P.M.</t>
  </si>
  <si>
    <t>H-400-26184-078119</t>
  </si>
  <si>
    <t>Laundry Room Attendants</t>
  </si>
  <si>
    <t>Sort soiled linens, towels, and uniforms by type and level of soil Load/unload commercial washers and dryers Operate basic laundry equipment (washers, dryers, folding machines) Fold, stack, and organize clean linens and towels Inspect linens for stains or damage and separate items requiring rewash or disposal Maintain orderly storage of clean laundry and deliver to designated areas Clean laundry area and maintain washing/drying machines by wiping down and clearing lint filters Follow safety and sanitation guidelines Job Classification: 51-6011.00 - Laundry and Dry-Cleaning Workers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No experience required; training provided Ability to lift up to 40 lbs and stand for long periods Ability to follow instructions and work efficiently Work in a fast-paced environment and handle repetitive tasks Number of Hours Per Week: 40 Work Schedule (Start/End time): 7:00 A.M. - 3:30 P.M.</t>
  </si>
  <si>
    <t>H-400-26184-078136</t>
  </si>
  <si>
    <t>US Infra Rehab Services LLC</t>
  </si>
  <si>
    <t>divy@usinfrarehab.com</t>
  </si>
  <si>
    <t>+13149158892</t>
  </si>
  <si>
    <t>Construction Laborer – Underground Utility Rehab</t>
  </si>
  <si>
    <t>***RFI Response*** Rebuilding manhole benches, inverts, and flow channels: Workers travel to the manhole, remove the cover with a manhole hook, and set up a tripod and ladder for safe entry. Inside the manhole, they remove deteriorated concrete, brick, and debris using hammers, chisels, scrapers, pry bars, and shovels, then clean the surfaces with a high-pressure water hose or pressure washer. Workers mix cement mortar in buckets and apply it with trowels and floats to rebuild benches, inverts, and flow channels. Bricks or concrete repair materials are installed as needed, followed by inspection and site restoration. Tools/Equipment: Manhole hooks, tripod, ladder, hammers, chisels, scrapers, pry bars, shovels, buckets, mixing tools, trowels, floats, pressure washer/high-pressure hose, gas monitor, and PPE. Materials: Cement mortar, water, bricks (as needed), concrete repair materials, and grout (as needed). 2. Operating sewer flow-through plugs and diversion tools: The laborer retrieves flow-through sewer plugs from the work trailer, inspects them for damage, installs protective sleeves, and transports them to the manhole. The worker assists the foreman by handing the plug into the manhole and, after the work is completed, helps remove, clean, and store the equipment. Tools/Equipment: Flow-through sewer plugs, protective sleeves, work trailer, and PPE. Materials: None. 3. Using sandblasting equipment, grinders, and concrete spray rigs: Workers assist in preparing sewer pipes and manholes by removing corrosion, deteriorated coatings, loose concrete, and debris. The laborer retrieves sandblasting equipment, hoses, compressors, and related tools, connects the equipment, and loads the abrasive media. The worker assists the certified sandblaster by supplying materials, monitoring hoses, and repositioning equipment. When required, the laborer uses handheld grinders to remove surface irregularities. The worker also assists with concrete spray rigs by transporting cementitious or geopolymer materials, mixing and loading materials, connecting hoses, cleaning equipment, and assisting the nozzle operator during the application of liners, coatings, and rehabilitation products. Tools/Equipment: Sandblasting equipment, compressors, abrasive media, handheld grinders, concrete spray rigs, mixers, hoses, generators, buckets, shovels, trowels, and PPE. Materials: Abrasive blasting media (grit), cementitious mortar, geopolymer materials, and water. ***Original F.a.2*** Perform tasks involving the maintenance and structural rehabilitation of underground stormwater and sanitary sewer infrastructure. Duties include: Entering confined spaces such as manholes and underground utility structures. Using high-pressure water systems for cleaning and profiling surfaces (e.g., hydro blasting, pressure washing). Sealing and stopping infiltration through cracks, seams, and pipe connections using grout and sealant products. Spraying and troweling cementitious and epoxy coatings to restore structural integrity. Installing frame seal systems, adjusting or replacing manhole rings, frames, and covers. Rebuilding manhole benches, inverts, and flow channels. Operating sewer flow-through plugs and diversion tools. Using sandblasting equipment, grinders, and concrete spray rigs. Performing general physical labor including lifting materials, preparing worksites, and cleaning up debris. Following all OSHA safety protocols and company procedures for confined space entry, personal protective equipment (PPE), and equipment handling. Job Classification: 47-4071.00 - Septic Tank Servicers and Sewer Pipe Cleaners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Must be able to work in confined spaces, must be able to handle temperature extremes and carry 50 lbs Number of Hours Per Week: 48 Work Schedule (Start/End time): 8:00 A.M. - 5:00 P.M.</t>
  </si>
  <si>
    <t>H-400-26184-078116</t>
  </si>
  <si>
    <t>Prepare, cook, saute, broil, fry such items as seafood, meats, poultry, vegetables, pastas, soups. Keeps kitchen areas clean &amp; sanitized. Stores all products in proper locations and all other cook related services (12) workers needed. Dates of need: 10/1/26-5/31/27. 3 months experience necessary. Rotating shifts. Workdays: Mon-Sun. Work hours: 6pm-10pm. Rate of pay: $19.88-$23/hr based on performance, $29.82-$34.50/hr overtime. Workers paid biweekly. 35 hours/wk. Optional housing provided for $375/biweekly with a $350 Deposit ($200 refundable upon completing of contract &amp; housing inspection/ $150 non-refundable) Uniforms and shift meals provided. Job location: 400 Vineyards Blvd, Naples, FL 34119 Work is temporary full time employment. A single workweek will be used to compute wages. May get up to 10 hours of overtime when available. All deductions from the worker's paycheck required by law will be made. The employer will provide workers at no charge all tools, supplies, and equipment required to perform the job. The worker will be provided with or reimbursed for transportation and subsistence (including reasonable cost of overnight lodging where necessary up to $110/night for lodging with receipts.) at a rate of $16.78 per day during travel to a maximum of $68.00 per day with receipts from the place from which the worker has come to work for the employer, whether in the U.S. or abroad, to the place of employment, if the worker completes 50 percent of the period of employment covered by the job order, consistent with 20 CFR 655.20(j)(1)(i) by inclusion in the paycheck for the applicable week. Employer will provide or pay for the worker's cost of return transportation and daily subsistence from the place of employment to the place from which the worker, disregarding intervening employment, departed to work for the employer, if the worker completes the certified period of employment or is dismissed from employment for any reason by the employer before the end of the period, consistent with § 655.20(j)(1)(ii); H-2B workers will be reimbursed in the first workweek for all visas, visa processing, border crossing, and other related fees, including those mandated by the government (excluding passport fees). The employer will provide workers all tools, supplies, and equipment required to perform the job at no charge to the worker, in accordance with 20 CFR 655.20(k). Qualified applicants may mail resume to Attn: Jeffrey Lesek at 400 Vineyards Blvd, Naples, FL 34119, email to employment@vineyardscountryclubnaples.com, or visit your local job center at 6800 Shoppes at Plantation Drive, Suite 170, Fort Myers, FL 33912 *Your security deposit is refundable upon completion of your contract and upon inspection of the housing. If a worker abandons their job without permission of the employer or a worker abandons their housing before the end of the petition date for any reason except employer termination, the workers forfeits all housing deposits, PTO, vacation and bonus pay. Upon termination of resignation, the worker must vacate the housing immediately thereafter unless agreed upon by the employer.* Job Classification: 35-2014.00 - Cooks, Restaurant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Number of Hours Per Week: 35 Work Schedule (Start/End time): 6:00 A.M. - 10:00 P.M.</t>
  </si>
  <si>
    <t>H-400-26184-078114</t>
  </si>
  <si>
    <t>Take orders, serve food &amp; beverages to guests. Clean off &amp; set tables. Take payments, give receipts. Keep all stations stocked and all other server related services (18) workers needed. Dates of need: 10/1/26-5/31/27. 3 months experience necessary. Rotating shifts. Workdays: Mon-Sun. Work hours: 6pm-10pm. Rate of pay: $10.98-$13/hr plus tips but no less than $20.13/hr, $30.20/hr overtime. Workers paid biweekly. 35 hours/wk. Optional housing provided for $375/biweekly with a $350 Deposit ($200 refundable upon completing of contract &amp; housing inspection/ $150 non-refundable) Uniforms and shift meals provided. Job location: 400 Vineyards Blvd, Naples, FL 34119 Work is temporary full time employment. A single workweek will be used to compute wages. May get up to 10 hours of overtime when available. All deductions from the worker's paycheck required by law will be made. The employer will provide workers at no charge all tools, supplies, and equipment required to perform the job. The worker will be provided with or reimbursed for transportation and subsistence (including reasonable cost of overnight lodging where necessary up to $110/night for lodging with receipts.) at a rate of $16.78 per day during travel to a maximum of $68.00 per day with receipts from the place from which the worker has come to work for the employer, whether in the U.S. or abroad, to the place of employment, if the worker completes 50 percent of the period of employment covered by the job order, consistent with 20 CFR 655.20(j)(1)(i) by inclusion in the paycheck for the applicable week. Employer will provide or pay for the worker's cost of return transportation and daily subsistence from the place of employment to the place from which the worker, disregarding intervening employment, departed to work for the employer, if the worker completes the certified period of employment or is dismissed from employment for any reason by the employer before the end of the period, consistent with § 655.20(j)(1)(ii); H-2B workers will be reimbursed in the first workweek for all visas, visa processing, border crossing, and other related fees, including those mandated by the government (excluding passport fees). The employer will provide workers all tools, supplies, and equipment required to perform the job at no charge to the worker, in accordance with 20 CFR 655.20(k). Qualified applicants may mail resume to Attn: Jeffrey Lesek at 400 Vineyards Blvd, Naples, FL 34119, email to employment@vineyardscountryclubnaples.com, or visit your local job center at 6800 Shoppes at Plantation Drive, Suite 170, Fort Myers, FL 33912 *Your security deposit is refundable upon completion of your contract and upon inspection of the housing. If a worker abandons their job without permission of the employer or a worker abandons their housing before the end of the petition date for any reason except employer termination, the workers forfeits all housing deposits, PTO, vacation and bonus pay. Upon termination of resignation, the worker must vacate the housing immediately thereafter unless agreed upon by the employer.* Job Classification: 35-3031.00 - Waiters and Waitresses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Number of Hours Per Week: 35 Work Schedule (Start/End time): 6:00 A.M. - 10:00 P.M.</t>
  </si>
  <si>
    <t>H-400-26184-078121</t>
  </si>
  <si>
    <t>Waterlefe Master POA, Inc</t>
  </si>
  <si>
    <t>hr@waterlefefl.com</t>
  </si>
  <si>
    <t>+19417476898</t>
  </si>
  <si>
    <t>Take orders, serve food &amp; beverages to guests. Clean off &amp; set tables. Take payments, give receipts. Keep all stations stocked and all other server related services. (4) workers needed. Dates of need: 10/1/26-5/31/27. 3 months experience necessary. Rotating shifts. Workdays: Mon-Sun. Work hours: 6AM-10PM. Rate of pay: $10.98-$15/hr plus tips but no less than $18.74/hr, $28.11/hr overtime. Workers paid biweekly. 35 hours/wk. Optional housing provided for $275-$350 /bi-weekly with a $250 refundable deposit upon completing of contract &amp; housing inspection. Uniforms and shift meals provided. Job location: 995 Fish Hook Cove, Bradenton FL 34212 Work is temporary full time employment. A single workweek will be used to compute wages. May get up to 10 hours of overtime when available. All deductions from the worker's paycheck required by law will be made. The employer will provide workers at no charge all tools, supplies, and equipment required to perform the job. The worker will be provided with or reimbursed for transportation and subsistence (including reasonable cost of overnight lodging where necessary up to $110/night for lodging with receipts.) at a rate of $16.78 per day during travel to a maximum of $68.00 per day with receipts from the place from which the worker has come to work for the employer, whether in the U.S. or abroad, to the place of employment, if the worker completes 50 percent of the period of employment covered by the job order, consistent with 20 CFR 655.20(j)(1)(i) by inclusion in the paycheck for the applicable week. Employer will provide or pay for the worker's cost of return transportation and daily subsistence from the place of employment to the place from which the worker, disregarding intervening employment, departed to work for the employer, if the worker completes the certified period of employment or is dismissed from employment for any reason by the employer before the end of the period, consistent with § 655.20(j)(1)(ii); H-2B workers will be reimbursed in the first workweek for all visas, visa processing, border crossing, and other related fees, including those mandated by the government (excluding passport fees). The employer will provide workers all tools, supplies, and equipment required to perform the job at no charge to the worker, in accordance with 20 CFR 655.20(k). Qualified applicants may mail resume to Attn: Armando Monterroso at 995 Fish Hook Cove, Bradenton FL 34212, email to hr@waterlefefl.com, or visit your local job center at 600 8th Ave. West, Suite 100, Palmetto, FL 34221. *Your security deposit is refundable upon completion of your contract and upon inspection of the housing. If a worker abandons their job without permission of the employer or a worker abandons their housing before the end of the petition date for any reason except employer termination, the workers forfeits all housing deposits, PTO, vacation and bonus pay. Upon termination of resignation, the worker must vacate the housing immediately thereafter unless agreed upon by the employer.* Job Classification: 35-3031.00 - Waiters and Waitresses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Number of Hours Per Week: 35 Work Schedule (Start/End time): 6:00 A.M. - 10:00 P.M.</t>
  </si>
  <si>
    <t>H-400-26184-078092</t>
  </si>
  <si>
    <t>Worthington Master Association, INC</t>
  </si>
  <si>
    <t>H2Bjobs@worthingtoncc.net</t>
  </si>
  <si>
    <t>+12394952278</t>
  </si>
  <si>
    <t>Prepare, cook, saute, broil, fry such items as seafood, meats, poultry, vegetables, pastas, soups. Keeps kitchen areas clean &amp; sanitized. Stores all products in proper locations and all other cook related services ( 5 ) workers needed. Dates of need: 10/1/26-5/31/27. 3 months experience necessary. Rotating shifts. Workdays: Mon-Sun. Work hours: 6am-10pm. Rate of pay: $18-$25/hr based on performance, $27-$37.50/hr overtime. Workers paid biweekly. 35 hours/wk. Optional housing provided for $$23-$25/day with a $300 deposit ($250 refundable upon completing of contract &amp; housing inspection/ $50 non refundable). Uniforms and shift meals provided. Job location: 13550 Worthington Way, Bonita Springs, Florida 34135 Work is temporary full time employment. A single workweek will be used to compute wages. May get up to 10 hours of overtime when available. All deductions from the worker's paycheck required by law will be made. The employer will provide workers at no charge all tools, supplies, and equipment required to perform the job. The worker will be provided with or reimbursed for transportation and subsistence (including reasonable cost of overnight lodging where necessary up to $110/night for lodging with receipts.) at a rate of $16.78 per day during travel to a maximum of $68.00 per day with receipts from the place from which the worker has come to work for the employer, whether in the U.S. or abroad, to the place of employment, if the worker completes 50 percent of the period of employment covered by the job order, consistent with 20 CFR 655.20(j)(1)(i) by inclusion in the paycheck for the applicable week. Employer will provide or pay for the worker's cost of return transportation and daily subsistence from the place of employment to the place from which the worker, disregarding intervening employment, departed to work for the employer, if the worker completes the certified period of employment or is dismissed from employment for any reason by the employer before the end of the period, consistent with § 655.20(j)(1)(ii); H-2B workers will be reimbursed in the first workweek for all visas, visa processing, border crossing, and other related fees, including those mandated by the government (excluding passport fees). The employer will provide workers all tools, supplies, and equipment required to perform the job at no charge to the worker, in accordance with 20 CFR 655.20(k). Qualified applicants may mail resume to Attn: Carol Ann Carney at 13550 Worthington Way, Bonita Springs, Florida 34135, email to H2Bjobs@worthingtoncc.net, or visit your local job center at 13550 Worthington Way, Bonita Springs, Florida 34135. *Your security deposit is refundable upon completion of your contract and upon inspection of the housing. If a worker abandons their job without permission of the employer or a worker abandons their housing before the end of the petition date for any reason except employer termination, the workers forfeits all housing deposits, PTO, vacation and bonus pay. Upon termination of resignation, the worker must vacate the housing immediately thereafter unless agreed upon by the employer.* Job Classification: 35-2014.00 - Cooks, Restaurant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Number of Hours Per Week: 35 Work Schedule (Start/End time): 6:00 A.M. - 10:00 P.M.</t>
  </si>
  <si>
    <t>H-400-26184-078090</t>
  </si>
  <si>
    <t>Take orders, serve food &amp; beverages to guests. Clean off &amp; set tables. Take payments, give receipts. Keep all stations stocked and all other server related services. (10) workers needed. Dates of need: 10/1/26-5/31/27. 3 months experience necessary. Rotating shifts. Workdays: Mon-Sun. Work hours: 6am-10pm. Rate of pay: $11-$14/hr plus tips but no less than $18.95/hr, $28.43/hr overtime. Workers paid biweekly. 35 hours/wk. Optional housing provided for $$23-$25/day with a $300 deposit ($250 refundable upon completing of contract &amp; housing inspection/ $50 non refundable). Uniforms and shift meals provided. Job location: 13550 Worthington Way, Bonita Springs, Florida 34135 Work is temporary full time employment. A single workweek will be used to compute wages. May get up to 10 hours of overtime when available. All deductions from the worker's paycheck required by law will be made. The employer will provide workers at no charge all tools, supplies, and equipment required to perform the job. The worker will be provided with or reimbursed for transportation and subsistence (including reasonable cost of overnight lodging where necessary up to $110/night forlodging with receipts.) at a rate of $16.78 per day during travel to a maximum of $68.00 per day with receipts from the place from which the worker has come to work for the employer, whether in the U.S. or abroad, to the place of employment, if the worker completes 50 percent of the period of employment covered by the job order, consistent with 20 CFR 655.20(j)(1)(i) by inclusion in the paycheck for the applicable week. Employer will provide or pay for the worker's cost of return transportation and daily subsistence from the place of employment to the place from which the worker, disregarding intervening employment, departed to work for the employer, if the worker completes the certified period of employment or is dismissed from employment for any reason by the employer before the end of the period, consistent with § 655.20(j)(1)(ii);H-2B workers will be reimbursed in the first workweek for all visas, visa processing, border crossing, and other related fees, including those mandated by the government (excluding passport fees). The employer will provide workers all tools, supplies, and equipment required to perform the job at no charge to the worker, in accordance with 20 CFR 655.20(k). Qualified applicants may mail resume to Attn: Carol Ann Carney at 13550 Worthington Way, Bonita Springs, Florida 34135, email to H2Bjobs@worthingtoncc.net , or visit your local job center at 13550 Worthington Way, Bonita Springs, Florida 34135. *Your security deposit is refundable upon completion of your contract and upon inspection of the housing. If a worker abandons their job without permission of the employer or a worker abandons their housing before the end of the petition date for any reason except employer termination, the workers forfeits all housing deposits, PTO, vacation and bonus pay. Upon termination of resignation, the worker must vacate the housing immediately thereafter unless agreed upon by the employer.* Job Classification: 35-3031.00 - Waiters and Waitresses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Number of Hours Per Week: 35 Work Schedule (Start/End time): 6:00 A.M. - 10:00 P.M.</t>
  </si>
  <si>
    <t>H-400-26184-078101</t>
  </si>
  <si>
    <t>Wycliffe Golf &amp; Country Club Homeowners Association, Inc.</t>
  </si>
  <si>
    <t>hr@wycliffecc.com</t>
  </si>
  <si>
    <t>+15619643840</t>
  </si>
  <si>
    <t>Use of hand and power tools such as ride on mowers, trimmers, weedeaters, blowers. Laying of sod, planting, sprinkler installation. Digging, raking, watering. (4) workers needed. Dates of need: 10/1/26-7/31/27. 3 months experience necessary. Rotating shifts. Workdays: Mon-Sun. Work hours: 6am-3pm. Rate of pay: $18.25-$22/hr based on performance, $27.38-$33/hr overtime. Workers paid biweekly. 35 hours/wk. Optional housing provided for $150/week with a $350 deposit ($250 refundable upon completion of contract &amp; housing inspection/ $100 NON refundable). Partial uniforms and shift meals provided. Job location: 4650 Wycliffe Country Club Blvd, Wellington, FL 33449. Work is temporary full time employment. A single workweek will be used to compute wages. May get up to 10 hours of overtime when available. All deductions from the worker's paycheck required by law will be made. The employer will provide workers at no charge all tools, supplies, and equipment required to perform the job. The worker will be provided with or reimbursed for transportation and subsistence (including reasonable cost of overnight lodging where necessary up to $110/night for lodging with receipts.) at a rate of $16.78 per day during travel to a maximum of $68.00 per day with receipts from the place from which the worker has come to work for the employer, whether in the U.S. or abroad, to the place of employment, if the worker completes 50 percent of the period of employment covered by the job order, consistent with 20 CFR 655.20(j)(1)(i) by inclusion in the paycheck for the applicable week. Employer will provide or pay for the worker's cost of return transportation and daily subsistence from the place of employment to the place from which the worker, disregarding intervening employment, departed to work for the employer, if the worker completes the certified period of employment or is dismissed from employment for any reason by the employer before the end of the period, consistent with § 655.20(j)(1)(ii); H-2B workers will be reimbursed in the first workweek for all visas, visa processing, border crossing, and other related fees, including those mandated by the government (excluding passport fees). The employer will provide workers all tools, supplies, and equipment required to perform the job at no charge to the worker, in accordance with 20 CFR 655.20(k). Qualified applicants may mail resume to Attn: Sarah Staley at 4650 Wycliffe Country Club Blvd, Wellington, FL 33449, email to hr@wycliffecc.com, or visit your local job center at 3400 Belvedere Road West Palm Beach, FL 33406. *Your security deposit is refundable upon completion of your contract and upon inspection of the housing. If a worker abandons their job without permission of the employer or a worker abandons their housing before the end of the petition date for any reason except employer termination, the workers forfeits all housing deposits, PTO, vacation and bonus pay. Upon termination of resignation, the worker must vacate the housing immediately thereafter unless agreed upon by the employer.* Job Classification: 37-3011.00 - Landscaping and Groundskeeping Workers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Number of Hours Per Week: 35 Work Schedule (Start/End time): 6:00 A.M. - 3:00 P.M.</t>
  </si>
  <si>
    <t>H-400-26184-078104</t>
  </si>
  <si>
    <t>Perform various financial activities, such as cash handling. Resolve customer complaints regarding food service. Compile and balance cash receipts at the end of the day or shift. Present bills and accept payments. Make schedule for dining room employees (4) workers needed. Dates of need: 10/1/26-5/31/27. 3 months experience necessary. Rotating shifts. Workdays: Mon-Sun. Work hours: 6am-10pm. Rate of pay: $22.56-$25/hr based on performance, $33.84-$37.50/hr overtime. Workers paid biweekly. 35 hours/wk. Optional housing provided for $150/week with a $350 deposit ($250 refundable upon completion of contract &amp; housing inspection/ $100 NON refundable). Partial uniforms and shift meals provided. Job location: 4650 Wycliffe Country Club Blvd, Wellington, FL 33449. Work is temporary full time employment. A single workweek will be used to compute wages. May get up to 10 hours of overtime when available. All deductions from the worker's paycheck required by law will be made. The employer will provide workers at no charge all tools, supplies, and equipment required to perform the job. The worker will be provided with or reimbursed for transportation and subsistence (including reasonable cost of overnight lodging where necessary up to $110/night for lodging with receipts.) at a rate of $16.78 per day during travel to a maximum of $68.00 per day with receipts from the place from which the worker has come to work for the employer, whether in the U.S. or abroad, to the place of employment, if the worker completes 50 percent of the period of employment covered by the job order, consistent with 20 CFR 655.20(j)(1)(i) by inclusion in the paycheck for the applicable week. Employer will provide or pay for the worker's cost of return transportation and daily subsistence from the place of employment to the place from which the worker, disregarding intervening employment, departed to work for the employer, if the worker completes the certified period of employment or is dismissed from employment for any reason by the employer before the end of the period, consistent with § 655.20(j)(1)(ii); H-2B workers will be reimbursed in the first workweek for all visas, visa processing, border crossing, and other related fees, including those mandated by the government (excluding passport fees). The employer will provide workers all tools, supplies, and equipment required to perform the job at no charge to the worker, in accordance with 20 CFR 655.20(k). Qualified applicants may mail resume to Attn: Sarah Staley at 4650 Wycliffe Country Club Blvd, Wellington, FL 33449, email to hr@wycliffecc.com, or visit your local job center at 3400 Belvedere Road West Palm Beach, FL 33406. *Your security deposit is refundable upon completion of your contract and upon inspection of the housing. If a worker abandons their job without permission of the employer or a worker abandons their housing before the end of the petition date for any reason except employer termination, the workers forfeits all housing deposits, PTO, vacation and bonus pay. Upon termination of resignation, the worker must vacate the housing immediately thereafter unless agreed upon by the employer.* Job Classification: 35-1012.00 - First-Line Supervisors of Food Preparation and Serving Workers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Number of Hours Per Week: 35 Work Schedule (Start/End time): 6:00 A.M. - 10:00 P.M.</t>
  </si>
  <si>
    <t>H-400-26184-078106</t>
  </si>
  <si>
    <t>Take orders, serve food &amp; beverages to guests. Clean off &amp; set tables. Take payments, give receipts. Keep all stations stocked and all other server related services. (42) workers needed. Dates of need: 10/1/26-5/31/27. 3 months experience necessary. Rotating shifts. Workdays: Mon-Sun. Work hours: 6am-10pm. Rate of pay: $18.71-$23/hr based on performance, $28.07-$34.50/hr overtime. Workers paid biweekly. 35 hours/wk. Optional housing provided for $150/week with a $350 deposit ($250 refundable upon completion of contract &amp; housing inspection/ $100 NON refundable). Partial uniforms and shift meals provided. Job location: 4650 Wycliffe Country Club Blvd, Wellington, FL 33449. Work is temporary full time employment. A single workweek will be used to compute wages. May get up to 10 hours of overtime when available. All deductions from the worker's paycheck required by law will be made. The employer will provide workers at no charge all tools, supplies, and equipment required to perform the job. The worker will be provided with or reimbursed for transportation and subsistence (including reasonable cost of overnight lodging where necessary up to $110/night for lodging with receipts.) at a rate of $16.78 per day during travel to a maximum of $68.00 per day with receipts from the place from which the worker has come to work for the employer, whether in the U.S. or abroad, to the place of employment, if the worker completes 50 percent of the period of employment covered by the job order, consistent with 20 CFR 655.20(j)(1)(i) by inclusion in the paycheck for the applicable week. Employer will provide or pay for the worker's cost of return transportation and daily subsistence from the place of employment to the place from which the worker, disregarding intervening employment, departed to work for the employer, if the worker completes the certified period of employment or is dismissed from employment for any reason by the employer before the end of the period, consistent with § 655.20(j)(1)(ii); H-2B workers will be reimbursed in the first workweek for all visas, visa processing, border crossing, and other related fees, including those mandated by the government (excluding passport fees). The employer will provide workers all tools, supplies, and equipment required to perform the job at no charge to the worker, in accordance with 20 CFR 655.20(k). Qualified applicants may mail resume to Attn: Sarah Staley at 4650 Wycliffe Country Club Blvd, Wellington, FL 33449, email to hr@wycliffecc.com, or visit your local job center at 3400 Belvedere Road West Palm Beach, FL 33406. *Your security deposit is refundable upon completion of your contract and upon inspection of the housing. If a worker abandons their job without permission of the employer or a worker abandons their housing before the end of the petition date for any reason except employer termination, the workers forfeits all housing deposits, PTO, vacation and bonus pay. Upon termination of resignation, the worker must vacate the housing immediately thereafter unless agreed upon by the employer.* Job Classification: 35-3031.00 - Waiters and Waitresses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Number of Hours Per Week: 35 Work Schedule (Start/End time): 6:00 A.M. - 10:00 P.M.</t>
  </si>
  <si>
    <t>H-400-26184-078107</t>
  </si>
  <si>
    <t>Prepare, cook, saute, broil, fry such items as seafood, meats, poultry, vegetables, pastas, soups. Keeps kitchen areas clean &amp; sanitized. Stores all products in proper locations and all other cook related services (16) workers needed. Dates of need: 10/1/26-5/31/27. 3 months experience necessary. Rotating shifts. Workdays: Mon-Sun. Work hours: 6am-10pm. Rate of pay: $19-$24/hr based on performance, $28.50-$36/hr overtime. Workers paid biweekly. 35 hours/wk. Optional housing provided for $150/week with a $350 deposit ($250 refundable upon completion of contract &amp; housing inspection/ $100 NON refundable). Partial uniforms and shift meals provided. Job location: 4650 Wycliffe Country Club Blvd, Wellington, FL 33449. Work is temporary full time employment. A single workweek will be used to compute wages. May get up to 10 hours of overtime when available. All deductions from the worker's paycheck required by law will be made. The employer will provide workers at no charge all tools, supplies, and equipment required to perform the job. The worker will be provided with or reimbursed for transportation and subsistence (including reasonable cost of overnight lodging where necessary up to $110/night for lodging with receipts.) at a rate of $16.78 per day during travel to a maximum of $68.00 per day with receipts from the place from which the worker has come to work for the employer, whether in the U.S. or abroad, to the place of employment, if the worker completes 50 percent of the period of employment covered by the job order, consistent with 20 CFR 655.20(j)(1)(i) by inclusion in the paycheck for the applicable week. Employer will provide or pay for the worker's cost of return transportation and daily subsistence from the place of employment to the place from which the worker, disregarding intervening employment, departed to work for the employer, if the worker completes the certified period of employment or is dismissed from employment for any reason by the employer before the end of the period, consistent with § 655.20(j)(1)(ii); H-2B workers will be reimbursed in the first workweek for all visas, visa processing, border crossing, and other related fees, including those mandated by the government (excluding passport fees). The employer will provide workers all tools, supplies, and equipment required to perform the job at no charge to the worker, in accordance with 20 CFR 655.20(k). Qualified applicants may mail resume to Attn: Sarah Staley at 4650 Wycliffe Country Club Blvd, Wellington, FL 33449, email to hr@wycliffecc.com, or visit your local job center at 3400 Belvedere Road West Palm Beach, FL 33406. *Your security deposit is refundable upon completion of your contract and upon inspection of the housing. If a worker abandons their job without permission of the employer or a worker abandons their housing before the end of the petition date for any reason except employer termination, the workers forfeits all housing deposits, PTO, vacation and bonus pay. Upon termination of resignation, the worker must vacate the housing immediately thereafter unless agreed upon by the employer.* Job Classification: 35-2014.00 - Cooks, Restaurant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Number of Hours Per Week: 35 Work Schedule (Start/End time): 6:00 A.M. - 10:00 P.M.</t>
  </si>
  <si>
    <t>H-400-26184-078213</t>
  </si>
  <si>
    <t>Angela's International, LLC.</t>
  </si>
  <si>
    <t>tonio@angelasconcessions.com</t>
  </si>
  <si>
    <t>+15188577090</t>
  </si>
  <si>
    <t>***2nd RFI response*** Tasks performed on Vehicles: Clean. Tools used: May use Broom, Cloth, Soap. Tasks performed on Industrial Machinery. To clarify, the Industrial Machinery is food concessions stands/trailers and related equipment that may be in the stand, such as drink or pizza machines. Replace defective or worn parts such as light bulbs, switches, belts, hoses &amp; belts. Sand, scrape, clean, surfaces and structures to maintain appearance and prevent rust or deterioration. Tools used: May use the following tools, equipment, and materials while performing assigned duties: Wrenches, socket and ratchet sets, screwdrivers, pliers, hammers, pry bars, measuring tape, adjustable wrenches, sandpaper, pencils &amp; gloves. They will use step ladders, vacuums and cleaning equipment and supplies, such as sponges, rags and soap. Tasks performed on Electrical and Electronic Equipment. To clarify the Electrical and Electronic Equipment will be worked on, these would be any sound systems that are integral to the food concessions trailer. Tasks would be to clean our dust and debris that may have collected within the system, replace light bulbs, place wire ties or similar restraints on wiring. Tools: May use the following tools, equipment, and materials while performing assigned duties: Wrenches, socket and ratchet sets, screwdrivers, pliers, hammers, pry bars, measuring tape, adjustable wrenches, sandpaper, cans of pressurized air, pencils &amp; gloves. They will use step ladders, vacuums and cleaning equipment and supplies, such as sponges, rags and soap. ***1st RFI response*** Specific Tasks and tools used to perform those tasks: The workers will assist with the setup, inspection and dismantling for repair and refurbishment of amusement rides, food concession trailers and related carnival equipment. Replace defective or worn parts such as light bulbs, switches, belts, hoses &amp; belts. Sand, scrape, clean, surfaces and structures to maintain appearance and prevent rust or deterioration. Check and replace electrical bulbs, sockets, fuse and lighting fixtures as needed. Clean and maintain work areas. Workers may use the following tools, equipment, and materials while performing assigned duties: Wrenches, socket and ratchet sets, screwdrivers, pliers, hammers, pry bars, measuring tape, adjustable wrenches, sandpaper, pencils &amp; gloves. They will use step ladders, vacuums and cleaning equipment and supplies, such as sponges, rags and soap. No work will be performed on Vehicles, Industrial Machinery nor Electrical &amp; Electronic Equipment. No work will be performed on Diesel Engines ***Original*** Help installation, maintenance, and repair workers in maintenance, parts replacement, and repair of vehicles, industrial machinery, and electrical and electronic equipment. Perform duties such as furnishing tools, materials and supplies to other workers; cleaning work area, machines, and tools; and holding materials or tools for other workers. Job Classification: 49-9043.00 - Maintenance Workers, Machinery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Post-employment random drug testing &amp; background checks may be required, at no cost to the worker. The job requires the applicant to be qualified, ready, willing, able, &amp; available to perform during the entire employment at the designated worksite; to enter into &amp; comply with employment contract; to follow workplace rules. Number of Hours Per Week: 35 Work Schedule (Start/End time): 8:00 A.M. - 4:00 P.M.</t>
  </si>
  <si>
    <t>H-400-26184-078181</t>
  </si>
  <si>
    <t>Butcher Private LLC</t>
  </si>
  <si>
    <t>Kimberly Maglin</t>
  </si>
  <si>
    <t>membershipdirector@butcherprivate.com</t>
  </si>
  <si>
    <t>+12393070707</t>
  </si>
  <si>
    <t>Servers will be responsible for taking food and beverage orders throughout the dining room and bar and accurately entering in Point-of-Sale system (once all training and tests are successfully completed), serving bread tableside, running food and drinks, expediting food, making coffee/tea and pouring wine, setting up and closing restaurant for service, keeping all work areas clean and sanitized before, during, and after service, restocking stations, moving and setting tables, ironing linens, clearing, marking and resetting tables, and polishing silverware, glasses, plates, and brass trays. Workers will be responsible for following Butcher Restaurants' steps of service. Job Classification: 35-3031.00 - Waiters and Waitresses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6 Special Requirements: Days and shift schedule may vary. Holidays, weekends, and evenings required as needed. Employer reserves the right to increase wage, rate, or bonus to any worker based on skill, tenure, performance, or experience. Workers must be at least 18 years of age. The Petitioner will consider for employment any applicant who possesses at least six (6) months of experience in a fine-dining or high-volume environment at a high-end restaurant, resort, or private club. Applicant must complete pre-employment background check and drug screening at the employer's expense. Applicant will also be required to complete paid on the job training and testing as well as following the Butcher Private detailed steps of service. Please note that while materials are available online for training, reviewing these training materials is not mandatory outside of work hours as on-the-job training is provided. Increases in the hourly rate beyond the guaranteed minimum rate are directly correlated to Petitioners Points Advancement Policy whereas points are determined by correct communication, skill, and knowledge. A series of sixteen (16) extensive practical and written tests taken in English, will be testing product and service knowledge as well as speed of service. These tests are available to take over the duration of your employment. Overtime Exemption:***** continued from F.b.9. Tipped position with a guaranteed wage: $20.13 per hour, paid bi-weekly. If the Server workers will be compensated through service charges, the Employer has classified this position as exempt from the overtime requirements of the Fair Labor Standards Act (FLSA)under its Section 207(i) overtime exemption. This means Server workers under this application are not eligible for overtime compensation for every hour worked over 40 in a work week so long as: (1) the regular rate of pay exceeds one and a half times the federal minimum wage for every hour worked in a workweek in which overtime hours are worked; and (2)during a three-month representative period, at least half of the total earnings consist of service charges. This exemption will remain in effect so long as the Server workers continue to work in the position and continue to be compensated through service charges. If either of the above requirements is not met, the Employer will pay overtime for all hours worked over forty (40) in a workweek at a rate of $30.20 per hour. Employer will provide each employee with one (1) uniform jacket at no cost to the employee. Employees are required to report to work wearing clean, serviceable black shoes, black pants, black socks, and a plain white T-shirt. These items are considered standard, everyday clothing and must be provided by the employee and expectation to be 100% compliant with the Company Grooming and Uniform Policy. Workers are required to speak conversational English. Number of Hours Per Week: 40 Work Schedule (Start/End time): 10:00 A.M. - 11:59 P.M.</t>
  </si>
  <si>
    <t>H-400-26184-078187</t>
  </si>
  <si>
    <t>Restaurant Managers</t>
  </si>
  <si>
    <t>Restaurant Managers will be responsible for ensuring that the company is in compliance with government agencies regarding sanitation and handling of food and beverage products including keeping all accurate records required, investigating, resolving, and improving processes and Standards of Practice (SOP) in the case of any complaints regarding food quality or service, actively conducting food and equipment's inventories, and keeping detailed inventory records in Craftable and manual spreadsheets, monitoring food preparation methods, portion sizes, garnishing and presentation of food to ensure that food is prepared and presented in an acceptable manner, purchasing, scheduling, and receiving food and beverage deliveries, checking delivery contents to verify product quality and quantity, conducting meetings and supervisory activities (i.e. creating work schedules), hiring and interviewing, observing and evaluating workers and work procedures to ensure quality standard sand service, and collaborating with other Restaurant personnel for menu planning, serving arrangements, event planning and related details, opening and/or closing of the entire restaurant including checking opening and/or closing side works, uniform checks, writing opening and closing reports, and documenting any violations of company SOP execute all positions in the front-of-the-house during service including matre d, captain of station, all bar positions, expo and ability to take reservations where needed. Job Classification: 11-9051.00 - Food Service Managers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12 Special Requirements: Days and shift schedule may vary. Holidays, weekends, and evenings are required as needed. Employer is offering opportunity for up to 15 hours of overtime per week, however this is not guaranteed. Employer reserves the right to increase wage, rate, or bonus to any worker based on skill, tenure, performance, or experience. Workers must be at least 18 years old. The Petitioner will consider for employment any applicant who possesses at least twelve (12) months of experience in a fine-dining environment at a high-end or high volume restaurant, resort, or private club. Applicant must complete pre-employment background check and drug screening at employer's expense. Applicant will also be required to complete paid on the job training and testing as well as following the Butcher Private detailed steps of service. Please note that while materials are available online for training, reviewing these training materials is not mandatory outside of work hours as on-the-job training is provided. A series of sixteen (16) extensive practical and written tests taken in English, will be testing product and service knowledge as well as speed of service. These tests are available to take over the duration of your employment. Must comply with the company uniform and grooming policy. Workers are required to speak conversational English. Number of Hours Per Week: 40 Work Schedule (Start/End time): 10:00 A.M. - 11:59 P.M.</t>
  </si>
  <si>
    <t>H-400-26184-078182</t>
  </si>
  <si>
    <t>Cooks will be responsible for cooking, baking, grilling, sauteing, and broiling seafood, meat, poultry and vegetables, keeping the kitchen area clean and sanitized, receiving and storing all ingredients daily, preparing all raw ingredients, preparing sauces, breaking down and scaling whole fish. Cooks will also be responsible for preparation of raw bar ice display, caviar presentation, and plating hot and cold food. Job Classification: 35-2014.00 - Cooks, Restaurant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12 Special Requirements: Days and Shifts may vary. Holidays, weekends, and evenings are required as needed. Employer is offering opportunity for up to 15 hours of overtime per week, however this is not guaranteed. Employer reserves the right to increase wage, rate, or bonus to any worker based on skill, tenure, performance, or experience. Workers must be at least 18 years of age. The Petitioner will consider for employment any applicant who possesses twelve (12) months of culinary experience in a fine-dining or high-volume environment at a high-end restaurant, resort, or private club. Applicant must complete pre-employment background check and drug screening at employer's expense. Applicant will also be required to complete paid on the job training. Please note that while materials are available online for training, reviewing these training materials is not mandatory outside of work hours as on-the-job training is provided. Employer will provide each employee with one (1) uniform chef coat and one (1) hat at no cost to the employee. Employees are required to report to work wearing clean, serviceable black shoes, black pants, black socks, and a plain white T-shirt. These items are considered standard, everyday clothing and must be provided by the employee and expectation to be 100% compliant with the Company Grooming and Uniform Policy. Workers are required to speak conversational English. Number of Hours Per Week: 40 Work Schedule (Start/End time): 10:00 A.M. - 11:59 P.M.</t>
  </si>
  <si>
    <t>H-400-26184-078183</t>
  </si>
  <si>
    <t>Butcher Private, LLC</t>
  </si>
  <si>
    <t>Sous Chefs are responsible for monitoring sanitation and food safety practices to ensure that all employees follow strict company standards and government regulations, checking the quality of raw and cooked food products daily to ensure that the highest standards are met, determining production schedules and staffing requirements necessary to ensure timely delivery of services and optimal labor cost, ordering and receiving produce and kitchen items, receiving and checking quantity and quality of all received products including dry goods, setting accurate par levels and adjust based on levels of business, taking daily, weekly, and monthly inventories, training new employees, executing seamlessly all stations in the kitchen during service as well as preparations of sauces and proteins, and assisting the Executive Chef in hiring, interviewing, supervising, and coordinating activities of Cooks or other workers engaged in food preparation, stewarding and receiving, opening and/or closing of the entire restaurant including checking opening and or closing side works, uniform checks, writing opening and closing report and documenting any violations of the company's standard operating procedures. Job Classification: 35-1011.00 - Chefs and Head Cooks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36 Special Requirements: Days and shift schedules may vary. Holidays, weekends, and evenings required as needed. Employer is offering opportunity for up to 15 hours of overtime per week, however this is not guaranteed Employer reserves the right to increase wage, rate, or bonus to any worker based on skill, tenure, performance, or experience. Workers must be at least 18 years of age. The Petitioner will consider for employment any applicant who possesses at least thirty-six (36) months of culinary experience in a fine-dining environment at a high-end or high-volume restaurant, resort, or private club. Applicant must complete pre-employment background check and drug screening at employer's expense. Applicant will also be required to complete paid on the job training. Please note that while materials are available online for training, reviewing these training materials is not mandatory outside of work hours as on-the-job training is provided. Employer will provide each employee with one (1) uniform chef coat and one (1) hat for Sous Chef and Cook at no cost to the employee. Employees are required to report to work wearing clean, serviceable black shoes, black pants, black socks, and a plain white T-shirt. These items are considered standard, everyday clothing and must be provided by the employee and expectation to be 100% compliant with the Company Grooming and Uniform Policy. Workers are required to speak conversational English. Number of Hours Per Week: 40 Work Schedule (Start/End time): 10:00 A.M. - 11:59 P.M.</t>
  </si>
  <si>
    <t>H-400-26184-078185</t>
  </si>
  <si>
    <t>Bartenders will prepare and serve crafted alcoholic and non-alcoholic beverages while delivering exceptional guest service in a high-end, fast-paced environment. Prepare and serve alcoholic and non-alcoholic beverages (mix ingredients, such as liquor, soda, water, sugar, and bitters, to prepare cocktails and other drinks) according to established recipes and fine dining standards. Interact with guests, take drink orders, and provide recommendations based on preferences, maintain full knowledge of beverage menu, including wines, spirits, and cocktails, ensure proper presentation of all beverages served, verify identification of guests to ensure compliance with alcohol service laws, maintain cleanliness and organization of bar area (clean glasses, utensils, and bar equipment), including washing glassware and restocking supplies, monitor inventory levels and assist with stocking and replenishment of bar items, process guest payments accurately, including cash and credit transactions, coordinate with servers and kitchen staff to ensure timely and efficient service, comply with all health, safety, and sanitation standards, Clean glasses, utensils, and bar equipment. Collect money for drinks served. Balance cash receipts. Slice and pit fruit for garnishing drinks. Job Classification: 35-3011.00 - Bartenders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6 Special Requirements: Days and shift schedule may vary. Holidays, weekends, and evenings required as needed. Employer reserves the right to increase wage, rate, or bonus to any worker based on skill, tenure, performance, or experience. Increases in the hourly rate beyond the guaranteed minimum rate are directly correlated to Petitioners Points Advancement Policy whereas points are determined by correct communication, skill, and knowledge. A series of sixteen (16) extensive practical and written tests taken in English, will be testing product and service knowledge as well as speed of service. These tests are available to take over the duration of your employment. Workers must be at least 18 years of age. Employer will consider for employment any applicant who possesses at least six (6) months of experience in a fine-dining or high-volume environment at a high-end restaurant, resort, or private club. Applicant must complete pre-employment background check and drug screening at the employer's expense. Applicant will also be required to complete paid on the job training and testing as well as following the Butcher Private detailed steps of service. Please note that while materials are available online for training, reviewing these training materials is not mandatory outside of work hours as on-the-job training is provided. Increases in the hourly rate beyond the guaranteed minimum rate are directly correlated to Petitioners Points Advancement Policy where as points are determined by correct communication, skill, and knowledge. A series of sixteen (16) extensive practical and written tests taken in English, will be testing product and service knowledge as well as speed of service. These tests are available to take over the duration of your employment. Overtime Exemption:***** continued from F.b.9. Tipped position with a guaranteed wage: $21.48 per hour, paid bi-weekly. If the Bartender workers will be compensated through service charges, the Employer has classified this position as exempt from the overtime requirements of the Fair Labor Standards Act (FLSA) under its Section 207(i) overtime exemption. This means Bartender workers under this application are not eligible for overtime compensation for every hour worked over 40 in a work week so long as: (1) the regular rate of pay exceed sone and a half times the federal minimum wage for every hour worked in a workweek in which overtime hours are worked; and (2)during a three-month representative period, at least half of the total earnings consist of service charges. This exemption will remain in effect so long as the Bartender workers continue to work in the position and continue to be compensated through service charges. If either of the above requirements is not met, the Employer will pay overtime for all hours worked over forty (40) in a workweek at a rate of $32.22 per hour. Employer will provide each employee with one (1) uniform jacket at no cost to the employee. Employees are required to report to work wearing clean, serviceable black shoes, black pants, black socks, and a plain white T-shirt. These items are considered standard, everyday clothing and must be provided by the employee and expectation to be 100% compliant with the Company Grooming and Uniform Policy. Workers are required to speak conversational English. Number of Hours Per Week: 40 Work Schedule (Start/End time): 10:00 A.M. - 11:59 P.M.</t>
  </si>
  <si>
    <t>H-400-26184-078190</t>
  </si>
  <si>
    <t>Dining Room Attendants will be responsible for polishing glasses, polishing silverware and plates, polishing brass and copper, setting up and breaking down restaurant (moving tables and chairs) cleaning of dining room, bar, and patio, checking and maintaining restrooms during service, cutting and serving bread, running food and drinks, helping mix and serve simple non-crafted beverages per company recipes during service, operating, and cleaning coffee station, restocking and maintaining coffee station, receiving, maintaining, ironing and folding linens, greeting and seating guests, resetting tables, filling water pitchers and marking trays, receiving and restocking dry goods and wines, maintaining and organizing storage rooms and par levels, and following Butcher Restaurants' Steps of Service SOP. Job Classification: 35-9011.00 - Dining Room and Cafeteria Attendants and Bartender Helpers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Days and shift schedule may vary. Holidays, weekends, and evenings required as needed. Employer reserves the right to increase wage, rate, or bonus to any worker based on skill, tenure, performance, or experience. Workers must be at least 18 years of age. The Petitioner will consider for employment any applicant who possesses at least three (3) months of experience in a fine-dining or high-volume environment at a high-end restaurant, resort, or private club. Applicant must complete pre-employment background check and drug screening at the employer's expense. Applicant will also be required to complete paid on the job training and testing as well as following the Butcher Private detailed steps of service. Please note that while materials are available online for training, reviewing these training materials is not mandatory outside of work hours as on-the-job training is provided. Increases in the hourly rate beyond the guaranteed minimum rate are directly correlated to Petitioners Points Advancement Policy whereas points are determined by correct communication, skill, and knowledge. A series of sixteen (16) extensive practical and written tests taken in English, will be testing product and service knowledge as well as speed of service. These tests are available to take over the duration of your employment. Overtime Exemption***** continued from F.b.9. Tipped position with a guaranteed wage: $16.35 per hour, paid bi-weekly. If the Dining Room Attendant workers will be compensated through service charges, the Employer has classified this position as exempt from the overtime requirements of the Fair Labor Standards Act(FLSA) under its Section 207(i) overtime exemption. This means Dining Room Attendant workers under this application are not eligible for overtime compensation for every hour worked over 40 in a workweek so long as: (1) the regular rate of pay exceeds one and a half times the federal minimum wage for every hour worked in a workweek in which overtime hours are worked; and(2) during a three-month representative period, at least half of the total earnings consist of service charges. This exemption will remain in effect so long as the Dining Room Attendant workers continue to work in the position and continue to be compensated through service charges. If either of the above requirements is not met, the Employer will pay overtime for all hours worked over forty (40) in a workweek at a rate of $24.53 per hour. Employer will provide each employee with one (1) uniform jacket at no cost to the employee. Employees are required to report to work wearing clean, serviceable black shoes, black pants, black socks, and a plain white T-shirt. These items are considered standard, everyday clothing and must be provided by the employee and expectation to be 100% compliant with the Company Grooming and Uniform Policy. Workers are required to speak conversational English. Number of Hours Per Week: 40 Work Schedule (Start/End time): 10:00 A.M. - 11:59 P.M.</t>
  </si>
  <si>
    <t>H-400-26184-078193</t>
  </si>
  <si>
    <t>CALLOWAY INC.</t>
  </si>
  <si>
    <t>americanlawncompany@yahoo.com</t>
  </si>
  <si>
    <t>+12059873301</t>
  </si>
  <si>
    <t>Laborer, Landscape</t>
  </si>
  <si>
    <t>Under close supervision. On-the-job training provided. Workers will mow, trim, edge, blow (sweep) turfgrass lawns and perform cleanup by blowing, raking or sweeping grass clippings and leaves from turfgrass and paved areas. Pick up sticks and debris in lawns, landscaped and paved areas around properties. Water, prune, trim and shear all types of plants, including but not limited to shrubs, small trees (from ground level only), flowers. Dig up turfgrass to transplant or to make landscape beds. Pull weeds from landscaped beds and out of crevices on paved areas. haul, apply, stack mulch, soil, rocks, pebbles, compost, fertilizer and other horticultural products for use in, on, around turfgrass and landscaped areas or beds. Dig holes to plant or transplant flowers, or to remove shrubs, trees, and various other plants and weeds. May assist with cleaning, maintenance, maneuvering of tools, vehicles and equipment commonly used in lawn and landscaping work. Job Classification: 37-3011.00 - Landscaping and Groundskeeping Workers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Entry level - No experience required. The job requires the applicant to be qualified, ready, willing, able, and available to perform during the entire employment at all the designated worksites; and to follow workplace rules. Number of Hours Per Week: 45 Work Schedule (Start/End time): 7:00 A.M. - 4:00 P.M.</t>
  </si>
  <si>
    <t>H-400-26184-078156</t>
  </si>
  <si>
    <t>Waiters and Waitresses</t>
  </si>
  <si>
    <t>Greet and seat guests in the dining area; Present menus and answer basic questions about menu items; Take food and beverage orders and enter orders into a point-of-sale (pos) system; Serve prepared food items and beverages, including seafood dishes, rice and noodle dishes, and drinks, by carrying trays from the kitchen to guest tables; Check on tables during meals and refill water, tea, and soft drinks as needed; Package to-go orders when requested; Clear used plates, bowls, utensils, and glassware from tables; Wipe and reset tables with clean utensils, condiments, and napkins for the next guest; Process payments through the pos system and issue receipts; Follow restaurant cleanliness, food safety, and sanitation procedures. Job Classification: 35-3031.00 - Waiters and Waitresses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No minimum education or experience required. Employer will provide on-the-job training. Must be able to perform the duties of the position. Number of Hours Per Week: 40 Work Schedule (Start/End time): 12:00 P.M. - 8:30 P.M.</t>
  </si>
  <si>
    <t>H-400-26184-078175</t>
  </si>
  <si>
    <t>Equipment Operators</t>
  </si>
  <si>
    <t>The Equipment Operator performs work on construction sites by operating heavy and light equipment such as skid steers, mini excavators, backhoes, loaders, trenchers, forklifts, compactors, and similar machinery to assist with excavation, grading, trenching, material handling, site preparation, utility installation, and general construction support. Duties include moving soil, gravel, debris, and materials, digging trenches, leveling land, loading and unloading materials, performing basic equipment inspections and maintenance, and following all project specifications and safety standards. Workers may also assist with general labor tasks such as site cleanup and material handling when equipment is not in use. The position requires outdoor work in various weather conditions and compliance with all federal, state, and local safety regulations. Job Classification: 47-2073.00 - Operating Engineers and Other Construction Equipment Operators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Must be able to lift and carry 75lbs for 75 yds. Must be able to handle temperature extremes. Number of Hours Per Week: 40 Work Schedule (Start/End time): 8:00 A.M. - 5:00 P.M.</t>
  </si>
  <si>
    <t>H-400-26184-078159</t>
  </si>
  <si>
    <t>Removing snow and ice mitigation is performed daily for site access and safety reasons. It entails primarily less-skilled manual labor including shoveling, sweeping, or using snow blowers to move excess snow from the construction site. Most areas where work is actually being performed must be cleaned manually because larger equipment will not fit, is too heavy or too large and powerful and may risk damaging current construction. On rare occasions, more skilled workers may use trucks with a snow-blade and/or a skid loader for larger areas and/or site ingress and egress areas. The snow cleaners will have to store, maintain and place the chains on the truck and skid loader tires when conditions are slick from snow and ice. Snow shelters are used on concrete construction sites to keep the temperatures high so that concrete can properly set when the outside temperatures are cold. Snow shelters are erected by snow cleaners under the supervision of the foremen, using basic materials such as two-inch by four-inch or four-inch by four-inch lumber that is fastened together temporarily and covered with reinforced plastic or canvas. Once covered, diesel heaters will pump warm air through hoses into the shelters long enough for the concrete to properly set. The snow shelters are erected following a basic, repetitious pattern and the lumber is preserved and used again if possible. Snow cleaners will also cover concrete with water hoses, heavy blankets and tarps to keep the concrete warm and prevent damage from snow, ice and moisture accumulation. Likewise, the snow cleaners will take the hoses, blankets and tarps off when the concrete is properly set. On a regular basis, the workers will have to manually shovel and sweep the snow off the tarps and blankets first before removing them when the snow accumulates on top of them. All of the materials used to remove snow and keep the construction site and concrete clean and warm is the responsibility of the workers to maintain. Thus, all heaters, chains, blankets, tarps, shovels, sweeps, snow blowers, reinforced plastic, canvas, lumber, hoses, pumps and the shelters for storage must be maintained, cleaned and organized by the snow cleaners. Overall site cleanliness is the responsibility of snow cleaners during the snow and cold weather months. Job Classification: 47-2061.00 - Construction Laborers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Ability to lift and carry up to 50 pounds. Prolonged standing, walking on slippery surfaces, and navigating large areas. Frequent bending, stooping, kneeling, pushing, and pulling heavy equipment. Climbing ladders, manual dexterity for handling tools, and operating machinery. Endurance for extended periods in various weather conditions, including cold and wet environments. Number of Hours Per Week: 40 Work Schedule (Start/End time): 8:00 A.M. - 5:00 P.M.</t>
  </si>
  <si>
    <t>H-400-26184-078154</t>
  </si>
  <si>
    <t>Clausen Construction, Inc.</t>
  </si>
  <si>
    <t>clausenconstructioninc@gmail.com</t>
  </si>
  <si>
    <t>+16052330169</t>
  </si>
  <si>
    <t>As construction laborers, the workers will perform tasks involving physical labor at construction sites. Operate hand and power tools of all types: air hammers, earth tampers, cement mixers, small mechanical hoists, surveying, and measuring equipment, and a variety of other equipment and instruments. The workers will be operating heavy equipment such as motor scrapers, soil compactors, bulldozers, backhoes, skid loaders, and shovels. The worker will unload materials, lay out lumber, tin sheets and siding, trusses, and other components for building structures. The workers will build and erect walls and trusses, lift tin sheets and siding to roofs and walls, and install doors, and caulk structures. The workers will clean and prepare sites, set braces to support the sides of excavations, erect scaffolding, and clean up rubble, debris, and other waste materials. The workers will also lubricate, clean, or repair machinery, equipment, or tools. Use hand and power tools including shovels, hammers, utility knives, drills, saws, air compressors, pneumatic tools, compactors, cement mixers, laser levels, measuring tapes, and small mechanical hoists. Tools will be used to measure and mark layouts, prepare foundations, mix and place concrete, compact soil, cut and install materials, lift and position materials, and assist in assembling structural components. Hoists will lift roofing panels, siding, trusses, doors, windows, lumber and other materials. Laser levels and measuring tools will establish elevations, verify grades, and measure building dimensions. Perform manual labor and assist skilled construction personnel in the construction, repair, and renovation of commercial, industrial, and residential structures. Duties include cleaning and preparing job sites; loading, unloading and distributing materials; assisting with excavation, grading, trenching and backfilling; erecting and dismantling temporary structures; and performing general construction labor as assigned. Assist in the operation of employer-owned or leased construction equipment used for site preparation, grading, excavation, trenching, backfilling and material handling. Equipment may include Caterpillar D6 bulldozers (55,000 lbs.,225 HP) used to grade and level land; Caterpillar 324DL excavators (50,000 lbs,220 HP) used to dig footings and trenches; Caterpillar 330 excavators (60,000 lbs,250 HP) used to excavate and load trucks; Caterpillar 349EL excavators (120,000 lbs,400 HP) used to excavate, move and load soil; and Caterpillar 279D and 299D3 skid steer loaders (7,000-8,000 lbs,80-100 HP) used to grade, level and move materials. Unload, stage, and distribute construction materials including lumber, engineered wood products, trusses, metal roofing panels, metal siding panels, doors, windows, insulation, fasteners and concrete forms. Assist in constructing wall assemblies by measuring, positioning, fastening and bracing framing components; erecting and securing roof trusses; installing roofing and siding panels; installing doors and hardware; and applying caulking and sealants. Remove construction debris and waste materials using shovels, rakes, brooms, wheelbarrows, dumpsters and skid steer loaders. Maintain safe and clean work areas by removing hazards, organizing materials, cleaning work surfaces and performing general site housekeeping using basic cleaning tools. Clean, lubricate and perform minor repairs on machinery and equipment including skid steer loaders, compactors, backhoes, excavators, bulldozers, cement mixers, air compressors, mechanical hoists, pneumatic tools, power tools and hand tools. Clean and repair machinery by removing dirt, mud, concrete residue and debris; lubricating moving parts; checking fluid levels; tightening bolts and fittings; replacing filters, hoses, belts and other wear items; and assisting with minor repairs using wrenches, socket sets, screwdrivers, grease guns, cleaning equipment, lubricants and replacement parts. Job Classification: 47-2073.00 - Operating Engineers and Other Construction Equipment Operators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1 Special Requirements: The workers must be able to lift and carry 75 lbs., and must follow safety guidelines in a manufacturing environment. The workers will be subject to drug testing upon reasonable suspicion, paid by the employer and applied equally to all workers, U.S. and foreign/H-2B. Number of Hours Per Week: 40 Work Schedule (Start/End time): 7:30 A.M. - 6:30 P.M.</t>
  </si>
  <si>
    <t>H-400-26184-078196</t>
  </si>
  <si>
    <t>FELIX CRISTIAN ISTRATE</t>
  </si>
  <si>
    <t>ANDA MALESCU</t>
  </si>
  <si>
    <t>07/05/2028</t>
  </si>
  <si>
    <t>felix.istrate@me.com</t>
  </si>
  <si>
    <t>+13058771605</t>
  </si>
  <si>
    <t>Child Caregiver</t>
  </si>
  <si>
    <t>• Maintain a safe environment. • Observe and monitor children's play activities. • Communicate with children's parents about daily activities, behaviors, and related issues. • Support children's emotional and social development, encouraging understanding of others and positive self-concepts. • Dress children and change diapers. • Keep records on individual children, including daily observations and information about activities, meals served, and medications administered. • Identify signs of emotional or developmental problems in children and bring them to parents' or guardians' attention. • Instruct children in health and personal habits, such as eating, resting, and toilet habits. • Read to children and teach them simple painting, drawing, handicrafts, and songs. • Organize and participate in age-appropriate recreational activities and outings. • Perform general personnel functions, such as supervision, training, and scheduling. • Accompany children to and from school, on outings, and to medical appointments. • Provide care for children with physical, developmental, or mental health disabilities. Job Classification: 39-9011.01 - Nannies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6 Special Requirements: Must be able to work Saturdays and Sundays, when necessary. No felony convictions. Number of Hours Per Week: 40 Work Schedule (Start/End time): 8:00 A.M. - 4:00 P.M.</t>
  </si>
  <si>
    <t>H-400-26184-078163</t>
  </si>
  <si>
    <t>Ft Lauderdale Hospitality Inc</t>
  </si>
  <si>
    <t>Khimanihanif@gmail.com</t>
  </si>
  <si>
    <t>+19548662266</t>
  </si>
  <si>
    <t>Clean rooms including bathroom, living area and kitchenettes (changing linens, scrubbing sinks, tubs, floor, walls and vacuuming). Job Classification: 37-2012.00 - Maids and Housekeeping Cleaners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Lifting requirement 50 lbs. Number of Hours Per Week: 40 Work Schedule (Start/End time): 8:00 A.M. - 5:00 P.M.</t>
  </si>
  <si>
    <t>H-400-26184-078160</t>
  </si>
  <si>
    <t>GRASSY KEY RESORT GROUP LLC</t>
  </si>
  <si>
    <t>Sara Benmouna</t>
  </si>
  <si>
    <t>areta@grassyflats.com</t>
  </si>
  <si>
    <t>+13059984590</t>
  </si>
  <si>
    <t>Grassy Key Resort Group, LLC (DBA: Grassy Flats Resort &amp; Beach Club) seeks Cooks to prepare and cook food items according to established recipes, portion controls, and resort quality standards. Duties include preparing meats, seafood, vegetables, sauces, and other menu items; operating standard kitchen equipment such as grills, fryers, ovens, and food processors; maintaining cleanliness and sanitation of kitchen and food preparation areas; properly storing and handling food products in compliance with health and safety regulations; assisting with inventory and stock rotation; and working collaboratively with kitchen staff to ensure timely food preparation and service in a fast-paced resort environment. Job Classification: 35-2014.00 - Cooks, Restaurant The job/industry classification and description includes general information on the position from ONET/OES and the North American Industry Classification System. Please review Job Duties and Job Order for more information. Job Requirements Experience Required: No Number of Hours Per Week: 40 Work Schedule (Start/End time): 2:00 P.M. - 10:00 P.M.</t>
  </si>
  <si>
    <t>H-400-26184-078204</t>
  </si>
  <si>
    <t>GREEN-TEE GOLF, INC.</t>
  </si>
  <si>
    <t>Andrew Jackson</t>
  </si>
  <si>
    <t>greenteegolfinc@aol.com</t>
  </si>
  <si>
    <t>+12704429723</t>
  </si>
  <si>
    <t>Landscaping &amp; Groundskeeping Workers</t>
  </si>
  <si>
    <t>Landscape or maintain grounds of property using hand or power tools or equipment. Workers typically perform a variety of tasks by hand, such as sod laying, mowing, trimming, planting, watering, digging, raking, sprinkler installation and repair. May operate power tools and landscape equipment such as reel mowers, however most work performed using manual hand tools such as shovels, rakes, and shears. All work is performed outdoors during all types of weather conditions. Workers may be requested to submit to random drug and alcohol tests at no cost to the worker. Failure to comply with the request or testing positive may result in immediate termination. Negative result may be required post-hire and before commencing work. Must be able to lift and carry 75 lbs. Must be able to lift 75 lbs. to shoulder height. Requires minimum 3 months verifiable work experience as a Landscaping &amp; Groundskeeping Worker I. Job Classification: 37-3011.00 - Landscaping and Groundskeeping Workers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ALL WORK IS PERFORMED OUTDOORS DURING ALL TYPES OF WEATHER CONDITIONS. WORKERS MAY BE REQUESTED TO SUBMIT TO RANDOM DRUG AND ALCOHOL TESTS AT NO COST TO THE WORKER. FAILURE TO COMPLY WITH THE REQUEST OR TESTING POSITIVE MAY RESULT IN IMMEDIATE TERMINATION. NEGATIVE RESULT MAY BE REQUIRED POST-HIRE AND BEFORE COMMENCING WORK. MUST BE ABLE TO LIFT AND CARRY 75 LBS. MUST BE ABLE TO LIFT 75 LBS. TO SHOULDER HEIGHT. REQUIRES MINIMUM 3 MONTHS VERIFIABLE WORK EXPERIENCE AS A LANDSCAPING &amp; GROUNDSKEEPING WORKER I. Number of Hours Per Week: 42 Work Schedule (Start/End time): 8:00 A.M. - 4:00 P.M.</t>
  </si>
  <si>
    <t>H-400-26184-078169</t>
  </si>
  <si>
    <t>H-400-26184-078161</t>
  </si>
  <si>
    <t>Grassy Key Resort Group LLC</t>
  </si>
  <si>
    <t>Grassy Key Resort Group, LLC (DBA: Grassy Flats Resort &amp; Beach Club) seeks Bartenders to prepare &amp; serve alcoholic and non-alcoholic beverages to resort guests in a fast-paced hospitality environment. Duties include taking beverage orders; serving drinks to customers; collecting payment for drinks served; balancing cash receipts; checking customer identification to verify legal age requirements for the purchase and consumption of alcoholic beverages; cleaning glasses, utensils, bar equipment, bars, work areas, and tables; stocking and replenishing bar supplies and inventory; maintaining cleanliness and organization of service areas; And, responding promptly to guest requests and concerns. Job Classification: 35-3011.00 - Bartenders The job/industry classification and description includes general information on the position from ONET/OES and the North American Industry Classification System. Please review Job Duties and Job Order for more information. Job Requirements Experience Required: No Number of Hours Per Week: 40 Work Schedule (Start/End time): 2:00 P.M. - 10:00 P.M.</t>
  </si>
  <si>
    <t>H-400-26184-078165</t>
  </si>
  <si>
    <t>Herschap Backhoe &amp; Ditching, Inc.</t>
  </si>
  <si>
    <t>admin@herschapbackhoeditching.com</t>
  </si>
  <si>
    <t>+15123033834</t>
  </si>
  <si>
    <t>Pipelayer Helper</t>
  </si>
  <si>
    <t>As a pipelayer helper, worker will assist foreman with installing sewer, water, or storm drainpipes, using small hand tools such as hammers, shears, cutteres, and bender, etc. Dig ditches or trenches for the purpose of pipe installation using picks, shovels and hoes. Perform some digging by hand, cutting, and gluing pipe, covering up water lines, clean equipment, and tools such as shovels and hoes. Clean or prepare construction sites to eliminate possible hazards. Perform lawn care maintenance by pruning and trimming trees, shrubs, and/or hedges. Plan trees, foliage, and bushes. Maintained the appearance of the lawn by mowing and edging. Manage tree and shrub care and maintain flower beds. Responsible for landscape installation activities, including installing floral beds and the preparation of existing areas of foliage and landscaping materials. Workers will also perform winterization tasks such as winter cutbacks on plants in order to properly prepare lawn or landscape for winter weather and new growth in the Spring. Maintain irrigation systems, including winterizing the systems before the temperatures drop. Job Classification: 47-3015.00 - Helpers--Pipelayers, Plumbers, Pipefitters, and Steamfitters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The workers must be able to work in outside weather conditions, must be able to lift and carry up to 50 pounds, and must know how to use garden tools, hand tools, and/or lawn mowing equipment such as mowers, tractors, electric clippers, sod cutters, or pruning saws. Each applicant (U.S. and H-2B workers alike) must complete the Employers standard online employment application as part of the hiring process. The application is uniformly required of all candidates and does not impose additional or different requirements on U.S. workers. The workers will be subject to drug testing upon reasonable suspicion, paid by the employer and applied equally to all workers, U.S. and foreign/H-2B. The workers are subject to employment criminal background checks, paid by the employer and applied equally to all workers, U.S. and foreign/H-2B. Number of Hours Per Week: 40 Work Schedule (Start/End time): 7:00 A.M. - 5:00 P.M.</t>
  </si>
  <si>
    <t>H-400-26184-078203</t>
  </si>
  <si>
    <t>J &amp; B Fisheries and Farms LLC</t>
  </si>
  <si>
    <t>Israel Linarte</t>
  </si>
  <si>
    <t>israelinarte@gmail.com</t>
  </si>
  <si>
    <t>+19167438062</t>
  </si>
  <si>
    <t>Fin Fishing Deckhand On Commercial Longliner</t>
  </si>
  <si>
    <t>SEASONAL-TEMPORARY, FULL-TIME FINFISHING DECKHAND ON COMMERCIAL LONG-LINER needed from 10/01/2026 to 07/01/2027. Work will be performed at sea up to 10 days onboard commercial fish vessels throughout the Exclusive Economic Zone in the Gulf of Mexico, depending on the amount of catch and/or expansion of fishing grounds. Job requires workers to load supplies, bait and tackle, build and repair tackle, set and haul long line gear, gut and clean fish, ice fish, and boat hold. Perform wheel-watch duties, cut bait and bait hooks, clean and mop deck, offload catch at the dock, assist captain as required. The usual work period is from 06:00 pm (night) to 6:00 am (morning). Working conditions may include excessive heat and/or cold, rainy days and cold weather on deck, confined spaces, sleep deprivation, and fatigue. Workers are required to carry and repetitively lift an average of 75 pounds of catch to/from the boat's hold and be skillful with long-liners and bandits. The employer will provide safety gear, tools, supplies, and equipment required to perform the assigned duties. Food and lodging are provided to the worker free of charge while at sea. Workers live and sleep on the boat during fishing operations. Workers are free to option out and search for the food and lodging options of their choice in between trips. Job Classification: 45-3031.00 - Fishing and Hunting Workers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1 Special Requirements: Deckhand will load supplies, fishing gear, and bait and tackle, build and repair tackle sets, and haul the long liner. gut and clean fish, ice fish in boats, perform wheel-watch duties, cut bait and bait hooks, clean and mop deck, offload catch at dock, and assist a captain as required. Number of Hours Per Week: 40 Work Schedule (Start/End time): 6:00 P.M. - 6:00 A.M.</t>
  </si>
  <si>
    <t>H-400-26184-078184</t>
  </si>
  <si>
    <t>***2nd RFI response*** Duties will be based on instructions from the Maintenance Technician supervisor, who will identify issues through inspections of every guest room and common area of the resort properties. The maintenance crew(H2B) will then follow through with repairs examples: furniture replacements(maintenance) such as replacing(servicing) room tables and beds using simple tools like screwdrivers, power tools and other handyman tools used for installing screws and bolts for hotel furniture maintenance , Plumbing replacements and fixing using simple maintenance tools including screwdrivers and handheld power tools used for screws and bolts for hotel plumbing maintenance .Tasks for plumbing includes clearing minor clogs in guest room toilets, sinks and showers using plungers or hand augers. Replacing faulty faucet washers, showerheads and toilet flappers. Also maintenance workers will identify and tighten loose pipe joints. Also, minor paint jobs for hotel areas using brushes and painting sponges to apply paint. This includes identifying from instructions dry wall stains, scratches or dents, scraping old paint with scrapers and cleaning walls to prepare for new paint. Also applying new paint using brushes, rollers or sprayers. The maintenance team(H2B) will use the off season to replace and repair all simple broken items or do areas in need of uplifting and maintenance as seen by the supervising Maintenance Technician. ***1st RFI response*** The maintenance crew(H2B) will then follow through with repairs examples: furniture replacements(maintenance) such as replacing(servicing) room tables and beds using simple tools like screwdrivers, power tools and other handyman tools used for installing screws and bolts for hotel furniture maintenance , Plumbing replacements and fixing using simple maintenance tools including screwdrivers and handheld power tools used for screws and bolts for hotel plumbing maintenance . Also, minor paint jobs for hotel areas using brushes and painting sponges to apply paint. ***Original*** Duties will base on instructions from the Maintenance Technician supervisor, who will identify issues through inspections of every guest room and common area of the resort properties. The maintenance crew(H2B) will then follow through with repairs examples: furniture replacements, minor plumbing replacements and minor paint jobs. The maintenance team(H2B) will use the off season to replace and repair all simple broken items or do areas in need of uplifting and maintaining as seen by the supervising Maintenance Technician Job Classification: 49-9071.00 - Maintenance and Repair Workers, General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6 Special Requirements: Each candidate must have at least 6 months experience as a maintenance worker or similar handyman positions Number of Hours Per Week: 37 Work Schedule (Start/End time): 8:30 A.M. - 4:30 P.M.</t>
  </si>
  <si>
    <t>H-400-26184-078215</t>
  </si>
  <si>
    <t>Lisko Family Midway Amusements, Inc.</t>
  </si>
  <si>
    <t>tlisko67@gmail.com</t>
  </si>
  <si>
    <t>+13302331615</t>
  </si>
  <si>
    <t>***2nd RFI response*** Tasks performed on Vehicles: Clean. Tools used: May use Broom, Cloth, Soap. Tasks performed on Industrial Machinery. To clarify, the Industrial Machinery are amusement rides, food concessions trailers and related carnival equipment. Replace defective or worn parts such as light bulbs, switches, belts, hoses &amp; belts. Sand, scrape, clean, surfaces and structures to maintain appearance and prevent rust or deterioration. Tools used: May use the following tools, equipment, and materials while performing assigned duties: Wrenches, socket and ratchet sets, screwdrivers, pliers, hammers, pry bars, measuring tape, adjustable wrenches, sandpaper, pencils &amp; gloves. They will use step ladders, vacuums and cleaning equipment and supplies, such as sponges, rags and soap. Tasks performed on Electrical and Electronic Equipment. To clarify the Electrical and Electronic Equipment will be worked on, these would be the sound systems and control boxes that are included in the Amusement Ride. Tasks would be to clean our dust and debris that may have collected within the system, replace light bulbs, place wire ties or similar restraints on wiring. Tools: May use the following tools, equipment, and materials while performing assigned duties: Wrenches, socket and ratchet sets, screwdrivers, pliers, hammers, pry bars, measuring tape, adjustable wrenches, sandpaper, cans of pressurized air, pencils &amp; gloves. They will use step ladders, vacuums and cleaning equipment and supplies, such as sponges, rags and soap. ***1st RFI response*** Specific Tasks and tools used to perform those tasks: The workers will assist with the installation, setup, and dismantling of amusement rides, food concession trailers and related carnival equipment. Replace defective or worn parts such as light bulbs, switches, belts, hoses &amp; belts. Sand, scrape, clean trailers, metal surfaces and structures to maintain appearance and prevent rust or deterioration. Check and replace electrical bulbs, sockets, fuse and lighting fixtures as needed. Clean and maintain work areas. Workers may use the following tools, equipment, and materials while performing assigned duties: Wrenches, Socket and ratchet sets, screwdrivers, pliers, hammers, pry bars, measuring tape, adjustable wrenches. They will use ladders, vacuums and cleaning equipment and supplies, such as sponges, rags and soap. Neither Vehicles, Industrial Machinery nor Electrical &amp; Electronic Equipment will be serviced, only amusement rides, food concessions trailers and related carnival equipment. No work will be performed on Diesel Engines. ***Original*** Help installation, maintenance, and repair workers in maintenance, parts replacement, and repair of vehicles, industrial machinery, and electrical and electronic equipment. Perform duties such as furnishing tools, materials and supplies to other workers; cleaning work area, machines, and tools; and holding materials or tools for other workers. Job Classification: 49-9071.00 - Maintenance and Repair Workers, General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Post-employment random drug testing &amp; background checks may be required, at no cost to the worker. The job requires the applicant to be qualified, ready, willing, able, &amp; available to perform during the entire employment at the designated worksite; to enter into &amp; comply with employment contract; to follow workplace rules. Number of Hours Per Week: 35 Work Schedule (Start/End time): 8:00 A.M. - 4:00 P.M.</t>
  </si>
  <si>
    <t>H-400-26184-078202</t>
  </si>
  <si>
    <t>M&amp;H Concrete LLC</t>
  </si>
  <si>
    <t>mondragong@mhconcretellc.com</t>
  </si>
  <si>
    <t>+12083647781</t>
  </si>
  <si>
    <t>***RFI response*** Workers will perform physical labor and assist senior workers to: (1) create and brace concrete forms of up to 30” using new and reclaimed 2x4s, 2x6s, and 4x8 and/or 4x16 plywood, using motorized tools such as Milwaukee nail guns, Husky air hammers, Stark earth tampers, DeWalt compound miter saws (2) excavate and trench using a walk-behind 2022 C30X Ditch Witch at 31 HP weighing about 2200 lbs., and/or a 2020 Bobcat Skid Steer at 66 HP weighing about 7500 lbs. (3) use non-motorized tools such as shovels, rakes, hammers, saws, wheelbarrows to clean and prepare sites, remove rubble and debris, and if necessary snow and ice. ***Original*** DUTIES: workers will perform physical labor tasks and assist senior workers in cleaning and preparing job sites, removing rubble, debris, and other waste materials, building concrete forms, backfilling excavations up to 30”, and if necessary removing ice and snow. Tools used under supervision: include shovels, rakes, hammers, saws, wheelbarrows, and motorized machinery including bulldozers, Ditch Witches and Skid Steers. Job Classification: 47-2031.00 - Carpenters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Must be able to lift up to 75 pounds, and stand or bend for all or most of work shift. Number of Hours Per Week: 40 Work Schedule (Start/End time): 7:00 A.M. - 4:30 P.M.</t>
  </si>
  <si>
    <t>H-400-26184-078144</t>
  </si>
  <si>
    <t>Housekeepers who will be responsible for cleaning and maintaining all rooms, suites, and indoor common areas at Cabbage Key and Tarpon Lodge's properties, which includes staff housing. Duties include, but are not limited to: vacuuming floors, dusting, laundering and replenishing linens and towels, disinfecting bathrooms, and washing windows. Job Classification: 37-2012.00 - Maids and Housekeeping Cleaners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Ability to speak &amp; read English, lift and carry 40lbs, and be standing or walking 8 hours per day. Applicant must complete pre-employment background check. On-the-Job Training provided. Will Train. Days and Shifts: Monday - Sunday; shifts available 7 days a week. Work hours from: 10:00am to 6:00pm; 8:00am to 4:00pm; 4:00pm to 12:00am, shift hours may vary based on the time of the season, daylight, and need. Hourly Wage: $16.09 to $20.00 based on merit and past experience with our company. Overtime Possible: Overtime may be available at $24.14 to $30.00 per hour. Occasional Bonus for group events may be available as deemed appropriate by the department manager. Fringe Benefits: Tarpon Lodge: 20% discount on food &amp; beverage; 25% in the gift shop. Cabbage Key: 25% discount on food, beverage &amp; gift shop purchases. Number of Hours Per Week: 35 Work Schedule (Start/End time): 8:00 A.M. - 4:00 A.M.</t>
  </si>
  <si>
    <t>H-400-26184-078164</t>
  </si>
  <si>
    <t>Line Cooks who will be responsible for preparing, seasoning, and cooking soups, meats, vegetables, desserts, and other food items in a restaurant. Line cooks report directly to the executive chef at Cabbage Key and Tarpon Lodge. Job Classification: 35-2014.00 - Cooks, Restaurant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12 Special Requirements: Ability to speak &amp; read English. Applicant must complete pre-employment background check. On-the-Job Training provided. Will Train. Days and Shifts: Monday - Sunday; shifts available 7 days a week. Work hours from: 10:00am to 6:00pm; 8:00am to 4:00pm; 4:00pm to 12:00am, shift hours may vary based on the time of the season, daylight, and need. Hourly Wage: $17.88 - $27.00 based on merit and past experience with our company. Overtime Possible: Overtime may be available at $26.82 - $40.50 per hour. Occasional Bonus for group events may be available as deemed appropriate by the department manager. Fringe Benefits: Tarpon Lodge: 20% discount on food &amp; beverage; 25% in the gift shop. Cabbage Key: 25% discount on food, beverage &amp; gift shop purchases. Number of Hours Per Week: 35 Work Schedule (Start/End time): 8:00 A.M. - 4:00 P.M.</t>
  </si>
  <si>
    <t>H-400-26184-078199</t>
  </si>
  <si>
    <t>Retail Attendant</t>
  </si>
  <si>
    <t>Assist customers with purchases, answering questions, processing payments and maintaining a clean and organized store environment, while also promoting sales and ensuring a positive customer experience. Job Classification: 41-2031.00 - Retail Salespersons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12 Special Requirements: Ability to speak &amp; read English. Applicant must complete pre-employment background check. On-the-Job Training provided. Will Train. Days and Shifts: Monday - Sunday; shifts available 7 days a week. Work hours from: 10:00am to 6:00pm; 8:00am to 4:00pm; 4:00pm to 12:00am, shift hours may vary based on the time of the season, daylight, and need. Hourly Wage: $16.92 - $22.00 based on merit and past experience with our company. Overtime Possible: Overtime may be available at $25.38 - $33.00 per hour. Occasional Bonus for group events may be available as deemed appropriate by the department manager. Fringe Benefits: Tarpon Lodge: 20% discount on food &amp; beverage; 25% in the gift shop. Cabbage Key: 25% discount on food, beverage &amp; gift shop purchases. Number of Hours Per Week: 35 Work Schedule (Start/End time): 8:00 A.M. - 4:00 P.M.</t>
  </si>
  <si>
    <t>H-400-26184-078170</t>
  </si>
  <si>
    <t>RENTERIA BROTHER'S CLEANING SERVICE, LLC</t>
  </si>
  <si>
    <t>ERICKA  LOPEZ</t>
  </si>
  <si>
    <t>+12102687728</t>
  </si>
  <si>
    <t>Helpers Installation, Maintenance, and Repair Workers</t>
  </si>
  <si>
    <t>Help workers to assemble or repair oil field equipment using hand and power tools. Help workers setting and welding pipe installation, drilling holes in the ground to prepare for construction. Cleaning work area and equipment, and help with maintenance of the area around the oil field. Job Classification: 49-9098.00 - Helpers--Installation, Maintenance, and Repair Workers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"1 hr Lunch Break" Number of Hours Per Week: 40 Work Schedule (Start/End time): 8:00 A.M. - 5:00 P.M.</t>
  </si>
  <si>
    <t>H-400-26184-078149</t>
  </si>
  <si>
    <t>Rocco Mangel</t>
  </si>
  <si>
    <t>31/08/2028</t>
  </si>
  <si>
    <t>roccomangel@gmail.com</t>
  </si>
  <si>
    <t>+15616591940</t>
  </si>
  <si>
    <t>Prepare, serve, and feed nutritionally balanced snacks and meals for children. Dress children or assist them with dressing. Engage children in age-appropriate activities such as reading, sports, arts and crafts, and outdoor play to promote their physical and intellectual development. Collaborate with parents to implement discipline programs that encourage desirable behavior. Help with homework and school assignments to support their learning. Instruct and assist children in developing healthy personal habits, such as eating and personal hygiene. Model appropriate social behaviors and foster empathy to support the development of interpersonal and communication skills. Supervise age-appropriate chores and positively reinforce target behaviors to build self-control, self-confidence, and a sense of responsibility. Remove potential hazards and establish appropriate boundaries and household rules to ensure a safe environment. Administer first aid when necessary. Observe children's behavior for signs of illness or irregularities, take temperatures, and administer medication as directed to support their health and wellbeing. Perform housekeeping and cleaning tasks related to the children's care. Encourage good behavior while playing with household pets and involving the children in pet-related activities. Transport children to activities, social outings, and medical appointments. Shop for groceries, clothing, and other items needed for the children’s care. All duties will be performed within a private household setting, with errands and outings in or within regular commuting distance of the same Metropolitan Statistical Area as the worksite. Medications administered are limited to pediatric over-the-counter and physician-prescribed oral and topical medications in the form of liquids, tablets, pills, and topical creams or ointments. Worker measures liquid doses; assists child in taking medication orally; applies topical medications to the skin; records and reports doses to parents; and stores medication safely, according to parent or physician instructions regarding medication type, modality, dosage, and schedule. Worker does not select medications, determine dosages, or administer injections. Job Classification: 39-9011.01 - Nannies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12 Special Requirements: No education required. Minimum of 12 months of experience as a nanny or childcare worker. Must be able to lift and carry weight sufficient to move equipment and material necessary to complete assigned tasks. Ability to stand throughout the shifts. Ability to physically engage in sports and active play with children. Use of kitchen appliances, laundry machines, and the household automobile. Possession of or eligibility for Florida drivers license. 40 hours per week, 6 days per week. Schedule may vary and can include evenings, weekends, or holidays, as needed. Employer will rely on workers own representations and observations of worker to assess if worker meets the lifting, standing, and other physical ability requirements stated herein. Number of Hours Per Week: 40 Work Schedule (Start/End time): 9:00 A.M. - 4:00 P.M.</t>
  </si>
  <si>
    <t>H-400-26184-078158</t>
  </si>
  <si>
    <t>Rodriguez the Best in Landscaping, Inc .</t>
  </si>
  <si>
    <t>rodriguezthebestinlandscaping@gmail.com</t>
  </si>
  <si>
    <t>+14402960121</t>
  </si>
  <si>
    <t>H-400-26184-078152</t>
  </si>
  <si>
    <t>Roy Jorgensen Associates, Inc.</t>
  </si>
  <si>
    <t>fabi_cantu@royjorgensen.com</t>
  </si>
  <si>
    <t>+17205232580</t>
  </si>
  <si>
    <t>Highway Maintenance Technician</t>
  </si>
  <si>
    <t>Highway Maintenance Technicians will perform roadway and right-of-way maintenance duties along highways, frontage roads, and public rights-of-way to maintain safe, functional, and well-maintained transportation corridors across municipal and rural areas. This is a hands-on role focused on preserving the safety, accessibility, and functionality of state and county highway infrastructure and roadside assets. Primary responsibilities include mowing grass, trimming and edging vegetation, clearing brush, removing invasive vegetation, and performing vegetation control along roadways and rights-of-way to maintain visibility, safe roadway conditions, and unobstructed access to highway infrastructure such as guardrails, signage, lighting, and drainage structures. Workers may perform wand mowing and brush clearing along highways and frontage roads as part of routine right-of-way maintenance. Workers may also haul and spread materials such as gravel, clay, and asphalt to repair road shoulders and fill washouts, and may perform minor asphalt patching using pneumatic tampers or other hand tools. During the winter season, Highway Maintenance Technicians will perform snow and ice removal activities to maintain safe travel conditions along roadways, shoulders, sidewalks, and other assigned areas. Duties include operating snow blowers, shoveling snow, clearing ice accumulation, and applying salt or sand to improve traction and ensure safe conditions. Workers will stage, monitor, and replenish inventories of de-icing materials and may assist with installing or repairing snow fences. Workers may also load and unload materials and equipment as needed and assist with roadway maintenance operations including brush clearing, debris removal, and right-of-way upkeep along highways and frontage roads. Highway Maintenance Technicians will operate a variety of hand and power tools, including shovels, rakes, pruning saws, chainsaws, hedge trimmers, pole saws, sod cutters, and string trimmers. Workers will also operate powered maintenance equipment such as commercial mowers, blowers, twin-axle vehicles, tractors, and other equipment used for roadside and highway maintenance. Workers may operate equipment used for sweeping paved surfaces and are expected to conduct preventative maintenance on vehicles and heavy equipment, monitor storm drains and culverts, and maintain equipment as required. Duties also include digging, tamping, removing litter and debris from assigned work zones, and maintaining roadside areas in accordance with project specifications, including cleanup of roadside areas when necessary. Workers will perform roadway maintenance duties such as patching eroded pavement and assisting with the installation or repair of roadside infrastructure including guardrails, shoulders, berms, lighting, highway markers, and warning signals by loading and unloading materials and tools, shoveling, digging, staging materials, and cleaning work areas. Regular maintenance of drainage systems is required, including clearing culverts, ditches, catch basins, and inlets to prevent blockages and ensure proper water flow. Additional responsibilities may include placing safety cones or signage around work areas and flagging motorists when necessary to ensure safe working conditions. Workers may perform routine preventative maintenance on maintenance tools, equipment, and work vehicles and may assist with spreading gravel or similar materials used in roadway and roadside maintenance activities. Job Classification: 47-4051.00 - Highway Maintenance Workers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3 months of experience in outdoor manual labor, such as highway maintenance, landscaping, groundskeeping, or general construction. Workers must be physically capable of working outdoors in varying weather conditions and flexible shifts. The role requires safe and effective use of tools, machinery, and vehicles, and a strong attention to detail and ability to work as part of a team. Number of Hours Per Week: 40 Work Schedule (Start/End time): 7:30 A.M. - 4:00 P.M.</t>
  </si>
  <si>
    <t>H-400-26184-078142</t>
  </si>
  <si>
    <t>H-400-26184-078195</t>
  </si>
  <si>
    <t>Construction Trades Helper</t>
  </si>
  <si>
    <t>With the use of using grates, shovels, and hand tools, the worker will be assisting our Foreman and crew in carrying out some of the following tasks: Concrete repairs, grinding and polishing, joint filling and joint sealants, joint stabilization, floor cleaning and scrubbing, facility concrete maintenance plans, liquid densifiers and sealing, full removal and slab replacements, upfit projects, concrete saw cutting and coring. Move materials and tools as directed by the Foreman. Help the foreman and crew keep the jobsite and shop clean and safe. Workers will assist in performing concrete repairs by identifying cracked, spalled, or deteriorated concrete surfaces; removing damaged material using chipping hammers, grinders, and scarifiers; cleaning repair areas; and assisting with the application of repair mortars, epoxies, and cementitious patching compounds using trowels and floats. Workers will assist in grinding and polishing, and will assist in grinding and polishing concrete surfaces using walk-behind floor grinders equipped with diamond tooling to flatten, level, and refine concrete surfaces. Grits are progressed from coarse to fine. Workers apply hardeners between passes and use wet/dry vacuums for dust control. Workers will assist in joint filling and joint sealants by cleaning, routing and preparing control and expansion joints using joint saws and routers and help install polyurea, polyurethane, or epoxy sealants using caulking guns to prevent infiltration of incompressible debris. Workers will assist in joint stabilization by preparing deteriorated joints and cracks for treatment and supporting the injection of low-viscosity epoxy or polyurethane resins using injection ports, pumps, and grinders to restore load transfer, and will assist in floor cleaning and scrubbing using auto-scrubbers, floor sweepers, and pressure washers to remove dirt, coatings, and contaminants from concrete surfaces prior to treatment. Cleaning agents and degreasers will be applied manually or through machine dispensing systems. Workers will assist with facility concrete maintenance plans by helping inspect concrete floors and documenting surface conditions such as cracking, joint failures, and coating wear, and in the application of liquid densifiers and sealing. Including the application of lithium, sodium, or potassium silicate densifiers to concrete using pump sprayers or microfiber applicators. After curing, penetrating or topical sealers will be applied to protect against moisture, chemicals, and abrasion. For full removal and slab replacements workers will assist crew with the use of concrete saws, jackhammers, and skid steers to demolish and remove deteriorated slabs. Workers will help grade the sub-base, set forms, place and vibrate fresh concrete, and finish surfaces with screeds, bull floats, and trowels. Workers will assist with upfit projects and concrete related improvements during tenant or facility build-outs, including saw cutting for utility trenches, patching openings, grinding transitions, and applying surface treatments to match existing floors. Workers will use saws, grinders, trowels, and mixing equipment. Workers will assist in concrete saw cutting and coring with the operation of walk-behind and hand-held concrete saws with diamond blades to cut control joints, expansion joints, and utility trenches. Workers will assist with core drilling machines with diamond core bits are used to create openings for plumbing, electrical, and mechanical penetrations and then patching as required. Workers will assist with moving of materials and tools by loading, unloading, and transport equipment, materials and debris. Materials handled include bags of concrete, drums of sealer and diamond tooling. Workers will use hand trucks, pallet jacks, and forklifts. Workers will also assist with establishing job site safety barriers, maintaining clean and organized work area. Job Classification: 47-2051.00 - Cement Masons and Concrete Finishers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Must be able to work in outside conditions, must be able to lift heavy bags of concrete weighing up to 75lbs, must be able to pass preemployment drug test, must be able to pass random employment drug test, must be able to remain standing for long periods of time, and must be able to work efficiently with hands using several tools. Each applicant (U.S. and H-2B workers alike) must complete the Employers standard online employment application as part of the hiring process. The application is uniformly required of all candidates and does not impose additional or different requirements on U.S. workers. The workers will be subject to drug testing upon reasonable suspicion, paid by the employer and applied equally to all workers, U.S. and foreign/H-2B. Number of Hours Per Week: 40 Work Schedule (Start/End time): 6:00 A.M. - 4:00 P.M.</t>
  </si>
  <si>
    <t>H-400-26184-077534</t>
  </si>
  <si>
    <t>SO Legacy Oysters, LLC</t>
  </si>
  <si>
    <t>https://www.facebook.com/p/Brandons-Quality-Oysters-61551444321554/</t>
  </si>
  <si>
    <t>Perform manual labor associated with commercial oyster harvesting and aquaculture operations. Harvest oysters from public waters and privately leased grounds using hand tools and equipment. Cull oysters to meet legal size requirements; sort and grade oysters by size and quality; clean oysters by removing mud, shells, and marine growth; and transplant oysters onto designated lease areas or bedding sites to promote growth and production. Load, unload, and handle materials and equipment, including oyster sacks, baskets, cages, dredges, and other gear. Stack, move, and secure harvested product and supplies. Handle lines and assist with vessel docking, anchoring, and navigation-related tasks as directed. Wash down decks, holds, and equipment to maintain sanitary and safe working conditions. Perform maintenance of privately leased oyster grounds, including driving and installing cane poles or markers, placing and distributing cultch (such as oyster shell or crushed concrete) to promote oyster set, repositioning materials, and assisting with bedding operations. Conduct routine inspections of lease areas to monitor oyster growth, condition, and environmental factors, and report any issues. Perform routine, incidental maintenance and upkeep of vessels, docks, and equipment, including cleaning, scraping, painting, and replacing worn lines or materials. Perform minor, non-mechanical tasks to maintain work areas, tools, and equipment in proper working condition. Follow all applicable safety procedures and federal and state regulations related to oyster harvesting operations. Maintain a clean, safe, and organized work environment. Work is performed outdoors in varying weather conditions and may require prolonged standing, bending, lifting, and carrying heavy loads. Wage: Basic wage rate is $25.79/hr. An overtime premium at the rate of, $38.69/hr., will be paid when required by Federal, State, or local law, including at time-and-a-half after 40 hours in a work week. The employer may offer raises/bonuses to temporary employees hired under this job order, at the company's sole discretion, based on individual factors such as performance, skill, and job tenure. Wages will be calculated based on a single workweek. Employees will be paid biweekly. Schedule: Shifts may vary, but an average scheduled workday can be from 7AM to 3PM, Mon-Fri. May be required to work extended hours and weekends as needed. The expected work schedule is approximately 35 hours per week. The employer may offer more hours than specified, depending on company needs, and other conditions. On-the-job training is available. The employer will provide daily transportation to and from the work site at no cost to the worker. Use of transportation is voluntary. Employer provides daily transportation between work sites. Job Classification: 45-3031.00 - Fishing and Hunting Workers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Worker must not have seafood allergies; exposure to oysters and shellfish is constant and may be lifethreatening for individuals with allergies. Worker must be able to work in wet, cold, and marine environments and must not have medical conditions that would be aggravated by prolonged exposure to seafood, saltwater, or vessel motion. The employer will provide daily transportation to and from the work site at no cost to the worker. Use of transportation is voluntary. Employer provides daily transportation between work sites. Number of Hours Per Week: 35 Work Schedule (Start/End time): 7:00 A.M. - 3:00 P.M.</t>
  </si>
  <si>
    <t>H-400-26184-078178</t>
  </si>
  <si>
    <t>Sails Restaurant, LLC</t>
  </si>
  <si>
    <t>guestservice@sailsrestaurants.com</t>
  </si>
  <si>
    <t>+12393602000</t>
  </si>
  <si>
    <t>Dining Room Attendants will be responsible for polishing glasses, polishing silverware and plates, polishing brass and copper, setting up and breaking down restaurant (moving tables and chairs) cleaning of dining room, bar, and patio, checking and maintaining restrooms during service, cutting and serving bread, running food and drinks, helping mix and serve simple non-crafted beverages per company recipes during service, operating, and cleaning coffee station, restocking and maintaining coffee station, receiving, maintaining, ironing and folding linens, greeting and seating guests, resetting tables, filling water pitchers and marking trays, receiving and restocking dry goods and wines, maintaining and organizing storage rooms and par levels, and following Sails Restaurants' Steps of Service SOP. Job Classification: 35-9011.00 - Dining Room and Cafeteria Attendants and Bartender Helpers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Days and shift schedule may vary. Holidays, weekends, and evenings required as needed. Employer reserves the right to increase wage, rate, or bonus to any worker based on skill, tenure, performance, or experience. Workers must be at least 18 years of age. The Petitioner will consider for employment any applicant who possesses at least three (3) months of experience in a fine-dining or high-volume environment at a high-end restaurant, resort, or private club. Applicant must complete pre-employment background check and drug screening at the employer's expense. Applicant will also be required to complete paid on the job training and testing as well as following the Sails Restaurants detailed steps of service. Please note that while materials are available online for training, reviewing these training materials is not mandatory outside of work hours as on-the-job training is provided. Increases in the hourly rate beyond the guaranteed minimum rate are directly correlated to Petitioners Points Advancement Policy whereas points are determined by correct communication, skill, and knowledge. A series of sixteen (16) extensive practical and written tests taken in English, will be testing product and service knowledge as well as speed of service. These tests are available to take over the duration of your employment. Overtime Exemption ***** continued from F.b.9. Tipped position with a guaranteed wage: $16.35 per hour, paid bi-weekly. If the Dining Room Attendant workers will be compensated through service charges, the Employer has classified this position as exempt from the overtime requirements of the Fair Labor Standards Act(FLSA) under its Section 207(i) overtime exemption. This means Dining Room Attendant workers under this application are not eligible for overtime compensation for every hour worked over 40 in a work week so long as: (1) the regular rate of pay exceeds one and a half times the federal minimum wage for every hour worked in a workweek in which overtime hours are worked; and (2)during a three-month representative period, at least half of the total earnings consist of service charges. This exemption will remain in effect so long as the Dining Room Attendant workers continue to work in the position and continue to be compensated through service charges. If either of the above requirements is not met, the Employer will pay overtime for all hours worked over forty (40) in a workweek at a rate of $24.53 per hour. Employer will provide each employee with one (1) uniform jacket at no cost to the employee. Employees are required to report to work wearing clean, serviceable black shoes, black pants, black socks, and a plain white T-shirt. These items are considered standard, everyday clothing and must be provided by the employee and expectation to be 100% compliant with the Company Grooming and Uniform Policy. Workers are required to speak conversational English. Number of Hours Per Week: 40 Work Schedule (Start/End time): 9:00 A.M. - 11:59 P.M.</t>
  </si>
  <si>
    <t>H-400-26184-078179</t>
  </si>
  <si>
    <t>Cooks will be responsible for cooking, baking, grilling, sauteing, and broiling seafood, meat, poultry and vegetables, keeping the kitchen area clean and sanitized, receiving and storing all ingredients daily, preparing all raw ingredients, preparing sauces, breaking down and scaling whole fish. Cooks will also be responsible for preparation of raw bar ice display, caviar presentation, and plating hot and cold food. Job Classification: 35-2014.00 - Cooks, Restaurant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12 Special Requirements: Days and Shifts may vary. Holidays, weekends, and evenings are required as needed. Employer is offering opportunity for up to 15 hours of overtime per week, however this is not guaranteed. Employer reserves the right to increase wage, rate, or bonus to any worker based on skill, tenure, performance, or experience. Workers must be at least 18 years of age. The Petitioner will consider for employment any applicant who possesses twelve (12) months of culinary experience in a fine-dining or high-volume environment at a high-end restaurant, resort, or private club. Applicant must complete pre-employment background check and drug screening at employer's expense. Applicant will also be required to complete paid on the job training. Please note that while materials are available online for training, reviewing these training materials is not mandatory outside of work hours as on-the-job training is provided. Employer will provide each employee with one (1) uniform chef coat and one (1) hat at no cost to the employee. Employees are required to report to work wearing clean, serviceable black shoes, black pants, black socks, and a plain white T-shirt. These items are considered standard, everyday clothing and must be provided by the employee and expectation to be 100% compliant with the Company Grooming and Uniform Policy. Workers are required to speak conversational English. Number of Hours Per Week: 40 Work Schedule (Start/End time): 9:00 A.M. - 11:59 P.M.</t>
  </si>
  <si>
    <t>H-400-26184-078188</t>
  </si>
  <si>
    <t>Will be responsible for taking food and beverage orders throughout the dining room and bar and accurately entering in Point-of-Sale system (once all training and tests are successfully completed), greeting and seating guests, serving bread tableside, running food and drinks, filling water pitchers, making coffee/tea and serving wine, mixing and serving both alcoholic and nonalcoholic beverages per company recipes during service, drink and garnish recipe creation and development, setting up and closing entire restaurant, keeping all work areas clean and sanitized before, during and after service, deep cleaning, restocking, and maintaining bar and coffee station, including floors, moving and setting tables, clearing, marking, and resetting bar and tables, and polishing silverware, glasses, plates and brass trays, washing glassware and bar equipment, receiving and restocking dry goods, wine, beer, and liquor, maintaining and organizing storage rooms, and par levels, updating guest food and beverage preferences in digital guest platform, balance cash receipts, slice, juice, and pit fruit for garnishing drinks. They will also be responsible for following Sails Restaurants’ steps of service. Job Classification: 35-3011.00 - Bartenders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6 Special Requirements: Days and shift schedule may vary. Holidays, weekends, and evenings required as needed. Employer reserves the right to increase wage, rate, or bonus to any worker based on skill, tenure, performance, or experience. Workers must be at least 18 years of age. The Petitioner will consider for employment any applicant who possesses at least six (6) months of culinary experience in a fine- dining or high-volume environment at a high-end restaurant, resort, or private club. Applicant must complete pre-employment background check and drug screening at the employer's expense. Applicant will also be required to complete paid on the job training and testing as well as following the Sails Restaurants detailed steps of service. Please note that while materials are available online for training, reviewing these training materials is not mandatory outside of work hours as on-the-job training is provided. Increases in the hourly rate beyond the guaranteed minimum rate are directly correlated to Petitioners Points Advancement Policy whereas points are determined by correct communication, skill, and knowledge. A series of sixteen (16) extensive practical and written tests taken in English, will be testing product and service knowledge as well as speed of service. These tests are available to take over the duration of your employment. Overtime Exemption: ***** continued from F.b.9. Tipped position with a guaranteed wage: $21.48 per hour, paid bi-weekly. If the Bartender workers will be compensated through service charges, the Employer has classified this position as exempt from the overtime requirements of the Fair Labor Standards Act (FLSA) under its Section 207(i) overtime exemption. This means Bartender workers under this application are not eligible for overtime compensation for every hour worked over 40 in a work week so long as: (1) the regular rate of pay exceeds one and a half times the federal minimum wage for every hour worked in a workweek in which overtime hours are worked; and (2) during a three-month representative period, at least half of the total earnings consist of service charges. This exemption will remain in effect so long as the Bartender workers continue to work in the position and continue to be compensated through service charges. If either of the above requirements is not met, the Employer will pay overtime for all hours worked over forty (40) in a workweek at a rate of $32.22 per hour. Employer will provide each employee with one (1) uniform jacket at no cost to the employee. Employees are required to report to work wearing clean, serviceable black shoes, black pants, black socks, and a plain white T-shirt. These items are considered standard, everyday clothing and must be provided by the employee and expectation to be 100% compliant with the Company Grooming and Uniform Policy. Workers are required to speak conversational English. Number of Hours Per Week: 40 Work Schedule (Start/End time): 9:00 A.M. - 11:59 P.M.</t>
  </si>
  <si>
    <t>H-400-26184-078180</t>
  </si>
  <si>
    <t>Sous Chefs are responsible for monitoring sanitation and food safety practices to ensure that all employees follow strict company standards and government regulations, checking the quality of raw and cooked food products daily to ensure that the highest standards are met, determining production schedules and staffing requirements necessary to ensure timely delivery of services and optimal labor cost, ordering and receiving produce and kitchen items, receiving and checking quantity and quality of all received products including dry goods, setting accurate par levels and adjust based on levels of business, taking daily, weekly, and monthly inventories, training new employees, executing seamlessly all stations in the kitchen during service as well as preparations of sauces and proteins, and assisting the Executive Chef in hiring, interviewing, supervising, and coordinating activities of Cooks or other workers engaged in food preparation, stewarding and receiving, opening and/or closing of the entire restaurant including checking opening and or closing side works, uniform checks, writing opening and closing report and documenting any violations of the company's standard operating procedures. Job Classification: 35-1011.00 - Chefs and Head Cooks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36 Special Requirements: Days and shift schedules may vary. Holidays, weekends, and evenings required as needed. Employer is offering opportunity for up to 15 hours of overtime per week, however this is not guaranteed. Employer reserves the right to increase wage, rate, or bonus to any worker based on skill, tenure, performance, or experience. Workers must be at least 18 years of age. The Petitioner will consider for employment any applicant who possesses at least thirty-six (36) months of culinary experience in a fine-dining environment at a high-end or high-volume restaurant, resort, or private club. Applicant must complete pre-employment background check and drug screening at employer's expense. Applicant will also be required to complete paid on the job training. Please note that while materials are available online for training, reviewing these training materials is not mandatory outside of work hours as on-the-job training is provided. Employer will provide each employee with one (1) uniform chef coat and one (1) hat for Sous Chef and Cook at no cost to the employee. Employees are required to report to work wearing clean, serviceable black shoes, black pants, black socks, and a plain white T-shirt. These items are considered standard, everyday clothing and must be provided by the employee and expectation to be 100% compliant with the Company Grooming and Uniform Policy. Workers are required to speak conversational English. Number of Hours Per Week: 40 Work Schedule (Start/End time): 9:00 A.M. - 11:59 P.M.</t>
  </si>
  <si>
    <t>H-400-26184-078186</t>
  </si>
  <si>
    <t>Restaurant Manager</t>
  </si>
  <si>
    <t>Restaurant Managers will be responsible for ensuring that the company is in compliance with government agencies regarding sanitation and handling of food and beverage products including keeping all accurate records required, investigating, resolving, and improving processes and Standards of Practice (SOP) in the case of any complaints regarding food quality or service, actively conducting food and equipment's inventories, and keeping detailed inventory records in Craftable and manual spreadsheets, monitoring food preparation methods, portion sizes, garnishing and presentation of food to ensure that food is prepared and presented in an acceptable manner, purchasing, scheduling, and receiving food and beverage deliveries, checking delivery contents to verify product quality and quantity, conducting meetings and supervisory activities (i.e. creating work schedules), hiring and interviewing, observing and evaluating workers and work procedures to ensure quality standard sand service, and collaborating with other Restaurant personnel for menu planning, serving arrangements, event planning and related details, opening and/or closing of the entire restaurant including checking opening and/or closing side works, uniform checks, writing opening and closing reports, and documenting any violations of company SOP execute all positions in the front-of-the-house during service including maître d', captain of station, all bar positions, expo and ability to take reservations where needed. Job Classification: 11-9051.00 - Food Service Managers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12 Special Requirements: Days and shift schedule may vary. Holidays, weekends, and evenings are required as needed. Employer is offering opportunity for up to 15 hours of overtime per week, however this is not guaranteed Employer reserves the right to increase wage, rate, or bonus to any worker based on skill, tenure, performance, or experience. Workers must be at least 18 years of age. The Petitioner will consider for employment any applicant who possesses at least twelve (12) months of experience in a fine-dining environment at a high-end or high volume restaurant, resort, or private club. Applicant must complete pre-employment background check and drug screening at employer's expense. Applicant will also be required to complete paid on the job training and testing as well as following the Sails Restaurants detailed steps of service. Please note that while materials are available online for training, reviewing these training materials is not mandatory outside of work hours as on-the-job training is provided. A series of sixteen (16) extensive practical and written tests taken in English, will be testing product and service knowledge as well as speed of service. These tests are available to take over the duration of your employment. Must comply with the company uniform and grooming policy. Workers are required to speak conversational English. Number of Hours Per Week: 40 Work Schedule (Start/End time): 9:00 A.M. - 11:59 P.M.</t>
  </si>
  <si>
    <t>H-400-26184-078189</t>
  </si>
  <si>
    <t>Sails Restaurants, LLC</t>
  </si>
  <si>
    <t>Servers will be responsible for taking food and beverage orders throughout the dining room and bar and accurately entering in Point-of-Sale system (once all training and tests are successfully completed), serving bread tableside, running food and drinks, expediting food, making coffee/tea and pouring wine, setting up and closing restaurant for service, keeping all work areas clean and sanitized before, during, and after service, restocking stations, moving and setting tables, ironing linens, clearing, marking and resetting tables, and polishing silverware, glasses, plates, and brass trays. Workers will be responsible for following Sails Restaurants' steps of service. Job Classification: 35-3031.00 - Waiters and Waitresses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6 Special Requirements: Days and shift schedule may vary. Holidays, weekends, and evenings required as needed. Employer reserves the right to increase wage, rate, or bonus to any worker based on skill, tenure, performance, or experience. Workers must be at least 18 years of age. The Petitioner will consider for employment any applicant who possesses at least six (6) months of culinary experience in a fine- dining or high-volume environment at a high-end restaurant, resort, or private club. Applicant must complete pre-employment background check and drug screening at the employer's expense. Applicant will also be required to complete paid on the job training and testing as well as following the Sails Restaurants detailed steps of service. Please note that while materials are available online for training, reviewing these training materials is not mandatory outside of work hours as on-the-job training is provided. Increases in the hourly rate beyond the guaranteed minimum rate are directly correlated to Petitioners Points Advancement Policy whereas points are determined by correct communication, skill, and knowledge. A series of sixteen (16) extensive practical and written tests taken in English, will be testing product and service knowledge as well as speed of service. These tests are available to take over the duration of your employment. Overtime Exemption: ***** continued from F.b.9. Tipped position with a guaranteed wage: $20.13 per hour, paid bi-weekly. If the Server workers will be compensated through service charges, the Employer has classified this position as exempt from the overtime requirements of the Fair Labor Standards Act (FLSA) under its Section 207(i) overtime exemption. This means Server workers under this application are not eligible for overtime compensation for every hour worked over 40 in a work week so long as: (1) the regular rate of pay exceeds one and a half times the federal minimum wage for every hour worked in a workweek in which overtime hours are worked; and (2) during a three-month representative period, at least half of the total earnings consist of service charges. This exemption will remain in effect so long as the Server workers continue to work in the position and continue to be compensated through service charges. If either of the above requirements is not met, the Employer will pay overtime for all hours worked over forty (40) in a workweek at a rate of $30.20 per hour. Employer will provide each employee with one (1) uniform jacket at no cost to the employee. Employees are required to report to work wearing clean, serviceable black shoes, black pants, black socks, and a plain white T-shirt. These items are considered standard, everyday clothing and must be provided by the employee and expectation to be 100% compliant with the Company Grooming and Uniform Policy. Workers are required to speak conversational English. Number of Hours Per Week: 40 Work Schedule (Start/End time): 9:00 A.M. - 11:59 P.M.</t>
  </si>
  <si>
    <t>H-400-26184-078150</t>
  </si>
  <si>
    <t>Signor Vineyards, LLC</t>
  </si>
  <si>
    <t>johnnie@hsbs.us</t>
  </si>
  <si>
    <t>+15125671314</t>
  </si>
  <si>
    <t>Dining Attendant</t>
  </si>
  <si>
    <t>Facilitate food and beverage service in tasting rooms, RVs, bars, and outdoor tasting spaces. Set up and put away vineyard equipment such as umbrellas, heaters, and coolers for tasting events and classes. Clean tables; remove dirty dishes; replace soiled table linens; carry soiled linen to or from washing or laundry areas, set tables for new guests; replenish silverware, glassware, and dishes; supply service bar with food; and serve items such as beverages and condiments, to patrons. Prepare charcuterie for tasting events. Keep back-stocked items neat, orderly, properly rotated, and clearly labeled while maintaining floor stock. Clean dining spaces, as needed. Job Classification: 53-7062.00 - Laborers and Freight, Stock, and Material Movers, Hand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Workers must be 21 years of age or older, must be able to lift and carry up to 75 lbs, and must be able to work a 5-day work schedule, including weekends and holidays as required. Number of Hours Per Week: 35 Work Schedule (Start/End time): 10:00 A.M. - 7:00 P.M.</t>
  </si>
  <si>
    <t>H-400-26184-078153</t>
  </si>
  <si>
    <t>Solar Sculpture Inc</t>
  </si>
  <si>
    <t>Ke Ye</t>
  </si>
  <si>
    <t>info@solar-sculpture.com</t>
  </si>
  <si>
    <t>+18189161454</t>
  </si>
  <si>
    <t>Manufacturing Machinery Technician</t>
  </si>
  <si>
    <t>1） Perform maintenance, inspect automated manufacturing equipment, diagnose electrical and mechanical issues, repair equipment failures, and minimize production downtime. (40% of time) 2）Install, test, configure, and adjust production machinery including welding, dispensing, assembly, and sorting equipment used in solar panel manufacturing. (30% of time) 3）Monitor equipment performance, assist with equipment upgrades and process improvements, improve operational efficiency and product quality. (20% of time) 4）Maintain maintenance records and technical documentation, follow workplace safety procedures, and coordinate with production and technical teams. (10% of time) Job Classification: 49-9041.00 - Industrial Machinery Mechanics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18 Number of Hours Per Week: 40 Work Schedule (Start/End time): 9:00 A.M. - 5:00 P.M.</t>
  </si>
  <si>
    <t>H-400-26184-078207</t>
  </si>
  <si>
    <t>Summitt Forests Inc.</t>
  </si>
  <si>
    <t>apps.summittforests@gmail.com</t>
  </si>
  <si>
    <t>+15415358920</t>
  </si>
  <si>
    <t>Duties may include: Raising &amp; Transporting seedlings, sort tree seedlings, discarding substandard seedlings, according to standard charts or verbal instructions. Plant: Seedlings/trees, Spray or inject vegetation with insecticides to kill insects or to protect against disease or with herbicides to reduce competing vegetation, or to enhance growth. Trim trees or other vegetation; cut trees or logs. Pile, chip or lop &amp; Scatter created slash. Maintain equipment to be used in the field. Under the direction of forestry technicians: assist with clearing/disposing of brush, piling and digging line/construction fuel breaks. Incidental driving possible &amp; other related Forestry Worker activities as per SOC/OES 45-4011 (onetonline.org). Standard/Expected Schedule: Monday-Friday 6:00AM-2:30PM.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Optional, shared housing available at no cost to the worker. Job Classification: 45-4011.00 - Forest and Conservation Workers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***MUST HAVE 3 MONTHS BRUSHSAW/CHAINSAW EXPERIENCE. *** Summitt Forests Inc. is an Equal Opportunity Employer (EOE, including disability/vets). Felony convictions related to fraud, theft, or violence are not allowed for this position. We are a Federal Contractor (EOE, including disability/vets); any and all applicants/workers must follow all current laws/regulations/requirements/Emergency Temporary Standards (including OSHA). Safe work boots required, employer will provide via REIMBURSEMENT: each employee is eligible for one (1) pair of safe work boots per calendar year employee may purchase boots of their choice and Summitt Forests Inc. will reimburse up to $350.00 annually (from the date of purchase) upon submission of a verifiable receipt. Must be 18 due to travel. Must show proof of legal authorization to work in the United States. Drug/alcohol/tobacco free work zone. Must walk substantially (up to 15 miles/day), also stoop, bend while carrying a pack (up to 50lbs) thru rough terrain (non-trail). All applicants must be able, willing and qualified to perform work described and must be available for the entire period specified and work throughout all areas of intended employment.Based on Employer's discretion/cost: Worker may have random drug/alcohol testing during employment: positive test/refusal to abide = dismissal. Possible background check post hire at employer's expense.Work is performed outdoors, exposed to weather; must be capable of doing physically strenuous labor for long hours, occasionally in extreme heat or cold. Variable weather conditions apply; hours may fluctuate (+/-), possible downtime and/or overtime. Number of Hours Per Week: 40 Work Schedule (Start/End time): 6:00 A.M. - 2:30 P.M.</t>
  </si>
  <si>
    <t>H-400-26184-078211</t>
  </si>
  <si>
    <t>Telluride Stone Company, Inc.</t>
  </si>
  <si>
    <t>johng@telluridestone.com</t>
  </si>
  <si>
    <t>+19702092008</t>
  </si>
  <si>
    <t>Stone Trimmers and Cutters</t>
  </si>
  <si>
    <t>***RFI Response*** Upon completing the cutting and finishing process, workers load the prepared pallets of finished natural stone products onto delivery trucks using a sit-down forklift equipped with standard pallet forks, as a final step in the production workflow. The materials handled include raw and finished natural stone products packaged on wooden pallets for shipment. ***Original F.a.2*** Cut, shape, and trim raw and finished stone products using hand tools and power tools. Read work orders and use measuring tools to determine dimensions and cutting locations. Sort materials by size, type, or condition. Maintain and sharpen tools. Lift and carry materials, and stack and prepare products for shipping, including loading pallets onto trucks. Job Classification: 53-7051.00 - Industrial Truck and Tractor Operators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None Number of Hours Per Week: 40 Work Schedule (Start/End time): 7:00 A.M. - 3:30 P.M.</t>
  </si>
  <si>
    <t>H-400-26184-078162</t>
  </si>
  <si>
    <t>Traditions of Lee County Inc.</t>
  </si>
  <si>
    <t>southbeachboca@gmail.com</t>
  </si>
  <si>
    <t>+19413584200</t>
  </si>
  <si>
    <t>***RFI Response*** Under the guidance of the Chef, the Kitchen staff will cook pre-packaged or pre-cooked French fries, chicken fingers and chicken wings using a deep fryer or oven. They will also prepare salads according to recipes. These duties are performed in a full service sea food restaurant. ***Original Duties*** This role as kitchen staff includes cleaning and food preparatory tasks. The cleaning tasks include cleaning all shelves, walls and floors in a manner acceptable to the supervisor; collecting used kitchenware from all areas and loading them into the dishwashing machine. Certain items will need to be washed by hand. The dishes and equipment will then need to be store appropriately. This will be very important to keep up with during peak hours in order to ensure that there will be enough dishes at all times. Employees will also be responsible for reporting any equipment issues such as technical/performance issues and removing the garbage regularly. All employee must put deliveries aways. The food preparatory tasks that will be included are as follows: setting up and stocking the preparatory stations with all necessary supplies, preparing food for service, cooking menu items in cooperation with the rest of the kitchen staff, keeping a sanitized and orderly environment, following all standard procedures for recipes and presentation as well as opening and closing duties for the day. Employee must have the ability to follow instructions and help with various tasks. Must have basic understanding of English. Weekends and evenings are required. Job Classification: 35-2014.00 - Cooks, Restaurant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Employee must have the ability to follow instructions and help with various tasks. Must have basic understanding of English. Weekends and evenings are required. Employees will work Mon-Sun an average of 40 hrs/wk. Must be able to work any 8 hr shift between the hours of 9 am to 10 pm any day of the week, days off rotate, shifts vary. Holidays are required. Number of Hours Per Week: 40 Work Schedule (Start/End time): 9:00 A.M. - 10:00 P.M.</t>
  </si>
  <si>
    <t>H-400-26184-078206</t>
  </si>
  <si>
    <t xml:space="preserve">US.TEX FENCE CONSTRUCTION AND RANCH SERVICES LLC </t>
  </si>
  <si>
    <t>+13252629703</t>
  </si>
  <si>
    <t>Fence Erector</t>
  </si>
  <si>
    <t>WILL ERECT AND REPAIR METAL, AND WOODEN FENCES AND FENCE GATES AROUND HIGHWAYS, INDUSTRIAL ESTABLISHMENTS, RESIDENCES USING HAND POWER TOOLS. Job Classification: 47-4031.00 - Fence Erectors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"1hr Lunch Break" Number of Hours Per Week: 40 Work Schedule (Start/End time): 8:00 A.M. - 5:00 P.M.</t>
  </si>
  <si>
    <t>H-400-26184-078148</t>
  </si>
  <si>
    <t>WOOLARD BROTHERS COMMERCIAL CONTRACTING, INC.</t>
  </si>
  <si>
    <t>info@woolardbrothers.com</t>
  </si>
  <si>
    <t>+13342861746</t>
  </si>
  <si>
    <t>Drywall Installers</t>
  </si>
  <si>
    <t>Will install metal studs, drywall, acoustical ceilings, stucco and EIFS to cover walls, ceilings, soffits, shafts and movable partitions in residential, commercial and industrial buildings. Job Classification: 47-2161.00 - Plasterers and Stucco Masons The job/industry classification and description includes general information on the position from ONET/OES and the North American Industry Classification System. Please review Job Duties and Job Order for more information. Job Requirements Experience Required: No Number of Hours Per Week: 40 Work Schedule (Start/End time): 8:00 A.M. - 4:00 P.M.</t>
  </si>
  <si>
    <t>H-400-26184-078155</t>
  </si>
  <si>
    <t>Prepare, cook, saute, broil, fry such items as seafood, meats, poultry, vegetables, pastas, soups. Keeps kitchen areas clean &amp; sanitized. Stores all products in proper locations. (2) workers needed. Dates of need: 10/1/26-5/31/27. 3 months experience necessary. Rotating shifts. Workdays: Mon-Sun. Work hours: 6AM-10PM. Rate of pay: $21-$23/hr based on performance. $31.50-$34.50/hr overtime. Workers paid biweekly. 35 hours/wk. Optional housing provided for $275-$350 /bi-weekly with a $250 refundable deposit upon completing of contract &amp; housing inspection. Uniforms and shift meals provided. Job location: 995 Fish Hook Cove, Bradenton FL 34212 Work is temporary full time employment. A single workweek will be used to compute wages. May get up to 10 hours of overtime when available. All deductions from the worker's paycheck required by law will be made. The employer will provide workers at no charge all tools, supplies, and equipment required to perform the job. The worker will be provided with or reimbursed for transportation and subsistence (including reasonable cost of overnight lodging where necessary up to $110/night for lodging with receipts.) at a rate of $16.78 per day during travel to a maximum of $68.00 per day with receipts from the place from which the worker has come to work for the employer, whether in the U.S. or abroad, to the place of employment, if the worker completes 50 percent of the period of employment covered by the job order, consistent with 20 CFR 655.20(j)(1)(i) by inclusion in the paycheck for the applicable week. Employer will provide or pay for the worker's cost of return transportation and daily subsistence from the place of employment to the place from which the worker, disregarding intervening employment, departed to work for the employer, if the worker completes the certified period of employment or is dismissed from employment for any reason by the employer before the end of the period, consistent with § 655.20(j)(1)(ii); H-2B workers will be reimbursed in the first workweek for all visas, visa processing, border crossing, and other related fees, including those mandated by the government (excluding passport fees). The employer will provide workers all tools, supplies, and equipment required to perform the job at no charge to the worker, in accordance with 20 CFR 655.20(k). Qualified applicants may mail resume to Attn: Armando Monterroso at 995 Fish Hook Cove, Bradenton FL 34212, email to hr@waterlefefl.com, or visit your local job center at 600 8th Ave. West, Suite 100, Palmetto, FL 34221. *Your security deposit is refundable upon completion of your contract and upon inspection of the housing. If a worker abandons their job without permission of the employer or a worker abandons their housing before the end of the petition date for any reason except employer termination, the workers forfeits all housing deposits, PTO, vacation and bonus pay. Upon termination of resignation, the worker must vacate the housing immediately thereafter unless agreed upon by the employer.* Job Classification: 35-2014.00 - Cooks, Restaurant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Number of Hours Per Week: 35 Work Schedule (Start/End time): 6:00 A.M. - 10:00 P.M.</t>
  </si>
  <si>
    <t>H-400-26184-078177</t>
  </si>
  <si>
    <t>Wickenburg Landscape &amp; Irrigation, Inc.</t>
  </si>
  <si>
    <t>Benjamin Wang</t>
  </si>
  <si>
    <t>office@wickenburglandscape.com</t>
  </si>
  <si>
    <t>+19286847165</t>
  </si>
  <si>
    <t>General landscaping and maintenance duties, including: lay sod and plant flower beds with seasonal flowers; Plant shrubs and trees; mow and edge lawns with power mowers or edgers; trim or prune trees, shrubs, standing on the ground only and using shears, prunes, or chain saws; deadhead flowers weekly; install, repair and maintain sprinkler irrigation systems, and water lawns, trees or plants as needed; spray or spread fertilizers, herbicides, or insecticides onto grass, shrubs, or trees, using hand or automatic sprayers or spreaders; install concrete pavers patios and retaining walls by using bricks, natural stones or concrete blocks; and clear and remove yard debris. Job Classification: 37-3011.00 - Landscaping and Groundskeeping Workers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Applicants must be at least 18 years old to travel. Show proof of legal authority to work in the U.S. All applicants must be able, willing, qualified to perform the work described and must be available for the entire period specified. The position requires lifting/carrying items up to 50LBS. Drug/alcohol free work zone. Pre-hire drug/alcohol testing will be conducted at the employers expense. Number of Hours Per Week: 40 Work Schedule (Start/End time): 7:00 A.M. - 3:30 P.M.</t>
  </si>
  <si>
    <t>H-400-26184-078168</t>
  </si>
  <si>
    <t>Wolfoods, Inc.</t>
  </si>
  <si>
    <t>jobs@wolfood.com</t>
  </si>
  <si>
    <t>+12017491359</t>
  </si>
  <si>
    <t>Assist with food preparation as directed, operating food production equipment such as grills, broilers and deep-fat fryers. Prepare foods such as sandwiches, salads, and dressings according to customer specification. Arrange table settings and fold napkins to restaurant standards. Clear, clean, and sanitize tables. Maintain and sanitize workstations. Clean and sanitize dishes, pots, pans, and containers and return to appropriate locations in kitchen. Follow safety and sanitation guidelines and regulations to ensure food quality. Job Classification: 35-2015.00 - Cooks, Short Order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Must lift/carry 50 lbs., when necessary. Saturday and Sunday work required, when necessary. Post-hire background checks may be required of foreign and domestic workers based on contract requirements. Must possess or be able to obtain U.S. driver's license within 60 days of hire. Number of Hours Per Week: 39 Work Schedule (Start/End time): 10:00 A.M. - 5:30 P.M.</t>
  </si>
  <si>
    <t>H-400-26184-078176</t>
  </si>
  <si>
    <t>Food Service Workers</t>
  </si>
  <si>
    <t>Assist with food preparation as directed, operating food production equipment such as grills, broilers and deep-fat fryers. Prepare foods such as sandwiches, salads, and dressings according to customer specification. Arrange table settings and fold napkins to restaurant standards. Clear, clean, and sanitize tables. Maintain and sanitize workstations. Clean and sanitize dishes, pots, pans, and containers and return to appropriate locations in kitchen. Follow saftey and sanitation guidelines and regulations to ensure food quality. Job Classification: 35-2012.00 - Cooks, Institution and Cafeteria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Must lift/carry 25 lbs., when necessary. Must be available to work two shifts. Standard workweek is 4 days per week. Friday, Saturday, and Sunday work required, when necessary. Post-hire upon suspicion of use and post-accident drug testing required of foreign and domestic workers. Post-hire background check required of foreign and domestic workers. Number of Hours Per Week: 39 Work Schedule (Start/End time): 10:30 A.M. - 5:30 P.M.</t>
  </si>
  <si>
    <t>H-400-26184-078276</t>
  </si>
  <si>
    <t>1225Corp LLC</t>
  </si>
  <si>
    <t>Joe Schulz</t>
  </si>
  <si>
    <t>carlosr@1225corp.com</t>
  </si>
  <si>
    <t>+13052970853</t>
  </si>
  <si>
    <t>Groundskeeping Worker</t>
  </si>
  <si>
    <t>Maintain and care for outdoor grounds and common areas during winter months to ensure they remain clean, safe, and accessible. Duties include removing snow and ice from walkways, driveways, and designated areas; applying salt or de-icing materials; clearing debris; and monitoring site conditions for safety hazards. Perform winter cleanup such as removal of fallen branches and general property upkeep. Assist with basic maintenance of tools and equipment used for groundskeeping activities. Use hand tools and basic equipment to complete assigned tasks. Maintain work areas in a neat, orderly, and safe condition. Job Classification: 37-3011.00 - Landscaping and Groundskeeping Workers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3 months of experience or related. Number of Hours Per Week: 40 Work Schedule (Start/End time): 7:00 A.M. - 4:00 P.M.</t>
  </si>
  <si>
    <t>H-400-26184-078264</t>
  </si>
  <si>
    <t>AKEY1 STAFFING LLC</t>
  </si>
  <si>
    <t>akey1staffing@yahoo.com</t>
  </si>
  <si>
    <t>+19545447035</t>
  </si>
  <si>
    <t>Maid and Housekeeping Cleaners</t>
  </si>
  <si>
    <t>The maid and housekeepers will be responsible for cleaning hotels and guest rooms also making beds, replenish linens, cleaning rooms, cleaning halls, setting out towels and toiletries daily. Job Classification: 37-2012.00 - Maids and Housekeeping Cleaners The job/industry classification and description includes general information on the position from ONET/OES and the North American Industry Classification System. Please review Job Duties and Job Order for more information. Job Requirements Experience Required: No Number of Hours Per Week: 36 Work Schedule (Start/End time): 8:30 A.M. - 5:00 P.M.</t>
  </si>
  <si>
    <t>H-400-26184-078225</t>
  </si>
  <si>
    <t>Aiza Logistics Inc (AIZ127)</t>
  </si>
  <si>
    <t>Karen Schindler</t>
  </si>
  <si>
    <t>info_aiza_logistics_aiz127@udwss.com</t>
  </si>
  <si>
    <t>+14752655483</t>
  </si>
  <si>
    <t>Wreath Designers</t>
  </si>
  <si>
    <t>- Standing by table/work station, grab a handful of balsam fir by hand, arrange hand-sized bouquet, clamp to a metal ring by hand. - Trim greenery and arrange wreaths using hand trimmers. Job Classification: 27-1023.00 - Floral Designers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 Must display manual dexterity - Must display attention to detail - Must be willing and able to tolerate cold temperatures. - Must be available entire contract period. - May conduct post-hire, employer-paid drug testing. Special Requirements and Provisions: -Employer may offer a bonus or increased wage depending on experience and merit. -Employer provides optional housing to workers who do not reside within a reasonable commute to primary worksite location. -Piece Rate of $0.75/wreath with a minimum production requirement of 24 wreaths per hour -Employer will pay the highest of the prevailing wage or piece rate throughout the entire period of employment Number of Hours Per Week: 40 Work Schedule (Start/End time): 7:00 A.M. - 4:00 P.M.</t>
  </si>
  <si>
    <t>H-400-26184-078227</t>
  </si>
  <si>
    <t>Amusement Midway Providers Inc (AMU127)</t>
  </si>
  <si>
    <t>info_amusement_midway_amu127@udwss.com</t>
  </si>
  <si>
    <t>+14754471343</t>
  </si>
  <si>
    <t>Carnival Attendants</t>
  </si>
  <si>
    <t>- Perform a variety of duties at a traveling carnival assisting patrons and assisting with game concessions. - Provide information regarding facilities, rules, and attractions. - Direct patrons to rides, games, or attractions. - Monitor patron activities and report safety concerns to supervisors. - Announce or describe attractions to patrons to encourage participation in games. - Assist customers at amusement booths by awarding prizes and explaining game rules. Job Classification: 39-3091.00 - Amusement and Recreation Attendants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 Must be willing and able to travel every 2-3 days. - If staying in employer-provided housing, must be willing and able to tolerate sleeping in trailer bunks reduced to 50 square feet of space per person with minimal cooking facilities. - Must be available entire contract period. - Must be able to lift at least 50 pounds and be able to perform physical labor. - May conduct post-hire, employer-paid drug testing. Special Requirements and Provisions: - Schedule varies (days of the week and shift times). - Additional hours may be offered. May be required to work weekends. - Itinerary starts in Fort Bend County, Texas. - Work will be performed at various locations (see list of all counties included in itinerary for reference). - Periodic daily or weekly travel. - Itinerary subject to change depending on weather and external factors. - Hourly wage is dependent upon location. See Appendix A for details. - Additional hours may be offered above 40; however, employer is exempt from federal overtime pay according to Section 13(a)(3) of the FLSA. Employer will comply with any state or local overtime requirements if warranted. - Employer will pay the highest of all prevailing wages for each worksite location throughout the entire period of employment. - Employer may offer a raise or bonus depending on experience and merit. - Daily transportation provided to all worksite locations along itinerary. - Employer provides optional mobile housing to workers. - Deduction: N/A. Optional housing and transportation provided free of charge. Number of Hours Per Week: 40 Work Schedule (Start/End time): 1:00 P.M. - 10:00 P.M.</t>
  </si>
  <si>
    <t>H-400-26184-078232</t>
  </si>
  <si>
    <t>BEP Lyman LLC</t>
  </si>
  <si>
    <t>bradley_brabec@carpentrycontractors.com</t>
  </si>
  <si>
    <t>+17636584000</t>
  </si>
  <si>
    <t>Winter Carpenter Helper</t>
  </si>
  <si>
    <t>Help carpenters by performing duties requiring less skill, including carrying tools and wood, making simple wood cuts, nailing simple lumber pieces, positioning wood forms, and cleaning up the job site. During winter months, workers may also assist with snow and ice removal from work areas, clear pathways to maintain safe access to job sites, and help prepare and maintain equipment and materials in colder conditions. Job Classification: 47-3012.00 - Helpers--Carpenters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Must be able to lift and carry 75 lbs for 75 Yards. Must be able to pass a pre-employment drug screening. Must be able to handle extreme temperatures. Number of Hours Per Week: 40 Work Schedule (Start/End time): 7:00 A.M. - 4:00 P.M.</t>
  </si>
  <si>
    <t>H-400-26184-078233</t>
  </si>
  <si>
    <t>Be The Light Decor, LLC (BE 127-BCK)</t>
  </si>
  <si>
    <t>info_be_the_light_be127@udwss.com</t>
  </si>
  <si>
    <t>+14752529340</t>
  </si>
  <si>
    <t>Decorative Landscaping Helper</t>
  </si>
  <si>
    <t>May include, but not limited to: - Gather and remove litter. - Use hand tools, such as shovels, rakes, pruning saws, saws, hedge or brush trimmers, or axes. - Operate vehicles or powered equipment, such as mowers, tractors, twin-axle vehicles, snow blowers, chainsaws, electric clippers, sod cutters, or pruning saws. - Water lawns, trees, or plants, using portable sprinkler systems, hoses, or watering cans. - Prune or trim trees, shrubs, or hedges, using shears, pruners, or chain saws. - Care for established lawns by mulching, aerating, weeding, grubbing, removing thatch, or trimming or edging around flower beds, walks, or walls. - Follow planned landscaping designs to determine where to lay sod, sow grass, or plant flowers or foliage. - Trim or pick flowers and clean flower beds.Trim or pick flowers and clean flower beds. - Attach wires from planted trees to support stakes.Attach wires from planted trees to support stakes. - Plant seeds, bulbs, foliage, flowering plants, grass, ground covers, trees, or shrubs, and apply mulch for protection, using gardening tools. - Mow or edge lawns, using power mowers or edgers. - Rake, mulch, and compost leaves. - Decorate gardens with stones or plants. - Adjust irrigation water consumption to prevent waste using hand held battery operated dial. - Maintain/repair irrigation systems made of plastic tubing using hand held tools such as hammer and wrench, winterize systems in late fall and initiate systems in spring by manually programming the dial Job Classification: 37-3011.00 - Landscaping and Groundskeeping Workers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 Must be willing and able to tolerate very hot or very cold temperatures. - Must be willing and able to tolerate loud noises. - Must be available for the entire contract period. - Must be able to lift at least 50 pounds and be able to perform physical labor. - May conduct post-hire, employer-paid drug testing. Special Requirements and Provisions: -Schedule varies (days of the week and shift times). Additional hours may be offered. May be required to work weekends. -Available hours will fluctuate and decrease after the second week in December and increase again on January 1st. -All worksite locations are within driving distance of primary worksite location. Employer will pay the highest of all prevailing wages for all worksite locations throughout the entire period of employment. -Employer may offer a bonus depending on experience and merit. - Employer offers a ride to the primary worksite location to workers living within a reasonable commute. -Daily Transportation is provided to all worksites from primary worksite. -Employer may provide optional housing to workers who do not reside within a reasonable commute to primary worksite location. -Deductions: Employer may provide housing at $400/month if available. Number of Hours Per Week: 40 Work Schedule (Start/End time): 6:00 A.M. - 6:00 P.M.</t>
  </si>
  <si>
    <t>H-400-26184-078292</t>
  </si>
  <si>
    <t>Blaktop, Inc.</t>
  </si>
  <si>
    <t>rtobin@blaktop.com</t>
  </si>
  <si>
    <t>+16032988705</t>
  </si>
  <si>
    <t>Paving Crew Laborer</t>
  </si>
  <si>
    <t>***RFI Response*** The worker will assist the asphalt paving crew by installing hot mix asphalt on roads, parking lots, driveways, and other paved surfaces. Specific duties include transporting hot mix asphalt from delivery trucks to the work area using wheelbarrows; spreading and leveling asphalt with shovels, rakes, and lutes; assisting crew members in maintaining proper asphalt depth and grade; assisting with asphalt compaction by operating hand tamps and supporting crew members operating plate compactors; cleaning excess material from work areas; and assisting crew members with general paving operations. The worker will use hand tools and equipment including shovels, wheelbarrows, rakes, lutes, hand tamps. Materials used include hot mix asphalt and related paving materials. ***Original Duties*** The Paving Crew Laborer will be primarily responsible for shoveling and raking asphalt and general labor related to asphalt construction. Specific duties include: Compliance with safety rules and work in a safe manner. Assist asphalt paving crew in installing hot mix asphalt to the specifications required by the job. Adhere to quality standards. Assist with routine daily maintenance and clean-up. Must be able to lift and carry heavy loads, step up and down, and perform manual labor tasks. Job Classification: 47-2061.00 - Construction Laborers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Must be able to lift and carry heavy loads, step up and down, and perform manual labor tasks. Number of Hours Per Week: 40 Work Schedule (Start/End time): 6:30 A.M. - 5:00 P.M.</t>
  </si>
  <si>
    <t>H-400-26184-078272</t>
  </si>
  <si>
    <t>Blue Dot Management, LLC</t>
  </si>
  <si>
    <t>adriangonzalezfcg@gmail.com</t>
  </si>
  <si>
    <t>+19569666558</t>
  </si>
  <si>
    <t>***RFI Response*** Additional detail regarding assisting skilled trades: Workers will assist skilled trades by cleaning and organizing tools, equipment, materials, and work areas; loading, unloading, carrying, and moving construction materials such as lumber, plywood, concrete forms, pipe, fittings, fasteners, pallets, and other construction supplies; setting up and removing temporary barriers, signage, and site protection materials; assisting with site preparation by clearing debris, removing hazards, organizing materials, and maintaining safe access to work areas; and supporting construction crews with basic labor tasks such as holding, positioning, and staging materials and tools. Workers will use basic hand and power tools including shovels, rakes, brooms, wheelbarrows, hand trucks, dollies, hammers, tape measures, utility knives, drills, and similar tools to perform assigned duties. Workers may assist with loading and unloading materials and performing general cleanup and debris removal to maintain safe and orderly job sites. All duties are performed under direct supervision and are labor-related, requiring no specialized skills, certification, or licensing. ***Original Duties*** Perform general labor tasks at construction sites during winter conditions to support ongoing projects. Duties include site preparation and cleanup, removing debris, loading and unloading materials, and assisting skilled trades as needed. Perform snow and ice removal to maintain safe and accessible work areas, including clearing walkways, work zones, and equipment paths. Use hand and power tools to assist with basic construction, demolition, and material handling tasks. Follow all safety protocols related to cold weather conditions, including proper handling of equipment and materials in freezing temperatures. Maintain a clean, organized, and safe job site at all times. Job Classification: 47-2061.00 - Construction Laborers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3 months of experience or related. Number of Hours Per Week: 40 Work Schedule (Start/End time): 7:00 A.M. - 4:00 P.M.</t>
  </si>
  <si>
    <t>H-400-26184-078230</t>
  </si>
  <si>
    <t>Camacho Evergreen, Inc (CAM127)</t>
  </si>
  <si>
    <t>info_camacho_evergreen_cam127@udwss.com</t>
  </si>
  <si>
    <t>+14752553111</t>
  </si>
  <si>
    <t>Christmas Wreath Designers</t>
  </si>
  <si>
    <t>***RFI Response*** Workers will wrap and price arrangements for sale by wrapping them in protective materials. They will attach price tags and labels to each arrangement. Tools and materials used may include scissors, tape dispensers, price tag guns, labels, and wrapping paper. Workers will remove florist greens and wires from boxes to make floral arrangements. They will inspect products for quality and organize them in designated storage or display areas. Tools and equipment used may include box cutters or clippers, work gloves, and safety glasses. Materials handled may include cardboard boxes and packaging materials. Workers will clean and maintain their work stations to ensure a safe and organized environment. Duties may include sweeping plant debris and putting plant debris into the trash. Tools and equipment used may include brooms, dustpans, buckets, and trash bags. ***Original F.a.2*** May include but not limited to: - Water plants, and cut, condition, and clean flowers and foliage for storage - Trim material and arrange bouquets, wreaths, and other items, using hand trimmers, shapers, wire, pins, floral tape, foam, and other materials. - Wrap and price completed arrangements. - Unpack stock as it comes into the shop. - Perform general cleaning duties in the store to ensure the shop is clean and tidy. Job Classification: 27-1023.00 - Floral Designers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 Must display manual dexterity - Must display attention to detail - Must be willing and able to tolerate very hot or very cold temperatures. - Must be available entire contract period. - May conduct post-hire, employer-paid drug testing. - Must display manual dexterity Special Requirements and Provisions: - Schedule varies (days of the week and shift times). Additional hours may be offered. May be required to work weekends. - All worksite locations are within driving distance of primary worksite location. - Employer may offer a bonus depending on experience and merit. - Employer does not provide transportation from workers' residencies to the primary worksite. - Employer-provided housing is not offered. The employer will assist workers, if interested, to locate housing options which will be paid by the workers. - Deduction: N/A Number of Hours Per Week: 40 Work Schedule (Start/End time): 8:00 A.M. - 4:30 P.M.</t>
  </si>
  <si>
    <t>H-400-26184-078231</t>
  </si>
  <si>
    <t>Candy Kate's LLC (CAN127)</t>
  </si>
  <si>
    <t>info_candy_kates_can127@udwss.com</t>
  </si>
  <si>
    <t>+14752655388</t>
  </si>
  <si>
    <t>RFI Response • Assist with the setup and removal of lightweight amusement equipment, signs, barriers, and customer queue areas using basic hand tools and following established procedures. • Guide patrons in the safe use of amusement rides, attractions, games, and recreational facilities. • Collect tickets, wristbands, fees, or admissions and provide information to customers. • Assist customers with entering, exiting, and using rides, attractions, and recreational equipment. • Operate amusement rides, games, and attractions according to established procedures. • Organize and restock customer-facing supplies, tickets, and concession items. • Sell and serve pre-packaged snacks, beverages, and refreshments to customers. • Maintain cleanliness of rides, attractions, concession areas, customer seating areas, and surrounding grounds by throwing trash from work station away and wiping down dirty surfaces with a cloth and cleaning product. Original F.a.2 May include but not limited to: - Setting up, dismantling amusement rides, fencing and signage manually or with hand tools - Properly connecting pieces, balancing and properly spacing equipment, working with a team or individually, operating typical mechanical carnival rides - Fastening safety harnesses and inspecting equipment for proper functioning - Sell tickets and collect fees from customers. - Monitor activities to ensure adherence to rules and safety procedures, or arrange for the removal of unruly patrons. -Tend amusement booths in carnivals, performing duties such as conducting games, photographing patrons, or awarding prizes- Record details of attendance, sales, receipts, reservations, or repair activities. - Maintain inventories of equipment, storing and retrieving items and assembling and disassembling equipment as necessary. - Provide information about facilities, entertainment options, and rules and regulations. - Keep informed of shut-down and emergency evacuation procedures. - Direct patrons to rides, seats, or attractions. - Attending food and games concessions by selling and serving refreshments and preparing/serving mainly ready-made food items - Cleaning/sanitizing work area and customer seating areas. - Prepare ready-made food items, such as lemonade, churros, agua fresca, ice cream, and corn dogs following specific methods that usually require short preparation time - Operate re-heating equipment, such as microwaves or heating pots to re-heat ready-made hot food items. - Use fountain dispensers to serve ready-made drinks or milkshakes. Job Classification: 39-3091.00 - Amusement and Recreation Attendants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 Must be willing and able to travel every 2-3 days. - If staying in employer-provided housing, must be willing and able to tolerate sleeping in trailer bunks reduced to 50 square feet of space per person with minimal cooking facilities. - Must be available entire contract period. - Must be able to lift at least 50 pounds and be able to perform physical labor. - May conduct post-hire, employer-paid drug testing. Special Requirements and Provisions: - Schedule varies (days of the week and shift times). Additional hours may be offered. May be required to work weekends. - Itinerary starts in Harris county. - Work will be performed at various locations (see list of all counties included in itinerary for reference). - Periodic daily or weekly travel. - Itinerary subject to change depending on weather and external factors. - Hourly wage is dependent upon on location. See Appendix A for details. - Employer will pay the highest of all prevailing wages for each worksite location throughout the entire period of employment. - Employer may offer a bonus depending on experience and merit. - Employer offers a ride to the primary worksite location to workers living area within a reasonable commute. - Daily Transportation is provided to all worksites from primary worksite. - Employer provides optional housing to workers who do not reside within a reasonable commute to primary worksite location. - Optional housing and transportation provided free of charge. Number of Hours Per Week: 40 Work Schedule (Start/End time): 1:00 P.M. - 10:00 P.M.</t>
  </si>
  <si>
    <t>H-400-26184-078234</t>
  </si>
  <si>
    <t>Christmas Lights R Us LLC (CHR127)</t>
  </si>
  <si>
    <t>info_christmas_lights_chr127@udwss.com</t>
  </si>
  <si>
    <t>+14752517089</t>
  </si>
  <si>
    <t>Holiday Decorator</t>
  </si>
  <si>
    <t>***RFI Response*** Tree trimming tasks take place on the ground and do not include tasks in a tree canopy or above ground. ***Original F.a.2*** May include, but not limited to: - Gather and remove litter. - Use hand tools, such as shovels, rakes, pruning saws, saws, hedge or brush trimmers, or axes. - Prune or trim trees, shrubs, or hedges, using shears, pruners, or chain saws. - Follow planned landscaping designs to determine where to lay sod, sow grass, or plant flowers or foliage. - Trim or pick flowers and clean flower beds. - Attach wires from planted trees to support stakes. - Plant seeds, bulbs, foliage, flowering plants, grass, ground covers, trees, or shrubs, and apply mulch for protection, using gardening tools. - Mow or edge lawns, using power mowers or edgers. - Rake, mulch, and compost leaves. - Decorate gardens with stones or plants. Job Classification: 37-3011.00 - Landscaping and Groundskeeping Workers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 Must be willing and able to tolerate very hot or very cold temperatures. - Must be willing and able to tolerate loud noises. - Must be available entire contract period. - Must be able to lift at least 50 pounds and be able to perform physical labor. - May conduct post-hire, employer-paid drug testing. Special Requirements and Provisions: -Schedule varies (days of the week and shift times). Additional hours may be offered. May be required to work weekends. -Available hours will fluctuate and decrease after the second week in December and increase again on January 1st. -All worksite locations are within driving distance of primary worksite location. Employer will pay the highest of all prevailing wages for all worksite locations throughout the entire period of employment. -Employer may offer a bonus depending on experience and merit. - Employer offers a ride to the primary worksite location to workers living within a reasonable commute. -Daily Transportation is provided to all worksites from primary worksite. -Employer may provide optional housing to workers who do not reside within a reasonable commute to primary worksite location. -Deductions: Employer may provide housing at $400/month if available. Number of Hours Per Week: 40 Work Schedule (Start/End time): 8:00 A.M. - 5:00 P.M.</t>
  </si>
  <si>
    <t>H-400-26184-078271</t>
  </si>
  <si>
    <t>Clearwater Business Capital, Inc.</t>
  </si>
  <si>
    <t>chris@cbcsls.com</t>
  </si>
  <si>
    <t>+16562426496</t>
  </si>
  <si>
    <t>Sales Training and Development Specialist</t>
  </si>
  <si>
    <t>Design and implement work-related training and development programs to improve individual and organizational performance in digital marketing and sales operations using AI-assisted tools, CRM automation systems, and workflow-based outreach processes. Present training using instructional techniques such as demonstrations, simulations, role-playing, group discussions, or lectures. Train representatives in outbound communication procedures, workflow execution, CRM usage, and operation of AI-powered campaigns and automated nurture sequences. Coordinate training schedules and maintain documentation of training activities, participant progress, and adherence to system procedures. Develop, obtain, organize, and update training materials, workflow guides, standard operating procedures (SOPs), instructional content, handouts, and visual materials to support AI-assisted sales systems and automated communication processes. Design, plan, and structure training programs for standardized outreach workflows, lead-qualification steps, automated communication processes, and consistent use of digital marketing and AI-driven tools by representatives. Monitor, evaluate, or record training activities and program effectiveness by reviewing outreach metrics, workflow adherence, and data-submission accuracy. Assess training needs on an ongoing basis by reviewing sales performance data, customer behavior patterns, outreach results, operational feedback, and through consultation with managers or representatives. Conduct ongoing assessments of trainee performance to identify areas requiring additional instruction or procedural reinforcement. Provide coaching and feedback to improve representatives’ execution of marketing workflows, lead-qualification processes, and customer-engagement techniques. Recommend updates to training curricula, outreach workflows, and instructional methods based on performance data and participant feedback. Job Classification: 13-1151.00 - Training and Development Specialists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24 Special Requirements: Minimum of 24 months of experience in sales operations using AI-assisted tools and/or CRM automation systems or related field. 40 hours per week, 5 days per week. Use of computer software, including Microsoft Office or Google Workspace, customer relationship management systems, and AI-assisted tools. Number of Hours Per Week: 40 Work Schedule (Start/End time): 9:00 A.M. - 6:00 P.M.</t>
  </si>
  <si>
    <t>H-400-26184-078278</t>
  </si>
  <si>
    <t>Elite Creations, LLC</t>
  </si>
  <si>
    <t>Grace Kan</t>
  </si>
  <si>
    <t>ngarcia@elitecreations.net</t>
  </si>
  <si>
    <t>+12105742999</t>
  </si>
  <si>
    <t>Position offered is for an experienced holiday lighting laborer with a minimum of three months experience in holiday lighting labor, which consists of organizing and preparing stock of holiday decor material, installing and/or removing materials from jobsites, and loading and unloading materials and preparing for storage. Loading and unloading of materials and equipment which lifting of up to 50 pounds will be required. Optional transportation will be provided to and from area worksites at employer’s expense from a centralized San Antonio, TX pick-up location. Job Classification: 49-9099.00 - Installation, Maintenance, and Repair Workers, All Other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3 months previous experience. Lifting required of up to 50 lbs. OT as needed. We want to clarify the information on Item F.a.5. During the work week, which runs Sunday through Saturday, employees are scheduled to work a 40 hour workweek and given OT as needed. F.a.5 does not allow us to enter such a work schedule. If we enter 8 hours each day, it would show 56 hours a week, which is not an accurate reflection of their work schedule. Number of Hours Per Week: 40 Work Schedule (Start/End time): 8:00 A.M. - 5:00 P.M.</t>
  </si>
  <si>
    <t>H-400-26184-078260</t>
  </si>
  <si>
    <t>Everett Estate Management LLC</t>
  </si>
  <si>
    <t>beth@naples-fl.us</t>
  </si>
  <si>
    <t>+14074303262</t>
  </si>
  <si>
    <t>Administrative Assistant</t>
  </si>
  <si>
    <t>Provide administrative and logistical support to the principal of a private estate management entity overseeing complex, time-limited administrative projects. Manage and coordinate schedules, appointments, and communications with legal counsel, financial advisors, institutional partners, and third-party professionals involved in the establishment of a charitable foundation. Prepare, organize, and maintain correspondence, reports, meeting materials, and records related to foundation formation activities and institutional partnerships. Compile, index, and organize legal, financial, and personal records and documentation required for the preparation of a comprehensive estate administration instruction manual. Coordinate and schedule appointments with appraisers, auction houses, and third-party specialists involved in estate asset disposition, and prepare and maintain supporting documentation and records related to asset organization and transfer to heirs. Track project milestones, deadlines, and action items across concurrent administrative projects and prepare progress summaries for the principal's review. Coordinate meetings and communications with financial institutions, legal representatives, medical institutions, and other institutional contacts in connection with foundation development and estate administration activities. Maintain confidential records and files related to estate administration, foundation formation, asset disposition, and institutional partnerships in an organized and accessible manner. Job Classification: 43-6011.00 - Executive Secretaries and Executive Administrative Assistants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24 Special Requirements: Fluent English skills. 24 months of experience in administrative, logistic, personal, or executive support, preferably in a private household or hospitality environment required. Use of office equipment including computers, printers, scanners, and telephone systems. Must be able to lift and carry weights sufficient to move files, boxes, and materials necessary to complete assigned tasks. Must be able to remain active and mobile throughout the shift. 40 hours per week, 5 days per week. Schedule may vary and can include evenings, weekends, or holidays, as needed. Eligibility for Florida driver's license. Employer will rely on worker's own representations and observations of worker to assess if worker meets the physical ability and eligibility requirements stated here. Number of Hours Per Week: 40 Work Schedule (Start/End time): 9:00 A.M. - 6:00 P.M.</t>
  </si>
  <si>
    <t>H-400-26184-078275</t>
  </si>
  <si>
    <t>Forrence's Cold Storage, Inc</t>
  </si>
  <si>
    <t>whenryforrenceorchards@gmail.com</t>
  </si>
  <si>
    <t>+18669675768</t>
  </si>
  <si>
    <t>Duties: Ensure that all federal, state and company regulations and standards for product freshness and quality, food safety, weights and measures, store safety, refrigeration, and sanitation are met; Ensure accurate sizing and quality for packaging of fruit occurs. Inspect each fruit for quality so it can either be packed, directed to cider or discarded; maintain high quality standard for cleanliness of packing and associated areas. Inspect packaged produce for conformance to customers' specifications and quality. Monitor and recommend improvements in processes to increase efficiency of packing line. Pack products into boxes cartons crates or other containers; repack bulk items into smaller units for shipping or retail; Weigh and label packages accurately throughout the day ; Clean each station and packing area at the end of each day and completing all required Food safety records as required. The employee must be able to stand for long periods of time, lift up to 50 pounds. Use packing tools such as scales, sealing machines, tape guns, and label machines. Assist with Weekends are required. Job Classification: 53-7064.00 - Packers and Packagers, Hand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The employee must be able to stand for long periods of time, lift up to 50 pounds. Assist with Weekends are required. Employees will work Monday to Friday an average of 40 hrs/wk. Must be able to work any 8-hour shift with 7:00 am to 4:30 pm. This job requires continuous movement, regular bending, lifting and pushing; must be flexible, be able to communicate in English, and be a team player. Number of Hours Per Week: 40 Work Schedule (Start/End time): 7:00 A.M. - 4:30 P.M.</t>
  </si>
  <si>
    <t>H-400-26184-078237</t>
  </si>
  <si>
    <t>Gomez Pinestraw, LLC (GOM127)</t>
  </si>
  <si>
    <t>14/01/2027</t>
  </si>
  <si>
    <t>info_gomez_pine_straw_gom127@udwss.com</t>
  </si>
  <si>
    <t>+14752681163</t>
  </si>
  <si>
    <t>May include, but not limited to: - Gather and remove litter. - Use hand tools, such as shovels, rakes, pruning saws, saws, hedge or brush trimmers, or axes. - Operate vehicles or powered equipment, such as mowers, tractors, snow blowers, chainsaws, electric clippers, sod cutters, or pruning saws. - Water lawns, trees, or plants, using portable sprinkler systems, hoses, or watering cans. - Prune or trim trees, shrubs, or hedges, using shears, pruners, or chain saws. - Care for established lawns by mulching, aerating, weeding, grubbing, removing thatch, or trimming or edging around flower beds, walks, or walls. - Follow planned landscaping designs to determine where to lay sod, sow grass, or plant flowers or foliage. - Trim or pick flowers and clean flower beds. - Attach wires from planted trees to support stakes - Plant seeds, bulbs, foliage, flowering plants, grass, ground covers, trees, or shrubs, and apply mulch for protection, using gardening tools. - Mow or edge lawns, using power mowers or edgers. - Rake, mulch, and compost leaves. Job Classification: 37-3011.00 - Landscaping and Groundskeeping Workers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 Must be willing and able to tolerate very hot or very cold temperatures. - Must be willing and able to tolerate loud noises. - Must be able to walk long distances while carrying 50 pounds on back throughout day and be able to perform physical labor. - Must be available entire contract period. - Must be willing and able to travel every 2-3 days along an itinerary. - May conduct post-hire, employer-paid drug testing. Special Requirements and Provisions: -Schedule varies (days of the week and shift times). Additional hours may be offered. May be required to work weekends. -All worksite locations are within driving distance of primary worksite location. Special Requirements and Provisions: -Schedule varies (days of the week and shift times). Additional hours may be offered. May be required to work weekends. -All worksite locations are within driving distance of primary worksite location. -Employer will pay the highest of all prevailing wages for all worksite locations throughout the entire period of employment. -Employer may offer a raise or bonus depending on experience and merit. -Employer offers a ride to the primary worksite location to workers living in the area within a reasonable commute. -Daily Transportation is provided to all worksites from primary worksite. -Employer provides assistance to help workers secure their own housing who do not reside within a reasonable commute to primary worksite location. Number of Hours Per Week: 40 Work Schedule (Start/End time): 7:00 A.M. - 4:00 P.M.</t>
  </si>
  <si>
    <t>H-400-26184-078266</t>
  </si>
  <si>
    <t>MT MITCHELL ENTERPRISES LLC</t>
  </si>
  <si>
    <t>Sharon Lynch</t>
  </si>
  <si>
    <t>recruiting@jamoreish.com</t>
  </si>
  <si>
    <t>+12514089411</t>
  </si>
  <si>
    <t>Hospitality and Commercial Cleaning Associate</t>
  </si>
  <si>
    <t>Duties include sweeping, mopping, vacuuming, dusting, sanitizing, and disinfecting. Clean windows, ceiling vents, and furniture. Remove garbage from the site to a dumpster or disposable area. Replacing linen and do laundry. Other duties as assigned. Job Classification: 37-2012.00 - Maids and Housekeeping Cleaners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None required Number of Hours Per Week: 35 Work Schedule (Start/End time): 9:00 A.M. - 4:00 P.M.</t>
  </si>
  <si>
    <t>H-400-26184-078238</t>
  </si>
  <si>
    <t>Server/host</t>
  </si>
  <si>
    <t>Servers/Hosts who will be responsible for greeting customers, setting up the dining areas, taking and placing orders, carrying trays and plates, serving food and beverages, cleaning and clearing (bussing) tables. Servers/Hosts will also be responsible for seating customers at tables or in lounge and helping ensure food and beverage outlets are clean and maintained and helping to handle and resolve guest complaints as needed. Will report directly to the food &amp; beverage manager at Cabbage Key and Tarpon Lodge. Job Classification: 35-3031.00 - Waiters and Waitresses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12 Special Requirements: Ability to speak &amp; read English. Applicant must complete pre-employment background check. On-the-Job Training provided. Will Train. Days and Shifts: Monday - Sunday; shifts available 7 days a week. Work hours from: 10:00am to 6:00pm; 8:00am to 4:00pm; 4:00pm to 12:00am, shift hours may vary based on the time of the season, daylight, and need. Hourly Wage: Tipped position with a guaranteed wage minimum of $18.95 per hour. Overtime Possible: Overtime may be available with a guaranteed wage minimum of $28.43 per hour. Occasional Bonus for group events may be available as deemed appropriate by the department manager. Fringe Benefits: Tarpon Lodge: 20% discount on food &amp; beverage; 25% in the gift shop. Cabbage Key: 25% discount on food, beverage &amp; gift shop purchases. Number of Hours Per Week: 35 Work Schedule (Start/End time): 8:00 A.M. - 4:00 P.M.</t>
  </si>
  <si>
    <t>H-400-26184-078268</t>
  </si>
  <si>
    <t>- Monitor sanitation practices to ensure that employees follow standards and regulations. - Check the quality of raw or cooked food products to ensure that standards are met. - Check the quantity and quality of received products. - Supervise or coordinate activities of cooks engaged in food preparation. - Determine how food should be presented and create decorative food displays. - Analyze recipes to assign prices to menu items, based on food, labor, and overhead costs. - Instruct cooks in the preparation, cooking, garnishing, or presentation of food. - Prepare and cook foods of all types. - Order or requisition food or other supplies needed to ensure efficient operation. - Coordinate planning, budgeting, or purchasing for food operations. - Inspect supplies, equipment, or work areas to ensure conformance to established standards. - Estimate amounts and costs of required supplies, such as food and ingredients. - Plan, direct, or supervise food preparation or cooking activities. - Arrange for equipment purchases or repairs. - Demonstrate new cooking techniques or equipment to staff. Job Classification: 35-1011.00 - Chefs and Head Cooks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24 Special Requirements: Regarding anticipated days and hours of work per week, shifts will be availabe for each worker. Employer's hours of operation are Sunday - Saturday, 11:00am to 9:00pm. Workers are guaranteed 40 hour work week, 5 days a week, 8 hours a day within the hours of operation; any hours over 40 hours per week worked by the chef will be paid as overtime hours. Number of Hours Per Week: 56 Work Schedule (Start/End time): 11:00 A.M. - 9:00 P.M.</t>
  </si>
  <si>
    <t>H-400-26184-078247</t>
  </si>
  <si>
    <t>PUGET SOUND EVERGREEN INC (PUG127)</t>
  </si>
  <si>
    <t>info_puget_sound_pug127@udwss.com</t>
  </si>
  <si>
    <t>+14752758681</t>
  </si>
  <si>
    <t>Floral Designers</t>
  </si>
  <si>
    <t>***RFI Response*** Workers clean up scraps such as plant debris and branch clippings from the bouquets and wreaths they are working on to maintain a clean table and work station. ***Original F.a.2*** - Water plants, and cut, condition, and clean flowers and foliage for storage - Trim material and arrange bouquets, wreaths, and other items, using hand trimmers, shapers, wire, pins, floral tape, foam, and other materials. - Wrap and price completed arrangements. - Perform general cleaning duties in the store to ensure the shop is clean and tidy. Job Classification: 27-1023.00 - Floral Designers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 Must display manual dexterity - Must display attention to detail - Must be willing and able to tolerate very hot or very cold temperatures. - Must be available entire contract period. - May conduct post-hire, employer-paid drug testing. - Must be able to lift up to 50 lbs. Special Requirements and Provisions: - Schedule varies (days of the week and shift times). Additional hours may be offered. May be required to work weekends. -Employer may offer a raise or bonus depending on experience and merit. -Must meet minimum production requirements: 10 wreaths per hour, 17 bunches per hour, 33 bouquets per hour. -Bonuses available for exceeding the minimum production requirements. -Must be willing to work on a team and work well with other staff and employees. -Overtime may be available but is not guaranteed. -Daily transportation is not provided, but the employer will provide assistance to securing transportation to the worksite if needed. -Employer provides optional housing to workers who do not reside within a reasonable commute to primary worksite location. -Deductions: Optional housing is available at $150 per worker per week. Number of Hours Per Week: 40 Work Schedule (Start/End time): 7:30 A.M. - 3:30 P.M.</t>
  </si>
  <si>
    <t>H-400-26184-078222</t>
  </si>
  <si>
    <t>RICKY ASIAN BISTRO CORP</t>
  </si>
  <si>
    <t>Anda Malescu</t>
  </si>
  <si>
    <t>INFO@RICKYTHAIBISTRO.COM</t>
  </si>
  <si>
    <t>+13058919292</t>
  </si>
  <si>
    <t>Wok Cook</t>
  </si>
  <si>
    <t>Prepares food to specifications before and during business hours. Prepares, seasons, and cooks/stir fry's in industrial woks all soups, meats, vegetables, fish, poultry, and other food items for consumption. Properly measures and portions all food items. Complies with all portion sizes, quality standards, department rules, policies and procedures. Utilizes kitchen equipment to prepare food items such as: knives, slicers, whips, pots, pans, warmers, steamers, grills, ovens, etc. Ensure freshness of food and ingredients by checking for quality, keeping track of old and new items, and rotating stock. Perform opening, closing and side work duties as instructed and according to proper guidelines. Keeps workstation, coolers and equipment clean, organized, sanitized, and sufficiently stocked. Follows and upholds all health codes and sanitation regulations. Completes end of day inventory and other opening/closing duties in accordance with company checklists and procedures. Job Classification: 35-2014.00 - Cooks, Restaurant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12 months of previous professional cooking experience that requires the use of a wok (a bowl-shaped frying pan). Number of Hours Per Week: 36 Work Schedule (Start/End time): 5:00 P.M. - 11:00 P.M.</t>
  </si>
  <si>
    <t>H-400-26184-078217</t>
  </si>
  <si>
    <t>+13018311000</t>
  </si>
  <si>
    <t>Roy Jorgensen Associates, Inc. Maintenance Technicians will perform a variety of tasks involving the maintenance, repair, and improvement of highways, roadways, drainage systems, and associated rights-of-way to ensure safe and efficient travel conditions. This is a hands-on role focused on preserving roadway safety, functionality, and visibility across state and county highway assets.Primary responsibilities include performing routine roadway and right-of-way maintenance such as debris removal, litter collection, and clearing obstructions to maintain safe travel conditions. Workers will perform minor road repairs including patching potholes, sealing cracks, hauling and spreading materials such as gravel, clay, and asphalt to repair road shoulders and fill washouts, and performing asphalt patching using pneumatic tampers. Duties also include installing, repairing, and replacing traffic control devices such as signs, reflectors, and delineators; assisting with roadway striping and pavement markings; and setting up traffic control zones using cones, barricades, and signage, including flagging motorists when necessary. Technicians are responsible for maintaining proper roadway drainage by clearing and maintaining ditches, culverts, storm drains, catch basins, and inlets to prevent blockages and ensure proper water flow. Additional duties include performing basic structure maintenance, cleaning, and minor repairs as needed. Workers will assist with loading, unloading, transporting, and staging materials, tools, and equipment, as well as inventorying equipment and supplies. As part of maintaining safe roadway visibility and right-of-way conditions, workers will control vegetation and overgrowth adjacent to roadways and public access areas. This includes mowing grass, trimming and edging turf areas, clearing brush, removing invasive vegetation, and trimming trees, shrubs, and other growth that may obstruct visibility or encroach on roadway infrastructure. Duties also include weeding, pruning, mulching, planting, watering, and maintaining landscaped areas as necessary to support right-of-way upkeep. Workers will dig, tamp, and trim overgrown vegetation and may assist with spreading soil, mulch, gravel, or similar materials in support of maintenance activities. Technicians will operate a variety of hand and power tools and equipment including shovels, rakes, pruning saws, chainsaws, hedge trimmers, pole saws, sod cutters, string trimmers, commercial mowers, blowers, electric clippers, twin axle vehicles, and tractors used in roadway and right-of-way maintenance. Workers may perform routine preventative maintenance on tools, equipment, and work vehicles, including monitoring, maintaining, and calibrating equipment. Additional responsibilities include removing litter and debris from assigned work zones, including homeless encampment clean-up areas; performing graffiti removal; following all safety procedures and traffic control protocols, including the use of personal protective equipment; and assisting with emergency response activities such as roadway clearance following storms, accidents, or other incidents. Workers are expected to perform preventative maintenance on vehicles and equipment and complete other related highway maintenance duties as assigned. Job Classification: 47-4051.00 - Highway Maintenance Workers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Workers must be physically capable of working outdoors in varying weather conditions and flexible shifts. The role requires safe and effective use of tools, machinery, and vehicles, and a strong attention to detail and ability to work as part of a team. Workers must be physically capable of working outdoors in varying weather conditions and flexible shifts. The role requires safe and effective use of tools, machinery, and vehicles, and a strong attention to detail and ability to work as part of a team. Number of Hours Per Week: 40 Work Schedule (Start/End time): 7:30 A.M. - 4:00 P.M.</t>
  </si>
  <si>
    <t>H-400-26184-078216</t>
  </si>
  <si>
    <t>Ski &amp; Snowboard Club Vail</t>
  </si>
  <si>
    <t>Brooke Trottier</t>
  </si>
  <si>
    <t>munderhill@skiclubvail.org</t>
  </si>
  <si>
    <t>+19704765119</t>
  </si>
  <si>
    <t>Alpine Ski Coach</t>
  </si>
  <si>
    <t>Work closely with the Alpine Program Director, Head Coaches and staff to foster alignment, and optimal participation and performance. Assist in the design and implementation of on snow programming. SSCV programs are based on a long-term-student-athlete-development model consisting of the following domains: student-athlete development, physical fitness, and nutrition, technical and tactical, mental, and social including academic-athletic support and balance, equipment, and competition. ALPINE PROGRAM: Act as full-time on-hill coach for the alpine program. Assist in the development and implementation of comprehensive, age-appropriate programming for the alpine athletes you are working with. Responsible for assisting with all aspects of alpine training, competition and travel as directed by the Head Coach. STRENGTH AND CONDITIONING: Work with the Strength and Conditioning Manager as well as the Head Coach to deliver programming to the athletes and supervise activities. ALPINE RACES AND VENUES: Work with the Head Coach to coordinate competition and travel schedules. EQUIPMENT: Help maintain inventory records of alpine program and event related equipment. Help plan for purchase of new equipment, as necessary. Help repair and maintain equipment, as necessary. ADMINISTRATIVE: Help administer aspects of the Program including but not limited to travel, trip budgets and info sheets, acting as Team Captain at races, vehicle upkeep and protocols, and expense reporting as directed by the Head Coach. COMMUNICATIONS, COMMUNITY, AND CLUB: Develop and maintain consistent, professional, educational, and supportive communication structures with staff, parents, and the community concerning the alpine program. Work closely with other administrative staff as needed. TRAINING VENUE: Will be required to work with the SSCV Operations staff to ensure the correct installation of safety standards including A-net, B-net, C-Net and other padding as required. Travel and coach team at ski competitions (competitions last 3-4 days) regionally approximately 3-4 times per month and internationally approximately once throughout the season. Lodging and transportation will be provided during travel for training / practice at Copper Mountain Ski resort and ski competitions with athletes. May perform other job duties pursuant to 27-2022, Coaches and Scouts. F.a.5a-F.a.6b: 35+ hours/week. Saturdays-Sundays 8:00 am to 4:00 pm; Tuesdays-Fridays 8:00 am to 1:00 pm. Schedule (including workdays) may vary. May work more than the guaranteed hours. F.b.8a: Workers will be paid no less than the salary listed. Employer may pay higher salary rates to workers based on seniority with employer, experience, or level of skill. F.b.8: $35,877.14 for 8.5 months F.c.1: The H-2B Temporary Alpine Ski Coaches will perform duties at the following locations: 598 Vail Valley Drive, Vail, CO 81657 Copper Mountain Ski Resort, Summit County, CO Minturn Fitness Center, 1000 Maloit Park Rd, Minturn, CO 81645 Job Classification: 27-2022.00 - Coaches and Scouts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12 Special Requirements: Must be a certified ski coach or ski instructor equivalent to United States Ski and Snowboard (USSS) Level 100 or Professional Ski Instructors of America Level 1 equivalent. Must possess 1 year of experience in ski coaching or ski instructing or 4 years of competing at a high level in Alpine Ski Racing. On-the-job training will not be provided. Must be registered with USSS and meet all of its certification requirements, including required background checks under USSS, for ski coaches prior to start of employment. Drug / alcohol testing may be necessary during employment. Number of Hours Per Week: 35 Work Schedule (Start/End time): 8:00 A.M. - 4:00 P.M.</t>
  </si>
  <si>
    <t>H-400-26184-078262</t>
  </si>
  <si>
    <t>Sonnenalp Properties, Inc.</t>
  </si>
  <si>
    <t>Jennifer Casey</t>
  </si>
  <si>
    <t>recruiting@sonnenalp.com</t>
  </si>
  <si>
    <t>+18662844411</t>
  </si>
  <si>
    <t>***RFI response*** Using trays, tray stands, plate and glass racks, cutlery holders, heat-resistant cloths or gloves for hot plates, service linens, and basic cleaning materials, Food &amp; Beverage support staff collect clean plates, glassware, cutlery, and serving dishes from the dish area or storage. Prepare and organize trays with plates, cutlery, condiments, and napkins for upcoming service. Carry hot and cold food items from the kitchen pass to service stations or function rooms. Return used dishes, trays, and silverware from service areas to the dishwashing station quickly and discreetly. Replenish side stations with cutlery, glassware, plates, and linen throughout service. Using microfiber cloths, polishing cloths, cleaning rags, food-safe surface cleaners, glass and stainless steel cleaner, mops, buckets, brooms, dustpans, small brushes and vacuum cleaners, the Food &amp; Beverage support staff will wipe, sanitize and polish bar counters, buffet counters, service stations, coffee/tea stations, walls, shelves, chairs, tables, bar stools, host stands, and floors located in the main restaurant dining rooms, bar/lounge areas, buffet and service station, private dining and banquet rooms. Remove crumbs and stains from tables, chairs after service. Mop hard floors and spot-clean spills immediately in above listed areas. ***Original*** Under close supervision of Food &amp; Beverage Supervisor, the Food &amp; Beverage Support Staff will: 1. Carry food, dishes, trays, or silverware from kitchens or supply departments to patrons or serving stations. Perform serving, cleaning, or stocking duties in dining rooms, to facilitate customer service. Stock cabinets or serving areas with condiments and refill condiment containers. Serve ice water, coffee, rolls, or butter to patrons. Scrape and stack dirty dishes and carry dishes and other tableware to kitchens for cleaning. Wipe tables or seats with dampened cloths or replace dirty tablecloths. Set tables with clean linens, condiments, or other supplies. Clean up spilled food or drink or broken dishes and remove empty bottles and trash. Maintain adequate supplies of items, such as clean linens, silverware, glassware, dishes, or trays. Maintain knowledge of menu items, daily specials, and promotions. Serve food to customers when waiters or waitresses need assistance. Take food and beverage orders accurately and deliver orders in a timely manner. Clean and polish counters, shelves, walls, furniture, or equipment in food service areas or other areas of restaurants and mop or vacuum floors. Replenish supplies of food or equipment at steam tables or service bars. Wash glasses or other serving equipment at bars. Carry linens to or from laundry areas. Garnish foods and position them on tables to make them visible and accessible. Slice and pit fruit used to garnish drinks. Support food and beverage servers, kitchen staff and host as needed. Communicate effectively with kitchen and bar staff to ensure accurate orders. Follow all safety, sanitation, and health guidelines. 2. Must be able to reach overhead and work in various positions including, but not limited to standing, bending over, and walking for up to 8 hours. 3. Must be able to lift, push, pull and carry up to 50 pounds. Job Classification: 35-3031.00 - Waiters and Waitresses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Drug Screen and criminal background check upon hire. Terms &amp; Conditions of employment $24.01/hr. At least 35 hrs per week. Mon Fri. 3:00pm 11:00pm (schedule varies: Employeeswill work 5 days per week Sunday through Saturday, 7-hour shift either between hours of 7:00 a.m. 3:00p.m.or 3:00 p.m. 11:00 p.m.) Days offTBD (per worker preference/employerneed).Single workweek used forcomputingwages. Bi-weekly pay. O/T may be avail/not guartd at $36.02/hr. Number of Hours Per Week: 35 Work Schedule (Start/End time): 3:00 P.M. - 11:00 P.M.</t>
  </si>
  <si>
    <t>H-400-26184-078279</t>
  </si>
  <si>
    <t>Under close supervision of Housekeeping Supervisor, Housekeeper will Clean rooms, hallways, lobbies, lounges, restrooms, corridors, elevators, stairways, locker rooms, and other work areas so that health standards are met. Remove trash, dirty linens and room service items from guest rooms and areas. Make beds, clean bathrooms, replace dirty linens with clean linens. Carry linens, towels, toilet items, and cleaning supplies, using wheeled carts. Disinfect equipment and supplies, using germicides or steam-operated sterilizers. Dust, polish and remove marks from walls and furnishings. Dust and polish furniture and equipment. Empty wastebaskets, and transport other trash and waste to disposal areas. Check that all appliances are present in guest rooms and in working order. Straighten desk items, furniture, and appliances according to prescribed layout. Observe precautions required to protect hotel and guest property and report damage, theft, and found articles to supervisors. Replenish supplies, such as drinking glasses, linens, writing supplies, and bathroom items. Clean rugs, carpets, upholstered furniture, and draperies, using vacuum cleaners and shampooers. Keep storage areas and carts well-stocked, clean, and tidy. Wash windows, walls, ceilings, and woodwork, waxing and polishing as necessary. Sweep, scrub, wax, or polish floors, using brooms, mops, or powered scrubbing and waxing machines. Hang draperies and dust window blinds. Sort, count, and mark clean linens and store them in linen closets. Prepare rooms for meetings and arrange decorations, media equipment, and furniture for social or business functions. Remove debris from driveways, garages, and other areas. 1. Must be able to reach overhead and work in various positions including but not limited to standing for extended periods of time. 2. Must be able to lift, push, pull and carry a minimum of 25 pounds and have ability to carry up to 50 pounds. 3. No minimum or experience required. 4. Drug screen &amp; criminal background check upon hire. Job Classification: 37-2012.00 - Maids and Housekeeping Cleaners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Drug Screen and criminal background check upon hire. Terms &amp; Conditions of employment $19.81/hr. At least 35 hrs per week. Mon Fri. 3:00pm 11:00pm (schedule varies: Employees will work 5 days per week Sunday through Saturday,7-hour shift either between hours of 7:00 a.m. 3:00 p.m. or 3:30 p.m. 11:30 p.m.) Days off TBD (per worker preference/employer need). Single workweek used for computing wages. Bi-weekly pay. O/T may be avail/not guartd at $29.72/hr. Number of Hours Per Week: 35 Work Schedule (Start/End time): 7:00 A.M. - 3:00 P.M.</t>
  </si>
  <si>
    <t>H-400-26184-078270</t>
  </si>
  <si>
    <t xml:space="preserve">Sonnenalp Properties, Inc. </t>
  </si>
  <si>
    <t>Duties: Under close supervision of Kitchen Supervisor, Dishwasher will wash dishes, glassware, flatware, pots, and pans, using dishwashing machines or by hand. Scrape food debris from plates. Operate various types of dishwashing machines and drying racks. Check and monitor wash waters for clarity and sanitizing ability. Place clean dishes, utensils, or cooking equipment in storage areas. Sort and remove trash, placing it in designated pick-up areas. Sweep, mop, and scrub floors. Maintain kitchen work areas, equipment, or utensils in clean and orderly condition. Clean garbage cans with water or steam. Receive and store supplies. Stock supplies, such as food or utensils in serving stations, cupboards, refrigerators. Transfer supplies or equipment between storage and work areas. Clean or prepare various foods for cooking and serving: Using cutting boards, chef’s knives, vegetable peelers, graters and storage containers, the dishwasher at our organization engages in a minimal amount of food preparation, including washing and peeling vegetables and fruits, basic cutting, chopping; trimming under supervision; and portioning and arranging ingredients for cooks. The dishwasher ensures that prep tables, cutting boards and knives are clean and sanitized. 1. Must be able to reach overhead and work in various positions including but not limited to standing for extended periods of time. 2. Must be able to lift a minimum of 30 pounds. 3. No minimum or experience required. 4. Drug screen &amp; criminal background check upon hire. Job Classification: 35-2021.00 - Food Preparation Workers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Drug Screen and criminal background check upon hire. Terms &amp; Conditions of employment $20.53/hr. At least 35 hrs per week. Mon Fri. 7:00am 3:00pm (schedule varies: Employees will work 5 days per week Sunday through Saturday,7-hour shift between hours of 7:00 a.m. 3:00 p.m. Days off TBD (per worker preference/employer need). Single workweek used for computing wages. Bi-weekly pay. O/T may be avail/not guartd at $30.80/hr. Number of Hours Per Week: 35 Work Schedule (Start/End time): 7:00 A.M. - 3:00 P.M.</t>
  </si>
  <si>
    <t>H-400-26184-078220</t>
  </si>
  <si>
    <t>Specialty Entertainment Corp</t>
  </si>
  <si>
    <t>specialtyentertainmentcorp@gmail.com</t>
  </si>
  <si>
    <t>+19044312120</t>
  </si>
  <si>
    <t>Perform a variety of duties at traveling carnival, assembling, disassembling &amp; operating equipment (amusement rides, game and/or food concessions) May sell tickets &amp; collect fees from customers; provide information about the facilities, rules and regulations; direct patrons to rides, seats or attractions; monitor activities to ensure adherence to rules and safety procedures; provide assistance to patrons entering or exiting amusement rides; clean rides, booths, facilities or grounds; inspect equipment to detect wear and damage and perform minor repairs, adjustments, or maintenance tasks, such as oiling parts; fasten safety devices for patrons, or provide them with directions for fastening devices; announce or describe amusement attractions to patrons to entice customers to games and/or other entertainment; and sell and serve refreshments to customers. Job Classification: 39-3091.00 - Amusement and Recreation Attendants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Post-employment random drug testing and background checks may be required, at no cost to the worker. The job requires the applicant to be qualified, ready, willing, able, and available to perform during the entire employment at the designated worksites; and to follow workplace rules. Number of Hours Per Week: 40 Work Schedule (Start/End time): 1:00 P.M. - 10:00 P.M.</t>
  </si>
  <si>
    <t>H-400-26184-078248</t>
  </si>
  <si>
    <t>Sunshine Pine Straw Resource LLC (SUN127)</t>
  </si>
  <si>
    <t>info_sunhine_pine_sun127@udwss.com</t>
  </si>
  <si>
    <t>+14752524022</t>
  </si>
  <si>
    <t>Pine Straw Laborer</t>
  </si>
  <si>
    <t>Raking, bailing, spreading and loading pine straw onto tractors by hand working strictly on farms. Use hand tools such as pitchfork and rakes. Any duty associated with SOC Code 45-2092. Job Classification: 45-2092.00 - Farmworkers and Laborers, Crop, Nursery, and Greenhouse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 Must be willing and able to tolerate very hot or very cold temperatures. - Must be willing and able to tolerate loud noises. - Must be able to walk long distances throughout day and be able to perform physical labor. - Must be available entire contract period. - May conduct post-hire, employer-paid drug testing. Special Requirements and Provisions: - All worksite locations are within driving distance of primary worksite location - Employer will pay the highest of all prevailing wages for all worksite locations throughout the entire period of employment. - Employer may offer a bonus depending on experience and merit. - Employer may pay by piece rate at approximately .85/roll. - Workers will only work at one location per day and therefore daily transportation is not required/provided. - Employer does not provide housing. Number of Hours Per Week: 40 Work Schedule (Start/End time): 8:00 A.M. - 5:00 P.M.</t>
  </si>
  <si>
    <t>H-400-26184-078250</t>
  </si>
  <si>
    <t>TAS, INC. (TAS127)</t>
  </si>
  <si>
    <t>info_todd_armstrong_tas127@udwss.com</t>
  </si>
  <si>
    <t>+14752344347</t>
  </si>
  <si>
    <t>- Perform a variety of duties at a traveling carnival assisting patrons and assisting with game concessions. - Provide information regarding facilities, rules, and attractions. - Direct patrons to rides, games, or attractions. - Monitor patron activities and report safety concerns to supervisors. - Announce or describe attractions to patrons to encourage participation in games. - Assist customers at amusement booths by awarding prizes and explaining game rules. Job Classification: 39-3091.00 - Amusement and Recreation Attendants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 Must be willing and able to travel every 2-3 days. - If staying in employer-provided housing, must be willing and able to tolerate sleeping in trailer bunks reduced to 50 square feet of space per person with minimal cooking facilities. - Must be available entire contract period. - Must be able to lift at least 50 pounds and be able to perform physical labor. - May conduct post-hire, employer-paid drug testing. Special Requirements and Provisions: -Schedule varies (days of the week and shift times). Additional hours may be offered. May be required to work weekends. -Itinerary starts in Harris county. -Work will be performed at various locations (see list of all counties included in itinerary for reference). -Periodic daily or weekly travel. Itinerary subject to change depending on weather and external factors. -All Begin and End dates on Appendix A reflect the application Start and End dates to provide Employer itinerary flexibility. -Hourly wage is dependent upon location. See Appendix A for details. -Additional hours may be offered above 40; however, employer is exempt from federal overtime pay according to Section 13(a)(3) of the FLSA. Employer will comply with any state or local overtime requirements if warranted. -Employer will pay the highest of all prevailing wages for each worksite location throughout the entire period of employment. -Employer may offer a bonus depending on experience and merit. -Daily Transportation is provided to all worksites from primary worksite. -Employer provides optional housing to workers. -Deduction: N/A - Optional housing and transportation provided free of charge. Number of Hours Per Week: 40 Work Schedule (Start/End time): 1:00 P.M. - 10:00 P.M.</t>
  </si>
  <si>
    <t>H-400-26184-078252</t>
  </si>
  <si>
    <t>The All Occasions Group, Inc. (THE127)</t>
  </si>
  <si>
    <t>info_all_occasions_the127@udwss.com</t>
  </si>
  <si>
    <t>+14752628757</t>
  </si>
  <si>
    <t>Deliver Service Representative</t>
  </si>
  <si>
    <t>***RFI Response*** Workers handle event rental items and supplies including dishes, glasses, table linens, portable chairs and tables, and portable food-service supplies. Workers are assigned customer event rental orders, placement, arrangement, and later removal and reloading of rental items at customer event locations. Workers prepare event rental items for customer deliveries, including dishes, glasses, table linens, portable dance floor sections, and portable chairs and tables. The same workers also place rental items onto delivery vehicles and remove them at company storage facility. Workers utilize manual equipment including two-wheel hand trucks, four-wheel furniture carts, flat utility carts, and similar wheeled carts for moving event rental items. This duty does not apply to our operations. Workers do not handle industrial spouts, conveyor systems, bulk materials, bins, or similar receptacles associated with freight, manufacturing, or warehouse distribution operations. "Direct spouts" is a typo and should say "Deliver freights" by manually handling, placing, removing and returning of temporary event rental items and supplies at customer locale. Workers may manually carry and position event rental items at customer event locations where wheeled carts or dollies cannot be used. Workers do not operate motorized equipment at customer event sites. Workers will not use forklifts. This responsibility involves cleaning, repackaging, organizing, and returning event rental items to their designated storage locations after customer use so that the items remain protected and available for future rentals. Workers do not perform mechanical repair, servicing, or maintenance of equipment or machinery. ***Original F.a.2*** May include, but not limited to: -Move event rental items (cargo), or other materials, to and from storage or event locations. -Sort cargo before loading and unloading. -Attach identifying tags to containers or mark them with identifying information. -Read work orders or receive oral instructions to determine work assignments or material or equipment needs. -Record numbers of units handled or moved, using daily production sheets or work tickets. -Install protective devices, such as bracing, padding, or strapping, to prevent shifting or damage to items being transported. -Direct spouts and position receptacles, such as bins, carts, or containers, so they can be loaded. -Attach slings, hooks, or other devices to lift cargo and guide loads. -Maintain equipment storage areas to ensure that inventory is protected. Job Classification: 53-7062.00 - Laborers and Freight, Stock, and Material Movers, Hand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12 Special Requirements: - Must be willing and able to tolerate very hot or very cold temperatures. - Must be available entire contract period. - Must be able to lift at least 100 pounds between two people and be able to perform physical labor. - May conduct post-hire, employer-paid drug testing. Special Requirements and Provisions: -Schedule varies (days of the week and shift times). Additional hours may be offered. May be required to work weekends. Staff may be split between weekend and day crew. -All worksite locations are within driving distance of primary worksite location. -Employer will pay the highest of all prevailing wages for all worksite locations throughout the entire period of employment. -Employer may offer a bonus depending on experience and merit. -Daily Transportation is provided to all worksites from primary worksite. -Employer provides optional housing to workers who do not reside within a reasonable commute to primary worksite location. Cost of housing is $350 per month. Number of Hours Per Week: 45 Work Schedule (Start/End time): 7:30 A.M. - 4:00 P.M.</t>
  </si>
  <si>
    <t>H-400-26184-078221</t>
  </si>
  <si>
    <t>US Galicia Tours LLC</t>
  </si>
  <si>
    <t>William Vasquez</t>
  </si>
  <si>
    <t>info@blueumbrellatours.com</t>
  </si>
  <si>
    <t>+12133483367</t>
  </si>
  <si>
    <t>Spanish-speaking Tour Guide</t>
  </si>
  <si>
    <t>1. Conduct guided walking tours for Spanish-speaking tourists throughout designated historic and cultural areas of New Orleans using established tour routes and approved tour procedures. 2. Assist Spanish-speaking visitors by providing language support, customer assistance, and guidance during scheduled tourism activities and walking tours. 3. Provide historical, cultural, architectural, and tourism-related information regarding New Orleans landmarks, traditions, neighborhoods, festivals, and local attractions. 4. Escort and guide tourist groups through predetermined tour routes while ensuring adherence to company-established operational and safety procedures. 5. Support positive customer experience during scheduled tours by responding to visitor questions, assisting with tour coordination, and maintaining professional customer service standards. 6. Assist with tourism operations and customer service activities during recurring high-demand tourism periods, including Mardi Gras, Jazz Fest, holiday tourism seasons, cruise tourism surges, and other seasonal tourism events in New Orleans. Job Classification: 27-3091.00 - Interpreters and Translators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The position requires the ability to obtain and maintain applicable New Orleans tour guide license for conducting guided tourism activities within the City of New Orleans. Ability to communicate fluently in Spanish and English. Number of Hours Per Week: 40 Work Schedule (Start/End time): 9:00 A.M. - 5:00 P.M.</t>
  </si>
  <si>
    <t>H-400-26184-078229</t>
  </si>
  <si>
    <t>De Wit Immigration Law, P.A.</t>
  </si>
  <si>
    <t>h2b.recruitment@dewit.law</t>
  </si>
  <si>
    <t>+13057014093</t>
  </si>
  <si>
    <t>Development Specialist</t>
  </si>
  <si>
    <t>Assess the firm's operational training needs across all departments and staff levels. Design and develop training programs, standard operating procedures, and instructional materials covering case intake, case management, client communication, billing procedures, and contractor coordination workflows. Deliver training programs to attorneys, paralegals, legal assistants, and administrative staff. Evaluate training effectiveness and revise materials based on participant feedback and operational outcomes. Compile all training materials and operational procedures into a permanent firm operations manual for ongoing internal use. Coordinate with department leads to identify knowledge gaps and align training content with firm operational standards. Maintain records of training activities, participation, and completion across all staff levels. Prepare existing staff to independently maintain and operate all systems upon conclusion of the engagement. Job Classification: 13-1151.00 - Training and Development Specialists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24 Special Requirements: Bachelor's degree in Human Resources, Law or closely related field required. Minimum 24 months of experience in training, development, or closely related position required. Must be able to lift and carry weights sufficient to move materials necessary to complete assigned tasks. Intermediate English skills required. Use of office equipment including computers, presentation software, learning management systems, and document management platforms. 40 hours per week, 5 days per week, 9 AM to 6 PM. Typical schedule is Monday through Friday. Schedule may vary and can include evenings, weekends, or holidays, as needed. Employer will rely on worker's own representations and observations of worker to assess if worker meets the physical ability requirements stated here. Number of Hours Per Week: 40 Work Schedule (Start/End time): 9:00 A.M. - 6:00 P.M.</t>
  </si>
  <si>
    <t>H-400-26184-078288</t>
  </si>
  <si>
    <t>Duvallco, LLC</t>
  </si>
  <si>
    <t>Danielle Young</t>
  </si>
  <si>
    <t>danaduvall@live.com</t>
  </si>
  <si>
    <t>+13375808235</t>
  </si>
  <si>
    <t>**RFI** The employee will most commonly use his/her hands to move freight, stock, or other materials to and from storage or production areas, delivery vehicles, or containers. On occasion, he/she may use a pallet jack or forklift to move a larger quantity of stock/materials. **Original** Maintain product storage areas to ensure that inventory is protected; Review work orders or receive oral instructions; Move freight, stock, or other materials to and from storage or production areas, delivery vehicles, or containers, by hand or using trucks, tractors, or other equipment; Sort products before loading and unloading; cut/trim materials according to patterns(mesh, wire, and plastic) with handheld tools i.e. box cutter, knife, and c-ring pliers; attach c-rings/hooks to assemble crawfish and crab traps, using hand tools; inspect products for damage; record numbers of units handled or moved, using daily production sheets or work tickets; carry needed tools or supplies from storage and return them after use; cleanup worksite. Job Classification: 53-7065.00 - Stockers and Order Fillers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Must be able to lift 40 pounds; Repetitive movements; May be subject to random drug screen upon hire paid by employer and/or a drug screen paid for by employer if reasonable suspicions arise during employment. This is a drug-free work place. Number of Hours Per Week: 35 Work Schedule (Start/End time): 8:00 A.M. - 4:00 P.M.</t>
  </si>
  <si>
    <t>H-400-26184-078223</t>
  </si>
  <si>
    <t>H-400-26184-078282</t>
  </si>
  <si>
    <t>Gold Keystone, LLC</t>
  </si>
  <si>
    <t>admin@goldkeystonellc.com</t>
  </si>
  <si>
    <t>+14096730134</t>
  </si>
  <si>
    <t>Perform general labor tasks at construction sites during winter conditions to support ongoing projects. Duties include site preparation and cleanup, removing debris, loading and unloading materials, and assisting skilled trades as needed. Perform snow and ice removal to maintain safe and accessible work areas, including clearing walkways, work zones, and equipment paths. Use hand and power tools to assist with basic construction, demolition, and material handling tasks. Follow all safety protocols related to cold weather conditions, including proper handling of equipment and materials in freezing temperatures. Maintain a clean, organized, and safe job site at all times. Job Classification: 47-2061.00 - Construction Laborers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3 months of experience or related. Number of Hours Per Week: 40 Work Schedule (Start/End time): 7:00 A.M. - 4:00 P.M.</t>
  </si>
  <si>
    <t>H-400-26184-078236</t>
  </si>
  <si>
    <t>Graves Contracting LLC.. (GRA127)</t>
  </si>
  <si>
    <t>info_graves_contracting_gra127@udwss.com</t>
  </si>
  <si>
    <t>+14752646307</t>
  </si>
  <si>
    <t>Tractor Operator</t>
  </si>
  <si>
    <t>***RFI Response*** Workers may drive 2021 and newer John Deere tractors (5085 E, 5090 E, 5090 E, 6110 R, 6110 M, 6120 M, 6125 M) ***Original F.a.2*** Drive a tractor with bushhog and mow state right of ways. Weed eat around road signage. Job Classification: 47-4051.00 - Highway Maintenance Workers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 Must be willing and able to tolerate very hot or very cold temperatures. - Must be willing and able to tolerate loud noises.. - Must be available entire contract period. - May conduct post-hire, employer-paid drug testing. Special Requirements and Provisions: - Schedule varies (days of the week and shift times). Additional hours may be offered. May be required to work weekends. - All worksite locations are within driving distance of primary worksite location. - Employer will pay the highest of all prevailing wages for each worksite location throughout the entire period of employment. - Employer may offer a bonus depending on experience and merit. - Daily Transportation is provided to all worksites from primary worksite. - Employer provides optional housing to workers who do not reside within a reasonable commute to primary worksite location. Number of Hours Per Week: 40 Work Schedule (Start/End time): 6:00 A.M. - 3:00 P.M.</t>
  </si>
  <si>
    <t>H-400-26184-078259</t>
  </si>
  <si>
    <t>Jackson Hole Ski Club</t>
  </si>
  <si>
    <t>ali@jhskiclub.org</t>
  </si>
  <si>
    <t>Alpine Ski and Snowboard Instructor</t>
  </si>
  <si>
    <t>Assist Head Coach in the management, implementation, and success of the alpine ski program. May work with athletes ranging in age from U16 to post-graduate. Assist in suggesting, developing, and implementing policies, programs and goals as they relate to the Alpine Program at large. Report directly to the Head Coach. Assist Alpine Program Director with events. Assist with Club-wide events, as needed. ATHLETE TRAINING, PREPARATION &amp; ADMINISTRATION: Assist in designing, monitoring and implementing individual yearly on-ski plan for athletes appropriate to their age group and experience level. In coordination with other coaches, manage athletes, equipment, create individual athlete/program calendar of events, manage S&amp;C equipment, oversee and coordinate consistent and regular athlete evaluation processes, including on-hill skill assessments. Participate in all on-snow and S&amp;C training sessions. Participate in Divisional and Regional coaching projects as necessary or required. Help organize on-snow and off-snow training camps. Assist in coordinating training and travel with other JHSC departments/groups as necessary. Communicate effectively with head coach, athletes, staff, and parents. Utilize video review/archiving online (Sprongo, Dropbox, etc.). Meet with athletes, coaches, and parents for program nights / explanations. Assist in developing and managing an athlete retention plan. Help with hill preparation for Pre-season training, JHMR training and races, SK training and races. Attend and hold meetings as necessary. Provide guidance in the areas of sport psychology, nutrition and equipment selection, preparation, and maintenance. Act as a positive role model, inspiring, motivating, and positively influencing athletes. TRAVEL: Help organize and arrange logistics for team travel. Transport JHSC athletes to races and projects. After each trip, direct athletes to properly clean up interior of the vehicle (with athletes) &amp; fill out a Vehicle Log sheet after each trip. Report all expenses (with receipts) to the Alpine Program Director and Chief Operating Officer. EQUIPMENT: Help maintain inventory records of all program related equipment. Help repair and maintain equipment as necessary. PROFESSIONAL DEVELOPMENT: Review technical videos and publications. Attend professional development courses/seminars to upgrade/update personal skills. Travel and coach team at regional ski competitions (competitions last 3 to 4 days) approximately one to three times per month throughout the season. Lodging and transportation will be provided during travel for ski competitions with students. May perform other job duties pursuant to 27-2022.00, Coaches and Scouts. F.a.5a-F.a.6b: 40 hours/week. 8-hour shifts between 9:00 am and 5:00 pm. 6 days per week, Tuesday-Sunday. F.b.8a: Workers will be paid no less than the wage listed. Employer may pay higher wage rates to workers based on seniority with employer and level of skill. F.b.8: $34,731.69 for 7 months Job Classification: 27-2022.00 - Coaches and Scouts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24 Special Requirements: 2 years experience as a ski coach or ski instructor required; Level 100 Ski Coach certificate or equivalent required. On-the-job training will not be provided. A valid drivers license, or the ability to obtain a valid drivers license within 30 days of start of employment, is required. Must be able to lift and carry up to 50 lbs. on a frequent basis. Must be able to maneuver and work on steep and uneven, mountain-like terrain and often-inclement weather. Must have experience in Microsoft Word, Excel, and Google Drive. Must be eligible for U.S. Ski &amp; Snowboard Membership, including a post-hire background check and SafeSport certification. Must possess excellent communication, leadership, and organizational skills. Number of Hours Per Week: 40 Work Schedule (Start/End time): 9:00 A.M. - 5:00 P.M.</t>
  </si>
  <si>
    <t>H-400-26184-078239</t>
  </si>
  <si>
    <t>Js Processing LLC (JS127)</t>
  </si>
  <si>
    <t>info_js_processing_js127@udwss.com</t>
  </si>
  <si>
    <t>+14754052761</t>
  </si>
  <si>
    <t>Wild Game Butcher/skinner</t>
  </si>
  <si>
    <t>May include, but not limited to: - Remove bones, and cut meat into standard cuts in preparation for marketing. - Sever jugular veins to drain blood and facilitate slaughtering. - Tend assembly lines, performing a few of the many cuts needed to process a carcass. - Shackle hind legs of animals to raise them for slaughtering or skinning. - Slit open, eviscerate, and trim carcasses of slaughtered animals. - Stun animals prior to slaughtering. - Skin sections of animals or whole animals. - Cut, trim, skin, sort, and wash viscera of slaughtered animals to separate edible portions from offal. - Shave or singe and defeather carcasses, and wash them in preparation for further processing or packaging. - Saw, split, or scribe carcasses into smaller portions to facilitate handling. - Trim head meat, and sever or remove parts of animals' heads or skulls. - Grind meat into hamburger, and into trimmings used to prepare sausages, luncheon meats, and other meat products. - Trim, clean, or cure animal hides. - Wrap dressed carcasses or meat cuts. Job Classification: 51-3023.00 - Slaughterers and Meat Packers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12 Special Requirements: - Schedule varies (days of the week and shift times). Additional hours may be offered. May be required to work weekends. - Employer may offer a bonus depending on experience and merit, may offer piece rate work. - Employer will help workers find housing, or may offer housing at market rate for low-income housing. - Daily transportation is not provided. Special Requirements and Provisions: - Schedule varies (days of the week and shift times). Additional hours may be offered. May be required to work weekends. - Employer may offer a bonus depending on experience and merit, may offer piece rate work. - Employer will help workers find housing, or may offer housing at market rate for low-income housing. - Daily transportation is not provided. Number of Hours Per Week: 60 Work Schedule (Start/End time): 7:00 A.M. - 8:00 P.M.</t>
  </si>
  <si>
    <t>H-400-26184-078240</t>
  </si>
  <si>
    <t>Lexcut Lawn and Landscaping LLC (LEX127)</t>
  </si>
  <si>
    <t>16/11/2026</t>
  </si>
  <si>
    <t>info_lexcut_lex127@udwss.com</t>
  </si>
  <si>
    <t>+14758828170</t>
  </si>
  <si>
    <t>May include, but not limited to: - Gather and remove litter. - Use hand tools, such as shovels, rakes, pruning saws, saws, hedge or brush trimmers, or axes. - Water lawns, trees, or plants, using portable sprinkler systems, hoses, or watering cans. - Prune or trim ground shrubs, or hedges, using shears, pruners, or chain saws. - Care for established lawns by mulching, aerating, weeding, grubbing, removing thatch, or trimming or edging around flower beds, walks, or walls. - Follow planned landscaping designs to determine where to lay sod, sow grass, or plant flowers or foliage. - Trim or pick flowers and clean flower beds. - Attach wires from planted trees to support stakes. - Plant seeds, bulbs, foliage, flowering plants, grass, ground covers, trees, or shrubs, and apply mulch for protection, using gardening tools. - Mow or edge lawns, using power mowers or edgers. - Rake, mulch, and compost leaves. - Decorate gardens with stones or plants. - Adjust irrigation water consumption to prevent waste using hand held battery operated dial. - Maintain/repair irrigation systems made of plastic tubing using hand held tools such as hammer and wrench, winterize systems in late fall and initiate systems in spring by manually programming the dial. Job Classification: 37-3011.00 - Landscaping and Groundskeeping Workers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 Must be willing and able to tolerate very hot or very cold temperatures. - Must be willing and able to tolerate loud noises. - Must be available entire contract period. - Must be able to lift at least 50 pounds and be able to perform physical labor. - May conduct post-hire, employer-paid drug testing. -Schedule varies (days of the week and shift times). Additional hours may be offered. May be required to work weekends. -All worksite locations are within driving distance of primary worksite location. -Employer will pay the highest of all prevailing wages for all worksite locations throughout the entire period of employment. -Employer may offer a bonus depending on experience and merit. -Daily Transportation is provided to all worksites from primary worksite. -Employer does not provide transportation from workers' residencies to the primary worksite. -Employer does not provide housing. -Deductions: N/A Number of Hours Per Week: 40 Work Schedule (Start/End time): 7:30 A.M. - 5:30 P.M.</t>
  </si>
  <si>
    <t>H-400-26184-078249</t>
  </si>
  <si>
    <t>M&amp;M Concrete LLC</t>
  </si>
  <si>
    <t>eunicemacias29@gmail.com</t>
  </si>
  <si>
    <t>DUTIES: workers will assist senior team leaders in performing tasks at work sites, including operation of hand and power tools of all types, clean and prepare work sites, dig trenches, brace and backfill excavations, prepare forms, prep worksites if below-freezing, assist other workers, clean up rubble, debris, and other waste materials. Power tools include post-hole diggers and motorized tools such as a Ditch Witch and a Skid Steer. Employer provides all tools and transportation. Job Classification: 47-2061.00 - Construction Laborers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Lift 50 pounds, stand or bend for all or most of work shift. Number of Hours Per Week: 40 Work Schedule (Start/End time): 7:00 A.M. - 4:30 P.M.</t>
  </si>
  <si>
    <t>H-400-26184-078283</t>
  </si>
  <si>
    <t>Malbec Supplies LLC</t>
  </si>
  <si>
    <t>Shawn@malbecsupplies.com</t>
  </si>
  <si>
    <t>+12167125798</t>
  </si>
  <si>
    <t>Assist with wine transfers, blending, filtration, and bottling operations. Clean, sanitize, and maintain tanks, barrels, hoses, pumps, and cellar equipment. Monitor fermentation and aging processes under supervision. Load and unload materials, supplies, and finished products. Move wine and production materials throughout the facility using hand trucks, pallet jacks, or other equipment. Label, package, and prepare products for shipment. Maintain accurate records of production activities and inventory movements. Follow all safety, sanitation, and quality control procedures. Perform general housekeeping and cleaning duties within the cellar and production areas. Assist with harvest and seasonal production activities as needed. Perform other related duties as assigned. Job Classification: 51-9012.00 - Separating, Filtering, Clarifying, Precipitating, and Still Machine Setters, Operators, and Tenders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Must lift/carry 50 lbs., when necessary. Saturday and Sunday work required, when necessary. Number of Hours Per Week: 40 Work Schedule (Start/End time): 8:00 A.M. - 4:00 P.M.</t>
  </si>
  <si>
    <t>H-400-26184-078308</t>
  </si>
  <si>
    <t>Maria Del Carmen Amaro</t>
  </si>
  <si>
    <t>Juan Castro</t>
  </si>
  <si>
    <t>account@amarospan.com</t>
  </si>
  <si>
    <t>+19568312811</t>
  </si>
  <si>
    <t>• Check products for quality, and identify damaged or expired goods. • Set oven temperatures, and place items into hot ovens for baking. • Combine measured ingredients in bowls of mixing, blending, or cooking machinery. • Place dough in pans, molds, or on sheets, and bake in production ovens or on grills. • Set time and speed controls for mixing machines, blending machines, or steam kettles so that ingredients will be mixed or cooked according to instructions. • Measure or weigh flour or other ingredients to prepare batters, doughs, fillings, or icings, using scales or graduated containers. • Observe color of products being baked, and adjust oven temperatures, humidity, or conveyor speeds accordingly. • Check the quality of raw materials to ensure that standards and specifications are met. • Check equipment to ensure that it meets health and safety regulations, and perform maintenance or cleaning, as necessary. • Adapt the quantity of ingredients to match the amount of items to be baked. • Apply glazes, icings, or other toppings to baked goods, using spatulas or brushes. • Decorate baked goods, such as cakes or pastries. • Roll, knead, cut, or shape dough to form sweet rolls, pie crusts, tarts, cookies, or other products. • Direct or coordinate bakery deliveries. • Order or receive supplies or equipment. • Prepare or maintain inventory or production records. • Operate slicing or wrapping machines. Job Classification: 51-3011.00 - Bakers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Details Regarding Work Schedule: Workdays: Sunday through Saturday, as scheduled. Shift hours: 6:00 a.m. to 2:00 p.m. Employer will offer at least 40 hours of work per week. Up to 16 hours of overtime may be available per week, depending on business needs. Days and shifts may vary based on production demand. Details Regarding Wage Offer/ Piece-Rate Guarantee: Workers will be paid on a piece-rate basis. Employer's current piece-rate method is calculated at 15% of bread produced by worker. Employer guarantees that each worker's total earnings in every workweek will equal or exceed the offered wage of $13.37 per hour tor all hours worked. Employer will maintain accurate records of hours worked and piece-rate earnings. If, at the end of any workweek, the worker's piece-rate earnings do not equal or exceed the amount the worker would have earned ahd the worker been paid $13.37 per hour for each hour worked, Employer will supplement the worker's pay in the same pay period so that the worker's total weekly earnings are at elast equal to $13.37 per hour for each hour worked. Number of Hours Per Week: 56 Work Schedule (Start/End time): 6:00 A.M. - 2:00 P.M.</t>
  </si>
  <si>
    <t>H-400-26184-078312</t>
  </si>
  <si>
    <t>Mila Farms LLC</t>
  </si>
  <si>
    <t>herring.L.angela@gmail.com</t>
  </si>
  <si>
    <t>+18583422493</t>
  </si>
  <si>
    <t>Attend to the overall care of show horses including groom, bathe, feed, water, bandage legs, maintain stalls and tack, inspect horses' condition and tack them up. Accompany horses to and from the show ring and to horse shows in California. Care for 1-5 horses at at time. Split shift. Job Classification: 39-2021.00 - Animal Caretakers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Split shift required - 6:00am-11am and 2pm-5pm Number of Hours Per Week: 40 Work Schedule (Start/End time): 6:00 A.M. - 5:00 P.M.</t>
  </si>
  <si>
    <t>H-400-26184-078241</t>
  </si>
  <si>
    <t>Mudd Farm Inc. (MUD127)</t>
  </si>
  <si>
    <t>info_mudd_farm_mud127@udwss.com</t>
  </si>
  <si>
    <t>+14754739019</t>
  </si>
  <si>
    <t>Lawn Mowing &amp; Trimming</t>
  </si>
  <si>
    <t>May include, but not limited to: - Gather and remove litter. - Use hand tools, such as shovels, rakes, pruning saws, saws, weedeaters, hedge or brush trimmers, or axes. - Prune or trim ground shrubs, or hedges, using shears or pruners. - Care for lawns and pastures by weeding, grubbing, removing thatch, or trimming or edging around flower beds, walks, or walls. - Trim or pick flowers and weeds. - Mow or edge lawns and pastures, using power mowers or edgers. - Rake leaves and hay. Job Classification: 37-3011.00 - Landscaping and Groundskeeping Workers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 Must be willing and able to tolerate very hot or very cold temperatures. - Must be willing and able to tolerate loud noises. - Must be available entire contract period. - Must be able to lift at least 50 pounds and be able to perform physical labor. - May conduct post-hire, employer-paid drug testing. Special Requirements and Provisions: - Schedule varies (days of the week and shift times). Additional hours may be offered. May be required to work weekends. - All worksite locations are within driving distance of primary worksite location. - Employer will pay the highest of all prevailing wages for all worksite locations throughout the entire period of employment. - Employer may offer a raise or bonus depending on experience and merit. - Daily Transportation is provided to all worksites from primary worksite. - Employer provides optional housing to workers who do not reside within a reasonable commute to primary worksite location. Number of Hours Per Week: 48 Work Schedule (Start/End time): 7:00 A.M. - 3:00 P.M.</t>
  </si>
  <si>
    <t>H-400-26184-078285</t>
  </si>
  <si>
    <t>NQN CARGO LLC</t>
  </si>
  <si>
    <t>daniel@nqn-cargo.com</t>
  </si>
  <si>
    <t>+13059648054</t>
  </si>
  <si>
    <t>H-400-26184-078314</t>
  </si>
  <si>
    <t>Native Landscapes &amp; Gardens</t>
  </si>
  <si>
    <t>Elizabeth Ford</t>
  </si>
  <si>
    <t>marc@thenativelandscape.com</t>
  </si>
  <si>
    <t>+14402530495</t>
  </si>
  <si>
    <t>Winter Worker</t>
  </si>
  <si>
    <t>Snow removal by hand shoveling, snow plowing, salt spreading by hand, salt spreading by truck, perennial plant cut back, seasonal decoration hanging and removal for residential clients. Maintain equipment to ensure proper functioning. Winterize summer equipment and prep spring equipment. Snow removal by hand shoveling, snow plowing, salt spreading by hand, salt spreading by truck, perennial plant cut back, seasonal decoration hanging and removal for residential clients. Maintain equipment to ensure proper functioning. Winterize summer equipment and prep spring equipment. With regards to the employees' action of the snow plowing the employees will perform the following: The employees will shovel snow by hand using show shovels and/or by using a walk behind snow blower. The employees will remove snow on walkways, driveways, sidewalks in both residential and commercial properties. The employees will remove snow in front of garages using shovels. Please be advised that the employees will NOT be using a truck with a plow to remove snow. The snow removal will only be removed via hand shoveling and walk-behind snow blower. With regards to the employees' action of the spreading of salt the employees will spread salt by hand and by using a salt truck. Please note that the salt truck does not contain a plow and will not be used for snow plowing. Salt will be spread on both residential and commercial properties. It will be spread on sidewalks, driveways and walkways. With regards to the employees' action of the hanging/removal of holiday decorations the employees will hang outdoor seasonal lights. garlands. wreaths. tree decorations and lights and removable yard decorations such as Christmas, nativity and animals. Job Classification: 49-9099.00 - Installation, Maintenance, and Repair Workers, All Other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Ability to lift/carry 50 lbs. Random drug/alcohol and background checks paid for by employer Number of Hours Per Week: 40 Work Schedule (Start/End time): 8:00 A.M. - 4:00 P.M.</t>
  </si>
  <si>
    <t>H-400-26184-078303</t>
  </si>
  <si>
    <t>Omni PGA Frisco Resort, LLC</t>
  </si>
  <si>
    <t>taylor.coker@omnihotels.com</t>
  </si>
  <si>
    <t>+14693054500</t>
  </si>
  <si>
    <t>Housekeeping Attendants</t>
  </si>
  <si>
    <t>The Housekeeper will be responsible for thoroughly cleaning guest rooms, including making beds, cleaning bathrooms, vacuuming, and dusting. Additional duties include restock and replace used items within guest rooms. Communicate clean status of each room upon completion. Remove room service trays and tables from guest rooms. Stock supply cart and ensure that it is neat and always well organized. Check all equipment prior to and after use to ensure that it is in good working order. Respond to all hotel guests efficiently and in an appropriately friendly manner. Job Classification: 37-2012.00 - Maids and Housekeeping Cleaners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1 Special Requirements: This position requires strong attention to detail and customer service skills. Ability and willingness to stand for 8 hours at a time. The worker must possess the ability and willingness to bend, stretch, reach, and push up to 20 lbs. Must be available to work a varied schedule which includes working on weekends and holidays and must be able to communicate effectively. Applicants must complete employment application. The work schedule is as follows: 35 hours per week, five days a week with 8-hour shifts, running from Monday Friday: 8-hour shift between 8:00 AM 5:00 PM (shifts: 8:00 AM 4:30 PM OR 8:30 AM 5:00 PM) Saturday Sunday: 8-hour shifts between 9:00 AM 6:00 PM (shifts: 9:00 AM 5:30 PM OR 9:30 AM 6:00 PM). Number of Hours Per Week: 35 Work Schedule (Start/End time): 8:00 A.M. - 6:00 P.M.</t>
  </si>
  <si>
    <t>H-400-26184-078246</t>
  </si>
  <si>
    <t>ProtecTerra, LLC (PRO127)</t>
  </si>
  <si>
    <t>info_protec_terra_pro127@udwss.com</t>
  </si>
  <si>
    <t>+14752608963</t>
  </si>
  <si>
    <t>May include but not limited to: -Manually prepare and plant trees and seedlings -Spray or inject vegetation with insecticides to kill insects or to protect against disease or with herbicides to reduce competing vegetation. -Thin or space trees, using power thinning saws. -Identify diseased or undesirable trees and remove them, using power saws or hand saws. -Check equipment to ensure that it is operating properly. -Confer with other workers to discuss issues, such as safety, cutting heights, or work needs. -Maintain tallies of trees examined and counted during tree marking or measuring efforts. Job Classification: 45-4011.00 - Forest and Conservation Workers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 Must be 18 years of age (to travel) - Must be willing and able to tolerate very hot or very cold temperatures. - Must be willing and able to tolerate loud noises. - Must be able to walk long distances throughout day and be able to perform physical labor. - Must be able to walk substantially (up to 15 miles/day) - Must be able to stoop, bend while carrying a pack (up to 50lbs) through rough terrain (non-trail) - Must be available entire contract period. - Must be willing and able to travel every 2-3 days along an itinerary. - May conduct post-hire, employer-paid drug testing. Special Requirements and Provisions: - Schedule varies (days of the week and shift times). Additional hours may be offered. May be required to work weekends. - Work will be performed at various locations (see list of all counties included in itinerary for reference). - Periodic daily or weekly travel. - Itinerary subject to change depending on weather and external factors. - Hourly wage is dependent upon on location. See Appendix A for details. - Employer will pay the highest of all prevailing wages for each worksite location throughout the entire period of employment. - Employer may offer a bonus depending on experience and merit. - Daily Transportation is provided to all worksites from primary worksite. - Employer provides optional housing, free of charge, to workers who do not reside within a reasonable commute to primary worksite location. - Employees are expected to travel every 2-3 days along an itinerary covering AL, DE, FL, GA, IA, IL, IN, KY, MD, ME, MN, MO, MS, NC, OH, PA, SC, TN, TX, VA, WV. Itinerary starts in Colleton County, South Carolina. Number of Hours Per Week: 35 Work Schedule (Start/End time): 8:00 A.M. - 3:30 P.M.</t>
  </si>
  <si>
    <t>H-400-26184-078291</t>
  </si>
  <si>
    <t>Skylord LLC</t>
  </si>
  <si>
    <t>juan@skylord.us</t>
  </si>
  <si>
    <t>+17869378495</t>
  </si>
  <si>
    <t>Assist roofers with the setup and removal of ladders, scaffolding, and other equipment. Assist roofers with tasks like applying roofing felt, asphalt strips, or other materials. Clean the work area and equipment. Prepare the work area by clearing debris and ensuring a safe working environment. Job Classification: 47-2181.00 - Roofers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3 months of experience or related. Number of Hours Per Week: 40 Work Schedule (Start/End time): 7:00 A.M. - 4:00 P.M.</t>
  </si>
  <si>
    <t>H-400-26184-078277</t>
  </si>
  <si>
    <t>Steven Oliveira</t>
  </si>
  <si>
    <t>Jeffrey Devore</t>
  </si>
  <si>
    <t>steve_oliveira@yahoo.com</t>
  </si>
  <si>
    <t>+15612588118</t>
  </si>
  <si>
    <t>Care for children in private household and provide support and expertise to parents in satisfying their physical, emotional, intellectual, and social needs. Duties include meal planning and preparation, laundry and clothing care, organization of play activities and outings, discipline, intellectual stimulation, language activities, and transportation for the children. Job Classification: 39-9011.01 - Nannies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12 Number of Hours Per Week: 80 Work Schedule (Start/End time): 6:00 A.M. - 8:00 P.M.</t>
  </si>
  <si>
    <t>H-400-26184-078251</t>
  </si>
  <si>
    <t>Super Select LLC  (SUP127)</t>
  </si>
  <si>
    <t>info_super_select_sup127@udwss.com</t>
  </si>
  <si>
    <t>+14752645040</t>
  </si>
  <si>
    <t>Wreath and Garland Assembly</t>
  </si>
  <si>
    <t>***RFI Response*** - Remove florist greens and wires from boxes to make boughs - Cut florist greens and make final arrangement using wires - Clean around work area by sweeping loose floral material and putting bad materials into garbage Tools and equipment include: hand clippers and wire twisters Materials include: noble, douglas, cedar, juniper, foliage, pine cones, rings and wire ***Original F.a.2*** May include but not limited to: - Water plants, and cut, condition, and clean flowers and foliage for storage - Trim material and arrange bouquets, wreaths, and other items, using hand trimmers, shapers, wire, pins, floral tape, foam, and other materials. - Wrap and price completed arrangements. - Unpack stock as it comes into the shop. - Perform general cleaning duties in the store to ensure the shop is clean and tidy. Job Classification: 27-1023.00 - Floral Designers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 Must display manual dexterity - Must display attention to detail - Must be willing and able to tolerate very hot or very cold temperatures. - Must be available entire contract period. - May conduct post-hire, employer-paid drug testing. - Must meet production requirement of 10 wreaths per hour. - Must be able to lift up to 50 lbs. Special Requirements and Provisions: - Schedule varies (days of the week and shift times). Additional hours may be offered. May be required to work weekends. - Employer may offer a raise or bonus depending on experience and merit. - Daily transportation is not provided, but the employer will provide assistance to securing transportation to the worksite if needed. - Employer provides assistance to help workers secure their own housing who do not reside within a reasonable commute to primary worksite location. - A possible housing stipend may be available depending on company approval. Number of Hours Per Week: 40 Work Schedule (Start/End time): 7:00 A.M. - 3:30 P.M.</t>
  </si>
  <si>
    <t>H-400-26184-078254</t>
  </si>
  <si>
    <t>Swiss Pacific, LLC (SWI127)</t>
  </si>
  <si>
    <t>info_swiss_pacific_swi127@udwss.com</t>
  </si>
  <si>
    <t>+14754051986</t>
  </si>
  <si>
    <t>Same for all positions: there are two (2) to four (4) stations per table. Floral designers are in a standing position as they build the arrangements, wreaths or garlands. Clippers are the only tool required and are provided by the company. Floral designers receive on-the-job training in the proper techniques and positioning of materials. All materials are provided to the worker So that there are no delays in the actual assembly process. Arrangements: the arrangement process is totally by hand; no machinery is involved. The worker begins the process by selecting a few Pieces of the pre-cut fi r boughs and places them in a bunch, to be rubber-banded together, or into a container filled with floral foam. This Step is repeated until the arrangement is completed to the satisfaction of the employer. The worker then places the completed Arrangements onto a worker-specific table, from which they are examined for quality and counted. Garlands: the garland-making process is assisted by a machine. The worker begins the process by selecting a few pieces of pre-cut fi r boughs and cedar and places them onto a wire which is then wrapped by a smaller gauge wire by a machine. This step is repeated until the specified length of garland is completed. Once the worker has completed the specified length of garland, it is placed on the floor where it is examined for quality, length and counted. Wreaths: The wreath-making process is totally by hand; no machinery is involved. The worker begins the process by selecting a few pieces of the pre-cut fi r boughs and places them on a wire ring. The wire rings diff er in circumference. The worker then wraps the selected boughs to the wire ring using a smaller gauge wire to secure the elements. Job Classification: 27-1023.00 - Floral Designers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-Workers need to be able to stand for their 8 hour shift, have dexterity to use their hands quickly workers need to be able to have an eye for quality &amp; appearance so the product looks good. -May conduct post-hire employer-paid drug testing. Special Requirements and Provisions: -Schedule varies (days of the week and shift times). Additional hours may be offered. May be required to work weekends. -Employer may offer a bonus depending on experience and merit. -Employer will assist in helping the employee secure transportation to and from work, if desired, which is paid by the employee. -Employer-provided housing is not offered. The employer will assist workers, if interested, to locate housing options which will be paid by the workers. Number of Hours Per Week: 40 Work Schedule (Start/End time): 8:00 A.M. - 4:30 P.M.</t>
  </si>
  <si>
    <t>H-400-26184-078253</t>
  </si>
  <si>
    <t>Swiss Pacific, LLC (SWI227)</t>
  </si>
  <si>
    <t>info_swiss_pacific_swi227@udwss.com</t>
  </si>
  <si>
    <t>+14752437121</t>
  </si>
  <si>
    <t>Packers &amp; Packagers, Hand</t>
  </si>
  <si>
    <t>Under direct supervision, perform manual, repetitive packing tasks including: - Measuring, weighing, counting, grouping, and preparing plant materials and finished products for packing. - Placing finished products into boxes. - Sealing boxes using simple hand tools provided by the employer such as banders and staplers. - Maintaining clean work areas using hand tools such as brooms and shovels. - Standing or walking for extended periods during the work shift. Job Classification: 53-7064.00 - Packers and Packagers, Hand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-Workers need to be able to stand for their 8 hour shift, have dexterity to use their hands quickly workers need to be able to have an eye for quality &amp; appearance so the product looks good. -May conduct post-hire, employer-paid drug testing. Special Requirements and Provisions: -Schedule varies. Additional hours may be off ered. -May be required to work weekends. -Employer may off er a bonus depending on experience and merit. -Employer will assist in helping the employee secure transportation to and from work, if desired, which is paid by the employee. -Employer-provided housing is not off ered. The employer will assist workers, if interested, to locate housing options which will be paid by the workers. -Deductions from pay: N/A Number of Hours Per Week: 40 Work Schedule (Start/End time): 8:00 A.M. - 4:30 P.M.</t>
  </si>
  <si>
    <t>H-400-26184-078286</t>
  </si>
  <si>
    <t>Tarkus One LLC</t>
  </si>
  <si>
    <t>enrique@tarkusone.com</t>
  </si>
  <si>
    <t>+18666452318</t>
  </si>
  <si>
    <t>H-400-26184-078346</t>
  </si>
  <si>
    <t>Allied Insulation, LLC</t>
  </si>
  <si>
    <t>dawson@allied-insulation.com</t>
  </si>
  <si>
    <t>+12058420811</t>
  </si>
  <si>
    <t>Insulation Helpers</t>
  </si>
  <si>
    <t>Assist in the installation of spray foam insulation in residential and commercial buildings, including attics, walls, and crawlspaces. Prepare job sites by unloading and staging materials, setting up equipment, and ensuring all tools are ready for use. Support lead installers by handling hoses, ladders, fiberglass batts, and other equipment during the application process. Maintain cleanliness of the work area by removing debris and disposing of old insulation materials. Follow safety protocols, including the use of personal protective equipment (PPE), to ensure a safe working environment. Perform warehouse-related duties as required, such as inventory management and equipment maintenance. Job Classification: 47-3019.00 - Helpers, Construction Trades, All Other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Must be able to lift and carry 75 lbs 75 yds. Must be able to handle temperature extremes. Some weekend work. Will travel to worksites within the area of intended employment. Number of Hours Per Week: 40 Work Schedule (Start/End time): 6:00 A.M. - 4:00 P.M.</t>
  </si>
  <si>
    <t>H-400-26184-078348</t>
  </si>
  <si>
    <t>B&amp;C Transportation Compliance Solutions LLC</t>
  </si>
  <si>
    <t>hiring@compliancebc.com</t>
  </si>
  <si>
    <t>+16194942147</t>
  </si>
  <si>
    <t>Heavy and Tractor-trailer Truck Driver</t>
  </si>
  <si>
    <t>Operate heavy and tractor-trailer trucks to transport goods over long distances. Perform pre-trip, en-route, and post-trip inspections of the vehicle and equipment; check brakes, tires, lights, and safety systems. Secure cargo according to DOT/FMCSA regulations. Drive assigned routes, maintain logs, and follow all safety and company procedures. Communicate with dispatch for routing and delivery updates. Assist with loading and unloading activities as needed. Keep vehicle clean and in proper operating condition. Perform routine, repetitive tasks as assigned. No supervisory duties. Job Classification: 53-3032.00 - Heavy and Tractor-Trailer Truck Drivers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6 Special Requirements: Valid Commercial Drivers License (CDL) Class A or equivalent foreign commercial license permitted under FMCSA regulations. Ability to pass DOT medical exam. Must be able to communicate in English as required by FMCSA regulations. Number of Hours Per Week: 40 Work Schedule (Start/End time): 5:00 A.M. - 11:00 P.M.</t>
  </si>
  <si>
    <t>H-400-26184-078311</t>
  </si>
  <si>
    <t>Boddie-Noell Enterprises Inc.</t>
  </si>
  <si>
    <t>boddie.noell.hiring@outlook.com</t>
  </si>
  <si>
    <t>***RFI response*** Take customer orders. At the service counter or via an intercom system, customers place orders, which are entered into a point-of-sale (POS) machine by the Crew Member. While working in this function, Crew members also accept cash and primarily electronic payments, make change as necessary and provide receipts. Prepare food &amp; beverages. Crew Members prepare guest orders from a limited, quick-service menu. Food preparation involves warming, cooking, assembling, and packaging pre-portioned and pre-cooked items delivered to the restaurant. Tasks include heating burgers, sandwiches, biscuits, and breakfast items; frying french fries; assembling sandwiches; and preparing beverages, such as coffee and soft drinks. Crew Members may use standard fast-food equipment such as grills, fryers, warming trays, ovens, beverage dispensers, and food preparation stations. Cooking tasks follow simple, repetitive steps with set cooking times. There is no recipe development and no remotely complex food preparation techniques are employed. Serve customers. Once orders are assembled, a Crew Member will provide it to the customer, whether in the dining area, at the service counter or via the driver-through window. Crew members will spot-check the order’s content for accuracy and offer customer-oriented service to guests to ensure a superior restaurant experience for them. Maintain cleanliness standards. Crew Members maintain cleanliness standards throughout the restaurant, including the kitchen, service counters, dining areas, and restrooms. Cleaning tasks include wiping and sanitizing food preparation surfaces, sweeping and mopping floors, washing utensils and trays, emptying trash, restocking supplies, and cleaning equipment. Cleaning tools and materials include mops, brooms, buckets, cleaning cloths, gloves, and approved cleaning and sanitizing solutions. All cleaning and sanitation duties are performed according to established company procedures and food safety standards. ***Original*** Take customer orders; accept payments; prepare food &amp; beverages; serve customers; and, maintain cleanliness standards at a Hardee's restaurant. We ask the Officer to please issue the determination as an HOURLY WAGE rather than an annualized figure please. Job Classification: 35-3023.00 - Fast Food and Counter Workers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The work schedule is as follows: 35 hours a week, work will be performed Monday through Sunday in rotating 8-hour shifts scheduled between 4:00 AM and 11:00 PM. Each applicant (U.S. and H-2B workers alike) must complete the Employers standard online employment application as part of the hiring process. The application is uniformly required of all candidates and does not impose additional or different requirements on U.S. workers. The workers will be subject to drug testing upon reasonable suspicion, paid by the employer and applied equally to all workers, U.S. and foreign/H-2B. The workers are subject to employment criminal background checks, paid by the employer and applied equally to all workers, U.S. and foreign/H-2B. Number of Hours Per Week: 35 Work Schedule (Start/End time): 4:00 A.M. - 11:00 P.M.</t>
  </si>
  <si>
    <t>H-400-26184-078313</t>
  </si>
  <si>
    <t>***RFI response*** Take customer orders. At the service counter or via an intercom system, customers place orders, which are entered into a point-of-sale (POS) machine by the Crew Member. While working in this function, Crew members also accept cash and primarily electronic payments, make change as necessary and provide receipts. Prepare food &amp; beverages. Crew Members prepare guest orders from a limited, quick-service menu. Food preparation involves warming, cooking, assembling, and packaging pre-portioned and pre-cooked items delivered to the restaurant. Tasks include heating burgers, sandwiches, biscuits, and breakfast items; frying french fries; assembling sandwiches; and preparing beverages, such as coffee and soft drinks. Crew Members may use standard fast-food equipment such as grills, fryers, warming trays, ovens, beverage dispensers, and food preparation stations. Cooking tasks follow simple, repetitive steps with set cooking times. There is no recipe development and no remotely complex food preparation techniques are employed. Serve customers. Once orders are assembled, a Crew Member will provide it to the customer, whether in the dining area, at the service counter or via the driver-through window. Crew members will spot-check the order’s content for accuracy and offer customer-oriented service to guests to ensure a superior restaurant experience for them. Maintain cleanliness standards. Crew Members maintain cleanliness standards throughout the restaurant, including the kitchen, service counters, dining areas, and restrooms. Cleaning tasks include wiping and sanitizing food preparation surfaces, sweeping and mopping floors, washing utensils and trays, emptying trash, restocking supplies, and cleaning equipment. Cleaning tools and materials include mops, brooms, buckets, cleaning cloths, gloves, and approved cleaning and sanitizing solutions. All cleaning and sanitation duties are performed according to established company procedures and food safety standards. ***Original*** Take customer orders; accept payments; prepare food &amp; beverages; serve customers; and, maintain cleanliness standards at a Hardee's restaurant. We ask the Officer to please issue the determination as an HOURLY WAGE rather than an annualized figure please. Job Classification: 35-2011.00 - Cooks, Fast Food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The work schedule is as follows: 35 hours per week, work will be performed Monday through Sunday in rotating 8-hour shifts scheduled between 4:00 AM and 11:00 PM. Each applicant (U.S. and H-2B workers alike) must complete the Employers standard online employment application as part of the hiring process. The application is uniformly required of all candidates and does not impose additional or different requirements on U.S. workers. The workers will be subject to drug testing upon reasonable suspicion, paid by the employer and applied equally to all workers, U.S. and foreign/H-2B. The workers are subject to employment criminal background checks, paid by the employer and applied equally to all workers, U.S. and foreign/H-2B. Number of Hours Per Week: 35 Work Schedule (Start/End time): 4:00 A.M. - 11:00 P.M.</t>
  </si>
  <si>
    <t>H-400-26184-078331</t>
  </si>
  <si>
    <t>CM Amusement &amp; Productions, Inc</t>
  </si>
  <si>
    <t>mike@cmamusement.com</t>
  </si>
  <si>
    <t>+16262252791</t>
  </si>
  <si>
    <t>H-400-26184-078337</t>
  </si>
  <si>
    <t>City SC Management LLC</t>
  </si>
  <si>
    <t>Mark Ople</t>
  </si>
  <si>
    <t>michael@ourcity.com</t>
  </si>
  <si>
    <t>Soccer Coach</t>
  </si>
  <si>
    <t>Responsible for enhancing longevity and loyalty through top-tier training, education, and communication. Crafting and executing a comprehensive player development program to elevate performance and retention. Conducting dynamic training sessions that captivate and challenge athletes at every level. Managing a club-specific database to track player progress and vital information. Mentoring co-coaches to ensure alignment with age-specific teaching methods and learning needs. Serving as a beacon of continuous improvement and lifelong learning, forging meaningful connections with players. Encouraging reflective practices, fostering collaboration, and addressing common concerns within the team. Modeling excellence on the field, collaborating on coaching strategies, and providing constructive feedback. Cultivating strong ties within the community, representing our values both on and off the field. Leading 2-4 training sessions weekly per team, tailored to diverse age groups and skill levels. Committing to attending league and tournament games, excluding scheduling conflicts. Adhering to coaching directives and administrative procedures established by leadership. Maintaining transparent communication with players and parents, promptly addressing inquiries and scheduling changes. Hosting regular team meetings to relay important information and reinforce club policies. Playing an active role in player recruitment and team roster management, in accordance with club guidelines. Contributing to club events and initiatives, including recreational all-star tryouts, street soccer sessions, and skills clinics. Participating in progress report meetings and coaching the team through the season's culmination. Ensuring the upkeep of club equipment and facilities, preserving our resources for optimal performance. The Soccer Coach position involves a standard workweek of 42.5 hours, Monday through Friday. The daily schedule is split as follows: 9:00AM to 1:00PM(Administrative duties, video analysis, and curriculum planning) and 3:30PM to 8:00PM (On-field team training and player coaching). Additionally, workers are required to work rotating weekend hours (Saturday and Sunday) to accommodate the league game schedule and tournament participation. Weekend hours will vary based on match times, typically falling between 8:00 AM and 5:00 PM. The total weekly hours will remain consistent, and any hours worked in excess of 40 per week will be compensated at the overtime rate. On the job training will not be provided. Overtime is available at the rate of $44.19 per hour. Daily transportation to and from the designated worksite(s) will not be provided by the employer. It is the worker's sole responsibility to secure their own daily transportation to and from the training facilities and game locations. The employer will, however, provide all necessary transportation between worksites during the workday if travel between locations is required for coaching duties. The employer will use a single workweek as its standard for computing wages due. The coach will be paid every 2 weeks. The employer will make all deductions from the worker's paycheck required by law. The employer will be reimbursed for transportation and subsistence from the place from which the worker has come to work for the employer if the worker completes 50% of the period of employment covered by the job order. The employer will provide or pay for the cost of return transportation and daily subsistence from the place of employment to the place from which the worker departed to work for the employer, if the worker completes the certified period of employment or is dismissed from employment for any reason by the employer before the end of the period. The employer will reimburse the worker in the first workweek for all visa, visa processing, border crossing, and other related fees, including those mandated by the government. The employer will provide to the worker, without charge or deposi Job Classification: 27-2022.00 - Coaches and Scouts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12 Special Requirements: Entry-level USSF Coaching License(eg, US Soccer 7v7 Online Coaching License, US Soccer 9v9 InPerson Coaching License, US Soccer 11v11 InPerson Coaching License, or US Soccer D License); Current Cal South &amp; US Soccer safety certifications incl. SafeSport, CDC Heads Up Concussion, Livescan Risk Mgmt. Number of Hours Per Week: 38 Work Schedule (Start/End time): 9:00 A.M. - 8:00 P.M.</t>
  </si>
  <si>
    <t>H-400-26184-078306</t>
  </si>
  <si>
    <t>Commonwealth Plywood Inc.</t>
  </si>
  <si>
    <t>Sherry Longtin</t>
  </si>
  <si>
    <t>kclemons@cpiwhitehall.com</t>
  </si>
  <si>
    <t>+15184990099</t>
  </si>
  <si>
    <t>Laborers and Freight, Stock, and Material Movers, Hand</t>
  </si>
  <si>
    <t>***RFI Response*** "The H2B workers will perform only tasks which require that they move the plywood materials by hand at each of the processing stations. They only require gloves to protect their hands when moving the plywood materials. At each process station operated by an experienced permanent employee, the workers assist the material by hand to the next process station. Permanent employees operate fork lifts that allow the temporary workers to move by hand the materials onto a fork lift. The temporary workers do not operate forklifts. They do not require any tools. Their job at each station is to assist by hand moving the material onto the next process and/or hand guiding the materials onto the fork lift operated by a permanent employee." ***Original Duties*** Moving, sorting, and/or marking plywood material by hand throughout the different machine process stations as material exits to be placed onto forklifts. Job Classification: 53-7062.00 - Laborers and Freight, Stock, and Material Movers, Hand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Be able to lift 30 pounds Number of Hours Per Week: 40 Work Schedule (Start/End time): 7:00 A.M. - 3:30 P.M.</t>
  </si>
  <si>
    <t>H-400-26184-078310</t>
  </si>
  <si>
    <t>DLA Group, LLC</t>
  </si>
  <si>
    <t>dlagroupadmin@gmail.com</t>
  </si>
  <si>
    <t>+19854620968</t>
  </si>
  <si>
    <t>H-400-26184-078299</t>
  </si>
  <si>
    <t>Day Light Limited Liability Company</t>
  </si>
  <si>
    <t>Tulio Suarez</t>
  </si>
  <si>
    <t>30/09/2028</t>
  </si>
  <si>
    <t>daylightyachtmgmt@gmail.com</t>
  </si>
  <si>
    <t>+19542569134</t>
  </si>
  <si>
    <t>Shipbuilding Inspector</t>
  </si>
  <si>
    <t>Oversee boat development, building, and test sailing. Coordinate shipbuilding process with yard managers, QA/QC, design, and supply departments. Check design drawings and plan approval. Inspection and testing of hull, pipe, outfitting, and machinery as per inspection and testing plan. Be present on inspections and testing of pre-assembly and assembly of hull blocks, pipe and outfitting prefabrication and installation. Inspection of erection fit up and welding of blocks and the slipway. Tank testing and integrity inspection. External inspection of subcontractor prefabrication workshops. Attend safety and production meeting with shipyard. Attend inclining tests and sea trials. Job Classification: 17-2121.00 - Marine Engineers and Naval Architects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48 Number of Hours Per Week: 40 Work Schedule (Start/End time): 8:00 A.M. - 4:00 P.M.</t>
  </si>
  <si>
    <t>H-400-26184-078325</t>
  </si>
  <si>
    <t>Paralegal</t>
  </si>
  <si>
    <t>Review, organize, and maintain case files, legal documents, and correspondence related to H-2B temporary labor certification applications. Assist attorneys in preparing and filing applications with the Department of Labor and U.S. Citizenship and Immigration Services and related supporting documentation. Gather supporting evidence required for H-2B petitions, including prevailing wage determinations, recruitment documentation, and employer attestations. Draft and proofread legal correspondence, memoranda, and supporting letters on behalf of supervising attorneys. Coordinate and track filing deadlines, case milestones, and application statuses across multiple concurrent client matters. Communicate with clients to collect required information, documents, and signatures needed to complete H-2B filings. Organize and maintain electronic and physical filing systems for active and archived case files. Assist with preparation of responses to Requests for Evidence and Notices of Deficiency issued by government agencies. Perform administrative support tasks related to legal operations, including scheduling, document preparation, and correspondence management. Job Classification: 23-2011.00 - Paralegals and Legal Assistants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24 Special Requirements: Basic English skills required. Associate's degree in Paralegal Studies, Legal Studies, or a related field required. Minimum 24 months of experience as a paralegal, legal assistant, or in a closely related position required. Knowledge of immigration law and H-2B temporary labor certification processes preferred. Must be able to lift and carry weights sufficient to move files and materials necessary to complete assigned tasks. Use of office equipment including computers, printers, scanners, and legal case management software. 40 hours per week, 5 days per week. Typical schedule is Monday through Friday, 9AM to 6PM. Schedule may vary and can include evenings, weekends, or holidays, as needed. Employer will rely on worker's own representations and observations of worker to assess if worker meets the physical ability requirements stated here. Number of Hours Per Week: 40 Work Schedule (Start/End time): 9:00 A.M. - 6:00 P.M.</t>
  </si>
  <si>
    <t>H-400-26184-078362</t>
  </si>
  <si>
    <t>Dixieland Walls CSRA LLC</t>
  </si>
  <si>
    <t>bretcathey@dixielandwalls.com</t>
  </si>
  <si>
    <t>+17065898740</t>
  </si>
  <si>
    <t>Winter Concrete Finisher</t>
  </si>
  <si>
    <t>Concrete finishers are responsible for smoothing and finishing of poured concrete floors, slabs, walls, tilt-walls, elevated slabs, and site work (curbs, sidewalks, loading docks, etc.) to specified quality using hand tools or power tools to include floats, trowels, and screeds. Tasks include: prepping, pouring, placing, and finishing of concrete, erecting and setting forms for concrete structures, foundations, buildings, and site work per specifications and drawings. This may include concrete tilt-wall forms, symon forms and/or structural forms for columns, decks, elevator cores, parking garages and other cast in place concrete structures. Job Classification: 47-2051.00 - Cement Masons and Concrete Finishers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Three (3) months of construction or related experience required. Number of Hours Per Week: 40 Work Schedule (Start/End time): 7:00 A.M. - 5:00 P.M.</t>
  </si>
  <si>
    <t>H-400-26184-078336</t>
  </si>
  <si>
    <t>Duck Concessions, LLC</t>
  </si>
  <si>
    <t>brandieduck22@gmail.com</t>
  </si>
  <si>
    <t>+19033535578</t>
  </si>
  <si>
    <t>Perform variety of attending duties at mobile food concession. Arrange tables and decorations according to instructions. Communicate with customers regarding orders. Accept payment from customers. Serve food, beverages or desserts to customers. Prepare daily food items and cook simple foods and beverages using proper safety precautions and safety measures. Clean &amp; organize eating, service, and kitchen areas. Perform cleaning duties to keep equipment and facilities sanatory. Job Classification: 35-2011.00 - Cooks, Fast Food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Post-employment random drug testing and background checks may be required, at no cost to the worker. The job requires the applicant to be qualified, ready, willing, able, and available to perform during the entire employment at the designated worksites; and to follow workplace rules. Number of Hours Per Week: 40 Work Schedule (Start/End time): 1:00 P.M. - 10:00 P.M.</t>
  </si>
  <si>
    <t>H-400-26184-078309</t>
  </si>
  <si>
    <t>ES Foundry Corp</t>
  </si>
  <si>
    <t>Christina Lau</t>
  </si>
  <si>
    <t>hr@esfoundrycorp.com</t>
  </si>
  <si>
    <t>+18642593610</t>
  </si>
  <si>
    <t>Machine Operator</t>
  </si>
  <si>
    <t>Read blueprints or job orders to determine product specifications and tooling instructions and to plan operational sequences. Set up, operate, and tend automated assembling equipment such as robotic and fixed automation equipment. Facilitate machine alignment, movement, and adjustment of machinery equipment, and materials. Conduct cosmetic and functional inspection as per work instruction. Mark, record, and report defects. Check mechanical dimensions and perform go-no-go electrical tests. Identify and mark acceptable and defective assemblies. Perform simple electrical and continuity testing of electronic components, parts, and systems. Collect, record, and summarize inspection results. Complete manual assembly, cleaning, testing, and inspection work as per work instructions. Prepare and sort material as per work instruction, load/unload material onto machine or manual workstations. Clean and prepare the worksite, workstation, and machines. Check final assembly for finish, labeling, and packaging methods. Job Classification: 51-4081.00 - Multiple Machine Tool Setters, Operators, and Tenders, Metal and Plastic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9 Special Requirements: Experience in manufacturing machine operations. Number of Hours Per Week: 72 Work Schedule (Start/End time): 7:00 A.M. - 7:00 P.M.</t>
  </si>
  <si>
    <t>H-400-26184-078351</t>
  </si>
  <si>
    <t>Teaching Assistant - Elementary School</t>
  </si>
  <si>
    <t>Assist elementary school licensed teacher with instructional duties. Support licensed teacher in the design and implementation of educational programs and services for elementary school. Tutor and assist students, individually or in small groups, in a multi-grade classroom environment to reinforce learning concepts presented by teachers on core subject areas including reading, writing, math, science, and social studies. Assist teachers with different instruction methods to meet diverse student learning needs. Implement early literacy and numeracy strategies, as directed by teacher. Teach social skills to students, using culturally responsive instructional practices appropriate for rural Alaska communities. Maintain accurate student records and provide feedback to monitor student progress. Utilize technology for instruction, communication, and reporting. Supervise students in classroom, school premises and field trips. Establish and maintain a positive classroom environment. Communicate regularly with parents and community members. Collaborate with supervising teacher, aides, support staff, and administration. Participate in professional development and district meetings. Support school-wide activities and student programs. Job Classification: 25-9042.00 - Teaching Assistants, Preschool, Elementary, Middle, and Secondary School, Except Special Education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Bachelors or foreign degree equivalent in Education, Psychology or a related field is required. Workdays and Schedule: Monday through Friday, 8:15am to 4:15pm, including hour duty free lunch break. Employer will offer at least (no less than) 40 hours per week. Number of Hours Per Week: 40 Work Schedule (Start/End time): 8:15 A.M. - 4:15 P.M.</t>
  </si>
  <si>
    <t>H-400-26184-078302</t>
  </si>
  <si>
    <t>Erik Lutgert</t>
  </si>
  <si>
    <t>31/05/2029</t>
  </si>
  <si>
    <t>erik@lutgert.com</t>
  </si>
  <si>
    <t>+12392616100</t>
  </si>
  <si>
    <t>Teach and perform age-appropriate activities including lap play, reading, arts, crafts, sports, walks, and play dates. Encourage intellectual development of children. Assist children in the healthy personal habits such as eating and resting. Meet regularly with father to discuss children's development. Remove hazards and develop appropriate boundaries and rules to create safe environments for children. Assign appropriate chores and praise targeted behaviors to encourage sense of responsibility. Transport children to and from school, doctors appointments, family members' homes and other occasions. Prepare healthy meals for children, launder clothes and bedding, and tidy children's spaces. Maintain and promote children's good hygiene. Accompany children on supervised visits with Mother. Perform other similar related duties as necessary. Job Classification: 39-9011.01 - Nannies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6 Special Requirements: Must have at least sixmonths prior full-time or full-time equivalent experience as a nanny, personal assistant, or other similar role supporting privatefamilies with children. Must have or be able to obtain a state Driver's License. Must have or be able to obtain First Aid and CPR Certification. Number of Hours Per Week: 48 Work Schedule (Start/End time): 6:30 A.M. - 6:00 P.M.</t>
  </si>
  <si>
    <t>H-400-26184-078360</t>
  </si>
  <si>
    <t>Geraldine Levanas</t>
  </si>
  <si>
    <t>geraldinelevanas4765@gmail.com</t>
  </si>
  <si>
    <t>+13058473858</t>
  </si>
  <si>
    <t>Live-in Home Health Aide</t>
  </si>
  <si>
    <t>Provide care to elderly adult in private home. Assist with daily activities including bathing, dressing, grooming and exercise. Prepare and serve healthy meals and snacks. Direct and assist with mentally stimulating activities such as games, puzzles, and crafts. Assist with health monitoring and provide emotional support. Do laundry and maintain a clean and orderly environment. Job Classification: 31-1121.00 - Home Health Aides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12 Number of Hours Per Week: 72 Work Schedule (Start/End time): 9:00 A.M. - 9:00 P.M.</t>
  </si>
  <si>
    <t>H-400-26184-078355</t>
  </si>
  <si>
    <t>Intrawest/Winter Park Operations Corporation</t>
  </si>
  <si>
    <t>tarrington@winterparkresort.com</t>
  </si>
  <si>
    <t>+19707261536</t>
  </si>
  <si>
    <t>Lead Coach</t>
  </si>
  <si>
    <t>Directly coach participants; organize, manage program coaching staff including staff scheduling, performance planning, and evaluations; communicate effectively with parents and athletes; set and maintain courses, closures, and safety measures following standards of US Ski and Snowboard and FIS; ensure all facilities and equipment are properly maintained and stored; conduct video analysis sessions with participants; conduct athlete goal setting meetings regularly; responsible for athlete supervision, team captain's meeting representation, organize team travel arrangements; participate in staff meetings. Job Classification: 27-2022.00 - Coaches and Scouts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24 Special Requirements: USSA level 200 or Internationally recognized equivalent preferred. Applicant must complete pre-employment background check, be able to lift 50 lbs, and speak English. Must be able to stand in ski boots for at least 6 hours in adverse weather conditions. Frequency of Pay: Bi-weekly On-the-Job Training provided. Will Train. Days and Shifts: Following Shifts available 7 days a week including weekends and holidays. Work schedule can vary and may include evening, weekend, and holidays hours. Example shift: 9:00am to 4:00pm. Shift hours may vary. Hourly Wage: $24.35 to $32.00/hr (based on merit and past experience with our company) Possible Wage Increase: Pay raises for increased certification levels. Overtime Possible: Overtime may be available at $36.53 to 48.00/hr. Will require pre-employment background and rehire status (if previously employed by Winter Park and/or Alterra). Fringe Benefits: Free ski pass, 50% off rentals, free ski lessons, 30% off retail items, 50% off F&amp;B grab and go, 25% off sit down dining. Number of Hours Per Week: 35 Work Schedule (Start/End time): 9:00 A.M. - 4:00 P.M.</t>
  </si>
  <si>
    <t>H-400-26184-078304</t>
  </si>
  <si>
    <t>Lola Group LLC</t>
  </si>
  <si>
    <t>david@lola-group.net</t>
  </si>
  <si>
    <t>+18336393052</t>
  </si>
  <si>
    <t>***RFI response*** Workers will assist skilled trades by carrying, moving, positioning, staging, and organizing materials, tools, and supplies needed for ongoing construction projects. Workers may hold materials in place while skilled workers perform their tasks, transport tools and equipment throughout the job site, unload and distribute deliveries, maintain clear and safe work areas, remove debris, and perform cleanup activities before, during, and after construction operations. Workers may also assist with preparing work areas by clearing snow and ice, maintaining access routes, organizing material storage areas, and ensuring materials and equipment are readily available to skilled workers. All duties are performed under supervision and are labor-related in nature, requiring no specialized skills, certification, or licensing. Tools and equipment used may include snow shovels, ice chippers, snow blowers, brooms, rakes, wheelbarrows, hand trucks, dollies, pallet jacks, utility knives, pry bars, hammers, drills, and other basic hand and power tools used for site maintenance, cleanup, snow removal, and material handling. Materials handled may include snow, ice, salt, sand, de-icing products, construction supplies, pallets, tools, equipment, and non-hazardous debris. The hand and power tools used in the position are basic tools commonly used for site maintenance, cleanup, snow removal, and material handling and do not require any special license or certification to operate. ***Original*** Perform general labor tasks at construction sites during winter conditions to support ongoing projects. Duties include site preparation and cleanup, removing debris, loading and unloading materials, and assisting skilled trades as needed. Perform snow and ice removal to maintain safe and accessible work areas, including clearing walkways, work zones, and equipment paths. Use hand and power tools to assist with basic construction, demolition, and material handling tasks. Follow all safety protocols related to cold weather conditions, including proper handling of equipment and materials in freezing temperatures. Maintain a clean, organized, and safe job site at all times. Job Classification: 47-2061.00 - Construction Laborers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3 months of experience or related. Number of Hours Per Week: 40 Work Schedule (Start/End time): 7:00 A.M. - 4:00 P.M.</t>
  </si>
  <si>
    <t>H-400-26184-078328</t>
  </si>
  <si>
    <t>Lola Services LLC</t>
  </si>
  <si>
    <t>marcelo@lolaservices.com</t>
  </si>
  <si>
    <t>+18336393097</t>
  </si>
  <si>
    <t>***RFI response*** Workers will assist skilled trades by carrying, moving, positioning, staging, and organizing materials, tools, and supplies needed for ongoing construction projects. Workers may hold materials in place while skilled workers perform their tasks, transport tools and equipment throughout the job site, unload and distribute deliveries, maintain clear and safe work areas, remove debris, and perform cleanup activities before, during, and after construction operations. Workers may also assist with preparing work areas by clearing snow and ice, maintaining access routes, organizing material storage areas, and ensuring materials and equipment are readily available to skilled workers. All duties are performed under supervision and are labor-related in nature, requiring no specialized skills, certification, or licensing. Tools and equipment used may include snow shovels, ice chippers, snow blowers, brooms, rakes, wheelbarrows, hand trucks, dollies, pallet jacks, utility knives, pry bars, hammers, drills, and other basic hand and power tools used for site maintenance, cleanup, snow removal, and material handling. Materials handled may include snow, ice, salt, sand, de-icing products, construction supplies, pallets, tools, equipment, and non-hazardous debris. The hand and power tools used in the position are basic tools commonly used for site maintenance, cleanup, snow removal, and material handling and do not require any special license or certification to operate. ***Original*** Perform general labor tasks at construction sites during winter conditions to support ongoing projects. Duties include site preparation and cleanup, removing debris, loading and unloading materials, and assisting skilled trades as needed. Perform snow and ice removal to maintain safe and accessible work areas, including clearing walkways, work zones, and equipment paths. Use hand and power tools to assist with basic construction, demolition, and material handling tasks. Follow all safety protocols related to cold weather conditions, including proper handling of equipment and materials in freezing temperatures. Maintain a clean, organized, and safe job site at all times. Job Classification: 47-2061.00 - Construction Laborers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3 Months of experience or related. Number of Hours Per Week: 40 Work Schedule (Start/End time): 7:00 A.M. - 4:00 P.M.</t>
  </si>
  <si>
    <t>H-400-26184-078327</t>
  </si>
  <si>
    <t>Luehrs' Ideal Rides, Inc.</t>
  </si>
  <si>
    <t>kecatkins@gmail.com</t>
  </si>
  <si>
    <t>+15614273224</t>
  </si>
  <si>
    <t>49-9098: Helpers—installation, Maintenance</t>
  </si>
  <si>
    <t>H-400-26184-078322</t>
  </si>
  <si>
    <t>M&amp;C Attractions, LLC</t>
  </si>
  <si>
    <t>mmsims89@gmail.com</t>
  </si>
  <si>
    <t>+12543962645</t>
  </si>
  <si>
    <t>***2nd RFI response*** Tasks performed on Vehicles: Clean. Tools used: May use Broom, Cloth, Soap. Tasks performed on Industrial Machinery. To clarify, the Industrial Machinery are amusement rides, food concessions trailers and related carnival equipment. Replace defective or worn parts such as light bulbs, switches, belts, hoses &amp; belts. Sand, scrape, clean, surfaces and structures to maintain appearance and prevent rust or deterioration. Tools used: May use the following tools, equipment, and materials while performing assigned duties: Wrenches, socket and ratchet sets, screwdrivers, pliers, hammers, pry bars, measuring tape, adjustable wrenches, sandpaper, pencils &amp; gloves. They will use step ladders, vacuums and cleaning equipment and supplies, such as sponges, rags and soap. Tasks performed on Electrical and Electronic Equipment. To clarify the Electrical and Electronic Equipment will be worked on, these would be the sound systems and control boxes that are included in the Amusement Ride. Tasks would be to clean our dust and debris that may have collected within the system, replace light bulbs, place wire ties or similar restraints on wiring. Tools: May use the following tools, equipment, and materials while performing assigned duties: Wrenches, socket and ratchet sets, screwdrivers, pliers, hammers, pry bars, measuring tape, adjustable wrenches, sandpaper, cans of pressurized air, pencils &amp; gloves. They will use step ladders, vacuums and cleaning equipment and supplies, such as sponges, rags and soap. ***1st RFI response*** Specific Tasks and tools used to perform those tasks: The workers will assist with the installation, setup, and dismantling of amusement rides, food concession trailers and related carnival equipment. Replace defective or worn parts such as light bulbs, switches, belts, hoses &amp; belts. Sand, scrape, clean trailers, metal surfaces and structures to maintain appearance and prevent rust or deterioration. Check and replace electrical bulbs, sockets, fuse and lighting fixtures as needed. Clean and maintain work areas. Workers may use the following tools, equipment, and materials while performing assigned duties: Wrenches, Socket and ratchet sets, screwdrivers, pliers, hammers, pry bars, measuring tape, adjustable wrenches. They will use ladders, vacuums and cleaning equipment and supplies, such as sponges, rags and soap. Neither Vehicles, Industrial Machinery nor Electrical &amp; Electronic Equipment will be serviced, only amusement rides, food concessions trailers and related carnival equipment. No work will be performed on Diesel Engines. Work will take place at the Carnival “Winter Quarters” where they park their equipment when not on the road. ***Original*** Help installation, maintenance, and repair workers in maintenance, parts replacement, and repair of vehicles, industrial machinery, and electrical and electronic equipment. Perform duties such as furnishing tools, materials and supplies to other workers; cleaning work area, machines, and tools; and holding materials or tools for other workers. Job Classification: 49-9071.00 - Maintenance and Repair Workers, General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Post-employment random drug testing &amp; background checks may be required, at no cost to the worker. The job requires the applicant to be qualified, ready, willing, able, &amp; available to perform during the entire employment at the designated worksite; to enter into &amp; comply with employment contract; to follow workplace rules. Number of Hours Per Week: 35 Work Schedule (Start/End time): 8:00 A.M. - 4:00 P.M.</t>
  </si>
  <si>
    <t>H-400-26184-078301</t>
  </si>
  <si>
    <t>Duties include sweeping, mopping, vacuuming, dusting, sanitizing, and disinfecting. Clean windows, ceiling vents, and furniture. Remove garbage from the site to a dumpster or disposable area. Replacing linen and do laundry. Other duties as assigned. Job Classification: 37-2012.00 - Maids and Housekeeping Cleaners The job/industry classification and description includes general information on the position from ONET/OES and the North American Industry Classification System. Please review Job Duties and Job Order for more information. Job Requirements Experience Required: No Number of Hours Per Week: 35 Work Schedule (Start/End time): 9:00 A.M. - 4:00 P.M.</t>
  </si>
  <si>
    <t>H-400-26184-078332</t>
  </si>
  <si>
    <t>Majuse Logistic LLC</t>
  </si>
  <si>
    <t>majuselogistic@hotmail.com</t>
  </si>
  <si>
    <t>+18772168283</t>
  </si>
  <si>
    <t>Assist roofers with the setup and removal of ladders, scaffolding, and other equipment. Assist roofers with tasks like applying roofing felt, asphalt strips, or other materials. Clean the work area and equipment. Prepare the work area by clearing debris and ensuring a safe working environment. Job Classification: 47-3016.00 - Helpers--Roofers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3 months of experience or related. Number of Hours Per Week: 40 Work Schedule (Start/End time): 7:00 A.M. - 4:00 P.M.</t>
  </si>
  <si>
    <t>H-400-26184-078330</t>
  </si>
  <si>
    <t>Install, repair, and replace roofs using materials such as shingles, tiles, metal, gravel, asphalt, and shakes. Repair, replace, and remove broken materials and debris. Use various materials like shingles, metal, or tiles, requiring physical stamina, working at heights, and adherence to safety protocols. Inspect roof structure for quality and longevity Job Classification: 47-2181.00 - Roofers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3 months of experience or related. Number of Hours Per Week: 40 Work Schedule (Start/End time): 7:00 A.M. - 4:00 P.M.</t>
  </si>
  <si>
    <t>H-400-26184-078324</t>
  </si>
  <si>
    <t>Manchester Roofing Inc</t>
  </si>
  <si>
    <t>phil@manchesterroofinginc.com</t>
  </si>
  <si>
    <t>+14192691415</t>
  </si>
  <si>
    <t>Assisting skilled roofers with minor roof service work, such as patching leaks, sealing seams, and performing temporary repairs on commercial/industrial roofing systems. Shoveling snow from sidewalks, driveways, and rooftops using snow shovels and hand blowers. Spreading salt and de-icing agents on walkways, driveways, and access points by hand and shovel. Assisting with winter maintenance of roofing tools and equipment, including inspections, cleaning and organizing inventory. Ability to lift/Carry up to 75 lbs. Ability to work in excess of 15 feet off the ground. Job Classification: 49-9099.00 - Installation, Maintenance, and Repair Workers, All Other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Random drug/alcohol and background checks paid for by employer. Ability to lift/carry 75 lbs. Must be able to work in excess of 15 ft off the ground Number of Hours Per Week: 40 Work Schedule (Start/End time): 8:00 A.M. - 4:00 P.M.</t>
  </si>
  <si>
    <t>H-400-26184-078334</t>
  </si>
  <si>
    <t>Marlin Cargo LLC</t>
  </si>
  <si>
    <t>marlincargo@hotmail.com</t>
  </si>
  <si>
    <t>+18336393243</t>
  </si>
  <si>
    <t>Property Maintenance Worker</t>
  </si>
  <si>
    <t>***RFI Response*** The position performs general property upkeep and maintenance for residential, commercial, and active construction properties during the winter season. Duties include snow and ice removal from walkways, driveways, parking areas, building entrances, access paths, and other areas requiring safe pedestrian or vehicle access. Specific snow and ice removal tasks include shoveling snow; clearing snow from sidewalks, walkways, stairs, ramps, driveways, parking areas, building entrances, temporary access routes, and work areas; removing accumulated ice; and applying salt, sand, ice melt, and other de-icing materials to reduce slippery conditions and maintain safe access. Snow removal duties are performed manually and with basic snow-removal equipment to maintain safe pedestrian and vehicle access during winter weather conditions. Workers monitor properties and active construction sites for snow accumulation, ice buildup, and other winter-related hazards and report unsafe conditions to supervisors. Workers may assist in maintaining safe access to construction staging areas, material storage areas, jobsite entrances, and common work areas during winter weather conditions. Workers use hand tools and basic equipment including snow shovels, snow pushers, ice scrapers, brooms, spreaders, wheelbarrows, and walk-behind snow blowers. Workers may use walk-behind snow blowers to clear accumulated snow from sidewalks, walkways, entrances, driveways, parking areas, and other accessible areas. Materials used may include rock salt, sand, ice melt products, and other de-icing materials. Additional duties include cleaning common areas, removing debris, performing basic property upkeep, and assisting with winterization activities to help protect property, equipment, materials, and jobsite areas from cold-weather conditions. Workers report maintenance issues to supervisors. The position does not include skilled repair work such as electrical, plumbing, HVAC, or skilled construction trades work. Workers follow all safety procedures and respond to routine maintenance needs as directed. Work is performed primarily outdoors in cold weather conditions. ***Original F.a.2*** Perform general property upkeep and maintenance for residential and/or commercial properties during the winter season. Duties include snow and ice removal from walkways, driveways, parking areas, and building entrances; application of salt and de-icing materials; and monitoring of premises for winter-related hazards to ensure safe conditions. Perform basic upkeep tasks such as cleaning common areas and removing debris. Report maintenance issues to supervisors; position does not include skilled repair work (e.g., electrical, plumbing, or HVAC). Assist with winterization activities to help protect property and equipment from cold-weather conditions. Use hand tools and basic equipment to complete assigned tasks. Follow all safety procedures and respond to routine maintenance needs as directed. Work is performed primarily outdoors in cold weather conditions. Job Classification: 47-2061.00 - Construction Laborers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3 months of experience or related. Number of Hours Per Week: 40 Work Schedule (Start/End time): 7:00 A.M. - 4:00 P.M.</t>
  </si>
  <si>
    <t>H-400-26184-078349</t>
  </si>
  <si>
    <t>Matthew 1926, LLC</t>
  </si>
  <si>
    <t>MATTHEWLLC.ADMIN@GMAIL.COM</t>
  </si>
  <si>
    <t>+19568628554</t>
  </si>
  <si>
    <t>Property Maintenance Workers</t>
  </si>
  <si>
    <t>***RFI Response*** The position performs general property upkeep and maintenance for residential, commercial, and active construction properties during the winter season. Duties include snow and ice removal from walkways, driveways, parking areas, building entrances, access paths, and other areas requiring safe pedestrian or vehicle access. Specific snow and ice removal tasks include shoveling snow; clearing snow from sidewalks, walkways, stairs, ramps, driveways, parking areas, building entrances, temporary access routes, and work areas; removing accumulated ice; and applying salt, sand, ice melt, and other de-icing materials to reduce slippery conditions and maintain safe access. Workers monitor properties and active construction sites for snow accumulation, ice buildup, and other winter-related hazards and report unsafe conditions to supervisors. Workers may assist in maintaining safe access to construction staging areas, material storage areas, jobsite entrances, and common work areas during winter weather conditions. Workers use hand tools and basic equipment including snow shovels, snow pushers, ice scrapers, brooms, spreaders, wheelbarrows, and snow blowers. Materials used may include rock salt, sand, ice melt products, and other de-icing materials. Additional duties include cleaning common areas, removing debris, performing basic property upkeep, and assisting with winterization activities to help protect property, equipment, materials, and jobsite areas from cold-weather conditions. Workers report maintenance issues to supervisors. The position does not include skilled repair work such as electrical, plumbing, HVAC, or skilled construction trades work. Workers follow all safety procedures and respond to routine maintenance needs as directed. Work is performed primarily outdoors in cold weather conditions. ***Original Duties*** Perform general property upkeep and maintenance for residential and/or commercial properties during the winter season. Duties include snow and ice removal from walkways, driveways, parking areas, and building entrances; application of salt and de-icing materials; and monitoring of premises for winter-related hazards to ensure safe conditions. Perform basic upkeep tasks such as cleaning common areas and removing debris. Report maintenance issues to supervisors; position does not include skilled repair work (e.g., electrical, plumbing, or HVAC). Assist with winterization activities to help protect property and equipment from cold-weather conditions. Use hand tools and basic equipment to complete assigned tasks. Follow all safety procedures and respond to routine maintenance needs as directed. Work is performed primarily outdoors in cold weather conditions. Job Classification: 37-2011.00 - Janitors and Cleaners, Except Maids and Housekeeping Cleaners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3 months of experience or related. Number of Hours Per Week: 40 Work Schedule (Start/End time): 7:00 A.M. - 4:00 P.M.</t>
  </si>
  <si>
    <t>H-400-26184-078329</t>
  </si>
  <si>
    <t>Micah Deligdish Dressage LLC</t>
  </si>
  <si>
    <t>saqpolo@gmail.com</t>
  </si>
  <si>
    <t>+15615430389</t>
  </si>
  <si>
    <t>***RFI response*** Workers will check stalls and fencing visually for any minor repairs that are required. Workers will use hand tools such as hammer and nails or tape to fix any minor damage to stalls or fencing. Workers will also be cleaning the horse stalls daily using pitchforks, brooms and shovels. Workers will sweep barn aisleways using a broom. Workers will unload horse feed bags from trucks manually or using a wheelbarrow. They will unload the feed from the truck and bring to feed room in the barn. Workers will manually unload hay bales from hay truck and stack manually in hay loft. Workers will unload any supplies, such as medications, grooming utensils, saddles, from vehicles and trailors and manually bring to tack room or appropriate location. ***Original*** Feed and water horses according to specific schedules and feeding instructions. groom, bathe, exercise and prepare horses for training and show. Maintain property including stalls and fences using hand tools. Load and unload horse feed and supplies Job Classification: 53-7062.00 - Laborers and Freight, Stock, and Material Movers, Hand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Ability to obtain a US driver's license. Ability to lift/carry 50 lbs. Number of Hours Per Week: 40 Work Schedule (Start/End time): 8:00 A.M. - 4:00 P.M.</t>
  </si>
  <si>
    <t>H-400-26184-078338</t>
  </si>
  <si>
    <t>Mishu of South Florida LLC</t>
  </si>
  <si>
    <t>mishusf@outlook.com</t>
  </si>
  <si>
    <t>+18772168238</t>
  </si>
  <si>
    <t>H-400-26184-078315</t>
  </si>
  <si>
    <t>Montes Enterprises Inc</t>
  </si>
  <si>
    <t>montes.enterprises.inc@gmail.com</t>
  </si>
  <si>
    <t>+14402960024</t>
  </si>
  <si>
    <t>Snow removal by hand shoveling, snow plowing, salt spreading by hand, salt spreading by truck, perennial plant cut back, seasonal decoration hanging and removal for residential clients. Maintain equipment to ensure proper functioning. Winterize summer equipment and prep spring equipment. With regards to the employees' action of the snow plowing the employees will perform the following: The employees will shovel snow by hand using show shovels and/or by using a walk behind snow blower. The employees will remove snow on walkways, driveways, sidewalks in both residential and commercial properties. The employees will remove snow in front of garages using shovels. Please be advised that the employees will NOT be using a truck with a plow to remove snow. The snow removal will only be removed via hand shoveling and walk-behind snow blower. With regards to the employees' action of the spreading of salt the employees will spread salt by hand and by using a salt truck. Please note that the salt truck does not contain a plow and will not be used for snow plowing. Salt will be spread on both residential and commercial properties. It will be spread on sidewalks, driveways and walkways. With regards to the employees' action of the hanging/removal of holiday decorations the employees will hang outdoor seasonal lights. garlands. wreaths. tree decorations and lights and removable yard decorations such as Christmas, nativity and animals. Job Classification: 49-9099.00 - Installation, Maintenance, and Repair Workers, All Other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Ability to lift/carry 50 lbs. Random drug/alcohol and background checks paid for by employer. Number of Hours Per Week: 40 Work Schedule (Start/End time): 8:00 A.M. - 4:00 P.M.</t>
  </si>
  <si>
    <t>H-400-26184-078298</t>
  </si>
  <si>
    <t>Nick Lane LLC</t>
  </si>
  <si>
    <t>walter@nicklane.net</t>
  </si>
  <si>
    <t>+18666455495</t>
  </si>
  <si>
    <t>***RFI response*** The position performs general property upkeep and maintenance for residential, commercial, and active construction properties during the winter season. Duties include snow and ice removal from walkways, driveways, parking areas, building entrances, access paths, and other areas requiring safe pedestrian or vehicle access. Specific snow and ice removal tasks include shoveling snow; clearing snow from sidewalks, walkways, stairs, ramps, driveways, parking areas, building entrances, temporary access routes, and work areas; removing accumulated ice; and applying salt, sand, ice melt, and other de-icing materials to reduce slippery conditions and maintain safe access. Workers monitor properties and active construction sites for snow accumulation, ice buildup, and other winter-related hazards and report unsafe conditions to supervisors. Workers may assist in maintaining safe access to construction staging areas, material storage areas, jobsite entrances, and common work areas during winter weather conditions. Workers use hand tools and basic equipment including snow shovels, snow pushers, ice scrapers, brooms, spreaders, wheelbarrows, and snow blowers. Materials used may include rock salt, sand, ice melt products, and other de-icing materials. Additional duties include cleaning common areas, removing debris, performing basic property upkeep, and assisting with winterization activities to help protect property, equipment, materials, and jobsite areas from cold-weather conditions. Workers report maintenance issues to supervisors. The position does not include skilled repair work such as electrical, plumbing, HVAC, or skilled construction trades work. Workers follow all safety procedures and respond to routine maintenance needs as directed. Work is performed primarily outdoors in cold weather conditions. ***Original*** Perform general property upkeep and maintenance for residential and/or commercial properties during the winter season. Duties include snow and ice removal from walkways, driveways, parking areas, and building entrances; application of salt and de-icing materials; and monitoring of premises for winter-related hazards to ensure safe conditions. Perform basic upkeep tasks such as cleaning common areas and removing debris. Report maintenance issues to supervisors; position does not include skilled repair work (e.g., electrical, plumbing, or HVAC). Assist with winterization activities to help protect property and equipment from cold-weather conditions. Use hand tools and basic equipment to complete assigned tasks. Follow all safety procedures and respond to routine maintenance needs as directed. Work is performed primarily outdoors in cold weather conditions. Job Classification: 47-2061.00 - Construction Laborers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3 months of experience or related. Number of Hours Per Week: 40 Work Schedule (Start/End time): 7:00 A.M. - 4:00 P.M.</t>
  </si>
  <si>
    <t>H-400-26184-078321</t>
  </si>
  <si>
    <t>Nova Pro Construction, LLC</t>
  </si>
  <si>
    <t>novaproconstructionllc@gmail.com</t>
  </si>
  <si>
    <t>+17133989917</t>
  </si>
  <si>
    <t>H-400-26184-078345</t>
  </si>
  <si>
    <t>Olivia Group LLC</t>
  </si>
  <si>
    <t>michael@oliviagroup.net</t>
  </si>
  <si>
    <t>+18884727941</t>
  </si>
  <si>
    <t>***RFI Response*** The position performs general property upkeep and maintenance for residential, commercial, and active construction properties during the winter season. Duties include snow and ice removal from walkways, driveways, parking areas, building entrances, access paths, and other areas requiring safe pedestrian or vehicle access. Specific snow and ice removal tasks include shoveling snow; clearing snow from sidewalks, walkways, stairs, ramps, driveways, parking areas, building entrances, temporary access routes, and work areas; removing accumulated ice; and applying salt, sand, ice melt, and other de-icing materials to reduce slippery conditions and maintain safe access. Snow removal duties are performed manually and with basic snow-removal equipment to maintain safe pedestrian and vehicle access during winter weather conditions. Workers monitor properties and active construction sites for snow accumulation, ice buildup, and other winter-related hazards and report unsafe conditions to supervisors. Workers may assist in maintaining safe access to construction staging areas, material storage areas, jobsite entrances, and common work areas during winter weather conditions. Workers use hand tools and basic equipment including snow shovels, snow pushers, ice scrapers, brooms, spreaders, wheelbarrows, and walk-behind snow blowers. Workers may use walk-behind snow blowers to clear accumulated snow from sidewalks, walkways, entrances, driveways, parking areas, and other accessible areas. Materials used may include rock salt, sand, ice melt products, and other de-icing materials. Additional duties include cleaning common areas, removing debris, performing basic property upkeep, and assisting with winterization activities to help protect property, equipment, materials, and jobsite areas from cold-weather conditions. Workers report maintenance issues to supervisors. The position does not include skilled repair work such as electrical, plumbing, HVAC, or skilled construction trades work. Workers follow all safety procedures and respond to routine maintenance needs as directed. Work is performed primarily outdoors in cold weather conditions. ***Original F.a.2*** Perform general property upkeep and maintenance for residential and/or commercial properties during the winter season. Duties include snow and ice removal from walkways, driveways, parking areas, and building entrances; application of salt and de-icing materials; and monitoring of premises for winter-related hazards to ensure safe conditions. Perform basic upkeep tasks such as cleaning common areas and removing debris. Report maintenance issues to supervisors; position does not include skilled repair work (e.g., electrical, plumbing, or HVAC). Assist with winterization activities to help protect property and equipment from cold-weather conditions. Use hand tools and basic equipment to complete assigned tasks. Follow all safety procedures and respond to routine maintenance needs as directed. Work is performed primarily outdoors in cold weather conditions. Job Classification: 49-9071.00 - Maintenance and Repair Workers, General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3 months of experience or related. Number of Hours Per Week: 40 Work Schedule (Start/End time): 7:00 A.M. - 4:00 P.M.</t>
  </si>
  <si>
    <t>H-400-26184-078365</t>
  </si>
  <si>
    <t>Cooks (10 Months)</t>
  </si>
  <si>
    <t>1. Prepare all food as directed in a timely and sanitary manner. 2. Execute menu items on grill, deep fryer, and prepare soups and other special items. 3. Wash, clean, chop, dice, grate, slice a variety of meat, poultry, vegetables and other food items and place in proper containers. 4. Understand and comply consistently with our standard portion sizes, cooking methods, quality standards and kitchen rules, policies and procedures. 5. Has understanding and knowledge of how to properly use and maintain all equipment in the station. 6. Maintain a clean and sanitary workstation including tables, shelves, walls, grills, fryers sauté burners and refrigeration equipment. 7. Leads daily cleaning and line organization. 8. Knowledge and ownership of CA Health Code items and checks daily temp logs on refer and prepped food. 9. Inform Kitchen Manager or Chef of product shortages, equipment of food quality problems. 10. Assist and guide other line cooks and prep cooks on a day-to-day basis for prep and other functions in the kitchen. 11. Monitor sanitation practices to ensure that employees follow standards and regulations. 12. Execution/recipe development of sauté and pantry station. 13. Help the flow of food from time of delivery to the point it goes out to our guests. Lift approximately 50 lbs on a regular basis. Ability to stand for long periods of time. Job Classification: 35-2014.00 - Cooks, Restaurant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6 Special Requirements: Must have or be able to obtain current CA Food Handlers Card. 6 months Cook or Culinary experience in a fine-dining or high-volume environment at a high-end restaurant, resort, or private club required. On-the-Job Training provided. Will Train. Days and Shifts: Following Shifts available 7 days a week including weekends and holidays. Work hours from: 7am to 3:30pm; 9am to 5:30pm; 11am to 7:30pm; 3pm to 11:30pm, shift hours may vary based on the time of the season, daylight, and need. Hourly Wage: Tipped position with a guaranteed wage of $20.88 to $25.92 per hour. Possible Wage Increase: Palisades Tahoe offers pay raises based on merit and past experience with our company. Overtime Possible: Overtime may be available at $31.32 to $38.88 per hour. Fringe Benefits: Ski Pass, Shift Meals, 50% F&amp;B Discount and 30% Retail Discount. Number of Hours Per Week: 35 Work Schedule (Start/End time): 7:00 A.M. - 3:30 P.M.</t>
  </si>
  <si>
    <t>H-400-26184-078297</t>
  </si>
  <si>
    <t>SHALAH CARGO LLC</t>
  </si>
  <si>
    <t>shalahcargo@outlook.com</t>
  </si>
  <si>
    <t>+18666455303</t>
  </si>
  <si>
    <t>Perform general manual labor to support construction activities at job sites. Duties include preparing and maintaining work areas by cleaning debris, removing hazards, and organizing materials and tools. Load, unload, and transport construction materials and supplies. Assist with removal of existing materials and cleanup of work areas. Provide general support to skilled workers by handing materials, positioning supplies, and maintaining workflow as directed. Use basic hand and power tools as needed. Maintain a clean, safe, and organized job site and follow all safety procedures. All duties are performed under supervision and are labor-related, requiring no specialized skills, certification, or licensing. Job Classification: 47-2061.00 - Construction Laborers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3 months of experience or related. Number of Hours Per Week: 40 Work Schedule (Start/End time): 7:00 A.M. - 4:00 P.M.</t>
  </si>
  <si>
    <t>H-400-26184-078296</t>
  </si>
  <si>
    <t>H-400-26184-078293</t>
  </si>
  <si>
    <t>SIXMINDS LLC</t>
  </si>
  <si>
    <t>jorge@sixminds.net</t>
  </si>
  <si>
    <t>+18666452092</t>
  </si>
  <si>
    <t>H-400-26184-078295</t>
  </si>
  <si>
    <t>H-400-26184-078341</t>
  </si>
  <si>
    <t>Santos Reforestation, Inc.</t>
  </si>
  <si>
    <t>nicoschainsaw03@gmail.com</t>
  </si>
  <si>
    <t>+15414303501</t>
  </si>
  <si>
    <t>The job duties include: under supervision, perform manual labor necessary to maintain and protect timber tracts and forests; plant seedlings to reforest timberlands, dig holes for seedlings, pack soil around seedling with planting tool, and ensure protective maintenance of seeding by spraying/clearing/netting /thinning surrounding vegetation; Perform other tasks including pre-commercial thinning, brush clearing/piling, cutting undesirable or deceased trees, and reforestation maintenance. Job Classification: 45-4011.00 - Forest and Conservation Workers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Employees must be available to work the entire season and at all job sites; employees are required to carry up to 50 lbs.; employees must show proof of legal authority to work in the U.S.; Drug/alcohol free work zone; Pre-hire drug/alcohol testing will be conducted at the employers expense; the employers optional housing is provided at no cost. Number of Hours Per Week: 40 Work Schedule (Start/End time): 7:00 A.M. - 3:30 P.M.</t>
  </si>
  <si>
    <t>H-400-26184-078307</t>
  </si>
  <si>
    <t>Sara Whitney</t>
  </si>
  <si>
    <t>31/08/2029</t>
  </si>
  <si>
    <t>skwhitney1@gmail.com</t>
  </si>
  <si>
    <t>+17164858578</t>
  </si>
  <si>
    <t>Prepare, serve, and feed nutritionally balanced snacks and meals for two young children. Put children down for naps and regulate rest periods and nap schedules. Dress children or assist them with dressing. Engage children in age-appropriate activities such as lap play, reading, sports, arts and crafts, and outdoor play to promote their physical and intellectual development. Collaborate with parents to implement discipline programs that encourage desirable behavior. Instruct and assist children in developing healthy personal habits, such as eating, brushing teeth, and using the toilet. Model appropriate social behaviors and foster empathy to support the development of interpersonal and communication skills. Supervise age-appropriate chores and positively reinforce target behaviors to build self-control, self-confidence, and a sense of responsibility. Remove potential hazards and establish appropriate boundaries and household rules to ensure a safe environment. Administer first aid when necessary. Observe children's behavior for signs of illness or irregularities, take temperatures, and administer medication as directed to support their health and well-being. Perform housekeeping and cleaning tasks related to the children's care. Encourage good behavior while playing with household pets and involving the children in pet-related activities. Transport children to activities, social outings, and medical appointments. Shop for groceries, clothing, and other items needed for the children's care. All duties will be performed within a private household setting. Job Classification: 39-9011.01 - Nannies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12 Special Requirements: Minimum 12 months of experience as a nanny or childcare worker required. Basic English skills. Must be able to lift and carry weights sufficient to move equipment and material necessary to complete assigned tasks. Must be able to stand throughout the shift. Ability to physically engage in sports and active play with children. Use of kitchen appliances, laundry machines, and household automobile. Possession of or eligibility for a valid state driver's license. 42 hours per week, 6 days per week. Schedule may vary and can include evenings, weekends, or holidays, as needed. Employer will rely on workers' own representations and observations of worker to assess if worker meets the lifting, standing, and other physical ability requirements stated here. Number of Hours Per Week: 42 Work Schedule (Start/End time): 9:00 A.M. - 6:00 P.M.</t>
  </si>
  <si>
    <t>H-400-26184-078305</t>
  </si>
  <si>
    <t>Sky Priority Hospitality LLC</t>
  </si>
  <si>
    <t>kacyann.skyers@icloud.com</t>
  </si>
  <si>
    <t>+18507740557</t>
  </si>
  <si>
    <t>Off-season Hotel Maintenance</t>
  </si>
  <si>
    <t>Will provide training to perform a combination of off-season hotel facility maintenance, upgrade, and renovation duties, including HVAC, plumbing, gas, electrical, fire and safety systems, machinery, and equipment that include: Use hand and power tools, measuring instruments, and other supplies to install, adjust, upgrade, and repair furniture, machines, fixtures, and structures. Perform deep cleaning, inspections, and minor repairs on equipment and fixtures, such as replacing fluids, light bulbs, and HVAC filters. Assemble, install, upgrade or repair wiring, electrical or electronic components, and machinery. Perform minor plumbing repairs, such as fixing clogs, leaks, and low water pressure. Diagnose mechanical problems and determine necessary repairs or solutions. Deep clean and pressure wash exterior areas. Maintain and improve gardens and outdoor areas. Paint and repair fixtures, sidewalks, stairs, trims, and other facilities. Perform minor carpentry or masonry tasks. Refinish or repair furniture, woodwork, and other interior elements. Transfer furniture as needed within the property. Coordinate renovation, preventative maintenance, and repair projects. Machinery and electrical/electronic components include: HVAC units (air handlers, condensers, thermostats), kitchen and laundry appliances, ice machines, exhaust fans, light fixtures, ballasts, outlets, switches, breakers, and smoke detectors. Tasks: tighten connections; replace fuses, ballasts, bulbs, switches, outlets, and filters; reset breakers; and clean coils. Tools: multimeter, voltage tester, screwdrivers, pliers, drill, wire nuts, and electrical tape. Deep cleaning includes: stripping and waxing floors; shampooing carpets; cleaning HVAC vents and high-touch surfaces; descaling bathroom fixtures; degreasing kitchen equipment; skimming and brushing the pool surface and rinsing pool filter baskets; and pressure-washing walkways, balconies, pool decks, and parking areas. Tools: pressure washer, floor buffer, carpet extractor, mop, brushes, pool skimmer net, microfiber cloths, ladders, and cleaning chemicals. Pool equipment service (pumps, motors, chemical balancing) is handled by a licensed pool technician, not the worker. Garden and outdoor duties: weeding; raking leaves; spreading mulch; watering; and clearing debris from walkways and pool decks. Tools: leaf blower, rake, shovel, wheelbarrow, hose, and mulch. Painting tasks: scraping loose paint; sanding; filling cracks with spackle or caulk; applying primer; and applying interior and exterior paint to walls, ceilings, trims, doors, railings, stairs, sidewalks, and parking lines. Tools: brushes, rollers, trays, drop cloths, tape, ladders, scrapers, sandpaper, spackle, caulk, primer, paint, and sprayer. Minor carpentry: measuring, cutting, and installing trim, baseboards, and shelves; repairing furniture joints. Minor masonry: patching cracks in concrete walkways, stairs, and pool decks; replacing tiles; and re-grouting. Tools: hammer, hand and circular saws, drill, screws, nails, level, trowel, grout float, tiles, grout, mortar, and patch. Furniture transfer: moving guestroom and common-area furniture (beds, mattresses, nightstands, dressers, sofas, chairs, tables) between rooms, floors, and storage. Tools: dolly, hand truck, straps, and blankets. Multi-person moves with co-workers. Coordinate refers to sequencing the worker’s own tasks within projects directed by the Chief Engineer. Tasks: reviewing task lists; gathering tools and materials; completing assigned work in the order set by the Chief Engineer; reporting progress and issues; and assisting co-workers. Worker has no independent decision-making over project scope, budget, or vendor selection, and no supervisory responsibilities. Job Classification: 49-9071.00 - Maintenance and Repair Workers, General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6 Special Requirements: Minimum of 6 months of experience in a maintenance occupation. Must be able to lift and carry weight sufficient to move equipment and material necessary to complete assigned tasks. Basic spoken English skills. Ability to stand throughout the shifts. Use of property maintenance tools, hand and power tools, measuring instruments, and company vehicles. 40 hours per week, 5 days per week. Schedule may vary and can include evenings, weekends, or holidays, as needed. Employer will rely on workers own representations and observations of worker to assess if worker meets the lifting, standing, and other physical ability requirements stated herein. Number of Hours Per Week: 40 Work Schedule (Start/End time): 9:00 A.M. - 6:00 P.M.</t>
  </si>
  <si>
    <t>H-400-26184-078347</t>
  </si>
  <si>
    <t>T &amp;T Landscaping Contractors</t>
  </si>
  <si>
    <t>info@tandtlandscapingcontractors.com</t>
  </si>
  <si>
    <t>+14403203216</t>
  </si>
  <si>
    <t>Snow removal by hand shoveling, snow plowing, salt spreading by hand, salt spreading by truck, perennial plant cut back, seasonal decoration hanging and removal for residential clients. Maintain equipment to ensure proper functioning. Winterize summer equipment and prep spring equipment. Snow removal by hand shoveling, snow plowing, salt spreading by hand, salt spreading by truck, perennial plant cut back, seasonal decoration hanging and removal for residential clients. Maintain equipment to ensure proper functioning. Winterize summer equipment and prep spring equipment. With regards to the employees' action of the snow plowing the employees will perform the following: The employees will shovel snow by hand using show shovels and/or by using a walk behind snow blower. The employees will remove snow on walkways, driveways, sidewalks in both residential and commercial properties. The employees will remove snow in front of garages using shovels. Please be advised that the employees will NOT be using a truck with a plow to remove snow. The snow removal will only be removed via hand shoveling and walk-behind snow blower. With regards to the employees' action of the spreading of salt the employees will spread salt by hand and by using a salt truck. Please note that the salt truck does not contain a plow and will not be used for snow plowing. Salt will be spread on both residential and commercial properties. It will be spread on sidewalks, driveways and walkways. With regards to the employees' action of the hanging/removal of holiday decorations the employees will hang outdoor seasonal lights. garlands. wreaths. tree decorations and lights and removable yard decorations such as Christmas, nativity and animals. Job Classification: 49-9099.00 - Installation, Maintenance, and Repair Workers, All Other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Ability to lift/carry 50 lbs. Random drug/alcohol and background checks paid for by employer. Number of Hours Per Week: 40 Work Schedule (Start/End time): 8:00 A.M. - 4:00 P.M.</t>
  </si>
  <si>
    <t>H-400-26184-078323</t>
  </si>
  <si>
    <t>Thomas Carnival, Inc.</t>
  </si>
  <si>
    <t>thomascarnivaloffice@gmail.com</t>
  </si>
  <si>
    <t>+15122824442</t>
  </si>
  <si>
    <t>***RFI response*** Specific Tasks and tools used to perform those tasks: The workers will assist with the installation, setup, and dismantling of amusement rides, food concession trailers and related carnival equipment. Replace defective or worn parts such as light bulbs, switches, belts, hoses &amp; belts. Sand, scrape, clean trailers, metal surfaces and structures to maintain appearance and prevent rust or deterioration. Check and replace electrical bulbs, sockets, fuse and lighting fixtures as needed. Clean and maintain work areas. Workers may use the following tools, equipment, and materials while performing assigned duties: Wrenches, Socket and ratchet sets, screwdrivers, pliers, hammers, pry bars, measuring tape, adjustable wrenches. They will use ladders, vacuums and cleaning equipment and supplies, such as sponges, rags and soap. Neither Vehicles, Industrial Machinery nor Electrical &amp; Electronic Equipment will be serviced, only amusement rides, food concessions trailers and related carnival equipment. No work will be performed on Diesel Engines. Work will take place at the Carnival “Winter Quarters” where they park their equipment when not on the road. ***Original*** Help installation, maintenance, and repair workers in maintenance, parts replacement, and repair of vehicles, industrial machinery, and electrical and electronic equipment. Perform duties such as furnishing tools, materials and supplies to other workers; cleaning work area, machines, and tools; and holding materials or tools for other workers. Job Classification: 49-9043.00 - Maintenance Workers, Machinery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Post-employment random drug testing &amp; background checks may be required, at no cost to the worker. The job requires the applicant to be qualified, ready, willing, able, &amp; available to perform during the entire employment at the designated worksite; to enter into &amp; comply with employment contract; to follow workplace rules. Number of Hours Per Week: 35 Work Schedule (Start/End time): 8:00 A.M. - 4:00 P.M.</t>
  </si>
  <si>
    <t>H-400-26184-078357</t>
  </si>
  <si>
    <t>ULINE, Inc.</t>
  </si>
  <si>
    <t>Gretchen Ekerdt</t>
  </si>
  <si>
    <t>pmilne@uline.com</t>
  </si>
  <si>
    <t>Uline Inc. seeks to fill 25 full-time Warehouse Associate positions in Plainfield, Connecticut. This is for a temporary, one-time occurrence from October 1, 2026 to December 31, 2026. Duties: Perform a variety of general warehouse duties in support of inventory management and outbound distribution activities. Move, sort, store, and prepare materials/products for shipment. Follow established procedures to use warehouse management system (WMS) to complete inventory transactions and maintain accurate records. Reads work orders to determine required tasks, build outbound shipments according to provided instructions, and assist with daily operational needs. Perform other related routine, nonsupervisory warehouse duties as assigned. Requirements: Must have High school diploma/GED or equivalent. Certification to use one or more of the following: Crown stock picker, quad pallet rider, sitdown, RC forklift (evidenced by certificate or equivalent experience) required. Must have WMS system knowledge. Must have ability to lift, push, and slide packages that weigh up to 50 lbs. Must have passing score on Uline's routine pre-employment assessments. Background check and drug test will be required post-offer and pre-employment. Terms and Conditions of employment: $22.94/hr, at least 40 hours per week. Monday – Friday, 10:30 AM – 7:00 PM. Overtime is available as needed. Overtime rate of pay is at least $34.41/hr. Housing is not provided. Transportation: From the place of which the worker has come to work, whether in the U.S. or abroad, to the place of employment, if the worker completes 50% of the work contract period, the employer will reimburse the worker for transportation and subsistence from the place of recruitment to the place of work. Upon completion of the work contract or in the event the worker is dismissed earlier, the employer will provide or pay for worker's reasonable costs of return transportation and subsistence back home or to the place the worker originally departed to work, except where the worker will not return due to subsequent employment with another employer. The amount of transportation payment or reimbursement will be equal to the most economical and reasonable common carrier for the distances involved. Daily subsistence will be provided at the rate of at least $16.78/day during travel to a maximum of $68.00/day with receipts. Three-fourths: The employer guarantees to offer work for hours equal to at least three-fourths of the workdays in each 12-week period of the total employment period. Tools, Equipment and Supplies: The employer will provide workers at no charge with all tools, supplies, and equipment required to perform the job. Workers will be provided with on-the-job training to perform the duties assigned. Miscellaneous: The employer will use a single work week as its standard for computing wages due. Wage will be paid bi-weekly. The employer will make all payroll deductions from the worker's paycheck required by law and will not make any deductions which are not required by law. The employer will reimburse the H2B worker in the first work week for all visa, visa processing, border crossing, and other related fees, including those mandated by the government, incurred by the H2B worker. Job Classification: 43-5071.00 - Shipping, Receiving, and Inventory Clerks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Certification to use one or more of the following: Crown stock picker, quad pallet rider, sitdown, RC forklift (evidenced by certificate or equivalent experience) required. Must have WMS system knowledge. Must have ability to lift, push, and slide packages that weigh up to 50 lbs. Must have passing score on Uline's routine pre-employment assessments. Background check and drug test will be required post-offer and pre-employment. Number of Hours Per Week: 40 Work Schedule (Start/End time): 10:30 A.M. - 7:00 P.M.</t>
  </si>
  <si>
    <t>H-400-26184-078356</t>
  </si>
  <si>
    <t>Veldhouse Construction, Inc.</t>
  </si>
  <si>
    <t>caleb@veldco.com</t>
  </si>
  <si>
    <t>+16059295135</t>
  </si>
  <si>
    <t>***RFI Response*** To remove snow and ice from job sites, scaffolding and walkways, the workers will clear sidewalks, walkways, and similar pedestrian areas using snow shovels and snow blowers. Parking lots and larger work areas will be cleared using snow shovels and skid steers. Workers will spread rock salt by hand or with a salt spreader to remove ice and reduce slipping hazards. To maintain site accessibility, workers will clear-snow covered debris from walkways, work areas, and access points using shovels, brooms, and rakes, and will dispose of debris in designated dumpsters or waste areas. In the assistance of setting up temporary enclosures, tarps, and wind barriers, under the supervision of the carpenter or project manager, Carpenter Helpers will perform basic carpentry tasks, such as measure and cut dimensional lumber using standard carpentry hand and power tools, nail or screw the lumber together to create a temporary frame to erect temporary tents for exterior masonry work during cold weather. Reinforced plastic sheeting is stapled to the frame to create a weatherresistant temporary tent that protects the work area from cold temperatures and wind, allowing exterior masonry work to continue. To prevent weather-related materials damage, workers will cover and secure job site materials such as lumber and equipment with tarps or move them to sheltered storage. Workers will also assist with securing, adjusting, dismantling, and storing temporary tents, and tools and equipment used in the performance of their duties. The tools, equipment, machinery, and materials used to perform these duties include snow shovels, snow blowers, skid steers, salt spreaders, rock salt, dimensional lumber, reinforced plastic sheeting, hammers, drills, circular saws, screwdrivers, staple guns, nails, screws, staples, scaffolding equipment, and other standard carpentry hand and power tools. ***Original Duties*** As a carpenter helper, the worker will perform duties requiring less skill, including using, supplying, or holding materials or tools, and cleaning the work area and equipment as directed by the carpenter or project manager. Under supervision, the worker will assist with framing tasks such as installing floors, exterior and interior walls, cabinets, trim, and windows for new construction projects. The worker will use and handle tools such as hammers, speed squares, drills, saws, and screwdrivers, and will maintain clean and organized worksites. During winter months and cold-weather conditions common in Sioux Falls, SD, the worker may also be required to remove snow and ice from job sites, scaffolding, and walkways to ensure safe working conditions; assist with setting up temporary enclosures, tarps or wind barriers; handle and store materials to prevent weather-related damage; support the use of heaters or ground thawing equipment under supervision; and maintain site accessibility by clearing snow-covered debris. The worker will receive on-the-job training as needed and perform other related duties as assigned by the carpenter or project manager. Job Classification: 47-4051.00 - Highway Maintenance Workers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Must be able to lift and carry 75 lbs. for 50 yards. The employer will request drug testing will be requested upon reasonable suspicious. Drug tests will be paid for by employer. Number of Hours Per Week: 40 Work Schedule (Start/End time): 7:30 A.M. - 5:30 P.M.</t>
  </si>
  <si>
    <t>H-400-26184-078342</t>
  </si>
  <si>
    <t>Williams Underground Services, LLC</t>
  </si>
  <si>
    <t>dirtdoneright@outlook.com</t>
  </si>
  <si>
    <t>+16414853925</t>
  </si>
  <si>
    <t>Perform restorative landscaping on worksites. Take landscaping steps necessary to minimize impact of utility installation on existing landscaping using hand tools. Perform a variety of tasks such as digging site holes and maintaining and restoring sod. Unwind conduit to feed into a boring unit. Occasionally, dig holes under the direction of a supervisor up to two feet deep to gently locate existing utility lines following all safety precautions. Job Classification: 37-3011.00 - Landscaping and Groundskeeping Workers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1 Special Requirements: Some weekend work. Must be able to lift and carry 75 lbs for 50 yards. Must be able to handle temperature extremes. Number of Hours Per Week: 40 Work Schedule (Start/End time): 7:30 A.M. - 5:00 P.M.</t>
  </si>
  <si>
    <t>H-400-26184-078374</t>
  </si>
  <si>
    <t>AB Exotics LLC</t>
  </si>
  <si>
    <t>ab.exotics@outlook.com</t>
  </si>
  <si>
    <t>+13323235794</t>
  </si>
  <si>
    <t>Non-native Vegetation Removal Worker</t>
  </si>
  <si>
    <t>Workers will remove invasive and non-native vegetation in outdoor parks, preserves, and public conservation lands. Duties include moving through designated areas on foot, locating targeted plants, and removing them by pulling, digging, or applying herbicide as directed. When instructed, workers apply herbicide to exposed roots or plant surfaces using backpack or hand sprayers pre-filled by the licensed supervisor. Workers do not select, mix, or prepare chemicals and do not determine treatment methods. All herbicides used are EPA-approved and authorized by the Florida Department of Agriculture and Consumer Services. Workers may provide approximate, non-numerical observations to supervisors but do not perform measurements, calculations, or recordkeeping. Workers may assist in ground preparation and planting in reforestation areas. Tasks include clearing small debris from planting sites and digging shallow holes by hand for placement of agency-provided crops or seedlings. All placement follows direct instructions from the project manager. Workers check personal equipment, such as backpack sprayers, hand sprayers, and protective gear, to confirm basic operation and may perform simple user-level adjustments. Workers report malfunctioning equipment to the supervisor. All work is performed with required protective gear and under the supervision of licensed personnel responsible for chemical handling and all treatment decisions. Workers will be assigned to perform the duties in Okeechobee, DeSoto, Highlands, Hendry, Martin, Miami-Dade, and Collier counties. All worksites are located within reasonable commuting distance from company-provided housing. Job Classification: 45-4011.00 - Forest and Conservation Workers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Basic English skills. Must be able to: lift and carry weights sufficient to move equipment and material necessary to complete assigned tasks; work outdoors. 40 hours per week, 5 days per week. Schedule may vary, as needed. Stand throughout the entire shift. Use of: hand tools, including small shovels and spades; manual-powered backpack or hand sprayers; and protective equipment, including long pants, long-sleeve shirts, rubber boots, gloves, and safety glasses. Employer will rely on worker's own representations and observations of worker to assess if worker meets the lifting, standing, and other physical ability requirements stated here. Number of Hours Per Week: 40 Work Schedule (Start/End time): 6:00 A.M. - 4:00 P.M.</t>
  </si>
  <si>
    <t>H-400-26184-078375</t>
  </si>
  <si>
    <t>Addison Reserve Master Property Owners Association, Inc</t>
  </si>
  <si>
    <t>MICHAEL BENCHETRIT</t>
  </si>
  <si>
    <t>jacquim@addisonreserve.cc</t>
  </si>
  <si>
    <t>+15614551231</t>
  </si>
  <si>
    <t>Prepares, seasons and cooks soups, meats, vegetables, fruits, desserts and other miscellaneous food for consumption; Observes recipe guidelines and sanitation procedures. *Continuation to Section F.a.5 below: 40 hours a week. Shifts will consist of 8 hour shifts that can vary as needed as advertised in State Workforce Agency job order, and in other H2B advertisement sources as per employers recruiting requirements for prospective workers under the H-2B program. Variable shifts over 7 days a week. Shifts may vary: 6am to 11pm. Job Classification: 35-2014.00 - Cooks, Restaurant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PASS PRE-EMPLOYMENT POLICE CLEARANCE; ABILITY TO COMMUNICATE IN ENGLISH; POST-EMPLOYMENT DRUG TESTING. EMPLOYER REQUIRES PRE-EMPLOYMENT POLICE CLEARANCE AND POST-EMPLOYMENT DRUG TESTING TO BE CARRIED OUT EQUALLY BETWEEN THE U.S. WORKERS AND THE H-2B WORKERS. Number of Hours Per Week: 40 Work Schedule (Start/End time): 6:00 A.M. - 11:00 P.M.</t>
  </si>
  <si>
    <t>H-400-26184-078379</t>
  </si>
  <si>
    <t>Taking beverage order. Prepare mixed drinks and serve the same. Cleans bar area. May be required to take food orders and make knowledgeable recommendations regarding wines and other products. Requisition and display liquor and supplies. Must keep bar area clean and work under strictly enforced state code. *Continuation to Section F.a.5 below: 40 hours a week. Shifts will consist of 8 hour shifts that can vary as needed as advertised in State Workforce Agency job order, and in other H2B advertisement sources as per employers recruiting requirements for prospective workers under the H-2B program. Variable shifts over 7 days a week. Shifts may vary: 6am to 11pm. Job Classification: 35-3011.00 - Bartenders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PASS PRE-EMPLOYMENT POLICE CLEARANCE; ABILITY TO COMMUNICATE IN ENGLISH; POST-EMPLOYMENT DRUG TESTING. EMPLOYER REQUIRES PRE-EMPLOYMENT POLICE CLEARANCE AND POST-EMPLOYMENT DRUG TESTING TO BE CARRIED OUT EQUALLY BETWEEN THE U.S. WORKERS AND THE H-2B WORKERS. Number of Hours Per Week: 40 Work Schedule (Start/End time): 6:00 A.M. - 11:00 P.M.</t>
  </si>
  <si>
    <t>H-400-26184-078384</t>
  </si>
  <si>
    <t>Taking and serving food and beverage orders; Carrying out food and miscellaneous set up and clean up activities; May be required to perform duties in an outdoor environment and at banquet events; may be required to serve customers via golf cart. *Continuation to Section F.a.5 below: 40 hours a week. Shifts will consist of 8 hour shifts that can vary as needed as advertised in State Workforce Agency job order, and in other H2B advertisement sources as per employers recruiting requirements for prospective workers under the H-2B program. Variable shifts over 7 days a week. Shifts may vary: 6am to 11pm. Job Classification: 35-3031.00 - Waiters and Waitresses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PASS PRE-EMPLOYMENT POLICE CLEARANCE; ABILITY TO COMMUNICATE IN ENGLISH; POST-EMPLOYMENT DRUG TESTING. EMPLOYER REQUIRES PRE-EMPLOYMENT POLICE CLEARANCE AND POST-EMPLOYMENT DRUG TESTING TO BE CARRIED OUT EQUALLY BETWEEN THE U.S. WORKERS AND THE H-2B WORKERS. Number of Hours Per Week: 40 Work Schedule (Start/End time): 6:00 A.M. - 11:00 P.M.</t>
  </si>
  <si>
    <t>H-400-26184-078388</t>
  </si>
  <si>
    <t>ASSIST SERVERS BY BRINGING BEVERAGES TO THE TABLE, REPLENISHING DRINKS, CLEARING SPENT FLATWARE/CHINA; CLEANING SERVER AREAS AND EQUIPMENT; STOCK ALL WARES AND EQUIPMENT NEEDED FOR SERVICE. *Continuation to Section F.a.5 below: 40 hours a week. Shifts will consist of 8 hour shifts that can vary as needed as advertised in State Workforce Agency job order, and in other H2B advertisement sources as per employers recruiting requirements for prospective workers under the H-2B program. Variable shifts over 7 days a week. Shifts may vary: 6am to 11pm. Job Classification: 35-9011.00 - Dining Room and Cafeteria Attendants and Bartender Helpers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PASS PRE-EMPLOYMENT POLICE CLEARANCE; ABILITY TO COMMUNICATE IN ENGLISH; POST-EMPLOYMENT DRUG TESTING. EMPLOYER REQUIRES PRE-EMPLOYMENT POLICE CLEARANCE AND POST-EMPLOYMENT DRUG TESTING TO BE CARRIED OUT EQUALLY BETWEEN THE U.S. WORKERS AND THE H-2B WORKERS. Number of Hours Per Week: 40 Work Schedule (Start/End time): 6:00 A.M. - 11:00 P.M.</t>
  </si>
  <si>
    <t>H-400-26184-078394</t>
  </si>
  <si>
    <t>Worker may be required to perform any of the following duties: monitor activities at golf course, tennis complex, aquatic complex and spa and fitness facility; may provide administrative assistance to membership, including checking membership cards, confirming reservations, arranging merchandise and providing facility information; perform minor cleaning of golf carts and clubs and transport members' golf equipment and automobiles to and from the clubhouse facilities. The cleaning duties of the golf carts and any other vehicles task is a daily service requirement for recreational aides, designed to maintain equipment longevity, enhance member experience, and ensure high sanitization standards. This process involves a swift, structured routine upon the return of carts from the course. A typical minor cleaning takes approximately 15–20 minutes and includes trash removal, washing, wiping down surface, seat cleaning, windshield care, wheels and drying the surfaces of the golf cart. The duties involved with transporting automobiles to and from the facilities task requires a mix of hospitality, safety, and strict organization. This role is often the first and last point of contact for a member, which involves greeting the member at the curb; opening the driver’s door immediately upon arrival; and conducting a quick, discreet visual scan for any pre-existing damage; bring the automobile to the front of the clubhouse facilities upon request of the member. *Continuation to Section F.a.5 below: 40 hours a week. Shifts will consist of 8 hour shifts that can vary as needed as advertised in State Workforce Agency job order, and in other H2B advertisement sources as per employers recruiting requirements for prospective workers under the H-2B program. Variable shifts over 7 days a week. Shifts may vary: 6am to 11pm. Job Classification: 53-7061.00 - Cleaners of Vehicles and Equipment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PASS PRE-EMPLOYMENT POLICE CLEARANCE; ABILITY TO COMMUNICATE IN ENGLISH; POST-EMPLOYMENT DRUG TESTING. EMPLOYER REQUIRES PRE-EMPLOYMENT POLICE CLEARANCE AND POST-EMPLOYMENT DRUG TESTING TO BE CARRIED OUT EQUALLY BETWEEN THE U.S. WORKERS AND THE H-2B WORKERS. Number of Hours Per Week: 40 Work Schedule (Start/End time): 6:00 A.M. - 11:00 P.M.</t>
  </si>
  <si>
    <t>H-400-26184-078398</t>
  </si>
  <si>
    <t>Taking and serving food and beverage orders; carrying out food and misc. setup and cleanup activities; may be required to perform duties in an outdoor environment and at banquet events; may be required to serve customers via golf cart; oversee serving staff during set up; train new servers on the floor; build/maintain rapport with the club members; required to set an exemplary example and to ensure the highest level of service is provided by the club's serving staff. *Continuation to Section F.a.5 below: 40 hours a week. Shifts will consist of 8 hour shifts that can vary as needed as advertised in State Workforce Agency job order, and in other H2B advertisement sources as per employers recruiting requirements for prospective workers under the H-2B program. Variable shifts over 7 days a week. Shifts may vary: 6am to 11pm. Job Classification: 35-1012.00 - First-Line Supervisors of Food Preparation and Serving Workers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6 Special Requirements: PASS PRE-EMPLOYMENT POLICE CLEARANCE; ABILITY TO COMMUNICATE IN ENGLISH; POST-EMPLOYMENT DRUG TESTING. EMPLOYER REQUIRES PRE-EMPLOYMENT POLICE CLEARANCE AND POST-EMPLOYMENT DRUG TESTING TO BE CARRIED OUT EQUALLY BETWEEN THE U.S. WORKERS AND THE H-2B WORKERS. THE 6 MONTHS EXPERIENCE REQUIRED IN BOX F.A.9, CONTEMPLATES 6 MONTHS EXPERIENCE AS A SERVER OR SENIOR SERVER IN A HOSPITALITY SETTING. Number of Hours Per Week: 40 Work Schedule (Start/End time): 6:00 A.M. - 11:00 P.M.</t>
  </si>
  <si>
    <t>H-400-26184-078391</t>
  </si>
  <si>
    <t>Golf Course Maintenance Workers</t>
  </si>
  <si>
    <t>Landscaping and maintaining golf course grounds of property using hand or power tools or equipment. Responsibilities may include any combination of the following: sod laying, mowing, trimming, planting, watering, fertilizing, digging, raking, and sprinkler installation. *Continuation to Section F.a.5 below: 40 hours a week. Shifts will consist of 8 hour shifts that can vary as needed as advertised in State Workforce Agency job order, and in other H2B advertisement sources as per employers recruiting requirements for prospective workers under the H-2B program. Variable shifts over 7 days a week. Shifts may vary: 6am to 11pm. Job Classification: 37-3011.00 - Landscaping and Groundskeeping Workers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PASS PRE-EMPLOYMENT POLICE CLEARANCE; ABILITY TO COMMUNICATE IN ENGLISH; POST-EMPLOYMENT DRUG TESTING. EMPLOYER REQUIRES PRE-EMPLOYMENT POLICE CLEARANCE AND POST-EMPLOYMENT DRUG TESTING TO BE CARRIED OUT EQUALLY BETWEEN THE U.S. WORKERS AND THE H-2B WORKERS. Number of Hours Per Week: 40 Work Schedule (Start/End time): 6:00 A.M. - 11:00 P.M.</t>
  </si>
  <si>
    <t>H-400-26184-078419</t>
  </si>
  <si>
    <t>Antonella Aronne</t>
  </si>
  <si>
    <t>02/07/2027</t>
  </si>
  <si>
    <t>aronneanto@aol.com</t>
  </si>
  <si>
    <t>+19548277674</t>
  </si>
  <si>
    <t>Provide care to two elderly adults in private home. Assist with daily activities including bathing, dressing, grooming and exercise. Prepare and serve healthy meals and snacks. Direct and assist with mentally stimulating activities such as games, puzzles, and crafts. Assist with health monitoring and provide emotional support. Do laundry and maintain a clean and orderly environment. Job Classification: 31-1122.00 - Personal Care Aides The job/industry classification and description includes general information on the position from ONET/OES and the North American Industry Classification System. Please review Job Duties and Job Order for more information. Job Requirements Experience Required: No Number of Hours Per Week: 64 Work Schedule (Start/End time): 8:00 A.M. - 6:00 P.M.</t>
  </si>
  <si>
    <t>H-400-26184-078426</t>
  </si>
  <si>
    <t>BOCA GROVE PROPERTY OWNER'S ASSOCIATION, INC.</t>
  </si>
  <si>
    <t>cribeiro@bocagrove.org</t>
  </si>
  <si>
    <t>+15614875300</t>
  </si>
  <si>
    <t>Prepares, seasons and cooks soups, meats, vegetables, fruits, desserts and other miscellaneous food for consumption; Observes recipe guidelines and sanitation procedures. *Continuation to Section F.a.5 below: 40 hours a week. Shifts will consist of 8 hour shifts that can vary as needed as advertised in State Workforce Agency job order, and in other H2B advertisement sources as per employers recruiting requirements for prospective workers under the H-2B program. Variable shifts over 7 days a week. Shifts may vary: 6am to 11pm. Job Classification: 35-2014.00 - Cooks, Restaurant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EMPLOYER REQUIRES PRE-EMPLOYMENT POLICE CLEARANCE AND POST-EMPLOYMENT DRUG TESTING TO BE CARRIED OUT EQUALLY BETWEEN THE U.S. WORKERS AND THE H-2B WORKERS. ABILITY TO COMMUNICATE IN ENGLISH. Number of Hours Per Week: 40 Work Schedule (Start/End time): 6:00 A.M. - 11:00 P.M.</t>
  </si>
  <si>
    <t>H-400-26184-078428</t>
  </si>
  <si>
    <t>Taking and serving food and beverage orders; Carrying out food and miscellaneous set up and clean up activities; May be required to perform duties in an outdoor environment and at banquet events; may be required to serve customers via golf cart. *Continuation to Section F.a.5 below: 40 hours a week. Shifts will consist of 8 hour shifts that can vary as needed as advertised in State Workforce Agency job order, and in other H2B advertisement sources as per employers recruiting requirements for prospective workers under the H-2B program. Variable shifts over 7 days a week. Shifts may vary: 6am to 11pm. Job Classification: 35-3031.00 - Waiters and Waitresses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EMPLOYER REQUIRES PRE-EMPLOYMENT POLICE CLEARANCE AND POST-EMPLOYMENT DRUG TESTING TO BE CARRIED OUT EQUALLY BETWEEN THE U.S. WORKERS AND THE H-2B WORKERS. ABILITY TO COMMUNICATE IN ENGLISH. Number of Hours Per Week: 40 Work Schedule (Start/End time): 6:00 A.M. - 11:00 P.M.</t>
  </si>
  <si>
    <t>H-400-26184-078404</t>
  </si>
  <si>
    <t>Bargee Farms, Inc.</t>
  </si>
  <si>
    <t>Shawn Friestad</t>
  </si>
  <si>
    <t>bargeefarms@verizon.net</t>
  </si>
  <si>
    <t>+14127675348</t>
  </si>
  <si>
    <t>Grand Prix Horse Show Groom</t>
  </si>
  <si>
    <t>Attend to the care of the Grand Prix show horses and will groom, feed, water, bathe, clean, brush and trim horses. Will maintain and disinfect stalls and bedding, inspect and observe horses physical condition, clean horses feet and apply liniments and bandages to the legs as required. The groom will be responsible for the care of the 1-5 horses at a time which includes tacking up with bridle, saddle, martingale, and correctly fit and adjust the equipment. The work schedule is Tuesday - Saturday 7:00am to 4:00pm with a 1 hour lunch break Job Classification: 39-2021.00 - Animal Caretakers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Number of Hours Per Week: 40 Work Schedule (Start/End time): 7:00 A.M. - 4:00 P.M.</t>
  </si>
  <si>
    <t>H-400-26184-078395</t>
  </si>
  <si>
    <t>Blue Mountain Stone, Inc.</t>
  </si>
  <si>
    <t>Bradley Ahl</t>
  </si>
  <si>
    <t>vasquez52880@yahoo.com</t>
  </si>
  <si>
    <t>+13038239625</t>
  </si>
  <si>
    <t>Pack or package by hand a wide variety of products and materials Job Classification: 53-7064.00 - Packers and Packagers, Hand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No education/experience required. On-the-job training available. Lift and sustain 50lbs. Possible Saturday work. Time will be given for breaks daily. Number of Hours Per Week: 35 Work Schedule (Start/End time): 8:00 A.M. - 5:00 P.M.</t>
  </si>
  <si>
    <t>H-400-26184-078402</t>
  </si>
  <si>
    <t>CLEVELAND CUSTOM CONCRETE &amp; POOLS , LLC.</t>
  </si>
  <si>
    <t>cleancustomconcrete@gmail.com</t>
  </si>
  <si>
    <t>+14402122364</t>
  </si>
  <si>
    <t>***2nd RFI response*** The worker assists with the placement of reinforcing steel, rebar, and wire mesh used in concrete construction projects. Specific tasks include carrying, unloading, staging, sorting, positioning, and placing rebar and wire mesh within forms and excavated areas; holding materials in place while experienced workers secure them; measuring and aligning reinforcing materials according to layout instructions; and assisting with tying reinforcing steel using pre-cut tie wire. Tools and equipment used include rebar tying tools, pliers, wire cutters, measuring tapes, levels, rebar chairs, spacers, wheelbarrows, material carts, and hand tools commonly used to position reinforcing materials. Materials handled include reinforcing steel bars (rebar), welded wire mesh, tie wire, rebar chairs, spacers, and related concrete reinforcement materials. ***1st RFI response*** The worker assists experienced construction workers, concrete finishers, equipment operators, and supervisors engaged in the installation of swimming pools, driveways, sidewalks, patios, walkways, and related concrete structures. The worker may operate plate compactors, concrete mixers, power wheelbarrows, material carts, water pumps, pressure washers, portable generators, small power tools (drills, grinders, routers), shovels, rakes, brooms, wheelbarrows, buckets, tampers, hand floats, measuring tapes, and levels. Duties include loading, unloading, moving, and staging construction materials; assisting with site preparation, excavation, grading, backfilling, and cleanup; constructing, placing, bracing, stripping, and removing concrete forms; assisting with the placement of reinforcing steel, rebar, and wire mesh; transporting tools, equipment, and materials; assisting with concrete placement, spreading, consolidation, and finishing under supervision; holding and positioning materials; cleaning and maintaining tools, equipment, forms, and work areas; removing debris, excess concrete, and waste materials; and assisting with final grading and site restoration. The worker uses equipment to compact soil and aggregate base materials, mix concrete and mortar, transport concrete and construction materials, assist with concrete placement, remove water from excavated areas, maintain worksite conditions, and support concrete, pool, driveway, sidewalk, patio, and walkway construction projects. Materials handled include concrete, gravel, sand, crushed stone, rebar, wire mesh, lumber forms, PVC pipe, pool construction materials, backfill materials, and related construction supplies. ***Original*** Perform tasks involving physical labor at construction sites. May operate hand and power tools of all types: air hammers, earth tampers, cement mixers, small mechanical hoists, surveying and measuring equipment, and a variety of other equipment and instruments. May clean and prepare sites, dig trenches, set braces to support the sides of excavations, erect scaffolding,and clean up rubble, debris, and other waste materials. May assist other craft workers. Job Classification: 47-2051.00 - Cement Masons and Concrete Finishers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ABLE TO LIFT AND CARRY 50 POUNDS. SOME OT AND WEEKENDS REQUIRED. 8 HOUR WORKDAY . Number of Hours Per Week: 40 Work Schedule (Start/End time): 7:00 A.M. - 5:00 P.M.</t>
  </si>
  <si>
    <t>H-400-26184-078370</t>
  </si>
  <si>
    <t>Circle Club Holdings LLC</t>
  </si>
  <si>
    <t>pfernandez@circleclub.com</t>
  </si>
  <si>
    <t>+13052987106</t>
  </si>
  <si>
    <t>International Market Development Specialist</t>
  </si>
  <si>
    <t>The International Market Development Specialist will support the company's expansion to offer its services to Ukrainian and Eastern European entrepreneurs. Duties will include: Collecting and analyzing data on customer demographics, preferences, needs, and buying habits in Eastern Europe to identify potential markets and factors affecting demand for U.S. business formation and investment services. Conducting research on consumer opinions, marketing strategies, and local business practices, collaborating with marketing teams and external consultants in the region. Seeking and providing information to help the employer determine its position in the Eastern European marketplace. Forecasting and tracking marketing and outreach trends, analyzing collected data to assess market potential and feasibility for expansion abroad. Gathering and evaluating data on competitors, including their pricing, services, and methods of marketing and distribution. Monitoring industry statistics, regulatory developments, and trends in trade and investment literature. Developing and implementing procedures for identifying advertising and outreach needs for Ukrainian- and Russian-speaking client segments. Serving as a cultural and linguistic liaison with Ukrainian and Russian-speaking clients and partners, ensuring accurate adaptation of promotional, legal, and business materials. Assisting in the development of bilingual communication protocols and adapting presentations, contracts, and reports to local standards. Coordinating and attending events, webinars, and pilot campaigns directed at Ukrainian and Eastern European entrepreneurs and investors exploring U.S. LLC formation and real estate opportunities. Preparing reports of findings, illustrating data graphically, and translating complex research insights into written recommendations for management. Job Classification: 13-1161.00 - Market Research Analysts and Marketing Specialists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Fluency in Russian and Ukrainian is required to perform market research and communicate with local vendors and stakeholders in Ukraine. 40 hours per week, 5 days per week. Schedule may vary and may include evenings, weekends, or holidays to attend events and meetings conducted in alignment with the Western European time zone. Use of computer software, including Microsoft Office or Google Workspace, customer relationship management systems, and survey or data analysis tools. Bachelors degree or equivalent in business, marketing, international relations, or a related field. Employer will rely on the workers own representations and the employers observations to assess language proficiency. Number of Hours Per Week: 40 Work Schedule (Start/End time): 9:00 A.M. - 6:00 P.M.</t>
  </si>
  <si>
    <t>H-400-26184-078425</t>
  </si>
  <si>
    <t>Clever Landscaping</t>
  </si>
  <si>
    <t>alejandro@cleverlandscaping.com</t>
  </si>
  <si>
    <t>+17207578471</t>
  </si>
  <si>
    <t>Landscaping &amp; Groundskeeping Workers (win-ser)</t>
  </si>
  <si>
    <t>Winter weather landscaping duties involve preparing and maintaining outdoor spaces during the colder months, ensuring they remain safe, functional, and visually appealing. While the tasks may differ depending on the climate and severity of winter in a particular region, here are some common responsibilities for winter weather landscaping: Snow and Ice Removal: One of the primary tasks in winter landscaping is the removal of snow and ice. This includes clearing driveways, walkways, and parking areas to ensure safe passage. Snow shoveling, snow blowing, and salting or sanding are typical methods used to keep surfaces clear. Winter landscaping job duties involve the installation of seasonal decorations like holiday lights, wreaths, or garlands. Laborers may be responsible for safely installing and maintaining these decorations. Pruning and Trimming: Will be done from ground level by worker using hand tools. Winter is an excellent time to prune and trim trees and shrubs while they are dormant. Proper pruning techniques help maintain the health and shape of plants, promote growth, and prevent damage from heavy snow or ice buildup. Trimming also keeps branches away from structures and walkways, reducing the risk of accidents. Protecting Plants: Certain plants may need protection from freezing temperatures. This involves wrapping sensitive plants with burlap or installing temporary covers to shield them from cold winds and frost. Mulching around the base of plants helps retain moisture and insulate the soil, providing an additional layer of protection. Clearing Debris: Winter storms can bring down branches, leaves, and other debris that clutter the landscape. Clearing these materials not only improves the appearance of the property but also prevents potential hazards, such as obstructed pathways or damaged plants. Winterizing Irrigation Systems: It's essential to inspect and winterize them before freezing temperatures arrive which involves draining water from the pipes and shutting off the system to prevent damage from frozen water expanding within the lines. Monitoring Drainage: Winter brings rain and melting snow, and it's important to ensure that water properly drains away from the property. Clearing leaves and debris from gutters, downspouts, and drains prevents blockages and potential water damage to buildings or landscaping. Job Classification: 37-3011.00 - Landscaping and Groundskeeping Workers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No education/experience required. On-the-job training available. Lift and sustain 50lbs. Possible Saturday work. Time will be given for breaks daily. Number of Hours Per Week: 40 Work Schedule (Start/End time): 7:00 A.M. - 4:00 P.M.</t>
  </si>
  <si>
    <t>H-400-26184-078400</t>
  </si>
  <si>
    <t>Continental Floral PNW LLC</t>
  </si>
  <si>
    <t>Ryan Ogburn</t>
  </si>
  <si>
    <t>hr@cfgreens.com</t>
  </si>
  <si>
    <t>+18886177280</t>
  </si>
  <si>
    <t>Operate forklifts to transport materials safely, load and unload shipments by hand and using forklift, assist with inventory management and material organization, perform routine inspections on forklifts. May occasionally assist in production of decorative greenery. Cut various conifer and noble branches and other greenery to size for wreath and garland making. This is a repetitive skill. Workers must use wire to attach greenery to wreath forms and tie off garlands. Trim material using trimmers, shapers, wire, pins, floral tape, foam, and other materials. Job Classification: 53-7051.00 - Industrial Truck and Tractor Operators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6 Special Requirements: Six months experience operating forklifts. The Forklift Operator is a safety-sensitive position and must complete a pre-employment drug test. They must also pass a forklift training and certification post-hire. Number of Hours Per Week: 40 Work Schedule (Start/End time): 7:00 A.M. - 4:00 P.M.</t>
  </si>
  <si>
    <t>H-400-26184-078380</t>
  </si>
  <si>
    <t>Continental Floral PNW, LLC</t>
  </si>
  <si>
    <t xml:space="preserve">Ryan  Ogburn </t>
  </si>
  <si>
    <t>Decorative Greens Cutter/arranger</t>
  </si>
  <si>
    <t>Cut various conifer and noble branches and other greenery to size for wreath, garland and centerpiece making. This is a repetitive skill. Workers must use wire to attach greenery. Trim material using trimmers, shapers, wire, pins, floral tape, foam, and other materials. Job Classification: 27-1023.00 - Floral Designers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1 Special Requirements: Workers must posses one month of experience working in wreathmaking or floral design. Ability to lift up to 40lbs various times in an eight hour shift. Number of Hours Per Week: 40 Work Schedule (Start/End time): 7:00 A.M. - 4:00 P.M.</t>
  </si>
  <si>
    <t>H-400-26184-078424</t>
  </si>
  <si>
    <t>G Brothers Construction, LLC</t>
  </si>
  <si>
    <t>Trent Williams</t>
  </si>
  <si>
    <t>gbrother2017@aol.com</t>
  </si>
  <si>
    <t>+16626950104</t>
  </si>
  <si>
    <t>Construction General Laborer</t>
  </si>
  <si>
    <t>Job Duties will be those of a general labor construction worker. This may include loading and/or unloading tools and equipments and materials from transportation trucks and moving them to the appropriate areas of a worksite. Workers may be expected to carry up to 75lbs of material as necessary in less than idea weather conditions. This is a winter-based need when outdoor construction can be made slow due to the weather conditions. clean and prepare sites, dig trenches, set braces to support the sides of excavations, erect scaffolding, and clean up rubble, debris, and other waste materials. Control traffic passing near, in, or around work zones. Clean or prepare construction sites to eliminate possible hazards. Signal equipment operators to facilitate alignment, movement, or adjustment of machinery, equipment, or materials. Dig ditches or trenches, backfill excavations, or compact and level earth to grade specifications, using picks, shovels, pneumatic tampers, or rakes. Mix, pour, or spread concrete, using portable cement mixers. Operate pumps, compressors, or generators to provide power for tools, machinery, or equipment or to heat or move materials, such as asphalt. Erect or dismantle scaffolding, shoring, braces, traffic barricades, ramps, or other temporary structures. Job Classification: 47-2061.00 - Construction Laborers The job/industry classification and description includes general information on the position from ONET/OES and the North American Industry Classification System. Please review Job Duties and Job Order for more information. Job Requirements Experience Required: No Number of Hours Per Week: 40 Work Schedule (Start/End time): 7:00 A.M. - 4:00 P.M.</t>
  </si>
  <si>
    <t>H-400-26184-078431</t>
  </si>
  <si>
    <t>Growpro, LLC</t>
  </si>
  <si>
    <t>kevin@growprollc.com</t>
  </si>
  <si>
    <t>+18018003535</t>
  </si>
  <si>
    <t>Gather and remove litter; use hand tools such as shovels, rakes, pruning saws, saws, hedge or brush trimmers or axes; operate powered equipment such as mowers, chainsaws, electric clippers, sod cutters, or pruning saws; water lawns, trees, or plants using portable sprinkler systems, hoses, or watering cans; prune or trim trees, shrubs, or hedges using shears, pruners or chainsaws. Trimming trees will occur on the ground and will entail clipping branches of trees under six (6) feet tall without the need for a ladder or climbing trees. A hand lopper will be the tool needed to complete this task. Job Classification: 37-3011.00 - Landscaping and Groundskeeping Workers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Must be able to lift and carry 75lbs for 50 yds. Must be able to handle temperature extremes. Will travel to worksites within area of intended employment. Number of Hours Per Week: 40 Work Schedule (Start/End time): 6:30 A.M. - 3:30 P.M.</t>
  </si>
  <si>
    <t>H-400-26184-078378</t>
  </si>
  <si>
    <t>Jon Neidich</t>
  </si>
  <si>
    <t>george@goldenagehospitality.com</t>
  </si>
  <si>
    <t>+12122534209</t>
  </si>
  <si>
    <t>Care for children in private household and provide support and expertise to parents in satisfying their physical, emotional, intellectual, and social needs. Duties include meal planning and preparation, laundry and clothing care, organization of play activities and outings, discipline, intellectual stimulation, language activities, and transportation. All duties to be performed solely for the benefit of the children and do not pertain to any other members of the household. Job Classification: 39-9011.01 - Nannies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12 Number of Hours Per Week: 69 Work Schedule (Start/End time): 7:00 A.M. - 8:00 P.M.</t>
  </si>
  <si>
    <t>H-400-26184-078427</t>
  </si>
  <si>
    <t>Landscapes Unlimited, LLC</t>
  </si>
  <si>
    <t>dgrode@landscapesunlimited.com</t>
  </si>
  <si>
    <t>+18553006690</t>
  </si>
  <si>
    <t>Landscape Laborer Ii</t>
  </si>
  <si>
    <t>Performs various golf course renovation tasks including prepping for and building of greens, tees, and bunkers; prepares irrigation system components, glues/fuses connections and tie-ins; installs irrigation lines, wire, and heads; digs holes and trenches, utilizing hand tools to install drainage and tie-ins; spreads and lays materials such as grass seed, sod, greens mix, gravel, and sand; operates mechanized equipment to move and install materials. The purpose of the trench, if needed, will be to install golf course irrigation components, like drainage, lateral piping to sprinklers and mainline supply piping that connects to the lateral piping. The employees will use an 85 horsepower trencher for mainline pipes (6 in. through 10 in.), an 85 horsepower vibratory plow for lateral piping (2 in. through 3 in.) to install sprinkler heads, and hand shovels and other hand tools to level ditch lines and create space for irrigation hardware, as needed. The trenches, if needed, will reach an expected depth of 26 in. to 44 in. and an expected width of 8 in. to 18 in. at their largest points. Optional company housing will be provided free of charge for employees outside of commuting distance. Employees who do not require or use company housing will receive a housing reimbursement of $231.00 per pay period. Job Classification: 37-3011.00 - Landscaping and Groundskeeping Workers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Three months of experience in golf course construction, landscape installation/maintenance, or related construction trades involving site preparation, grading, drainage, or structural installation; understanding of golf course irrigation systems including ability to install/repair key components. Three months experience operating any one of the following: tractor, skid loader, plows/trencher. OT as needed. We want to clarify the information on Item F.a.5. During the work week, which runs Sunday through Saturday, employees are scheduled to work a 40 hour work week and given OT as needed. F.a.5 does not allow us to enter such a work schedule. If we enter 8 hours each day, it would show 56 hours a week, which is not an accurate reflection of their work schedule. Number of Hours Per Week: 40 Work Schedule (Start/End time): 7:00 A.M. - 3:30 P.M.</t>
  </si>
  <si>
    <t>H-400-26184-078411</t>
  </si>
  <si>
    <t>***RFI response*** Worker operates equipment in a training capacity as needed to ensure other team members are properly instructed on the use of the equipment. Worker will not operate equipment in a day-to-day production capacity and will operate equipment as needed to support the project – less than 50% of the day, if needed. All equipment operation will be done onsite on the project, so no commercial driver license is needed. Any trenching associated with the project is expected to involve trenches approximately 26 to 48 inches in depth and 12 to 72 inches in width at their widest points. Equivalent equipment models may be utilized based on availability. Equipment that may be used may include: 75–95 HP trenchers, such as the Ditch Witch RT75 or Vermeer RTX750, for digging and backfilling irrigation trenches for mainline pipe installation (4 in. to 10 in. pipe sizes); 75–95 HP plows, such as Ditch Witch RT75 or Vermeer RTX750, for vibratory plowing for irrigation lateral lines and wires at depths of approximately 18 to 24 in.; 10,000-24,000 lb. excavators, such as John Deere 120 and Caterpillar 306 mini-excavator, for digging and backfilling trenches to install drainage and irrigation pipes throughout the golf course; 2,800–3,200 lb. skid steers, such as Caterpillar 265 for moving and loading material, backfilling trenches, and loading gravel and bunker sand into Pronovost trailer; Wacker Neuson 3001 dumper for hauling spoils and supplies like gravel and sand; 2–3 ton smooth double-drum rollers, such as Dynapac CC1200 or Wacker Neuson for trench compaction or plow line leveling; 50-80 HP tractor and dump trailers, such as John Deere 4066M and/or John Deere 5077, for moving material within the worksite and pulling implements offroad within the worksite; 2-4 or 4-6 person UTV, such as Kubota RTV-X1140, for transporting crew and supplies; and Forklift/telehandler, such as 8K model JLG, for loading and offloading pipe and other materials. ***Original*** Hands on manual labor working on staking/layout, drainage, bunkers, finishing, greens and tees, operating equipment, etc.; informs crews of the day's planned activities and equips crews with necessary tools and materials; instructs, supervises, and trains crews in assigned tasks, such as irrigation installation, tee and bunker creation, sodding, seeding, staking/flagging, operating and maintaining equipment; manages inventory of equipment, supplies and materials, and fuel; identifies and eliminates potential waste that may occur during performance of assigned tasks, including material waste such as irrigation heads, irrigation pipe and wire, gravel and greens mix; ensures assigned equipment and tools are properly maintained through performance of routine preventative maintenance; assists in maintaining project records such as delivery tickets, purchase orders, safety meeting rosters; assists in creating as-built drawings; and reports potential problems to the Project Superintendent. Optional company housing will be provided free of charge for employees outside of commuting distance. Employees who do not require or use company housing will receive a housing reimbursement of $231.00 per pay period. Job Classification: 47-2073.00 - Operating Engineers and Other Construction Equipment Operators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12 Special Requirements: Requires certification as a Certified Pipe Fuser by a recognized vendor i.e. ISCO, Ewing Irrigation, ADS Hancor. 12 months of experience in golf course construction and renovation. OT as needed. We want to clarify the information on Item F.a.5. During the work week, which runs Sunday through Saturday, employees are scheduled to work a 40 hour work week and given OT as needed. F.a.5 does not allow us to enter such a work schedule. If we enter 8 hours each day, it would show 56 hours a week, which is not an accurate reflection of their work schedule. Number of Hours Per Week: 40 Work Schedule (Start/End time): 7:00 A.M. - 3:30 P.M.</t>
  </si>
  <si>
    <t>H-400-26184-078397</t>
  </si>
  <si>
    <t>MILES CITY LIVESTOCK COMMISSION, LLP</t>
  </si>
  <si>
    <t>ROBERT MCCUBBIN</t>
  </si>
  <si>
    <t>14/06/2027</t>
  </si>
  <si>
    <t>mclc@midrivers.com</t>
  </si>
  <si>
    <t>+14069514840</t>
  </si>
  <si>
    <t>General Livestock Worker</t>
  </si>
  <si>
    <t>The Livestock worker performs any combination of the following tasks to bed, feed, water, load, weigh, mark, and segregate livestock: Feeds grains, hay, and prepared feed and waters livestock according to schedule. Opens gates and drives livestock to scales, pens, trucks and holding areas according to instructions, using electric prod and whip. Loads and unloads livestock in trucks. Write back tag numbers on all breeding livestock. Weighs animals and records weight. Segregates animals according to weight, age, color, and physical condition. Marks livestock to identify ownership and grade, using brands, tags, paint, or tattoos. Cleans ramps, scales, trucks, and pens, using hose, fork, shovel, and rake. Scatters new bedding material, such as sawdust and straw, in pens and trucks. May vaccinate, apply liniment, drench, isolate, and mark animals to effect disease control program. May make routine repairs and perform general cleaning and maintenance duties in stockyard. Work days vary Sun-Sat. Job Classification: 45-2093.00 - Farmworkers, Farm, Ranch, and Aquacultural Animals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MUST BE ABLETO LIFT 100 LBS. DRIVER'S LICENSE IN 30 DAYS. Number of Hours Per Week: 50 Work Schedule (Start/End time): 7:00 A.M. - 5:00 P.M.</t>
  </si>
  <si>
    <t>H-400-26184-078429</t>
  </si>
  <si>
    <t>Mallory Neidich</t>
  </si>
  <si>
    <t>tedkalborg@gmail.com</t>
  </si>
  <si>
    <t>+12125043195</t>
  </si>
  <si>
    <t>***RFI response*** Duties include simple meal planning and preparation including cooking and serving of simple meals and snacks for the children using microwave, stovetop, or oven, laundry and clothing care, organization of play activities and outings, discipline, intellectual stimulation, language activities, and transportation, i.e., drive, to and from activities for the children. All duties to be performed solely for the benefit of the children and do not pertain to any other members of the household. ***Original*** Care for children in private household and provide support and expertise to parents in satisfying their physical, emotional, intellectual, and social needs. Duties include meal planning and preparation, laundry and clothing care, organization of play activities and outings, discipline, intellectual stimulation, language activities, and transportation. Job Classification: 39-9011.01 - Nannies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12 Number of Hours Per Week: 50 Work Schedule (Start/End time): 8:00 A.M. - 6:00 P.M.</t>
  </si>
  <si>
    <t>H-400-26184-078414</t>
  </si>
  <si>
    <t>Ocean Pebble Staffing LLC</t>
  </si>
  <si>
    <t>maxisultan@oceanpebblestaffing.com</t>
  </si>
  <si>
    <t>+19787609971</t>
  </si>
  <si>
    <t>Prepare, serve, and feed nutritionally balanced snacks, meals, and bottles for three young children ages seven months to three years. Put children down for naps and regulate rest periods and nap schedules. Dress children or assist them with dressing. Engage children in age-appropriate activities such as lap play, reading, educational games, arts and crafts, and outdoor play to promote physical, cognitive, and motor development. Collaborate with parents to implement routines and guidance programs that encourage desirable behavior. Instruct and assist children in developing healthy personal habits, such as eating and hygiene. Model appropriate social behaviors and foster early communication and interpersonal skills. Remove potential hazards and establish appropriate boundaries and household rules to ensure a safe environment for the children at all times. Administer first aid when necessary. Observe children's behavior for signs of illness or irregularities, take temperature, and administer medication as directed by parents or medical providers to support the children's health and well-being. Perform light housekeeping and cleaning tasks related to the children's care, including tidying play areas and cleaning up after meals. Prepare nutritious family meals as needed. Transport children to activities, social outings, and medical appointments. Shop for groceries, clothing, and other items needed for the children's care. All duties will be performed within a private household setting. Job Classification: 39-9011.01 - Nannies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12 Special Requirements: Minimum 12 months of prior experience as a nanny or in a related childcare position required, including experience with infants and toddlers. Must be able to lift and carry weights sufficient to move equipment and material necessary to complete assigned tasks, including lifting and carrying young children. Must be able to stand and remain active throughout the shift. Use of kitchen appliances, laundry machines, and household automobile. Eligibility for a valid driver's license. 48 hours per week, 6 days per week. Schedule may vary and can include evenings, weekends, or holidays, as needed. Employer will rely on worker's own representations and observations of worker to assess if worker meets the eligibility, lifting, standing, and other physical ability requirements stated here. Number of Hours Per Week: 48 Work Schedule (Start/End time): 7:30 A.M. - 3:30 P.M.</t>
  </si>
  <si>
    <t>H-400-26184-078367</t>
  </si>
  <si>
    <t>Cooks (7 Months)</t>
  </si>
  <si>
    <t>1. Prepare all food as directed in a timely and sanitary manner. 2. Execute menu items on grill, deep fryer, and prepare soups and other special items. 3. Wash, clean, chop, dice, grate, slice a variety of meat, poultry, vegetables and other food items and place in proper containers. 4. Understand and comply consistently with our standard portion sizes, cooking methods, quality standards and kitchen rules, policies and procedures. 5. Has understanding and knowledge of how to properly use and maintain all equipment in the station. 6. Maintain a clean and sanitary workstation including tables, shelves, walls, grills, fryers sauté burners and refrigeration equipment. 7. Leads daily cleaning and line organization. 8. Knowledge and ownership of CA Health Code items and checks daily temp logs on refer and prepped food. 9. Inform Kitchen Manager or Chef of product shortages, equipment of food quality problems. 10. Assist and guide other line cooks and prep cooks on a day-to-day basis for prep and other functions in the kitchen. 11. Monitor sanitation practices to ensure that employees follow standards and regulations. 12. Execution/recipe development of sauté and pantry station. 13. Help the flow of food from time of delivery to the point it goes out to our guests. Lift approximately 50 lbs on a regular basis. Ability to stand for long periods of time. Job Classification: 35-2014.00 - Cooks, Restaurant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6 Special Requirements: Must have or be able to obtain current CA Food Handlers Card. 6 months Cook or Culinary experience in a fine-dining or high-volume environment at a high-end restaurant, resort, or private club required. On-the-Job Training provided. Will Train. Days and Shifts: Following Shifts available 7 days a week including weekends and holidays. Work hours from: 7am to 3:30pm; 9am to 5:30pm; 11am to 7:30pm; 3pm to 11:30pm, shift hours may vary based on the time of the season, daylight, and need. Hourly Wage: Tipped position with a guaranteed wage of $20.88 to $25.92 per hour. Possible Wage Increase: Palisades Tahoe offers pay raises based on merit and past experience with our company. Overtime Possible: Overtime may be available at $31.32 to $38.88 per hour. Fringe Benefits: Ski Pass, Shift Meals, 50% F&amp;B Discount and 30% Retail Discount Number of Hours Per Week: 35 Work Schedule (Start/End time): 7:00 A.M. - 3:30 P.M.</t>
  </si>
  <si>
    <t>H-400-26184-078376</t>
  </si>
  <si>
    <t>Responsible for maintaining the overall cleanliness of the Food &amp; Beverage outlets on a daily basis. Ensures cleanliness of dining areas and entrances are consistent with service standards. This includes wiping tables or seats with dampened cloths or replace dirty tablecloths. Scraping and stacking dirty dishes and carrying dishes and other tableware to kitchens for cleaning. Clean and polish counters, shelves, walls, furniture, or equipment in food service areas or other areas of restaurants and mop or vacuum floors. Cleaning up spilled food or drink or broken dishes and remove empty bottles and trash. Performs all general front of house duties as well including: setting tables with clean linens, condiments, or other supplies; maintaining adequate supplies of items, such as clean linens, silverware, glassware, dishes, or trays; filling beverage or ice dispensers; and stocking cabinets or serving areas with condiments and refill condiment containers. Clean and set tables. Carry, scrape and stack dirty dishes. Restock clean dishes, silverware and linens. Serve food and drink to customers in the restaurant dining room areas as instructed by management or wait staff. This position does not take food or drink orders. Maintain and clean kitchen area, front counter, equipment and utensils. Prepare sandwiches, salads and desert items by hand which includes pulling premade items from the refrigerator and putting them on plates for service to customers. Take orders and accept payment from customers at the counter area of the restaurant near the cash register. Lift approximately 50 lbs on a regular basis. Ability to stand for long periods of time. Job Classification: 37-2011.00 - Janitors and Cleaners, Except Maids and Housekeeping Cleaners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3 months of Front of house attendant experience in a fine-dining or high volume environment at a high-end restaurant, resort, or private club. On-the-Job Training provided. Will Train. Days and Shifts: Following Shifts are available 7 days a week including weekends and holidays. Work hours from: 7:00am to 3:30pm, 9:00am to 5:30pm, 11:00am to 7:30pm and 3:00pm to 11:30pm, shift hours may vary based on the time of the season, daylight, and need. Hourly Wage: Tipped position with a guaranteed wage of $21.00 to $25.92 per hour. Possible Wage Increase: Palisades Tahoe offers pay raises based on merit and past experience with our company. Overtime Possible: Overtime may be available at $31.50 to $38.88 per hour. Fringe Benefits: Ski Pass, Shift Meals, 50% F&amp;B Discount and 30% Retail Discount Number of Hours Per Week: 35 Work Schedule (Start/End time): 7:00 A.M. - 3:30 P.M.</t>
  </si>
  <si>
    <t>H-400-26184-078381</t>
  </si>
  <si>
    <t>Responsible for washing dishes and all cooking materials by machine or hand, maintaining kitchen work areas and equipment in clean condition, sweeping and scrubbing floors, and sorting and removing trash. Lift approximately 50 lbs on a regular basis. Ability to stand for long periods of time. Job Classification: 35-9021.00 - Dishwashers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Lift approximately 50 lbs on a regular basis. Ability to stand for long periods of time. On-the-Job Training provided. Will Train. Days and Shifts: Following Shifts available 7 days a week including weekends and holidays. Work hours from: 7am to 3:30pm, 9am to 5:30pm, 11am to 7:30pm and 3pm to 11:30pm, shift hours may vary based on the time of the season, daylight, and need. Hourly Wage: Tipped position with a guaranteed wage of $20.00-$23.00 per hour. Possible Wage Increase: Palisades Tahoe offers pay raises based on merit and past experience with our company. Overtime Possible: Overtime may be available at $30.00 to $34.50 per hour. Fringe Benefits: Ski Pass, Shift Meals, 50% F&amp;B Discount and 30% Retail Discount Number of Hours Per Week: 35 Work Schedule (Start/End time): 7:00 A.M. - 3:30 P.M.</t>
  </si>
  <si>
    <t>H-400-26184-078387</t>
  </si>
  <si>
    <t>Food Service Supervisor</t>
  </si>
  <si>
    <t>• Keep records required by government agencies regarding sanitation or food subsidies. • Investigate and resolve customer complaints • Maintain food and equipment inventories • Monitor food preparation methods, portion sizes, and garnishing and presentation of food to ensure that food is prepared and presented in an acceptable manner. • Schedule and receive food and beverage deliveries, checking delivery contents to verify product quality and quantity. • Coordinate assignments of cooking personnel to ensure economical use of food and timely preparation. • Monitor compliance with health and fire regulations • Count money and make bank deposits. • Establish standards • Perform some food preparation or service tasks, such as cooking, clearing tables, and serving food and drinks when necessary. • Greet guests, escort them to their seats, and present them with menus and wine lists. • Schedule staff hours and assign duties • Arrange for equipment maintenance and repair • Review menus- costing • Organize and direct worker training programs, • Review work procedures and operational problems to determine ways to improve service, performance, or safety. • Assess staffing needs and recruit staff • Order and purchase equipment and supplies. • Record and monitor sales • Ensure liquor regulations are obeyed. • Monitor budgets and payroll records • Schedule use of facilities or catering services for events such as banquets or receptions, and negotiate details of arrangements with clients. • Plan menus and food utilization • Establish and enforce nutritional standards Job Classification: 35-1012.00 - First-Line Supervisors of Food Preparation and Serving Workers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6 Special Requirements: Must have or be able to obtain current CA Food Handlers Manager Card. 6 months experience in the front of house. Must be capable of walking or standing 95% or more of a normal 8-hour work shift. Must be capable of frequently carrying, lifting, pushing or pulling up to 50lbs. On-The-Job Training Is Provided. Days and Shifts: Following Shifts are available 7 days a week including weekends and holidays. Work hours from: 7:00am to 3:30pm, 9:00am to 5:30pm, 11:00am to 7:30pm and 3:00pm to 11:30pm, shift hours may vary based on the time of the season, daylight, and need. Wage Per Hour: $23.93-$32.96 (Based on merit and past experience with our company) Possible Wage Increase: Palisades Tahoe offers pay raises based on merit and past experience with our company. Overtime Possible: Overtime may be available at $35.90 - $49.44 per hour Fringe Benefits: Ski Pass, Shift Meals, 50% F&amp;B Discount and 30% Retail Discount Number of Hours Per Week: 35 Work Schedule (Start/End time): 7:00 A.M. - 3:30 P.M.</t>
  </si>
  <si>
    <t>H-400-26184-078390</t>
  </si>
  <si>
    <t>Responsible for maintaining the overall cleanliness of the Food &amp; Beverage outlets and restrooms on a daily. 75% restroom cleaning. 25% floor cleaning/ maintenance &amp; overall building cleanliness. Main focus will be on restrooms and all public areas. Will be asked to help clean / sanitize other Food and beverage common areas, including both indoor and outdoor patios and all other tasks to operate the venue. Lift approximately 50 lbs on a regular basis. Ability to stand for long periods of time. Job Classification: 37-2011.00 - Janitors and Cleaners, Except Maids and Housekeeping Cleaners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3 months experience in stewarding / cleaning in a high volume environment. On-the-Job Training provided. Will Train. Days and Shifts: Following Shifts are available 7 days a week including weekends and holidays. Work hours from: 7:00am to 3:30pm, 9:00am to 5:30pm, 11:00am to 7:30pm and 3:00pm to 11:30pm, shift hours may vary based on the time of the season, daylight, and need. Hourly Wage: Tipped position with a guaranteed wage of $21.00-$25.92 per hour. Possible Wage Increase: Palisades Tahoe offers pay raises based on merit and past experience with our company. Overtime Possible: Overtime may be available at $31.50 to $38.88 per hour. Fringe Benefits: Ski Pass, Shift Meals, 50% F&amp;B Discount and 30% Retail Discount. Number of Hours Per Week: 35 Work Schedule (Start/End time): 7:00 A.M. - 3:30 P.M.</t>
  </si>
  <si>
    <t>H-400-26184-078393</t>
  </si>
  <si>
    <t>Palisades Tahoe Ski Holdings, LLC</t>
  </si>
  <si>
    <t>1. Supervises and helps oversee a team of 5-8 Prep cooks and Line cooks at the venue 2. Acts as the role model for all grooming and uniform standards. 3. Punctual, timely and takes and manages breaks for self and staff. 4. Provides customers with top quality customer service in a friendly and positive manner. 5. Supervisory responsibilities include but not limited to training employees; weekly scheduling of staff, planning, assigning, and directing work; appraising performance; rewarding and disciplining employees; addressing complaints and resolving problems. 6. Oversees menu production and execution, proper prep levels, plating and portioning. 7. Helps to manage inventory, stocking, and prepping of all food items. 8. Proactively plans the sequence and timing of cooking operations to meet meal-serving hours. Delegates specific tasks to cooks and follows up. 9. Always maintain clean and orderly food and beverage facilities. Assure compliance with all health and sanitation regulations. 10. Helps plan and execute events for internal and external guests. 11. Assists to train kitchen personnel in food production principles and practices. 12. Assist in ordering, receiving and storage of all items from all purveyors. 13. Attend all safety meetings. 14. Assist kitchen and bus staff as needed. Job Classification: 35-1012.00 - First-Line Supervisors of Food Preparation and Serving Workers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6 Special Requirements: Must have or be able to obtain current CA Food Handlers Manager Card. 6 months Cook or Culinary experience in a fine-dining or high-volume environment at a high-end restaurant, resort, or private club required. On-The-Job Training Is Provided. Days and Shifts: Following Shifts are available 7 days a week including weekends and holidays. 7am to 3:30pm, 9am to 5:30pm, 11am to 7:30pm, 3pm to 11:30pm Wage Per Hour: $23.93 - $30.90 per hour (Based on merit and past experience with our company) Possible Wage Increase: Palisades Tahoe offers pay raises based on merit and past experience with our company. Overtime Possible: Overtime may be available at $35.90 - $46.35 per hour. Fringe Benefits: Ski Pass, Shift Meals, 50% F&amp;B Discount and 30% Retail Discount Number of Hours Per Week: 35 Work Schedule (Start/End time): 7:00 A.M. - 11:30 P.M.</t>
  </si>
  <si>
    <t>H-400-26184-078366</t>
  </si>
  <si>
    <t>RSC CONSULTING LLC</t>
  </si>
  <si>
    <t>Nathaniel Copping</t>
  </si>
  <si>
    <t>ncopping@coppinglaw.com</t>
  </si>
  <si>
    <t>+12255724568</t>
  </si>
  <si>
    <t>Private Household Cook (special Diets)</t>
  </si>
  <si>
    <t>Plan, prepare, and cook daily meals and snacks for household members in a private home. Develop weekly menus based on household preferences and dietary needs, including avoidance of specified allergens. Purchase, inspect, and store food ingredients; maintain inventory of pantry and kitchen supplies. Follow household instructions for dietary restrictions and food safety, including avoiding specified allergens and preventing cross-contact in the kitchen. Properly label, package, and store prepared meals and snacks for later consumption (e.g., school days and activities). Clean and maintain kitchen, cooking equipment, and utensils in a safe and sanitary condition in accordance with household standards. Job Classification: 35-2013.00 - Cooks, Private Household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24 Special Requirements: Meal preparation Menu planning Special diets Allergenfree cooking Food safety Kitchen sanitation Inventory management Grocery shopping Time management Following recipes and instructions English language basic oral and written Number of Hours Per Week: 40 Work Schedule (Start/End time): 7:00 A.M. - 3:00 P.M.</t>
  </si>
  <si>
    <t>H-400-26184-078383</t>
  </si>
  <si>
    <t>SCHOTT TAXIDERMY, LLC</t>
  </si>
  <si>
    <t>schott.taxidermy@yahoo.com</t>
  </si>
  <si>
    <t>+12102876693</t>
  </si>
  <si>
    <t>Work in a meat processing plant in order to prepare various meat cuts and products such as sausages, jerky and standard cuts. Remove bones and cut meat to proper size. Trim away any unwanted veins, tendons, fat, skin or cartilage. Process meat into various products or cuts. Wrap and/or package finished products. Maintain a clean and sanitized work environment and adhere to all company safety and health procedures. Job Classification: 51-3023.00 - Slaughterers and Meat Packers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None. Number of Hours Per Week: 40 Work Schedule (Start/End time): 8:00 A.M. - 5:00 P.M.</t>
  </si>
  <si>
    <t>H-400-26184-078412</t>
  </si>
  <si>
    <t>SCV Household Employer LLC</t>
  </si>
  <si>
    <t>sijucruva@gmail.com</t>
  </si>
  <si>
    <t>+13476125921</t>
  </si>
  <si>
    <t>Prepare, serve, and feed nutritionally balanced snacks, meals, and bottles for one infant child. Put child down for naps and regulate rest periods and nap schedules. Dress child or assist with dressing. Engage child in age-appropriate activities such as lap play, reading, educational games, arts and crafts, and outdoor play to promote physical, cognitive, and motor development. Collaborate with parents to implement routines and guidance programs that encourage desirable behavior. Instruct and assist child in developing healthy personal habits, such as eating and hygiene. Model appropriate social behaviors and foster early communication and interpersonal skills. Remove potential hazards and establish appropriate boundaries and household rules to ensure a safe environment for the child at all times, including during outings. Administer first aid when necessary. Observe child's behavior for signs of illness or irregularities, take temperature, and administer medication as directed by parents or medical providers to support the child's health and well-being. Perform light housekeeping and cleaning tasks related to the child's care, including tidying play areas, cleaning up after meals, and laundering the child's clothing. Transport child to activities, social outings, and medical appointments. Shop for groceries, clothing, and other items needed for the child's care. All duties will be performed within a private household setting. Job Classification: 39-9011.01 - Nannies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12 Special Requirements: Basic English skills. Minimum 12 months of prior experience as a nanny or in a related childcare position required, including experience with infants and newborns. High School/GED required. Must be able to lift and carry weights sufficient to move equipment and material necessary to complete assigned tasks, including lifting and carrying the child. Must be able to stand and remain active throughout the shift. Use of kitchen appliances, laundry machines, and household automobile. Eligibility for a valid New Jersey driver's license. 40 hours per week, 5 days per week. Schedule may vary and can include evenings, weekends, or holidays, as needed. Employer will rely on worker's own representations and observations of worker to assess if worker meets the elegibility, lifting, standing, and other physical ability requirements stated here. Number of Hours Per Week: 40 Work Schedule (Start/End time): 9:00 A.M. - 6:00 P.M.</t>
  </si>
  <si>
    <t>H-400-26184-078389</t>
  </si>
  <si>
    <t>Showtime Logistics, LLC</t>
  </si>
  <si>
    <t>tom@tbkent.net</t>
  </si>
  <si>
    <t>+19099643078</t>
  </si>
  <si>
    <t>H-400-26184-078377</t>
  </si>
  <si>
    <t>Stafford County Flour Mills</t>
  </si>
  <si>
    <t>dfoote.scfm@gmail.com</t>
  </si>
  <si>
    <t>+16204584121</t>
  </si>
  <si>
    <t>Packaging Workers</t>
  </si>
  <si>
    <t>Oversee automated packers and palletizers in order to package freshly milled flour. Load bags onto packer, perform minor maintenance and monitor to ensure that a quality product is exiting the system. Maintain a clean and organized work environment. Adhere to all company safety rules and procedures. Job Classification: 51-9111.00 - Packaging and Filling Machine Operators and Tenders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Must be able to lift up to 50lbs repetitively. Must be able to read, write and speak in proficient English. Number of Hours Per Week: 40 Work Schedule (Start/End time): 3:00 P.M. - 11:00 P.M.</t>
  </si>
  <si>
    <t>H-400-26184-078413</t>
  </si>
  <si>
    <t>Sugar Mountain Resort, Inc.</t>
  </si>
  <si>
    <t>liftoffice@skisugar.com</t>
  </si>
  <si>
    <t>+18288984521</t>
  </si>
  <si>
    <t>Resort Attendants</t>
  </si>
  <si>
    <t>Resort attendants will perform a variety of attendant duties to carry out ski resort operations and to ensure guest satisfaction. Attendant duties include: assist guests with getting on and off ski lifts safely; assist guests with finding parking at the resort; assist with keeping resort grounds, facilities, and equipment clean and presentable; provide information and assistance for resort guests in connection with resort's recreation offerings; and other similar, related tasks as needed. Job Classification: 39-3091.00 - Amusement and Recreation Attendants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Must be able to lift at least 25 pounds. Number of Hours Per Week: 70 Work Schedule (Start/End time): 7:00 A.M. - 5:00 P.M.</t>
  </si>
  <si>
    <t>H-400-26184-078430</t>
  </si>
  <si>
    <t>The Club at Admirals Cove, Inc.</t>
  </si>
  <si>
    <t>JOBS@ADMIRALSCOVE.NET</t>
  </si>
  <si>
    <t>+15617441700</t>
  </si>
  <si>
    <t>Prepares, seasons and cooks soups, meats, vegetables, fruits, desserts and other miscellaneous food for consumption; Observes recipe guidelines and sanitation procedures. *Continuation to Section F.a.5 below: 35 hours a week; Work may be performed on any day of the week from Monday through Sunday. Variable shifts over 7 days a week that can vary as needed as advertised in State Workforce Agency job order, and in other H2B advertisement sources as per employers recruiting requirements for prospective workers under the H2B program; Shifts may vary: 6am to 11pm. Job Classification: 35-2014.00 - Cooks, Restaurant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PASS PRE-EMPLOYMENT POLICE CLEARANCE; ABILITY TO COMMUNICATE IN ENGLISH; POST-EMPLOYMENT DRUG TESTING. EMPLOYER REQUIRES PRE-EMPLOYMENT POLICE CLEARANCE AND POST-EMPLOYMENT DRUG TESTING TO BE CARRIED OUT EQUALLY BETWEEN THE U.S. WORKERS AND THE H-2B WORKERS. Number of Hours Per Week: 35 Work Schedule (Start/End time): 6:00 A.M. - 11:00 P.M.</t>
  </si>
  <si>
    <t>H-400-26184-078382</t>
  </si>
  <si>
    <t>The Dream In the Sky, LLC</t>
  </si>
  <si>
    <t>juliahcook@aol.com</t>
  </si>
  <si>
    <t>+13146081100</t>
  </si>
  <si>
    <t>Polo Horse Groom</t>
  </si>
  <si>
    <t>Responsible for attending to the overall care of horses. Duties include grooming, feeding, watering, bathing, cleaning out stalls, replenishing bedding, maintaining tack room, wrapping legs, pulling and braiding mane, storing supplies and feed, body clipping &amp; supervised turnout. Groom will maintain and clean stalls &amp; work area daily. Groom will observe and report horse’s physical condition daily. Must be able to lift and carry 50 pounds up to 100 feet. Groom will be responsible for the care of 1 to 5 horses at a time which will include tacking up &amp; checking for correct fit of bridles, martingales, saddles &amp; other equipment. Job Classification: 39-2021.00 - Animal Caretakers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Number of Hours Per Week: 40 Work Schedule (Start/End time): 8:00 A.M. - 4:30 P.M.</t>
  </si>
  <si>
    <t>H-400-26184-078406</t>
  </si>
  <si>
    <t>Troon Golf, LLC at Ballenisles Country Club, Inc.</t>
  </si>
  <si>
    <t>JMEDFORD@BALLENISLES.ORG</t>
  </si>
  <si>
    <t>+15616255772</t>
  </si>
  <si>
    <t>Taking beverage order. Prepare mixed drinks and serve the same. Cleans bar area. May be required to take food orders and make knowledgeable recommendations regarding wines and other products. Requisition and display liquor and supplies. Must keep bar area clean and work under strictly enforced state code. *Continuation to Section F.a.5 below: 40 hours a week. Shifts will consist of 8 hour shifts that can vary as needed as advertised in State Workforce Agency job order, and in other H2B advertisement sources as per employers recruiting requirements for prospective workers under the H-2B program. Variable shifts over 7 days a week. Shifts may vary: 6am to 11pm. Job Classification: 35-3011.00 - Bartenders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EMPLOYER REQUIRES PRE-EMPLOYMENT POLICE CLEARANCE AND POST-EMPLOYMENT DRUG TESTING TO BE CARRIED OUT EQUALLY BETWEEN THE U.S. WORKERS AND H-2B WORKERS. ABILITY TO COMMUNICATE IN ENGLISH. Number of Hours Per Week: 40 Work Schedule (Start/End time): 6:00 A.M. - 11:00 P.M.</t>
  </si>
  <si>
    <t>H-400-26184-078409</t>
  </si>
  <si>
    <t>Greets, escorts and provides menus to customers; assists with misc. cleaning/polishing etc. as necessary. *Continuation to Section F.a.5 below: 40 hours a week. Shifts will consist of 8 hour shifts that can vary as needed as advertised in State Workforce Agency job order, and in other H2B advertisement sources as per employers recruiting requirements for prospective workers under the H-2B program. Variable shifts over 7 days a week. Shifts may vary: 6am to 11pm. Job Classification: 35-9031.00 - Hosts and Hostesses, Restaurant, Lounge, and Coffee Shop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EMPLOYER REQUIRES PRE-EMPLOYMENT POLICE CLEARANCE AND POST-EMPLOYMENT DRUG TESTING TO BE CARRIED OUT EQUALLY BETWEEN THE U.S. WORKERS AND H-2B WORKERS. ABILITY TO COMMUNICATE IN ENGLISH. Number of Hours Per Week: 40 Work Schedule (Start/End time): 6:00 A.M. - 11:00 P.M.</t>
  </si>
  <si>
    <t>H-400-26184-078410</t>
  </si>
  <si>
    <t>Taking and serving food and beverage orders; Carrying out food and miscellaneous set up and clean up activities; May be required to perform duties in an outdoor environment and at banquet events; may be required to serve customers via golf cart. *Continuation to Section F.a.5 below: 40 hours a week. Shifts will consist of 8 hour shifts that can vary as needed as advertised in State Workforce Agency job order, and in other H2B advertisement sources as per employers recruiting requirements for prospective workers under the H-2B program. Variable shifts over 7 days a week. Shifts may vary: 6am to 11pm. Job Classification: 35-3031.00 - Waiters and Waitresses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EMPLOYER REQUIRES PRE-EMPLOYMENT POLICE CLEARANCE AND POST-EMPLOYMENT DRUG TESTING TO BE CARRIED OUT EQUALLY BETWEEN THE U.S. WORKERS AND H-2B WORKERS. ABILITY TO COMMUNICATE IN ENGLISH. Number of Hours Per Week: 40 Work Schedule (Start/End time): 6:00 A.M. - 11:00 P.M.</t>
  </si>
  <si>
    <t>H-400-26184-078415</t>
  </si>
  <si>
    <t>ASSIST SERVERS BY BRINGING BEVERAGES TO THE TABLE, REPLENISHING DRINKS, CLEARING SPENT FLATWARE/CHINA; CLEANING SERVER AREAS AND EQUIPMENT; STOCK ALL WARES AND EQUIPMENT NEEDED FOR SERVICE. *Continuation to Section F.a.5 below: 40 hours a week. Shifts will consist of 8 hour shifts that can vary as needed as advertised in State Workforce Agency job order, and in other H2B advertisement sources as per employers recruiting requirements for prospective workers under the H-2B program. Variable shifts over 7 days a week. Shifts may vary: 6am to 11pm. Job Classification: 35-9011.00 - Dining Room and Cafeteria Attendants and Bartender Helpers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EMPLOYER REQUIRES PRE-EMPLOYMENT POLICE CLEARANCE AND POST-EMPLOYMENT DRUG TESTING TO BE CARRIED OUT EQUALLY BETWEEN THE U.S. WORKERS AND H-2B WORKERS. ABILITY TO COMMUNICATE IN ENGLISH. Number of Hours Per Week: 40 Work Schedule (Start/End time): 6:00 A.M. - 11:00 P.M.</t>
  </si>
  <si>
    <t>H-400-26184-078423</t>
  </si>
  <si>
    <t>Worker may be required to perform any of the following duties: monitor activities at golf course, tennis complex, aquatic complex and spa and fitness facility; may provide administrative assistance to membership, including checking membership cards, confirming reservations, arranging merchandise and providing facility information; perform minor cleaning of golf carts and clubs and transport members' golf equipment and automobiles to and from the clubhouse facilities. The duties involved with transporting members' automobiles to and from the clubhouse facilities task requires a mix of hospitality, safety, and strict organization. This role is often the first and last point of contact for a member, which involves greeting the member at the curb; opening the driver’s door immediately upon arrival; and conducting a quick, discreet visual scan for any pre-existing damage; and bringing the automobile to the front of the clubhouse facilities upon request of the member. *Continuation to Section F.a.5 below: 40 hours a week. Shifts will consist of 8 hour shifts that can vary as needed as advertised in State Workforce Agency job order, and in other H2B advertisement sources as per employers recruiting requirements for prospective workers under the H-2B program. Variable shifts over 7 days a week. Shifts may vary: 6am to 11pm. Job Classification: 39-3091.00 - Amusement and Recreation Attendants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EMPLOYER REQUIRES PRE-EMPLOYMENT POLICE CLEARANCE AND POST-EMPLOYMENT DRUG TESTING TO BE CARRIED OUT EQUALLY BETWEEN THE U.S. WORKERS AND H-2B WORKERS. ABILITY TO COMMUNICATE IN ENGLISH. Number of Hours Per Week: 40 Work Schedule (Start/End time): 6:00 A.M. - 11:00 P.M.</t>
  </si>
  <si>
    <t>H-400-26184-078403</t>
  </si>
  <si>
    <t>Prepares, seasons and cooks soups, meats, vegetables, fruits, desserts and other miscellaneous food for consumption; Observes recipe guidelines and sanitation procedures. *Continuation to Section F.a.5 below: 40 hours a week. Shifts will consist of 8 hour shifts that can vary as needed as advertised in State Workforce Agency job order, and in other H2B advertisement sources as per employers recruiting requirements for prospective workers under the H-2B program. Variable shifts over 7 days a week. Shifts may vary: 6am to 11pm. Job Classification: 35-2014.00 - Cooks, Restaurant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EMPLOYER REQUIRES PRE-EMPLOYMENT POLICE CLEARANCE AND POST-EMPLOYMENT DRUG TESTING TO BE CARRIED OUT EQUALLY BETWEEN THE U.S. WORKERS AND H-2B WORKERS. ABILITY TO COMMUNICATE IN ENGLISH. Number of Hours Per Week: 40 Work Schedule (Start/End time): 6:00 A.M. - 11:00 P.M.</t>
  </si>
  <si>
    <t>H-400-26184-078405</t>
  </si>
  <si>
    <t>Banquet Set-up Assistant</t>
  </si>
  <si>
    <t>Set up and break down all events, functions and banquets according to event specifications; sets tables; replenish supply of clean linens, silverware, glassware, and dishes; supply service bar; set up dance floors and stages. *Continuation to Section F.a.5 below: 40 hours a week. Shifts will consist of 8 hour shifts that can vary as needed as advertised in State Workforce Agency job order, and in other H2B advertisement sources as per employers recruiting requirements for prospective workers under the H-2B program. Variable shifts over 7 days a week. Shifts may vary: 6am to 11pm. Job Classification: 53-7062.00 - Laborers and Freight, Stock, and Material Movers, Hand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EMPLOYER REQUIRES PRE-EMPLOYMENT POLICE CLEARANCE AND POST-EMPLOYMENT DRUG TESTING TO BE CARRIED OUT EQUALLY BETWEEN THE U.S. WORKERS AND H-2B WORKERS. ABILITY TO COMMUNICATE IN ENGLISH. Number of Hours Per Week: 40 Work Schedule (Start/End time): 6:00 A.M. - 11:00 P.M.</t>
  </si>
  <si>
    <t>H-400-26184-078407</t>
  </si>
  <si>
    <t>Wash dishes, glassware, flatware, pots, pans and other utensils by hand or by dishwasher. Maintain kitchen work areas and equipment. Remove trash, mop, clean, load and unload supply deliveries. *Continuation to Section F.a.5 below: 40 hours a week. Shifts will consist of 8 hour shifts that can vary as needed as advertised in State Workforce Agency job order, and in other H2B advertisement sources as per employers recruiting requirements for prospective workers under the H-2B program. Variable shifts over 7 days a week. Shifts may vary: 6am to 11pm. Job Classification: 35-9021.00 - Dishwashers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EMPLOYER REQUIRES PRE-EMPLOYMENT POLICE CLEARANCE AND POST-EMPLOYMENT DRUG TESTING TO BE CARRIED OUT EQUALLY BETWEEN THE U.S. WORKERS AND H-2B WORKERS. ABILITY TO COMMUNICATE IN ENGLISH. Number of Hours Per Week: 40 Work Schedule (Start/End time): 6:00 A.M. - 11:00 P.M.</t>
  </si>
  <si>
    <t>H-400-26184-078417</t>
  </si>
  <si>
    <t>Oversee serving staff during set up, serving and clearing; train new servers on the floor; build/maintain rapport with the club members; assume servers duties as required, particularly in the service of special guests of honor and VIPs; required to set an exemplary example and to ensure the highest level of service that is provided by the club's serving staff. *Continuation to Section F.a.5 below: 40 hours a week. Shifts will consist of 8 hour shifts that can vary as needed as advertised in State Workforce Agency job order, and in other H2B advertisement sources as per employers recruiting requirements for prospective workers under the H-2B program. Variable shifts over 7 days a week. Shifts may vary: 6am to 11pm. Job Classification: 35-1012.00 - First-Line Supervisors of Food Preparation and Serving Workers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6 Special Requirements: EMPLOYER REQUIRES PRE-EMPLOYMENT POLICE CLEARANCE AND POST-EMPLOYMENT DRUG TESTING TO BE CARRIED OUT EQUALLY BETWEEN THE U.S. WORKERS AND H-2B WORKERS. ABILITY TO COMMUNICATE IN ENGLISH. THE 6 MONTHS EXPERIENCE REQUIRED IN BOX F.A.9, CONTEMPLATES 6 MONTHS EXPERIENCE AS A SERVER OR SENIOR SERVER IN A HOSPITALITY SETTING. Number of Hours Per Week: 40 Work Schedule (Start/End time): 6:00 A.M. - 11:00 P.M.</t>
  </si>
  <si>
    <t>H-400-26184-078371</t>
  </si>
  <si>
    <t>Uline Inc. seeks to fill 19 full-time Warehouse Associate positions in Kenosha, Wisconsin. This is for a temporary, peak load need from October 1, 2026 to March 31, 2027. Duties: Perform a variety of general warehouse duties in support of inventory management and outbound distribution activities. Move, sort, store, and prepare materials/products for shipment. Follow established procedures to use warehouse management system (WMS) to complete inventory transactions and maintain accurate records. Reads work orders to determine required tasks, build outbound shipments according to provided instructions, and assist with daily operational needs. Perform other related routine, nonsupervisory warehouse duties as assigned. Requirements: Must have High school diploma/GED or equivalent. Certification to use one or more of the following: Crown stock picker, quad pallet rider, sitdown, RC forklift (evidenced by certificate or equivalent experience) required. Must have WMS system knowledge. Must have ability to lift, push, and slide packages that weigh up to 50 lbs. Must have passing score on Uline's routine pre-employment assessments. Background check and drug test will be required post-offer and pre-employment. Terms and Conditions of employment: $21.09/hr, at least 40 hours per week. Monday – Friday, 10:30 AM – 7:00 PM. Overtime is available as needed. Overtime rate of pay is at least $31.64/hr. Housing is not provided. Transportation: From the place of which the worker has come to work, whether in the U.S. or abroad, to the place of employment, if the worker completes 50% of the work contract period, the employer will reimburse the worker for transportation and subsistence from the place of recruitment to the place of work. Upon completion of the work contract or in the event the worker is dismissed earlier, the employer will provide or pay for worker's reasonable costs of return transportation and subsistence back home or to the place the worker originally departed to work, except where the worker will not return due to subsequent employment with another employer. The amount of transportation payment or reimbursement will be equal to the most economical and reasonable common carrier for the distances involved. Daily subsistence will be provided at the rate of at least $16.78/day during travel to a maximum of $68.00/day with receipts. Three-fourths: The employer guarantees to offer work for hours equal to at least three-fourths of the workdays in each 12-week period of the total employment period. Tools, Equipment and Supplies: The employer will provide workers at no charge with all tools, supplies, and equipment required to perform the job. Workers will be provided with on-the-job training to perform the duties assigned. Miscellaneous: The employer will use a single work week as its standard for computing wages due. Wage will be paid bi-weekly. The employer will make all payroll deductions from the worker's paycheck required by law and will not make any deductions which are not required by law. The employer will reimburse the H2B worker in the first work week for all visa, visa processing, border crossing, and other related fees, including those mandated by the government, incurred by the H2B worker. Job Classification: 43-5071.00 - Shipping, Receiving, and Inventory Clerks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Certification to use one or more of the following: Crown stock picker, quad pallet rider, sitdown, RC forklift (evidenced by certificate or equivalent experience) required. Must have WMS system knowledge. Must have ability to lift, push, and slide packages that weigh up to 50 lbs. Must have passing score on Uline's routine pre-employment assessments. Background check and drug test will be required post-offer and pre-employment. Number of Hours Per Week: 40 Work Schedule (Start/End time): 10:30 A.M. - 7:00 P.M.</t>
  </si>
  <si>
    <t>H-400-26184-078446</t>
  </si>
  <si>
    <t>10TH Planet Jiu Jitsu San Diego, LLC</t>
  </si>
  <si>
    <t>Kevin Qi</t>
  </si>
  <si>
    <t>suzanne@10thplanetsandiego.com</t>
  </si>
  <si>
    <t>+16192825855</t>
  </si>
  <si>
    <t>Maintenance Project Assistant</t>
  </si>
  <si>
    <t>The Maintenance Project Assistant is responsible for performing construction of moveable custom "pit walls" that will need to be assembled and disassembled depending on special events. Job will occasionally require construction of a three-tier champion podium. The facility itself may need already installed temporary half walls moved or temporarily disassembled to support additional capacity or viewing requirements for special events. Special events may call for temporary modification of fitting room or walkway walls/doors to improve flow of patrons/competitors. The old building in which the training facility operates is an old auto shop with spontaneous minor facility upkeep issues needing someone with the skillset to prevent exorbitant costs and accommodate excessive usage during the events. The worker will be required to utilize a company credit card and vehicle to purchase/pick up equipment (framing materials, sheetrock/drywall supplies, various hand tools) from hardware store if not purchased in advance by the employer. Worker needs knowledge of measuring, (framing as needed), plaster application/use, and sheetrock installation (or fastening soft martial arts mats to pit walls/half walls). Employee may need to cut (with sharp blade) sheets of drywall to fit the particular space in which it is being utilized. They can (preferably) use manual means to apply plaster/joint compound on tape to improve appearance of completed construction and surface. The employee is authorized to utilize PPE as necessary to protect their skin, eyes, etc. Worker will perform assembly of "structural components" such as/not limited to; half walls, pit walls, seating and podiums that would require minimum of 400# support for champions to stand on. Reconstruction of the front entry/desk/doorway/office space to accommodate our growing business and flow of patrons on a regular basis. Basic fixture assembly may include weight fixtures such as a dumbbell tree or cable machine or even simple storage shelf for patrons' gear. The Employee will support the Business Area Manager and skilled tradespersons in the execution of seasonal property renovations and facility upkeep. The role focuses on providing technical assistance during maintenance, construction or repair projects, managing job-site logistics and supplies, and performing preparatory and finishing tasks for renovations. Key Responsibilities: • Project Support: Assist in assessing project sites for seasonal needs; provide manual support to senior staff during facility inspections and measurements. • Supply Logistics: Facilitate the procurement process by transferring tools, parts, and equipment to workstations; monitor inventory of construction supplies and notify management of low stock. • Preparation &amp; Site Maintenance: Prepare work areas for renovation by applying protective coverings (tape/plastic); clean and lubricate tools and machinery to ensure operational readiness. • Assisted Execution: Provide hands-on assistance during minor cosmetic updates, including holding materials for tile installation, prepping surfaces for sheetrock/drywall repair, and performing basic interior painting. • Technical Aid: Assist skilled workers with the assembly of structural components and the connection of basic fixtures using hand and power tools under direct supervision. Travel and equipment transport is required in company vehicles from the company's headquarters in 6008 Mission Gorge Rd Ste. A, San Diego, California to Storage Units in East County - San Diego &amp; North County - San Diego. Approx. 5-10 times per project. Job Classification: 49-9071.00 - Maintenance and Repair Workers, General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Number of Hours Per Week: 37 Work Schedule (Start/End time): 9:00 A.M. - 4:30 P.M.</t>
  </si>
  <si>
    <t>H-400-26184-078493</t>
  </si>
  <si>
    <t>Amusement Productions LLC</t>
  </si>
  <si>
    <t>info.amusementproductions@gmail.com</t>
  </si>
  <si>
    <t>+18179088499</t>
  </si>
  <si>
    <t>Erect, takedown, attend &amp; maintain equipment; collect tickets/fees; make change; assist patrons. Job Classification: 39-3091.00 - Amusement and Recreation Attendants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Must pass post-hire drug and background check paid by employer. Must be able to lift 50 pounds. Hours, schedule, and days vary widely. Typically, Wed-Sun, 4pm 11pm. Often 35-45 hours per week, may go up to 45 hours per week. Work needs (i.e., hours, days, schedule, location, and work positions) vary. Work needs subject to industry practice and are not guaranteed per day, per week, per schedule, per location, or per worker, e.g., rainouts, brief periods without scheduled events, event dates and hours set by agreement with sponsor and subject to change (based upon adverse weather, hours of operation, day of the week, attendance, size of the event, school schedules, amount of equipment in operation, staffing, etc.), and unforeseen cancellations. In the event of approved, overlapping events, work needs may cause workers to be adjusted. Job requirements Post-employment random drug testing and background checks may be required by employer at no cost to the worker. The job requires the applicant to be qualified, authorized, ready, willing, able, and available to perform during the entire employment at the designated worksites under adverse weather; enter into and comply with any employment contract and housing lease; follow workplace, grievance, and housing rules. The grievance procedure requires workers to report any threats to or failure to satisfy working terms and conditions; and meet job performance standards. Work outside in all weather. The job requires the applicant to obtain and show proof of all necessary government authorizations to work this job, such as an H-2B worker visa for foreign workers. Any H-2B worker visa will be issued by the United States consulate in the home country, and after which the applicant will be regarded as recruited at that time and place. Must cooperate with and complete job application and interview, and any supplied information must be truthful and complete. Must comply with grooming requirements and dress code. Must be willing to work up to 7 days/week. Subject to discharge for cause. Number of Hours Per Week: 35 Work Schedule (Start/End time): 4:00 P.M. - 11:00 P.M.</t>
  </si>
  <si>
    <t>H-400-26184-078452</t>
  </si>
  <si>
    <t>Anna Dolores Rolda McMahon</t>
  </si>
  <si>
    <t>30/08/2029</t>
  </si>
  <si>
    <t>annarolda98@gmail.com</t>
  </si>
  <si>
    <t>+14159090507</t>
  </si>
  <si>
    <t>Prepare, serve, and feed nutritionally balanced snacks and meals for one young child. Dress child or assist with dressing. Engage child in age-appropriate activities including lap play, reading, educational games, arts and crafts, and outdoor play to promote physical and intellectual development. Support at-home educational programs including structured learning activities, reading exercises, and educational curricula as directed by parents. Manage and coordinate the child's daily schedule including educational programs, museum visits, and private lessons. Collaborate with parents to implement routines and guidance programs that encourage desirable behavior. Instruct and assist child in developing healthy personal habits such as eating and hygiene. Model appropriate social behaviors and foster interpersonal and communication skills. Remove potential hazards and establish appropriate boundaries and household rules to ensure a safe environment. Administer first aid when necessary. Observe child's behavior for signs of illness or irregularities, take temperature, and administer medication as directed by parents or medical providers. Perform light housekeeping and cleaning tasks related to the child's care, including tidying play areas, folding laundry, and organizing household areas used by the child. Transport child to activities, social outings, and medical appointments. Shop for groceries, clothing, and other items needed for the child's care. All duties will be performed within a private household setting. Job Classification: 39-9011.01 - Nannies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6 Special Requirements: Basic English skills. High School diploma or equivalent required. Minimum 6 months of prior experience as a nanny or in a related childcare position required. Must be able to lift and carry weights sufficient to move equipment and material necessary to complete assigned tasks. Must be able to stand and remain active throughout the shift. Use of kitchen appliances and laundry machines. 40 hours per week, 5 days per week. Typical shift is 7:00 AM to 5:00 PM. Schedule may vary and can include evenings, weekends, or holidays, as needed. Employer will rely on worker's own representations and observations of worker to assess if worker meets the lifting, standing, and other physical ability requirements stated here. Number of Hours Per Week: 40 Work Schedule (Start/End time): 7:00 A.M. - 5:00 P.M.</t>
  </si>
  <si>
    <t>H-400-26184-078477</t>
  </si>
  <si>
    <t>Bad Hat Auto Inc.</t>
  </si>
  <si>
    <t>jobs@greatfloridamotors.com</t>
  </si>
  <si>
    <t>Car Cleaning Specialist</t>
  </si>
  <si>
    <t>Clean automobiles in dealer inventory by washing vehicle exterior Wax car exterior to preserve paint Vacuum and clean auto interior Revitalize and Preserve exterior and interior with specialized processes, cleaners, and protectants provided by employer Job Classification: 53-7061.00 - Cleaners of Vehicles and Equipment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No Special Skills. Number of Hours Per Week: 40 Work Schedule (Start/End time): 8:00 A.M. - 4:00 P.M.</t>
  </si>
  <si>
    <t>H-400-26184-078457</t>
  </si>
  <si>
    <t>Blue Screen Solution, LLC</t>
  </si>
  <si>
    <t>Woon Kim</t>
  </si>
  <si>
    <t>justin.kim@bluescreensolution.com</t>
  </si>
  <si>
    <t>+14706601813</t>
  </si>
  <si>
    <t>Technician</t>
  </si>
  <si>
    <t>• Perform mechanical assembly, installation, adjustment, testing, troubleshooting, and maintenance of automated manufacturing equipment used in the production of lithium-ion battery cells for electric vehicle battery manufacturing projects. • Assemble, install, and adjust battery manufacturing equipment including lamination machines, stack machines, folding machines, packing machines, and vision inspection systems used in battery cell production processes. • Utilize various hand and power tools including wrenches, spanners, hex keys, torque wrenches, screwdrivers, pliers, wire strippers, hammers, utility knives, and precision measuring tools to perform equipment assembly, alignment, fastening, calibration, and maintenance work. • Install, align, adjust, and maintain mechanical components including frames, rollers, guides, conveyors, pneumatic systems, motion control systems, and automated machine parts to ensure proper equipment operation and production accuracy. • Perform electrical support and cable management work for manufacturing equipment operating on electrical systems ranging from 110V to 250V. • Route, organize, secure, and maintain electrical cables and wiring for sensors, relays, switches, motors, and control devices used in automated manufacturing equipment. • Perform electrical measurements using digital multimeters to check voltage, current, resistance, continuity, and insulation conditions for equipment testing and maintenance purposes. • Diagnose faulty electrical components and replace damaged or malfunctioning electrical parts according to appropriate voltage, resistance, and operational specifications. • Conduct insulation testing and equipment verification procedures to ensure safe operation and compliance with applicable electrical and workplace safety standards. • Collaborate with electrical technicians, engineers, and production personnel to support machine startup, testing, troubleshooting, and operational verification activities. • Support manufacturing operations associated with electrode mixing, coating, roll pressing, slitting, notching, stacking, folding, welding, electrolyte injection, sealing, formation charging and discharging, degassing, inspection, packaging, and shipping processes for lithium-ion battery cells. • Monitor machine conditions, perform equipment adjustments, and troubleshoot operational issues to minimize downtime and maintain manufacturing efficiency and product quality. • Verify dimensional accuracy, alignment conditions, and operational performance using vision inspection systems and related inspection equipment. • Work with industrial automation systems, pneumatic controls, motion control systems, and cleanroom manufacturing environments as part of industrial-scale EV battery manufacturing projects. • Maintain tools, equipment, and work areas in clean and organized condition while following applicable cleanroom procedures, safety policies, and operational standards. Job Classification: 49-9041.00 - Industrial Machinery Mechanics The job/industry classification and description includes general information on the position from ONET/OES and the North American Industry Classification System. Please review Job Duties and Job Order for more information. Job Requirements Experience Required: No Number of Hours Per Week: 40 Work Schedule (Start/End time): 8:00 A.M. - 5:00 P.M.</t>
  </si>
  <si>
    <t>H-400-26184-078491</t>
  </si>
  <si>
    <t>Camp Coot LLC</t>
  </si>
  <si>
    <t>MaryJoy Chuba</t>
  </si>
  <si>
    <t>cootcary72@gmail.com</t>
  </si>
  <si>
    <t>+13035917998</t>
  </si>
  <si>
    <t>Duties include assisting the elderly client with activities of daily living, including bathing, grooming, dressing, toileting, and personal hygiene; assisting with walking, mobility, transfers, repositioning, and fall-prevention; preparing and serving meals and assisting with feeding and hydration, if needed; changing bed linens and maintaining the cleanliness of the client’s immediate living area; accompanying the client to routine appointments or walks, as needed; providing companionship and emotional support; observing the client’s general condition and promptly reporting changes in mobility, appetite, mood, or responsiveness to the employer or designated family member; and maintaining a safe, clean, and respectful care environment. The worker will not perform medical diagnosis, independently administer medication, or provide skilled nursing services. Must have 6 months of experience providing direct care or assistance to elderly individuals, adults with limited mobility, or persons needing assistance with activities of daily living in a private home, long-term care, assisted living, hospital, or similar care setting. Job Classification: 31-1122.00 - Personal Care Aides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6 Special Requirements: Must have Certification in caregiving, healthcare services, or a related field. Must have CPR and First Aid certification (or willingness to obtain within 15 days of hire) Must have a valid California Driver's License (or equivalent) or the ability to obtain within 30 days of hire/arrival in the US Must be able to lift 2530 lbs. Must have prior work experience in a medicine ward, emergency room, hospital, or direct patient-care environment. Must have experience caring for elderly patients with limited mobility, chronic health conditions, weakness, or age-related care needs. Must possess strong communication skills and ability to work cooperatively with family members and other healthcare providers involved in the clients care. Number of Hours Per Week: 40 Work Schedule (Start/End time): 8:00 A.M. - 4:00 P.M.</t>
  </si>
  <si>
    <t>H-400-26184-078442</t>
  </si>
  <si>
    <t>Colorado Golf Club Inc.</t>
  </si>
  <si>
    <t>Prux@coloradogolfclub.com</t>
  </si>
  <si>
    <t>+13038405400</t>
  </si>
  <si>
    <t>Perform a variety of food preparation duties other than cooking, such as preparing cold foods and shellfish, slicing meat, and brewing coffee or tea. Job Classification: 35-2021.00 - Food Preparation Workers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No education/experience required. On-the-job training available. Lift and sustain 50lbs. Alternating shifts. Time will be given for daily breaks. Number of Hours Per Week: 35 Work Schedule (Start/End time): 6:00 A.M. - 8:00 P.M.</t>
  </si>
  <si>
    <t>H-400-26184-078462</t>
  </si>
  <si>
    <t>DIVERSE SOLUTION SERVICE LLC</t>
  </si>
  <si>
    <t>diversesolutionemploy@gmail.com</t>
  </si>
  <si>
    <t>+18508514461</t>
  </si>
  <si>
    <t>A Busser, job duties are setting and clearing tables at a dining establishment provide a clean and tidy environment for restaurant patrons. which include removing used dishes, re-setting silverware and filling beverages for diners. Job Classification: 35-9011.00 - Dining Room and Cafeteria Attendants and Bartender Helpers The job/industry classification and description includes general information on the position from ONET/OES and the North American Industry Classification System. Please review Job Duties and Job Order for more information. Job Requirements Experience Required: No Number of Hours Per Week: 36 Work Schedule (Start/End time): 8:30 A.M. - 5:00 P.M.</t>
  </si>
  <si>
    <t>H-400-26184-078492</t>
  </si>
  <si>
    <t>Cleaning and maintaining facilities and common areas Vacuuming, sweeping, and mopping floors Cleaning and stocking restrooms Cleaning up spills with appropriate equipment Notifying managers of necessary repairs Collecting and disposing of trash Assisting guests when necessary Keeping the linen room stocked Making beds Replenishing linens Replacing dirty linen Job Classification: 37-2012.00 - Maids and Housekeeping Cleaners The job/industry classification and description includes general information on the position from ONET/OES and the North American Industry Classification System. Please review Job Duties and Job Order for more information. Job Requirements Experience Required: No Number of Hours Per Week: 36 Work Schedule (Start/End time): 8:30 A.M. - 5:00 P.M.</t>
  </si>
  <si>
    <t>H-400-26184-078451</t>
  </si>
  <si>
    <t>Environmental Quality, Inc.</t>
  </si>
  <si>
    <t>kmurray@eq-inc.com</t>
  </si>
  <si>
    <t>+15615759996</t>
  </si>
  <si>
    <t>Under direction of a licensed supervisor, use hand or power tools and equipment to maintain and restore environmentally protected wetlands, national parks and preserves; treat invasive exotic vegetation and trees; implement mitigation and habitat restoration plans; clear brush and debris, and apply herbicides as directed, in accordance with all laws and label instructions. Job Classification: 45-4011.00 - Forest and Conservation Workers The job/industry classification and description includes general information on the position from ONET/OES and the North American Industry Classification System. Please review Job Duties and Job Order for more information. Job Requirements Experience Required: No Number of Hours Per Week: 40 Work Schedule (Start/End time): 6:00 A.M. - 4:00 P.M.</t>
  </si>
  <si>
    <t>H-400-26184-078489</t>
  </si>
  <si>
    <t>Four Oaks Land Company LLC</t>
  </si>
  <si>
    <t>fwoodrow@jnsgrp.com</t>
  </si>
  <si>
    <t>+14753339835</t>
  </si>
  <si>
    <t>Hospitality Manager</t>
  </si>
  <si>
    <t>Perform a variety of duties to ensure guest comfort, convenience, and satisfaction. Duties include: Assist guests with requests for services and monitor guest requests for housekeeping and maintenance. Plan and coordinate travel and hospitality logistics, schedules, and reservations. Secure transportation and prepare for guests’ arrival and departure. Monitor supply inventory and supplies as needed. Assist with special requests, events, and guest logistics including childcare, accessibility needs, and lost items. Provide first-level technical support for guests’ personal and business needs, including configuring and troubleshooting guests’ devices for securely connecting to facility WiFi network, assisting with in-room and common-area technology such as television remote controls and other devices, and escalating unresolved issues to internal IT or third-party support vendors as needed. Handle luggage, deliveries, mail, and other similar business services. Maintain guest lounge cleanliness. Perform other similar, related tasks as needed. Job Classification: 39-6012.00 - Concierges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6 Special Requirements: No minimum education required. Experience must be verifiable. Must be available to work split-shifts, nights, weekends &amp; holidays as needed. Minimum 35 hrs/week. Shifts and shift hours vary between 8:00 AM and 6:00 PM, 7 days per week. Must be able to communicate clearly in English. Number of Hours Per Week: 56 Work Schedule (Start/End time): 8:00 A.M. - 6:00 P.M.</t>
  </si>
  <si>
    <t>H-400-26184-078497</t>
  </si>
  <si>
    <t>recruiting@jnsgrp.com</t>
  </si>
  <si>
    <t>+14753337539</t>
  </si>
  <si>
    <t>Plan, direct, or supervise food preparation or cooking activities. Determine how food should be presented and create decorative food displays. Prepare and cook foods of all types, either on a regular basis or for special guests. Collaborate with other personnel to plan and develop recipes or menus, taking into account such factors as seasonal availability of ingredients or number of guests, etc. Supervise or coordinate activities of cooks or kitchen workers engaged in food preparation. Order or requisition food or other supplies needed to ensure efficient operation. Ensure kitchen hygiene, food safety, and compliance. Perform other similar, related tasks as needed. Job Classification: 35-1011.00 - Chefs and Head Cooks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6 Special Requirements: No minimum education required. Experience must be verifiable. Must be available to work split-shifts, nights, weekends &amp; holidays as needed. Minimum 35 hrs/week. Shifts and shift hours vary between 8:00 AM and 6:00 PM, 7 days per week. Must be able to communicate clearly in English. Number of Hours Per Week: 63 Work Schedule (Start/End time): 8:00 A.M. - 6:00 P.M.</t>
  </si>
  <si>
    <t>H-400-26184-078470</t>
  </si>
  <si>
    <t>adminnc@growprollc.com</t>
  </si>
  <si>
    <t>+19196395255</t>
  </si>
  <si>
    <t>Gather and remove litter; use hand tools such as shovels, rakes, pruning saws, saws, hedge or brush trimmers or axes; operate powered equipment such as mowers, chainsaws, electric clippers, or pruning saws; water lawns, trees, or plants using portable sprinkler systems, hoses, or watering cans; prune or trim trees, shrubs, or hedges using shears, pruners or chainsaws. Trimming trees will occur on the ground and will entail clipping branches of trees under six (6) feet tall without the need for a ladder or climbing trees. A hand lopper will be the tool needed to complete this task. Job Classification: 37-3011.00 - Landscaping and Groundskeeping Workers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Must be able to lift 75lbs for 50 yds. Must be able to handle temperature extremes. Some weekend work. Will travel to worksites within area of intended employment to perform job duties. Number of Hours Per Week: 40 Work Schedule (Start/End time): 6:30 A.M. - 4:30 P.M.</t>
  </si>
  <si>
    <t>H-400-26184-078469</t>
  </si>
  <si>
    <t>Gulfstream Boat Club Tampa, LLC</t>
  </si>
  <si>
    <t>alex@gulfstreamboatclub.com</t>
  </si>
  <si>
    <t>+15612761776</t>
  </si>
  <si>
    <t>Trainer</t>
  </si>
  <si>
    <t>Design and conduct work-related training and development programs to improve individual skills and organizational performance. Analyze organizational training needs and evaluate training effectiveness. Present information with a variety of instructional techniques or formats, such as role playing, simulations, team exercises, group discussions, videos, or lectures. Develop training procedure manuals and training programs. Job Classification: 13-1151.00 - Training and Development Specialists The job/industry classification and description includes general information on the position from ONET/OES and the North American Industry Classification System. Please review Job Duties and Job Order for more information. Job Requirements Experience Required: No Number of Hours Per Week: 40 Work Schedule (Start/End time): 8:30 A.M. - 5:30 P.M.</t>
  </si>
  <si>
    <t>H-400-26184-078456</t>
  </si>
  <si>
    <t>Highridge Landscapes Inc.</t>
  </si>
  <si>
    <t>kyounge@highridgelandscapes.com</t>
  </si>
  <si>
    <t>+14065817430</t>
  </si>
  <si>
    <t>Duties include snow removal using shovels, snowblowers, and push blades. Light winter landscape duties include the following: Fall cleanup of dead leaves, drain landscape sprinkler system and winterize system, wrapping burlap around tree bases to protect from winter weather, placement of mulch around plants and shrubs, placement of temporary wind shield around other plants for winter protection, cleanup of broken tree branches due to snow weight. Light winter landscape tools include: hand rakes, shovels, saws, hand wheel barrows, refuge bags, hand wrenches, hammers, sockets &amp; ratchets. All light landscape winter job duties are performed at ground level, no lifts or personnel suspension devises used, and no heavy equipment will be used. Job Classification: 37-3011.00 - Landscaping and Groundskeeping Workers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No education/experience required. On-the-job training available. Lift and sustain 50lbs. E-Verify (post hire). Possible Saturday work. Time will be given for breaks daily. Number of Hours Per Week: 40 Work Schedule (Start/End time): 7:00 A.M. - 5:00 P.M.</t>
  </si>
  <si>
    <t>H-400-26184-078471</t>
  </si>
  <si>
    <t>JT Lawn Service, LLC</t>
  </si>
  <si>
    <t>brent.jtlawn@gmail.com</t>
  </si>
  <si>
    <t>+17012000456</t>
  </si>
  <si>
    <t>Janitors and Cleaners (w)</t>
  </si>
  <si>
    <t>Workers use hand shovels to “clear away” snow from any walkways used by pedestrians, will use ATV 4-wheeler with “snowplow” attachment to “clear away” snow from driveways and/or parking lots, will use hands and/or handheld salt spreader on areas as directed by manager for ice melting. Install and uninstall holiday decorations. Perform commercial and residential snow/ice maintenance including winter storm cleanup, trash/debris pickup, and snow/ice removal. Clean and perform routine maintenance and/or minor repairs on equipment and tools when not in use. Use hand tools and equipment such as ice picks, shovels, and blowers. Job Classification: 37-2011.00 - Janitors and Cleaners, Except Maids and Housekeeping Cleaners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No education/experience required. On-the-job training available. Lift and sustain 50lbs. E-Verify (post hire). Possible Saturday work. Time will be given for breaks daily. Number of Hours Per Week: 35 Work Schedule (Start/End time): 6:30 A.M. - 4:30 P.M.</t>
  </si>
  <si>
    <t>H-400-26184-078439</t>
  </si>
  <si>
    <t>LETEM Recycling, LLC</t>
  </si>
  <si>
    <t>luiss@LETEMTrans.com</t>
  </si>
  <si>
    <t>+16027308187</t>
  </si>
  <si>
    <t>Material Handler</t>
  </si>
  <si>
    <t>***RFI response*** Employees lift and position wood cants, pallet lumber, and wooden pallets onto production equipment including handsaws, end trim machines, and pallet dismantler machines. Employees feed wood cants into handsaws and end trim machines that cut the cants into pallet boards and stringers used in pallet production. Employees remove, sort, and stack pallet lumber components produced by the machines. Employees also lift damaged pallets onto pallet dismantler machines that cut nails and separate pallet components. Employees sort and stack reusable lumber components and dispose of unusable materials. Materials handled include wood cants, pallet lumber, pallet components, and wooden pallets. Equipment utilized includes handsaws, end trim machines, and pallet dismantler machines. ***Original*** Material Handlers to perform duties in the production of pallets. The following is a list of essential functions: 1. Performs Lifting, machine feeding, and stacking of pallet lumber components. 2. Detects and reports defective materials or questionable conditions to the department supervisor. 3. Assembles pallet lumber components utilizing a nail gun. 4. Maintains the work area and equipment in a clean orderly condition and follows prescribed safety regulations. 5. Must be able to perform but not limited to the following tasks: Able to lift 50 lbs, able to work standing on your feet for 8+ hours a day, able and willing to work in an outdoor environment. 6. Must be able to bend and lift for 8+ hours a day. The position requires an emphasis on quality and safety. LETEM Recycling is a very fast-paced operation and we pride ourselves on our clean and safe environment. Two work shifts available: 6:00am to 2:00pm and 2:00 to 10:00pm. Job Classification: 51-7041.00 - Sawing Machine Setters, Operators, and Tenders, Wood The job/industry classification and description includes general information on the position from ONET/OES and the North American Industry Classification System. Please review Job Duties and Job Order for more information. Job Requirements Experience Required: No Number of Hours Per Week: 40 Work Schedule (Start/End time): 6:00 A.M. - 10:00 P.M.</t>
  </si>
  <si>
    <t>H-400-26184-078438</t>
  </si>
  <si>
    <t>H-400-26184-078447</t>
  </si>
  <si>
    <t>H-400-26184-078474</t>
  </si>
  <si>
    <t>H-400-26184-078496</t>
  </si>
  <si>
    <t>H-400-26184-078483</t>
  </si>
  <si>
    <t>***RFI response*** Worker operates equipment in a training capacity as needed to ensure other team members are properly instructed on the use of the equipment. Worker will not operate equipment in a day-to-day production capacity and will operate equipment as needed to support the project – less than 50% of the day, if needed. All equipment operation will be done onsite on the project, so no commercial driver license is needed. Any trenching associated with the project is expected to involve trenches approximately 26 to 48 inches in depth and 12 to 72 inches in width at their widest points. Equivalent equipment models may be utilized based on availability. Equipment that may be used may include: 75–95 HP trenchers, such as the Ditch Witch RT75 or Vermeer RTX750, for digging and backfilling irrigation trenches for mainline pipe installation (4 in. to 10 in. pipe sizes); 75–95 HP plows, such as Ditch Witch RT75 or Vermeer RTX750, for vibratory plowing for irrigation lateral lines and wires at depths of approximately 18 to 24 in.; 10,000-24,000 lb. excavators, such as John Deere 120 and Caterpillar 306 mini-excavator, for digging and backfilling trenches to install drainage and irrigation pipes throughout the golf course; 2,800–3,200 lb. skid steers, such as Caterpillar 265 for moving and loading material, backfilling trenches, and loading gravel and bunker sand into Pronovost trailer; Wacker Neuson 3001 dumper for hauling spoils and supplies like gravel and sand; 2–3 ton smooth double-drum rollers, such as Dynapac CC1200 or Wacker Neuson for trench compaction or plow line leveling; 50-80 HP tractor and dump trailers, such as John Deere 4066M and/or John Deere 5077, for moving material within the worksite and pulling implements offroad within the worksite; 2-4 or 4-6 person UTV, such as Kubota RTV-X1140, for transporting crew and supplies; and Forklift/telehandler, such as 8K model JLG, for loading and offloading pipe and other materials. ***Original*** Hands on manual labor working on staking/layout, drainage, bunkers, finishing, greens and tees, operating equipment, etc.; informs crews of the day's planned activities and equips crews with necessary tools and materials; instructs, supervises, and trains crews in assigned tasks, such as irrigation installation, tee and bunker creation, sodding, seeding, staking/flagging, operating and maintaining equipment; manages inventory of equipment, supplies and materials, and fuel; identifies and eliminates potential waste that may occur during performance of assigned tasks, including material waste such as irrigation heads, irrigation pipe and wire, gravel and greens mix; ensures assigned equipment and tools are properly maintained through performance of routine preventative maintenance; assists in maintaining project records such as delivery tickets, purchase orders, safety meeting rosters; assists in creating as-built drawings; and reports potential problems to the Project Superintendent. Optional company housing will be provided free of charge for employees outside of commuting distance. Employees who do not require or use company housing will receive a housing reimbursement of $231.00 per pay period. Job Classification: 37-1012.00 - First-Line Supervisors of Landscaping, Lawn Service, and Groundskeeping Workers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12 Special Requirements: Requires certification as a Certified Pipe Fuser by a recognized vendor i.e. ISCO, Ewing Irrigation, ADS Hancor. 12 months of experience in golf course construction and renovation. OT as needed. We want to clarify the information on Item F.a.5. During the work week, which runs Sunday through Saturday, employees are scheduled to work a 40 hour work week and given OT as needed. F.a.5 does not allow us to enter such a work schedule. If we enter 8 hours each day, it would show 56 hours a week, which is not an accurate reflection of their work schedule. Number of Hours Per Week: 40 Work Schedule (Start/End time): 7:00 A.M. - 3:30 P.M.</t>
  </si>
  <si>
    <t>H-400-26184-078458</t>
  </si>
  <si>
    <t>Loblolly</t>
  </si>
  <si>
    <t>careers@loblollyinfo.com</t>
  </si>
  <si>
    <t>+17725452529</t>
  </si>
  <si>
    <t>Prepares, seasons and cooks soups, meats, vegetables, fruits, desserts and other miscellaneous food for consumption; Observes recipe guidelines and sanitation procedures. *Continuation to Section F.a.5 below: 40 hours a week. Shifts will consist of 8 hour shifts that can vary as needed as advertised in State Workforce Agency job order, and in other H2B advertisement sources as per employers recruiting requirements for prospective workers under the H-2B program. Variable shifts over 7 days a week. Shifts may vary: 6am to 11pm. Job Classification: 35-2014.00 - Cooks, Restaurant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ABILITY TO COMMUNICATE IN ENGLISH. Number of Hours Per Week: 40 Work Schedule (Start/End time): 6:00 A.M. - 11:00 P.M.</t>
  </si>
  <si>
    <t>H-400-26184-078459</t>
  </si>
  <si>
    <t>Taking and serving food and beverage orders; Carrying out food and miscellaneous set up and clean up activities; May be required to perform duties in an outdoor environment and at banquet events; may be required to serve customers via golf cart. *Continuation to Section F.a.5 below: 40 hours a week. Shifts will consist of 8 hour shifts that can vary as needed as advertised in State Workforce Agency job order, and in other H2B advertisement sources as per employers recruiting requirements for prospective workers under the H-2B program. Variable shifts over 7 days a week. Shifts may vary: 6am to 11pm. Job Classification: 35-3031.00 - Waiters and Waitresses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ABILITY TO COMMUNICATE IN ENGLISH. Number of Hours Per Week: 40 Work Schedule (Start/End time): 6:00 A.M. - 11:00 P.M.</t>
  </si>
  <si>
    <t>H-400-26184-078460</t>
  </si>
  <si>
    <t>Taking and serving food and beverage orders; carrying out food and misc. setup and cleanup activities; may be required to perform duties in an outdoor environment and at banquet events; may be required to serve customers via golf cart; oversee serving staff during set up; train new servers on the floor; build/maintain rapport with the club members; required to set an exemplary example and to ensure the highest level of service is provided by the club's serving staff. *Continuation to Section F.a.5 below: 40 hours a week. Shifts will consist of 8 hour shifts that can vary as needed as advertised in State Workforce Agency job order, and in other H2B advertisement sources as per employers recruiting requirements for prospective workers under the H-2B program. Variable shifts over 7 days a week. Shifts may vary: 6am to 11pm. Job Classification: 35-1012.00 - First-Line Supervisors of Food Preparation and Serving Workers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6 Special Requirements: ABILITY TO COMMUNICATE IN ENGLISH. THE 6 MONTHS EXPERIENCE REQUIRED IN BOX F.A.9, CONTEMPLATES 6 MONTHS EXPERIENCE AS A SERVER OR SENIOR SERVER IN A HOSPITALITY SETTING. Number of Hours Per Week: 40 Work Schedule (Start/End time): 6:00 A.M. - 11:00 P.M.</t>
  </si>
  <si>
    <t>H-400-26184-078437</t>
  </si>
  <si>
    <t>MD Property Services, Inc.</t>
  </si>
  <si>
    <t>maritzan@mdpropertyinc.com</t>
  </si>
  <si>
    <t>+18017630272</t>
  </si>
  <si>
    <t>Installation of all types of exterior holiday decoration on residential and commercial properties, includes wreaths, lighting, inflatables, trees, hooks, hangers, etc. Operate power tools to facilitate installation as necessary. Perform duties such as furnishing tools, materials, and supplies to other workers; cleaning work area, equipment, and tools; and holding materials or tools for other workers Set up and work from ladders and/or lifts when required. Locate, report, and troubleshoot power issues related to lighting or lit décor. Assist in performing maintenance, repairs, installation, and take down of outdoor landscape lighting and seasonal lighting. Spring and fall clean up as needed to prepare for lighting installation and/or removal. Organize and prepare stock of holiday decor material. Load and unload materials and prepare for storage. Job Classification: 49-9099.00 - Installation, Maintenance, and Repair Workers, All Other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2 Special Requirements: Must be 18 due to equipment use. Must show proof of legal authorization to work in the United States. Drug/alcohol/tobacco free work zone. Perform physical activities such as: lift, balance, walk, kneel, stoop, handle, position, move, push, pull, carry objects up to 50lbs (possible 2-person). Must be able to climb 8 to 16 feet ladders, work at heights. All applicants must be able, willing, qualified to perform work described and must be available for the entire period specified and work throughout all areas of intended employment. Outdoors, exposed to weather; must be capable of doing physically strenuous labor for long hours, occasionally in extreme cold. Variable weather conditions apply; hours may fluctuate (+/-), possible downtime and /or overtime. Number of Hours Per Week: 40 Work Schedule (Start/End time): 8:00 A.M. - 4:00 P.M.</t>
  </si>
  <si>
    <t>H-400-26184-078453</t>
  </si>
  <si>
    <t>Michael Uytengsu</t>
  </si>
  <si>
    <t>Jean TINSAY</t>
  </si>
  <si>
    <t>michael@skyland-partners.com</t>
  </si>
  <si>
    <t>+16508042700</t>
  </si>
  <si>
    <t>• Supervise and monitor child in the family home. • Prepare and organize mealtimes and snacks. • Organize or implement activities/routines set out by parents such as educational activities, play dates, and rest time. • Ensure the child maintains good hygiene. • Keep a clean and organized environment for the child. • Provide a safe and nurturing environment for the child at all times. • Must be able to provide CPR and First Aid in case of emergency. • 40 hours/per week. • Room and Board provided. Job Classification: 39-9011.01 - Nannies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CPR/First Aid. Background check required. Number of Hours Per Week: 40 Work Schedule (Start/End time): 8:00 A.M. - 4:00 P.M.</t>
  </si>
  <si>
    <t>H-400-26184-078478</t>
  </si>
  <si>
    <t>Moyle Mink and Tannery, Inc.</t>
  </si>
  <si>
    <t>Alycia Moss</t>
  </si>
  <si>
    <t>kari@moyle.net</t>
  </si>
  <si>
    <t>+12086788481</t>
  </si>
  <si>
    <t>General laborer with the following responsibilities: - taking skins out of the freezer to thaw out, stacking and moving skins around - preparing skins for tanning by removing fat and meat from the flesh side with a knife, - the skins will then be passed to the tannery wet shop personnel - sharpen their knifes using the sharpening machine - move hides from one container to another, push wheel carts with hides to deliver them to the tanning area. - keeping the work areas clean, including removing debris and proper storage of knives and sharpening tools Job Classification: 51-9198.00 - Helpers--Production Workers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Must be able to lift 50 lbs. to 75 lbs. without assistance and up to 150 lbs. with assistance. Number of Hours Per Week: 40 Work Schedule (Start/End time): 8:00 A.M. - 4:00 P.M.</t>
  </si>
  <si>
    <t>H-400-26184-078461</t>
  </si>
  <si>
    <t>Myrna Daniels</t>
  </si>
  <si>
    <t>myrdan@aol.com</t>
  </si>
  <si>
    <t>+16463906082</t>
  </si>
  <si>
    <t>Home Health Aide</t>
  </si>
  <si>
    <t>Provide care to elderly adult in private home. Assist with daily activities including bathing, dressing, grooming and exercise. Prepare and serve healthy meals and snacks. Direct and assist with mentally stimulating activities such as games, puzzles, and crafts. Assist with health monitoring and provide emotional support. Do laundry and maintain a clean and orderly environment. Job Classification: 31-1121.00 - Home Health Aides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12 Number of Hours Per Week: 54 Work Schedule (Start/End time): 8:00 A.M. - 5:00 P.M.</t>
  </si>
  <si>
    <t>H-400-26184-078443</t>
  </si>
  <si>
    <t>Native Creations, Inc.</t>
  </si>
  <si>
    <t>nativecreations@gmail.com</t>
  </si>
  <si>
    <t>+15619727256</t>
  </si>
  <si>
    <t>Under direction of a licensed supervisor, use hand (machetes) or small power tools and equipment to maintain and restore environmentally protected wetlands and uplands in State and National Parks and Wildlife Management Areas from Central to South Florida; chemically treat (spray) invasive exotic and nuisance vegetation and trees using 4-gallon backpack sprayers and/or small handheld spray bottles with ready-mixed chemicals or herbicides (Round Up Pro, Round Up Custom, Garlon 3A, Garlon 4, Impel Red, Blue Marker Dye (Spray Indicator), Polaris, Ecomazapyr, or Induce), as instructed by Supervisors and Crew Leaders; clear brush and debris, and apply herbicides as directed by Supervisors and Crew Leaders, in accordance with all laws and label instructions. Must be able to walk long distances, sometimes in water, carrying up to 30-pound backpack sprayer.; Personal protective equipment (goggles, chemical resistant flock-lined latex gloves, face masks, long pants, long sleeved shirts, rubber boots, and water bottles) is required and provided. May occasionally encounter wildlife including bees, snakes, and alligators. The position will not be required to mix the herbicides and chemicals as these are ready-mixed, meaning mixed beforehand by Supervisors and Crew Leaders. Additionally, the Employer clarifies that the position does not require any specific training, certifications, or licensing to perform the herbicide and chemical application tasks. Job Classification: 45-4011.00 - Forest and Conservation Workers The job/industry classification and description includes general information on the position from ONET/OES and the North American Industry Classification System. Please review Job Duties and Job Order for more information. Job Requirements Experience Required: No Number of Hours Per Week: 48 Work Schedule (Start/End time): 7:00 A.M. - 3:30 P.M.</t>
  </si>
  <si>
    <t>H-400-26184-078455</t>
  </si>
  <si>
    <t>River Rainbow LLC</t>
  </si>
  <si>
    <t>linzraz@gmail.com</t>
  </si>
  <si>
    <t>+19082468126</t>
  </si>
  <si>
    <t>Prepare, serve, and feed nutritionally balanced snacks and meals for one toddler and one preschooler. Put children down for naps and regulate children’s rest periods and nap schedules. Dress or assist children with dressing. Engage with children in age-appropriate activities, such as structured play, reading, and arts and crafts, and outdoor activities to encourage intellectual development of children. Meet regularly with parents to discuss children's activities and development. Work with parents to implement discipline programs to promote desirable child behavior. Instruct and assist children in the development of health and personal habits, such as eating, brushing teeth, and toilet behavior. Model appropriate social behaviors and encourage concern for others to cultivate development of interpersonal relationships and communication skills. Monitor appropriate chores and praise targeted behaviors to encourage development of self-control, self-confidence, and responsibility. Remove hazards and develop appropriate boundaries and rules to create a safe environment for children. Perform first aid when required. Observe children's behavior for irregularities, take temperature, or administer medications, as directed, to maintain children's health. Perform housekeeping and cleaning duties related to children's care. Transport children to activities, social outings, and medical appointments. Shop for groceries, clothing, and other items needed for children's care. All duties will be performed in a private household environment. The worksite for this job opportunity is the family home, with errands and outings in or within regular commuting distance of the same Metropolitan Statistical Area as the worksite. Optional occasional domestic travel possible on trips up to 10 days, no more than twice annually. Medications administered are limited to pediatric over-the-counter and physician-prescribed oral and topical medications in the form of liquids, tablets, pills, and topical creams or ointments. Worker measures liquid doses; assists child in taking medication orally; applies topical medications to the skin; records and reports doses to parents; and stores medication safely, according to parent or physician instructions regarding medication type, modality, dosage, and schedule. Worker does not select medications, determine dosages, or administer injections. Job Classification: 39-9011.01 - Nannies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24 Special Requirements: Minimum of 24 months of experience as a nanny or childcare worker. Basic English skills. Must be able to lift and carry weights sufficient to move equipment and material necessary to complete assigned tasks. Ability to stand throughout the shifts. Ability to physically engage in active play with children. Use of kitchen appliances, laundry machines, and the household automobile. 40 hours per week, 8-hour regular shifts, 5 days per week. Typical shift schedule Monday to Friday, between 8 am and 6 pm. Schedule may vary and can include evenings, weekends, or holidays, as needed. Employer will rely on the worker's own representations and observations of the worker to assess if the worker meets the lifting, standing, and other physical ability requirements stated herein. Number of Hours Per Week: 40 Work Schedule (Start/End time): 8:00 A.M. - 6:00 P.M.</t>
  </si>
  <si>
    <t>H-400-26184-078475</t>
  </si>
  <si>
    <t>Southern Show Stables, Inc.</t>
  </si>
  <si>
    <t>info@southernshowstables.com</t>
  </si>
  <si>
    <t>+15612049416</t>
  </si>
  <si>
    <t>Horse Show Groom: Will be responsible for the care of top show horses including grooming, feeding, watering, bathing, body clipping &amp; supervised turnout. Groom will maintain and clean stalls &amp; work area daily. Groom will observe and report horse's physical condition to manager daily. Must be able to lift and carry 60 pounds up to 100 feet. Groom will be responsible for the care of 3 to 5 horses at a time which will include tacking up &amp; checking for correct fit of bridles, martingales, saddles &amp; other equipment. The work schedule is 8:00am to 4:30pm with a 30 minute lunch break. Job Classification: 39-2021.00 - Animal Caretakers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Number of Hours Per Week: 48 Work Schedule (Start/End time): 8:00 A.M. - 4:30 P.M.</t>
  </si>
  <si>
    <t>H-400-26184-078472</t>
  </si>
  <si>
    <t>Speed Service LLC</t>
  </si>
  <si>
    <t>speedservicellc1@gmail.com</t>
  </si>
  <si>
    <t>+17728995308</t>
  </si>
  <si>
    <t>General Helper – Installation and Shop Support</t>
  </si>
  <si>
    <t>The worker assists technicians by transporting appliances, positioning appliances for installation or removal, removing packaging, holding appliances in place during installation, handing tools and materials to technicians, and cleaning work areas after completion of work. Tools and equipment used include appliance dollies, hand trucks, moving straps, screwdrivers, nut drivers, pliers, adjustable wrenches, cordless drills, and other basic hand tools. Materials handled include water supply lines, drain hoses, power cords, mounting brackets, fasteners, packaging materials, and protective floor coverings. Household appliances and related equipment include refrigerators, freezers, dishwashers, ranges, ovens, cooktops, microwaves, washers, dryers, ice makers, and similar residential appliances. Work is performed at residential customer homes, company shop facilities, storage areas, and warehouse locations. The worker loads and unloads appliances, replacement parts, tools, and supplies from vehicles and storage locations; moves materials between storage and work preparation areas; stages equipment for daily operations; and organizes inventory. Equipment used includes appliance dollies, hand trucks, carts, shelving systems, pallet jacks, and moving straps. Materials handled include appliances, appliance parts, tools, packaging materials, and shop supplies. The worker prepares service vehicles by gathering required tools, replacement parts, and supplies for scheduled service calls; verifies that tools and equipment are available; loads parts and materials into vehicles; and stages equipment for technician use. Assist technicians with installation and removal of household appliances and related equipment under supervision. Load, unload, and move materials, tools, and equipment within shop and storage areas. Provide assistance during service preparation by organizing tools, positioning materials, and performing basic manual tasks under direct supervision. Perform shop support duties including organizing tools, stocking materials, cleaning work areas, and maintaining orderly workspaces. Prepare materials and equipment for service calls and assist with basic non-technical tasks under supervision. Use basic hand tools and follow all safety procedures. Maintain clean and safe work areas. Perform duties primarily in a shop or warehouse environment preparing equipment and materials for service operations. Assist with organizing inventory, staging equipment, and maintaining shop readiness for daily operations. Job Classification: 49-9098.00 - Helpers--Installation, Maintenance, and Repair Workers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No education, training, or prior experience required. Employer will provide all necessary on-the-job training. Must be able to perform physically demanding work, including lifting, carrying, pushing, pulling, loading, unloading, and moving household appliances and equipment with or without assistance. Must be able to safely use basic hand tools, follow oral and written instructions, maintain a professional appearance, comply with all company safety policies, and wear required personal protective equipment (PPE) while performing assigned duties. Number of Hours Per Week: 35 Work Schedule (Start/End time): 8:00 A.M. - 3:00 P.M.</t>
  </si>
  <si>
    <t>H-400-26184-078432</t>
  </si>
  <si>
    <t>Clean common areas, hallways, rooms, and locker rooms, dusting, light mopping, vacuuming, and occasional trash/laundry removal. Loads, washes, and stores laundry items, speciﬁcally including washing dining room linens, guest room linens, facility linens, facility uniforms, towels, curtains and decorative textiles. *Continuation to Section F.a.5 below: 35 hours a week; Work may be performed on any day of the week from Monday through Sunday. Variable shifts over 7 days a week that can vary as needed as advertised in State Workforce Agency job order, and in other H2B advertisement sources as per employers recruiting requirements for prospective workers under the H2B program; Shifts may vary: 6am to 11pm. Job Classification: 37-2012.00 - Maids and Housekeeping Cleaners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PASS PRE-EMPLOYMENT POLICE CLEARANCE; ABILITY TO COMMUNICATE IN ENGLISH; POST-EMPLOYMENT DRUG TESTING. EMPLOYER REQUIRES PRE-EMPLOYMENT POLICE CLEARANCE AND POST-EMPLOYMENT DRUG TESTING TO BE CARRIED OUT EQUALLY BETWEEN THE U.S. WORKERS AND THE H-2B WORKERS. Number of Hours Per Week: 35 Work Schedule (Start/End time): 6:00 A.M. - 11:00 P.M.</t>
  </si>
  <si>
    <t>H-400-26184-078435</t>
  </si>
  <si>
    <t>Taking and serving food and beverage orders; Carrying out food and miscellaneous set up and clean up activities; May be required to perform duties in an outdoor environment and at banquet events; may be required to serve customers via golf cart. Continuation to Section F.a.5 below: 35 hours a week; Work may be performed on any day of the week from Monday through Sunday. Variable shifts over 7 days a week that can vary as needed as advertised in State Workforce Agency job order, and in other H2B advertisement sources as per employers recruiting requirements for prospective workers under the H2B program; Shifts may vary: 6am to 11pm. Job Classification: 35-3031.00 - Waiters and Waitresses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PASS PRE-EMPLOYMENT POLICE CLEARANCE; ABILITY TO COMMUNICATE IN ENGLISH; POST-EMPLOYMENT DRUG TESTING. EMPLOYER REQUIRES PRE-EMPLOYMENT POLICE CLEARANCE AND POST-EMPLOYMENT DRUG TESTING TO BE CARRIED OUT EQUALLY BETWEEN THE U.S. WORKERS AND THE H-2B WORKERS. Number of Hours Per Week: 35 Work Schedule (Start/End time): 6:00 A.M. - 11:00 P.M.</t>
  </si>
  <si>
    <t>H-400-26184-078436</t>
  </si>
  <si>
    <t>Taking beverage order. Prepare mixed drinks and serve the same. Cleans bar area. May be required to take food orders and make knowledgable recommendations regarding wines and other products. Requisition and display liquor and supplies. Must keep bar area clean and work under strictly enforced state code. Continuation to Section F.a.5 below: 35 hours a week; Work may be performed on any day of the week from Monday through Sunday. Variable shifts over 7 days a week that can vary as needed as advertised in State Workforce Agency job order, and in other H2B advertisement sources as per employers recruiting requirements for prospective workers under the H2B program; Shifts may vary: 6am to 11pm. Job Classification: 35-3011.00 - Bartenders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PASS PRE-EMPLOYMENT POLICE CLEARANCE; ABILITY TO COMMUNICATE IN ENGLISH; POST-EMPLOYMENT DRUG TESTING. EMPLOYER REQUIRES PRE-EMPLOYMENT POLICE CLEARANCE AND POST-EMPLOYMENT DRUG TESTING TO BE CARRIED OUT EQUALLY BETWEEN THE U.S. WORKERS AND THE H-2B WORKERS. Number of Hours Per Week: 35 Work Schedule (Start/End time): 6:00 A.M. - 11:00 P.M.</t>
  </si>
  <si>
    <t>H-400-26184-078440</t>
  </si>
  <si>
    <t>Greets, Escorts and provides menus to customers; assists with miscellaneous cleaning/polishing etc. As necessary Continuation to Section F.a.5 below: 35 hours a week; Work may be performed on any day of the week from Monday through Sunday. Variable shifts over 7 days a week that can vary as needed as advertised in State Workforce Agency job order, and in other H2B advertisement sources as per employers recruiting requirements for prospective workers under the H2B program; Shifts may vary: 6am to 11pm. Job Classification: 35-9031.00 - Hosts and Hostesses, Restaurant, Lounge, and Coffee Shop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PASS PRE-EMPLOYMENT POLICE CLEARANCE; ABILITY TO COMMUNICATE IN ENGLISH; POST-EMPLOYMENT DRUG TESTING. EMPLOYER REQUIRES PRE-EMPLOYMENT POLICE CLEARANCE AND POST-EMPLOYMENT DRUG TESTING TO BE CARRIED OUT EQUALLY BETWEEN THE U.S. WORKERS AND THE H-2B WORKERS. Number of Hours Per Week: 35 Work Schedule (Start/End time): 6:00 A.M. - 11:00 P.M.</t>
  </si>
  <si>
    <t>H-400-26184-078434</t>
  </si>
  <si>
    <t>Worker may be required to perform any of the following duties: monitor activities at spa and fitness facility; may provide administrative assistance to membership, including checking membership cards, confirming reservations, arranging and delivering merchandise and provisions, providing facility information; and transport members' golf equipment; and automobiles to and from the clubhouse facilities. The duties involved with transport members' golf equipment and automobiles to and from the clubhouse facilities task requires meeting the member at the curb; opening the driver’s door immediately upon arrival; and conducting a quick, discreet visual scan for any pre-existing damage; transporting members and their golf equipment bags in their automobile to and from a secure, designated storage area for club members; loading the golf equipment bags from the automobile onto carts and ensuring they are ready for the player on the staging area; cleaning clubs after play, returning golf equipment bags to storage, or transporting them back to the member's automobile; bringing the automobile to the front of the clubhouse facilities upon request of the member. *Continuation to Section F.a.5 below: 35 hours a week; Work may be performed on any day of the week from Monday through Sunday. Variable shifts over 7 days a week that can vary as needed as advertised in State Workforce Agency job order, and in other H2B advertisement sources as per employers recruiting requirements for prospective workers under the H2B program; Shifts may vary: 6am to 11pm. Job Classification: 39-3091.00 - Amusement and Recreation Attendants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PASS PRE-EMPLOYMENT POLICE CLEARANCE; ABILITY TO COMMUNICATE IN ENGLISH; POST-EMPLOYMENT DRUG TESTING. EMPLOYER REQUIRES PRE-EMPLOYMENT POLICE CLEARANCE AND POST-EMPLOYMENT DRUG TESTING TO BE CARRIED OUT EQUALLY BETWEEN THE U.S. WORKERS AND THE H-2B WORKERS. Number of Hours Per Week: 35 Work Schedule (Start/End time): 6:00 A.M. - 11:00 P.M.</t>
  </si>
  <si>
    <t>H-400-26184-078441</t>
  </si>
  <si>
    <t>Set up and break down all events, functions and banquets according to event specifications; sets tables; replenish supply of clean linens, silverware, glassware, and dishes; supply service bar; set up dance floors and stages. Continuation to Section F.a.5 below: 35 hours a week; Work may be performed on any day of the week from Monday through Sunday. Variable shifts over 7 days a week that can vary as needed as advertised in State Workforce Agency job order, and in other H2B advertisement sources as per employers recruiting requirements for prospective workers under the H2B program; Shifts may vary: 6am to 11pm. Job Classification: 53-7062.00 - Laborers and Freight, Stock, and Material Movers, Hand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PASS PRE-EMPLOYMENT POLICE CLEARANCE; ABILITY TO COMMUNICATE IN ENGLISH; POST-EMPLOYMENT DRUG TESTING. EMPLOYER REQUIRES PRE-EMPLOYMENT POLICE CLEARANCE AND POST-EMPLOYMENT DRUG TESTING TO BE CARRIED OUT EQUALLY BETWEEN THE U.S. WORKERS AND THE H-2B WORKERS. Number of Hours Per Week: 35 Work Schedule (Start/End time): 6:00 A.M. - 11:00 P.M.</t>
  </si>
  <si>
    <t>H-400-26184-078444</t>
  </si>
  <si>
    <t>Oversee serving staff during set up, serving and clearing; train new servers on the floor; build/maintain rapport with the club members; assume servers duties as required, particularly in the service of special guests of honor and VIPs; required to set an exemplary example and to ensure the highest level of service that is provided by the club's serving staff. Continuation to Section F.a.5 below: 35 hours a week; Work may be performed on any day of the week from Monday through Sunday. Variable shifts over 7 days a week that can vary as needed as advertised in State Workforce Agency job order, and in other H2B advertisement sources as per employers recruiting requirements for prospective workers under the H2B program; Shifts may vary: 6am to 11pm. Job Classification: 35-1012.00 - First-Line Supervisors of Food Preparation and Serving Workers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6 Special Requirements: PASS PRE-EMPLOYMENT POLICE CLEARANCE; ABILITY TO COMMUNICATE IN ENGLISH; POST-EMPLOYMENT DRUG TESTING. EMPLOYER REQUIRES PRE-EMPLOYMENT POLICE CLEARANCE AND POST-EMPLOYMENT DRUG TESTING TO BE CARRIED OUT EQUALLY BETWEEN THE U.S. WORKERS AND THE H-2B WORKERS. THE 6 MONTHS EXPERIENCE REQUIRED IN BOX F.A.9, CONTEMPLATES 6 MONTHS EXPERIENCE AS A SERVER OR SENIOR SERVER IN A HOSPITALITY SETTING. Number of Hours Per Week: 35 Work Schedule (Start/End time): 6:00 A.M. - 11:00 P.M.</t>
  </si>
  <si>
    <t>H-400-26184-078448</t>
  </si>
  <si>
    <t>Landscaping and maintaining golf course grounds of property using hand or power tools or equipment. Responsibilities may include any combination of the following: sod laying, mowing, trimming, planting, watering, fertilizing, digging, raking, and sprinkler installation. Continuation to Section F.a.5 below: 35 hours a week; Work may be performed on any day of the week from Monday through Sunday. Variable shifts over 7 days a week that can vary as needed as advertised in State Workforce Agency job order, and in other H2B advertisement sources as per employers recruiting requirements for prospective workers under the H2B program; Shifts may vary: 6am to 11pm. Job Classification: 37-3011.00 - Landscaping and Groundskeeping Workers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PASS PRE-EMPLOYMENT POLICE CLEARANCE; ABILITY TO COMMUNICATE IN ENGLISH; POST-EMPLOYMENT DRUG TESTING. EMPLOYER REQUIRES PRE-EMPLOYMENT POLICE CLEARANCE AND POST-EMPLOYMENT DRUG TESTING TO BE CARRIED OUT EQUALLY BETWEEN THE U.S. WORKERS AND THE H-2B WORKERS. Number of Hours Per Week: 35 Work Schedule (Start/End time): 6:00 A.M. - 11:00 P.M.</t>
  </si>
  <si>
    <t>H-400-26184-078495</t>
  </si>
  <si>
    <t>The Everglades Club, Inc.</t>
  </si>
  <si>
    <t>salmasan@theevergladesclub.org</t>
  </si>
  <si>
    <t>+15618202782</t>
  </si>
  <si>
    <t>Worker may be required to perform any of the following duties: monitor activities at golf course, tennis complex, aquatic complex and spa and fitness facility; may provide administrative assistance to membership, including checking membership cards, confirming reservations, arranging merchandise and providing facility info; perform minor cleaning of golf carts and clubs. *Continuation to Section F.a.5 below: 40 hours a week. Shifts will consist of 8 hour shifts that can vary as needed as advertised in State Workforce Agency job order, and in other H2B advertisement sources as per employers recruiting requirements for prospective workers under the H-2B program. Variable shifts over 7 days a week. Shifts may vary: 7am to 10pm. Job Classification: 39-3091.00 - Amusement and Recreation Attendants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ABILITY TO COMMUNICATE IN ENGLISH. Number of Hours Per Week: 40 Work Schedule (Start/End time): 7:00 A.M. - 10:00 P.M.</t>
  </si>
  <si>
    <t>H-400-26184-078498</t>
  </si>
  <si>
    <t>Assist Servers by bringing beverages to the table, replenishing drinks, clearing spent flatware/china; cleaning server areas and equipment; stock all wares and equipment needed for service. *Continuation to Section F.a.5 below: 40 hours a week. Shifts will consist of 8 hour shifts that can vary as needed as advertised in State Workforce Agency job order, and in other H2B advertisement sources as per employers recruiting requirements for prospective workers under the H-2B program. Variable shifts over 7 days a week. Shifts may vary: 7am to 10pm. Job Classification: 35-9011.00 - Dining Room and Cafeteria Attendants and Bartender Helpers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ABILITY TO COMMUNICATE IN ENGLISH. Number of Hours Per Week: 40 Work Schedule (Start/End time): 7:00 A.M. - 10:00 P.M.</t>
  </si>
  <si>
    <t>H-400-26184-078501</t>
  </si>
  <si>
    <t>Prepares, seasons and cooks soups, meats, vegetables, fruits, desserts and other miscellaneous food for consumption. Plan, prepare, set up and provide quality service in all areas of food production for menu items and specials, in accordance with standards and plating guide specifications. Maintain organization, cleanliness and sanitation of work area and equipment. *Continuation to Section F.a.5 below: 40 hours a week. Shifts will consist of 8 hour shifts that can vary as needed as advertised in State Workforce Agency job order, and in other H2B advertisement sources as per employers recruiting requirements for prospective workers under the H-2B program. Variable shifts over 7 days a week. Shifts may vary: 7am to 10pm. Job Classification: 35-2014.00 - Cooks, Restaurant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ABILITY TO COMMUNICATE IN ENGLISH. Number of Hours Per Week: 40 Work Schedule (Start/End time): 7:00 A.M. - 10:00 P.M.</t>
  </si>
  <si>
    <t>H-400-26184-078494</t>
  </si>
  <si>
    <t>Clean common areas, hallways, rooms, and locker rooms, dusting, light mopping, vacuuming, and occasional trash/laundry removal. Loads, washes, and stores laundry items. The laundry duties task will specifically include washing dining room linens, guest area linens, facility linens, facility uniforms, towels, curtains and decorative textiles, by using commercial size washing and dry-cleaning machines. This will involve loading the dining room linens, guest area linens, facility linens, facility uniforms, towels, curtains and decorative textiles into commercial size washing and dry-cleaning machines; starting commercial size washing and dry-cleaning machines, driers, or extractors, and turning valves or levers to regulate machine processes and the volume of soap, detergent, water, bleach, starch, and other additives; removing the laundered items from the commercial size washing and dry-cleaning machines, and sorting and counting the laundered items removed from the commercial size washing and dry-cleaning machines, and folding, wrapping, and hanging them. *Continuation to Section F.a.5 below: 40 hours a week. Shifts will consist of 8 hour shifts that can vary as needed as advertised in State Workforce Agency job order, and in other H2B advertisement sources as per employers recruiting requirements for prospective workers under the H-2B program. Variable shifts over 7 days a week. Shifts may vary: 7am to 10pm. Job Classification: 37-2012.00 - Maids and Housekeeping Cleaners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ABILITY TO COMMUNICATE IN ENGLISH. Number of Hours Per Week: 40 Work Schedule (Start/End time): 7:00 A.M. - 10:00 P.M.</t>
  </si>
  <si>
    <t>H-400-26184-078499</t>
  </si>
  <si>
    <t>Serve meals to patrons in a formal setting; presents menus, suggests courses/wines; answers questions on food preparation; writes order on check and relays it to kitchen; serves courses from kitchen/bars; garnishes dishes before serving; observes diners to respond to any request and determine when meal has been completed; maintains cleanliness on the dining table, before and after meal; presents bill for payment. *Continuation to Section F.a.5 below: 40 hours a week. Shifts will consist of 8 hour shifts that can vary as needed as advertised in State Workforce Agency job order, and in other H2B advertisement sources as per employers recruiting requirements for prospective workers under the H-2B program. Variable shifts over 7 days a week. Shifts may vary: 7am to 10pm. Job Classification: 35-3031.00 - Waiters and Waitresses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ABILITY TO COMMUNICATE IN ENGLISH. Number of Hours Per Week: 40 Work Schedule (Start/End time): 7:00 A.M. - 10:00 P.M.</t>
  </si>
  <si>
    <t>H-400-26184-078465</t>
  </si>
  <si>
    <t>The Loxahatchee Club</t>
  </si>
  <si>
    <t>dmyers@loxclub.com</t>
  </si>
  <si>
    <t>+15617446168</t>
  </si>
  <si>
    <t>Taking beverage order. Prepare mixed drinks and serve the same. Cleans bar area. May be required to take food orders and make knowledgeable recommendations regarding wines and other products. Requisition and display liquor and supplies. Must keep bar area clean and work under strictly enforced state code. *Continuation to Section F.a.5 below: 40 hours a week. Shifts will consist of 8 hour shifts that can vary as needed as advertised in State Workforce Agency job order, and in other H2B advertisement sources as per employers recruiting requirements for prospective workers under the H-2B program. Variable shifts over 7 days a week. Shifts may vary: 6am to 11pm. Job Classification: 35-3011.00 - Bartenders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EMPLOYER REQUIRES PRE-EMPLOYMENT POLICE CLEARANCE AND PRE-EMPLOYMENT DRUG TESTING TO BE CARRIED OUT EQUALLY BETWEEN THE U.S. WORKERS AND THE H-2B WORKERS. ABILITY TO COMMUNICATE IN ENGLISH. Number of Hours Per Week: 40 Work Schedule (Start/End time): 6:00 A.M. - 11:00 P.M.</t>
  </si>
  <si>
    <t>H-400-26184-078467</t>
  </si>
  <si>
    <t>Taking and serving food and beverage orders; Carrying out food and miscellaneous set up and clean up activities; May be required to perform duties in an outdoor environment and at banquet events; may be required to serve customers via golf cart. *Continuation to Section F.a.5 below: 40 hours a week. Shifts will consist of 8 hour shifts that can vary as needed as advertised in State Workforce Agency job order, and in other H2B advertisement sources as per employers recruiting requirements for prospective workers under the H-2B program. Variable shifts over 7 days a week. Shifts may vary: 6am to 11pm. Job Classification: 35-3031.00 - Waiters and Waitresses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EMPLOYER REQUIRES PRE-EMPLOYMENT POLICE CLEARANCE AND PRE-EMPLOYMENT DRUG TESTING TO BE CARRIED OUT EQUALLY BETWEEN THE U.S. WORKERS AND THE H-2B WORKERS. ABILITY TO COMMUNICATE IN ENGLISH. Number of Hours Per Week: 40 Work Schedule (Start/End time): 6:00 A.M. - 11:00 P.M.</t>
  </si>
  <si>
    <t>H-400-26184-078468</t>
  </si>
  <si>
    <t>Oversee serving staff during set up, serving and clearing; train new servers on the floor; build/maintain rapport with the club members; assume servers duties as required, particularly in the service of special guests of honor and VIPs; required to set an exemplary example and to ensure the highest level of service that is provided by the club's serving staff. *Continuation to Section F.a.5 below: 40 hours a week. Shifts will consist of 8 hour shifts that can vary as needed as advertised in State Workforce Agency job order, and in other H2B advertisement sources as per employers recruiting requirements for prospective workers under the H-2B program. Variable shifts over 7 days a week. Shifts may vary: 6am to 11pm. Job Classification: 35-1012.00 - First-Line Supervisors of Food Preparation and Serving Workers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6 Special Requirements: EMPLOYER REQUIRES PRE-EMPLOYMENT POLICE CLEARANCE AND PRE-EMPLOYMENT DRUG TESTING TO BE CARRIED OUT EQUALLY BETWEEN THE U.S. WORKERS AND THE H-2B WORKERS. ABILITY TO COMMUNICATE IN ENGLISH. THE 6 MONTHS EXPERIENCE REQUIRED IN BOX F.A.9, CONTEMPLATES 6 MONTHS EXPERIENCE AS A SERVER OR SENIOR SERVER IN A HOSPITALITY SETTING. Number of Hours Per Week: 40 Work Schedule (Start/End time): 6:00 A.M. - 11:00 P.M.</t>
  </si>
  <si>
    <t>H-400-26184-078463</t>
  </si>
  <si>
    <t>Prepares, seasons and cooks soups, meats, vegetables, fruits, desserts and other miscellaneous food for consumption; observes recipe guidelines and sanitation procedures. *Continuation to Section F.a.5 below: 40 hours a week. Shifts will consist of 8 hour shifts that can vary as needed as advertised in State Workforce Agency job order, and in other H2B advertisement sources as per employers recruiting requirements for prospective workers under the H-2B program. Variable shifts over 7 days a week. Shifts may vary: 6am to 11pm. Job Classification: 35-2014.00 - Cooks, Restaurant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EMPLOYER REQUIRES PRE-EMPLOYMENT POLICE CLEARANCE AND PRE-EMPLOYMENT DRUG TESTING TO BE CARRIED OUT EQUALLY BETWEEN THE U.S. WORKERS AND THE H-2B WORKERS. ABILITY TO COMMUNICATE IN ENGLISH. Number of Hours Per Week: 40 Work Schedule (Start/End time): 6:00 A.M. - 11:00 P.M.</t>
  </si>
  <si>
    <t>H-400-26184-078526</t>
  </si>
  <si>
    <t>Aggieland Select Construction LLC</t>
  </si>
  <si>
    <t>laura@agsconstructiontx.com</t>
  </si>
  <si>
    <t>+19794503731</t>
  </si>
  <si>
    <t>Concrete Laborer</t>
  </si>
  <si>
    <t>Perform tasks involving physical labor at construction sites. May operate hand and power tools of all types: air hammers, earth tampers, cement mixers, small mechanical hoists, surveying and measuring equipment, and a variety of other equipment and instruments. May clean and prepare sites, dig trenches, set braces to support the sides of excavations, erect scaffolding, and clean up rubble, debris, and other waste materials. May assist other craft workers. Job Classification: 47-2061.00 - Construction Laborers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Must be able to lift and carry 75lbs/75yds. Some weekend work required. Number of Hours Per Week: 50 Work Schedule (Start/End time): 7:00 A.M. - 5:00 P.M.</t>
  </si>
  <si>
    <t>H-400-26184-078512</t>
  </si>
  <si>
    <t>Carnival Americana, Inc.</t>
  </si>
  <si>
    <t>info@carnivalamericana.com</t>
  </si>
  <si>
    <t>+18178329832</t>
  </si>
  <si>
    <t>Assist mechanic: manually sand, prep, maintain, assemble, inspect, dismantle, clean &amp; lubricate carnival equipment. Job Classification: 51-9124.00 - Coating, Painting, and Spraying Machine Setters, Operators, and Tenders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Must pass post-hire drug and background check paid by employer. Must be able to lift 50 pounds. Hours, schedule, and days vary widely. Typically, Mon-Fri, 8am 4:30pm. Often 35-40 hours per week, no overtime expected Work needs (i.e., hours, days, schedule, location, and work positions) vary. Job requirements Post-employment random drug testing and background checks may be required by employer at no cost to the worker. The job requires the applicant to be qualified, authorized, ready, willing, able, and available to perform during the entire employment at the designated worksites under adverse weather; satisfy our verification standards or testing; enter into and comply with any employment contract and housing lease; follow workplace, grievance, and housing rules. The grievance procedure requires workers to report any threats to or failure to satisfy working terms and conditions; and meet job performance standards. Work outside in all weather. The job requires the applicant to obtain and show proof of all necessary government authorizations to work this job, such as an H-2B worker visa for foreign workers. Any H-2B worker visa will be issued by the United States consulate in the home country, and after which the applicant will be regarded as recruited at that time and place. Must cooperate with and complete job application and interview, and any supplied information must be truthful and complete. Must comply with grooming requirements and dress code. Must be willing to work up to 7 days/week. Subject to discharge for cause. Number of Hours Per Week: 35 Work Schedule (Start/End time): 8:00 A.M. - 4:30 P.M.</t>
  </si>
  <si>
    <t>H-400-26185-078531</t>
  </si>
  <si>
    <t>Center Street Station LLC</t>
  </si>
  <si>
    <t>dumasbrea@gmail.com</t>
  </si>
  <si>
    <t>+19195876353</t>
  </si>
  <si>
    <t>Help to Plan and develop a menu featuring a diverse range of Caribbean dishes; Prepare Ingredients, spices, and sauces required for Caribbean recipes, ensuring adherence to authentic flavors and cooking methods; Executive cooking techniques specific to Caribbean cuisine, including grilling, stewing, marinating, and frying, to create delicious dishes; Wash, peel, and slice fruits and vegetables for consumption; Crave and trim meats; Examine and sanitize food preparation spaces; Verify that food us stored and cooked at appropriate temperatures; Utilize baking, roasting, broiling, and steaming methods for meats, fish, vegetables, and various foods; Ensure that all dishes meet high- quality standards in taste, appearance, and portion sizes; Monitor and manage inventory levels of ingredients and supplies needed for Caribbean dishes; and work closely with Kitchen staff to coordinate food preparation and ensure timely service during peak hours. Job Classification: 35-2014.00 - Cooks, Restaurant The job/industry classification and description includes general information on the position from ONET/OES and the North American Industry Classification System. Please review Job Duties and Job Order for more information. Job Requirements Experience Required: No Number of Hours Per Week: 40 Work Schedule (Start/End time): 9:00 A.M. - 5:00 P.M.</t>
  </si>
  <si>
    <t>H-400-26184-078525</t>
  </si>
  <si>
    <t>Commander’s Palace</t>
  </si>
  <si>
    <t>Laltoo Robert</t>
  </si>
  <si>
    <t>careers@commanderspalace.com</t>
  </si>
  <si>
    <t>+15048953804</t>
  </si>
  <si>
    <t>1. Prep, Production &amp; Plating a. Prepare food items for service (chopping vegetables, preparing sauces, pulling proteins, etc.). b. Taste all food items on your station before and during service. c. Set up and stock working stations with all necessary supplies before guests arrive. d. Cook and plate menu items to the chef’s specifications and in cooperation with the rest of the staff. e. Maintain a clean working station, clean equipment, and clean floors throughout service. f. Ensure food is cooked to order, comes out simultaneously with other stations in high quality and in a timely fashion. g. Exhibit correct cooking techniques, knife handling, and safety procedures. h. Ensure food is cooked to the proper temperature. i. Ability to take direction from executive chef, chef de cuisine, sous chefs, FOH managers, and owners. j. Ability to work calmly and effectively under pressure. 2. Cleanliness &amp; Sanitation a. Personal hygiene standards must be met daily. b. Wash hands repeatedly before, during, and after service. c. Working stations, kitchen equipment, kitchen floors, refrigerated and dry storage areas, aprons, and kitchen towels must be clean and sanitary before, during, and after service. d. Sanitation buckets and tasting spoons must be present at working stations. 3. Proper Food Handling &amp; Storage a. Ensure raw and cooked foods are stored properly following proper temperature and storage chart guidelines. b. Cook raw foods to proper temperatures and ensure cooked foods are served immediately. c. Store cooked foods properly and reheat cooked foods to proper temperatures. d. Avoid contact between raw and cooked foods and cross-contamination of all foods. e. Follow all contamination, food handling, and cooking procedures when cooking for a guest allergy. f. Ensure properly rotation of food items by following the FIFO procedure. g. Date and label all prepared food items. Job Classification: 35-2014.00 - Cooks, Restaurant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12 Special Requirements: Minimum Special Requirements: 1. 1 year of professional Line Cook experience in high-volume kitchen. 2. Provide References from current and former employers 3. Minimum Age Requirement of 21 years old Additional Special Requirement 1. Must be able to walk and stand for duration of each scheduled shift (ranging 8-12 hrs/shift) 2. Must be able to push, pull, or lift 50 pounds. 3. Must be able to reach items at varying heights (on shelves, on the ground, etc.). 4. Must be able to go up and down three (3) flights of stairs regularly. 5. Additional tasks as assigned Work week: Mon-Fri 8a-5pm and 3p-2am. Sat Sun 6a-5p and 2:30p-2a. Wednesday through Tuesday, scheduled shifts and workdays vary and rotate. Weekends, nights, daytime, split shifts, and holidays required. Benefits: *Commander's Palace offers health, dental and vision insurance that are available the first calendar day following 60 days of employment. Employees are responsible for their portion of the monthly premiums. *Sick Pay is available for full-time employees while actively employed. A total of 9 sick days will be available to use during the employment period. This benefit is paid at $7.25/hr. *Workers will be provided, without charge or deposit charge, all tools, supplies, and equipment required to perform the duties assigned Number of Hours Per Week: 35 Work Schedule (Start/End time): 8:00 A.M. - 5:00 P.M.</t>
  </si>
  <si>
    <t>H-400-26185-078530</t>
  </si>
  <si>
    <t>***RFI Response*** The Construction Laborer Helper will support specialized construction crews in the assembly and installation of light-gauge prefabricated metal wall systems, metal decking, and temporary shoring under direct supervision. The worker will assist with framing, prefab wall installation, and general construction tasks by loading, unloading, staging, sorting, and manually carrying light-gauge steel studs, metal tracks, corrugated metal decking, prefabricated wall panels, and related construction materials throughout the worksite. The worker will hold and stabilize materials while skilled workers position and secure them, assist with layout by using tape measures and laser levels to verify measurements and alignment, prepare work areas, organize hardware and materials, remove debris, collect steel scrap, and perform general site cleanup. The worker will also assist with moving ladders, tools, and equipment as directed. Personal protective equipment (PPE) is required and provided by the employer at no cost. Tools and equipment used include tape measures, laser levels, ladders, brooms, shovels, manual hand tools, hard hats, safety vests, safety glasses, gloves, and fall protection lanyards. The prefabricated structural components consist of light-gauge steel wall panels, cold-formed steel studs, metal framing tracks, corrugated steel floor and roof decking, temporary shoring components, wood wall bracing, and related metal framing components used in commercial building construction. These components are manufactured primarily from galvanized cold-formed steel, with temporary wood bracing used to stabilize wall systems during installation. The Construction Laborer Helper assists in positioning, aligning, and holding these prefabricated components while skilled workers permanently secure them using bolts, screws, anchors, or other fastening methods appropriate for the project ***Original Duties*** Perform site layout and measurement to assist with construction of commercial buildings. Install temporary shoring, bracing, and safety rails to ensure compliance with jobsite safety standards. Load and unload materials and tools from trucks; transport them to appropriate work areas using manual or powered equipment. Operate power tools and hand tools including saws, drills, hammers, and impact wrenches to assist with framing, prefab wall installation, and general construction tasks. Position, align, and secure prefabricated structural components using bolts, nails, or adhesives. Set up and operate portable generators to supply temporary power for tools and equipment. Operate various jobsite equipment including forklifts, boom lifts, and scissor lifts, in accordance with OSHA and site safety protocols. Assist skilled tradespeople as needed with framing, demolition, and finish work. Maintain a clean and organized jobsite through regular housekeeping duties and debris removal. Perform inventory checks and material handling to support job progress and prevent delays. Serve as a flagger to direct traffic and maintain safety during deliveries or crane operations. Job Classification: 47-2061.00 - Construction Laborers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Must be able to lift and carry 75lbs/75yds. Some weekend work required. Number of Hours Per Week: 50 Work Schedule (Start/End time): 8:00 A.M. - 5:00 P.M.</t>
  </si>
  <si>
    <t>H-400-26185-078564</t>
  </si>
  <si>
    <t>Continental Farm and Forest LLC</t>
  </si>
  <si>
    <t>Greens Collector</t>
  </si>
  <si>
    <t>***RFI Response*** Harvests natural greens and foliage from forested areas using manual cutting techniques, then sorts and bunches collected material into marketable arrangements meeting company quality and size standards. May assist with garland making and packing of floral greenery products. Workers may use hand-clippers. Workers will perform this job in forested areas, or other outdoor areas with foliage and natural greenery. ***Original*** Collect natural greens and foliage for floral designs then arrange into marketable bunches. This is a repetitive skill. This work requires great manual dexterity. Workers must be able to lift up to 40 lbs various times in an eight-hour shift, and for the duration of the shift. Workers may assist with garland making and packing floral greenery products. Workers must have three months of experience working in forested areas. Job Classification: 45-4011.00 - Forest and Conservation Workers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workers must posses three months experience working in forested areas. Number of Hours Per Week: 40 Work Schedule (Start/End time): 7:00 A.M. - 4:00 P.M.</t>
  </si>
  <si>
    <t>H-400-26185-078565</t>
  </si>
  <si>
    <t>Dupper Landscape, Inc.</t>
  </si>
  <si>
    <t>Jaime Thurgood</t>
  </si>
  <si>
    <t>applications@rhdupper.com</t>
  </si>
  <si>
    <t>+14803650811</t>
  </si>
  <si>
    <t>Laborers will be needed for pruning, fertilization, irrigations systems maintenance and repair, general clean up procedures and installation of mortarless segmental concrete masonry wall units. Work outdoors, physical work. Job Classification: 37-3011.00 - Landscaping and Groundskeeping Workers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Work may include wknd/hol. Number of Hours Per Week: 40 Work Schedule (Start/End time): 6:00 A.M. - 2:30 P.M.</t>
  </si>
  <si>
    <t>H-400-26185-078536</t>
  </si>
  <si>
    <t>EFM Construction, LLC</t>
  </si>
  <si>
    <t>efmsteve@gmail.com</t>
  </si>
  <si>
    <t>+15639336244</t>
  </si>
  <si>
    <t>Residential and commercial concrete construction. Measure and layout footings and foundations. Excavate footings and level earth to grade specifications. Position aluminum wall forms and place all concrete. Clean up construction site. Prepare the site for placing of concrete by loading and unloading materials, running string-lines, cutting wood with skill saw, using a sledgehammer to pound stakes into the ground, digging and leveling the earth using shovels and platepackers. Assist with placing concrete by using wheelbarrows, concrete rakes and shovels. Job Classification: 47-2061.00 - Construction Laborers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Must be able to lift and carry 75 lbs. 50 yrds. Must be able to handle temperature extremes. Some weekend work. Number of Hours Per Week: 40 Work Schedule (Start/End time): 6:00 A.M. - 5:00 P.M.</t>
  </si>
  <si>
    <t>H-400-26184-078509</t>
  </si>
  <si>
    <t>ER Tech Systems Group Inc</t>
  </si>
  <si>
    <t>pablo@broadcastsystemsinc.com</t>
  </si>
  <si>
    <t>+15616580360</t>
  </si>
  <si>
    <t>Security Service Technician Iii</t>
  </si>
  <si>
    <t>Install, configure, program, and service security systems; program, configure, and support Hiperwall video wall systems, and QSC audio/video control systems; work with IP-based networks, including VLANs, PoE switches, and fiber; test and repair circuits and sensors, following wiring and system specifications; integrate security and AV systems with customer networks; read and interpret system drawings, schematics, and specifications; document system configurations, changes, and service activities; provide clear communication and training to end users when required. Job Classification: 49-2098.00 - Security and Fire Alarm Systems Installers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Genetec, QSYS, and Avigilon ACC and ACM Certifications; valid DL with clean driving record Associates degree in Systems Engineering or Information Systems Number of Hours Per Week: 40 Work Schedule (Start/End time): 8:00 A.M. - 5:00 P.M.</t>
  </si>
  <si>
    <t>H-400-26184-078517</t>
  </si>
  <si>
    <t>East River Contracting, LLC</t>
  </si>
  <si>
    <t>accounting@eastriverusa.com</t>
  </si>
  <si>
    <t>+15152932295</t>
  </si>
  <si>
    <t>Perform manual labor tasks at construction sites. Duties include site cleanup, material handling, and assisting with general construction activities. Workers will use hand tools and may assist in operating basic equipment under supervision. The Construction Laborer position performs the physical groundwork of concrete construction — including pouring, spreading, and finishing concrete on slabs, foundations, flatwork, and structural elements. Workers set and strip forms, tie rebar, and ensure proper concrete placement and curing. On the job site, they work under the direct direction of the foreman, maintain a clean and safe work area, and support the crew in meeting production goals and quality standards. Hand Tools Used and Their Purposes: • Concrete Rake – Pulls and spreads fresh concrete evenly across a formed area prior to screeding. • Bull Float – A large, long-handled flat tool pushed across wet concrete immediately after screeding to smooth the surface and bring moisture to the top. • Hand Float / Magnesium Float – Used for detail finishing on edges and smaller surface areas to achieve a smooth, even texture. • Steel Trowel – Applied after floating to create a hard, dense, polished finish on the concrete surface. • Edger – Run along the perimeter of a slab to create a rounded, finished edge that resists chipping. • Groover / Jointing Tool – Cuts control joints into fresh concrete to manage where cracking occurs as the slab cures. • Rubber Mallet – Used to tap and seat forms, stakes, and screeds into proper position. • Tie Wire and Tie Wire Twister – Used to connect and secure rebar at intersections prior to the pour. • Bolt Cutters / Rebar Cutter – Cuts rebar to required lengths for reinforcement placement. • Shovel / Square Spade – Moves and distributes concrete in tight areas, cleans forms, and clears debris. • Broom – Applied to a concrete surface to create a brushed texture for traction, particularly on driveways and walkways. • Knee Boards – Flat boards the laborer kneels on to finish wet concrete without leaving impressions. Workers assist in operating basic equipment under the direct supervision of a foreman or experienced crew member. This includes: concrete screeds (both manual and powered), concrete vibrators (used to eliminate air pockets and ensure proper consolidation during the pour), and small skid steers or power buggies used to move and deliver concrete to the work area. "Assisting" means the worker performs tasks such as guiding hoses, positioning equipment, monitoring the work area for safety, and supporting the equipment operator — but does not independently operate the equipment. Job Classification: 47-2171.00 - Reinforcing Iron and Rebar Workers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6 Special Requirements: 6 months of relevant experience Number of Hours Per Week: 40 Work Schedule (Start/End time): 6:00 A.M. - 6:00 P.M.</t>
  </si>
  <si>
    <t>H-400-26184-078521</t>
  </si>
  <si>
    <t>Extreme Outdoor Solutions, LLC</t>
  </si>
  <si>
    <t>office@extremeoutdoorsolutions.com</t>
  </si>
  <si>
    <t>+17652964329</t>
  </si>
  <si>
    <t>Winter Landscape Crew Member</t>
  </si>
  <si>
    <t>Landscape or maintain ground of property using hand or power tools or equipment. Workers typically perform a variety of tasks, which may include any combination of the following: Sod, laying, mowing, trimming, planting, watering, fertilizing, digging, and raking. Entry level; requires supervision. Workers will also perform winterization tasks such as winter cutbacks on perennials and plants in order to properly prepare lawn or landscape for winter weather and new growth in the Spring. Maintain irrigation systems, including winterizing the systems before temperatures drop below freezing to prevent damage. May occasionally work Saturdays. Job Classification: 37-3011.00 - Landscaping and Groundskeeping Workers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Must be able to lift and carry 50 lbs., when necessary. Possession of a CDL or foreign equivalent is preferred. If the worker holds a CDL, basic English proficiency is required. Number of Hours Per Week: 40 Work Schedule (Start/End time): 7:30 A.M. - 6:30 P.M.</t>
  </si>
  <si>
    <t>H-400-26185-078533</t>
  </si>
  <si>
    <t>Fischer &amp; Wieser Specialty Foods, Inc.</t>
  </si>
  <si>
    <t>jenny.wieser@jelly.com</t>
  </si>
  <si>
    <t>+18309408248</t>
  </si>
  <si>
    <t>Production Kitchen Staff</t>
  </si>
  <si>
    <t>Perform tasks as assigned by the Kitchen Supervisor. Open cans, drums, bags and bins and empty contents of each into the kettle or into holding containers; maintain cleanliness and sanitation of the kitchen area; read recipes and weigh ingredients according to the specifications of the recipe; measures the brix, consistency, temperature, and pH of products; cook the batches as indicated by the recipes or as directed by the Kitchen Supervisor; and fill out all paperwork and ensure it is appropriately filled out including SSOP forms, product quality forms, QA forms and the daily batch report. Unboxing, labeling, packing and stacking off our kitchen automated line. No education required. On the job training is provided. Job Classification: 51-3092.00 - Food Batchmakers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Position requires three (3) months of food processing, machine/equipment operations or related experience. Must be able to lift/carry up to 50 pounds. Number of Hours Per Week: 40 Work Schedule (Start/End time): 5:00 A.M. - 7:00 P.M.</t>
  </si>
  <si>
    <t>H-400-26185-078560</t>
  </si>
  <si>
    <t>Assist chefs with various tasks as needed and provide chefs with needed items, including ingredients, utensils, etc. Load dishes, glasses, and tableware into dishwashing machines. Wash, peel, and cut various foods, such as fruits and vegetables, to prepare for cooking or serving. Prepare a variety of foods, such as meats, vegetables, or desserts, according to customers' orders or supervisors' instructions, following approved procedures. Duties may include washing, peeling, cutting, slicing, marinating, seasoning, breading, mixing, portioning, assembling, baking, grilling, frying, roasting, steaming, sautéing, and plating food items for service. The worker may also prepare sauces, dressings, batters, and dessert items as directed by the chef. The worker will use a variety of commercial kitchen equipment and utensils in the preparation and cooking process, including knives, cutting boards, mixers, food processors, blenders, slicers, grills, flat-top griddles, ovens, convection ovens, stovetops, fryers, steamers, microwaves, refrigerators, freezers, warming stations, and temperature monitoring devices. Assist with serving food or beverages to guests and prepare or serve specialty dishes at tables as required. Remove dishes and glasses from tables or and take them to kitchen for cleaning. Wash and sanitize dishes, equipment and works areas. Perform other similar, related tasks as necessary. Job Classification: 35-2014.00 - Cooks, Restaurant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No minimum education required. Experience must be verifiable. Must be available to work split-shifts, nights, weekends &amp; holidays as needed. Minimum 35 hrs/week. Shifts and shift hours vary between 8:00 AM and 6:00 PM, 7 days per week. Must be able to communicate clearly in English. Number of Hours Per Week: 63 Work Schedule (Start/End time): 8:00 A.M. - 6:00 P.M.</t>
  </si>
  <si>
    <t>H-400-26185-078569</t>
  </si>
  <si>
    <t>Wellness Specialist</t>
  </si>
  <si>
    <t>Perform a variety of duties to plan and provide safe and effective fitness and wellness programming for guests. Duties include: Assess individuals’ abilities and develop, instruct, and adapt exercise and activity programs accordingly. Observe participants and provide corrective guidance, alternatives, and injury-aware modifications. Teach proper equipment use, safety rules, breathing techniques, and exertion levels. Organize classes, activities, and events for fitness and recreation. Adjust workout programs and provide variations to address injuries or muscle soreness. Perform other similar, related tasks as needed. Job Classification: 39-9031.00 - Exercise Trainers and Group Fitness Instructors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No minimum education required. Experience must be verifiable. Must be available to work split-shifts, nights, weekends &amp; holidays as needed. Minimum 35 hrs/week. Shifts and shift hours vary between 8:00 AM and 6:00 PM, 7 days per week. Must be able to communicate clearly in English. Number of Hours Per Week: 63 Work Schedule (Start/End time): 8:00 A.M. - 6:00 P.M.</t>
  </si>
  <si>
    <t>H-400-26185-078566</t>
  </si>
  <si>
    <t>Greenway Property Maintenance, Inc.</t>
  </si>
  <si>
    <t>amy@gpmlandscape.com</t>
  </si>
  <si>
    <t>+16024694566</t>
  </si>
  <si>
    <t>Landscape or maintain grounds of property using hand or power tools or equipment. Workers typically perform a variety of tasks, which may include any combination of the following: sod laying, mowing, trimming, planting, watering, fertilizing, digging, raking, sprinkler installation, and installation of mortarless segmental concrete masonry wall units. Job Classification: 37-3011.00 - Landscaping and Groundskeeping Workers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Number of Hours Per Week: 40 Work Schedule (Start/End time): 6:00 A.M. - 2:30 P.M.</t>
  </si>
  <si>
    <t>H-400-26184-078516</t>
  </si>
  <si>
    <t>Hawaiian King Candies LLC</t>
  </si>
  <si>
    <t>Uyanga Batzogs</t>
  </si>
  <si>
    <t>aloha@hawaiianking.com</t>
  </si>
  <si>
    <t>+18088330041</t>
  </si>
  <si>
    <t>Production Assistant</t>
  </si>
  <si>
    <t>Job Title: Production Assistant Department: Production Reports To: Production Supervisor Work Hours: 7:30am-4:30pm (including 1 hour of unpaid lunch/breaks), Monday-Friday Major Responsibilities: Operate equipment that mixes, blends, and prepares ingredients used in the manufacturing of candy/confectionery food products: caramel coated popcorn and toffee coated macadamia nuts. Under the direct supervision of the production supervisor. Essential Job Functions/Requirements: ● Prepare ingredients for planned production in the kitchen. ● Fill processing or cooking containers, such as kettles or rotating cookers, with ingredients ● Mix or blend ingredients, according to recipes, by controlling vats that heat and mix ingredients in order to: ○ Cook toffee batches in gas fire mixers. ○ Pop popcorn. ○ Roast flavored nuts and raw macadamia nuts. ○ Make caramel coated popcorn and toffee coated macadamia nuts. ● Demonstrate working knowledge of gas-fire mixers. ● Use controls to start equipment and to adjust operation to maintain product quality Other Duties / Functions: ● Prepare various sauces for flavored nuts. ● Clean and sterilize kettles, large revolving pan, kitchen utensils, and factory processing areas. ● Maintain an organized, clean, and safe work area. ● Other tasks instructed by the production supervisor. Work Conditions: Works indoors in a factory setting, in moderately warm temperatures of 80°F to 100°F. Equipment Use: Large revolving pan, gas-fire mixer, kettle lifters, hand pallet jack, popcorn conveyors, convection oven, weight scales, hand tape gun. Mental Demands: Requires attention to detail, accuracy, and good judgment of quality standards while preparing batches. Physical Demands: Requires long periods of standing, and frequent walking in hot temperatures. Requires lifting up to 50 lbs. Occasionally requires the use of a hand pallet jack to move items up to 800 lbs. Safety and Health Responsibilities: Wear required apparel and observe all Safety, Personal Hygiene, and GMP policies and procedures. Minimum Qualifications: None Preferred Qualifications 3 months of candy manufacturing experience. Basic English reading and verbal skills. Job Classification: 51-3092.00 - Food Batchmakers The job/industry classification and description includes general information on the position from ONET/OES and the North American Industry Classification System. Please review Job Duties and Job Order for more information. Job Requirements Experience Required: No Number of Hours Per Week: 40 Work Schedule (Start/End time): 7:30 A.M. - 4:30 P.M.</t>
  </si>
  <si>
    <t>H-400-26185-078570</t>
  </si>
  <si>
    <t>Iddings &amp; Sons Landscaping, Inc.</t>
  </si>
  <si>
    <t>mike@iddingslandscape.com</t>
  </si>
  <si>
    <t>+16234652546</t>
  </si>
  <si>
    <t>Laborers will be needed for turf care, pruning, fertilization, irrigation system maintenance and repair, general clean up and installation or mortarless segmental concrete masonry wall units. Job Classification: 37-3011.00 - Landscaping and Groundskeeping Workers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Workdays may include wknd/hol. Ability to lift 50 lbs. Drug testing. Drug-testing requirement is applied "pre-hire" and "post-hire" in accordance with drug policy. All drug testing will be carried out equally between the U.S. workers and the H-2B workers. Number of Hours Per Week: 40 Work Schedule (Start/End time): 6:00 A.M. - 2:30 P.M.</t>
  </si>
  <si>
    <t>H-400-26184-078519</t>
  </si>
  <si>
    <t>King-Knutson Construction Inc.</t>
  </si>
  <si>
    <t>brandon@kingconstruction.biz</t>
  </si>
  <si>
    <t>+16416485464</t>
  </si>
  <si>
    <t>Snow Removers</t>
  </si>
  <si>
    <t>Workers will be performing physical tasks related to the removal of snow and ice. This includes pushing, shoveling, moving, and cleaning snow and ice from sidewalks, driveways, and parking lots. Additionally, workers will be spreading salt, ice- melting solutions, and solids. Snow Removers will also maintain equipment, clean-up, and remove debris from job sites. To perform pushing, shoveling, moving, and cleaning snow and ice from sidewalks, driveways, and parking lots, workers will use the following tools and equipment: snow shovels, snow pushers, ice scrapers/chippers, snow blowers, salt/sand spreaders, brooms, debris shovels, wheelbarrows, utility carts, and hand tools including wrenches, sockets, screwdrivers, pliers, and hammers. Materials used may include salt, sand, and other de-icing products. The previously referenced hand tools (wrenches, sockets, screwdrivers, pliers, and hammers) may also be used to adjust, assemble, maintain, and perform minor repairs on snow removal equipment necessary to complete assigned job duties. Job Classification: 37-2011.00 - Janitors and Cleaners, Except Maids and Housekeeping Cleaners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Three (3) months of snow removal or related experience. Must be able to lift and carry up to fifty (50) lbs. Number of Hours Per Week: 40 Work Schedule (Start/End time): 7:00 A.M. - 5:00 P.M.</t>
  </si>
  <si>
    <t>H-400-26184-078520</t>
  </si>
  <si>
    <t>Workers will be performing physical tasks related to the removal of snow and ice. This includes pushing, shoveling, moving, and cleaning snow and ice from sidewalks, driveways, and parking lots. Additionally, workers will be spreading salt, ice- melting solutions, and solids. Snow Removers will also maintain equipment, clean-up, and remove debris from job sites. To remove snow and ice from sidewalks, driveways, and parking lots, the workers will push, shovel, move, and clear accumulated snow and ice, as well as spread salt and other de-icing products to improve traction and reduce ice accumulation. To perform these duties, workers will use snow shovels, snow pushers, ice scrapers/chippers, snow blowers, salt/sand spreaders, brooms, debris shovels, wheelbarrows, utility carts. The Employer does not utilize snow plows in performing these duties. As needed, workers will also perform minor maintenance on snow removal equipment to keep it operational during assigned shifts. This includes tasks such as tightening bolts, adjusting settings, replacing worn parts, and clearing jams or blockages on snow blowers and spreaders. Hand tools used for this purpose include wrenches, sockets, screwdrivers, pliers, and hammers. When required, workers will perform site clean-up and remove debris from job sites by collecting and disposing of non-hazardous debris generated during snow removal operations using brooms, debris shovels, wheelbarrows, and utility carts. Job sites include locations where workers perform snow and ice removal services, such as offices, apartment complexes, warehouses, and other commercial properties. Job sites may also include active construction sites where snow and ice removal are necessary to maintain safe access for workers and visitors. Job Classification: 37-2011.00 - Janitors and Cleaners, Except Maids and Housekeeping Cleaners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Must be able to lift and carry up to fifty (50) lbs. Number of Hours Per Week: 40 Work Schedule (Start/End time): 7:00 A.M. - 5:00 P.M.</t>
  </si>
  <si>
    <t>H-400-26185-078544</t>
  </si>
  <si>
    <t>H-400-26185-078546</t>
  </si>
  <si>
    <t>H-400-26185-078571</t>
  </si>
  <si>
    <t>H-400-26185-078563</t>
  </si>
  <si>
    <t>Lassen Facility Management</t>
  </si>
  <si>
    <t>Dusty@lassenfacilitymgmt.com</t>
  </si>
  <si>
    <t>+13143194970</t>
  </si>
  <si>
    <t>Keep buildings, facilities, and surrounding grounds clean, safe, and orderly. Perform heavy cleaning and general janitorial duties for commercial and residential properties. Duties include sweeping, mopping, vacuuming, dusting, sanitizing restrooms and common areas, removing trash and debris, cleaning windows and entryways, and maintaining overall property appearance. Perform seasonal outdoor cleanup and property maintenance during the fall and spring seasons, including raking and removing leaves, clearing branches, sticks, and storm debris, cleaning parking lots and walkways, hauling yard waste, and maintaining exterior common areas. Duties also include clearing gutters and entrances of accumulated debris, sweeping sidewalks, and assisting with seasonal property preparation and cleanup using shovels, rakes, brooms, leaf blowers, and other hand tools. Notify management of needed repairs, unsafe conditions, damaged equipment, or maintenance concerns. Follow safety procedures and maintain tools and equipment in proper working condition. Job Classification: 37-2011.00 - Janitors and Cleaners, Except Maids and Housekeeping Cleaners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Ability to lift and carry up to 50 pounds. Prolonged standing, walking on slippery surfaces, and navigating large areas. Frequent bending, stooping, kneeling, pushing, and pulling heavy equipment. Climbing ladders, manual dexterity for handling tools, and operating machinery. Endurance for extended periods in various weather conditions, including cold and wet environments. Number of Hours Per Week: 40 Work Schedule (Start/End time): 7:00 A.M. - 7:00 P.M.</t>
  </si>
  <si>
    <t>H-400-26185-078573</t>
  </si>
  <si>
    <t>office@dflaz.com</t>
  </si>
  <si>
    <t>Landscape or maintain grounds of property using hand or power tools or equipment. Workers typically perform a variety of tasks, which may include any combination of the following: sod laying, mowing, trimming, planting, watering, fertilizing, digging, raking, sprinkler installation, and installation of mortarless segmental concrete masonry wall units. Job Classification: 37-3011.00 - Landscaping and Groundskeeping Workers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Workdays may include wknd/hol. Number of Hours Per Week: 40 Work Schedule (Start/End time): 7:00 A.M. - 3:30 P.M.</t>
  </si>
  <si>
    <t>H-400-26185-078556</t>
  </si>
  <si>
    <t>Memphis Utility Construction</t>
  </si>
  <si>
    <t>Paola Robles</t>
  </si>
  <si>
    <t>memphisutilty@gmail.com</t>
  </si>
  <si>
    <t>+19016904372</t>
  </si>
  <si>
    <t>Workers will perform general construction labor for underground utility and telecommunications infrastructure projects. Duties include potholing to help locate existing underground utilities, setting water and utility boxes, assisting with horizontal directional drilling support activities, digging, trenching, backfilling, loading and unloading materials, preparing and cleaning job sites, and assisting with the installation, repair, and maintenance of underground utility lines, conduit, and related infrastructure. Workers may use basic hand tools and small power tools as needed and may drive company vehicles to transport workers, tools, and materials to and from job sites. Workers must follow all safety procedures and perform related construction labor duties as assigned. Job Classification: 47-2061.00 - Construction Laborers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1 Special Requirements: Workers will perform general construction labor for underground utility and telecommunications infrastructure projects. Duties include potholing to help locate existing underground utilities, setting water and utility boxes, assisting with horizontal directional drilling support activities, digging, trenching, backfilling, loading and unloading materials, preparing and cleaning job sites, and assisting with the installation, repair, and maintenance of underground utility lines, conduit, and related infrastructure. Workers may use basic hand tools and small power tools as needed and may drive company vehicles to transport workers, tools, and materials to and from job sites. Workers must follow all safety procedures and perform related construction labor duties as assigned. Number of Hours Per Week: 53 Work Schedule (Start/End time): 7:00 A.M. - 4:00 P.M.</t>
  </si>
  <si>
    <t>H-400-26184-078502</t>
  </si>
  <si>
    <t>Midwest Contracting Services, Inc.</t>
  </si>
  <si>
    <t>roosterconnectingiron@yahoo.com</t>
  </si>
  <si>
    <t>+18155031455</t>
  </si>
  <si>
    <t>Prepare construction site. Perform lesser tasks including loading and unloading building materials, laying out lumber, siding trusses, and other components for structure. Assist lead carpenters with basic carpentry tasks such as holding, cutting, and nailing lumber according to lead carpenter instructions. Job Classification: 47-3012.00 - Helpers--Carpenters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Must be able to lift and carry 75 lbs for 50 yards. Must be able to handle extreme temperatures. Some weekend work. Will travel to worksites within the area of intended employment. Number of Hours Per Week: 40 Work Schedule (Start/End time): 7:00 A.M. - 5:00 P.M.</t>
  </si>
  <si>
    <t>H-400-26185-078542</t>
  </si>
  <si>
    <t>Muniz Concrete &amp; Contracting,  Inc.</t>
  </si>
  <si>
    <t>claudia@munizcontracting.com</t>
  </si>
  <si>
    <t>+15127880411</t>
  </si>
  <si>
    <t>***RFI Response*** The worker will operate the following motorized equipment: Skid-Steer Loader, type: Skid-Steer Loader; Make/Model: Bobcat S770; Size: 131.4-inch hingepin height; Weight: 9,314 lbs; Horsepower: 92 HP. Used to excavate, grade, backfill, load, transport, and move dirt, gravel, concrete, demolition debris, and other construction materials and to prepare worksites. Quick Saw/Concrete Saw, type: Handheld Gas-Powered Cut-Off Saw; Make/Model: STIHL TS 420; Size: 14-inch blade; Weight: 21.5 lbs; Horsepower: 4.4 HP. Used to cut concrete, asphalt, masonry, brick, block, pipe, and expansion joints. Walk-Behind Concrete Saw, type: Walk-Behind Concrete Saw; Make/Model: Husqvarna FS 400 LV; Size: 20-inch blade; Weight: approximately 220 lbs; Horsepower: 11.7 HP. Used to cut concrete slabs, sidewalks, driveways, roads, control joints, utility trenches, and repair areas requiring straight, deep cuts. Mini Excavator, type: Compact Excavator; Make/Model: 2019 Bobcat E42; Size: Maximum digging depth approximately 10.5 feet; Weight: 9,246 lbs; Horsepower: 42.7 HP. Used for digging, trenching, grading, backfilling, site preparation, drainage work, utility installation, and small-scale demolition. The worker measures reinforcing steel (rebar) using a tape measure and marks the required lengths according to project specifications. Rebar is cut using manual or hydraulic rebar cutters and, when necessary, bent using manual or mechanical rebar benders to achieve the required shape. The worker positions reinforcing steel according to project layouts, ties intersecting bars using tie wire and rebar-tying pliers, verifies proper alignment, spacing, and support before concrete placement, and installs rebar chairs and spacers to maintain proper reinforcement placement. The worker may also lift, carry, and place reinforcing steel and reinforcing materials as part of general construction labor duties. Tools, equipment, and materials used to cut and install rebar include tape measures, chalk lines or marking tools, manual or hydraulic rebar cutters, manual or mechanical rebar benders, rebar-tying pliers or tying tools, tie wire, rebar chairs, spacers, levels, and required personal protective equipment. ***Original Duties*** Perform tasks involving physical labor at construction sites. May operate hand and power tools of all types: Tape measurement, hammer, level, float, concrete groover, pliers, shovel concrete placer, wire reel, electric circular saw, hand drill, impact drill, concrete saw (different sizes), concrete vibrator, grinder, plate compactor, jumping jack, skid steer, and a variety of other equipment and instruments. Unload materials and bring them to the form-work location. Clean and prepare sites, dig trenches, set braces to support the sides of excavations, identify and cut wood depending on the needs. Smooth or finish freshly poured cement or concrete. After the concrete is poured, and cured, remove all formwork, and clean the wood for reuse. The worker should safely cut, install, rebar, level, and finish according to needs. Worker will also apply curing compound to the concrete. Smooth or finish freshly poured cement or concrete. After the concrete is poured and cured, the worker will remove all formwork and clean the wood for reuse. The worker should safely cut, install, rebar, level, and finish according to needs and perform general clean-up of worksite every day to keep the site safe. Job Classification: 47-2073.00 - Operating Engineers and Other Construction Equipment Operators The job/industry classification and description includes general information on the position from ONET/OES and the North American Industry Classification System. Please review Job Duties and Job Order for more information. Job Requirements Experience Required: No Number of Hours Per Week: 40 Work Schedule (Start/End time): 7:00 A.M. - 5:00 P.M.</t>
  </si>
  <si>
    <t>H-400-26184-078506</t>
  </si>
  <si>
    <t>Oxford Stables, LLC</t>
  </si>
  <si>
    <t>oxsfordstablesllc@gmail.com</t>
  </si>
  <si>
    <t>+15618082117</t>
  </si>
  <si>
    <t>HORSE SHOW GROOM: Will be responsible for the care of top show horses including grooming, feeding, watering, bathing, body clipping &amp; supervised turnout. Will maintain and clean stalls &amp; work area daily. Will inspect, observe and report horses physical condition to owner daily. Other responsibilities include hoof care and applying leg bandages as needed. Groom will be responsible for the care of 3 to 5 horses at a time which will include tacking up &amp; checking for correct fit of bridles, martingales, saddles &amp; other equipment. Job Classification: 39-2021.00 - Animal Caretakers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Number of Hours Per Week: 48 Work Schedule (Start/End time): 6:00 A.M. - 6:00 P.M.</t>
  </si>
  <si>
    <t>H-400-26184-078522</t>
  </si>
  <si>
    <t>P&amp;T Construction Company, LLC</t>
  </si>
  <si>
    <t>ptconap@gmail.com</t>
  </si>
  <si>
    <t>+13186408228</t>
  </si>
  <si>
    <t>Workers will perform job duties related to concrete/construction winterization/closing and winter care, such as ensuring worksite grounds are clear of snow and ice before beginning work due to winter temperatures. Workers will remove ice and apply salt when weather conditions are freezing; aside from winterization duties, workers will perform tasks involving physical labor at construction sites. As concrete finisher, workers will perform tasks involving physical labor at construction sites. Workers will mix, pour, or spread concrete, using portable cement mixers. Workers will smooth and finish surfaces of poured concrete, such as floors, walks, sidewalks, roads, or curbs using a variety of hand and power tools such as floats, trowels, screeds, or powered cement finishing tools. Workers will position and dismantle forms for pouring concrete, using saws, hammers, nails, or bolts. Workers will operate hand and power tools of all types: air hammers, earth tampers, cement mixers, small mechanical hoists, surveying and measuring equipment, and a variety of other equipment and instruments. Workers will measure and lay out commercial buildings. Workers will tend pumps, compressors, or generators to provide power for tools, machinery, or other equipment. Workers will operate concrete mixers, jackhammers, saws, and drills to break up concrete or pavement. Workers will position, join, align, or seal structural components, such as concrete wall sections or pipes. Workers perform construction worksite preparation duties such as building scaffolds, barricades, and bracing. Workers will unload materials, clean, and prepare sites, dig trenches, set braces to support the sides of excavations, erect scaffolding, and aluminum wall forms, and clean up rubble, debris, and other waste materials. Job Classification: 47-2051.00 - Cement Masons and Concrete Finishers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6 Special Requirements: Must be able to lift and carry 75 lbs. for 75 yards throughout the day. Employer will conduct random employer-paid drug screening. Number of Hours Per Week: 40 Work Schedule (Start/End time): 8:00 A.M. - 5:00 P.M.</t>
  </si>
  <si>
    <t>H-400-26184-078514</t>
  </si>
  <si>
    <t>PURDYCO LTD</t>
  </si>
  <si>
    <t>info@islandprincesshawaii.com</t>
  </si>
  <si>
    <t>+18089667451</t>
  </si>
  <si>
    <t>Plant Utility Worker</t>
  </si>
  <si>
    <t>Position Title: Plant Utility Worker Immediate Supervisors: Processing Plant Manager Fundamentals: Work Hours: 7:00AM – 3:30PM Monday- Friday Description: The ability to work independently without continuous supervision The utility worker is engaged in activities that support the Plant Managers and the Operators. Support activities include, but are not limited to: 1. Prepare cartons and bags 2. Pack products according to specified guidelines 3. Palletizing product / warehouse operations 4. Sort nuts using sorting machine to remove defects 5. Monitor machinery 6. Cleaning facility or performing tasks as specified by the plant manager 7. Equipment sanitization prior to start-up 8. General equipment and facilities upkeep during down time 9. Expect to participate in some plant start-up and shut down activities This job is also expected to engage in any other company-related tasks as deemed appropriate and assigned by Department Managers. These tasks may include manual labor. Details: Utility worker must be prepared to have different work assignments on a regular – possibly hourly – basis. Much of the work can be repetitive in nature. Work conditions: Works indoor in the plant, in warm temperatures Works outside the plant occasionally. Mental Demands: Requires attention to detail, accuracy, and good judgement of quality standards. Physical Requirements. 1. Must be able to lift and carry up to 50 lbs. 2. Must be able to stand or walk on concrete surfaces for extended periods 3. Must be able to climb stair and ladders 4. Overall good health and stamina to sustain 8 hours of moderate to vigorous activity. Safety and Health Responsibilities: Wear required apparel and observe all Safety and Personal Hygiene Minimum qualifications: None Preferred qualifications: Basic English reading, counting and verbal skills Job Classification: 51-9111.00 - Packaging and Filling Machine Operators and Tenders The job/industry classification and description includes general information on the position from ONET/OES and the North American Industry Classification System. Please review Job Duties and Job Order for more information. Job Requirements Experience Required: No Number of Hours Per Week: 40 Work Schedule (Start/End time): 7:00 A.M. - 3:30 P.M.</t>
  </si>
  <si>
    <t>H-400-26185-078543</t>
  </si>
  <si>
    <t>Pike Electric West, LLC</t>
  </si>
  <si>
    <t>Larkin Dykstra</t>
  </si>
  <si>
    <t>info@pike.com</t>
  </si>
  <si>
    <t>(680309.0001</t>
  </si>
  <si>
    <t>Ehv Tower Erector I (680309.000169)</t>
  </si>
  <si>
    <t>EHV Tower Erector I is a skilled position responsible for the assembly, erection, modification, and dismantling of lattice steel extra high voltage (EHV) transmission towers, including systems operating at 400kV and above. Work safely while performing assembly, erection, climbing, and modification of lattice steel EHV transmission towers, including 400kV+ systems. Lead lattice tower erection activities under the direction of a Foreman or General Foreman. Apply working knowledge of lattice tower erection sequencing, panelization, and section build up methods. Climbing and working on lattice towers to all heights using approved fall protection and climbing techniques. Assemble lattice steel components including legs, bracing, panels, arms, peaks, extensions, and hardware. Perform bolt up operations in accordance with drawings, specifications, and torque requirements. Apply proper bolt orientation, snugging, and final torque procedures. Frequently work at extreme heights requiring advanced fall protection awareness and safe climbing practices. Maintain awareness and control of dropped object hazards associated with lattice erection work. Assist with rigging, hoisting, gin pole operations, and crane picks for lattice tower sections. Work with induced voltage hazards associated with EHV lattice structures. Enact grounding requirements for lattice tower erection adjacent to energized EHV lines. Rigging loads and directing crane or hoist signals during lattice section lifts. Interpret lattice tower erection drawings, panel layouts, and bolt schedules. Leading less experienced erectors in proper lattice erection techniques. Maintain company tools, climbing gear, torque tools, and PPE in good working order. Working at heights and/or in confined areas within erected lattice structures. Properly installing and removing PPE and fall protection systems. Does all other related work as required to complete the job. Follow Company safety rules and all other Company policies. Work will be performed at unanticipated locations through Texas depending on project development. Job Classification: 49-9051.00 - Electrical Power-Line Installers and Repairers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60 Special Requirements: Position requires at least five years of lattice transmission tower erection experience. EHV lattice experience (400kV+) required. Able to travel long distances on short notice, when required. Able to work for extended periods in various locations, when required. Able to lift in excess of 50 lbs. Willing to work outside of the normal work schedule including weekends and holidays as required for the position. Must be able to work outside, frequently in inclement weather. Able to perform rigorous physical labor. Must pass a pre-employment drug screen, background check, and/or MVR (Motor Vehicle Record) check. For positions involving driving or DOT-regulated work, employees must also pass a DOT physical including drug screening. Number of Hours Per Week: 40 Work Schedule (Start/End time): 8:00 A.M. - 4:30 P.M.</t>
  </si>
  <si>
    <t>H-400-26185-078550</t>
  </si>
  <si>
    <t>Ehv A Lineworker - Transmission (680309.000167)</t>
  </si>
  <si>
    <t>This is a highly skilled position in the construction, maintenance, and repair of high-voltage and extra-high-voltage (EHV) electrical transmission systems, including systems operating at 400kV and above. Work safely while performing new construction, maintenance, or repair work of energized and de-energized transmission and EHV transmission systems, including 400kV+ circuits. Capable of coaching crew members in the absence of the Employee in Charge on transmission and EHV projects. Stringing overhead conductor, including bundled conductors used on EHV transmission lines. Setting lattice towers, poles, structures, foundations, and anchors for high-voltage and EHV systems. Troubleshooting problems on transmission and EHV transmission systems. Frequently works with energized high-voltage and extra-high-voltage systems requiring advanced skill, precision, and strict adherence to safety procedures to protect the lives of themselves and others. Maintains company vehicles, equipment, and tools in good working order. Glove, hot stick, and/or bare-hand work on high-voltage and EHV transmission lines, as qualified. Identify transmission primary and secondary voltages on standard and EHV circuits. Obtain knowledge in bare hand work and of hot stick work on energized high-voltage and EHV lines. Understanding and reading blueprints, structure drawings, and EHV construction plans. Properly sag conductor, including long-span and high-tension EHV sagging operations. Coaching crew in assembly and erection of poles and lattice or monopole structures to all heights. Dead-ending and sagging operations for all conductor types, including EHV conductors. Executing hot line work on conductor systems. Operating digger derrick and equipment used for EHV construction. Pole and tower climbing, including steel lattice and monopole EHV structures. Heavy lifting and rigging for transmission and EHV work. Work with induced voltage, including increased induction common on EHV systems. Enact grounding procedures for transmission and EHV lines. Working at heights and/or confined spaces. Properly installing and removing PPE and EHV-rated cover-up. Climbing different types of structures (wood, steel, lattice, monopole, etc.) and use the necessary tools to do so. Phasing out a line with proper use of phasing sticks on high-voltage and EHV circuits. Identify and locate puller and tensioner setups suitable for EHV conductor installations. Planning safe work based on a job print or work order, including EHV-specific hazards and clearances. Obtain a one shot on a recloser. Enacts minimum approach distance, including extended MAD requirements for EHV voltages. Utilizes flag and tag procedures. Performing basic bucket rescue/escape. Effectively conduct a pre-job or tailgate briefing. Safely perform a reconductoring job, including EHV reconductoring projects. Safely installing and removing mechanical jumpers on high-voltage and EHV systems. Properly inspect rubber goods, cover, and PPE rated for transmission and EHV applications. Follow Company safety rules and all other Company policies. Does all other related work as required to complete the job. Work will be performed at unanticipated locations through Texas depending on project development. Job Classification: 49-9051.00 - Electrical Power-Line Installers and Repairers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60 Special Requirements: Position requires at least five years of recent transmission line field or related experience. Able to travel long distances on short notice, when required. Able to work for extended periods in various locations, when required. Able to lift in excess of 50 lbs. Willing to work outside of the normal work schedule including weekends and holidays as required for the position. Must be able to work outside, frequently in inclement weather. Able to perform rigorous physical labor. Must be able to pass a pre-employment drug screen, background check, and/or MVR (Motor Vehicle Record) check. For positions involving driving or DOT-regulated work, employees must also pass a DOT physical including drug screening. Number of Hours Per Week: 40 Work Schedule (Start/End time): 8:00 A.M. - 4:30 P.M.</t>
  </si>
  <si>
    <t>H-400-26185-078551</t>
  </si>
  <si>
    <t>Ehv Employee In Charge - Transmission (680309.000168)</t>
  </si>
  <si>
    <t>EHV Employee in Charge is a highly skilled coaching position in the construction, maintenance, and repair of high-voltage and extra-high-voltage (EHV) electrical transmission systems, including systems operating at 400kV and above. Work safely while performing new construction, maintenance, or repair work of energized and de-energized transmission and EHV transmission systems, including 400kV+ circuits. Coordinate and inspect the work of crew members. Coach crew members leveraging a working knowledge of leadership and management skills. Coach and train less skilled employees in safe and productive work procedures specific to transmission and EHV work. Coach and teach hot stick work on energized high-voltage and EHV lines. Conduct pre-job or tailgate briefings with emphasis on EHV hazards, clearances, and work planning. String overhead wire, including bundled and long-span EHV conductors. Set lattice towers, poles, structures, and anchors for transmission and EHV systems. Install transmission-related equipment including crossarms, insulators, switches, switchgear, and related apparatus associated with high-voltage and EHV systems. Troubleshoot problems and coach troubleshooting efforts on transmission and EHV systems. Coordinate and direct corrective actions related to system faults, outages, and reconductoring activities. Frequently work with energized high-voltage and extra-high-voltage systems requiring advanced skill, leadership, and strict safety compliance to protect the lives of themselves and others. Maintain company vehicles, equipment, and tools in good working order. Identify primary and secondary voltage on transmission and EHV circuits. Work with induced voltage, including elevated induction associated with EHV transmission lines. Properly sag conductor, including EHV sagging and tensioning operations. Properly phase a circuit through a substation or transmission system, including EHV applications. Identify and locate puller and tensioner setups suitable for EHV conductor installations. Enact EPZ grounding procedures for transmission and EHV systems. Work at heights and/or confined spaces. Properly install and remove PPE and EHV-rated cover up. Climb different types of structures (wood, steel, lattice, monopole, etc.) and possess the necessary tools to do so. Safely operate equipment used in transmission and EHV construction. Phase out a line using phasing sticks on high-voltage and EHV circuits. Plan safe work based on a job print or work order, including EHV-specific hazards and minimum approach distances. Obtain a one shot on a recloser. Safely perform and coach a reconductoring job, including EHV reconductoring projects. Safely install and remove mechanical jumpers on transmission and EHV systems. Use a load bust tool. Properly request, receive, and release line clearances with system operators for transmission and EHV circuits. Identify and locate puller and tensioner setups. Understand flag and tag procedures. Comply with company reporting procedures and complete required company paperwork. Follow Company safety rules and all other Company policies. Work will be performed at unanticipated locations through Texas depending on project development. Job Classification: 49-9051.00 - Electrical Power-Line Installers and Repairers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60 Special Requirements: Position requires at least five years of experience. Able to travel long distances on short notice, when required. Able to work for extended periods in various locations, when required. Able to lift in excess of 50 lbs. Willing to work outside of the normal work schedule including weekends and holidays as required for the position. Able to perform rigorous physical labor. Must be able to work outside, frequently in inclement weather. Must pass a pre-employment drug screen, background check, and/or MVR (Motor Vehicle Record) check. For positions involving driving or DOT-regulated work, employees must also pass a DOT physical including drug screening. Number of Hours Per Week: 40 Work Schedule (Start/End time): 8:00 A.M. - 4:30 P.M.</t>
  </si>
  <si>
    <t>H-400-26185-078572</t>
  </si>
  <si>
    <t>SiteWorks Holding Co., Inc.</t>
  </si>
  <si>
    <t>hr@siteworksllc.net</t>
  </si>
  <si>
    <t>+14808201600</t>
  </si>
  <si>
    <t>Laborers will be needed for turf care, pruning, fertilization, irrigation systems maintenance and repair, general clean up procedures around properties. Outdoor work, physical work. Job Classification: 37-3011.00 - Landscaping and Groundskeeping Workers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Work may include wknd/hol. Number of Hours Per Week: 40 Work Schedule (Start/End time): 6:00 A.M. - 2:30 P.M.</t>
  </si>
  <si>
    <t>H-400-26185-078535</t>
  </si>
  <si>
    <t>Sunbelt Rentals, Inc.</t>
  </si>
  <si>
    <t>Marissa Cwik</t>
  </si>
  <si>
    <t>31/12/2028</t>
  </si>
  <si>
    <t>HRRecruitment@sunbeltrentals.com</t>
  </si>
  <si>
    <t>Specialist - Power</t>
  </si>
  <si>
    <t>Responsible for planning, technical oversight, and delivery of temporary power and HVAC solutions across the 2028 Los Angeles Olympic &amp; Paralympic Games. This role partners closely with LA28 Energy, venue stakeholders, and internal Olympic program teams to translate high level power strategies into executable designs and operational plans. The position evolves from early design and integration through venue installation and live Games-time operations, ensuring reliable, compliant, and resilient power delivery across a multi-venue Olympic environment. Serve as a senior technical and operational liaison between Sunbelt Rentals and LA28 Energy, ensuring alignment with Olympic power strategies, redundancy standards, and Games-time operational protocols. Contribute expert guidance during the Olympic design phase, advising on temporary power generation, distribution, cabling, and load management consistent with prior Olympic Games best practices. Support the development and execution of the integrated Olympic power master plan across competition, non-competition, and overlay venues. Translate Olympic-level design concepts into executable scopes, schedules, and logistics plans in coordination with Program Management, Scheduling, Logistics, and Procurement teams. Provide oversight of budgets, rate cards, scope changes, and change orders throughout design, build, and operational phases. Identify and mitigate delivery risks associated with Games-time power operations, including contingency planning, redundancy, and resilience strategies. Perform quality control reviews throughout development and implementation to ensure adherence to Sunbelt Rentals and LA28 standards. Support recruitment, onboarding, and leadership of Olympic-experienced operational power teams during installation and Games-time operations. Makes regular trips to the host city of the Olympic Games throughout early project phases. Will transition to full-time onsite residence as the Olympic Games approach and during the Games. Other duties as assigned by manager. All duties must be performed according to Sunbelt’s safety policies and guidelines. Position allows for remote work. Job Classification: 17-2071.00 - Electrical Engineers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60 Special Requirements: Requires knowledge in working within organizing committee structures, international federations, and multinational delivery teams. Requires knowledge of leading power delivery across multiple venues under compressed timelines and high operational risk. Requires comprehensive knowledge of electrical design principles and the application of temporary power systems in complex, multi venue environments. Requires strong knowledge of project management tools and collaboration platforms, including spreadsheets and scheduling software. Requires strong leadership skills with demonstrated experience guiding cross-functional and distributed teams. Requires exceptional interpersonal and communication skills, with the ability to collaborate effectively across diverse stakeholder groups. Requires advanced problem-solving skills, including the ability to assess issues, evaluate options, and implement effective solutions. Requires effective delegation and team coordination skills to ensure efficient task distribution and workflow management. Requires excellent analytical skills, with a high level of accuracy, attention to detail, and data-driven decision-making. Requires strong organizational and time management skills, with the ability to prioritize tasks in fast-paced environments. Requires the ability to make sound, timely decisions and exercise good judgment under pressure. Requires the ability to work efficiently in dynamic, high-stress environments while maintaining project momentum. Requires the ability to utilize project management software, spreadsheets, and collaborative digital tools to track progress and support team communication. Must be able to bend, squat, crouch, and/or reach and lift up to 25 pounds or more, as required by the job. Must pass drug screening and background check. Managing temporary power delivery for major multi-venue international sporting events like Olympic Games, FIFA World Cup, Cricket World Cup, Pan American Games, previous Olympic Games, or similar exp. Makes regular trips to the host city of the Olympic Games (Los Angeles, CA) throughout early project phases. Number of Hours Per Week: 40 Work Schedule (Start/End time): 8:00 A.M. - 4:30 P.M.</t>
  </si>
  <si>
    <t>H-400-26185-078537</t>
  </si>
  <si>
    <t>Manager, Olympic Programming</t>
  </si>
  <si>
    <t>The Manager, Olympic Programming is responsible for the oversight and coordination of Sunbelt Rentals’ Olympic delivery program schedule. This role will lead a small team charged with developing, updating, and tracking activities to ensure successful delivery of commercial projects as well as alignment with overall corporate objectives (master plan) tied to the Olympic Games. Outputs from this team will be fully integrated into the LA28 Venues and Infrastructure construction schedule, LA28 Energy delivery schedule, and other LA28 Functional Area schedules where required, which are reported quarterly to International Olympic Committee (IOC) experts for review and evaluation. The role is client-facing with both LA28 leadership and internal Sunbelt Rentals business units, requiring strong program management, scheduling, and relationship-building expertise. Lead and manage a small team responsible for schedule development, updates, integration, and reporting for Olympic-related projects. Maintain and oversee Sunbelt’s Olympic master plan, ensuring activities align with corporate objectives and Games requirements. Coordinate integration of Sunbelt schedules into LA28’s official Venues &amp; Infrastructure and Energy schedules. Act as primary point of contact with LA28’s Venues and Infrastructure team, Energy team, and IOC schedule experts. Partner with internal Sunbelt divisions (Lines of Business, Marketing, etc.) to ensure all project and corporate deliverables are tracked and aligned. Develop and manage reporting cadence to Sunbelt leadership and LA28, including project status updates, risk tracking, and schedule variance analysis. Provide expert recommendations on scheduling and temporary construction delivery strategies to ensure successful multi-sport, multi-venue outcomes. Coordinate integration of commercial project delivery with compliance, governance, and financial performance tracking. Represent Sunbelt Rentals in external Olympic-related meetings and maintain a professional, client-facing presence. Ensure the programming of third-party, non-LA28 owned Olympic projects in coordination with the overall delivery schedule to provide early visibility of delivery risks. All duties must be performed according to Sunbelt’s safety policies and guidelines. Significant travel in support of the project will be required. Other duties as required for the successful delivery of the project. Position works out of the Fort Mill, SC office and regularly travels to Los Angeles, CA. Job Classification: 11-9021.00 - Construction Managers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120 Special Requirements: Bachelor Degree in Construction Management, Civil Engineering, Facilities Management, Operations Management or similar fields, or a combination of education and relevant experience. Requires the following skills: Proven experience in program/schedule management within high-pressure, client-facing environments. Strong understanding of large event operations and construction logistics. Proficiency in Microsoft Project. Experience with Primavera P6. MS Office Suite (Excel, PowerPoint, Word). Must be able to bend, squat, crouch and/or reach and lift up to 25 pounds or more, as required by the job. Must pass drug screening and background check. Construction delivery and/or management (temporary/legacy) for multi-sport/multiple-venue large-scale event programs (Olympics, World Cups, Expos, or similar). Significant travel in support of the project will be required. Number of Hours Per Week: 40 Work Schedule (Start/End time): 8:00 A.M. - 4:30 P.M.</t>
  </si>
  <si>
    <t>H-400-26185-078540</t>
  </si>
  <si>
    <t>Senior Manager, Olympic Program Management</t>
  </si>
  <si>
    <t>**RFI Response** The Senior Manager, Olympic Program Management, runs a Project Management Office (PMO) that handles Sunbelt Rentals' work for the 2028 Olympics. The position oversees two teams — one team that builds out project schedules from start to finish (including venue construction, manufacturing timelines, corporate deadlines, and post-Olympic Games teardown) and one that tracks delivery progress, talks to clients, and ensures that everyone holds up their end of the contract. The work covers more than 150 venues in addition to outside projects with groups including Team USA, government agencies, sports federations, and other suppliers. The delivery area includes the LA region, Oklahoma City, and all 50 states for the Torch Relay. The position is responsible for solving problems and keeping the team on track amid many moving parts. **Original** The Senior Manager, Olympic Program Management, is responsible for overseeing both the contractual and scheduling delivery aspects of Sunbelt Rentals’ Olympic commercial programs. This includes ensuring fulfillment of all contractual equipment and service obligations to LA28, its entities, third-party LA28-sponsored customers, and non-LA28 Olympic customers, as well as managing Sunbelt’s supplier partners engaged under Olympic delivery. The role also leads oversight and integration of Sunbelt’s Olympic delivery program schedule into LA28 master schedules, ensuring alignment with Games requirements and Sunbelt corporate objectives. This position is client-facing with LA28 leadership, IOC experts, and internal Sunbelt stakeholders, requiring strong contract management, program management, scheduling, and leadership expertise. Lead, manage, and integrate contract management and program scheduling functions for Olympic delivery projects. Oversee the lifecycle of Olympic-related contracts including negotiation support, implementation, compliance tracking, and closeout. Ensure Sunbelt’s contractual obligations for equipment and services are delivered to LA28, LA28-sponsored entities, and third-party Olympic customers. Oversee subcontractor and supplier partner performance to ensure adherence to contractual terms and Sunbelt standards. Lead a team responsible for schedule development, updates, integration, and reporting for Olympic-related projects. Maintain and oversee Sunbelt’s Olympic master plan, ensuring integration into LA28’s Venues &amp; Infrastructure and Energy schedules. Identify, assess, and escalate risks tied to contract fulfillment and schedule performance; develop mitigation strategies. Serve as primary point of contact with LA28 Venues &amp; Infrastructure, Energy teams, and IOC schedule experts. Coordinate integration of commercial project delivery with compliance, governance, and financial performance tracking. Develop and deliver reporting cadence to Sunbelt leadership, LA28, and IOC experts on contract performance, program status, risks, and schedule variances. Partner with Sunbelt divisions (Lines of Business, Marketing, Legal, Finance, et al.) to ensure project and corporate deliverables are aligned. Represent Sunbelt Rentals in external Olympic-related meetings and maintain a professional, client-facing presence. All duties must be performed according to Sunbelt’s safety policies and guidelines. Significant travel in support of the project will be required, including to worksites in Los Angeles, CA and Fort Mill, SC. Job Classification: 11-1021.00 - General and Operations Managers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120 Special Requirements: Requires experience with the following skills: Experience managing subcontractors and third-party suppliers in high-pressure, time-bound projects. Ability to operationalize contracts and schedules into executable delivery plans in complex, multi-stakeholder environments. Microsoft Project, Primavera P6, MS Office Suite (Excel, PowerPoint, Word), Analytical and reporting skills for contract, cost, and schedule performance tracking. Proven leadership and team management in fast-paced, deadline-driven environments. Organizational, analytical, and communication skills (written and verbal). Ability to collaborate effectively with operations, suppliers, customers, and external partners. Risk awareness and proactive problem-solving abilities with attention to detail. Professional demeanor with strong relationship-building skills across internal and external stakeholders. Must be able to bend, squat, crouch and/or reach and lift up to 25 pounds or more, as required by the job. Must pass drug screening and background check. Number of Hours Per Week: 40 Work Schedule (Start/End time): 8:00 A.M. - 4:30 P.M.</t>
  </si>
  <si>
    <t>H-400-26185-078539</t>
  </si>
  <si>
    <t>Olympic Contract Management, Manager</t>
  </si>
  <si>
    <t>Coordinate the end-to-end supply chain for Olympic and Paralympic commercial contracts serving LA28, its related entities, third-party LA28-sponsored customers, and other Olympic customers. Align Sunbelt's commercial commitments with operational delivery to ensure contracted equipment and services arrive on time and in compliance with applicable Statements of Work, Purchase Orders, Master Rental Agreements, Service Level Agreements, and safety requirements. Process Olympic-related orders and coordinate with field personnel, program teams, supplier partners, and internal stakeholders to execute the delivery, installation, testing, tracking, and closeout of equipment and services across Olympic and Paralympic venues. Support multiple lines of business including Power, HVAC, General Tool and Heavy Equipment, Scaffolding, Fencing, and Ground Protection and Trackway. Plan and coordinate inventory deployment, track OEM and supplier production schedules, and align manufacturing and delivery timelines with project milestones. Direct the flow of equipment and labor to the Sunbelt Olympic Depot for cross-docking, staging, and testing, and coordinate last-mile delivery to venues per the LA28 Venue Delivery Schedule. Verify that venue-level equipment is delivered, tested, documented, and accepted per contract requirements. Serve as a point of contact for Venue Managers on adds, moves, changes, and related field purchase orders. Monitor supplier and subcontractor performance to ensure compliance with contractual terms and service levels. Collaborate with program and scheduling teams to synchronize contract requirements with operational milestones. Identify and assess supply chain risks, escalate issues as needed, and develop mitigation strategies to reduce commercial and operational exposure. Coordinate with legal, procurement, and finance teams on contract interpretation, supplier issues, billing, cost validation, and dispute resolution. Maintain centralized records of commercial contracts, supplier agreements, purchase orders, change documentation, and performance data. Support cost validation, billing reconciliation, demand forecasting, and periodic reporting on contract performance, compliance, and delivery status for Sunbelt leadership and Olympic stakeholders. Significant travel in support of the project will be required, including to worksites in Los Angeles, California and Fort Mill, South Carolina. Job Classification: 11-3071.04 - Supply Chain Managers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48 Special Requirements: Requires experience with the following skills: Background in event delivery contract management, quantity surveying, or cost estimation. Experience managing subcontractors and thirdparty suppliers in high-pressure, time-bound projects. Proven ability to operationalize commercial contracts into executable project plans. Microsoft Office Suite (Word, Excel, PowerPoint). Project scheduling tools (Microsoft Project or Primavera P6). Analytical and reporting skills for contract and cost performance tracking. Commercial acumen with ability to oversee financial accountability of contracts. Execution-focused mindset to ensure delivery obligations are met on time and in scope. Strong stakeholder management and communication skills. Ability to work collaboratively with operations, suppliers, and customers. Risk awareness and proactive problem-solving capabilities. Must be able to bend, squat, crouch and/or reach and lift up to 25 pounds or more, as required by the job. Must pass drug screening and background check. Number of Hours Per Week: 40 Work Schedule (Start/End time): 8:00 A.M. - 4:30 P.M.</t>
  </si>
  <si>
    <t>H-400-26185-078559</t>
  </si>
  <si>
    <t>Tempus Builders, Inc.</t>
  </si>
  <si>
    <t>scott@tempusbuilders.com</t>
  </si>
  <si>
    <t>+13612192261</t>
  </si>
  <si>
    <t>Help carpenters by carrying tools, wood, making simple wood cuts, nailing simple lumber pieces, using power tools, cleaning up job site. Job Classification: 47-3012.00 - Helpers--Carpenters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Must be able to lift and carry 80 lbs, 20 yds. Proper and accurate use of tape measure required. Will be exposed to heights, temperature extremes, strenuous physical activity, and repetitive motions. Some weekend work. Will travel to worksites within the area of intended employment. Number of Hours Per Week: 40 Work Schedule (Start/End time): 7:00 A.M. - 6:00 P.M.</t>
  </si>
  <si>
    <t>H-400-26184-078503</t>
  </si>
  <si>
    <t>The Oaks Club Corporation</t>
  </si>
  <si>
    <t>hfarrell@theoaksclub.com</t>
  </si>
  <si>
    <t>+19419662161</t>
  </si>
  <si>
    <t>Take beverage order; prepares mixed drinks and serves the same; cleans bar area; may be required to take food orders and make knowledgeable recommendations regarding wines and other products; requisition and display liquor and supplies; must keep bar area clean and work under strictly enforced state code. *Continuation to Section F.a.5 below: 40 hours a week. Shifts will consist of 8 hour shifts that can vary as needed as advertised in State Workforce Agency job order, and in other H2B advertisement sources as per employers recruiting requirements for prospective workers under the H-2B program. Variable shifts over 7 days a week. Shifts may vary: 6am to 11pm. Job Classification: 35-3011.00 - Bartenders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EMPLOYER REQUIRES PRE-EMPLOYMENT BACKGROUND CLEARANCE AND PRE-EMPLOYMENT DRUG TESTING TO BE CARRIED OUT EQUALLY BETWEEN THE U.S. WORKERS AND THE H-2B WORKERS. ability TO COMMUNICATE IN ENGLISH. Number of Hours Per Week: 40 Work Schedule (Start/End time): 6:00 A.M. - 11:00 P.M.</t>
  </si>
  <si>
    <t>H-400-26184-078505</t>
  </si>
  <si>
    <t>Prepares, seasons and cooks soups, meats, vegetables, fruits, desserts and other miscellaneous food for consumption; Observes recipe guidelines and sanitation procedures. *Continuation to Section F.a.5 below: 40 hours a week. Shifts will consist of 8 hour shifts that can vary as needed as advertised in State Workforce Agency job order, and in other H2B advertisement sources as per employers recruiting requirements for prospective workers under the H-2B program. Variable shifts over 7 days a week. Shifts may vary: 6am to 11pm. Job Classification: 35-2014.00 - Cooks, Restaurant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EMPLOYER REQUIRES PRE-EMPLOYMENT BACKGROUND CLEARANCE AND PRE-EMPLOYMENT DRUG TESTING TO BE CARRIED OUT EQUALLY BETWEEN THE U.S. WORKERS AND THE H-2B WORKERS. ability TO COMMUNICATE IN ENGLISH. Number of Hours Per Week: 40 Work Schedule (Start/End time): 6:00 A.M. - 11:00 P.M.</t>
  </si>
  <si>
    <t>H-400-26184-078507</t>
  </si>
  <si>
    <t>Taking and serving food and beverage orders; Carrying out food and miscellaneous set up and clean up activities; May be required to perform duties in an outdoor environment and at banquet events; may be required to serve customers via golf cart. *Continuation to Section F.a.5 below: 40 hours a week. Shifts will consist of 8 hour shifts that can vary as needed as advertised in State Workforce Agency job order, and in other H2B advertisement sources as per employers recruiting requirements for prospective workers under the H-2B program. Variable shifts over 7 days a week. Shifts may vary: 6am to 11pm. Job Classification: 35-3031.00 - Waiters and Waitresses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EMPLOYER REQUIRES PRE-EMPLOYMENT BACKGROUND CLEARANCE AND PRE-EMPLOYMENT DRUG TESTING TO BE CARRIED OUT EQUALLY BETWEEN THE U.S. WORKERS AND THE H-2B WORKERS. ability TO COMMUNICATE IN ENGLISH. Number of Hours Per Week: 40 Work Schedule (Start/End time): 6:00 A.M. - 11:00 P.M.</t>
  </si>
  <si>
    <t>H-400-26184-078508</t>
  </si>
  <si>
    <t>Greets, escorts and provides menus to customers; assists with misc. cleaning/polishing etc. as necessary. *Continuation to Section F.a.5 below: 40 hours a week. Shifts will consist of 8 hour shifts that can vary as needed as advertised in State Workforce Agency job order, and in other H2B advertisement sources as per employers recruiting requirements for prospective workers under the H-2B program. Variable shifts over 7 days a week. Shifts may vary: 6am to 11pm. Job Classification: 35-9031.00 - Hosts and Hostesses, Restaurant, Lounge, and Coffee Shop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EMPLOYER REQUIRES PRE-EMPLOYMENT BACKGROUND CLEARANCE AND PRE-EMPLOYMENT DRUG TESTING TO BE CARRIED OUT EQUALLY BETWEEN THE U.S. WORKERS AND THE H-2B WORKERS. ability TO COMMUNICATE IN ENGLISH. Number of Hours Per Week: 40 Work Schedule (Start/End time): 6:00 A.M. - 11:00 P.M.</t>
  </si>
  <si>
    <t>H-400-26185-078558</t>
  </si>
  <si>
    <t>Thompson Landscape &amp; Design</t>
  </si>
  <si>
    <t>brianthompson.1960@yahoo.com</t>
  </si>
  <si>
    <t>Landscape Maintenance/install Laborer</t>
  </si>
  <si>
    <t>Workers perform a variety of duties in support of lawn and turf care management, to include caring for established lawns by mulching, aerating, weeding, grubbing, removing thatch, or trimming or edging around flower beds, walks, or walls. Workers may also landscape or maintain grounds of property using hand or power tools or equipment. Workers typically perform a variety of tasks, which may include any combination of the following: sod laying/removing, mowing, trimming, ball and burlap root balls for transplanting trees, planting, watering, fertilizing, digging, raking, sprinkler installation, and installation of mortarless segmental concrete masonry wall units/paths. Job Classification: 37-3011.00 - Landscaping and Groundskeeping Workers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Requires three months of previous landscape experience. Must lift/carry 50 lbs., when necessary. Saturday and Sunday work required, when necessary. Employer may offer more than the stated work hours depending on weather, business needs, and other conditions. Extreme heat, cold, rain, or drought may affect exact working hours. Number of Hours Per Week: 40 Work Schedule (Start/End time): 8:00 A.M. - 4:30 P.M.</t>
  </si>
  <si>
    <t>H-400-26185-078574</t>
  </si>
  <si>
    <t>Unique Landscapes By Griffin, Inc.</t>
  </si>
  <si>
    <t>pamela@uniquecompanies.com</t>
  </si>
  <si>
    <t>+14809691911</t>
  </si>
  <si>
    <t>Laborers will be needed for turf care, pruning, fertilization, irrigation system maintenance and repair, general clean up and installation or mortarless segmental concrete masonry wall units. Job Classification: 37-3011.00 - Landscaping and Groundskeeping Workers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Workdays may include wknd/hol. Number of Hours Per Week: 40 Work Schedule (Start/End time): 6:00 A.M. - 2:30 P.M.</t>
  </si>
  <si>
    <t>H-400-26185-078552</t>
  </si>
  <si>
    <t>VISION LANDSCAPE SERVICE OF FLORIDA INC</t>
  </si>
  <si>
    <t>MARIA@VISIONLANDSCAPESERVICES.COM</t>
  </si>
  <si>
    <t>+18885022113</t>
  </si>
  <si>
    <t>Landscaping Maintenance Crew Member</t>
  </si>
  <si>
    <t>Performs grounds maintenance functions (e.g., pulling weeds, raking leaves, sweeping sidewalks, and cleaning debris); clears ditches, digs holes, and performs handwork as necessary using a pick, shovel, or other hand tools (e.g., shovel, rake, broom, clippers); waters vegetation using a hose; cleans canals, drains, and tree wells; operates light landscape equipment (e.g., 21”, 36”, 52”, 60”, and 72” and riding mowers, leaf blower, string trimmer, stick edger, edger, pruning shears, hedge trimmer); maintains tools and equipment to ensure safety; reports any missing, damaged, malfunctioning equipment to Crew Leader; actively participates in safety meetings; role models PPE usage; wears full uniform including Company hat; plants vegetation as instructed; uses assigned tools and equipment safely; assists in keeping the job site safe for the public and company employees; actively contributes to achieving performance goals (e.g., job quality, safety, customer service); complies with all company policies and safety procedures; works effectively in a group; takes direction from the Foreman and follows instructions; communicates effectively with the Foreman and co-workers; maintains lawns and planter beds as directed by the Foreman; works efficiently to complete assigned tasks without supervision; immediately reports unsafe conditions or faulty equipment to the Foreman; demonstrates proper horticultural practices; demonstrates basic knowledge plant pests and appropriate pesticide to apply; demonstrates basic knowledge of how to complete irrigation repairs; capable of visually identifying at least 10 plants by name; performs various types of pruning (e.g., hard pruning, natural pruning, formal pruning); properly prepares soil and installs annual color, plants, and trees; properly installs tree stakes and ties; provides excellent service Job Classification: 37-3011.00 - Landscaping and Groundskeeping Workers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Ability to lift and carry up to 50 pounds. Prolonged standing, walking on slippery surfaces, and navigating large areas. Frequent bending, stooping, kneeling, pushing, and pulling heavy equipment. Climbing ladders, manual dexterity for handling tools, and operating machinery. Endurance for extended periods in various weather conditions. Number of Hours Per Week: 40 Work Schedule (Start/End time): 6:30 A.M. - 5:00 P.M.</t>
  </si>
  <si>
    <t>H-400-26184-078510</t>
  </si>
  <si>
    <t>Windsor Club</t>
  </si>
  <si>
    <t>jane.ford@windsorflorida.com</t>
  </si>
  <si>
    <t>+17723888388</t>
  </si>
  <si>
    <t>Prepares, seasons and cooks soups, meats, vegetables, fruits, desserts and other miscellaneous food for consumption; observes recipe guidelines and sanitation procedures. *Continuation to Section F.a.5 below: 40 hours a week. Shifts will consist of 8 hour shifts that can vary as needed as advertised in State Workforce Agency job order, and in other H2B advertisement sources as per employers recruiting requirements for prospective workers under the H-2B program. Variable shifts over 7 days a week. Shifts may vary: 6am to 11pm. Job Classification: 35-2014.00 - Cooks, Restaurant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EMPLOYER REQUIRES PRE-EMPLOYMENT POLICE CLEARANCE AND POST-EMPLOYMENT DRUG TESTING TO BE CARRIED OUT EQUALLY BETWEEN THE U.S. WORKERS AND THE H-2B WORKERS. ability TO COMMUNICATE IN ENGLISH Number of Hours Per Week: 40 Work Schedule (Start/End time): 6:00 A.M. - 11:00 P.M.</t>
  </si>
  <si>
    <t>H-400-26184-078511</t>
  </si>
  <si>
    <t>Take beverage order. Prepare mixed drinks and serve the same. Cleans bar area. May be required to take food orders and make knowledgeable recommendations regarding wines and other products. Requisition and display liquor and supplies. Must keep bar area clean and work under strictly enforced state code. *Continuation to Section F.a.5 below: 40 hours a week. Shifts will consist of 8 hour shifts that can vary as needed as advertised in State Workforce Agency job order, and in other H2B advertisement sources as per employers recruiting requirements for prospective workers under the H-2B program. Variable shifts over 7 days a week. Shifts may vary: 6am to 11pm. Job Classification: 35-3011.00 - Bartenders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EMPLOYER REQUIRES PRE-EMPLOYMENT POLICE CLEARANCE AND POST-EMPLOYMENT DRUG TESTING TO BE CARRIED OUT EQUALLY BETWEEN THE U.S. WORKERS AND THE H-2B WORKERS. ability TO COMMUNICATE IN ENGLISH. Number of Hours Per Week: 40 Work Schedule (Start/End time): 6:00 A.M. - 11:00 P.M.</t>
  </si>
  <si>
    <t>H-400-26184-078513</t>
  </si>
  <si>
    <t>Taking and serving food and beverage orders; Carrying out food and miscellaneous set up and clean up activities; May be required to perform duties in an outdoor environment and at banquet events; may be required to serve customers via golf cart. *Continuation to Section F.a.5 below: 40 hours a week. Shifts will consist of 8 hour shifts that can vary as needed as advertised in State Workforce Agency job order, and in other H2B advertisement sources as per employers recruiting requirements for prospective workers under the H-2B program. Variable shifts over 7 days a week. Shifts may vary: 6am to 11pm. Job Classification: 35-3031.00 - Waiters and Waitresses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EMPLOYER REQUIRES PRE-EMPLOYMENT POLICE CLEARANCE AND POST-EMPLOYMENT DRUG TESTING TO BE CARRIED OUT EQUALLY BETWEEN THE U.S. WORKERS AND THE H-2B WORKERS. ability TO COMMUNICATE IN ENGLISH. Number of Hours Per Week: 40 Work Schedule (Start/End time): 6:00 A.M. - 11:00 P.M.</t>
  </si>
  <si>
    <t>H-400-26184-078515</t>
  </si>
  <si>
    <t>Taking and serving food and beverage orders; carrying out food and misc. setup and cleanup activities; may be required to perform duties in an outdoor environment and at banquet events; may be required to serve customers via golf cart; oversee serving staff during set up; train new servers on the floor; build/maintain rapport with the club members; required to set an exemplary example and to ensure the highest level of service is provided by the club's serving staff. *Continuation to Section F.a.5 below: 40 hours a week. Shifts will consist of 8 hour shifts that can vary as needed as advertised in State Workforce Agency job order, and in other H2B advertisement sources as per employers recruiting requirements for prospective workers under the H-2B program. Variable shifts over 7 days a week. Shifts may vary: 6am to 11pm. Job Classification: 35-1012.00 - First-Line Supervisors of Food Preparation and Serving Workers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6 Special Requirements: EMPLOYER REQUIRES PRE-EMPLOYMENT POLICE CLEARANCE AND POST-EMPLOYMENT DRUG TESTING TO BE CARRIED OUT EQUALLY BETWEEN THE U.S. WORKERS AND THE H-2B WORKERS. ability TO COMMUNICATE IN ENGLISH. THE 6 MONTHS EXPERIENCE REQUIRED IN BOX F.A.9, CONTEMPLATES 6 MONTHS EXPERIENCE AS A SERVER OR SENIOR SERVER IN A HOSPITALITY SETTING. Number of Hours Per Week: 40 Work Schedule (Start/End time): 6:00 A.M. - 11:00 P.M.</t>
  </si>
  <si>
    <t>H-400-26185-078608</t>
  </si>
  <si>
    <t>A3 CHOW LLC</t>
  </si>
  <si>
    <t>chowstaffing17@yahoo.com</t>
  </si>
  <si>
    <t>+13052153641</t>
  </si>
  <si>
    <t>Wash dishes, glassware, flatware, pots, or pans, using dishwashers or by hand. Place clean dishes, utensils, or cooking equipment in storage areas. Sort and remove trash, placing it in designated pickup areas. Sweep or scrub floors and maintain kitchen work areas, equipment, or utensils in clean and orderly condition. Job Classification: 35-9021.00 - Dishwashers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Number of Hours Per Week: 40 Work Schedule (Start/End time): 3:00 P.M. - 11:00 P.M.</t>
  </si>
  <si>
    <t>H-400-26185-078614</t>
  </si>
  <si>
    <t>AMITE OYSTERS L.L.C.</t>
  </si>
  <si>
    <t>Connie Chavez</t>
  </si>
  <si>
    <t>frankieb@amiteoysters.com</t>
  </si>
  <si>
    <t>+19854152028</t>
  </si>
  <si>
    <t>Warehouse Floor Workers</t>
  </si>
  <si>
    <t>Oyster shucking warehouse floor worker will prepare shell-stock for shucking by culling, washing, sorting using a tumbler, and open the oysters to remove the oyster from the shell, clean, weigh, pack, label, palletize, and store. Shuckers will maintain a clean work area by re-sacking and discarding empty shells. Job Classification: 51-3022.00 - Meat, Poultry, and Fish Cutters and Trimmers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Ability to lift fifty pounds or more because the oyster sacks weigh fifty pounds or slightly more Number of Hours Per Week: 36 Work Schedule (Start/End time): 6:00 A.M. - 2:00 P.M.</t>
  </si>
  <si>
    <t>H-400-26185-078613</t>
  </si>
  <si>
    <t>Blake Hershberger Enterprises, LLC</t>
  </si>
  <si>
    <t>mwtruber.bhe@gmail.com</t>
  </si>
  <si>
    <t>+13196562454</t>
  </si>
  <si>
    <t>Worker will perform tasks involving physical labor at construction sites by using hand and power tools such as air hammers, earth tampers, cement mixers, and shovels to prepare sites for placing of concrete by loading and unloading materials, digging, and leveling the earth. Workers will place reinforcing materials for concrete, and lift, carry, and set concrete forms. Worker will clean up waste materials and maintain organized worksites. During winter months and cold-weather conditions common in Kalona, IA, the worker may also be required to remove snow and ice from job sites, equipment, and access areas to maintain safe working conditions; assist with ground thawing, site preparation, and protection of work areas for concrete placement; set up and maintain temporary enclosures, heaters, or insulation to support cold-weather concrete work; handle and store materials to prevent freezing or weather-related damage; assist with equipment maintenance and winterization; and perform site cleanup, preparation, and other weather-dependent construction tasks as directed. Work may include assisting with concrete placement and finishing activities in cold-weather conditions when feasible and under proper supervision. The worker will perform other related duties as assigned. Job Classification: 47-2061.00 - Construction Laborers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Must be able to lift and carry 75 lbs. for a distance of 75 yards. The Employer reserves the right to perform pre-employment drug testing and background checks as well as random post-employment drug testing. Number of Hours Per Week: 45 Work Schedule (Start/End time): 6:00 A.M. - 5:00 P.M.</t>
  </si>
  <si>
    <t>H-400-26185-078602</t>
  </si>
  <si>
    <t>COASTAL EMPLOYMENT AGENCY INC.</t>
  </si>
  <si>
    <t>dona@prestigeoysters.com</t>
  </si>
  <si>
    <t>+12813392111</t>
  </si>
  <si>
    <t>Warehouse Floor Worker</t>
  </si>
  <si>
    <t>Oyster shucking warehouse floor worker will prepare shell-stock for shucking by culling, washing, sorting using a tumbler, and open the oysters to remove the oyster from the shell, clean, weigh, pack, label, palletize, and store. Shuckers will maintain a clean work area by re-sacking and discarding empty shells. Job Classification: 51-3022.00 - Meat, Poultry, and Fish Cutters and Trimmers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Ability to lift 50 + pounds because the oysters come in sacks weighing up to 50 pounds or slightly more Number of Hours Per Week: 35 Work Schedule (Start/End time): 6:00 A.M. - 2:00 P.M.</t>
  </si>
  <si>
    <t>H-400-26185-078609</t>
  </si>
  <si>
    <t>Oyster shucking warehouse floor worker will prepare shell-stock for shucking by culling, washing, sorting using a tumbler, and open the oysters to remove the oyster from the shell, clean, weigh, pack, label, palletize, and store. Shuckers will maintain a clean work area by re-sacking and discarding empty shells. Job Classification: 51-3022.00 - Meat, Poultry, and Fish Cutters and Trimmers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Ability to lift 50+ pounds because the sacks of oysters weigh fifty pounds or slightly more Number of Hours Per Week: 35 Work Schedule (Start/End time): 6:00 A.M. - 2:00 P.M.</t>
  </si>
  <si>
    <t>H-400-26185-078611</t>
  </si>
  <si>
    <t>Deckhands will board boats daily and sail to the coastal bays in order to engage in fishing activities. They will gather the oysters from said rivers, bayous, and bays for human consumption. Workers will cull, return undesirable catch back to the water, clean, sack, tag, unload and store catch. Cleaning work area at the end of the work is also necessary. Job Classification: 45-3031.00 - Fishing and Hunting Workers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1 Special Requirements: Ability to lift 50 pounds or more because the oyster sacks weight fifty pounds or slightly more Number of Hours Per Week: 35 Work Schedule (Start/End time): 6:00 A.M. - 2:00 P.M.</t>
  </si>
  <si>
    <t>H-400-26185-078601</t>
  </si>
  <si>
    <t>CONIEFFE HOSPITALITY LLC</t>
  </si>
  <si>
    <t>coniefffejob@gmail.com</t>
  </si>
  <si>
    <t>+18509800222</t>
  </si>
  <si>
    <t>Restaurant Busser</t>
  </si>
  <si>
    <t>A Busser, is in charge of setting and clearing tables at a dining establishment to provide a clean and tidy environment for restaurant patrons. Their duties include removing used dishes, re-setting silverware and filling beverages for diners. Job Classification: 35-9011.00 - Dining Room and Cafeteria Attendants and Bartender Helpers The job/industry classification and description includes general information on the position from ONET/OES and the North American Industry Classification System. Please review Job Duties and Job Order for more information. Job Requirements Experience Required: No Number of Hours Per Week: 36 Work Schedule (Start/End time): 8:30 A.M. - 5:00 P.M.</t>
  </si>
  <si>
    <t>H-400-26185-078593</t>
  </si>
  <si>
    <t>***RFI response*** Harvests natural greens and foliage from forested areas using manual cutting techniques, then sorts and bunches collected material into marketable arrangements meeting company quality and size standards. May assist with garland making and packing of floral greenery products. Workers may use hand-clippers. Workers will perform this job in forested areas, or other outdoor areas with foliage and natural greenery. ***Original*** Collect natural greens and foliage for floral designs then arrange into marketable bunches. This is a repetitive skill. This work requires great manual dexterity. Workers must be able to lift up to 40 lbs various times in an eight-hour shift, and for the duration of the shift. Workers may assist with garland making and packing floral greenery products. Workers must have three months of experience working in forested areas. Job Classification: 45-4011.00 - Forest and Conservation Workers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3 months experience required in working in forested areas. Number of Hours Per Week: 40 Work Schedule (Start/End time): 7:00 A.M. - 4:00 P.M.</t>
  </si>
  <si>
    <t>H-400-26185-078598</t>
  </si>
  <si>
    <t>Bough Cutter</t>
  </si>
  <si>
    <t>Worker will cut Noble branches to appropriate size for wreath making from trees growing in forested areas. Branches will be evaluated to ensure they are suitable for wreath making. Care will be taken to not damage cut branches. Worker will use rubber bands, hand pruners, pole cutters and twine. The worker will take these bunches to a receiving location, a semi-truck near the worksite. They will need to be able to perform these duties while wearing rain gear. Job Classification: 45-4011.00 - Forest and Conservation Workers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1 Special Requirements: worker must possess one month experience working in forested areas. Number of Hours Per Week: 40 Work Schedule (Start/End time): 7:00 A.M. - 4:00 P.M.</t>
  </si>
  <si>
    <t>H-400-26185-078607</t>
  </si>
  <si>
    <t>Continental Floral NC, LLC</t>
  </si>
  <si>
    <t>Decorative Greens Cutter</t>
  </si>
  <si>
    <t>Cut various conifer and noble branches and other greenery to size for wreath, garland and centerpiece making. This is a repetitive skill. Workers must use wire to attach greenery. Trim material using trimmers, shapers, wire, pins, floral tape, foam, and other materials. Job Classification: 27-1023.00 - Floral Designers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1 Special Requirements: Workers must possess at least one month experience with floral design or wreathmaking. Workers must be able to lift up to 40 lb boxes up to 30 times in an eight-hour shift, and for the duration of the shift. Number of Hours Per Week: 40 Work Schedule (Start/End time): 7:00 A.M. - 4:00 P.M.</t>
  </si>
  <si>
    <t>H-400-26185-078618</t>
  </si>
  <si>
    <t>FSC FISH COMPANY LLC</t>
  </si>
  <si>
    <t>joe@fscfish.com</t>
  </si>
  <si>
    <t>+12515217001</t>
  </si>
  <si>
    <t>Oyster Shucker/warehouse Floor Worker</t>
  </si>
  <si>
    <t>Oyster shucking warehouse floor worker/oyster shuckers will prepare shell-stock for shucking by washing, sorting using a tumbler, and open the oysters to remove the oyster from the shell, clean, weigh, pack, label, and store. Shuckers will move oyster sacks from coolers and place them on tables, then shuck oysters by removing the meat using an oysters shucking knife, then wash the meat, weigh, label, and store. Shuckers will maintain a clean work area by re-sacking and discarding empty shells. Job Classification: 51-3022.00 - Meat, Poultry, and Fish Cutters and Trimmers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1 Special Requirements: Ability to lift fifty pounds or more because the oyster sacks weigh fifty pounds or slightly more Number of Hours Per Week: 35 Work Schedule (Start/End time): 6:00 A.M. - 2:00 P.M.</t>
  </si>
  <si>
    <t>H-400-26185-078575</t>
  </si>
  <si>
    <t>Perform variety of duties to maintain cleanliness of guest accommodations and to ensure guest comfort and satisfaction. Clean and maintain guest rooms, common areas, event spaces, and bathrooms, including dusting and wiping down furniture. Sweep, lightly mop, and vacuum floors. Scrub and disinfect bathrooms. Help gather linens to wash, arrange furniture, hang drapes, and roll carpets—trash removal. Replenish supplies, linens, and towels. May be asked to assist with setting up and breaking down tables and chairs in event spaces. If required, setting up and breaking down of tables and chairs will be done by hand, including folding or unfolding legs, stacking or unstacking by hand, physically repositioning tables and/or chairs by hand to set up for or cleanup after special events. Also, chairs and/or other furniture may need to be slightly moved or temporarily stacked in to clean under and around such furniture. The tasks of setting up and breaking down tables will not require the use of tools or equipment. Job Classification: 37-2011.00 - Janitors and Cleaners, Except Maids and Housekeeping Cleaners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No minimum education required. No prior experience required. Must be able to lift and carry at least 25 lbs. Must be able to stand and walk for extended periods of time without sitting. Must be available to work split-shifts, nights, weekends &amp; holidays as needed. Minimum 35 hrs/week. Shifts and shift hours vary between 8:00 AM and 5:00 PM, 5 days per week. Number of Hours Per Week: 45 Work Schedule (Start/End time): 8:00 A.M. - 5:00 P.M.</t>
  </si>
  <si>
    <t>H-400-26185-078631</t>
  </si>
  <si>
    <t>Guardian Environmental Services Company Inc.</t>
  </si>
  <si>
    <t>Daniel Anna</t>
  </si>
  <si>
    <t>jcunane@gesoncall.com</t>
  </si>
  <si>
    <t>+13024591428</t>
  </si>
  <si>
    <t>Our snow removal laborers will clear snow and ice accumulations from designated areas at customer sites using shovels, snow blowers, and salt spreaders to apply bagged de-icers. They will pile or push snow to designated or approved locations. They should document and report any obstacles at sites. They will use various sized snow shovels, walk behind salt spreaders, and walk behind snow throwers such as the ToroGrandstand Multi Force 60 Mower and Plow (the ToroGrandstand is a snow thrower that operates a variety of sizes of snow thrower or plow up to a 60 inch plow). They will not operate anything larger than the Toro Grandstand, they will not operate a truck or other vehicle with a plow. Job Classification: 37-2011.00 - Janitors and Cleaners, Except Maids and Housekeeping Cleaners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Must be able to lift and carry 50 pounds. Number of Hours Per Week: 50 Work Schedule (Start/End time): 7:00 A.M. - 3:30 P.M.</t>
  </si>
  <si>
    <t>H-400-26185-078610</t>
  </si>
  <si>
    <t>John and Charlie, Inc. d/b/d The Matterhorn</t>
  </si>
  <si>
    <t>horn@stowevt.net</t>
  </si>
  <si>
    <t>+18022538198</t>
  </si>
  <si>
    <t>The Matterhorn, located in Stowe, VT, seeks full-time, temporary line cooks with the description and requirements as below. Line Cooks are responsible for the preparation, seasoning, and cooking of a variety of menu items, including but not limited to pizzas, sushi, sandwiches, burgers, soups, meats, vegetables, and desserts. Duties include setting up workstations, preparing ingredients, and ensuring cleanliness before, during, and after service, including washing dishes and utensils used in food preparation. Line Cooks will create daily specials, assist with ordering inventory, manage order placement and receipt, and perform trash removal duties. They will also serve as an expediter between the kitchen and the front of house, communicating information regarding dish ingredients, availability, and preparation times to service staff. Line Cooks must maintain a professional, steady presence during high-volume periods. They must report to the owner, chef, and manager as needed and follow all kitchen protocols. Job Classification: 35-2014.00 - Cooks, Restaurant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1. Complete pre-employment background check. 2. Be able to provide at least one reference for prior work experience. 3. Be able to communicate in English. The anticipated start date is ----- with an end date of -----. The geographic area of intended employment is Stowe, Vermont. On-the-job training is provided. The employer will make all deductions from the worker's paycheck required by law. If the worker completes 50% of the work contract period, employer will pay directly for and/or reimburse workers for transportation and subsistence from the place of recruitment to the place of work. Upon completion of the work contract or where the worker is dismissed earlier, employer will provide or pay for worker's reasonable costs of return transportation and subsistence back home or to the place the worker originally departed to work, except where the worker will not return due to subsequent employment with another employer. The employer will pay directly for and/or reimburse workers for all reasonable inbound transportation and subsistence costs within the first workweek. The employer will pay directly for and/or reimburse workers for all reasonable outbound transportation and subsistence costs during the last workweek. The amount of transportation payment or reimbursement will be equal to the most economical and reasonable common carrier for the distances involved. Daily subsistence will be provided at a rate of $16.78 per day during travel to a maximum of $68.00 per day with receipts. The employer guarantees to offer work for hours equal to at least three fourths of the workdays in each 12-week period of the total employment period. The employer will reimburse the worker in the first workweek for all visa, visa processing, border crossing and other related fees, including those mandated by the government, incurred by the worker. The employer will also provide to the H-2B workers, without charge or deposit charge, all tools, supplies, and equipment required to perform the duties assigned. Number of Hours Per Week: 39 Work Schedule (Start/End time): 4:00 P.M. - 1:00 A.M.</t>
  </si>
  <si>
    <t>H-400-26185-078645</t>
  </si>
  <si>
    <t>Kildeer Advisors, Inc.</t>
  </si>
  <si>
    <t>eva@shopandsavemarket.com</t>
  </si>
  <si>
    <t>+18475080304</t>
  </si>
  <si>
    <t>Food Store Clerk</t>
  </si>
  <si>
    <t>Unload goods in the store. Customer service. Keep track of goods sold. Maintain clean environment. Maintain food displayed, stocking shelves with products for customers to buy. Job Classification: 53-7065.00 - Stockers and Order Fillers The job/industry classification and description includes general information on the position from ONET/OES and the North American Industry Classification System. Please review Job Duties and Job Order for more information. Job Requirements Experience Required: No Number of Hours Per Week: 40 Work Schedule (Start/End time): 10:00 A.M. - 6:00 P.M.</t>
  </si>
  <si>
    <t>H-400-26185-078576</t>
  </si>
  <si>
    <t>Land-Tech Landscape Construction LLC</t>
  </si>
  <si>
    <t>amber@landtechservices.com</t>
  </si>
  <si>
    <t>+16238159216</t>
  </si>
  <si>
    <t>H-400-26185-078579</t>
  </si>
  <si>
    <t>H-400-26185-078612</t>
  </si>
  <si>
    <t>Nelvamar Corporation</t>
  </si>
  <si>
    <t>31/10/2028</t>
  </si>
  <si>
    <t>proposals@nelvamar.com</t>
  </si>
  <si>
    <t>+12816126412</t>
  </si>
  <si>
    <t>H-400-26185-078632</t>
  </si>
  <si>
    <t>Weld metal pipe and plate components in flat, vertical, or overhead positions for industrial structural and pipe applications as defined by project specifications, drawings, and welding procedures. Properly set up, utilize, troubleshoot, and operate welding equipment, experience with FCAW (flux core arc welding), RMD (regulated metal deposition), GTAW (Gas Tungsten Arc Welding), and SMAW (Shielded Metal Arc Welding) processes. Lay out, fit, position, align, and secure parts and components prior to assembly, using straightedges, combination squares, calipers, flange lip up pins, wrap arounds, center finders, and rulers. Clamp, hold, tack-weld, heat-bend, grind, or bolt component parts to properly fit plate and pipe to obtain required configuration and positions for welding. Must weld with minimal defects as defined in ASME B31.3. Adhere and comply with all company and OSHA safety rules and guidelines. Read and interpret blueprints, drawings, and specifications to determine the appropriate welding process and materials. The employer will offer a minimum of 40 hours of work per week. Worker will work one of two shifts: 7:00am-3:30pm or 3:30pm to 12:00am on varying days of the week from Monday through Sunday based on client need. Shifts include 30 minutes unpaid break time. Workdays, hours, and shift time may vary depending on weather. Employer may increase wage or offer bonus based on experience, performance, tenure, and/or market conditions. If applicable an overtime premium will be paid when required by Federal, State, or local law, including at time-and-a-half after 40 hours per workweek. Overtime hours may be available at $39.83 per hour. Job Classification: 51-4121.00 - Welders, Cutters, Solderers, and Brazers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12 Special Requirements: Pre-employment drug test required, cost paid by employer and applied equally to all workers. Pre-employment medical physical required, cost paid by employer and applied equally to all workers. Must pass a written and functional test administrated at the project worksite in Texas at employer's expense. Must be able to lift and/or move a minimum of 50 lbs. Must be willing and able to climb and work in high places that may exceed 200 feet in height, and in confined spaces. Applicant must complete an employment application. Number of Hours Per Week: 40 Work Schedule (Start/End time): 7:00 A.M. - 3:30 P.M.</t>
  </si>
  <si>
    <t>H-400-26185-078617</t>
  </si>
  <si>
    <t>Ortega's Lawn and Landscaping, LLC</t>
  </si>
  <si>
    <t>jorge@ortegaslawn.com</t>
  </si>
  <si>
    <t>+12547446748</t>
  </si>
  <si>
    <t>Responsible for routine landscaping and groundskeeping duties, including weed-eating, mowing, trimming, edging, and litter pickup. Operates standard landscaping equipment such as lawnmowers, leaf blowers, grass trimmers, and pruning shears. Duties may include planting, watering, fertilizing, sod laying, digging, raking, yard clean- up, mulch installation or replacement, and leaf removal.All duties are limited to softscape landscaping and grounds maintenance only. This position does not perform or assist with fence installation or maintenance, patio installation, wall unit installation, retaining walls, masonry, stonework, paver installation, or any other construction or hardscape-related activities. Work is performed outdoors under supervision using standard landscaping hand tools such as shovels, rakes, wheelbarrows, and hand pruners. Job Classification: 37-3011.00 - Landscaping and Groundskeeping Workers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1 Special Requirements: Ability to carry and operate landscaping equipment for extended periods, stand for long periods of time, lift and carry up to 50 pounds, withstand outdoor working conditions including heat, and handle common landscaping materials. One (1) month of related landscaping experience required. Number of Hours Per Week: 40 Work Schedule (Start/End time): 7:00 A.M. - 6:00 P.M.</t>
  </si>
  <si>
    <t>H-400-26186-079061</t>
  </si>
  <si>
    <t>Suburban Seasonal Services, Inc.</t>
  </si>
  <si>
    <t>suburbanscape@sbcglobal.net</t>
  </si>
  <si>
    <t>+15867268873</t>
  </si>
  <si>
    <t>Shovel accumulated deposits of snow on an ongoing basis in extreme weather conditions on various commercial properties. Lifting required up to 50 lbs. Job Classification: 37-2011.00 - Janitors and Cleaners, Except Maids and Housekeeping Cleaners The job/industry classification and description includes general information on the position from ONET/OES and the North American Industry Classification System. Please review Job Duties and Job Order for more information. Job Requirements Experience Required: No Number of Hours Per Week: 40 Work Schedule (Start/End time): 7:00 A.M. - 6:00 P.M.</t>
  </si>
  <si>
    <t>H-400-26184-077687</t>
  </si>
  <si>
    <t>TLT Holiday Lights</t>
  </si>
  <si>
    <t>info@texaslawn.tech</t>
  </si>
  <si>
    <t>+14694448808</t>
  </si>
  <si>
    <t>Unpack, inspect and test lights and decorations, replace bulbs if needed. Hang lights on exterior landscape and buildings. Maintain/service lights and décor that break or go out. Remove lights and décor, inspect and pack for storage. Leaf clean up and maintenance of property appearance as needed prior to installation using mowers, edgers, weed eaters, rakes, leaf blowers and hand tools. Involves loading and unloading tools and supplies and equipment weighing up to 50 lbs. Involves working outdoors in all types of weather. Involves extensive standing, sitting or walking. Involves frequent stooping or bending. Involves repetitive movements. Possibility of performance based raise, bonuses, overtime and Saturdays as required. Transportation provided to multiple worksites from central location in Wylie, TX. Daily hours may vary between start and end times listed depending on weather or job assignments. Job Classification: 37-3011.00 - Landscaping and Groundskeeping Workers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None. Number of Hours Per Week: 40 Work Schedule (Start/End time): 7:00 A.M. - 7:00 P.M.</t>
  </si>
  <si>
    <t>H-400-26185-078582</t>
  </si>
  <si>
    <t>RAMIREZ ACOUSTIC LLC</t>
  </si>
  <si>
    <t>Maria Valero</t>
  </si>
  <si>
    <t>JUVERASTAXSERVICELLC@OUTLOOK.COM</t>
  </si>
  <si>
    <t>+14055349828</t>
  </si>
  <si>
    <t>Acoustic Ceiling Installer</t>
  </si>
  <si>
    <t>Ceiling Installer is responsible for installing and repairing suspended or acoustic ceilings in both residential and commercial buildings; measuring and cutting tiles and panels, securing them in place and ensuring a smooth finish. The installer may also be required to patch and repair existing ceilings. Must be able to lift 50Lbs. Job Classification: 47-2081.00 - Drywall and Ceiling Tile Installers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Must be able to lift 50 Lbs. Bend, stand and walk for long periods of time. Saturday Work when required. Number of Hours Per Week: 40 Work Schedule (Start/End time): 7:00 A.M. - 5:00 P.M.</t>
  </si>
  <si>
    <t>H-400-26185-078640</t>
  </si>
  <si>
    <t>RAPID WAVE LLC</t>
  </si>
  <si>
    <t>rapidwave11@gmail.com</t>
  </si>
  <si>
    <t>+17068882000</t>
  </si>
  <si>
    <t>Set up and stock food items and other necessary supplies Prepare food items by cutting, chopping, mixing, and preparing sauces Cook food items by grilling, frying, sautéing, and other cooking methods to specified recipes and standards Maintain cleanliness and complies with food sanitation requirements by properly handling food and ensuring correct storage Check quality of ingredients and food items Monitor stock and place orders when there are shortages Ensure food preparation and storage areas meet health and safety standards Clean kitchen area and cooking utensils Assist in maintaining kitchen equipment regularly Job Classification: 35-2014.00 - Cooks, Restaurant The job/industry classification and description includes general information on the position from ONET/OES and the North American Industry Classification System. Please review Job Duties and Job Order for more information. Job Requirements Experience Required: No Number of Hours Per Week: 36 Work Schedule (Start/End time): 8:30 A.M. - 5:00 P.M.</t>
  </si>
  <si>
    <t>H-400-26185-078584</t>
  </si>
  <si>
    <t>Rancho de los Caballeros Ranch and Golf Club, LLC</t>
  </si>
  <si>
    <t>Jaime  Thurgood</t>
  </si>
  <si>
    <t>opportunities@ranchodeloscaballeros.com</t>
  </si>
  <si>
    <t>+19286842631</t>
  </si>
  <si>
    <t>Prepare, season, and cook dishes such as soups, meats, vegetables, or desserts in restaurants. May order supplies, keep records and accounts, price items on menu, or plan menu. Job Classification: 35-2014.00 - Cooks, Restaurant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Drug testing. Drug-testing requirement is applied "pre-hire." All drug testing will be carried out equally between the U.S. workers and the H-2B workers. Day Shift, Evening Shift, Rotating Shift. 40 hours/week (6am-2pm. 4pm-10pm); multiple shifts; Mon-Fri, may include wknd/hol. Ability to lift 20lbs. Number of Hours Per Week: 40 Work Schedule (Start/End time): 6:00 A.M. - 2:00 P.M.</t>
  </si>
  <si>
    <t>H-400-26185-078583</t>
  </si>
  <si>
    <t>Waiter/waitresses</t>
  </si>
  <si>
    <t>Take orders and serve food and beverages to patrons at tables in fine dining establishment. Job Classification: 35-3031.00 - Waiters and Waitresses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Drug testing. Drug-testing requirement is applied "pre-hire." All drug testing will be carried out equally between the U.S. workers and the H-2B workers. Day Shift, Evening Shift, Rotating Shift. 40 hours/week (6am-2pm. 4pm-10pm); multiple shifts; Mon-Fri, may include wknd/hol. Ability to lift 20lbs. Number of Hours Per Week: 40 Work Schedule (Start/End time): 6:00 A.M. - 2:00 P.M.</t>
  </si>
  <si>
    <t>H-400-26185-078585</t>
  </si>
  <si>
    <t>These laborers will be needed to clean guest rooms on a daily basis. Including cleaning toilets, bathtubs, floors, walls, mirrors, furniture. Change sheets daily; make 30-36 beds daily. This is a physically demanding position. The person will have a positive attitude, is trustworthy and is able to work independently. Job Classification: 37-2012.00 - Maids and Housekeeping Cleaners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Drug testing. Drug-testing requirement is applied "pre-hire." All drug testing will be carried out equally between the U.S. workers and the H-2B workers. Day Shift, Evening Shift, Rotating Shift. 40 hours/week (6am-2pm. 4pm-10pm); multiple shifts; Mon-Fri, may include wknd/hol. Ability to lift 20lbs. Number of Hours Per Week: 40 Work Schedule (Start/End time): 6:00 A.M. - 2:00 P.M.</t>
  </si>
  <si>
    <t>H-400-26185-078587</t>
  </si>
  <si>
    <t>SOUTHEAST TRUSS ERECTORS</t>
  </si>
  <si>
    <t>southeasterectors@gmail.com</t>
  </si>
  <si>
    <t>+12057905168</t>
  </si>
  <si>
    <t>***RFI response*** Work is performed at commercial and residential construction sites within the Birmingham, AL metropolitan area. Southeast Truss Erectors is a construction company since 2015 with more than 10 years of experience specializing in the manufacturing and installation of light gauge metal and wood trusses, roof decking, wall panels, plywood, and steel floor systems for commercial projects. Therefore, the facilities or establishments where the work described is done is at our clients’ site. Assemblers operate power machines to fabricate and assemble roof trusses and similar structural supports used in building construction. Specific tasks include: positioning precut metal or wood components on the assembly jig; placing metal connector plates over joints; operating power tools to fasten and join components; verifying dimensions using rulers and gauges; and inspecting finished trusses for accuracy. Tools used include standing seam roofing tools, edge rollers, screw guns, hammers, pliers, wire cutters, planishing hammers, angle grinders, turbo shears, torque controllers and tensor tools. Roof trusses are made from light gauge steel metal and wood. Machines operated include standing seam roofing tools and edge rollers used specifically for bending, forming, and joining metal roofing panels and truss components. These machines do not involve sawing. Cutting tasks are performed using hand tools just shaving off fractions of an inch for a flush fit when installing sheathing, or structural blocking such as turbo shears rather than saw machines. Assemblers produce or assist in producing truss components by measuring and verifying precut parts, fitting pieces together according to assembly instructions, and securing metal connector plates at joints using hand and power tools. Tools used include hand seamers, nutsetters, hammers, planishing hammers, pliers, wire cutters, torque controllers, and screw guns. Components produced include light gauge metal and wood truss assemblies, roof panels, and structural supports used in commercial and residential building construction. Assemblers move finished truss assemblies and materials by hand or using carts to the appropriate work area or storage location at the end of the workday to keep the area clean and free of hazardous pieces. Tasks include pulling metal connector plates, stacking finished trusses, banding and marking materials, and pushing loaded carts into position. Tools and equipment used include hand carts, banding tools, and marking supplies. Workers assist in positioning heavier truss assemblies using jib cranes. Workers do not independently operate cranes but assist in guiding and positioning loads under supervisor direction. ***Original*** The truss assembler will assemble precut materials, verify the size of each precut part, accuracy of assembly, using ruler and gauges, fitting parts together, place metal reinforcement plates over connecting joints and connect parts at joints, may produce or help produce components according to instructions. The assembler utilizes a variety of hand tools and power tools for cutting, bending, fastening, and joining metal roofing panels. Common hand tools include hand seamers, tin snips, turbo shears, nutsetters, screw guns, tensor tools, hammers, torque controllers, pliers, wire cutter, planishing hammer, angle grinder, shears. Power machines to build truss and similar supports used for roof trusses like standing seam roofing tools and edge rollers are used for specific tasks in building construction. May be responsible for pulling plates, stacking of finished product, banding, and marking materials, and pushing products into position by hand or crane on carts to appropriate work area or storing them at the end of the workday to keep the area clean and free of hazardous pieces. Job Classification: 51-2041.00 - Structural Metal Fabricators and Fitters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Three months of experience as truss assembler in residential or commercial construction settings. Must bend, lift, and sustain up to 50 lbs, work under extreme hot weather conditions. No travel required outside the Metropolitan area, no on-the-job training available, no education required. Post-hire drug test required paid by employer, all US and Guest workers will be screened equally. Number of Hours Per Week: 40 Work Schedule (Start/End time): 7:00 A.M. - 3:30 P.M.</t>
  </si>
  <si>
    <t>H-400-26185-078619</t>
  </si>
  <si>
    <t>Soave Hospitality Group, Inc</t>
  </si>
  <si>
    <t>careersfl@soave.com</t>
  </si>
  <si>
    <t>+12393157363</t>
  </si>
  <si>
    <t>Kitchen Supervisor 1</t>
  </si>
  <si>
    <t>• Manage food service operations or parts of operations. • Able to successfully work all cooking stations • Communicate with members to resolve complaints or ensure satisfaction. • Cut cooked or raw foods. • Be able to approach all duties and tasks in a professional, timely, and diligent manner • Approach all employees and tasks with respect and with a team attitude. • Inspect kitchen, equipment, or supplies to ensure conformance to standards. • Prepare foods for cooking or serving. • Train food preparation or food service personnel. • Clean food preparation areas, facilities, or equipment. • Assist customers with seating arrangements. • Present food or beverage information or menus to customers. • The position will train personnel, monitor food service operations and will perform human resources activities • Coordinate activities of food service staff. • Maintain food, beverage, or equipment inventories. • Coordinate the timing of food production activities. • Monitor food services operations to ensure procedures are followed. • Record operational or production data. • Estimate supplies, ingredients, or staff requirements for food preparation activities. • Order materials, supplies, or equipment. • Schedule equipment maintenance. • Plan menu options. • Evaluate the quality of materials or products. Job Classification: 35-1012.00 - First-Line Supervisors of Food Preparation and Serving Workers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12 Special Requirements: This position operates in a private club setting. The employee also works in a hot, humid, and noisy environment. The employee may be exposed to hazards, including, but not limited to, cuts, slipping, tripping, falls, and burns. Frequent hand washing is required. While performing the duties of this job, the employee is regularly required to talk and hear. This position is very active and requires standing and moving for an extended period. It also requires walking, bending, kneeling, stooping, kneeling, climbing, crouching, twisting, or reaching, push, pull or lift up to 50 pounds. Continuous repetitive motions. All applicants must pass drug tests and background checks, including domestic and H2B visa-holder employees in seasonal, full-time, and annual positions This position requires at least a year of kitchen experience. Number of Hours Per Week: 35 Work Schedule (Start/End time): 7:00 A.M. - 3:00 P.M.</t>
  </si>
  <si>
    <t>H-400-26185-078621</t>
  </si>
  <si>
    <t>Executive Steward</t>
  </si>
  <si>
    <t>• Oversee all steward operations to ensure cleanliness, sanitation, and organization across kitchens, storage areas, and back-of-house facilities. • Ensure full compliance with health, safety, and sanitation regulations (local, state, and federal). • Manage, train, schedule, and evaluate stewarding staff to maintain operational efficiency and high standards. • Maintain inventory of china, glassware, silverware, kitchen equipment, and cleaning supplies. • Control stewarding labor and operating costs while maintaining quality standards. • Coordinate with Executive Chef and Food &amp; Beverage leadership to support daily operations and special events. • Develop and enforce cleaning schedules, sanitation procedures, and preventive maintenance programs. • Oversee proper handling, storage, and disposal of waste, recycling, and hazardous materials. • Inspect kitchens and back-of-house areas regularly and address deficiencies promptly. • Ensure proper use, care, and storage of all equipment to minimize breakage and loss. • Assist with setup and breakdown for banquets, events, and outlets as needed. • Support audits, health inspections, and internal quality assurance reviews. Job Classification: 35-1012.00 - First-Line Supervisors of Food Preparation and Serving Workers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This position operates in a private club setting within a commercial kitchen environment. The employee also works in a hot, humid, and noisy environment. While performing the duties of this job, the employee is occasionally exposed to wet or humid conditions (non-weather), fumes or airborne particles, and toxic or caustic chemicals. The kitchen floor may be slippery from moisture and grease. This role routinely uses sinks, dishwashers, and tools to clean kitchen appliances. Employees in this role are frequently exposed to hot water, garbage disposal, and cleaning chemicals. The employee may be exposed to hazards, including, but not limited to, cuts, slips, trips, falls, and burns. Frequent hand washing is required. May be required to move in and outdoors throughout the shift. The noise level in the work environment is usually moderate. While performing the duties of this job, the employee is regularly required to stand, walk, use hands, reach with hands and arms, talk, hear, and occasionally taste or smell. The employee may occasionally sit, climb, balance, stoop, kneel, crouch, or crawl. The role frequently involves lifting and/or moving up to 50 pounds, including kitchen supplies and equipment. Specific vision abilities required include close vision, distance vision, color vision, peripheral vision, depth perception, and the ability to adjust focus. Days and hours of work vary based on need. Early mornings, frequent evenings, and weekends, including holidays, work is required. All applicants, including domestic and H2B visa holders and employees in seasonal, full-time, and annual positions, must pass drug tests and background checks. These standards apply to all applicants regardless of national origin, race, or gender. Number of Hours Per Week: 35 Work Schedule (Start/End time): 7:00 A.M. - 3:00 P.M.</t>
  </si>
  <si>
    <t>H-400-26185-078622</t>
  </si>
  <si>
    <t>***RFI response*** Related cleaning/kitchen support means sanitation only: wiping stainless steel prep surfaces, counters, shelving, and equipment exteriors; cleaning floor drains and mats; restocking handwashing stations; cleaning restroom surfaces/floors as directed; removing trash, recycling, and food waste. No food prep, cooking, plating, assembly, or guest service. Event duties are dishwashing and sanitation support only: transporting clean dishes, glassware, flatware, and serving platters to event staging areas; setting bus tubs, dish racks, and sanitizer buckets; collecting, sorting, washing, and storing used serviceware during and after events; cleaning dish areas and mopping floors; removing trash/food waste. Tools/equipment: dish machines, sinks, spray nozzles, dish racks, bus tubs, rolling carts, scrub brushes, sanitizer, degreasers, mops, brooms, gloves, trash bins. Work occurs in private club commercial kitchens, dishwashing areas, adjacent back-of-house support spaces, and for event collection from banquet rooms, dining rooms, and outdoor event areas. ***Original*** • Sort, scrape, and rinse dirty dishes, glassware, tableware, pots, pans, and cooking utensils. • Load items into dishwashing machines or wash items by hand as required. • Unload, stack, and properly store clean dishes, utensils, and kitchen equipment. • Rewash items that are not properly cleaned before storage or use. • Change dishwashing machine water and cleaning solutions as required. • Wash pots, pans, trays, and kitchen tools by hand. • Maintain cleanliness of the dishwashing area, including sinks, machines, racks, and floors. • Clean and roll or unroll floor mats. • Set up and break down the dishwashing station at the beginning and end of assigned shifts. • Clean and change dishwashing machine water and cleaning solutions at least once every hour or more frequently as required by sanitation standards. • Fill and empty soak tubs with cleaning and sanitizing solutions. • Sweep and mop kitchen floors and wipe up spills to prevent slipping hazards. • Remove trash and garbage to designated dumpsters. • Maintain the area around garbage areas to ensure safety and cleanliness. • Perform general cleaning tasks in kitchen, dining, or restroom areas as directed. • Assemble and disassemble dishwashing equipment for cleaning. • Monitor dishwashing machine temperatures and report issues to management. • Follow all sanitation, hygiene, and safety procedures, including proper handwashing. • Perform related cleaning and kitchen support duties as assigned. • Assist with setup, service, and breakdown for food and beverage events and private functions. Job Classification: 37-2011.00 - Janitors and Cleaners, Except Maids and Housekeeping Cleaners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This position operates in a private club setting within a commercial kitchen environment. The employee also works in a hot, humid, and noisy environment. While performing the duties of this job, the employee is occasionally exposed to wet or humid conditions (non-weather), fumes or airborne particles, and toxic or caustic chemicals. The kitchen floor may be slippery from moisture and grease. This role routinely uses sinks, dishwashers, and tools to clean kitchen appliances. Employees in this role are frequently exposed to hot water, potentially slippery floors, garbage disposal, and cleaning chemicals. The employee may be exposed to hazards, including, but not limited to, cuts, slips, trips, falls, and burns. Frequent hand washing is required. The noise level in the work environment is usually moderate. While performing the duties of this job, the employee is regularly required to talk and hear. This position is very active and requires standing and moving for an extended period. It also requires walking, bending, kneeling, stooping, kneeling, climbing, crouching, twisting, reaching, and continuous repetitive motions. The role may need to lift up to 50 pounds and push or pull up to 75 lbs on a wheeled cart. May require moving between in and outdoor environments and frequently reaching overhead. Arm strength and coordination must be sufficient to carry plates of food, glasses, and bottles and serve from large trays. All applicants, including domestic and H2B visa holders and employees in seasonal, full-time, and annual positions, must pass drug tests and background checks. These standards apply to all applicants regardless of national origin, race, or gender. Number of Hours Per Week: 35 Work Schedule (Start/End time): 7:00 A.M. - 3:00 P.M.</t>
  </si>
  <si>
    <t>H-400-26185-078625</t>
  </si>
  <si>
    <t>Serve members and guests by taking beverage orders and preparing drinks according to standardized recipes. Communicate with members and guests in a professional manner to provide effective food and beverage service. Work with the Club's personnel to maintain an effective atmosphere and an efficient food and beverage service. Stock bar with beer, wine, liquor, and related supplies such as ice, glassware, napkins, or straws Mix liquor, soda, water, sugar, and bitters to prepare cocktails and other drinks. Take beverage orders from serving staff or directly from patrons. Prepare basic accompaniments such as pickles, cheese, and cold meats as required Enter food and beverage orders accurately into the point of sale system prior to preparation Arrange bottles and glasses to maintain an attractive display in agreement with the Club's standards. Clean glasses, utensils, and bar equipment. Serve alcohol responsibly in compliance with Florida and local alcohol service laws Serve alcohol responsibly in compliance with Florida and local alcohol service laws Maintain bar tabs for guests during service and typically place in front of guest. Learn members' and guests' names, occupations, and favorite drinks to make the Club a special place for them. Perform opening and closing duties as assigned Anticipate your guest's needs. Follow the one-third rule when offering another drink. Be alert of guest signals (raising a hand, making eye contact, etc.) and acknowledge the guest to let them know the bartender will be right with them. Learn guests’ names, occupations and favorite drinks to make the Club a special place for them. Perform other related duties as assigned that are consistent with the occupation of Bartender Job Classification: 35-3011.00 - Bartenders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This position operates in a private club setting. The employee is exposed to weather conditions while serving guests outdoors. Work areas may be crowded and noisy. The employee may make frequent trips to the kitchen, where air may be moist, warm, and odorous from cooking foods. The floor may be slippery from moisture and grease. The employee may be exposed to hazards, including but not limited to cuts, slips, trips, falls, and burns. Frequent hand washing is required. Must be able to work in a non-air-conditioned outdoor environment. This job operates behind the bar and may be working in close proximity to co-workers. The noise level in the work environment can be loud. While performing the duties of this job, the employee is regularly required to talk and hear. This position is very active and requires standing and moving for an extended period. Constantly moving between in and outdoor environments. This position requires walking, bending, kneeling, stooping, and crouching. The work may need occasional carrying/lifting to 50 pounds, and pushing and pulling up to 75 pounds unassisted, frequently reaching overhead. Arm strength and coordination must be sufficient to carry plates of food, glasses, and bottles and serve from large trays. Good close and distance vision and the ability to adjust focus between the two. This position regularly requires long hours and frequent weekend and holiday work. All applicants must pass drug tests and background checks, including domestic and H2B visa. Employees in seasonal or full-time and annual positions. These standards are applied to all applicants regardless of national origin, race, or gender. Number of Hours Per Week: 35 Work Schedule (Start/End time): 7:00 A.M. - 3:00 P.M.</t>
  </si>
  <si>
    <t>H-400-26185-078628</t>
  </si>
  <si>
    <t>Food and Beverage Attendant</t>
  </si>
  <si>
    <t>***RFI response*** Guest requests are limited to basic service support such as providing extra napkins, utensils, condiments, silverware, bread, butter, crackers, refilling water/nonalcoholic beverages, retrieving high chairs/booster seats, clearing finished dishes/glassware, directing guests to common areas, and relaying special requests to the server or kitchen. Tools/equipment: serving trays, bus tubs, water pitchers, beverage carafes, condiment caddies, cleaning cloths, sanitizer. POS entry is only under direct server supervision after the server takes the order; worker does not independently take orders or process payments. Work occurs in private club dining rooms, poolside/beach service areas, and banquet/event rooms. Banquet/event tasks include moving/positioning folding tables and chairs, laying linens, placing buffet items, signage and decor, clearing serviceware/linens, wiping and sanitizing tables/equipment, returning items to storage, and sweeping/mopping event areas. Equipment/materials: folding tables, stacking chairs, hand trucks, rolling carts, chafing dishes, serving utensils, beverage dispensers, linens, table clips, signage holders, bus tubs, brooms, mops. ***Original*** The Food &amp; Beverage Attendant supports the food and beverage department by assisting servers and service staff with dining room, poolside, banquet, and event operations. Duties include table clearing and setup, food running, stocking supplies, basic guest assistance, and maintaining the cleanliness and organization of service areas. The position also assists servers with limited service related functions under supervision. • Clear tables and unload trays in the kitchen, properly separating dishes, silverware, and linens. • Clear dishes from tables between courses and reset tables as needed. • Help serve food, carry trays, refill water glasses and non alcoholic beverages. • Act as a liaison between dining room staff and kitchen staff to ensure timely and accurate service. • Handle routine and impromptu requests from members and guests in a courteous manner. • Assist servers by accurately entering orders into the Point of Sale (POS) system and confirming order transmission with the kitchen or bar. • Answer guest questions regarding menu items in an informative and helpful manner. • Assist with setting tables before service with appropriate utensils, napkins, linens, and decorations. • Arrange and rearrange tables and chairs to accommodate regular dining, large groups, and banquet events. • Assist in setting buffet stations, tables, signage, and decorations. • Assist with moving, setting up, and breaking down banquet and dining room tables and food and beverage equipment for events and private functions. • Assist in removing, storing, and cleaning banquet equipment after events. • Assist in clearing used pool towels, dishes, and trash from pool or beach areas. • Empty used towel bins, stock clean towel bins, and deliver used towels to housekeeping. • Set up pool chairs, tables, lounge furniture, and towels for poolside or beach food and beverage service. • Sort, polish, and store clean silverware and glassware. • Ensure dining areas are properly stocked with utensils, napkins, glassware, tablecloths, decorations, and service items such as bread, butter, or crackers. • Dust woodwork, wash mirrors, vacuum carpets, clean and wax floors, and assist with spill cleanup. • Maintain a clean, safe, and organized service environment at all times. • Other duties as assigned. Job Classification: 37-2011.00 - Janitors and Cleaners, Except Maids and Housekeeping Cleaners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This position operates in a private club setting. Work areas may be crowded and noisy. Working conditions are often hot, humid, slippery, and wet. Able to tolerate the smell of chlorine and frequent exposure to cleaning agents. The employee is exposed to weather conditions while serving guests outdoors. The employee makes frequent trips to the kitchen, where the air may be moist, warm, and odorous from cooking foods or pools. The kitchen floor may be slippery from moisture and grease. The employee may be exposed to hazards, including, but not limited to, cuts, slips, trips, falls, and burns. Frequent hand washing is required. Frequent use of stairs, daily. While performing the duties of this job, the employee is regularly required to talk and hear. This position is active and requires standing, walking, bending, kneeling, stooping, stretching, twisting, or reaching, climbing stairs, balancing, and crouchingcontinuous repetitive motions. Physical exertion over long periods. The position may require occasional lifting of products weighing over 50 pounds and pushing or pulling a cart on wheels up to 75 pounds, and frequently reaching overhead. This position regularly requires long hours and frequent weekend and holiday work. All applicants must pass drug tests and background checks, including domestic and H2B visa employees in seasonal or full-time and annual positions. These standards are applied to all applicants regardless of national origin, race, or gender. Number of Hours Per Week: 35 Work Schedule (Start/End time): 7:00 A.M. - 3:00 P.M.</t>
  </si>
  <si>
    <t>H-400-26185-078615</t>
  </si>
  <si>
    <t>Supervise kin staff during assigned shifts to ensure efficient workflow and timely food production. Assign daily kitchen tasks and stations as directed by senior culinary leadership. Monitor food preparation and cooking activities to ensure compliance with recipes, portion standards, and presentation guidelines. Coordinate timing of food production to support smooth service execution. Step in to assist at any cooking station as needed during service. Set an example of professionalism, teamwork, and positive Prepare, cook, plate and garnish food items according to standardized recipes, portion controls, and presentation guidelines. Work successfully across all cooking stations as assigned (grill, sauté, fry, prep, etc.). Cut, trim, and prepare raw or cooked meats, poultry, seafood, vegetables, and other food items. Assist with food preparation for service periods, banquets, and club events. Ensure food quality, temperature, taste, and appearance meet club standards. Coordinate timing of food production during service to ensure prompt delivery. Maintain a clean, organized, and sanitary workstation at all times. Clean and sanitize food preparation areas, equipment, and utensils in compliance with health regulations. Inspect kitchen equipment and supplies to ensure safe and proper operating conditions. Follow all food safety, sanitation, and workplace safety procedures. Plan menu items and ensure all necessary equipment, food, and staff are adequate. Provide guidance and task direction to kitchen team members during assigned shifts Give recommendations to management for HR or payroll decisions regarding staff members. Perform supervisor duties for payroll and human resources as needed. Set a positive example through professionalism, teamwork, and adherence to club policies. Communicate professionally with front of house staff to ensure smooth service flow. Assist with resolving member concerns related to food quality or service during operational hours. Support seating or food service needs during high volume service periods as directed. Assist chefs with monitoring food levels and notifying management of low inventory. Record basic production or operational data as instructed (e.g., prep lists, waste logs). Estimate supplies, ingredients, or staff requirements for food preparation activities and order materials, supplies, or equipment accordingly. Assist with receiving and storing food deliveries according to safety procedures. Report equipment issues, maintenance needs, or safety hazards promptly. Ensure kitchen staff follow food safety, sanitation, and workplace safety regulations. Maintain clean and organized workstations throughout the shift. Inspect kitchen equipment and tools for cleanliness and operational readiness. Report equipment malfunctions, maintenance issues, or safety hazards to management. Ensure proper storage, labeling, and rotation of food products. Communicate professionally with front-of-house staff to support service flow. Assist with resolving member or guest concerns related to food quality during service hours. Support special events and club functions as directed. Assist customers with seating arrangements. Learn all menu and beverage items and articulate the information to staff, members, and guests. Job Classification: 35-1011.00 - Chefs and Head Cooks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36 Special Requirements: This position operates in a private club setting. The employee is exposed to weather conditions while serving guests outdoors. Work areas may be crowded and noisy. The employee may be exposed to hazards, including, but not limited to, cuts, slips, trips, falls, and burns. The employee may make frequent trips to the kitchen, where the air may be moist, warm, and odorous from cooking foods. The floor may be slippery from moisture and grease. Frequent hand washing is required. Must be able to work in a non-air-conditioned outdoor environment. This job operates behind the bar and may involve working in close proximity to co-workers. The noise level in the work environment can be loud. While performing the duties of this job, the employee is regularly required to talk and hear. This position is very active and requires standing and moving for an extended period. It also requires walking, bending, kneeling, stooping, kneeling, climbing, crouching, twisting, or reaching, grasp, lift, push, pull or lift up to 50 pounds and push/pull wheeled cart up to 75 lbs. Continuous repetitive motions. All applicants must pass drug tests and background checks, including domestic and H2B visa-holder employees in seasonal, full-time, and annual positions. Number of Hours Per Week: 35 Work Schedule (Start/End time): 7:00 A.M. - 3:00 P.M.</t>
  </si>
  <si>
    <t>H-400-26185-078620</t>
  </si>
  <si>
    <t>***RFI response*** Plumbing tasks: replacing faucets, showerheads, flush valves, supply lines, wax rings, flappers; clearing drains with plungers and drain snakes; replacing shut-off valves and fittings; flushing tankless water heaters per manufacturer instructions; cleaning sump pump screens and testing float switches; replacing leaking pipe sections with push-fit/compression fittings; applying tape and sealant. All routine non-licensed maintenance. Tools: pipe wrenches, adjustable wrenches, pliers, plungers, drain snakes, Teflon tape, sealant, PVC cement, fittings, valves, faucet kits, screwdrivers, utility knives, buckets. Carpentry/painting tasks: patching drywall with joint compound; replacing baseboards, trim, door hardware; rehanging doors; painting walls, ceilings, trim, exteriors; caulking windows/doors; pressure washing sidewalks, pool decks, patios, exteriors; replacing ceiling tiles. Tools: hammer, tape measure, level, saw, drill, putty knives, sandpaper, compound, filler, brushes, rollers, caulk gun, pressure washer. Event support is incidental facility prep only: moving tables, chairs, staging, equipment as directed; running extension cords; post-event breakdown and returning items to storage. No food prep, food/beverage service, or guest-facing functions. Tools: hand trucks, carts, golf cart, extension cords, hand tools. Laundry: transporting soiled linens, towels, cleaning cloths to on-site laundry by golf cart; loading/unloading washers and dryers; returning clean items to storage. Chemical transport: delivering pool chemicals, cleaning agents, sanitizers between properties. Worker drives company-owned golf cart on club grounds and company-owned pickup truck on public roads between properties. ***Original*** The Maintenance Technician performs routine, preventative, and corrective maintenance for a private club's facilities to ensure safe, functional, and well-maintained interior and exterior environments. This position requires hands-on skills in plumbing and general maintenance, with additional responsibilities in light electrical, HVAC, pool care, cleaning, and grounds support. Work schedules vary based on operational needs. Essential Duties and Responsibilities include the following. Other duties may be assigned. Install, maintain, inspect, and repair standard plumbing fixtures and systems, including water lines, tankless water heaters, mini sump pumps, and related components. Inspect plumbing fixtures and systems for safety and general code compliance and report issues to management. Perform basic repairs involving minor electrical systems, heating systems, and associated controls in residential and commercial structures. Perform routine and basic maintenance on: o Interior and exterior lighting o Electrical fixtures and outlets o Light HVAC systems on appliances and controls Conduct light carpentry, patching, painting, pressure washing, and minor building repairs. Operate a golf cart to travel safely between buildings, maintenance areas, and other club properties while performing assigned duties. Transport tools, equipment, supplies, laundry, and chemicals using a golf cart as required. Follow all club safety procedures and posted rules while operating a golf cart. Perform routine pool maintenance, including chemical testing, inspections, vacuuming, and cleaning (training provided if needed). Assist with laundry services and chemical transportation between properties as required. Assist with setup, service, and breakdown for food and beverage events and private functions Contact and coordinate outside vendors and contractors for repairs and emergencies beyond the routine maintenance scope. Maintain maintenance logs, schedules, and service records indicating completed work and upcoming service needs. Perform all duties in a safe manner and identify unsafe conditions. Take appropriate action to protect the safety of self, coworkers, members, guests, and vendors. Job Classification: 49-9071.00 - Maintenance and Repair Workers, General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A valid driver's license is required to operate company vehicles, including golf carts. This position operates in a private club setting. Work areas may be crowded and noisy. The employee works in multiple environments, including offices, club facilities, cottages, residences, maintenance areas, storage areas, and outdoor spaces. Temperature and humidity may vary. Noise levels range from quiet to moderately loud. Exposure to cleaning agents, pool chemicals, and maintenance tools may occur with proper training and safety equipment provided. Exposure to cooking odors and heat. Employee is frequently exposed to heat, steam, and fire. Floors may be slippery from moisture and grease. The employee may be exposed to hazards, including, but not limited to, cuts, slips, trips, falls, and burns. Frequent hand washing is required. May require use of stairs to climb daily. The employee may be exposed to outdoor weather conditions While performing the duties of this job, the employee is regularly required to talk and hear. This position is very active and requires standing, walking, bending, kneeling, stooping, crouching, crawling, and climbing all day. The employee must frequently lift and/or move items over 50 pounds, push or pull up to 75 pounds. Specific vision abilities required by this job include close vision, distance vision, color vision, peripheral vision, depth perception, and the ability to adjust focus. Hours of work and days vary based on operational needs, including early mornings, weekends, holidays, or evening hours. Travel between facilities may be required. Offer of employment is contingent upon completing a background check and drug screening. All applicants must pass drug tests and background checks, including domestic and H2B visa. Employees in seasonal or full-time and annual positions. These standards are applied to all applicants regardless of national origin, race, or gender. Number of Hours Per Week: 35 Work Schedule (Start/End time): 7:00 A.M. - 3:00 P.M.</t>
  </si>
  <si>
    <t>H-400-26185-078624</t>
  </si>
  <si>
    <t>***RFI Response*** Load and unload washers and dryers including adding detergent and selecting cycles; iron, fold, and organize laundered club or guest only bed linens, blankets, mattress pads, towels, tablecloths, napkins, bath robes items. Assist with basic event set up and breakdown by moving or replacing table linens, wiping and sanitizing tables, chairs, or staging areas, including arranging tables, chairs, staging areas to wipe and sanitize before and after events and banquets in club spaces to reset rooms, or other furnishings (podiums, tv’s, event signs) as directed. Help prepare club areas for meetings by removing trash, cleaning and sanitizing before banquets, social events, or special functions. Assist other areas of the club (lobbies, locker rooms, fitness, common areas, pro-shop areas, offices, and similar club spaces with general cleaning to sanitize and disinfect or organizational tasks to reset the room back to standards, as needed and assigned. Assist with maintaining the cleanliness of dishwashing by removing dishes to deep clean the dishwasher in the club kitchens and back of house kitchen support areas such as around the dishwasher including cabinets or storage areas in club kitchen spaces for periodic deep cleaning support. ***Original F.a.2*** • Clean and sanitize guest rooms, hallways, lobbies, lounges, restrooms, locker rooms, stairways, elevators, corridors, cottages, and other assigned areas. • Sweep, mop, scrub, wax, and polish floors. • Clean rugs, carpets, upholstered furniture, and draperies. • Dust and polish furniture, fixtures, and equipment. • Disinfect equipment and supplies using approved cleaning agents and procedures (Ex: (germicides, steam-operated tools, etc.) • Wash walls, ceilings, woodwork, windows, door panels, and sills. • Replenish bathroom supplies, linens, towels, drinking glasses, and other guest amenities. • Empty wastebaskets and ashtrays; transport trash and waste to designated disposal areas. • Assist in any activity involving cleaning or organizing the clubs or cottages, such as replenishing bathroom supplies, drinking glasses, and writing supplies. • Sort, count, mark, and store clean linens in designated linen closets. • Load and unload washers and dryers; iron, fold, and organize laundered items. • Transport linens, towels, bathroom essentials, and cleaning supplies using wheeled carts. • Carry cleaning supplies and equipment safely across work areas. • Replace light bulbs as needed. • Operate cleaning equipment according to training and safety standards. • Operate a golf cart to transport cleaning supplies and access work areas as assigned. • Follow all safety, driving, and operational procedures when operating club carts. • Assist with basic event set up and breakdown, including arranging tables, chairs, staging areas, or other furnishings as directed. • Help prepare club areas for meetings, banquets, social events, or special functions. • Support resetting rooms and common areas after events to maintain cleanliness and order. • Assist other areas of the club with general cleaning or organizational tasks, as needed and assigned. Dishwashing &amp; Kitchen Support (Incidental) • Assist with dishwashing and sanitation of kitchen equipment, utensils, dishes, and cookware, as needed. • Operate commercial dishwashing equipment according to safety and sanitation guidelines. • Assist with maintaining the cleanliness of dishwashing and back-of-house kitchen support areas. Dishwashing duties are incidental support only. This position does not perform food preparation, cooking, food service, alcohol service, or kitchen supervisory duties. Job Classification: 37-2012.00 - Maids and Housekeeping Cleaners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This position operates in a private club setting. While performing the duties of this job, the employee is occasionally exposed to wet or humid conditions, fumes or airborne particles, and toxic or caustic chemicals. The noise level in the work environment is usually moderate. The employee may be exposed to hazards, including, but not limited to, cuts, slips, trips, falls, and burns. Frequent hand washing is required. While performing the duties of this job, the employee is regularly required to talk and hear. This position is very active and requires standing and walking for an extended period. It also requires bending, kneeling, stooping, kneeling, climbing, crouching, twisting, reaching, pushing, pulling, or lifting up to 50 poundscontinuous repetitive motions. Hours may include weekends, nightshifts, holidays, and extended shifts, based on business needs. All applicants must pass drug tests and background checks, including domestic and H2B visa holders. Employees in seasonal, full-time, and annual positions. These standards apply to all applicants regardless of national origin, race, or gender. Number of Hours Per Week: 35 Work Schedule (Start/End time): 7:00 A.M. - 3:00 P.M.</t>
  </si>
  <si>
    <t>H-400-26185-078630</t>
  </si>
  <si>
    <t>careersFL@soave.com</t>
  </si>
  <si>
    <t>• Prepare, cook, grill, and assemble food items such as meats, seafood, poultry, vegetables, soups, salads, and sandwiches according to established recipes and instructions. • Perform food preparation tasks including washing, cutting, mixing, measuring, and portioning ingredients. • Coordinate preparation and timing of food items to ensure meals are completed at the same time. • Set up, maintain, and break down assigned cooking stations. • Operate standard kitchen equipment such as ovens, grills, mixers, steam kettles, slicers, and knives. • Follow all food safety, sanitation, and personal hygiene standards. • Ensure work areas, utensils, and equipment are clean and sanitary at all times. • Properly cover, label, date, and store food items according to food safety guidelines. • Measure and combine ingredients using approved procedures. • Bake and cook food items using production ovens or grills, monitor cooking times and temperatures. • Minimize food waste and properly use kitchen supplies and equipment. • Tailor recipes to members'/guests' requests for allergies and substitutions. • Follow all equipment safety standards as a guideline and report any equipment issues to management. • Cook, bake, and decorate savory and sweet foods in a professional kitchen environment. Job Classification: 35-2014.00 - Cooks, Restaurant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This position operates in a private club setting. Work areas may be crowded and noisy. Work is performed in a commercial kitchen environment where air may be moist, warm, and odorous from cooking foods with equipment such as an oven, stove, dishwasher, slicers, coffee machines, steamers, mixers, and chefs knives. Employee is frequently exposed to heat, steam, and fire. The kitchen floor may be slippery from moisture and grease. The employee may be exposed to hazards, including, but not limited to, cuts, slips, trips, falls, and burns. Frequent hand washing is required. May require the use of stairs to climb daily. The employee may be exposed to weather conditions while moving food from different areas. Reasonable accommodation may be made to enable individuals with disabilities to perform the essential functions. The employee must regularly lift and /or move up to 10 pounds and occasionally lift and/or move 25 to 50 pounds. Specific vision abilities required by this job include close vision, distance vision, peripheral vision, depth perception, and the ability to adjust focus. While performing the duties of this job, the employee is regularly required to stand; walk; use hands to finger, handle, or feel; talk or hear and taste or smell. The employee is occasionally required to sit, reach with hands and arms, stoop, kneel, and crouch. Continuous repetitive motions. Work in hot, humid and noisy environment. All applicants must pass drug tests and background checks, including domestic and H2B visa employees in seasonal, full-time, and annual positions. These standards are applied to all applicants regardless of national origin, race, or gender. Number of Hours Per Week: 35 Work Schedule (Start/End time): 7:00 A.M. - 3:00 P.M.</t>
  </si>
  <si>
    <t>H-400-26185-078633</t>
  </si>
  <si>
    <t>***RFI response*** Work is performed at a private membership club in indoor dining rooms, bar/lounge areas, poolside and beach service areas, and banquet/event spaces. Food and beverage orders are taken and delivered in all such locations using handheld pads and POS systems. “Service equipment” includes serving trays, water pitchers, condiment caddies, bus tubs, towel bins, portable beverage coolers, and menus/menu stands. Maintenance tasks include wiping and sanitizing equipment with cleaning cloths and food-safe sanitizer, restocking towels and menus, replenishing ice, organizing stations, and collecting used dishes, glasses, and towels. Event duties include setup, service, and breakdown for meetings, banquets, social events, and private functions in dining rooms, banquet rooms, poolside, and beach areas. Tasks include positioning tables and chairs, laying tablecloths, setting place settings, arranging decor, stocking buffet and beverage stations, taking orders, serving food and beverages, running food, refilling drinks, clearing courses, breaking down setups, transporting items using rolling carts or golf carts, and cleaning surfaces. ***Original*** Provide professional, courteous, and timely food and beverage services to members and guests in a friendly and enthusiastic manner. Greet guests warmly and maintain a friendly and professional demeanor at all times Focus attention on guest needs while remaining calm and courteous in a fast-paced environment Thoroughly learn and follow restaurant, beach, and pool service standards and procedures. Set up the beach with chairs, umbrellas, and towels, and ensure that guests are always provided with clean towels. Prepare tables for meals, including setting up items such as linens, silverware, and glassware. Possess detailed knowledge of food menus, beverage menus, daily specials, promotions, garnishes, ingredients, and preparation methods. Answer guest questions regarding menu items in an informative and helpful manner. Take food and beverage orders from the members on handheld or order-taking pads and deliver food to members and guests. Accurately enter orders into the Point of Sale (POS) system and verify order transmission with the kitchen or bar Know about coffee/tea service, beverage lists, promotions, all menu items, garnishes, contents, and preparation methods. Set up and maintain beach and pool service stations, including chairs, umbrellas, towels, and service equipment Ensure guests are always provided with clean towels and properly arranged seating Assist with running food and beverage orders for assigned tables and other service staff Follow all safety and sanitation policies when handling food and beverages. Run food and drink orders for their tables and other staff members. Operate a golf cart to transport supplies and equipment such as chairs, tables, linens, towels, and décor for beach, poolside, or special events Assist with setup, service, and breakdown for food and beverage events and private functions Follow all food safety, sanitation, health, and workplace safety policies Maintain a clean, organized, and professional work area throughout service Job Classification: 35-3031.00 - Waiters and Waitresses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Able to multitask without getting flustered. Experienced in working in a customer-facing role. Able to easily converse with guests. Able to respond well under pressure. Able to respond to change quickly. Willing and able to be on their feet for 8+ hours. Sell menu specials or limited-time offers. Other Special Skills and Requirements: A valid drivers license is required to operate golf carts. A valid Food Handler Certificate is required for this position to ensure compliance with food safety regulations and maintain high standards of hygiene and service. A valid Alcohol Server Certification (e.g., RBS or equivalent) is required for team members who serve alcoholic beverages, in compliance with state and local regulations. This position operates in a private club setting. The employee is exposed to weather conditions while serving guests outdoors. Work areas may be crowded and noisy. The employee makes frequent trips to the kitchen, where the air may be moist, warm, and odorous from cooking foods. The kitchen floor may be slippery from moisture and grease. The employee may be exposed to hazards, including, but not limited to, cuts, slips, trips, falls, and burns. Frequent hand washing is required. Frequent use of stairs, daily. While performing the duties of this job, the employee is regularly required to talk and hear. This position is very active and requires standing and moving for an extended period. Constantly moving between in and outdoor environments. This position requires walking, bending, kneeling, stooping, and crouching. The work may need occasional carrying/lifting to 50 pounds, weighing up to 20 pounds, and pushing and pulling up to 75 pounds unassisted, frequently reaching overhead. Arm strength and coordination must be sufficient to carry plates of food, glasses, and bottles, and serve from large trays. All applicants must pass drug tests and background checks, including domestic and H2B visas, and employees in seasonal, full-time, and annual positions. These standards apply to all applicants regardless of national origin, race, or gender. Number of Hours Per Week: 35 Work Schedule (Start/End time): 7:00 A.M. - 3:00 P.M.</t>
  </si>
  <si>
    <t>H-400-26185-078626</t>
  </si>
  <si>
    <t>T &amp; E Seafood, Inc.</t>
  </si>
  <si>
    <t>twilkerson68@outlook.com</t>
  </si>
  <si>
    <t>+12515838967</t>
  </si>
  <si>
    <t>Oyster Shucker/packer</t>
  </si>
  <si>
    <t>Job requires that shuckers load or unload oysters from transport. Once the oyster has been unloaded, shuckers will process the oysters by culling, removing the oyster from the shell, washing, weighing, packing, labeling, palletizing, and storing. Shuckers will maintain work area clean and free of contaminants. Job Classification: 53-7062.00 - Laborers and Freight, Stock, and Material Movers, Hand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1 Special Requirements: ability to lift fifty pounds or more since the oyster sacks weigh fifty pounds or slightly more Number of Hours Per Week: 35 Work Schedule (Start/End time): 6:00 A.M. - 2:00 P.M.</t>
  </si>
  <si>
    <t>H-400-26185-078589</t>
  </si>
  <si>
    <t>Carpenter</t>
  </si>
  <si>
    <t>Read and follow plans and measurements to construct, erect, install, or repair structures; building frameworks, including walls, roofs, joists, studding, rafters, window and door frames. Install metal siding, windows, ceiling tiles and insulation. Instruct less skilled workers on job duties. Will be exposed to heights, temperature extremes, strenuous physical activity, and repetitive motions. Proper and accurate use of tape measure required. Job Classification: 47-2031.00 - Carpenters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12 Special Requirements: Must be able to lift and carry 80 lbs 20 yds. Must be able to handle temperature extremes. Some weekend work. Number of Hours Per Week: 40 Work Schedule (Start/End time): 7:00 A.M. - 6:00 P.M.</t>
  </si>
  <si>
    <t>H-400-26185-078634</t>
  </si>
  <si>
    <t>The Breakers Palm Beach, Inc.</t>
  </si>
  <si>
    <t>Randy Salazar</t>
  </si>
  <si>
    <t>employment@thebreakers.com</t>
  </si>
  <si>
    <t>+15616536649</t>
  </si>
  <si>
    <t>***RFI Response*** Must be able to work under pressure while safely operating guest and resident vehicles. Briefly move and position guest/resident vehicles, solely in connection with assisting guests with luggage during arrivals and departures, within the employer’s driveway and designated parking areas to facilitate loading/unloading of luggage and coordination of arrivals and departures. No shuttle or offsite driving is performed. Serve as the first and last impression by assisting with arrivals and departures, including greeting arriving guests, opening doors, and assisting with unloading and transporting luggage to guest rooms or storage areas. Upon departure, retrieve and load luggage into vehicles. Carry and deliver packages including groceries, newspaper, gifts, packages and flowers; handle baggage/luggage for guests and/or residents; must be able to walk, stand, run (approx. 9-12 miles a shift) throughout an 8-9 hour shift. ***Original F.a.2*** Must be able to work under pressure while safely operating guest and resident vehicles. Serve as the first and last impression; assist with arrivals and departures; Carry and deliver packages including groceries, newspaper, gifts, packages and flowers; handle baggage/luggage for guests and/or residents; must be able to walk, stand, run (approx. 9-12 miles a shift) throughout an 8-9 hour shift. Requirements: Must be eligible for Florida driver’s license, 3 years driving record, must be 18 years of age. The Breakers will pre-pay for your Florida driver’s license and this deduction will be taken on the next paycheck. Pay Rate: $10.98 + gratuity; $21.00 - 24.00 hourly rate. Employer guarantees that wage rate will not fall below prevailing wage of $15.86/hour. O/T available paid at $23.79/hour. Pay rate varies by outlet. Shifts: Multiple Shifts (5 rotating days including weekends and holidays) 5am-3pm; 10am-6pm; 12pm-8pm; 6pm-2am; 7pm-7am. Job Classification: 39-6011.00 - Baggage Porters and Bellhops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Must be eligible for Florida drivers license, 3 years driving record, must be 18 years of age. The Breakers will pre-pay for your Florida drivers license and this deduction will be taken on the next paycheck. Must be able to walk, stand, run (approx. 9-12 miles a shift) throughout an 8-9 hour shift. Must be able to work under pressure while safely operating guest and resident vehicles. Number of Hours Per Week: 35 Work Schedule (Start/End time): 5:00 A.M. - 3:00 P.M.</t>
  </si>
  <si>
    <t>H-400-26185-078635</t>
  </si>
  <si>
    <t>F&amp;b Assistant Ii</t>
  </si>
  <si>
    <t>***RFI Response*** Procure supplies from kitchen, maintain dining/buffet area in clean/orderly manner; organize and ensure dining room/buffet area is run in efficient manner and fine service is offered every day; procure efficient operating equipment and supplies from kitchen areas; keep equipment clean in dining area/buffet area; clear tables and bus dirty dishes to kitchen; make sure side stand is equipped with beverages; may serve guests with beverages and entrees as needed, including Sensitivity: Confidential providing incidental support to guest service by delivering pre-prepared beverages and food items to tables, replenishing drinks, and removing used service items, in support of maintaining an orderly dining area; assist management in other matters. Lastly, I confirm that F&amp;B Assistant II workers do not take food or drink orders from customers / guests. ***Original F.a.2*** Procure supplies from kitchen, maintain dining/buffet area in clean/orderly manner; organize and ensure dining room/buffet area is run in efficient manner and fine service is offered every day; procure efficient operating equipment and supplies from kitchen areas; keep equipment clean in dining area/buffet area; clear tables and bus dirty dishes to kitchen; make sure side stand is equipped with beverages; may serve guests with beverages and entrees as needed; assist management in other matters. Requirements: Min. 1 month experience in position. Must be able to read and write English correctly. Pay Rate: $21.00 - $26.00 hourly rate; or $2.35 - $6.00 hourly rate + service charge. Employer guarantees hourly rate of pay will not fall below prevailing wage, $17.91/hour. O/T available paid at $26.87/ hour, unless exempt from O/T under Section 7(i) of the FLSA. Pay rate varies by Outlet. Shifts: Multiple Shifts (5 rotating days including weekends and holidays) 4am–11am; 11am-6pm; 6pm-1am; 10pm-6am. May work in multiple worksites throughout PBC, FL. Job Classification: 35-9011.00 - Dining Room and Cafeteria Attendants and Bartender Helpers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1 Special Requirements: Minimum 1 month experience in position. Must be able to read and write English correctly. Number of Hours Per Week: 35 Work Schedule (Start/End time): 4:00 A.M. - 11:00 A.M.</t>
  </si>
  <si>
    <t>H-400-26185-078637</t>
  </si>
  <si>
    <t>Cook Helper</t>
  </si>
  <si>
    <t>Duties: Utilize proper holding temperature of foods, perform correct receiving methods, protect against cross contamination; hold and store food items, clean/sanitize work stations/equipment; follow chef directions, company policy and procedures; must have knowledge of frying, sautéing, basic egg cookery and/or pastry; using variety of kitchen utensils &amp; equipment such as beurre mixers, convention ovens, grinders, slicers &amp; tenderizers; operation of kitchen equipment (i.e. robot coupe, buerre mixers, swiss braiser, steam kettles, pressure steamers, convection ovens, etc), including proper handling and cleaning; work in a high volume, fast paced, team oriented and professional kitchen; prepare food in a timely, consistent fashion to exact standards following established recipes, plating, food receiving/storage and proper handling of all food items; clean and sanitize work areas, equipment, utensils, dishes, or silverware; store food in designated containers and storage areas to prevent spoilage; take and record temperature of food and food storage areas, such as refrigerators and freezers; prepare a variety of foods, such as meats, vegetables, or desserts, according to customers' orders or supervisors' instructions, following approved procedures; assist with cooking Fish, Beef, Chicken, Pork, Lamb, Vegetables, Grains, Soups. Requirements: Min. 1 month experience. in position. Must be able to read and write English correctly. Pay Rate: $21.00 - $27.00 hr. O/T available paid at $31.50 - $40.50/hour. Shifts: Multiple Shifts (5 rotating days including weekends and holidays) 4am–11am; 11am-6pm; 6pm-1am; 1am-8am. May work in multiple worksites throughout PBC, FL. Job Classification: 35-2014.00 - Cooks, Restaurant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1 Special Requirements: Minimum 1 month experience in position. Must be able to read and write English correctly. Number of Hours Per Week: 35 Work Schedule (Start/End time): 4:00 A.M. - 11:00 A.M.</t>
  </si>
  <si>
    <t>H-400-26185-078638</t>
  </si>
  <si>
    <t>F&amp;b Assistant I</t>
  </si>
  <si>
    <t>***RFI Response*** Monitor areas for debris, mopping, sweeping, emptying buckets, spills; identify dishes, glasses and flatware; operate machines properly, including commercial dishwashers, glass washers, mops, wet vacuums, sanitation tools to clean and maintain service items and work areas; familiar with silver burnishing procedures; properly set up sink w/sanitizing and cleaning agents; assist in sanitation, including trash removal; keep work area floors clean, dry and safe; delivery set up and removal of event items, assist in set up and breakdown of event spaces; assist in operations as required, including transporting dishes and supplies, setting up and breaking down event spaces, loading/unloading materials, and arranging tables and equipment; other related duties, including removing debris, emptying trash, and maintaining clean and safe work areas. ***Original F.a.2*** Monitor areas for debris, mopping, sweeping, emptying buckets, spills; identify dishes, glasses and flatware; operate machines properly; familiar with silver burnishing procedures; properly set up sink w/sanitizing and cleaning agents; assist in sanitation, including trash removal; keep work area floors clean, dry and safe; delivery set up and removal of event items, assist in set up and breakdown of event spaces; assist in operations as required; other related duties. Requirements: Min. 1 month experience in position. Must be able to read and write English correctly. Pay Rate: $21.00 - $26.00 hourly rate; or $5.75 to $9.00 hourly rate plus service charge. Employer guarantees hourly rate will not fall below prevailing wage, $18.94/hour. O/T available paid at $28.41/hour, unless exempt from O/T under Section 7(i) of the FLSA. Pay rate varies by Outlet. Shifts: Multiple Shifts (5 rotating days including weekends and holidays) 4am–11am; 11am-6pm; 6pm-1am; 10pm-6am. May work in multiple worksites throughout PBC, FL. Job Classification: 53-7062.00 - Laborers and Freight, Stock, and Material Movers, Hand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1 Special Requirements: Minimum 1 month experience in position. Must be able to read and write English correctly . Number of Hours Per Week: 35 Work Schedule (Start/End time): 4:00 A.M. - 11:00 A.M.</t>
  </si>
  <si>
    <t>H-400-26185-078639</t>
  </si>
  <si>
    <t>Duties: Clean assigned hotel rooms and public space areas according to job procedures; complete assignments/maintain rooms and public space in clear/orderly manner; make guests feel comfortable by turning down beds and freshening rooms; turn in lost articles to inspector; good English communication skills; keep cart orderly and restock closets and carts; and other related duties. Requirements: Minimum 1 month experience in position. Pay Rate: $21.00 - $27.00/hour. O/T available paid at $31.50 - $40.50/hour. Shifts: Multiple Shifts (5 rotating days including weekends and holidays) 8:30am-3:30pm, 12pm-7pm, 3pm-10pm. Job Classification: 37-2012.00 - Maids and Housekeeping Cleaners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1 Special Requirements: Minimum 1 month experience in position. Number of Hours Per Week: 35 Work Schedule (Start/End time): 8:30 A.M. - 3:30 P.M.</t>
  </si>
  <si>
    <t>H-400-26185-078641</t>
  </si>
  <si>
    <t>Spa Attendant</t>
  </si>
  <si>
    <t>Duties: Welcome/direct guests in warm and courteous manner; Maintain inventory of all items placed in Spa; Maintain and rotate an adequate supply of clean linen and towels; Deliver linen and other items as needed; Keep all areas of the Spa, including storage areas, clean/organized; Perform daily cleaning checklist (pre/during/post) shift activities; Report any damaged or missing items or maintenance repair needs to management; Ensure that access to facility by authorized Spa guests is safe and secure at all times; Handle guest questions and concerns professionally and courteously; Ensure complete guest satisfaction; Maintain a positive attitude and contribute toward a quality work environment; Report to Management any and all occurrences involving staff or guests in the Spa that require attention; Other related duties. Requirements: Minimum 1 month experience in similar position; Excellent communication skills; Be detailed/people-oriented and focused on genuine customer service; Ability prioritize effectively. Must be able to read and write English correctly. Pay Rate: $15.00 - $17.00 hourly plus gratuity pool (varies daily). Employer guarantees that wage rate will not fall below prevailing wage of $16.51/hour. O/T available as needed at $24.77/hour. Shifts: Multiple Shifts (5 rotating days including weekends and holidays): 7:30am-3pm; 9am-6:30pm; 12pm-9:00pm. Job Classification: 39-3093.00 - Locker Room, Coatroom, and Dressing Room Attendants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1 Special Requirements: Minimum 1 month experience in similar position; Excellent communication skills; Be detailed/people-oriented and focused on genuine customer service; Ability prioritize effectively. Must be able to read and write English correctly. Number of Hours Per Week: 35 Work Schedule (Start/End time): 7:30 A.M. - 3:00 P.M.</t>
  </si>
  <si>
    <t>H-400-26185-078642</t>
  </si>
  <si>
    <t>Massage Therapist</t>
  </si>
  <si>
    <t>Perform massage and/or body treatments according to hotel's established protocols; Utilize, maintain, and conduct inventory of supplies and products; Maintain cleanliness of work area; Maintain records as required by federal, state, local, and hotel regulations; Respond to guest inquiries/requests and resolve guest service issues in a timely, friendly, and efficient manner; Other related duties. Requirements: Min. 1 month experience in position. Must be able to read and write English correctly. Must be eligible for State of Florida Massage Therapy License and Palm Beach County Massage Therapy License at own cost. Employer will cover cost of the Town of Palm Beach license at approximately $500.00. Pay Rate: $.01/hour plus a minimum of 17% - 22% commission, and 15% gratuity. Employer guarantees that wage rate will not fall below the prevailing wage of $24.02/hour. Exempt from O/T under Section 7(i) of the FLSA. Shifts: Multiple Shifts (5 rotating days including weekends and holidays) 8am-5pm; 9am-6pm; 10am-7pm; 11am-8pm. Job Classification: 31-9011.00 - Massage Therapists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1 Special Requirements: Minimum 1 month experience in position. Must be able to read and write English correctly. Must be eligible for State of Florida Massage Therapy License and Palm Beach County Massage Therapy License at own cost. Employer will cover cost of the Town of Palm Beach license at approximately $500.00. Number of Hours Per Week: 35 Work Schedule (Start/End time): 8:00 A.M. - 5:00 P.M.</t>
  </si>
  <si>
    <t>H-400-26185-078644</t>
  </si>
  <si>
    <t>Duties: Check with customers to ensure they are enjoying meals and beverages; take action to correct problems; collect payments; write patrons' food and drink orders on order slips, memorize orders, or enter orders into computers for transmittal to kitchen staff; prepare checks that itemize and total meal costs and sales taxes; take orders from patrons for F&amp;B; check patrons' identification to ensure they meet min age requirements for consumption of alcoholic beverages; serve food or beverages to patrons, and prepare or serve specialty dishes at tables as required; present menus, answer questions about menu items, and make recommendations upon request; clean tables, counters and/or lounge space after patrons have finished dining; prepare hot, cold, and mixed drinks for patrons, and chill bottles of wine; and other related duties. Requirements: Minimum 1 month experience in position. Must be able to read and write English correctly. Pay Rate: $2.35 - $3.50 hourly rate + service charge; or $15.00 - $17.00 hourly rate + service charge + tips; or $21.00 – $24.00 hourly rate. Employer guarantees hourly rate of pay will not fall below prevailing wage at $18.71/hour. O/T available paid at $28.07/hour, unless exempt from O/T under Section 7(i) of the FLSA. Pay rate varies by F&amp;B Outlet. Shifts: Multiple Shifts (5 rotating days including weekends and holidays) 5:00am-1:00pm; 10am-5:00pm; 2pm-9:00pm; 6pm-1:00am. May work in multiple worksites throughout PBC, FL. Job Classification: 35-3031.00 - Waiters and Waitresses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1 Special Requirements: Minimum 1 month experience in position. Must be able to read and write English correctly. Number of Hours Per Week: 35 Work Schedule (Start/End time): 5:00 A.M. - 1:00 P.M.</t>
  </si>
  <si>
    <t>H-400-26185-078643</t>
  </si>
  <si>
    <t>Provide exceptional nail services to guests in Spa. Services include manicures, pedicures and specialty treatments. Provide a personalized experience to guests, ensure workspace is always clean, stocks supplies in work stations and salon closet, greet and return guests at Spa lounge in a timely, professional manner, provide a pre-service consultation, adhere to strict guidelines for salon and equipment sanitation, participate in guest and team member Spa events, attend team meetings, instruct guests in the use of the nail care and body products and provide retail items for sale if interested, assist in other areas as needed and adhere to company and Spa policies and procedures. Maintain an active Florida Nail Technician license. Requirements: Min. 3 months experience in position. Must be able to read and write English correctly. Must have an active State of Florida Nail Technician License paid at own cost. Employer will cover cost of the Town of Palm Beach license at approximately $75.00 per year. Pay Rate: $.01/hour plus a minimum of 33% - 38% commission, 15% gratuity. Employer guarantees that wage rate will not fall below the prevailing wage of $17.46/hour. Exempt from O/T under Section 7(i) of the FLSA. Shifts: Multiple Shifts (5 rotating days including weekends and holidays) 9:00am-7:00pm. Job Classification: 39-5092.00 - Manicurists and Pedicurists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Minimum 3 months experience in position. Must be able to read and write English correctly. Must have an active State of Florida Nail Technician License paid at own cost. Employer will cover cost of the Town of Palm Beach license at approximately $75.00 per year. Number of Hours Per Week: 35 Work Schedule (Start/End time): 9:00 A.M. - 7:00 P.M.</t>
  </si>
  <si>
    <t>H-400-26185-078636</t>
  </si>
  <si>
    <t>Virgie M. Garo</t>
  </si>
  <si>
    <t>Rogelio Salvador</t>
  </si>
  <si>
    <t>garofosterhome@gmail.com</t>
  </si>
  <si>
    <t>+18083891071</t>
  </si>
  <si>
    <t>Personal Care Assistant</t>
  </si>
  <si>
    <t>Provide assistance to individuals who are aged or with disabilities or illness who require help with personal care and activities of daily living support including preparing meals, doing housekeeping, and doing laundry. Job Classification: 31-1122.00 - Personal Care Aides The job/industry classification and description includes general information on the position from ONET/OES and the North American Industry Classification System. Please review Job Duties and Job Order for more information. Job Requirements Experience Required: No Number of Hours Per Week: 40 Work Schedule (Start/End time): 6:30 A.M. - 3:30 P.M.</t>
  </si>
  <si>
    <t>H-400-26185-078834</t>
  </si>
  <si>
    <t>2 Bros Insulation LLC</t>
  </si>
  <si>
    <t>2brosinsulation@gmail.com</t>
  </si>
  <si>
    <t>+12515254527</t>
  </si>
  <si>
    <t>Line and cover structures with insulating materials. May work with batt, roll, or blown insulation materials. Duties include measuring and cutting insulation materials to fit specific areas like walls, ceilings, and around pipes, securing the insulation in place with fasteners like staples, tape, or screws, removing old insulation when necessary, reviewing blueprints to determine the appropriate type and amount of insulation needed, and applying insulation materials like spray foam or fiberglass to improve energy efficiency in residential homes. Must be hard-working loading and unloading truck with materials at the main headquarters, and buildings. Job Classification: 47-2131.00 - Insulation Workers, Floor, Ceiling, and Wall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Three months experience as an Insulation installer. Must bend, lift and sustain up to 50 lbs, work under extreme weather conditions. No travel required outside the Metropolitan area, no on the-job training available, no education required. Post-hire drug test required paid by employer, all US and Guest workers will be screened equally. Number of Hours Per Week: 40 Work Schedule (Start/End time): 7:00 A.M. - 4:00 P.M.</t>
  </si>
  <si>
    <t>H-400-26185-078782</t>
  </si>
  <si>
    <t>A NEW IMAGE LANDSCAPE, INC.</t>
  </si>
  <si>
    <t>DEANNA@ANEWIMAGELANDSCAPE.COM</t>
  </si>
  <si>
    <t>+13304602400</t>
  </si>
  <si>
    <t>Masonry Helper</t>
  </si>
  <si>
    <t>Help brickmasons, blockmasons, stonemasons, or tile and marble setters by performing duties requiring less skill. Duties include using, supplying, or holding materials or tools, and cleaning work area and equipment. Construction laborers who do not primarily assist brickmasons, blockmasons, and stonemasons or tile and marble setters are classified under “Construction Laborers” (47-2061). Apprentice workers are classified with the appropriate skilled construction trade occupation (47-2011 through 47-2231) Job Classification: 47-3011.00 - Helpers--Brickmasons, Blockmasons, Stonemasons, and Tile and Marble Setters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ABLE TO LIFT AND CARRY 50 POUNDS. SOME OT AND WEEKENDS REQUIRED. 8 HOUR WORKDAY . Number of Hours Per Week: 40 Work Schedule (Start/End time): 8:00 A.M. - 5:00 P.M.</t>
  </si>
  <si>
    <t>H-400-26185-078785</t>
  </si>
  <si>
    <t>Prepare, season and cook soup, meat, vegetables, desserts, or other foodstuff. Ensure food is stored and cooked at correct temperature by regulating temperature ovens, broilers, grills and roasters. Inspect and clean preparation areas, such as equipment and work surfaces, or serving to ensure safe and sanitary food handling practices. Ensure freshness of food handling and ingredients by checking for quality, keeping track of old and new items, and rotating stock. Job Classification: 35-2014.00 - Cooks, Restaurant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Number of Hours Per Week: 40 Work Schedule (Start/End time): 3:00 P.M. - 11:00 P.M.</t>
  </si>
  <si>
    <t>H-400-26185-078830</t>
  </si>
  <si>
    <t>Prepare daily food items such as cookies and wafers in the kitchen by assisting the baker in weighing the ingredients, recording temperature of ovens, packaging the baked cookies and wafers, and displaying the packaged food items for sale. The primary processes involve measuring ingredients, informing the baker when the ovens are not working properly, cooling the baked items in racks, and packaging the food items for display. Help prepare the dough for baking, extract the dough from the ovens, and bag/box the fresh baked cookies using proper safety precautions and sanitary measures. Provide cooks and kitchen staff with needed items. Clean and sanitize work areas, equipment, utensils, dishes, or silverware. Carry food supplies, equipment, and utensils to and from storage and work areas. Communicate with customers regarding orders, comments, and complaints. Basic equipment includes baking ovens, weighing scale, measuring cups, and spoons. Tasks, duties, and/or requirements to perform these duties include reading the recipe. Gathering ingredients and ensuring all necessary ingredients are fresh. Measuring ingredients accurately. Recording correct temperature to ensure the cookies and wafers are properly cooked. Maintaining a clean and safe bakery kitchen workspace to prevent contamination and ensure product quality. Requirements include precise measurement of ingredients, familiarity with baking equipment, and cleanliness of the bakery kitchen workspaces. Job Classification: 35-2021.00 - Food Preparation Workers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Number of Hours Per Week: 40 Work Schedule (Start/End time): 8:00 A.M. - 4:00 P.M.</t>
  </si>
  <si>
    <t>H-400-26185-078663</t>
  </si>
  <si>
    <t>ALFAROS INDUSTRIAL SERVICES LLC</t>
  </si>
  <si>
    <t>efrain@alfaroscaffold.com</t>
  </si>
  <si>
    <t>+18303869100</t>
  </si>
  <si>
    <t>Scaffolder</t>
  </si>
  <si>
    <t>The Scaffolder is responsible for the safe assembly, installation, modification, and dismantling of scaffolding structures used to support construction and maintenance activities. Duties include erecting scaffolding according to blueprints, project specifications, and safety regulations; inspecting scaffolding components for defects or damage before and after use; ensuring structural stability and proper anchoring of all scaffolding systems; and adjusting scaffolding as required to meet project needs. The worker must follow all OSHA safety standards and company safety procedures, including the use of personal protective equipment (PPE). Responsibilities also include loading, unloading, and transporting scaffolding materials and equipment at the job site. Scaffolders are required to maintain a clean and organized work area, assist with material handling, and perform routine inspection and minor maintenance of scaffolding components. Performs minor and incidental tasks related to scaffolding assembly, including the use of basic tools. No advanced welding or specialized metal fabrication is required. All duties are limited to scaffolding-related activities. Job Classification: 47-2031.00 - Carpenters The job/industry classification and description includes general information on the position from ONET/OES and the North American Industry Classification System. Please review Job Duties and Job Order for more information. Job Requirements Experience Required: No Number of Hours Per Week: 40 Work Schedule (Start/End time): 7:00 A.M. - 3:30 P.M.</t>
  </si>
  <si>
    <t>H-400-26185-078693</t>
  </si>
  <si>
    <t>ALPINE CLEANING AND RESTORATION SPECIALISTS INC</t>
  </si>
  <si>
    <t>monica@rbmservicesinc.com</t>
  </si>
  <si>
    <t>+18016805552</t>
  </si>
  <si>
    <t>Keep buildings in clean and orderly condition. Perform heavy cleaning duties, such as cleaning floor, shampooing rugs, washing walls and glass, and removing rubbish. Duties may include tending furnace and boiler, performing routine maintenance activities, notifying management of need for repairs. Job Classification: 37-2011.00 - Janitors and Cleaners, Except Maids and Housekeeping Cleaners The job/industry classification and description includes general information on the position from ONET/OES and the North American Industry Classification System. Please review Job Duties and Job Order for more information. Job Requirements Experience Required: No Number of Hours Per Week: 40 Work Schedule (Start/End time): 8:00 A.M. - 5:00 P.M.</t>
  </si>
  <si>
    <t>H-400-26185-078786</t>
  </si>
  <si>
    <t>Alpha Landscapes LLC</t>
  </si>
  <si>
    <t>riley@alphalandscapesia.com</t>
  </si>
  <si>
    <t>+15159842651</t>
  </si>
  <si>
    <t>Landscape or maintain grounds of property using hand or power tools or equipment. Workers typically perform a variety of tasks, which may include any combination of the following: sod laying, grading, mowing, trimming, planting, watering, fertilizing, digging, raking, sprinkler installation, and installation of mortarless segmental concrete masonry wall units. Workers will also perform winterization tasks such as winter cutbacks on perennials and plants in order to properly prepare lawn or landscape for winter weather and new growth in the Spring. Maintain irrigation systems, including winterizing the systems before temperatures drop below freezing to prevent damage. Job Classification: 37-3011.00 - Landscaping and Groundskeeping Workers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1 Special Requirements: Workers must have ability to lift 60 pounds. Workers must be able to bend and stoop for extended periods. Number of Hours Per Week: 40 Work Schedule (Start/End time): 7:00 A.M. - 4:00 P.M.</t>
  </si>
  <si>
    <t>H-400-26185-078682</t>
  </si>
  <si>
    <t>America's Catch Inc.</t>
  </si>
  <si>
    <t>cyndis@catfish.com</t>
  </si>
  <si>
    <t>+16622547200</t>
  </si>
  <si>
    <t>Fish Processor</t>
  </si>
  <si>
    <t>General worker needed for fish plant to process and pack fresh and/or frozen fish. Worker may use knives, meat saws, band saws, or other equipment to perform fish cutting and trimming. Worker will clean, trim, slice fish for future processing. Cut and trim fish to prepare for packing. Remove parts such as skin, or bones from carcass. Inspect fish products for defects, bruises, or blemishes. Worker will process primal parts into cuts that are ready for retail use. Separate fish and by products into specified containers. Weigh fish and tag containers for weight and contents. Job Classification: 51-3022.00 - Meat, Poultry, and Fish Cutters and Trimmers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1 Special Requirements: Employer will provide 2 weeks of training that is required for the position. Training is provided at no cost to the workers. Workers shifts/days may vary each week, but workers can expect to work 8 hour shifts five days per week typically. Number of Hours Per Week: 40 Work Schedule (Start/End time): 8:00 A.M. - 5:00 P.M.</t>
  </si>
  <si>
    <t>H-400-26185-078646</t>
  </si>
  <si>
    <t>Bridgeview Advisors LLC</t>
  </si>
  <si>
    <t>H-400-26185-078833</t>
  </si>
  <si>
    <t>Buena Vista Home LLC</t>
  </si>
  <si>
    <t>may@buenavistahome.org</t>
  </si>
  <si>
    <t>+17602940165</t>
  </si>
  <si>
    <t>Provide assistance to individuals who are aged who require help with personal care and activities of daily living support e.g., feeding, bathing, dressing, grooming, toileting, ambulation, preparing meals, doing housekeeping, and doing laundry. Job Classification: 31-1122.00 - Personal Care Aides The job/industry classification and description includes general information on the position from ONET/OES and the North American Industry Classification System. Please review Job Duties and Job Order for more information. Job Requirements Experience Required: No Number of Hours Per Week: 40 Work Schedule (Start/End time): 6:30 P.M. - 2:30 P.M.</t>
  </si>
  <si>
    <t>H-400-26185-078774</t>
  </si>
  <si>
    <t>CAROLINA CONDUIT SYSTEMS, INC. -Mecklenburg</t>
  </si>
  <si>
    <t>kstephens@carolinaconduit.com</t>
  </si>
  <si>
    <t>+17045662870</t>
  </si>
  <si>
    <t>Will assist our superintendent in the services of Underground utilities, Water/Sewer/Utility Construction. Will lift, carry and hold building materials, tools and supplies and clean tools, equipment, material and work areas. Workers will be installing PVC conduit into underground trenches. Workers will use hand tools, shovels, hammers, saws to complete the task. Will dig trenches, measure, cut and lay the conduit into it and then backfill it using only manual tools. Workers may drive a company pickup truck or van to the job site. Job Classification: 47-2151.00 - Pipelayers The job/industry classification and description includes general information on the position from ONET/OES and the North American Industry Classification System. Please review Job Duties and Job Order for more information. Job Requirements Experience Required: No Number of Hours Per Week: 40 Work Schedule (Start/End time): 8:00 A.M. - 4:00 P.M.</t>
  </si>
  <si>
    <t>H-400-26185-078778</t>
  </si>
  <si>
    <t>CAROLINA CONDUIT SYSTEMS, INC. -Wake</t>
  </si>
  <si>
    <t>+19197150111</t>
  </si>
  <si>
    <t>H-400-26185-078712</t>
  </si>
  <si>
    <t>COYOTE LAWN SERVICES LLC</t>
  </si>
  <si>
    <t>mike@ivygreenlawncare.com</t>
  </si>
  <si>
    <t>+17704873205</t>
  </si>
  <si>
    <t>***RFI Response*** Remove and trim bushes and tree limbs with Fiskars and extendable Tree Proners, dispose of brush, rake and clean up ground and leftover debris with rakes, landscape planting of winter rye seed with a seed spreader, spreading mulch, leaf removal with leaf rakes, winterize maintenance of yards including bagging annual flowers with plastic backs and twist ties; activities limited to private residential homes; does NOT include snow removal. ***Original F.a.2*** Remove and trim bushes, dispose of brush, rake and clean up ground and leftover debris, landscape planting, spreading mulch, leaf removal, install rye-grass seed, winter maintenance of yards. Must be able to lift up to 50 lbs. Job Classification: 37-3011.00 - Landscaping and Groundskeeping Workers The job/industry classification and description includes general information on the position from ONET/OES and the North American Industry Classification System. Please review Job Duties and Job Order for more information. Job Requirements Experience Required: No Number of Hours Per Week: 40 Work Schedule (Start/End time): 7:00 A.M. - 4:00 P.M.</t>
  </si>
  <si>
    <t>H-400-26185-078688</t>
  </si>
  <si>
    <t>The Food &amp; Beverage Manager is responsible for overseeing daily dining operations, service standards, and member experiences in a private country club environment. This role supports all restaurant, bar, banquet, and club event operations while ensuring warm, professional, and consistent hospitality. Key responsibilities include supervising and training service staff, managing floor operations, maintaining service standards, assisting with scheduling, coordinating with the culinary team, resolving member and guest concerns, and ensuring dining areas are clean, organized, and properly prepared. The Food &amp; Beverage Manager also supports inventory control, beverage service, event execution, and overall department communication. Job Classification: 35-1012.00 - First-Line Supervisors of Food Preparation and Serving Workers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6 Special Requirements: Six (6) months prior server related experience and hospitality/hotel experience, excellent communication skills, attention to detail, and the ability to lead a team in a polished, member-focused club setting. Background check may be required in accordance with company policy in effect at the time of hiring Number of Hours Per Week: 35 Work Schedule (Start/End time): 10:00 A.M. - 5:00 P.M.</t>
  </si>
  <si>
    <t>H-400-26185-078672</t>
  </si>
  <si>
    <t>D-Voni Cleaning, INC</t>
  </si>
  <si>
    <t>CHRISTOPHER TUCKER</t>
  </si>
  <si>
    <t>chris@workvisaspecialist.com</t>
  </si>
  <si>
    <t>+14042168155</t>
  </si>
  <si>
    <t>The role of the cleaner is to clean homes/apartments, hotel guest rooms, and public areas (bathrooms, lobby, foyer, and hallways. Empty wastebaskets, empty and clean ashtrays, and transport other trash and waste to disposal areas. Sweep floors using brooms and mops. Clean rugs, carpets, upholstered furniture, and draperies, using vacuum cleaners and shampooers. Change linens and restock sanitary items in guest rooms. Job Classification: 37-2011.00 - Janitors and Cleaners, Except Maids and Housekeeping Cleaners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Employees will work Mon-Sun, an average of 35 hrs/wk. Must be able to work any 7 hr shift from 8:00 am to 10:00 pm. Days off rotate, shifts vary, weekends are a must. Number of Hours Per Week: 35 Work Schedule (Start/End time): 8:00 A.M. - 4:30 P.M.</t>
  </si>
  <si>
    <t>H-400-26185-078674</t>
  </si>
  <si>
    <t>Davis Custom Upholstery &amp; Design LLC</t>
  </si>
  <si>
    <t>Christopher Tucker</t>
  </si>
  <si>
    <t>davisupholstering@gmail.com</t>
  </si>
  <si>
    <t>+18457628971</t>
  </si>
  <si>
    <t>**RFI** To indicate the type of material to be worked with as wood. **Original** Repair, build, and restore furniture items. Help design and cut pieces used to build new furniture. Fix items that are able to be done. Utilize different tools including jigsaws, drills, hammers, nail guns, and table saws. Job Classification: 47-2031.00 - Carpenters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Must be able to lift 25lbs Number of Hours Per Week: 35 Work Schedule (Start/End time): 8:00 A.M. - 5:00 P.M.</t>
  </si>
  <si>
    <t>H-400-26184-075857</t>
  </si>
  <si>
    <t>Todd Burris Ground Effects, LLC</t>
  </si>
  <si>
    <t>groundeffects.llc@comcast.net</t>
  </si>
  <si>
    <t>+17244625424</t>
  </si>
  <si>
    <t>Landscape or maintain grounds of property using hand or power tools or equipment. Workers must be able to perform a variety of task without close supervision, which may include any combination of the following: sod laying, mowing, trimming, planting, watering, fertilizing, digging, raking, and installation of mortarless segmental concrete masonry wall units. Must exercise independent judgement; may be asked to demonstrate tasks to other employees but position does not include supervision of other workers. Job Classification: 37-3011.00 - Landscaping and Groundskeeping Workers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Must lift/carry 75 lbs when necessary. Saturday and Sunday work required, when necessary.Employer may offer more than the stated work hours, depending on weather, business needs, and other conditions. Extreme heat, cold, rain, or drought may affect exact working hours. Number of Hours Per Week: 40 Work Schedule (Start/End time): 6:00 A.M. - 2:30 P.M.</t>
  </si>
  <si>
    <t>H-400-26185-078687</t>
  </si>
  <si>
    <t>Eich's LLC</t>
  </si>
  <si>
    <t>toddeich72@yahoo.com</t>
  </si>
  <si>
    <t>+18133044987</t>
  </si>
  <si>
    <t>H-400-26185-078676</t>
  </si>
  <si>
    <t>Exchange Abroad USA LLC</t>
  </si>
  <si>
    <t>echangeabroadusa@gmail.com</t>
  </si>
  <si>
    <t>+18438391699</t>
  </si>
  <si>
    <t>Workers will perform general cleaning of hotel and condo rooms to include: Stripping and remaking beds, taking out the trash, cleaning bathrooms and kitchens, vacuuming and dusting all rooms, washing dishes and appliances, washing and folding of linens (potentially) and cleaning foyers and common areas around the rooms and hotel. Job Classification: 37-2012.00 - Maids and Housekeeping Cleaners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Work schedules vary, typically 35 hours a week with 2 days off per week. Availability must include nights, weekends, and holidays. Number of Hours Per Week: 35 Work Schedule (Start/End time): 8:00 A.M. - 4:30 P.M.</t>
  </si>
  <si>
    <t>H-400-26185-078744</t>
  </si>
  <si>
    <t>Green Touch Lighting and Snow Inc</t>
  </si>
  <si>
    <t>03/04/2027</t>
  </si>
  <si>
    <t>eric@greentouchservices.com</t>
  </si>
  <si>
    <t>+13173352628</t>
  </si>
  <si>
    <t>Shovel accumulated deposits of snow on an ongoing basis in extreme weather conditions on various properties, operate snowblower. Lift up to 50 lbs. Job Classification: 37-2011.00 - Janitors and Cleaners, Except Maids and Housekeeping Cleaners The job/industry classification and description includes general information on the position from ONET/OES and the North American Industry Classification System. Please review Job Duties and Job Order for more information. Job Requirements Experience Required: No Number of Hours Per Week: 40 Work Schedule (Start/End time): 8:00 A.M. - 5:00 P.M.</t>
  </si>
  <si>
    <t>H-400-26185-078783</t>
  </si>
  <si>
    <t>Home Team Inc.</t>
  </si>
  <si>
    <t>homeranger1@yahoo.com</t>
  </si>
  <si>
    <t>+18173300888</t>
  </si>
  <si>
    <t>Perform tasks involving physical labor to move/install factory built homes. Carry and stack cinder blocks, use jacks to level home and use electric auger to screw anchors into ground. May operate hand and power tools of all types: air hammers, earth tampers, cement mixers, small mechanical hoists, nail gun, screw gun, box cutter, paint brushers and rollers, tape measure, wheelbarrows, batter operated drills, wrenches, pliers. May clean and prepare sites, dig trenches, set braces to support the sides of excavations, erect scaffolding, and clean up rubble and debris. Touch up paint on interior and exterior, using paint; spread gravel; lay grass/sod; and install 4” drainage pipe for French drains, irrigation repair and installation on residential properties and minor planting. Dig holes using hand tools or equipment with a max depth/width of 3 ft to install sprinkler systems/plants and create drainage paths. Involves loading and unloading tools and supplies and equipment weighing up to 50 lbs. Involves working outdoors in all types of weather. Involves extensive standing, sitting or walking. Involves frequent stooping or bending. Involves repetitive movements. Possibility of performance based raise, bonuses, overtime and Saturdays as required. Transportation provided to multiple worksites from central location in Alvarado, TX. 60 minutes of unpaid breaks throughout the day. Daily hours may vary between start and end times listed depending on weather or job assignments. Job Classification: 47-2141.00 - Painters, Construction and Maintenance The job/industry classification and description includes general information on the position from ONET/OES and the North American Industry Classification System. Please review Job Duties and Job Order for more information. Job Requirements Experience Required: No Number of Hours Per Week: 40 Work Schedule (Start/End time): 7:00 A.M. - 4:00 P.M.</t>
  </si>
  <si>
    <t>H-400-26185-078794</t>
  </si>
  <si>
    <t>J&amp;J Corporation, Inc.</t>
  </si>
  <si>
    <t>office@soykointernational.com</t>
  </si>
  <si>
    <t>+12183568214</t>
  </si>
  <si>
    <t>Seed Plant Worker / Mill Operator</t>
  </si>
  <si>
    <t>Workers will work at Soyko International, Inc’s soybean cleaning, conditioning, and shipping facility. The facility receives cleans and conditions soybeans and ships them to wholesale and retail customers on trucks. Workers will perform the following duties: Clean and load soybean seed-cleaning equipment, including Grain Receiving Identity Preserve (IP) Storage Bins, destoner, Harada Belt Sorter, VDMC, Color Sorter, magnetic sorting system. Monitor operation of the soybean-cleaning equipment, mentioned above, to ensure that soybean products are cleaned and sorted based on size, shape, weight, density, and color. Ensure quality of soybean product (discard discolored, stained, or split beans). Load customer trucks with soybean and soybean-seed orders. Unload incoming trucks. Load truck containers. Ensure that all trucks are labeled with the correct contents (seeds or soybeans, and type of product). Weigh all trucks and label appropriately and correctly with type of product. Keep inventory of product that is in bins and keep inventory-tracking white boards up-to-date and accurate. Report inventory of product to office personnel on a daily basis. Package product according to customer specifications. Verify and maintain records on incoming and outgoing shipments involving inventory. Duties include verifying and recording incoming merchandise or material and arranging for the transportation of products. May prepare items for shipment. Keep all work areas in a clean and organized condition. Clean equipment, mentioned above, thoroughly when switching varieties of soybeans. Work in a manner consistent with “Quality and Customer First.” Perform any other duty or assignment as may be assigned by the supervisor. F.a.5a-F.a.6b: 35+ hours/week. 8-hour shifts between 8:00 am and 5:00 pm. 5 days per week, Mon-Fri. May work more than the guaranteed hours. May work overtime. OT varies and must be pre-approved. F.b.8a: Workers will be paid no less than the wage listed. Employer may pay higher wage rates to workers based on seniority with employer and level of skill. Overtime hours may vary. F.b.8a: Depending on work conditions, the employer may offer workers performing certain tasks during certain periods of the season an opportunity to earn an incentive bonus over and above the guaranteed rate of pay set forth above. If offered, such incentive bonuses will be based on the quantity and quality of work performed and offered to all workers working on the activity(ies) and during the time period(s) when such incentive bonuses are offered. If an incentive bonus is offered, the fact that the bonus is to be offered and the manner in which the bonus will be determined, will be explained to all affected workers before the start of any work period or activity subject to such a bonus. Incentive bonuses are offered at the sole discretion of the employer, and no bonus or opportunity to earn a bonus is promised or guaranteed. F.b.9: Effective January 1, 2024, per MN State Statute, an employee will earn one hour of paid sick and safe time for every 30 hours worked, up to at least 48 hours of accrued Earned Sick and Safe Time (ESST) per year, provided the employee works a minimum of 80 hours in a calendar year. Job Classification: 43-5071.00 - Shipping, Receiving, and Inventory Clerks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No formal education, training or experience required. On-the-job training will be provided. Must be able to speak basic English to take instructions from supervisor and communicate with employees. Must be able to conduct simple math problems to count and report on inventory and to label products. Able to read and write English well enough to read and understand process instructions, work orders, and other paperwork. Physically capable of loading and unloading pallets, trucks, bins, etc. Able to operate the forklift trucks. Have general knowledge of or willingness to learn seed processing methods and procedures. Able to present at least three job references. Able to lift 100 pounds. Have excellent eyesight and depth perception. Have basic mechanical ability to troubleshoot production problems or be willing to be trained in this area. Work is primarily performed in the plant that is subject to extremes of heat in summer and extreme cold in winter, including freeze. There will be exposure to dust and high noise levels. There may be exposure to hazardous materials as well as potentially dangerous mechanical equipment. Number of Hours Per Week: 35 Work Schedule (Start/End time): 8:00 A.M. - 5:00 P.M.</t>
  </si>
  <si>
    <t>H-400-26185-078650</t>
  </si>
  <si>
    <t>JCT Roofing LLC</t>
  </si>
  <si>
    <t>jctroofingllc15@gmail.com</t>
  </si>
  <si>
    <t>+14064229785</t>
  </si>
  <si>
    <t>Helpers--roofers</t>
  </si>
  <si>
    <t>Duties may include: Locate worn or torn areas in roofs. Prepare roofs for the application of new roofing materials by sweeping, cleaning, and removing old or damaged roofing materials. Cover roofs with layers of asphalt strips, felt, or ice and water shield before the installation of composite shingles, membrane, metal, slate, or tile roofing. Assist roofers with installation of new roofs by hauling roofing materials and supplies as requested. Place composition shingles, membrane, metal, slate or tiles, secure to roof deck, and cover nailheads with roofing cement. Ensure completed roofs are watertight. Use hand tools such as caulking gun, flat bar, hammer tacker, nail gun, razor knife, roofing shovel, or tin snips. Clear drains and downspouts and clean gutters. Clean up and remove any roofing debris to onsite trash receptacles to ensure clean and safe worksite &amp; other related Helpers--Roofers activities as per SOC/OES 47-2181 (onetonline.org). Standard/Expected Schedule: Monday-Friday 7:00AM-7:00PM. Offering 50+ (plus) hours per week; not including applicable lunch and/or breaks. Possible weekend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Piece rate may apply: worker will never make less than Prevailing Wage or Federal/State/Local minimum wage. Optional, shared furnished housing available to the worker (including: electricity, internet, power &amp; water) at a monthly housing rate up to $300; if optional housing is agreed upon by the worker, monthly housing rate is to be paid directly to the landlord each month. Job Classification: 47-2181.00 - Roofers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Must be 18 due to equipment use. Must show proof of legal authorization to work in the United States. Drug/alcohol/tobacco free work zone. Perform physical activities: such as lift, balance, walk, stoop, handle, position, move, manipulate materials use static strength to exert maximum muscle force to lift, push, pull, carry objects up to 50lbs. All applicants must be able, willing and qualified to perform work described and must be available for the entire period specified and work throughout all areas of intended employment. Possible background check post hire at employer's expense.Work is performed outdoors, exposed to weather; must be capable of doing physically strenuous labor for long hours, occasionally in extreme heat or cold. Variable weather conditions apply; hours may fluctuate (+/-), possible downtime and/or overtime. Number of Hours Per Week: 40 Work Schedule (Start/End time): 7:00 A.M. - 7:00 P.M.</t>
  </si>
  <si>
    <t>H-400-26185-078829</t>
  </si>
  <si>
    <t>JKA Cleaning LLC</t>
  </si>
  <si>
    <t>jkacleaningga@gmail.com</t>
  </si>
  <si>
    <t>+16788951560</t>
  </si>
  <si>
    <t>The role of the cleaner is to clean homes/apartments, hotel guest rooms, and public areas (bathrooms, lobby, foyer, and hallways. Empty wastebaskets, empty and clean ashtrays, and transport other trash and waste to disposal areas. Sweep floors using brooms and mops. Clean rugs, carpets, upholstered furniture, and draperies, using vacuum cleaners and shampooers. Change linens and restock sanitary items in guest rooms. Job Classification: 37-2011.00 - Janitors and Cleaners, Except Maids and Housekeeping Cleaners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Work Schedule may vary, typically 40 hours a week with 2 days scheduled off per week. Availability must include nights, weekends, and holidays. Number of Hours Per Week: 35 Work Schedule (Start/End time): 8:00 A.M. - 4:30 P.M.</t>
  </si>
  <si>
    <t>H-400-26185-078815</t>
  </si>
  <si>
    <t>JYS Exterior Illuminations LLC</t>
  </si>
  <si>
    <t>Natalia  Riveros-Jacobsen</t>
  </si>
  <si>
    <t>jason@jystotal.com</t>
  </si>
  <si>
    <t>+14054011677</t>
  </si>
  <si>
    <t>Clean and prepare the exterior of homes and businesses for holiday decoration, removing obstructions and debris as needed. Assist with assembling and hanging exterior seasonal decorations. Remove decorations at the end of the season. Clean, place into storage containers. Dispose of trash Job Classification: 49-9099.00 - Installation, Maintenance, and Repair Workers, All Other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1 Special Requirements: Must be able to lift 50 lbs or more and not be afraid of heights Number of Hours Per Week: 40 Work Schedule (Start/End time): 7:00 A.M. - 4:00 P.M.</t>
  </si>
  <si>
    <t>H-400-26185-078691</t>
  </si>
  <si>
    <t>KTM Contractors LLC</t>
  </si>
  <si>
    <t>gary@activelandscapemanagement.com</t>
  </si>
  <si>
    <t>+18335228483</t>
  </si>
  <si>
    <t>Apply plasterboard or other wallboard to ceilings or interior walls of buildings. Apply or mount\ acoustical tiles or blocks, strips, or sheets of shock-absorbing materials to ceilings and walls of buildings to reduce or reflect sound. Materials may be of decorative quality. Includes lathers who fasten wooden, metal, or rockboard lath to walls, ceilings or partitions of buildings to provide support base for plaster, fire-proofing, or acoustical material. Lift up to 45lbs Job Classification: 47-2081.00 - Drywall and Ceiling Tile Installers The job/industry classification and description includes general information on the position from ONET/OES and the North American Industry Classification System. Please review Job Duties and Job Order for more information. Job Requirements Experience Required: No Number of Hours Per Week: 40 Work Schedule (Start/End time): 8:00 A.M. - 5:00 P.M.</t>
  </si>
  <si>
    <t>H-400-26185-078787</t>
  </si>
  <si>
    <t>L&amp;K Tree &amp; Shrub, Inc.</t>
  </si>
  <si>
    <t>lk4700@aol.com</t>
  </si>
  <si>
    <t>+17634974700</t>
  </si>
  <si>
    <t>Landscape or maintain grounds of property using hand or power tools/equipment. Workers typically perform a variety of tasks, which may include any combination of the following: laying sod, trimming, planting, watering, fertilizing, digging, raking, wrapping tree roots with burlap, hauling rock, soil preparation, sprinkler installation. Must be able to lift/carry up to 50 pounds consistently all day long. Work is supervised. May perform other job duties pursuant to 37-3011, Landscaping and Groundskeeping Workers. F.a.5a-F.a.6b: 35+ hours/week. 8-hour shifts between 7:00 am and 5:00 pm (extended daily hours when necessary); 5 days per week, Mon-Fri. May work evenings, weekends, holidays, as needed. Schedule (including workdays) may vary. May work more than the guaranteed hours. May work overtime. OT varies. F.b.8a: Workers will be paid no less than the wage listed. Employer may pay higher wage rates to workers based on seniority with employer and level of skill. Overtime hours may vary. F.b.9: Effective Jan 1, 2024, per MN State Statute, an employee will earn one hour of paid sick and safe time for every 30 hours worked, up to at least 48 hours of accrued Earned Sick and Safe Time (ESST) per year, provided the employee works a minimum of 80 hours in a calendar year. F.c.1: The H-2B Temporary Landscape Laborers will perform job duties at 3240 Iffert Ave. NE, St. Michael, MN 55376 and at multiple worksites within the area of intended employment, including the following counties: Anoka, Carver, Chisago, Dakota, Hennepin, Isanti, Le Sueur, Ramsey, Scott, Sherburne, Washington, Wright, Redwood, Sibley, Olmstead, Faribault, Morrison, Benton, Kanabec, Lake, and St. Louis. May travel to other counties within the area of intended employment of headquarters in St. Michael. F.d.1: Employer will provide daily transportation from the shop at 3240 Iffert Ave. NE, St. Michael, MN 55376 to and from worksites. F.d.4: Workers have the option of employer-provided housing for $300 per month, and if elected, employer will deduct costs from worker’s paycheck. Workers also have the option of securing their own lodging. Job Classification: 37-3011.00 - Landscaping and Groundskeeping Workers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No formal education, training or experience required. Must be able to lift/carry up to 50 pounds consistently all day long. Random drug testing during employment. On-the-job training will be provided. Number of Hours Per Week: 35 Work Schedule (Start/End time): 7:00 A.M. - 5:00 P.M.</t>
  </si>
  <si>
    <t>H-400-26184-075878</t>
  </si>
  <si>
    <t>Trees Are Us Forestry, LLC</t>
  </si>
  <si>
    <t>treesareusforest@aol.com</t>
  </si>
  <si>
    <t>+18708205111</t>
  </si>
  <si>
    <t>Manual itinerant work to perform hand tree planting, pre-commercial thinning, and herbicide application to reforest and maintain timberlands. Plant bare-root or containerized trees using a shovel, hoe dad, dibble bar, or hoe. Transport trees in a tree bag and select optimum planting location that meets spacing, soil and shade requirements. Bare soil as needed. Dig holes at pre-determined intervals. Place seedling in hole and pack soil firmly around plant using foot and planting tool. Sort tree seedlings, discarding substandard seedlings, according to standard charts or verbal instructions. Identify diseased or undesirable trees and remove them, using power saws or hand saws. Thin and space trees and control weeds and undergrowth, using manual tools and chemicals, or supervise workers performing these tasks. Fill sprayer tanks with water and chemicals, according to formulas. Perform reforestation or forest renewal. Confer with other workers to discuss issues such as safety, cutting heights, or work needs. Check equipment to ensure that it is operating properly. Mix herbicides for application to trees, shrubs, lawns, or botanical crops. As a minor activity, mark boundary lines. Workers who apply for and obtain, or currently hold a FLC or FLCE certificate of registration with driving authorized by the USDOL Wage and Hour Division during the employment period may transport workers, count and check, and may be offered additional work hours. Employer may pay a piece rate of $30.00 per 1000 trees planted correctly or the highest prevailing wage rate in each state, whichever is higher. Job Classification: 45-4011.00 - Forest and Conservation Workers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No education or experience required. Must be 18 years or older. Requires physical stamina. Must lift and carry 50 lbs. Extensive walking over rough terrain. Work is in adverse weather. Production standard of 2000 tree seedlings planted correctly per eight hour day after one week of on the job training. Work schedule and locations dependent on weather conditions. Overnight travel is required. Must pass drug screenings. Saturday and Sunday work required, when necessary. Employer may offer more than the stated work hours depending on weather, business needs, and other conditions. Extreme heat, cold, rain, or drought may affect exact working hours. Number of Hours Per Week: 40 Work Schedule (Start/End time): 8:00 A.M. - 5:00 P.M.</t>
  </si>
  <si>
    <t>H-400-26185-078804</t>
  </si>
  <si>
    <t>Lanehart Childcare</t>
  </si>
  <si>
    <t>Glendia Evans</t>
  </si>
  <si>
    <t>chelseasimmons@me.com</t>
  </si>
  <si>
    <t>+15127734638</t>
  </si>
  <si>
    <t>Preeschool / Early Education Enrichment Teacher</t>
  </si>
  <si>
    <t>• Implement parent-provided early childhood development curriculum that supports the different areas of child development and aligns with the family’s established values and home environment for children aged 2, 4 and 7. • Stimulate the intellectual, physical and emotional growth and development by teaching basic language skills, providing interactive learning activities and ensuring over-all wellbeing. • Develop interactive and sensory activities tailored to the child’s attention span, ensuring developmental growth. Use behavior management techniques, such as reward systems, to encourage task completion and good behavior. • Employ structured routines and calming strategies to manage ADHD symptoms and promote the child’s emotional stability. • Assist with daily tasks such as feeding, grooming, and personal hygiene, considering the child’s unique physical and developmental needs. • Manage allergy management protocols to ensure exposure to known allergy triggers are avoided and to provide appropriate medications and/or care if allergy is triggered. • Plan and integrate age-appropriate Portuguese language lessons into daily routine. Specifically: • Introduce the child to Portuguese traditions, art, and music to enhance cultural understanding and appreciation. • Use dual-language materials, including books, flashcards, and visual aids, to develop proficiency in both English and Portuguese. • Source and execute activities, field trips, etc., that support developmental, language and cultural enrichment activities. • Update parents regarding the child’s progress against developmental goals. • Transport child to and from various activities. • Organize games, art, music, and field trips to foster overall development. • Reinforce character formation rooted in kindness, honesty, patience, self-control, forgiveness, and gratitude • Respect and support the family’s moral framework in caregiving and educational practices. Job Classification: 39-9011.01 - Nannies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24 Special Requirements: Experience of driving a car for at least 5-6 years and clean driving record (for insurability purposes). First Aid and CPR certified (or ability to become so) also required. Fluency in both English and Portuguese. Ability to lift up to 25 pounds regularly; passport and ability to travel both domestically and internationally also required. Comfort with and willingness to support the familys established faith-based home routines, including participation in structured daily practices (such as prayer, scripture reading, and faith-oriented activities) as directed by the parents. Minimum one (1) year of hands-on experience working with children diagnosed with ADHD, including applying structured routines, behavioral management strategies, and calming techniques appropriate for young children with attention and self-regulation challenges. Knowledge and/or experience with management of allergy protocols. Number of Hours Per Week: 40 Work Schedule (Start/End time): 8:00 A.M. - 5:00 P.M.</t>
  </si>
  <si>
    <t>H-400-26185-078745</t>
  </si>
  <si>
    <t>Magton Inc</t>
  </si>
  <si>
    <t>digitsdf@aol.com</t>
  </si>
  <si>
    <t>+16093998555</t>
  </si>
  <si>
    <t>Facilities Maintenance Worker</t>
  </si>
  <si>
    <t>Job Duties: Remove furniture from guest rooms; install accent wall shiplap panels behind countertops in all rooms; hang and install new big-screen TVs in all rooms; perform painting and carpet cleaning; remove and power wash all AC units; and provide general maintenance in all rooms, common areas, and the 16 one-bedroom condominiums under our hotel management. Job Classification: 49-9071.00 - Maintenance and Repair Workers, General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Must be able to speak Spanish and English to communicate with staff. F.a.5 A-H. (CONTINUED): 8 hours per day.Monday - Friday 8am-4pm.OT hourspossible. Number of Hours Per Week: 40 Work Schedule (Start/End time): 8:00 A.M. - 4:00 P.M.</t>
  </si>
  <si>
    <t>H-400-26185-078690</t>
  </si>
  <si>
    <t>Morin's Landscaping, Inc.</t>
  </si>
  <si>
    <t>michele@morinslandscaping.com</t>
  </si>
  <si>
    <t>+16038825835</t>
  </si>
  <si>
    <t>Preventative maintenance &amp; repairs of mowers, blowers, general landscape equipment, light duty gasoline powered trucks (no heavy duty truck work requiring a commercial drivers license), tractors and utility trailers used for landscape operations. The tractors we service are Kubota, Hitachi and Hyundai with diesel engines, however these employees would not service or perform engine work. The work that they perform on these machines would be limited to maintaining the interior and exterior cleanliness and often times power washing these machines. The general landscape equipment includes gas powered lawn mowers, back pack blowers, trimmers, chainsaws, brush cutters, and other related landscape power tools. We perform regular service and repairs on a fleet of 60 plus light duty trucks, 80 plus mowers and 300 plus pieces of general landscape small engine equipment. This includes blade sharpening, drive belt, lubricant and tire changes. The tools and techniques used to perform this work includes wrenches, screwdrivers, air powered impact tools with sockets, ratchets, hammers, and most anticipated mechanic tools. Periodically there may be a need to assist a landscape crews perform the following tasks: Apply fertilizers; prepare lawns &amp; flower beds for spring season; Mow, trim &amp; edge lawns; water turf &amp; flower beds, perform spring, fall &amp; late season cleanups; weed beds; plant trees, shrubs, lawns, &amp; flowers; spread mulch; mid-season pruning; install, repair sprinklers, installation of motarless segmental concrete masonry units Job Classification: 49-3023.00 - Automotive Service Technicians and Mechanics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24 Special Requirements: Driver's license or ability to obtain a driver's license Pre-employment drug testing required. Able to lift 50lbs. Monday - Sunday schedule, must be able to work Saturdays &amp; Sundays as needed. Normal schedule is from 7:00am to 4:00pm. Second shift 1:00pm to 10:00pm may be requested. Days &amp; start/end times may vary based upon weather. Number of Hours Per Week: 40 Work Schedule (Start/End time): 7:00 A.M. - 4:00 P.M.</t>
  </si>
  <si>
    <t>H-400-26185-078686</t>
  </si>
  <si>
    <t>Apply fertilizers; prepare lawns &amp; flower beds for spring season; Mow, trim &amp; edge lawns; water turf &amp; flower beds, perform spring, fall &amp; late season cleanups; weed beds; plant trees, shrubs, lawns, &amp; flowers; spread mulch; mid-season pruning; install, repair sprinklers, installation of motarless segmental concrete masonry units Job Classification: 37-3011.00 - Landscaping and Groundskeeping Workers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PRE-EMPLOYMENT DRUG TESTING REQUIRED. ABLE TO LIFT 50LBS. MON-SUN SCHEDULE, MUST BE ABLE TO WORK SATURDAYS &amp; SUNDAYS AS NEEDED, 7AM-4PM; DAYS &amp; START/END TIMES MAY VARY BASED UPON WEATHER. Number of Hours Per Week: 40 Work Schedule (Start/End time): 7:00 A.M. - 4:00 P.M.</t>
  </si>
  <si>
    <t>H-400-26185-078660</t>
  </si>
  <si>
    <t>NORTIAN FOODTECH LLC</t>
  </si>
  <si>
    <t>Marcelo Gondim</t>
  </si>
  <si>
    <t>felipe.rolim@nortian.com</t>
  </si>
  <si>
    <t>+18169989684</t>
  </si>
  <si>
    <t>***RFI Response*** TO ASSIST PRODUCTION EMPLOYEES IN THE MANUFACTURING OF COLLAGEN PEPTIDE PRODUCTS BY PACKAGING, SEALING, LABELING, AND ORGANIZING FINISHED COLLAGEN PRODUCTS ACCORDING TO COMPANY STANDARDS; PREPARE PACKAGED ITEMS FOR STORAGE OR SHIPMENT; CONTINUOUSLY SUPPLY RAW MATERIALS TO THE CONVEYOR BELT OR PRODUCTION LINE TO ENSURE UNINTERRUPTED MANUFACTURING OPERATIONS, INCLUDING PHYSICALLY RETRIEVING MATERIALS FROM DESIGNATED STORAGE OR STAGING AREAS, TRANSPORTING THEM TO THE PRODUCTION LINE, AND PLACING RAW MATERIALS ONTO THE CONVEYOR BELT OR INTO THE DESIGNATED FEED INLET OF PRODUCTION EQUIPMENT UNDER THE GUIDANCE AND DIRECT SUPERVISION OF PRODUCTION STAFF. THE WORKER WILL MANUALLY CARRY AND LIFT RAW MATERIAL CONTAINERS, BINS, OR BAGS (UP TO 50 LBS) AND USE A HAND TRUCK OR DOLLY TO TRANSPORT HEAVIER OR BULKIER LOADS. STANDARD PERSONAL PROTECTIVE EQUIPMENT (PPE), INCLUDING GLOVES, APRON, AND SAFETY FOOTWEAR, WILL BE USED IN ACCORDANCE WITH FACILITY SAFETY PROTOCOLS; MOVE, LOAD, AND STAGE MATERIALS AND FINISHED GOODS AS DIRECTED BY PRODUCTION STAFF BY MANUALLY CARRYING AND LIFTING CONTAINERS AND PACKAGES (UP TO 50 LBS), USING A HAND TRUCK OR DOLLY TO TRANSPORT BINS, DRUMS, OR INTERMEDIATE PRODUCT CONTAINERS ACROSS THE PRODUCTION FLOOR, AND PLACING AND ORGANIZING FINISHED GOODS ON SHELVING UNITS OR IN DESIGNATED STAGING AREAS BASED ON VISUAL LABELING AND INSTRUCTIONS FROM PRODUCTION STAFF; MAINTAIN WORKSTATION CLEANLINESS, REMOVE WASTE, AND ENSURE EQUIPMENT AND MATERIALS ARE PROPERLY ARRANGED; SUPPORT PRODUCTION WORKERS WITH BASIC TASKS THAT DO NOT REQUIRE SPECIALIZED SKILLS, INCLUDING SIMPLE AND ROUTINE EQUIPMENT OPERATION UNDER DIRECT SUPERVISION, SUCH AS CONVEYOR BELT CONTROLS (START/STOP FUNCTIONS ONLY, TO REGULATE MATERIAL FLOW); BASIC HAND TOOLS (INCLUDING UTILITY KNIVES, CUTTING TOOLS, AND SCOOPS USED FOR OPENING RAW MATERIAL PACKAGING OR TRANSFERRING MATERIALS); DRUM TILTERS OR BIN DUMPERS (USED TO ASSIST IN TRANSFERRING MATERIALS INTO PROCESSING EQUIPMENT UNDER SUPERVISION). ***Original F.a.2*** To assist production employees in the manufacturing of collagen peptide products by packaging, sealing, labeling, and organizing finished collagen products according to company standards; prepare packaged items for storage or shipment. Continuously supply raw materials to the conveyor belt or production line to ensure uninterrupted manufacturing operations. Move, load, and stage materials and finished goods as directed by production staff. Maintain workstation cleanliness, remove waste, and ensure equipment and materials are properly arranged. Support production workers with basic tasks that do not require specialized skills, including simple equipment operation under supervision. Job Classification: 53-7063.00 - Machine Feeders and Offbearers The job/industry classification and description includes general information on the position from ONET/OES and the North American Industry Classification System. Please review Job Duties and Job Order for more information. Job Requirements Experience Required: No Number of Hours Per Week: 35 Work Schedule (Start/End time): 8:00 A.M. - 3:00 P.M.</t>
  </si>
  <si>
    <t>H-400-26185-078750</t>
  </si>
  <si>
    <t>Paul's Landscape and Design</t>
  </si>
  <si>
    <t>paullandscaping.inc@hotmail.com</t>
  </si>
  <si>
    <t>+12159491104</t>
  </si>
  <si>
    <t>Shovel accumulated deposits of snow on an ongoing basis in extreme weather conditions on various properties, operate snowblower. Lifting required up to 50 lbs. Job Classification: 37-2011.00 - Janitors and Cleaners, Except Maids and Housekeeping Cleaners The job/industry classification and description includes general information on the position from ONET/OES and the North American Industry Classification System. Please review Job Duties and Job Order for more information. Job Requirements Experience Required: No Number of Hours Per Week: 40 Work Schedule (Start/End time): 8:00 A.M. - 5:00 P.M.</t>
  </si>
  <si>
    <t>H-400-26184-077940</t>
  </si>
  <si>
    <t>Westside Tank &amp; Truck Wash LLC</t>
  </si>
  <si>
    <t>adeboer@itcmilbank.com</t>
  </si>
  <si>
    <t>+12256636866</t>
  </si>
  <si>
    <t>Truck Washer</t>
  </si>
  <si>
    <t>Wash or otherwise clean agricultural &amp; commercial trucks &amp; equipment. Use water, cleaning agents, pressure washers, scrubbers, brushes, cloths and hoses. Cleaning valves, interior and exterior of hoses and pipes, hose trays, ladders, platform for hatches, on semi-trailer trucks, RVs and other vehicles. Work at heights up to 13'. Involves loading and unloading tools and supplies and equipment weighing up to 50 lbs. Involves working outdoors in all types of weather. Involves extensive standing, sitting or walking. Involves frequent stooping or bending. Involves repetitive movements. Post Hire/Employer Paid Drug Test. Post Hire/Employer Paid Background Check. May provide housing if available, housing is optional. $300 per person/per month, tenant pays utilities separate (subject to change based on local market/inflation). Possibility of performance based raise, bonuses, overtime and Saturdays as required. Transportation provided to multiple worksites from central location in Port Allen, LA. 60 minutes of unpaid breaks throughout the day. Daily hours may vary between start and end times listed depending on weather or job assignments. Job Classification: 53-7061.00 - Cleaners of Vehicles and Equipment The job/industry classification and description includes general information on the position from ONET/OES and the North American Industry Classification System. Please review Job Duties and Job Order for more information. Job Requirements Experience Required: No Number of Hours Per Week: 40 Work Schedule (Start/End time): 7:00 A.M. - 5:00 P.M.</t>
  </si>
  <si>
    <t>H-400-26185-078837</t>
  </si>
  <si>
    <t>R. Towns Enterprises, LLC</t>
  </si>
  <si>
    <t>yancey@townslandservices.com</t>
  </si>
  <si>
    <t>+15126582325</t>
  </si>
  <si>
    <t>Landscape or maintain grounds of property using hand or power tools or equipment. Workers typically perform a variety of tasks, which may include any combination of the following: sod laying, mulching, mowing, trimming, planting, watering, fertilizing, digging, raking, sprinkler installation, installing rock, installing granite, and weed control application. Tools/Machines used- mini x, skid steer, hydroseeder, trencher, sod roller, big wheel loader, shovels, hammers, pipe cutters, wheelbarrows, wire locaters, PVC glue/fittings. Job Classification: 37-3011.00 - Landscaping and Groundskeeping Workers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Work Schedule: Monday through Friday, 6:00 a.m. to 5:00 p.m. Occasional Saturdays may be available and/or required depending on workload, weather, and customer demand. Anticipated hours: approximately 5060 hours per week. Work schedule and hours may vary based on weather, workload, and business needs. Number of Hours Per Week: 60 Work Schedule (Start/End time): 6:00 A.M. - 5:00 P.M.</t>
  </si>
  <si>
    <t>H-400-26185-078824</t>
  </si>
  <si>
    <t>Ramonda Landscape Group, Inc.</t>
  </si>
  <si>
    <t>Scott Patterson</t>
  </si>
  <si>
    <t>rparlman@gmail.com</t>
  </si>
  <si>
    <t>+13145754617</t>
  </si>
  <si>
    <t>Landscape Pruners</t>
  </si>
  <si>
    <t>***RFI response*** With regard to the job duties of “Trim and thin deadwood dormant ornamental hard and softwood trees to promote vigorous growth,” all work is performed from the ground and there is no use of aerial equipment or climbing of trees. ***Original*** Trim and thin deadwood dormant ornamental hard and softwood trees to promote vigorous growth. Tools used include pole saws, pole pruners, hand saws, chain saws and a limb shredder/chipper. Job Classification: 37-3019.00 - Grounds Maintenance Workers, All Other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Must be able to bend, stoop, climb ladders, lift 25 pounds. Number of Hours Per Week: 40 Work Schedule (Start/End time): 8:00 A.M. - 4:00 P.M.</t>
  </si>
  <si>
    <t>H-400-26185-078651</t>
  </si>
  <si>
    <t>Red Creek Tree Planting, LLC</t>
  </si>
  <si>
    <t>tiendalaescondida@yahoo.com</t>
  </si>
  <si>
    <t>+15187556787</t>
  </si>
  <si>
    <t>Manual itinerant work hand planting tree seedlings to reforest and maintain timberlands. Transport trees in a tree bag and select optimum planting location to meet spacing, soil, and shade requirements; bare soil. Dig holes at predetermined intervals using mattock-like tool or dibble. Place seedling in hole and pack soil firmly around plant using foot and/or planting tool. Worker may perform only part of the planting function such as bearing soil, operating auger, or tamping soil around plant. Select or cut trees according to markings or sizes, types, or grades. Workers who hold or obtain a MSPA certificate with driving authorization may transport workers, count and check, and may be offered additional work hours. These jobs involve propagating, protecting, and managing forest tracts. Workers who possess a Farm Labor Contractor Employee Certificate and operate an inspected company vehicle may transport crew members from their housing location to the initial worksite and between worksites during the workday, as necessary, under manager supervision. Transportation duties are incidental to the primary forestry work being performed. “Count and check” refers to verifying crew attendance by counting workers before departure, upon arrival at the worksite, and as needed throughout the workday. Workers who hold a valid FLCE Certificate may be offered additional hours associated with transporting crew from their housing location to the initial worksite before the start of the workday, under manager supervision. These duties are limited to authorized transportation activities and any related attendance verification necessary to ensure all workers arrive safely and are accounted for prior to commencing forestry operations. Job Classification: 45-4011.00 - Forest and Conservation Workers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No education or experience required. Requires physical stamina. Extensive walking over rough terrain. Work is outdoors in extreme temperatures and adverse weather. Must lift and carry 50 lbs. Work schedule and locations dependent on weather conditions. Overnight travel required. Production standard of 1750 trees correctly planted per 7 hour day after one week of training. Post-hire employment eligibility (e-Verify) check required of foreign and domestic workers. Employer may offer more than the stated work hours depending on weather, business needs, and other conditions. Extreme heat, cold, rain, or drought may affect exact working hours. Number of Hours Per Week: 35 Work Schedule (Start/End time): 8:00 A.M. - 3:30 P.M.</t>
  </si>
  <si>
    <t>H-400-26185-078648</t>
  </si>
  <si>
    <t>Ruppert Landscape, LLC</t>
  </si>
  <si>
    <t>cryan@ruppertcompanies.com</t>
  </si>
  <si>
    <t>+19047781030</t>
  </si>
  <si>
    <t>Duties may include: under direct supervision care for properties: water, weed, trim/prune, mow, edge, spray/apply fertilizers, clean flower beds, gather &amp; remove litter. Rake, dig, haul, or spread topsoil and/or straw/mulch as needed. Assist with install of sprinkler/irrigation/drainage systems; winterize and spring start-up included, using irrigation methods: adjust amount of water consumption &amp; prevent waste. Follow landscape plan/design/schedule: plant or rotate foliage, flowers, grasses, trees/shrubs, install rock gardens, install mortarless segmental concrete masonry wall units (for landscaping purposes), install/lay sod or turf as needed &amp; other related Landscaping &amp; Groundskeeping Worker activities as per SOC/OES 37-3011 (onetonline.org). Standard/Expected Schedule: Monday-Friday 6:30AM-3:30PM.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Job Classification: 37-3011.00 - Landscaping and Groundskeeping Workers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Must be 18 due to insurance. Must show proof of legal authorization to work in the United States. Drug/alcohol/tobacco free work zone. Perform physical activities: such as lift, balance, walk, stoop, handle, position, move, manipulate materials use static strength to exert maximum muscle force to lift, push, pull, carry objects up to 50lbs. All applicants must be able, willing and qualified to perform work described and must be available for the entire period specified and work throughout all areas of intended employment.Based on Employer's discretion/cost: Worker may have random drug/alcohol testing during employment: positive test/refusal to abide = dismissal. Possible background check post hire at employer's expense.Work is performed outdoors, exposed to weather; must be capable of doing physically strenuous labor for long hours, occasionally in extreme heat or cold. Variable weather conditions apply; hours may fluctuate (+/-), possible downtime and/or overtime. Number of Hours Per Week: 40 Work Schedule (Start/End time): 6:30 A.M. - 3:30 P.M.</t>
  </si>
  <si>
    <t>H-400-26185-078647</t>
  </si>
  <si>
    <t>hr@fslm.com</t>
  </si>
  <si>
    <t>+17409642915</t>
  </si>
  <si>
    <t>Duties may include: under direct supervision care for properties: water, weed, trim/prune, mow, edge, spray/apply fertilizers, clean flower beds, gather &amp; remove litter. Rake, dig, haul, or spread topsoil and/or straw/mulch as needed. Assist with install of sprinkler/irrigation/drainage systems; winterize and spring start-up included, using irrigation methods: adjust amount of water consumption &amp; prevent waste. Follow landscape plan/design/schedule: plant or rotate foliage, flowers, grasses, trees/shrubs, install rock gardens, install mortarless segmental concrete masonry wall units (for landscaping purposes), install/lay sod or turf as needed &amp; other related Landscaping &amp; Groundskeeping Worker activities as per SOC/OES 37-3011 (onetonline.org). Standard/Expected Schedule: Monday-Friday 6:30AM-3:30PM. Offering 40+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Optional housing available to the worker at a monthly housing rate up to $; if optional housing is agreed upon by the worker, monthly housing rate is to be paid directly to the landlord each month. Job Classification: 37-3011.00 - Landscaping and Groundskeeping Workers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Must be 18 due to insurance. Must show proof of legal authorization to work in the United States. Drug/alcohol/tobacco free work zone. Perform physical activities: such as lift, balance, walk, stoop, handle, position, move, manipulate materials use static strength to exert maximum muscle force to lift, push, pull, carry objects up to 50lbs. All applicants must be able, willing and qualified to perform work described and must be available for the entire period specified and work throughout all areas of intended employment.Based on Employer's discretion/cost: Worker may have random drug/alcohol testing during employment: positive test/refusal to abide = dismissal. Possible background check post hire at employer's expense.Work is performed outdoors, exposed to weather; must be capable of doing physically strenuous labor for long hours, occasionally in extreme heat or cold. Variable weather conditions apply; hours may fluctuate (+/-), possible downtime and/or overtime. Number of Hours Per Week: 40 Work Schedule (Start/End time): 6:30 A.M. - 3:30 P.M.</t>
  </si>
  <si>
    <t>H-400-26185-078656</t>
  </si>
  <si>
    <t>South Louisiana Marine Contracting LLC</t>
  </si>
  <si>
    <t>slmc_llc_florida@gmx.com</t>
  </si>
  <si>
    <t>+13375738690</t>
  </si>
  <si>
    <t>Structural Metal Fabricators and Fitters</t>
  </si>
  <si>
    <t>***RFI Response*** A Structural Steel Fabricator specializes in the cutting, forming, assembly, and welding of carbon steel components used in marine and structural applications. (Job Duties) In carbon steel boat fabrication, the fabricator produces hulls, decks, frames, bulkheads, stiffeners, and supporting structures in accordance with engineering drawings, marine standards, and classification requirements. Work is performed with a strong focus on dimensional accuracy, structural integrity, corrosion resistance, and weld quality suitable for marine environments. (Type of Structures)The fabricator interprets fabrication drawings, prepares materials, performs fit-up and welding operations, and ensures all components meet project specifications and applicable codes such as AWS, ABS, or USCG standards. Quality control, safety compliance, and coordination with naval architects, engineers, and inspectors are integral parts of the fabrication process. (Welding Tasks) The type of equipment the workers will be using is: Cutting Equipment Oxy-fuel cutting torches Band saws and cold saws Hand-held plasma cutters and grinders Forming and Shaping Equipment Press brakes Hydraulic presses Plate bending and forming tools Welding Equipment MIG (GMAW) welding machines Flux-Cored Arc Welding (FCAW) machines Stick welding (SMAW) machines Submerged Arc Welding (SAW) systems (for heavy sections) Material Handling and Assembly Overhead cranes and jib cranes Chain hoists and rigging equipment Welding positioners Measuring and Inspection Tools Steel tapes, squares, and levels Welding gauges Materials Used in Carbon Steel Boat Fabrication: Carbon Steel Plates Marine-grade carbon steel plates (various thicknesses) Structural carbon steel sheets Structural Shapes Flat bars Angles Channels Bulb flats and T-sections Pipes and Tubes Carbon steel pipes for structural and system supports Welding Consumables Carbon steel welding wires and electrodes Fluxes for FCAW and SAW processes Surface Preparation and Protection Abrasives for blasting and grinding Primers and marine-grade coatings Corrosion protection materials ***Original F.a.2*** Fabricate, align, assemble, and weld metal components to create safe, precise, and durable structures according to blueprints and technical specifications. May involve reading and interpreting blueprints or analyzing engineering drawings and technical schematics to determine materials, dimensions, and assembly sequences. May involve shaping, cutting, bending, and grinding metal using tools such as shears, torches, plasma cutters, grinders, and presses. Fitting fabricated parts by positioning, and aligning using jigs, clamps, braces and hoists to form or complete structures. Welding, soldering, or riveting components to ensure structural integrity and compliance with specifications. Job Classification: 53-7021.00 - Crane and Tower Operators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3 months experience required in Structural Metal Fabrication and Fitters. Employer does not provide training for these positions. Applicants must have knowledge on operating some or any of the listed equipment and machinery mentioned in our job order and must be able to perform structural welds and metal cutting. Number of Hours Per Week: 56 Work Schedule (Start/End time): 7:00 A.M. - 4:30 P.M.</t>
  </si>
  <si>
    <t>H-400-26185-078657</t>
  </si>
  <si>
    <t>Pipe Fitters &amp; Pipe Welders</t>
  </si>
  <si>
    <t>Job duties include installing, assembling, fabricating, maintaining and repairing mechanical piping systems. Reading and interpreting blueprints or welding process specifications. Operating manual or semi-automatic welding equipment to fuse metal segments using processes such as gas tungsten arc welding (GTAW), gas metal arc welding (GMAW), flux-cored arc welding (FCAW), plasma arc welding (PAW), shielded metal arc welding (SMAW), oxy-acetylene welding (OAW), resistance welding and submerged arc welding (SAW). Using grinders and other hand tools to prepare, cut, bend, and weld pieces of pipe and tubing. Inspecting welding jobs for accuracy and adherence to specified dimensions. Perform corrective and preventative maintenance on welding equipment. Test installed pipes for leakages and correct functionality. Assist in installation, maintenance, and repair of piping systems. Job Classification: 51-4121.00 - Welders, Cutters, Solderers, and Brazers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3 months experience required in Pipe Fitter and Pipe Welder. Employer does not provide training for these positions. Applicants must have knowledge on operating some or any of the listed equipment and machinery mentioned in our job order and being able to perform pipe fitting and welding. Number of Hours Per Week: 56 Work Schedule (Start/End time): 7:00 A.M. - 4:30 P.M.</t>
  </si>
  <si>
    <t>H-400-26185-078658</t>
  </si>
  <si>
    <t>Electrician Terminators</t>
  </si>
  <si>
    <t>Job duties include performing precise and safe termination of control cables and medium voltage (MV) cables. Interpreting electrical diagrams and wiring layouts. Ensuring compliance with safety standards and project specifications. Testing cable systems for integrity and proper function post-installation. Maintain tools and equipment in good working conditions. Job Classification: 47-2111.00 - Electricians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3 months experience required having worked as an Electrician Terminator . Employer does not provide training for these positions. Applicants must have knowledge and be able to perform the job duties described in our job order. Number of Hours Per Week: 56 Work Schedule (Start/End time): 7:00 A.M. - 4:30 P.M.</t>
  </si>
  <si>
    <t>H-400-26185-078796</t>
  </si>
  <si>
    <t>TCK Concrete, LLC</t>
  </si>
  <si>
    <t>trail@tckconcrete.net</t>
  </si>
  <si>
    <t>+13194703835</t>
  </si>
  <si>
    <t>In this temporary position, the Concrete finisher will perform work on commercial paving, slabs, sidewalks, and vertical wall applications. Spread, level, and smooth concrete, using rake, shovel, hoe, tamper, scraper, hand or power trowel, hand or power screed, and float. Finish concrete surfaces, use measuring devices to verify levelness or verticality, such as a level, tape measure, and square, operate power construction equipment such as skid loaders, mini excavators, backhoes, and concrete carts. Apply adhesive, caulking, sealants, or coating. Perform job duties under verbal directions by the owner or supervisor. Clean-up job worksites as needed. Additionally, workers will ensure worksite grounds are clear of snow and ice before beginning work due to winter temperatures. Job Classification: 47-2073.00 - Operating Engineers and Other Construction Equipment Operators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Must be able to lift and carry 75 lbs. for 75 yards. Number of Hours Per Week: 40 Work Schedule (Start/End time): 7:00 A.M. - 4:00 P.M.</t>
  </si>
  <si>
    <t>H-400-26185-078684</t>
  </si>
  <si>
    <t xml:space="preserve">The Hamlin Companies </t>
  </si>
  <si>
    <t>dmca@roofingmate.com</t>
  </si>
  <si>
    <t>+19197728780</t>
  </si>
  <si>
    <t>General Laborer - Roofing</t>
  </si>
  <si>
    <t>Workers to complete entry-level general labor for a company that operates in multiple areas of construction with an emphasis in the roofing sector. General responsibilities include but are not limited to setup of equipment needed for construction projects such as roofing shingles, nail guns, and other tools/equipment needed for general roofing work as well as the removal of similar equipment and tools and trash and debris resulting from the work. Physical responsibilities include but are not limited to climbing ladders, bending, lifting, carrying of materials, and the ability to do so for full-time hours in North Carolina climate conditions. Workers would not be expected to act as roofers, but would perform general labor without the requirement of experience in the industry. Job Classification: 47-3016.00 - Helpers--Roofers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Laborers must not have a fear of heights that hinders their ability to perform the duties of the job. Minimum age of 18 due to inherent risks of position/industry. Number of Hours Per Week: 40 Work Schedule (Start/End time): 9:00 A.M. - 5:00 P.M.</t>
  </si>
  <si>
    <t>H-400-26185-078685</t>
  </si>
  <si>
    <t>The Mullen Group Inc.</t>
  </si>
  <si>
    <t>katie4mullen@gmail.com</t>
  </si>
  <si>
    <t>+17044003134</t>
  </si>
  <si>
    <t>The employee will perform traditional landscaping services. These will include but may not be limited to mowing, edging, debris cleanup, and blowing. Employee will assist in landscape installation and renovations. May include plants, flowers, fountains, and small project irrigation work, and/or low-voltage lighting installation and repair. The nature of the work requires workers to remain on job sites for long periods of time and workers are subject to North Carolina climate conditions. Employees work with lawn mowers(ride and push), leaf/grass blowers, weedeaters, hedge trimmers, and other standard landscaping equipment. Job Classification: 37-3011.00 - Landscaping and Groundskeeping Workers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Must be able to perform physical parts of the job. Walking, carrying, operating machinery inherent to the position. Must be 18 due to nature of the position and the operating of equipment. Number of Hours Per Week: 40 Work Schedule (Start/End time): 7:00 A.M. - 3:00 P.M.</t>
  </si>
  <si>
    <t>H-400-26185-078760</t>
  </si>
  <si>
    <t>Theresa Capili</t>
  </si>
  <si>
    <t>23/08/2027</t>
  </si>
  <si>
    <t>mrandmrsurbi2017@gmail.com</t>
  </si>
  <si>
    <t>+16304846211</t>
  </si>
  <si>
    <t>Care for children in household. Keep children living space clean and tidy. Ensure safety indoors and outdoors. Create a daily schedule for toddler and organize educational activities. Prepare meals for children and help feed if needed, help with personal hygiene, teach children good behavior and help with chores. Shop for groceries, clothing, and other items needed for chidlren's care. Perform housekeeping and cleaning duties related to children's care. Transport children to park, events, doctor's appointments or other activities as needed. Job Classification: 39-9011.01 - Nannies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6 Number of Hours Per Week: 40 Work Schedule (Start/End time): 8:00 A.M. - 5:00 P.M.</t>
  </si>
  <si>
    <t>H-400-26185-078692</t>
  </si>
  <si>
    <t>Viarcom Inc</t>
  </si>
  <si>
    <t>Operations@viarcominc.com</t>
  </si>
  <si>
    <t>+14075311231</t>
  </si>
  <si>
    <t>Facilitate food service. Clean tables; remove dirty dishes; replace soiled table linens; set tables; replenish supply of clean linens, silverware, glassware, and dishes; supply service bar with food; and serve items such as water, condiments, and coffee to patrons. Job Classification: 35-9011.00 - Dining Room and Cafeteria Attendants and Bartender Helpers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Employees are expected to work a shift between 8:00am and 9:00pm. Days/Shifts may vary, but workers hours/schedules will comply with H-2B Visa program rules/regulations and labor laws. Employer will provide one week of on the job training, not 1 month, in the area of food safety and sanitation. Number of Hours Per Week: 35 Work Schedule (Start/End time): 8:00 A.M. - 9:00 P.M.</t>
  </si>
  <si>
    <t>H-400-26185-078797</t>
  </si>
  <si>
    <t>Winter Wonderland Rides, Inc.</t>
  </si>
  <si>
    <t>winterwonderlandrides24@gmail.com</t>
  </si>
  <si>
    <t>+15164797501</t>
  </si>
  <si>
    <t>*2 RFI r* Mobile amusement equipment is designed to assembled and disassembled with manual labor and simple tools, such as screwdrivers, pliers, rubber mallets, a variety of wrenches and ratchets. The equipment has built-in hydraulics to raise and lower awnings, arms &amp; platforms. Additional equipment is not required. Operation is opening the entry gate, instructing patrons on safety procedures, ensuring that their safety harnesses are in place, pushing the button to start the timed ride, and then ensuring that the patrons exit the ride prior to the next group enters. Food Concessions involve taking customer order, taking customer payment, preparing the food items as detailed earlier, providing the customer with the payment. Game Concessions involve explaining the games rules to the patron, taking the payment, providing change, and starting the game. Cleaning Rides, Booths, Facilities or Grounds. Sweep, hose down, wash, pick up trash. Perform Minor Repairs. Replace defective or worn parts such as light bulbs, switches, belts, hoses &amp; belts. Workers may use the following tools, equipment, and materials while performing assigned duties: Wrenches, Socket and ratchet sets, screwdrivers, pliers, hammers, measuring tape, adjustable wrenches. They will use ladders, vacuums and cleaning equipment and supplies, such as sponges, rags and soap. *1 RFI r* Specific Refreshments to be prepared and served to patrons, tasks the worker will perform, tools, equipment, and materials used to perform the tasks: Fountain Drinks: At the start of the shift, worker would open bags of ice (typically 10 to 20 pounds, ice cubed) into both the reservoir on the top of the dispenser and into the ice bin. When an order comes in worker would prepare the proper size, flavor drink and place a plastic lid on the cup. Worker would place the drink into the serving area so that another worker, with direct contact with the patron, is able to provide the drink(s) to the patron, along with the balance of the order. Popcorn: The popcorn machine is fixed on the counter. Worker would switch it on, scoop popcorn oil out of the container, using a measuring cup and pour it into the heating element. Worker would then scoop popcorn kernels out of the container, using a measuring cup and pour the kernels into he heating element. Worker would then scoop popcorn flavoring "Flavacol" from the container, using a measuring scoop and sprinkle this on the kernels. Worker would close the lid on the heating element, the popcorn would start popping, the lid would open due to the force of the popcorn, and the popped popcorn would fall into the bin. Worker would sprinkle the popcorn with additional flavoring, which would be in a shaker (like a saltshaker). Scoop the popcorn into individual popcorn boxes and place them onto the counter under a heat lamp. Another worker, when the popcorn was ordered by a patron, would take a container and then use the pumper to pump melted butter and/or shakers to sprinkle additional flavoring(s) onto the popcorn and then hand to the patron. Workers will not be preparing any food items from "scratch". *Or* Perform a variety of duties at traveling carnival, assembling, disassembling &amp; operating equipment (amusement rides, game and/or food concessions) May sell tickets &amp; collect fees from customers; provide information about the facilities, rules and regulations; direct patrons to rides, seats or attractions; monitor activities to ensure adherence to rules and safety procedures; provide assistance to patrons entering or exiting amusement rides; clean rides, booths, facilities or grounds; inspect equipment to detect wear and damage and perform minor repairs, adjustments, or maintenance tasks, such as oiling parts; fasten safety devices for patrons, or provide them with directions for fastening devices; announce or describe amusement attractions to patrons to entice customers to games and/or other entertainment; and sell and serve refreshments to customers. Job Classification: 35-2011.00 - Cooks, Fast Food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Post-employment random drug testing and background checks may be required, at no cost to the worker. The job requires the applicant to be qualified, ready, willing, able, and available to perform during the entire employment at the designated worksites; and to follow workplace rules. Number of Hours Per Week: 40 Work Schedule (Start/End time): 1:00 P.M. - 10:00 P.M.</t>
  </si>
  <si>
    <t>H-400-26185-078799</t>
  </si>
  <si>
    <t>YUYOS LLC</t>
  </si>
  <si>
    <t>julio@yuyositka.com</t>
  </si>
  <si>
    <t>+19077383460</t>
  </si>
  <si>
    <t>Greet and seat customers in a friendly and professional manner. Present menus, explain dishes, and inform guests about specials or promotions. Accurately take food and beverage orders manually or using electronic systems. Serve food and beverages promptly and efficiently. Check on customers during service to ensure satisfaction. Address customer inquiries and accommodate special requests. Clear tables and remove used dishes, glasses, and utensils. Prepare checks and process payments. Maintain cleanliness and organization of the dining area according to health and safety standards. Coordinate with kitchen and bar staff to ensure timely service. Job Classification: 35-3031.00 - Waiters and Waitresses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Greet and seat customers in a friendly and professional manner. Present menus, explain dishes, and inform guests about specials or promotions. Accurately take food and beverage orders manually or using electronic systems. Serve food and beverages promptly and efficiently. Check on customers during service to ensure satisfaction. Address customer inquiries and accommodate special requests. Clear tables and remove used dishes, glasses, and utensils. Prepare checks and process payments. Maintain cleanliness and organization of the dining area according to health and safety standards. Coordinate with kitchen and bar staff to ensure timely service Number of Hours Per Week: 56 Work Schedule (Start/End time): 10:00 A.M. - 9:00 P.M.</t>
  </si>
  <si>
    <t>H-400-26185-078840</t>
  </si>
  <si>
    <t>A Macchia Snow Removal, Inc.</t>
  </si>
  <si>
    <t>amaacchiasnowremoval@gmail.com</t>
  </si>
  <si>
    <t>+18453727856</t>
  </si>
  <si>
    <t>Snow Removal Worker</t>
  </si>
  <si>
    <t>Workers will shovel and plow snow and perform grounds maintenance and associated duties as necessary in furtherance of removing snow and ice. De-icing and removal of snow from walkways, driveways, and parking lots for residential and commercial properties. Utilize shovels, snow blowers, salt-spreaders, and plows to clear properties of snow and ice. Potential fall and spring cleanups of debris left on properties from snow and ice using yard maintenance tools, such as rakes, hoes, shovels, and leaf blowers. Job Classification: 37-2011.00 - Janitors and Cleaners, Except Maids and Housekeeping Cleaners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Must lift/carry 30 pounds, when necessary. Saturday and Sunday work required, when necessary. Number of Hours Per Week: 40 Work Schedule (Start/End time): 7:00 A.M. - 4:30 P.M.</t>
  </si>
  <si>
    <t>H-400-26185-078845</t>
  </si>
  <si>
    <t xml:space="preserve">BEAR LAKES COUNTRY CLUB </t>
  </si>
  <si>
    <t>PETER PETRINA</t>
  </si>
  <si>
    <t>hr@bearlakes.org</t>
  </si>
  <si>
    <t>+15616235022</t>
  </si>
  <si>
    <t>Prep, season, cook, plate &amp; garnish meals. Measure/mix ingredients per recipe for cooking from scratch. Follow portion control, presentation, consistency, flavor, proper sanitation procedures. Observe/test food cooked. May substitute/assist other cooks in emergencies/rush periods ***F.a.5 A-H &amp; F.a.6a &amp; F.a.6b 35 hrs/wk minimum. Shifts and shift hours vary Mon-Sun 7a-11p. *** F.b.9a: Raises and/or bonuses may be offered to any worker in the specified occupation at the company’s sole discretion based on individual factors, including work performance, skill or tenure. Job Classification: 35-2014.00 - Cooks, Restaurant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Pre-hire drug test &amp; background check, carried out equally between U.S. workers and H-2B workers. Must be available to work split-shifts, nights, weekends &amp; holidays as needed. Must be able to lift, pull, push or carry up to 25 lbs or more, and walk or stand for long periods of time. Professional appearance, able to communicate in English. Number of Hours Per Week: 35 Work Schedule (Start/End time): 7:00 A.M. - 11:00 P.M.</t>
  </si>
  <si>
    <t>H-400-26185-078848</t>
  </si>
  <si>
    <t>***Original*** Serve food, water, soft drinks &amp; alcoholic beverages. Present menus, take orders, relay order to kitchen. Complete side work, clear tables, carry dishes from dining room to kitchen, keep station areas clean. Supply clean linens, silverware, glassware, dishes in dining room. Assist with set-up, cleaning, opening/closing of restaurant/food and beverage area. May be required to perform duties in an outdoor environment, at banquet events, or serve customers via golf cart. Other reasonable job related duties as needed. ***RFI response*** Set-up, cleaning, opening/closing of restaurant/food and beverage area tasks may include: clean tables of used linens, china, utensils; set tables with clean linens, china, utensils; set up or break down food buffets. Reasonable job related duties may include: serve condiments and coffee; supply service bar with food; keep buffet replenished with food, dishes, containers and utensils. ***F.a.5 A-H &amp; F.a.6a &amp; F.a.6b 35 hrs/wk minimum. Shifts and shift hours vary Mon-Sun 7a-11p. *** F.b.9a: Tipped position with guaranteed wage rate of $18.71/hr; overtime possible but not guaranteed @ $28.07/hr. Employer will guarantee wage in any given workweek when total compensation (including tips) does not meet prevailing wage rate or overtime wage rate. Raises and/or bonuses may be offered to any worker in the specified occupation at the company’s sole discretion based on individual factors, including work performance, skill or tenure. Job Classification: 35-3031.00 - Waiters and Waitresses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Pre-hire drug test &amp; background check, carried out equally between U.S. workers and H-2B workers. Must be available to work split-shifts, nights, weekends &amp; holidays as needed. Must be able to lift, pull, push or carry up to 25 lbs or more, and walk or stand for long periods of time. Professional appearance, able to communicate in English. Number of Hours Per Week: 35 Work Schedule (Start/End time): 7:00 A.M. - 11:00 P.M.</t>
  </si>
  <si>
    <t>H-400-26185-078849</t>
  </si>
  <si>
    <t>Sports Shop Attendant</t>
  </si>
  <si>
    <t>Provide assistance at golf / sports facilities including: greet members; confirm reservations; answer inquiries; arrange merchandise and provide facility info; other related duties as assigned ***F.a.5 A-H &amp; F.a.6a &amp; F.a.6b 35 hrs/wk minimum. Shifts and shift hours vary Mon-Sun 7a-11p. *** F.b.9a: Raises and/or bonuses may be offered to any worker in the specified occupation at the company’s sole discretion based on individual factors, including work performance, skill or tenure. Job Classification: 39-3091.00 - Amusement and Recreation Attendants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Pre-hire drug test &amp; background check, carried out equally between U.S. workers and H-2B workers. Must be available to work split-shifts, nights, weekends &amp; holidays as needed. Must be able to lift, pull, push or carry up to 25 lbs or more, and walk or stand for long periods of time. Professional appearance, able to communicate in English. Number of Hours Per Week: 35 Work Schedule (Start/End time): 7:00 A.M. - 11:00 P.M.</t>
  </si>
  <si>
    <t>H-400-26185-078846</t>
  </si>
  <si>
    <t>Greensman</t>
  </si>
  <si>
    <t>Responsible for maintaining the golf course grounds using hand and power tools and equipment. Workers typically perform any combination of the following: sod laying, mowing, trimming, planting, watering, fertilizing, digging, raking, sprinkler installation, and bunker maintenance. ***F.a.5 A-H &amp; F.a.6a &amp; F.a.6b 35 hrs/wk minimum. Shifts and shift hours vary Mon-Sun 5a-8p. *** F.b.9a: Raises and/or bonuses may be offered to any worker in the specified occupation at the company’s sole discretion based on individual factors, including work performance, skill or tenure. Job Classification: 37-3011.00 - Landscaping and Groundskeeping Workers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Pre-hire drug test &amp; background check, carried out equally between U.S. workers and H-2B workers. Must be available to work split-shifts, nights, weekends &amp; holidays as needed. Must be able to lift, pull, push or carry up to 25 lbs or more, and walk or stand for long periods of time. Professional appearance, able to communicate in English. Number of Hours Per Week: 35 Work Schedule (Start/End time): 5:00 A.M. - 8:00 P.M.</t>
  </si>
  <si>
    <t>H-400-26185-078847</t>
  </si>
  <si>
    <t>***Original*** Provide assistance at golf / sports / clubhouse facilities including: greet members; confirm reservations; answer inquiries; arrange merchandise and provide facility info; load/unload golf bags; handle / clean / maintain golf carts, bags, clubs and shoes; keep cart barn and staging area orderly and stocked with clean golf balls, ice, cups, drink coolers; occasional trash removal and restroom cleaning; transport members' golf or sports equipment and automobiles to and from the clubhouse facilities; perform other related duties as assigned ***RFI response*** Occasionally, drive members’ vehicles from the golf bag drop-off area to the clubhouse valet stand or vice versa. Other related duties may include: collect golf balls from golf practice range, wash golf balls and keep ready for replenishment; refill water coolers for the players on the golf course when or if needed. ***F.a.5 A-H &amp; F.a.6a &amp; F.a.6b 35 hrs/wk minimum. Shifts and shift hours vary Mon-Sun 7a-11p. *** F.b.9a: Tipped position with guaranteed wage rate of $15.94/hr; overtime possible but not guaranteed @ $23.91/hr. Employer will guarantee wage in any given workweek when total compensation (including tips) does not meet prevailing wage rate or overtime wage rate. Raises and/or bonuses may be offered to any worker in the specified occupation at the company’s sole discretion based on individual factors, including work performance, skill or tenure. Job Classification: 37-2011.00 - Janitors and Cleaners, Except Maids and Housekeeping Cleaners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Pre-hire drug test &amp; background check, carried out equally between U.S. workers and H-2B workers. Must be available to work split-shifts, nights, weekends &amp; holidays as needed. Must be able to lift, pull, push or carry up to 25 lbs or more, and walk or stand for long periods of time. Professional appearance, able to communicate in English. Number of Hours Per Week: 35 Work Schedule (Start/End time): 7:00 A.M. - 11:00 P.M.</t>
  </si>
  <si>
    <t>H-400-26185-078850</t>
  </si>
  <si>
    <t xml:space="preserve">BOCA RIO GOLF CLUB </t>
  </si>
  <si>
    <t>lucianogm@bocariogolfclub.com</t>
  </si>
  <si>
    <t>+15614823300</t>
  </si>
  <si>
    <t>***Original*** Take beverage orders. Mix and serve drinks. Clean glasses and bar equipment. Keep bar area clean and stocked. May be required to take and serve food orders. Requisition and display liquor and supplies. May perform other reasonable job related duties as needed. ***RFI response*** On occasion, members may prefer a quick meal while seated at the bar. In such instances, taking their food order and then serving them snacks and food items may be required. Other reasonable job related duties may include: Replenish bar with beer, wine, liquor, and related supplies such as ice, glassware, napkins, or straws. Slice and pit fruit for garnishing drinks. Arrange bottles and glasses to make attractive displays. ***F.a.5 A-H &amp; F.a.6a &amp; F.a.6b 35 hrs/wk minimum. Shifts and shift hours vary Mon-Sun 7a-11p. *** F.b.9a: Raises and/or bonuses may be offered to any worker in the specified occupation at the company’s sole discretion based on individual factors, including work performance, skill or tenure. Job Classification: 35-3011.00 - Bartenders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Must be available to work split-shifts, nights, weekends &amp; holidays as needed. Must be able to lift, pull, push or carry up to 25 lbs or more, and walk or stand for long periods of time. Professional appearance, able to communicate in English. Number of Hours Per Week: 35 Work Schedule (Start/End time): 7:00 A.M. - 11:00 P.M.</t>
  </si>
  <si>
    <t>H-400-26185-078852</t>
  </si>
  <si>
    <t>Prep, season, cook, plate &amp; garnish meals. Measure/mix ingredients per recipe for cooking from scratch. Follow portion control, presentation, consistency, flavor, proper sanitation procedures. Observe/test food cooked. May substitute/assist other cooks in emergencies/rush periods ***F.a.5 A-H &amp; F.a.6a &amp; F.a.6b 35 hrs/wk minimum. Shifts and shift hours vary Mon-Sun 7a-11p. *** F.b.9a: Raises and/or bonuses may be offered to any worker in the specified occupation at the company’s sole discretion based on individual factors, including work performance, skill or tenure. Job Classification: 35-2014.00 - Cooks, Restaurant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Must be available to work split-shifts, nights, weekends &amp; holidays as needed. Must be able to lift, pull, push or carry up to 25 lbs or more, and walk or stand for long periods of time. Professional appearance, able to communicate in English. Number of Hours Per Week: 35 Work Schedule (Start/End time): 7:00 A.M. - 11:00 P.M.</t>
  </si>
  <si>
    <t>H-400-26185-078853</t>
  </si>
  <si>
    <t>***Original*** Provide assistance at golf / sports / clubhouse facilities including: greet members; confirm reservations; answer inquiries; arrange merchandise and provide facility info; load/unload golf bags; handle / clean / maintain golf carts, bags, clubs and shoes; keep cart barn and staging area orderly and stocked with clean golf balls, ice, cups, drink coolers; occasional trash removal and restroom cleaning; transport members' golf or sports equipment and automobiles to and from the clubhouse facilities; perform other related duties as assigned ***RFI response*** Occasionally, drive members’ vehicles from the golf bag drop-off area to the clubhouse valet stand or vice versa. Other related duties may include: collect golf balls from golf practice range, wash golf balls and keep ready for replenishment; refill water coolers for the players on the golf course when or if needed. ***F.a.5 A-H &amp; F.a.6a &amp; F.a.6b 35 hrs/wk minimum. Shifts and shift hours vary Mon-Sun 7a-11p. *** F.b.9a: Raises and/or bonuses may be offered to any worker in the specified occupation at the company’s sole discretion based on individual factors, including work performance, skill or tenure. Job Classification: 37-2011.00 - Janitors and Cleaners, Except Maids and Housekeeping Cleaners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Must be available to work split-shifts, nights, weekends &amp; holidays as needed. Must be able to lift, pull, push or carry up to 25 lbs or more, and walk or stand for long periods of time. Professional appearance, able to communicate in English. Number of Hours Per Week: 35 Work Schedule (Start/End time): 7:00 A.M. - 11:00 P.M.</t>
  </si>
  <si>
    <t>H-400-26185-078854</t>
  </si>
  <si>
    <t>Clean and maintain the club's guest rooms, common areas, bathrooms and locker rooms including: Dust and wipe down furniture. Sweep, light mop, and vacuum floors. Scrub and disinfect bathrooms. Handle linens, make beds. Replenish supplies, linens and towels. Move furniture, hang drapes, roll carpets. Occasional trash removal. ***F.a.5 A-H &amp; F.a.6a &amp; F.a.6b 35 hrs/wk minimum. Shifts and shift hours vary Mon-Sun 7a-11p. *** F.b.9a: Raises and/or bonuses may be offered to any worker in the specified occupation at the company’s sole discretion based on individual factors, including work performance, skill or tenure. Job Classification: 37-2012.00 - Maids and Housekeeping Cleaners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Must be available to work split-shifts, nights, weekends &amp; holidays as needed. Must be able to lift, pull, push or carry up to 25 lbs or more, and walk or stand for long periods of time. Professional appearance, able to communicate in English. Number of Hours Per Week: 35 Work Schedule (Start/End time): 7:00 A.M. - 11:00 P.M.</t>
  </si>
  <si>
    <t>H-400-26185-078855</t>
  </si>
  <si>
    <t>***Original*** Serve food, water, soft drinks &amp; alcoholic beverages. Present menus, take orders, relay order to kitchen. Complete side work, clear tables, carry dishes from dining room to kitchen, keep station areas clean. Supply clean linens, silverware, glassware, dishes in dining room. Assist with set-up, cleaning, opening/closing of restaurant/food and beverage area. May be required to perform duties in an outdoor environment, at banquet events, or serve customers via golf cart. Other reasonable job related duties as needed. ***RFI response*** Set-up, cleaning, opening/closing of restaurant/food and beverage area tasks may include: clean tables of used linens, china, utensils; set tables with clean linens, china, utensils; set up or break down food buffets. Reasonable job related duties may include: serve condiments and coffee; supply service bar with food; keep buffet replenished with food, dishes, containers and utensils. ***F.a.5 A-H &amp; F.a.6a &amp; F.a.6b 35 hrs/wk minimum. Shifts and shift hours vary Mon-Sun 7a-11p. *** F.b.9a: Raises and/or bonuses may be offered to any worker in the specified occupation at the company’s sole discretion based on individual factors, including work performance, skill or tenure. Job Classification: 35-3031.00 - Waiters and Waitresses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Must be available to work split-shifts, nights, weekends &amp; holidays as needed. Must be able to lift, pull, push or carry up to 25 lbs or more, and walk or stand for long periods of time. Professional appearance, able to communicate in English. Number of Hours Per Week: 35 Work Schedule (Start/End time): 7:00 A.M. - 11:00 P.M.</t>
  </si>
  <si>
    <t>H-400-26185-078851</t>
  </si>
  <si>
    <t>Responsible for maintaining the golf course grounds using hand and power tools and equipment. Workers typically perform any combination of the following: sod laying, mowing, trimming, planting, watering, fertilizing, digging, raking, sprinkler installation, and bunker maintenance. ***F.a.5 A-H &amp; F.a.6a &amp; F.a.6b 35 hrs/wk minimum. Shifts and shift hours vary Mon-Sun 6a-8p *** F.b.9a: Raises and/or bonuses may be offered to any worker in the specified occupation at the company’s sole discretion based on individual factors, including work performance, skill or tenure. Job Classification: 37-3011.00 - Landscaping and Groundskeeping Workers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Must be available to work split-shifts, nights, weekends &amp; holidays as needed. Must be able to lift, pull, push or carry up to 25 lbs or more, and walk or stand for long periods of time. Professional appearance, able to communicate in English. Number of Hours Per Week: 35 Work Schedule (Start/End time): 6:00 A.M. - 8:00 P.M.</t>
  </si>
  <si>
    <t>H-400-26185-078857</t>
  </si>
  <si>
    <t>BOCA WOODS COUNTRY CLUB ASSOCIATION INC</t>
  </si>
  <si>
    <t>bschick@bocawoodscc.com</t>
  </si>
  <si>
    <t>+15614872800</t>
  </si>
  <si>
    <t>Take beverage orders. Mix and serve drinks. Clean glasses and bar equipment. Keep bar area clean and stocked. May be required to take and serve food orders. Requisition and display liquor and supplies. May perform other reasonable job related duties as needed. ***F.a.5 A-H &amp; F.a.6a &amp; F.a.6b 35 hrs/wk minimum. Shifts and shift hours vary Mon-Sun 7a-11p. *** F.b.9a: Raises and/or bonuses may be offered to any worker in the specified occupation at the company’s sole discretion based on individual factors, including work performance, skill or tenure. Job Classification: 35-3011.00 - Bartenders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Pre-hire drug test &amp; background check, carried out equally between U.S. workers and H-2B workers Must be available to work split-shifts, nights, weekends &amp; holidays as needed. Must be able to lift, pull, push or carry up to 25 lbs or more, and walk or stand for long periods of time. Professional appearance, able to communicate in English. Number of Hours Per Week: 35 Work Schedule (Start/End time): 7:00 A.M. - 11:00 P.M.</t>
  </si>
  <si>
    <t>H-400-26185-078858</t>
  </si>
  <si>
    <t>Host/ Hostess</t>
  </si>
  <si>
    <t>***Original*** Greets, escorts and provides menus to customers; assists with miscellaneous cleaning/polishing etc. as necessary. May perform other reasonable job related duties as needed ***RFI response*** During periods of high dining volume, may assist the service staff with clearing tables of used linens and utensils. If necessary, may also assist with removing residual water spots from glassware or silverware using a lint-free microfiber cloth. Other reasonable job related duties may include: assigning members to tables suitable for their needs, location preferences, and according to rotation; interacting with members to ensure satisfaction with food and service; maintaining contact with serving staff, kitchen staff, and management to ensure an excellent dining experience for the members. ***F.a.5 A-H &amp; F.a.6a &amp; F.a.6b 35 hrs/wk minimum. Shifts and shift hours vary Mon-Sun 7a-11p. *** F.b.9a: Raises and/or bonuses may be offered to any worker in the specified occupation at the company’s sole discretion based on individual factors, including work performance, skill or tenure. Job Classification: 35-9011.00 - Dining Room and Cafeteria Attendants and Bartender Helpers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Pre-hire drug test &amp; background check, carried out equally between U.S. workers and H-2B workers Must be available to work split-shifts, nights, weekends &amp; holidays as needed. Must be able to lift, pull, push or carry up to 25 lbs or more, and walk or stand for long periods of time. Professional appearance, able to communicate in English. Number of Hours Per Week: 35 Work Schedule (Start/End time): 7:00 A.M. - 11:00 P.M.</t>
  </si>
  <si>
    <t>H-400-26185-078859</t>
  </si>
  <si>
    <t>Supervise and coordinate activities of dining room staff during set up, serving and clearing. Train new food and beverage service staff. Assist with serving of food and beverages as required, particularly in the service of special guests and VIPs. Ensure the highest level of service is provided by the club’s serving staff. Maintain contact with kitchen staff, management, serving staff, and build/maintain rapport with the club members. Prepare staff work schedules. Plan parties or other special events and services as needed. Other reasonable job related responsibilities possible, as required. ***F.a.5 A-H &amp; F.a.6a &amp; F.a.6b 35 hrs/wk minimum. Shifts and shift hours vary Mon-Sun 7a-11p. *** F.b.9a: Raises and/or bonuses may be offered to any worker in the specified occupation at the company’s sole discretion based on individual factors, including work performance, skill or tenure. Job Classification: 35-1012.00 - First-Line Supervisors of Food Preparation and Serving Workers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Pre-hire drug test &amp; background check, carried out equally between U.S. workers and H-2B workers Must be available to work split-shifts, nights, weekends &amp; holidays as needed. Must be able to lift, pull, push or carry up to 25 lbs or more, and walk or stand for long periods of time. Professional appearance, able to communicate in English. Number of Hours Per Week: 35 Work Schedule (Start/End time): 7:00 A.M. - 11:00 P.M.</t>
  </si>
  <si>
    <t>H-400-26185-078860</t>
  </si>
  <si>
    <t>***Original*** Provide assistance at golf / sports / clubhouse facilities including: greet members; confirm reservations; answer inquiries; arrange merchandise and provide facility info; load/unload golf bags; handle / clean / maintain golf carts, bags, clubs and shoes; keep cart barn and staging area orderly and stocked with clean golf balls, ice, cups, drink coolers; occasional trash removal and restroom cleaning; transport members' golf or sports equipment and automobiles to and from the clubhouse facilities; perform other related duties as assigned ***RFI response*** Occasionally, drive members’ vehicles from the golf bag drop-off area to the clubhouse valet stand or vice versa. Other related duties may include: collect golf balls from golf practice range, wash golf balls and keep ready for replenishment; refill water coolers for the players on the golf course when or if needed. ***F.a.5 A-H &amp; F.a.6a &amp; F.a.6b 35 hrs/wk minimum. Shifts and shift hours vary Mon-Sun 7a-11p. *** F.b.9a: Raises and/or bonuses may be offered to any worker in the specified occupation at the company’s sole discretion based on individual factors, including work performance, skill or tenure. Job Classification: 37-2011.00 - Janitors and Cleaners, Except Maids and Housekeeping Cleaners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Pre-hire drug test &amp; background check, carried out equally between U.S. workers and H-2B workers Must be available to work split-shifts, nights, weekends &amp; holidays as needed. Must be able to lift, pull, push or carry up to 25 lbs or more, and walk or stand for long periods of time. Professional appearance, able to communicate in English. Number of Hours Per Week: 35 Work Schedule (Start/End time): 7:00 A.M. - 11:00 P.M.</t>
  </si>
  <si>
    <t>H-400-26185-078862</t>
  </si>
  <si>
    <t>***Original*** Serve food, water, soft drinks &amp; alcoholic beverages. Present menus, take orders, relay order to kitchen. Complete side work, clear tables, carry dishes from dining room to kitchen, keep station areas clean. Supply clean linens, silverware, glassware, dishes in dining room. Assist with set-up, cleaning, opening/closing of restaurant/food and beverage area. May be required to perform duties in an outdoor environment, at banquet events, or serve customers via golf cart. Other reasonable job related duties as needed. ***RFI response*** Set-up, cleaning, opening/closing of restaurant/food and beverage area tasks may include: clean tables of used linens, china, utensils; set tables with clean linens, china, utensils; set up or break down food buffets. Reasonable job related duties may include: serve condiments and coffee; supply service bar with food; keep buffet replenished with food, dishes, containers and utensils. ***F.a.5 A-H &amp; F.a.6a &amp; F.a.6b 35 hrs/wk minimum. Shifts and shift hours vary Mon-Sun 7a-11p. *** F.b.9a: Raises and/or bonuses may be offered to any worker in the specified occupation at the company’s sole discretion based on individual factors, including work performance, skill or tenure. Job Classification: 35-3031.00 - Waiters and Waitresses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Pre-hire drug test &amp; background check, carried out equally between U.S. workers and H-2B workers Must be available to work split-shifts, nights, weekends &amp; holidays as needed. Must be able to lift, pull, push or carry up to 25 lbs or more, and walk or stand for long periods of time. Professional appearance, able to communicate in English. Number of Hours Per Week: 35 Work Schedule (Start/End time): 7:00 A.M. - 11:00 P.M.</t>
  </si>
  <si>
    <t>H-400-26185-078863</t>
  </si>
  <si>
    <t>***Original*** Facilitate food service. Clean and clear tables of used linens, china, utensils. Set tables; replenish supply of clean linens, china, utensils. Supply service bar with food. Serve water, condiments, and coffee. Run food from kitchen to patrons’ tables. Help set up / break down buffets and keep buffet replenished with food, dishes, containers and utensils. May perform other reasonable job related duties as needed. ***RFI response*** Set up food buffet tasks include: placing clean tablecloths over the buffet; arranging clean plates, containers and utensils on the buffet; carrying food dishes from the kitchen and arranging them on the buffet. Break down food buffet tasks include removing leftover food dishes, plates, containers, utensils, used tablecloths, and carrying them back to kitchen. Other related duties may include: keep food station areas clean during service, carry dishes from dining room to kitchen. ***F.a.5 A-H &amp; F.a.6a &amp; F.a.6b 35 hrs/wk minimum. Shifts and shift hours vary Mon-Sun 7a-11p. *** F.b.9a: Raises and/or bonuses may be offered to any worker in the specified occupation at the company’s sole discretion based on individual factors, including work performance, skill or tenure. Job Classification: 35-9011.00 - Dining Room and Cafeteria Attendants and Bartender Helpers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Pre-hire drug test &amp; background check, carried out equally between U.S. workers and H-2B workers Must be available to work split-shifts, nights, weekends &amp; holidays as needed. Must be able to lift, pull, push or carry up to 25 lbs or more, and walk or stand for long periods of time. Professional appearance, able to communicate in English. Number of Hours Per Week: 35 Work Schedule (Start/End time): 7:00 A.M. - 11:00 P.M.</t>
  </si>
  <si>
    <t>H-400-26185-078856</t>
  </si>
  <si>
    <t>Prep, season, cook, plate &amp; garnish meals. Measure/mix ingredients per recipe for cooking from scratch. Follow portion control, presentation, consistency, flavor, proper sanitation procedures. Observe/test food cooked. May substitute/assist other cooks in emergencies/rush periods ***F.a.5 A-H &amp; F.a.6a &amp; F.a.6b 35 hrs/wk minimum. Shifts and shift hours vary Mon-Sun 7a-11p. *** F.b.9a: Raises and/or bonuses may be offered to any worker in the specified occupation at the company’s sole discretion based on individual factors, including work performance, skill or tenure. Job Classification: 35-2014.00 - Cooks, Restaurant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Pre-hire drug test &amp; background check, carried out equally between U.S. workers and H-2B workers Must be available to work split-shifts, nights, weekends &amp; holidays as needed. Must be able to lift, pull, push or carry up to 25 lbs or more, and walk or stand for long periods of time. Professional appearance, able to communicate in English. Number of Hours Per Week: 35 Work Schedule (Start/End time): 7:00 A.M. - 11:00 P.M.</t>
  </si>
  <si>
    <t>H-400-26185-078861</t>
  </si>
  <si>
    <t>Clean and maintain the club's guest rooms, common areas, bathrooms and locker rooms including: Dust and wipe down furniture. Sweep, light mop, and vacuum floors. Scrub and disinfect bathrooms. Handle and wash linens, make beds. Replenish supplies, linens and towels. Move furniture, hang drapes, roll carpets. Occasional trash removal. ***F.a.5 A-H &amp; F.a.6a &amp; F.a.6b 35 hrs/wk minimum. Shifts and shift hours vary Mon-Sun 7a-11p. *** F.b.9a: Raises and/or bonuses may be offered to any worker in the specified occupation at the company’s sole discretion based on individual factors, including work performance, skill or tenure. Job Classification: 37-2012.00 - Maids and Housekeeping Cleaners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Pre-hire drug test &amp; background check, carried out equally between U.S. workers and H-2B workers Must be available to work split-shifts, nights, weekends &amp; holidays as needed. Must be able to lift, pull, push or carry up to 25 lbs or more, and walk or stand for long periods of time. Professional appearance, able to communicate in English. Number of Hours Per Week: 35 Work Schedule (Start/End time): 7:00 A.M. - 11:00 P.M.</t>
  </si>
  <si>
    <t>H-400-26185-078843</t>
  </si>
  <si>
    <t xml:space="preserve">CAP Services LLC </t>
  </si>
  <si>
    <t>capservicesla@gmail.com</t>
  </si>
  <si>
    <t>+12103892768</t>
  </si>
  <si>
    <t>H-400-26185-078838</t>
  </si>
  <si>
    <t>Christmas Decor by Crede</t>
  </si>
  <si>
    <t>Stacey Sphuler</t>
  </si>
  <si>
    <t>zach@credelawncare.com</t>
  </si>
  <si>
    <t>+13047572567</t>
  </si>
  <si>
    <t>Under direct supervision- using rakes or debris blowers, pruners; gather and remove litter/debris/leaves, prune or trim small trees/shrubs, mowing, trimming, blowing and decorate outdoor spaces (following landscape design to help place temporary holiday lighting/small twinkle lights/decor) &amp; other related landscaping and -groundskeeping worker activities per SOC/OES 37-3011. Possible weekend/holiday work. Job Classification: 37-3011.00 - Landscaping and Groundskeeping Workers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MUST BE 18 DUE TO INSURANCE. MUST SHOW PROOF OF LEGAL AUTHORIZATION TO WORK IN THE UNITED STATES. DRUG/ALCOHOL/TOBACCO FREE WORK ZONE.PERFORM PHYSICAL ACTIVITIES SUCH AS: LIFT, BALANCE,WALK, STOOP, HNDLE, POSITION, MOVE,MANIPULTE MATERIALS USE STATIC STRENGHT TO EXERT MAXIMUM MUSCLE FORCE TO LIFT, PUSH, PULL, CARRY OBJECTS UP TO 50LBS. ALL APPLICANTS MUST BE ABLE, WILLING,QUALIFIED TO PERFORM WORK THE WORK DESCRIBED AND AVAILABLE FOR THE DURATION OF PERIOD OF WORK AND THROUGHOUT AREAS OF INTENDED EMPLOYMENT. BASED ON EMPLOYERS DISCRETION/COST: RANDOM DRUG/ALCOHOL TESTING DURING EMPLOYMENT: POSITIVE/REFUSAL TO ABIDE RESULTS IN DISMISSAL. EXPOSED TO OUTDOOR WEATHER, LONG HOURS IN VARIABLE WEATHER CONDITIONS. HRS MAY FLUCUATE (+/-) POSS DOWNTIME AND/OR OT. Number of Hours Per Week: 35 Work Schedule (Start/End time): 8:00 A.M. - 4:30 P.M.</t>
  </si>
  <si>
    <t>H-400-26185-078864</t>
  </si>
  <si>
    <t>DELAIRE COUNTRY CLUB</t>
  </si>
  <si>
    <t>athornton@delaire.org</t>
  </si>
  <si>
    <t>+15619002503</t>
  </si>
  <si>
    <t>Prep, season, cook, plate &amp; garnish meals. Measure/mix ingredients per recipe for cooking from scratch. Follow portion control, presentation, consistency, flavor, proper sanitation procedures. Observe/test food cooked. May substitute/assist other cooks in emergencies/rush periods ***F.a.5 A-H &amp; F.a.6a &amp; F.a.6b 35 hrs/wk minimum. Shifts and shift hours vary Mon-Sun 6a-11p. *** F.b.9a: Raises and/or bonuses may be offered to any worker in the specified occupation at the company’s sole discretion based on individual factors, including work performance, skill or tenure. Job Classification: 35-2014.00 - Cooks, Restaurant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Pre-hire drug test &amp; background check, carried out equally between U.S. workers and H-2B workers Must be available to work split-shifts, nights, weekends &amp; holidays as needed. Must be able to lift, pull, push or carry up to 25 lbs or more, and walk or stand for long periods of time. Professional appearance, able to communicate in English. Number of Hours Per Week: 35 Work Schedule (Start/End time): 6:00 A.M. - 11:00 P.M.</t>
  </si>
  <si>
    <t>H-400-26185-078866</t>
  </si>
  <si>
    <t>***Original*** Provide assistance at golf / sports / clubhouse facilities including: greet members; confirm reservations; answer inquiries; arrange merchandise and provide facility info; load/unload golf bags; handle / clean / maintain golf carts, bags, clubs and shoes; keep cart barn and staging area orderly and stocked with clean golf balls, ice, cups, drink coolers; occasional trash removal and restroom cleaning; transport members' golf or sports equipment and automobiles to and from the clubhouse facilities; perform other related duties as assigned ***RFI response*** Occasionally, drive members’ vehicles from the golf bag drop-off area to the clubhouse valet stand or vice versa. Other related duties may include: collect golf balls from golf practice range, wash golf balls and keep ready for replenishment; refill water coolers for the players on the golf course when or if needed. ***F.a.5 A-H &amp; F.a.6a &amp; F.a.6b 35 hrs/wk minimum. Shifts and shift hours vary Mon-Sun 6a-11p. *** F.b.9a: Raises and/or bonuses may be offered to any worker in the specified occupation at the company’s sole discretion based on individual factors, including work performance, skill or tenure. Job Classification: 37-2011.00 - Janitors and Cleaners, Except Maids and Housekeeping Cleaners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Pre-hire drug test &amp; background check, carried out equally between U.S. workers and H-2B workers Must be available to work split-shifts, nights, weekends &amp; holidays as needed. Must be able to lift, pull, push or carry up to 25 lbs or more, and walk or stand for long periods of time. Professional appearance, able to communicate in English. Number of Hours Per Week: 35 Work Schedule (Start/End time): 6:00 A.M. - 11:00 P.M.</t>
  </si>
  <si>
    <t>H-400-26185-078865</t>
  </si>
  <si>
    <t>***Original*** Serve food, water, soft drinks &amp; alcoholic beverages. Present menus, take orders, relay order to kitchen. Complete side work, clear tables, carry dishes from dining room to kitchen, keep station areas clean. Supply clean linens, silverware, glassware, dishes in dining room. Assist with set-up, cleaning, opening/closing of restaurant/food and beverage area. May be required to perform duties in an outdoor environment, at banquet events, or serve customers via golf cart. Other reasonable job related duties as needed. ***RFI response*** Set-up, cleaning, opening/closing of restaurant/food and beverage area tasks may include: clean tables of used linens, china, utensils; set tables with clean linens, china, utensils; set up or break down food buffets. Reasonable job related duties may include: serve condiments and coffee; supply service bar with food; keep buffet replenished with food, dishes, containers and utensils. ***F.a.5 A-H &amp; F.a.6a &amp; F.a.6b 35 hrs/wk minimum. Shifts and shift hours vary Mon-Sun 6a-11p. *** F.b.9a: Raises and/or bonuses may be offered to any worker in the specified occupation at the company’s sole discretion based on individual factors, including work performance, skill or tenure. Job Classification: 35-3031.00 - Waiters and Waitresses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Pre-hire drug test &amp; background check, carried out equally between U.S. workers and H-2B workers Must be available to work split-shifts, nights, weekends &amp; holidays as needed. Must be able to lift, pull, push or carry up to 25 lbs or more, and walk or stand for long periods of time. Professional appearance, able to communicate in English. Number of Hours Per Week: 35 Work Schedule (Start/End time): 6:00 A.M. - 11:00 A.M.</t>
  </si>
  <si>
    <t>H-400-26185-078867</t>
  </si>
  <si>
    <t>FRENCHMANS RESERVE COUNTRY CLUB</t>
  </si>
  <si>
    <t>vcabrera@frenchmansreservecc.com</t>
  </si>
  <si>
    <t>+15616300333</t>
  </si>
  <si>
    <t>Prepare, season and cook soups, meats, vegetables, fruits, desserts and other miscellaneous food for consumption; observe recipe guidelines and sanitation procedures. ***F.a.5 A-H &amp; F.a.6a &amp; F.a.6b 35 hrs/wk minimum. Shifts and shift hours vary Mon-Sun 7a-11p. *** F.b.9a: Raises and/or bonuses may be offered to any worker in the specified occupation at the company’s sole discretion based on individual factors, including work performance, skill or tenure. Job Classification: 35-2014.00 - Cooks, Restaurant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Pre-hire background check, carried out equally between U.S. workers and H-2B workers Must be available to work split-shifts, nights, weekends &amp; holidays as needed. Must be able to lift, pull, push or carry up to 25 lbs or more, and walk or stand for long periods of time. Professional appearance, able to communicate in English. Number of Hours Per Week: 35 Work Schedule (Start/End time): 7:00 A.M. - 11:00 P.M.</t>
  </si>
  <si>
    <t>H-400-26185-078869</t>
  </si>
  <si>
    <t>Greet members and guests; operate phones following proper telephone etiquette; answer inquiries / provide information, transmit / receive messages; make / confirm reservations; distribute Club information and schedules, collect / sort the mail. ***F.a.5 A-H &amp; F.a.6a &amp; F.a.6b 35 hrs/wk minimum. Shifts and shift hours vary Mon-Sun 7a-11p. *** F.b.9a: Raises and/or bonuses may be offered to any worker in the specified occupation at the company’s sole discretion based on individual factors, including work performance, skill or tenure. Job Classification: 43-4081.00 - Hotel, Motel, and Resort Desk Clerks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Pre-hire background check, carried out equally between U.S. workers and H-2B workers Must be available to work split-shifts, nights, weekends &amp; holidays as needed. Must be able to lift, pull, push or carry up to 25 lbs or more, and walk or stand for long periods of time. Professional appearance, able to communicate in English. Number of Hours Per Week: 35 Work Schedule (Start/End time): 7:00 A.M. - 11:00 P.M.</t>
  </si>
  <si>
    <t>H-400-26185-078868</t>
  </si>
  <si>
    <t>FRENCHMAN’S RESERVE COUNTRY CLUB</t>
  </si>
  <si>
    <t>Supervise and coordinate activities of dining room staff during set up, serving and clearing. Train new food and beverage service staff. Assist with serving of food and beverages as required, particularly in the service of special guests and VIPs. Ensure the highest level of service is provided by the club’s serving staff. Maintain contact with kitchen staff, management, serving staff, and build/maintain rapport with the club members. Prepare staff work schedules. Plan parties or other special events and services as needed. Other reasonable job related responsibilities possible, as required. ***F.a.5 A-H &amp; F.a.6a &amp; F.a.6b 35 hrs/wk minimum. Shifts and shift hours vary Mon-Sun 7a-11p. *** F.b.9a: Raises and/or bonuses may be offered to any worker in the specified occupation at the company’s sole discretion based on individual factors, including work performance, skill or tenure. Job Classification: 35-1012.00 - First-Line Supervisors of Food Preparation and Serving Workers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Pre-hire background check, carried out equally between U.S. workers and H-2B workers Must be available to work split-shifts, nights, weekends &amp; holidays as needed. Must be able to lift, pull, push or carry up to 25 lbs or more, and walk or stand for long periods of time. Professional appearance, able to communicate in English. Number of Hours Per Week: 35 Work Schedule (Start/End time): 7:00 A.M. - 11:00 P.M.</t>
  </si>
  <si>
    <t>H-400-26185-078870</t>
  </si>
  <si>
    <t>***Original*** Take and serve food and beverage orders; Carry out food and miscellaneous set up and clean up activities; May be required to perform duties in an outdoor environment and at banquet events; may be required to serve customers via golf cart. Other reasonable job related duties as needed. ***RFI response*** Work takes place across all the club’s formal and informal dining venues (dining rooms, pool snack bar, and occasionally at banquet events). Carry out food and miscellaneous set up and clean up activities include: Serve water, condiments, and coffee; run food from kitchen to guest tables; clean tables of used linens, china, utensils; set tables with clean linens, china, utensils; supply clean linens, silverware, glassware, dishes in dining areas; set up or break down food buffets. ***F.a.5 A-H &amp; F.a.6a &amp; F.a.6b 35 hrs/wk minimum. Shifts and shift hours vary Mon-Sun 7a-11p. *** F.b.9a: Raises and/or bonuses may be offered to any worker in the specified occupation at the company’s sole discretion based on individual factors, including work performance, skill or tenure. Job Classification: 35-3031.00 - Waiters and Waitresses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Pre-hire background check, carried out equally between U.S. workers and H-2B workers Must be available to work split-shifts, nights, weekends &amp; holidays as needed. Must be able to lift, pull, push or carry up to 25 lbs or more, and walk or stand for long periods of time. Professional appearance, able to communicate in English. Number of Hours Per Week: 35 Work Schedule (Start/End time): 7:00 A.M. - 11:00 P.M.</t>
  </si>
  <si>
    <t>H-400-26185-078871</t>
  </si>
  <si>
    <t>GLENEAGLES COUNTRY CLUB, INC.</t>
  </si>
  <si>
    <t>cjimenez@gleneagles.cc</t>
  </si>
  <si>
    <t>+15614956336</t>
  </si>
  <si>
    <t>Prep, season, cook, plate &amp; garnish meals. Measure/mix ingredients per recipe for cooking from scratch. Follow portion control, presentation, consistency, flavor, proper sanitation procedures. Observe/test food cooked. May substitute/assist other cooks in emergencies/rush periods ***F.a.5 A-H &amp; F.a.6a &amp; F.a.6b 35 hrs/wk minimum. Shifts and shift hours vary Mon-Sun 7a-11p. *** F.b.9a: Raises and/or bonuses may be offered to any worker in the specified occupation at the company’s sole discretion based on individual factors, including work performance, skill or tenure. Job Classification: 35-2014.00 - Cooks, Restaurant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Pre-hire drug test, carried out equally between U.S. workers and H-2B workers Must be available to work split-shifts, nights, weekends &amp; holidays as needed. Must be able to lift, pull, push or carry up to 25 lbs or more, and walk or stand for long periods of time. Professional appearance, able to communicate in English. Number of Hours Per Week: 35 Work Schedule (Start/End time): 7:00 A.M. - 11:00 P.M.</t>
  </si>
  <si>
    <t>H-400-26185-078872</t>
  </si>
  <si>
    <t>Oversee serving staff during setup, serving and clearing; train new servers on the floor; build/maintain rapport with the club members; assume server's duties as required, particularly in the service of special guests of honor and VIPs; required to set an exemplary standard and to ensure the highest level of service is provided by the clubs serving staff. ***F.a.5 A-H &amp; F.a.6a &amp; F.a.6b 35 hrs/wk minimum. Shifts and shift hours vary Mon-Sun 7a-11p. *** F.b.9a: Raises and/or bonuses may be offered to any worker in the specified occupation at the company’s sole discretion based on individual factors, including work performance, skill or tenure. Job Classification: 35-1012.00 - First-Line Supervisors of Food Preparation and Serving Workers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Pre-hire drug test, carried out equally between U.S. workers and H-2B workers Must be available to work split-shifts, nights, weekends &amp; holidays as needed. Must be able to lift, pull, push or carry up to 25 lbs or more, and walk or stand for long periods of time. Professional appearance, able to communicate in English. Number of Hours Per Week: 35 Work Schedule (Start/End time): 7:00 A.M. - 11:00 P.M.</t>
  </si>
  <si>
    <t>H-400-26185-078873</t>
  </si>
  <si>
    <t>***Original*** Serve food, water, soft drinks &amp; alcoholic beverages. Present menus, take orders, relay order to kitchen. Complete side work, clear tables, carry dishes from dining room to kitchen, keep station areas clean. Supply clean linens, silverware, glassware, dishes in dining room. Assist with set-up, cleaning, opening/closing of restaurant/food and beverage area. May be required to perform duties in an outdoor environment, at banquet events, or serve customers via golf cart. May perform other reasonable job related duties as needed. ***RFI response*** Set-up, cleaning, opening/closing of restaurant/food and beverage area tasks may include: clean tables of used linens, china, utensils; set tables with clean linens, china, utensils; set up or break down food buffets. Reasonable job related duties may include: serve condiments and coffee; supply service bar with food; keep buffet replenished with food, dishes, containers and utensils. ***F.a.5 A-H &amp; F.a.6a &amp; F.a.6b 35 hrs/wk minimum. Shifts and shift hours vary Mon-Sun 7a-11p. *** F.b.9a: Raises and/or bonuses may be offered to any worker in the specified occupation at the company’s sole discretion based on individual factors, including work performance, skill or tenure. Job Classification: 35-3031.00 - Waiters and Waitresses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Pre-hire drug test, carried out equally between U.S. workers and H-2B workers Must be available to work split-shifts, nights, weekends &amp; holidays as needed. Must be able to lift, pull, push or carry up to 25 lbs or more, and walk or stand for long periods of time. Professional appearance, able to communicate in English. Number of Hours Per Week: 35 Work Schedule (Start/End time): 7:00 A.M. - 11:00 P.M.</t>
  </si>
  <si>
    <t>H-400-26185-078875</t>
  </si>
  <si>
    <t>GRAND HARBOR GOLF &amp; BEACH CLUB</t>
  </si>
  <si>
    <t>joy@grandharbor.com</t>
  </si>
  <si>
    <t>+17727789000</t>
  </si>
  <si>
    <t>Take beverage orders. Mix and serve drinks. Clean glasses and bar equipment. Keep bar area clean and stocked. May be required to take and serve food orders. Requisition and display liquor and supplies. May perform other reasonable job related duties as needed. ***F.a.5 A-H &amp; F.a.6a &amp; F.a.6b 35 hrs/wk minimum. Shifts and shift hours vary Mon-Sun 7a-12a. *** F.b.9a: Raises and/or bonuses may be offered to any worker in the specified occupation at the company’s sole discretion based on individual factors, including work performance, skill or tenure. Job Classification: 35-3011.00 - Bartenders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Must be available to work split-shifts, nights, weekends &amp; holidays as needed. Must be able to lift, pull, push or carry up to 25 lbs or more, and walk or stand for long periods of time. Professional appearance, able to communicate in English. Number of Hours Per Week: 35 Work Schedule (Start/End time): 7:00 A.M. - 12:00 A.M.</t>
  </si>
  <si>
    <t>H-400-26185-078876</t>
  </si>
  <si>
    <t>Prep, season, cook, plate &amp; garnish meals. Measure/mix ingredients per recipe for cooking from scratch. Follow portion control, presentation, consistency, flavor, proper sanitation procedures. Observe/test food cooked. May substitute/assist other cooks in emergencies/rush periods ***F.a.5 A-H &amp; F.a.6a &amp; F.a.6b 35 hrs/wk minimum. Shifts and shift hours vary Mon-Sun 7a-12a. *** F.b.9a: Raises and/or bonuses may be offered to any worker in the specified occupation at the company’s sole discretion based on individual factors, including work performance, skill or tenure. Job Classification: 35-2014.00 - Cooks, Restaurant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Must be available to work split-shifts, nights, weekends &amp; holidays as needed. Must be able to lift, pull, push or carry up to 25 lbs or more, and walk or stand for long periods of time. Professional appearance, able to communicate in English. Number of Hours Per Week: 35 Work Schedule (Start/End time): 7:00 A.M. - 12:00 A.M.</t>
  </si>
  <si>
    <t>H-400-26185-078877</t>
  </si>
  <si>
    <t>***Original*** Serve food, water, soft drinks &amp; alcoholic beverages. Present menus, take orders, relay order to kitchen. Complete side work, clear tables, carry dishes from dining room to kitchen, keep station areas clean. Supply clean linens, silverware, glassware, dishes in dining room. Assist with set-up, cleaning, opening/closing of restaurant/food and beverage area. May be required to perform duties in an outdoor environment, at banquet events, or serve customers via golf cart. Other reasonable job related duties as needed. ***RFI response*** Set-up, cleaning, opening/closing of restaurant/food and beverage area tasks may include: clean tables of used linens, china, utensils; set tables with clean linens, china, utensils; set up or break down food buffets. Reasonable job related duties may include: serve condiments and coffee; supply service bar with food; keep buffet replenished with food, dishes, containers and utensils. ***F.a.5 A-H &amp; F.a.6a &amp; F.a.6b 35 hrs/wk minimum. Shifts and shift hours vary Mon-Sun 7a-12a. *** F.b.9a: Raises and/or bonuses may be offered to any worker in the specified occupation at the company’s sole discretion based on individual factors, including work performance, skill or tenure. Job Classification: 35-3031.00 - Waiters and Waitresses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Must be available to work split-shifts, nights, weekends &amp; holidays as needed. Must be able to lift, pull, push or carry up to 25 lbs or more, and walk or stand for long periods of time. Professional appearance, able to communicate in English. Number of Hours Per Week: 35 Work Schedule (Start/End time): 7:00 A.M. - 12:00 A.M.</t>
  </si>
  <si>
    <t>H-400-26185-078878</t>
  </si>
  <si>
    <t>H-400-26185-078879</t>
  </si>
  <si>
    <t>Wash dishes, glassware, flatware pots, pans, and cooking utensils by machine or hand. Maintain kitchen work areas and equipment in clean condition. Clean floors, sort and remove trash. Store clean dishes, glassware, flatware, pots, pans, cooking utensils in appropriate areas. ***F.a.5 A-H &amp; F.a.6a &amp; F.a.6b 35 hrs/wk minimum. Shifts and shift hours vary Mon-Sun 7a-12a. *** F.b.9a: Raises and/or bonuses may be offered to any worker in the specified occupation at the company’s sole discretion based on individual factors, including work performance, skill or tenure. Job Classification: 35-9021.00 - Dishwashers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Must be available to work split-shifts, nights, weekends &amp; holidays as needed. Must be able to lift, pull, push or carry up to 25 lbs or more, and walk or stand for long periods of time. Professional appearance, able to communicate in English. Number of Hours Per Week: 35 Work Schedule (Start/End time): 7:00 A.M. - 12:00 A.M.</t>
  </si>
  <si>
    <t>H-400-26185-078880</t>
  </si>
  <si>
    <t>***Original*** Facilitate food service. Clean and clear tables of used linens, china, utensils. Set tables; replenish supply of clean linens, china, utensils. Supply service bar with food. Serve water, condiments, and coffee. Run food from kitchen to patrons’ tables. Help set up / break down buffets and keep buffet replenished with food, dishes, containers and utensils. May perform other reasonable job related duties as needed. ***RFI response*** Set up food buffet tasks include: placing clean tablecloths over the buffet; arranging clean plates, containers and utensils on the buffet; carrying food dishes from the kitchen and arranging them on the buffet. Break down food buffet tasks include removing leftover food dishes, plates, containers, utensils, used tablecloths, and carrying them back to kitchen. Other related duties may include: keep food station areas clean during service, carry dishes from dining room to kitchen. ***F.a.5 A-H &amp; F.a.6a &amp; F.a.6b 35 hrs/wk minimum. Shifts and shift hours vary Mon-Sun 7a-12a. *** F.b.9a: Raises and/or bonuses may be offered to any worker in the specified occupation at the company’s sole discretion based on individual factors, including work performance, skill or tenure. Job Classification: 35-9011.00 - Dining Room and Cafeteria Attendants and Bartender Helpers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Must be available to work split-shifts, nights, weekends &amp; holidays as needed. Must be able to lift, pull, push or carry up to 25 lbs or more, and walk or stand for long periods of time. Professional appearance, able to communicate in English. Number of Hours Per Week: 35 Work Schedule (Start/End time): 7:00 A.M. - 12:00 A.M.</t>
  </si>
  <si>
    <t>H-400-26185-078874</t>
  </si>
  <si>
    <t>Supervise and coordinate activities of dining room staff during set up, serving and clearing. Train new food and beverage service staff. Assist with serving of food and beverages as required, particularly in the service of special guests and VIPs. Ensure the highest level of service is provided by the club’s serving staff. Maintain contact with kitchen staff, management, serving staff, and build/maintain rapport with the club members. Prepare staff work schedules. Plan parties or other special events and services as needed. Other reasonable job related responsibilities possible, as required. ***F.a.5 A-H &amp; F.a.6a &amp; F.a.6b 35 hrs/wk minimum. Shifts and shift hours vary Mon-Sun 7a-12a. *** F.b.9a: Raises and/or bonuses may be offered to any worker in the specified occupation at the company’s sole discretion based on individual factors, including work performance, skill or tenure. Job Classification: 35-1012.00 - First-Line Supervisors of Food Preparation and Serving Workers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Must be available to work split-shifts, nights, weekends &amp; holidays as needed. Must be able to lift, pull, push or carry up to 25 lbs or more, and walk or stand for long periods of time. Professional appearance, able to communicate in English. Number of Hours Per Week: 35 Work Schedule (Start/End time): 7:00 A.M. - 12:00 A.M.</t>
  </si>
  <si>
    <t>H-400-26185-078882</t>
  </si>
  <si>
    <t>GULF STREAM BATH AND TENNIS CLUB INC.</t>
  </si>
  <si>
    <t>csavona@gulfstreambt.com</t>
  </si>
  <si>
    <t>+15612722101</t>
  </si>
  <si>
    <t>Provide assistance at clubhouse and sports facilities including: greet members; check membership cards; answer telephones and answer inquiries / provide information, transmit / receive messages; make / confirm reservations; arrange merchandise and provide facility info; perform other related duties as assigned ***F.a.5 A-H &amp; F.a.6a &amp; F.a.6b 35 hrs/wk minimum. Shifts and shift hours vary Mon-Sun 7a-11p. *** F.b.9a: Raises and/or bonuses may be offered to any worker in the specified occupation at the company’s sole discretion based on individual factors, including work performance, skill or tenure. Job Classification: 39-3091.00 - Amusement and Recreation Attendants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Must be available to work split-shifts, weekends &amp; holidays as needed. Must be able to lift, pull, push or carry up to 25 lbs or more, and walk or stand for long periods of time. Professional appearance, able to communicate in English. Number of Hours Per Week: 35 Work Schedule (Start/End time): 7:00 A.M. - 11:00 P.M.</t>
  </si>
  <si>
    <t>H-400-26185-078883</t>
  </si>
  <si>
    <t>***Original*** Serve food, water, soft drinks &amp; alcoholic beverages. Present menus, take orders, relay order to kitchen. Complete side work, clear tables, carry dishes from dining room to kitchen, keep station areas clean. Supply clean linens, silverware, glassware, dishes in dining room. Assist with set-up, cleaning, opening/closing of restaurant/food and beverage area. May be required to perform duties in an outdoor environment, at banquet events, or serve customers via golf cart. May perform other reasonable job related duties as needed. ***RFI response*** Set-up, cleaning, opening/closing of restaurant/food and beverage area tasks may include: clean tables of used linens, china, utensils; set tables with clean linens, china, utensils; set up or break down food buffets. Reasonable job related duties may include: serve condiments and coffee; supply service bar with food; keep buffet replenished with food, dishes, containers and utensils. ***F.a.5 A-H &amp; F.a.6a &amp; F.a.6b 35 hrs/wk minimum. Shifts and shift hours vary Mon-Sun 7a-11p. *** F.b.9a: Raises and/or bonuses may be offered to any worker in the specified occupation at the company’s sole discretion based on individual factors, including work performance, skill or tenure. Job Classification: 35-3031.00 - Waiters and Waitresses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Must be available to work split-shifts, nights, weekends &amp; holidays as needed. Must be able to lift, pull, push or carry up to 25 lbs or more, and walk or stand for long periods of time. Professional appearance, able to communicate in English. Number of Hours Per Week: 35 Work Schedule (Start/End time): 7:00 A.M. - 11:00 P.M.</t>
  </si>
  <si>
    <t>H-400-26185-078881</t>
  </si>
  <si>
    <t>Prep, season, cook, plate &amp; garnish meals. Measure/mix ingredients per recipe for cooking from scratch. Follow portion control, presentation, consistency, flavor, proper sanitation procedures. Observe/test food cooked. May substitute/assist other cooks in emergencies/rush periods. ***F.a.5 A-H &amp; F.a.6a &amp; F.a.6b 35 hrs/wk minimum. Shifts and shift hours vary Mon-Sun 7a-11p. *** F.b.9a: Raises and/or bonuses may be offered to any worker in the specified occupation at the company’s sole discretion based on individual factors, including work performance, skill or tenure. Job Classification: 35-2014.00 - Cooks, Restaurant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Must be available to work split-shifts, nights, weekends &amp; holidays as needed. Must be able to lift, pull, push or carry up to 25 lbs or more, and walk or stand for long periods of time. Professional appearance, able to communicate in English. Number of Hours Per Week: 35 Work Schedule (Start/End time): 7:00 A.M. - 11:00 P.M.</t>
  </si>
  <si>
    <t>H-400-26185-078885</t>
  </si>
  <si>
    <t>Gulf Stream Golf Club, Inc.</t>
  </si>
  <si>
    <t>jmcnamara@gsgcfl.com</t>
  </si>
  <si>
    <t>+15612780392</t>
  </si>
  <si>
    <t>***Original*** Serve food, water, soft drinks &amp; alcoholic beverages. Present menus, take orders, relay order to kitchen. Complete side work, clear tables, carry dishes from dining room to kitchen, keep station areas clean. Supply clean linens, silverware, glassware, dishes in dining room. Assist with set-up, cleaning, opening/closing of restaurant/food and beverage area. May be required to perform duties in an outdoor environment, at banquet events, or serve customers via golf cart. May perform other reasonable job related duties as needed. ***RFI response*** Set-up, cleaning, opening/closing of restaurant/food and beverage area tasks may include: clean tables of used linens, china, utensils; set tables with clean linens, china, utensils; set up or break down food buffets. Reasonable job related duties may include: serve condiments and coffee; supply service bar with food; keep buffet replenished with food, dishes, containers and utensils. ***F.a.5 A-H &amp; F.a.6a &amp; F.a.6b 35 hrs/wk minimum. Shifts and shift hours vary Mon-Sun 7a-12a. *** F.b.9a: Raises and/or bonuses may be offered to any worker in the specified occupation at the company’s sole discretion based on individual factors, including work performance, skill or tenure. Job Classification: 35-3031.00 - Waiters and Waitresses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Pre-hire drug test and background check, carried out equally between the U.S. workers and the H-2B workers. Must be available to work split-shifts, nights, weekends &amp; holidays as needed. Must be able to lift, pull, push or carry up to 25 lbs or more, and walk or stand for long periods of time. Professional appearance, able to communicate in English. Number of Hours Per Week: 35 Work Schedule (Start/End time): 7:00 A.M. - 12:00 A.M.</t>
  </si>
  <si>
    <t>H-400-26185-078886</t>
  </si>
  <si>
    <t>Prep, season, cook, plate &amp; garnish meals. Measure/mix ingredients per recipe for cooking from scratch. Follow portion control, presentation, consistency, flavor, proper sanitation procedures. Observe/test food cooked. May substitute/assist other cooks in emergencies/rush periods. ***F.a.5 A-H &amp; F.a.6a &amp; F.a.6b 35 hrs/wk minimum. Shifts and shift hours vary Mon-Sun 7a-11p. *** F.b.9a: Raises and/or bonuses may be offered to any worker in the specified occupation at the company’s sole discretion based on individual factors, including work performance, skill or tenure. Job Classification: 35-2014.00 - Cooks, Restaurant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Pre-hire drug test and background check, carried out equally between the U.S. workers and the H-2B workers. Must be available to work split-shifts, nights, weekends &amp; holidays as needed. Must be able to lift, pull, push or carry up to 25 lbs or more, and walk or stand for long periods of time. Professional appearance, able to communicate in English. Number of Hours Per Week: 35 Work Schedule (Start/End time): 7:00 A.M. - 11:00 P.M.</t>
  </si>
  <si>
    <t>H-400-26185-078888</t>
  </si>
  <si>
    <t>JONATHAN'S LANDING GOLF CLUB</t>
  </si>
  <si>
    <t>jackiel@jonathanslanding.com</t>
  </si>
  <si>
    <t>+15617477600</t>
  </si>
  <si>
    <t>Prep, season, cook, plate &amp; garnish meals. Measure/mix ingredients per recipe for cooking from scratch. Follow portion control, presentation, consistency, flavor, proper sanitation procedures. Observe/test food cooked. May substitute/assist other cooks in emergencies/rush periods ***F.a.5 A-H &amp; F.a.6a &amp; F.a.6b 35 hrs/wk minimum. Shifts and shift hours vary Mon-Sun 7a-11p. *** F.b.9a: Raises and/or bonuses may be offered to any worker in the specified occupation at the company’s sole discretion based on individual factors, including work performance, skill or tenure. Job Classification: 35-2014.00 - Cooks, Restaurant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Pre-hire background check, carried out equally between U.S. workers and H-2B workers. Must be available to work split-shifts, nights, weekends &amp; holidays as needed. Must be able to lift, pull, push or carry up to 25 lbs or more, and walk or stand for long periods of time. Professional appearance, able to communicate in English. Number of Hours Per Week: 35 Work Schedule (Start/End time): 7:00 A.M. - 11:00 P.M.</t>
  </si>
  <si>
    <t>H-400-26185-078889</t>
  </si>
  <si>
    <t>JONATHAN’S LANDING GOLF CLUB</t>
  </si>
  <si>
    <t>Clean and maintain the club's guest rooms, common areas, bathrooms and locker rooms including: Dust and wipe down furniture. Sweep, light mop, and vacuum floors. Scrub and disinfect bathrooms. Handle linens, make beds. Replenish supplies, linens and towels. Move furniture, hang drapes, roll carpets. Occasional trash removal. ***F.a.5 A-H &amp; F.a.6a &amp; F.a.6b 35 hrs/wk minimum. Shifts and shift hours vary Mon-Sun 7a-11p. *** F.b.9a: Raises and/or bonuses may be offered to any worker in the specified occupation at the company’s sole discretion based on individual factors, including work performance, skill or tenure. Job Classification: 37-2012.00 - Maids and Housekeeping Cleaners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Pre-hire background check, carried out equally between U.S. workers and H-2B workers. Must be available to work split-shifts, nights, weekends &amp; holidays as needed. Must be able to lift, pull, push or carry up to 25 lbs or more, and walk or stand for long periods of time. Professional appearance, able to communicate in English. Number of Hours Per Week: 35 Work Schedule (Start/End time): 7:00 A.M. - 11:00 P.M.</t>
  </si>
  <si>
    <t>H-400-26185-078890</t>
  </si>
  <si>
    <t>Supervise and coordinate activities of dining room staff during set up, serving and clearing. Train new food and beverage service staff. Assist with serving of food and beverages as required, particularly in the service of special guests and VIPs. Ensure the highest level of service is provided by the club’s serving staff. Maintain contact with kitchen staff, management, serving staff, and build/maintain rapport with the club members. Prepare staff work schedules. Plan parties or other special events and services as needed. Other reasonable job related responsibilities possible, as required. ***F.a.5 A-H &amp; F.a.6a &amp; F.a.6b 35 hrs/wk minimum. Shifts and shift hours vary Mon-Sun 7a-11p. *** F.b.9a: Raises and/or bonuses may be offered to any worker in the specified occupation at the company’s sole discretion based on individual factors, including work performance, skill or tenure. Job Classification: 35-1012.00 - First-Line Supervisors of Food Preparation and Serving Workers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Pre-hire background check, carried out equally between U.S. workers and H-2B workers. Must be available to work split-shifts, nights, weekends &amp; holidays as needed. Must be able to lift, pull, push or carry up to 25 lbs or more, and walk or stand for long periods of time. Professional appearance, able to communicate in English. Number of Hours Per Week: 35 Work Schedule (Start/End time): 7:00 A.M. - 11:00 P.M.</t>
  </si>
  <si>
    <t>H-400-26185-078839</t>
  </si>
  <si>
    <t>Jade Forestry Inc</t>
  </si>
  <si>
    <t>Jadeforestryinc@gmail.com</t>
  </si>
  <si>
    <t>+15412924794</t>
  </si>
  <si>
    <t>Dig holes all day and then hand plant tree seedlings w/o J/U root using hand planting tool(s). Maintain surrounding vegetation by pruning, thinning, spraying, pile slash, clearing of debris &amp; other related Forestry Worker activities per SOC/OES 45-4011 (Onetonline.org). Possible weekend/holiday work. Job Classification: 45-4011.00 - Forest and Conservation Workers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Must show proof of legal authorization to work in the United States. Drug/alcohol/tobacco free work zone. Perform physical activities such as: lift, balance, walk, stoop, handle, position, move, manipulate materials use static strength to exert maximum muscle force to lift, push, pull, carry objects up to 50lbs. All applicants must be able, willing and qualified to perform work described and must be available for the entire period specified and work throughout all areas of intended employment. Work is performed outdoors, exposed to weather, must be capable of doing physically strenuous labor for long hours, occasionally in extreme heat or cold. Variable weather conditions apply; hours may fluctuate (+/-). Possible downtime and/or overtime. Number of Hours Per Week: 40 Work Schedule (Start/End time): 7:00 A.M. - 5:00 P.M.</t>
  </si>
  <si>
    <t>H-400-26185-078887</t>
  </si>
  <si>
    <t>+13176723788</t>
  </si>
  <si>
    <t>Remove snow from sidewalks, walkways and roads using a snow shovel and apply ice/salt melt using a walk behind spreader.50LBS LIFTING REQUIREMENTS Job Classification: 37-2011.00 - Janitors and Cleaners, Except Maids and Housekeeping Cleaners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None. Number of Hours Per Week: 40 Work Schedule (Start/End time): 7:00 A.M. - 5:00 P.M.</t>
  </si>
  <si>
    <t>H-400-26185-078844</t>
  </si>
  <si>
    <t>Tomer Lux</t>
  </si>
  <si>
    <t>mecalexander@gmail.com</t>
  </si>
  <si>
    <t>+16143305532</t>
  </si>
  <si>
    <t>***RFI response*** Meal preparation, laundry/clothing care, housekeeping/cleaning, and transportation are limited to childcare-related nanny duties for the children under the nanny’s care, and do not describe a cook, launderer, housekeeper, cleaner, driver, or chauffeur position. Meal planning/preparation means planning, preparing, reheating, assembling, and serving age-appropriate meals and snacks for the children only. The worker may use ordinary household kitchen equipment, including refrigerator, sink, stove/oven, microwave, toaster, blender, pots, pans, utensils, cutting board, child-safe dishes, and dishwasher. The worker may perform basic cooking or reheating only as needed for children’s meals/snacks. The worker will not cook meals for the parents or household generally. Food prepared by the nanny is for the children under the nanny’s care. Laundry/clothing care means the children’s laundry only, including washing, drying, folding, organizing, and putting away children’s clothing, bibs, towels, blankets, bedding, and child-care related items. The worker may use ordinary household laundry equipment, including washer, dryer, detergent, hampers, and child clothing storage areas. The worker will not handle parents’ laundry, adult clothing care, or general household laundry. Transportation means transportation/accompaniment of the children only, as part of childcare, to and from school, daycare, children’s activities, play outings, medical appointments, or similar child-related outings, as directed by the parents. Tasks may include placing children in car seats/seat belts, supervising them during travel, bringing children’s belongings, and accompanying children into/out of destinations. The worker will not transport parents, other adults, or the public. Housekeeping/cleaning duties are limited to the children’s care, such as cleaning up after children’s meals, organizing children’s toys/play areas, and maintaining a safe environment for the children. These duties are incidental to childcare. ***Original*** Care for young children in private households and provide support and expertise to parents in satisfying children's physical, emotional, intellectual, and social needs. Duties may include meal planning, and preparation, laundry and clothing care, organization of play activities and outings, discipline, intellectual stimulation, language activities, and transportation. Furthermore, duties may include the below: - Instruct children in safe behavior, such as seeking adult assistance when crossing the street and avoiding contact with unsafe objects. - Remove hazards and develop appropriate boundaries and rules to create a safe environment for children. - Instruct and assist children in developing healthy and personal habits, such as eating, resting, and toilet behavior. - Regulate children's rest periods and nap schedules. - Help prepare and serve nutritionally balanced meals and snacks for children. - Model appropriate social behaviors and encourage concern for others to cultivate the development of interpersonal relationships and communication skills. - Observe children's behavior for irregularities, take temperature, transport children to the doctor, or administer medications, as directed, to maintain children's health. Perform first aid or cardiopulmonary resuscitation (CPR) when required. - Work with parents to develop and implement discipline programs to promote desirable child behavior. - Perform housekeeping and cleaning duties related to children's care. - Meet regularly with parents to discuss children's activities and development. Job Classification: 39-9011.01 - Nannies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12 Special Requirements: First Aid and Child CPR certified Number of Hours Per Week: 40 Work Schedule (Start/End time): 7:00 A.M. - 3:00 P.M.</t>
  </si>
  <si>
    <t>H-400-26186-078960</t>
  </si>
  <si>
    <t>A&amp;B SILVERTON EMPLOYMENT SERVICE LLC</t>
  </si>
  <si>
    <t>absilvertonemployment@gmail.com</t>
  </si>
  <si>
    <t>+19708805661</t>
  </si>
  <si>
    <t>Temporary workers will perform duties to maintain the work place in a clean and orderly manner. The duties are making beds, replacing linens, towels, toilet items, replenishing supplies, cleaning supplies, and emptying wastebaskets using wheeled carts. Clean rooms, hallways, lobbies, lounges, restrooms, corridors, elevators, stairways, locker rooms, and other work areas. Clean rugs, carpets, upholstered furniture, and draperies, using vacuum cleaners and shampooers, and ordering repairs. Job Classification: 37-2011.00 - Janitors and Cleaners, Except Maids and Housekeeping Cleaners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THREE MONTHS OF EXPERIENCE AS A MAID AND HOUSEKEEPING CLEANER. MUST BEND, LIFT AND SUSTAIN UP TO 50 LBS, FAST-PACED WORK. NO TRAVEL IS REQUIRED, NO EDUCATION IS REQUIRED, NO ON-THE-JOB TRAINING IS AVAILABLE. POST-HIRE DRUG TEST REQUIRED PAID BY THE EMPLOYER, ALL US AND GUEST WORKERS WILL BE SCREENED EQUALLY. Number of Hours Per Week: 40 Work Schedule (Start/End time): 7:00 A.M. - 2:00 P.M.</t>
  </si>
  <si>
    <t>H-400-26185-078930</t>
  </si>
  <si>
    <t>***RFI Response*** Prepare and cook to order a variety of foods with short preparation time in a low country dining restaurant. Prepare quick and simple recipes such she-crab soup and BBQ shrimp and grits, fried green tomatoes, and crispy fried chicken. Perform food preparation tasks such as simple assembly of prepped and partially cooked ingredients to create sandwiches, burgers, salads and soups finishing them quickly on the grill or in the oven when ordered. Ensure food is stored and cooked at correct temperature by regulating fast ovens, broilers, grills, and roasters. Use standard commercial kitchen equipment, relying heavily on deep fryers for the crispy chicken wings and house chips. Ensure freshness of foods and ingredients by checking for quality, keeping track of old and new items and rotating stock. Clean food preparation equipment within the kitchen such as ovens, grills, and deep fryers, using soap, degreaser, and scrubbing pads. Clean kitchen work areas such as kitchen counters and tables using surface cleaners, cleaning brushes and sanitizers. The workers will not take direct food orders from customers; this task is being handled by the servers. ***Original F.a.2*** Prepare and cook to order a variety of foods with short preparation time. Ensure food is stored and cooked at correct temperature by regulating ovens, broilers, grills, and roasters. Perform food preparation tasks, such as making sandwiches, carving meats, making soups, salads, desserts. Ensure freshness of foods and ingredients by checking for quality, keeping track of old and new items and rotating stock. Clean food preparation equipment, work areas, and counters or tables Job Classification: 35-2014.00 - Cooks, Restaurant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Number of Hours Per Week: 40 Work Schedule (Start/End time): 3:00 P.M. - 11:00 P.M.</t>
  </si>
  <si>
    <t>H-400-26185-078935</t>
  </si>
  <si>
    <t>Creative Forestry Products Inc</t>
  </si>
  <si>
    <t>rhondapwong@hotmail.com</t>
  </si>
  <si>
    <t>+14798574119</t>
  </si>
  <si>
    <t>PRODUCT ASSEMBLY NURSERY WORKER REQUIRES GATHER TREE LIMBS, SHEER, CUTMANUAL, TREAT, ARRANGE, TIE, PACKAGE OF PREVIOUSLY GATHERED RAW NURSERY-CHRISTMAS TREE, LIMBS, BOUGHS, ECT. MATERIAL. CUT NATURAL PINE PRODUCTS, TIR, TREAT, ARRANGE TO PRODUCE WREATHS AND OTHER RELATED NURSERY WORKER ACTIVITIES AS PER SOC/OES 45-2092 (ONETONLINE.ORG). THIS POSITION IS NOT A FLORAL DESIGNER WHO WORKS WITH FLOWERS, THIS IS MAKING HOLIDAY WREATHS FROM A CHRISTMAS TREE FARM/NURSERY. Job Classification: 27-1023.00 - Floral Designers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MUST BE 18 DUE TO EQUIPMENT US. MUST SHOW PROOF OF LEGAL AUTHORIZATION TO WORK IN THE UNITED STATES. DURG/ALCOHOL/TOBACCO FREE WORK ZONE. PERFORM PHYSICAL ACTIVITIES SUCH AS: LIFT, BALANCE, WALK, STOOP, HANDLE, POSTITION, MOVE MANIPULATE MATERIALS, USE OF STATIC STRENGTH TO EXERT MAXIMUM MUSCLE FORCE TO LIFT,PUSH, PULL, CARRY OBJECTS UP TO 40LBS.ALL APPLICANTS MUST BE ABLE,WILLING, AND QUALIFIED TO PERFORM WORK DESCRIBED DURING EMPLOYMENT. POSITIVE TEST/REFUSAL TO ABIDE IS GROUNDS FOR DISMISSAL. POSSIBLE POST HIRE BACKGROUND CHECK AT EMPLOYERS EXPENSE. OUTDOORS, EXPOSED TO WEATHER. MUCH BE CAPABLE OF STRENUOUS LABOR FOR LONG HOURS, OCCASIONALLY IN EXTREME HEAT/COLD. VARIABLE WEATHER CONDITIONS. HRS MAY FLUCUATE (+/-) POSSIBLE DOWNTIME AND/OR OT. Number of Hours Per Week: 40 Work Schedule (Start/End time): 7:30 A.M. - 4:30 P.M.</t>
  </si>
  <si>
    <t>H-400-26186-078961</t>
  </si>
  <si>
    <t>EOL Concessions</t>
  </si>
  <si>
    <t>Nimsy Garcia</t>
  </si>
  <si>
    <t>georgetownenterprises@yahoo.com</t>
  </si>
  <si>
    <t>+17202446098</t>
  </si>
  <si>
    <t>Retail Salesperson</t>
  </si>
  <si>
    <t>EOL Concessions is a souvenir shop located in Georgetown, Colorado. The Retail Associates will be responsible for supporting the daily operations of the retail store by maintaining positive relationships with customers, restocking and organizing display shelves. Duties will include greeting customers, taking inventory of products and managing the Point of Sale system (POS) to maintain proper inventory counts. Sales associate may also clean shelves, counters, and tables; open and close cash registers; bag, package or wrap purchased items; and watch for and recognize security risks and thefts. Job Classification: 41-2031.00 - Retail Salespersons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Number of Hours Per Week: 40 Work Schedule (Start/End time): 9:00 A.M. - 5:00 P.M.</t>
  </si>
  <si>
    <t>H-400-26185-078931</t>
  </si>
  <si>
    <t>Eining Rental Property</t>
  </si>
  <si>
    <t>Eining@einingbiz.com</t>
  </si>
  <si>
    <t>+16053592900</t>
  </si>
  <si>
    <t>Snow removal, grounds maintenance, litter cleanup, and other duties as assigned related to facilities maintenance, such as clearing leaves, snow, or debris using hand tools or power equipment including but not limited to rakes, shovels, and snow/leaf blowers. Irrigation system winterization and activation. Potential for fall and spring leaf cleanup, dormant pruning, perennial planting, leaf removal and landscape bed mulching. Tree and bush pruning. De-icing and removal of snow from walks, driveways, roads and parking lots for various residential, municipal and commercial properties, using hand tools such as snow brooms, shovels, snow plows, and spreading deicing solutions, including calcium chloride or rock salt. May also use a walk behind electric or gas snow blower, as needed. May drive crew vehicles as needed and other Landscape Laborer activities per SOC 37-3011. Job Classification: 37-3011.00 - Landscaping and Groundskeeping Workers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Must show proof of legal authorization to work in the United States. Drug/alcohol/tobacco free work zone. Perform physical activities such as: lift, balance, walk, stoop, handle, position, move, manipulate materials use static strength to exert maximum muscle force to lift, push, pull, carry objects up to 50lbs. All applicants must be able, willing and qualified to perform work described and must be available for the entire period specified and work throughout all areas of intended employment. Work is performed outdoors, exposed to weather, must be capable of doing physically strenuous labor for long hours, occasionally in extreme heat or cold. Variable weather conditions apply; hours may fluctuate (+/-). Possible downtime and/or overtime. Number of Hours Per Week: 35 Work Schedule (Start/End time): 7:00 A.M. - 5:00 P.M.</t>
  </si>
  <si>
    <t>H-400-26185-078942</t>
  </si>
  <si>
    <t>Galvotec Mag and Metalworks, Inc</t>
  </si>
  <si>
    <t>epena@galvotec.com</t>
  </si>
  <si>
    <t>+19566303500</t>
  </si>
  <si>
    <t>***RFI response*** The facilities described in Item F.a.2. is a manufacturing warehouse where the Production helpers will perform the job duties. Production helpers are in charge of supplying, carrying, or holding materials and tools for the production and cleaning of the work area. Specific tasks include: loading and unloading raw magnesium, or metal stock materials and finished products from machines and conveyors; placing products on work surfaces for further processing or inspection; removing finished products and waste material from machines; packing and storing finished magnesium extrusions, die cast components; counting finished products for order fulfillment; cleaning and lubricating equipment; and washing work areas and machinery. Tools and equipment used include hoists, wrenches, cleaning equipment (such as brooms, mops, buckets, rags, etc.), shelf utility carts for transportation, and basic hand tools (including label gun, scissors, and office supplies to identify boxes). For objects exceeding 50 lbs, workers use forklifts and hooks provided by the employer. Workers will operate forklifts as needed to transport raw magnesium materials and finished products between storage and production areas. Production helpers will also assist operators by loading raw magnesium billets into extrusion presses and die casting machines, removing finished parts, and clearing waste or defective material for reprocessing. Helpers will monitor equipment during operation and notify operators of any visible malfunctions. They will not independently operate production machinery. ***Original*** Production Helper will supply, carry, or hold materials and tools for production. May load and run machines; move, and process materials, clean work area and tools Job Classification: 53-7063.00 - Machine Feeders and Offbearers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Three months of previous experience is required as a Production helper. No travel or education required, no on-the-job training or daily transportation to work site available. Able to bend and lift heavy objects up to 50lb. For objects more than 50lb forklift and hooks provided. Post-hire drug test required paid by the employer, all us and guest workers will be screened equally. The minimum age required is 18 due to hazardous activities. Number of Hours Per Week: 40 Work Schedule (Start/End time): 7:30 A.M. - 4:30 P.M.</t>
  </si>
  <si>
    <t>H-400-26185-078913</t>
  </si>
  <si>
    <t>Glemer International Management Consulting LLC</t>
  </si>
  <si>
    <t>hr@gimc-usa.com</t>
  </si>
  <si>
    <t>+18439978154</t>
  </si>
  <si>
    <t>Housekeepers will be responsible for: Clean &amp; maintain guests' accommodations, make beds &amp; change linens; vacuum carpeted areas &amp; remove trash. Stock guest rooms with amenities such as bottled water, towels &amp; tissues. Clean common areas such as lobbies, hallways, bathrooms &amp; recreation areas. Report damage to guest rooms, report lost items, maintain carts, linen rooms &amp; housekeeping equipment &amp; supplies in a neat &amp; orderly fashion. May also help with turndown service. Comply with all resort policies, procedures &amp; standards of operation. Comply with OSHA standards for chemical handling. Will report directly to the Housekeeping Manager at GIMC. Perform other similar related tasks as necessary. Job Classification: 37-2012.00 - Maids and Housekeeping Cleaners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Must be able to lift and push housekeeping carts weighing up to 30 lbs. Must be able to tolerate prolonged periods of standing and working. Background check required. Number of Hours Per Week: 56 Work Schedule (Start/End time): 8:00 A.M. - 5:00 P.M.</t>
  </si>
  <si>
    <t>H-400-26185-078927</t>
  </si>
  <si>
    <t>JABS2 Real Estate Services</t>
  </si>
  <si>
    <t>lvahle@greenthumbllc.com</t>
  </si>
  <si>
    <t>+16366279270</t>
  </si>
  <si>
    <t>Snow removal, grounds maintenance, litter cleanup, and other duties as assigned related to facilities maintenance, such as clearing leaves, snow, or debris using hand tools or power equipment including but not limited to rakes, shovels, and snow/leaf blowers. Irrigation system winterization and activation. Potential for fall and spring leaf clean-up, dormant pruning, perennial planting, leaf removal and landscape bed mulching. Tree and bush pruning. De-icing and removal of snow from walks, driveways, roads and parking lots for various residential, municipal and commercial properties, using hand tools such as snow brooms, shovels, snow plows, and spreading deicing solutions, including calcium chloride or rock salt. May also use a walk behind electric or gas snow blower, as needed. May drive crew vehicles as needed and other Landscape Laborer activities per SOC 37-3011. Job Classification: 37-3011.00 - Landscaping and Groundskeeping Workers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Must show proof of legal authorization to work in the United States. Drug/alcohol/tobacco free work zone. Perform physical activities such as: lift, balance, walk, stoop, handle, position, move, manipulate materials use static strength to exert maximum muscle force to lift, push, pull, carry objects up to 50lbs. All applicants must be able, willing and qualified to perform work described and must be available for the entire period specified and work throughout all areas of intended employment. Work is performed outdoors, exposed to weather, must be capable of doing physically strenuous labor for long hours, occasionally in extreme heat or cold. Variable weather conditions apply; hours may fluctuate (+/-). Possible downtime and/or overtime. Number of Hours Per Week: 35 Work Schedule (Start/End time): 7:00 A.M. - 3:00 P.M.</t>
  </si>
  <si>
    <t>H-400-26185-078892</t>
  </si>
  <si>
    <t>***Original*** Serve food, water, soft drinks &amp; alcoholic beverages. Present menus, take orders, relay order to kitchen. Complete side work, clear tables, carry dishes from dining room to kitchen, keep station areas clean. Supply clean linens, silverware, glassware, dishes in dining room. Assist with set-up, cleaning, opening/closing of restaurant/food and beverage area. May be required to perform duties in an outdoor environment, at banquet events, or serve customers via golf cart. Other reasonable job related duties as needed. ***RFI response*** Set-up, cleaning, opening/closing of restaurant/food and beverage area tasks may include: clean tables of used linens, china, utensils; set tables with clean linens, china, utensils; set up or break down food buffets. Reasonable job related duties may include: serve condiments and coffee; supply service bar with food; keep buffet replenished with food, dishes, containers and utensils. ***F.a.5 A-H &amp; F.a.6a &amp; F.a.6b 35 hrs/wk minimum. Shifts and shift hours vary Mon-Sun 7a-11p. *** F.b.9a: Raises and/or bonuses may be offered to any worker in the specified occupation at the company’s sole discretion based on individual factors, including work performance, skill or tenure. Job Classification: 35-3031.00 - Waiters and Waitresses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Pre-hire background check, carried out equally between U.S. workers and H-2B workers. Must be available to work split-shifts, nights, weekends &amp; holidays as needed. Must be able to lift, pull, push or carry up to 25 lbs or more, and walk or stand for long periods of time. Professional appearance, able to communicate in English. Number of Hours Per Week: 35 Work Schedule (Start/End time): 7:00 A.M. - 11:00 A.M.</t>
  </si>
  <si>
    <t>H-400-26185-078894</t>
  </si>
  <si>
    <t>Valet Attendant</t>
  </si>
  <si>
    <t>Meet and greet all arriving / departing members and guests in a timely manner. Park / retrieve vehicles efficiently and safely in / from specified areas. Keep parking areas clean and orderly. Provide assistance with info, directions, wheelchairs, handling of sports equipment, etc. Comply with private and public traffic safety rules and regulations in operating vehicles ***F.a.5 A-H &amp; F.a.6a &amp; F.a.6b 35 hrs/wk minimum. Shifts and shift hours vary Mon-Sun 7a-11p. *** F.b.9a:Tipped position with guaranteed wage rate of $14.52/hr; overtime possible but not guaranteed @ $21.78/hr. Employer will guarantee wage in any given workweek when total compensation (including tips) does not meet prevailing wage rate or overtime wage rate. Raises and/or bonuses may be offered to any worker in the specified occupation at the company’s sole discretion based on individual factors, including work performance, skill or tenure. Job Classification: 53-6021.00 - Parking Attendants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Pre-hire background check, carried out equally between U.S. workers and H-2B workers. Must be available to work split-shifts, nights, weekends &amp; holidays as needed. Must be able to lift, pull, push or carry up to 25 lbs or more, and walk or stand for long periods of time. Professional appearance, able to communicate in English. Number of Hours Per Week: 35 Work Schedule (Start/End time): 7:00 A.M. - 11:00 P.M.</t>
  </si>
  <si>
    <t>H-400-26185-078891</t>
  </si>
  <si>
    <t>***Original*** Provide assistance at golf / sports / clubhouse facilities including: greet members; confirm reservations; answer inquiries; arrange merchandise and provide facility info; load/unload golf bags; handle / clean / maintain golf carts, bags, clubs and shoes; keep cart barn and staging area orderly and stocked with clean golf balls, ice, cups, drink coolers; occasional trash removal and restroom cleaning; transport members' golf or sports equipment and automobiles to and from the clubhouse facilities; perform other related duties as assigned ***RFI response*** Occasionally, drive members’ vehicles from the golf bag drop-off area to the clubhouse valet stand or vice versa. Other related duties may include: collect golf balls from golf practice range, wash golf balls and keep ready for replenishment; refill water coolers for the players on the golf course when or if needed. ***F.a.5 A-H &amp; F.a.6a &amp; F.a.6b 35 hrs/wk minimum. Shifts and shift hours vary Mon-Sun 7a-11p. *** F.b.9a: Tipped position with guaranteed wage rate of $15.94/hr; overtime possible but not guaranteed @ $23.91/hr. Employer will guarantee wage in any given workweek when total compensation (including tips) does not meet prevailing wage rate or overtime wage rate. Raises and/or bonuses may be offered to any worker in the specified occupation at the company’s sole discretion based on individual factors, including work performance, skill or tenure. Job Classification: 37-2011.00 - Janitors and Cleaners, Except Maids and Housekeeping Cleaners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Pre-hire background check, carried out equally between U.S. workers and H-2B workers. Must be available to work split-shifts, nights, weekends &amp; holidays as needed. Must be able to lift, pull, push or carry up to 25 lbs or more, and walk or stand for long periods of time. Professional appearance, able to communicate in English. Number of Hours Per Week: 35 Work Schedule (Start/End time): 7:00 A.M. - 11:00 P.M.</t>
  </si>
  <si>
    <t>H-400-26185-078926</t>
  </si>
  <si>
    <t>JRC Equipment, LLC.</t>
  </si>
  <si>
    <t>Maritza Navarrete</t>
  </si>
  <si>
    <t>jobs@hollandeq.com</t>
  </si>
  <si>
    <t>+18019721601</t>
  </si>
  <si>
    <t>Welder Helper</t>
  </si>
  <si>
    <t>***RFI response*** Employees work as part of an assembly team responsible for manufacturing and assembling snow plows and related components. Duties include assembling mechanical components; providing assistance in the production of snow plows assemblies; reading work orders, and assembly instructions to determine product specifications and material requirements; rotating through various tasks within the production process; performing quality checks on completed products and parts to ensure compliance with specifications; maintaining production equipment and machinery; packaging finished products for storage or shipment; and cleaning and maintaining work areas. Tools and equipment used include hand tools such as wrenches, ratchets, sockets, screwdrivers, pliers, hammers, and measuring devices, as well as power tools including drills, impact wrenches, grinders, and fastening tools. ***Original*** Work as part of a team having responsibility for assembling snow plows. Team assemblers can perform all tasks conducted by the team in the assembly process and rotate through all or most of them, rather than being assigned to a specific task on a permanent basis. Clean work areas, maintain production equipment and machinery, review work orders and blueprints to ensure work is performed according to specifications, perform quality checks on products and parts. Job Classification: 51-2092.00 - Team Assemblers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Must be 18 due to equipment use. Must show proof of legal authorization to work in the United States. Drug/alcohol/tobacco free work zone. Perform physical activities such as: lift, balance, walk, stoop, handle, position, move, push, pull, carry objects up to 50lbs (possible 2-person). All applicants must be able, willing, qualified to perform work described and must be available for the entire period specified and work throughout all areas of intended employment. Number of Hours Per Week: 40 Work Schedule (Start/End time): 8:00 A.M. - 4:30 P.M.</t>
  </si>
  <si>
    <t>H-400-26185-078893</t>
  </si>
  <si>
    <t>JUPITER GOLF CLUB, LLC</t>
  </si>
  <si>
    <t>jupitergc.hr@gmail.com</t>
  </si>
  <si>
    <t>+15619731650</t>
  </si>
  <si>
    <t>Wash dishes, glassware, flatware pots, pans, and cooking utensils by machine or hand. Maintain kitchen work areas and equipment in clean condition. Clean floors, sort and remove trash. Store clean dishes, glassware, flatware, pots, pans, cooking utensils in appropriate areas. ***F.a.5 A-H &amp; F.a.6a &amp; F.a.6b 35 hrs/wk minimum. Shifts and shift hours vary Mon-Sun 7a-12a. *** F.b.9a: Raises and/or bonuses may be offered to any worker in the specified occupation at the company’s sole discretion based on individual factors, including work performance, skill or tenure. Job Classification: 35-9021.00 - Dishwashers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Pre-hire drug test and background check, carried out equally between U.S. workers and H-2B workers. Must be available to work split-shifts, nights, weekends &amp; holidays as needed. Must be able to lift, pull, push or carry up to 25 lbs or more, and walk or stand for long periods of time. Professional appearance, able to communicate in English. Number of Hours Per Week: 35 Work Schedule (Start/End time): 7:00 A.M. - 12:00 A.M.</t>
  </si>
  <si>
    <t>H-400-26185-078895</t>
  </si>
  <si>
    <t>Prep, season, cook, plate &amp; garnish meals. Measure/mix ingredients per recipe for cooking from scratch. Follow portion control, presentation, consistency, flavor, proper sanitation procedures. Observe/test food cooked. May substitute/assist other cooks in emergencies/rush periods ***F.a.5 A-H &amp; F.a.6a &amp; F.a.6b 35 hrs/wk minimum. Shifts and shift hours vary Mon-Sun 7a-12a. *** F.b.9a: Raises and/or bonuses may be offered to any worker in the specified occupation at the company’s sole discretion based on individual factors, including work performance, skill or tenure. Job Classification: 35-2014.00 - Cooks, Restaurant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Pre-hire drug test and background check, carried out equally between U.S. workers and H-2B workers. Must be available to work split-shifts, nights, weekends &amp; holidays as needed. Must be able to lift, pull, push or carry up to 25 lbs or more, and walk or stand for long periods of time. Professional appearance, able to communicate in English. Number of Hours Per Week: 35 Work Schedule (Start/End time): 7:00 A.M. - 12:00 A.M.</t>
  </si>
  <si>
    <t>H-400-26185-078897</t>
  </si>
  <si>
    <t>***Original*** Serve food, water, soft drinks &amp; alcoholic beverages. Present menus, take orders, relay order to kitchen. Complete side work, clear tables, carry dishes from dining room to kitchen, keep station areas clean. Supply clean linens, silverware, glassware, dishes in dining room. Assist with set-up, cleaning, opening/closing of restaurant/food and beverage area. May be required to perform duties in an outdoor environment, at banquet events, or serve customers via golf cart. May perform other reasonable job related duties as needed. ***RFI response*** Set-up, cleaning, opening/closing of restaurant/food and beverage area tasks may include: clean tables of used linens, china, utensils; set tables with clean linens, china, utensils; set up or break down food buffets. Reasonable job related duties may include: serve condiments and coffee; supply service bar with food; keep buffet replenished with food, dishes, containers and utensils. ***F.a.5 A-H &amp; F.a.6a &amp; F.a.6b 35 hrs/wk minimum. Shifts and shift hours vary Mon-Sun 7a-12a. *** F.b.9a: Raises and/or bonuses may be offered to any worker in the specified occupation at the company’s sole discretion based on individual factors, including work performance, skill or tenure. Job Classification: 35-3031.00 - Waiters and Waitresses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Pre-hire drug test and background check, carried out equally between U.S. workers and H-2B workers. Must be available to work split-shifts, nights, weekends &amp; holidays as needed. Must be able to lift, pull, push or carry up to 25 lbs or more, and walk or stand for long periods of time. Professional appearance, able to communicate in English. Number of Hours Per Week: 35 Work Schedule (Start/End time): 7:00 A.M. - 12:00 A.M.</t>
  </si>
  <si>
    <t>H-400-26186-078955</t>
  </si>
  <si>
    <t>James Hawkes Designs, L.L. C.</t>
  </si>
  <si>
    <t>accounting@hawkesandco.com</t>
  </si>
  <si>
    <t>+14808328321</t>
  </si>
  <si>
    <t>Ajp Accredited Jewelry Professional</t>
  </si>
  <si>
    <t>Using the 4 C's of diamond basics assist in educating customers on their diamond purchases. Utilizing knowledge of semi-precious and precious gemstones work with high-net-worth clients with purchases. Work with other retailers on large wholesale purchases. Assist in closing higher value sales by providing technical specifics on key parts of the jewelry. Shifts will vary Monday-Sunday from 10am-6pm; up to 7 days/week; 40 hours/week minimum. Job Classification: 41-2031.00 - Retail Salespersons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AJP (Accredited Jewelry Professional) Certificate or equivalent certification. Minimum age: 18. Number of Hours Per Week: 40 Work Schedule (Start/End time): 9:30 A.M. - 6:30 P.M.</t>
  </si>
  <si>
    <t>H-400-26186-078956</t>
  </si>
  <si>
    <t>James Hawkes Designs, L.L.C.</t>
  </si>
  <si>
    <t>Bench Jeweler</t>
  </si>
  <si>
    <t>Size rings; solder sizing balls and bars; repair prongs or tighten prongs on loose set stones; custom design and fabricate jewelry including pendants, earrings, rings, and bracelets, extend or shorten bracelets; change clasps, latches, or safety chains; extend or shorten chains; remove bracelet links and fabricate into earrings or pendants; change earrings from studs to leaver backs, screw back, omega backs, or fishhooks; change gold color with rhodium; remove diamonds and gemstones; set diamonds and gemstones; change setting heads, 2, 3, 4, 6, 8 prong heads; melt gold and silver into ingot; clean, polish, make new jewelry repairs for customers; swap pendant bails; fabricate custom bails as needed; use equipment to prepare metal for sizing; solder wedding sets; test metals for purity and identification; maintain logs of jobs, time in, time out, location, and job description; maintain logs of findings used in jobs; request or order materials such as solder, rhodium, sonic cleaning solution, or any other consumed product to effectuate jobs as described; use proper protective equipment while using tools and torches; and maintain MSDS logs of all materials stored, used, or kept in workshop. Shifts will vary Monday-Sunday from 10am-6pm; up to 7 days/week; 40 hours/week minimum. Job Classification: 51-9071.00 - Jewelers and Precious Stone and Metal Workers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24 Special Requirements: Minimum age: 18 Number of Hours Per Week: 40 Work Schedule (Start/End time): 9:30 A.M. - 6:30 P.M.</t>
  </si>
  <si>
    <t>H-400-26186-078957</t>
  </si>
  <si>
    <t>Jewelry Designer</t>
  </si>
  <si>
    <t>Sketch and design rings, bracelets, pendants, or earrings. Add color details to final sketches. Use wax to render 3D templates for the sketched designs. Create Computer Assisted Designs (CADs) to create wax templates of designs. Use the wax template to make molds for casting of semi-finished pieces. Shifts will vary Monday-Sunday from 10am-6pm; up to 7 days/week; 40 hours/week minimum. Job Classification: 51-9071.00 - Jewelers and Precious Stone and Metal Workers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6 Special Requirements: Minimum age: 18 Number of Hours Per Week: 40 Work Schedule (Start/End time): 9:30 A.M. - 6:30 P.M.</t>
  </si>
  <si>
    <t>H-400-26186-078959</t>
  </si>
  <si>
    <t>Jewelry Appraiser</t>
  </si>
  <si>
    <t>Examine and assess fine jewelry pieces, diamonds, and gemstones to determine their insurance, market, and retail value. Research current market conditions and comparable values to provide accurate appraisals. Prepare formal written appraisal reports for insurance, estate, resale, or legal documentation. Authenticate hallmarks, metal content, gemstone types, and craftsmanship using standard gemological and metallurgical tools. Collaborate with gemologists and jewelry salespeople to support inventory verification and high-value sales. Maintain accurate records and documentation for all appraised items. Educate clients on the appraisal process and findings in a clear and professional manner. Stay current on industry trends, appraisal standards, treatments, and synthetic materials. Follow Uniform Standards of Professional Appraisal Practice (USPAP) guidelines and applicable ethics codes. Shifts will vary Monday-Sunday from 10am-6pm; up to 7 days/week; 40 hours/week minimum. Job Classification: 51-9071.00 - Jewelers and Precious Stone and Metal Workers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6 Special Requirements: Minimum age: 18 Number of Hours Per Week: 40 Work Schedule (Start/End time): 9:30 A.M. - 6:30 P.M.</t>
  </si>
  <si>
    <t>H-400-26186-078964</t>
  </si>
  <si>
    <t>Diamond Sorter</t>
  </si>
  <si>
    <t>Size diamonds based on millimeter, cut, and symmetry. Identify color and clarity of loose or set diamonds. Use Diamond Master set, microscopes, and other technologies to accurately grade diamonds. Using sieves organize and categorize into parcels diamonds including melee diamonds. Shifts will vary Monday-Sunday from 10am-6pm; up to 7 days/week; 40 hours/week minimum. 3 months experience as a Diamond Sorter or equivalent position. Job Classification: 51-9071.06 - Gem and Diamond Workers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Minimum age: 18 Number of Hours Per Week: 40 Work Schedule (Start/End time): 9:30 A.M. - 6:30 P.M.</t>
  </si>
  <si>
    <t>H-400-26186-078965</t>
  </si>
  <si>
    <t>Diamond Grader</t>
  </si>
  <si>
    <t>Assist salespeople and customers understand the characteristics of diamonds. Educate and advise on the 4 C's of a diamond impact visible characteristics of a diamond. Identify the characteristics of white and colored diamonds, including cut, color, and clarity. Using modern equipment, locate internal diamond characteristics, including clouds, inclusions, and internal flaws. Shifts will vary Monday-Sunday from 10am-6pm; up to 7 days/week; 40 hours/week minimum. Job Classification: 51-9071.06 - Gem and Diamond Workers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Diamond Gemologist Certificate or equivalent certification. Minimum age: 18. Number of Hours Per Week: 40 Work Schedule (Start/End time): 9:30 A.M. - 6:30 P.M.</t>
  </si>
  <si>
    <t>H-400-26185-078932</t>
  </si>
  <si>
    <t>NORTHVIEW ENTERPRISES LLC</t>
  </si>
  <si>
    <t>Brad-hull@hotmail.com</t>
  </si>
  <si>
    <t>+14792643294</t>
  </si>
  <si>
    <t>H-400-26185-078900</t>
  </si>
  <si>
    <t>Olive Property Management LLC</t>
  </si>
  <si>
    <t>frankzhang2013@gmail.com</t>
  </si>
  <si>
    <t>+12284674009</t>
  </si>
  <si>
    <t>Keep buildings in clean and orderly condition. Perform heavy cleaning duties, such as cleaning floors, shampooing rugs, washing walls and glass, and removing rubbish. Duties may include tending furnace and boiler, performing routine maintenance activities, notifying management of need for repairs, and cleaning snow or debris from sidewalk. Clarification of furnace and boiler duty: The employee performs no direct or hands-on work on the furnace or boiler and does not operate, service, adjust, repair, or troubleshoot this equipment. All furnace and boiler operation, maintenance, and repair for the building are handled by a third-party professional heating company. The employee's only related role is to check that occupied rooms reach the company's set temperature using the standard wall thermostats in those rooms, and to report any shortfall in heating or cooling to building management, who then arranges all service and repair through the professional company. The employee does not monitor, inspect, read gauges on, or assess the furnace or boiler itself and has no responsibility for the equipment's condition. The employee uses no tools, equipment, or machinery in connection with the furnace or boiler. The reference to “performing routine maintenance activities” means general janitorial upkeep such as cleaning and light, non-mechanical tasks, and does not include mechanical, electrical, or equipment work Job Classification: 37-2011.00 - Janitors and Cleaners, Except Maids and Housekeeping Cleaners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Employee must be able to lift and carry 50 lbs. Some overtime and weekends required. Number of Hours Per Week: 40 Work Schedule (Start/End time): 8:00 A.M. - 5:00 P.M.</t>
  </si>
  <si>
    <t>H-400-26185-078906</t>
  </si>
  <si>
    <t xml:space="preserve">PINE TREE GOLF CLUB </t>
  </si>
  <si>
    <t>HR@pinetreegolfclub.net</t>
  </si>
  <si>
    <t>+15617326404</t>
  </si>
  <si>
    <t>Prep, season, cook, plate &amp; garnish meals. Measure/mix ingredients per recipe for cooking from scratch. Follow portion control, presentation, consistency, flavor, proper sanitation procedures. Observe/test food cooked. May substitute/assist other cooks in emergencies/rush periods ***F.a.5 A-H &amp; F.a.6a &amp; F.a.6b 35 hrs/wk minimum. Shifts and shift hours vary Mon-Sun 7a-11p. *** F.b.9a: Raises and/or bonuses may be offered to any worker in the specified occupation at the company’s sole discretion based on individual factors, including work performance, skill or tenure. Job Classification: 35-2014.00 - Cooks, Restaurant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Pre-hire background check &amp; post hire drug test, carried out equally between U.S. workers and H-2B workers. Must be available to work split-shifts, nights, weekends &amp; holidays as needed. Must be able to lift, pull, push or carry up to 25 lbs or more, and walk or stand for long periods of time. Professional appearance, able to communicate in English. Number of Hours Per Week: 35 Work Schedule (Start/End time): 7:00 A.M. - 11:00 P.M.</t>
  </si>
  <si>
    <t>H-400-26185-078907</t>
  </si>
  <si>
    <t>***Original*** Serve food, water, soft drinks &amp; alcoholic beverages. Present menus, take orders, relay order to kitchen. Complete side work, clear tables, carry dishes from dining room to kitchen, keep station areas clean. Supply clean linens, silverware, glassware, dishes in dining room. Assist with set-up, cleaning, opening/closing of restaurant/food and beverage area. May be required to perform duties in an outdoor environment, at banquet events, or serve customers via golf cart. Other reasonable job related duties as needed. ***RFI response*** Set-up, cleaning, opening/closing of restaurant/food and beverage area tasks may include: clean tables of used linens, china, utensils; set tables with clean linens, china, utensils; set up or break down food buffets. Reasonable job related duties may include: serve condiments and coffee; supply service bar with food; keep buffet replenished with food, dishes, containers and utensils. ***F.a.5 A-H &amp; F.a.6a &amp; F.a.6b 35 hrs/wk minimum. Shifts and shift hours vary Mon-Sun 7a-11p. *** F.b.9a: Raises and/or bonuses may be offered to any worker in the specified occupation at the company’s sole discretion based on individual factors, including work performance, skill or tenure. Job Classification: 35-3031.00 - Waiters and Waitresses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Pre-hire background check &amp; post hire drug test, carried out equally between U.S. workers and H-2B workers. Must be available to work split-shifts, nights, weekends &amp; holidays as needed. Must be able to lift, pull, push or carry up to 25 lbs or more, and walk or stand for long periods of time. Professional appearance, able to communicate in English. Number of Hours Per Week: 35 Work Schedule (Start/End time): 7:00 A.M. - 11:00 P.M.</t>
  </si>
  <si>
    <t>H-400-26185-078909</t>
  </si>
  <si>
    <t>ROYAL PALM YACHT &amp; COUNTRY CLUB</t>
  </si>
  <si>
    <t>lhancock@rpycc.org</t>
  </si>
  <si>
    <t>+15612108117</t>
  </si>
  <si>
    <t>***Original*** Provide assistance at golf / sports / wellness facilities including: greet members; confirm reservations; answer inquiries; arrange merchandise and provide facility info; load/unload golf bags; handle / clean / maintain various sports equipment, golf carts, bags, clubs and shoes; maintain cleanliness and keep cart barn and staging areas orderly and stocked with supplies, ice, cups, drink coolers for members and guests; perform other related duties as assigned ***RFI response*** Other related duties may include: collect golf balls from golf practice range, wash golf balls and keep ready for replenishment; refill water coolers for the players on the golf course when or if needed. ***F.a.5 A-H &amp; F.a.6a &amp; F.a.6b 35 hrs/wk minimum. Shifts and shift hours vary Mon-Sun 6a-7p. *** F.b.9a: Raises and/or bonuses may be offered to any worker in the specified occupation at the company’s sole discretion based on individual factors, including work performance, skill or tenure. Job Classification: 39-3091.00 - Amusement and Recreation Attendants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Pre-hire drug test and background check, carried out equally between the U.S. workers and the H-2B workers. Must be available to work split-shifts, weekends &amp; holidays as needed. Must be able to lift, pull, push or carry up to 50 lbs or more, and walk or stand for long periods of time. Professional appearance, able to communicate in English. Number of Hours Per Week: 35 Work Schedule (Start/End time): 6:00 A.M. - 7:00 P.M.</t>
  </si>
  <si>
    <t>H-400-26185-078910</t>
  </si>
  <si>
    <t>***Original*** Serve food, water, soft drinks &amp; alcoholic beverages. Present menus, take orders, relay order to kitchen. Complete side work, clear tables, carry dishes from dining room to kitchen, keep station areas clean. Supply clean linens, silverware, glassware, dishes in dining room. Assist with set-up, cleaning, opening/closing of restaurant/food and beverage area. May be required to perform duties in an outdoor environment, at banquet events, or serve customers via golf cart. Other reasonable job related duties as needed. ***RFI response*** Set-up, cleaning, opening/closing of restaurant/food and beverage area tasks may include: clean tables of used linens, china, utensils; set tables with clean linens, china, utensils; set up or break down food buffets. Reasonable job related duties may include: serve condiments and coffee; supply service bar with food; keep buffet replenished with food, dishes, containers and utensils ***F.a.5 A-H &amp; F.a.6a &amp; F.a.6b 35 hrs/wk minimum. Shifts and shift hours vary Mon-Sun 6a-11p. *** F.b.9a: Raises and/or bonuses may be offered to any worker in the specified occupation at the company’s sole discretion based on individual factors, including work performance, skill or tenure. Job Classification: 35-3031.00 - Waiters and Waitresses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Pre-hire drug test and background check, carried out equally between the U.S. workers and the H-2B workers. Must be available to work split-shifts, nights, weekends &amp; holidays as needed. Must be able to lift, pull, push or carry up to 25 lbs or more, and walk or stand for long periods of time. Professional appearance, able to communicate in English. Number of Hours Per Week: 35 Work Schedule (Start/End time): 6:00 A.M. - 11:00 P.M.</t>
  </si>
  <si>
    <t>H-400-26185-078908</t>
  </si>
  <si>
    <t>Prep, season, cook, plate &amp; garnish meals. Measure/mix ingredients per recipe for cooking from scratch. Follow portion control, presentation, consistency, flavor, proper sanitation procedures. Observe/test food cooked. May substitute/assist other cooks in emergencies/rush periods. ***F.a.5 A-H &amp; F.a.6a &amp; F.a.6b 35 hrs/wk minimum. Shifts and shift hours vary Mon-Sun 6a-11p. *** F.b.9a: Raises and/or bonuses may be offered to any worker in the specified occupation at the company’s sole discretion based on individual factors, including work performance, skill or tenure. Job Classification: 35-2014.00 - Cooks, Restaurant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Pre-hire drug test and background check, carried out equally between the U.S. workers and the H-2B workers. Must be available to work split-shifts, nights, weekends &amp; holidays as needed. Must be able to lift, pull, push or carry up to 25 lbs or more, and walk or stand for long periods of time. Professional appearance, able to communicate in English. Number of Hours Per Week: 35 Work Schedule (Start/End time): 6:00 A.M. - 11:00 P.M.</t>
  </si>
  <si>
    <t>H-400-26185-078911</t>
  </si>
  <si>
    <t xml:space="preserve">ST. ANDREWS CLUB </t>
  </si>
  <si>
    <t>cristina@standrewsclub.org</t>
  </si>
  <si>
    <t>+15612665707</t>
  </si>
  <si>
    <t>Prep, season, cook, plate &amp; garnish meals. Measure/mix ingredients per recipe for cooking from scratch. Follow portion control, presentation, consistency, flavor, proper sanitation procedures. Observe/test food cooked. May substitute/assist other cooks in emergencies/rush periods. ***F.a.5 A-H &amp; F.a.6a &amp; F.a.6b 35 hrs/wk minimum. Shifts and shift hours vary Mon-Sun 7a-11p. *** F.b.9a: Raises and/or bonuses may be offered to any worker in the specified occupation at the company’s sole discretion based on individual factors, including work performance, skill or tenure. Job Classification: 35-2014.00 - Cooks, Restaurant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Pre-hire drug test &amp; background check, carried out equally between the U.S. workers and the H-2B workers. Must be available to work split-shifts, nights, weekends &amp; holidays as needed. Must be able to lift, pull, push or carry up to 25 lbs or more, and walk or stand for long periods of time. Professional appearance, able to communicate in English. Number of Hours Per Week: 35 Work Schedule (Start/End time): 7:00 A.M. - 11:00 P.M.</t>
  </si>
  <si>
    <t>H-400-26185-078914</t>
  </si>
  <si>
    <t>Clean and maintain the club's guest rooms, common areas, bathrooms and locker rooms including: Dust and wipe down furniture. Sweep, light mop, and vacuum floors. Scrub and disinfect bathrooms. Handle linens, make beds. Replenish supplies, linens and towels. Move furniture, hang drapes, roll carpets. Occasional trash removal. ***F.a.5 A-H &amp; F.a.6a &amp; F.a.6b 35 hrs/wk minimum. Shifts and shift hours vary Mon-Sun 7a-11p. *** F.b.9a: Raises and/or bonuses may be offered to any worker in the specified occupation at the company’s sole discretion based on individual factors, including work performance, skill or tenure. Job Classification: 37-2012.00 - Maids and Housekeeping Cleaners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Pre-hire drug test &amp; background check, carried out equally between the U.S. workers and the H-2B workers. Must be available to work split-shifts, nights, weekends &amp; holidays as needed. Must be able to lift, pull, push or carry up to 25 lbs or more, and walk or stand for long periods of time. Professional appearance, able to communicate in English. Number of Hours Per Week: 35 Work Schedule (Start/End time): 7:00 A.M. - 11:00 P.M.</t>
  </si>
  <si>
    <t>H-400-26185-078915</t>
  </si>
  <si>
    <t>***Original*** Serve food, water, soft drinks &amp; alcoholic beverages. Present menus, take orders, relay order to kitchen. Complete side work, clear tables, carry dishes from dining room to kitchen, keep station areas clean. Supply clean linens, silverware, glassware, dishes in dining room. Assist with set-up, cleaning, opening/closing of restaurant/food and beverage area. May be required to perform duties in an outdoor environment, at banquet events, or serve customers via golf cart. May perform other reasonable job related duties as needed. ***RFI response*** Set-up, cleaning, opening/closing of restaurant/food and beverage area tasks may include: clean tables of used linens, china, utensils; set tables with clean linens, china, utensils; set up or break down food buffets. Reasonable job related duties may include: serve condiments and coffee; supply service bar with food; keep buffet replenished with food, dishes, containers and utensils. ***F.a.5 A-H &amp; F.a.6a &amp; F.a.6b 35 hrs/wk minimum. Shifts and shift hours vary Mon-Sun 7a-11p. *** F.b.9a: Raises and/or bonuses may be offered to any worker in the specified occupation at the company’s sole discretion based on individual factors, including work performance, skill or tenure. Job Classification: 35-3031.00 - Waiters and Waitresses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Pre-hire drug test and background check, carried out equally between the U.S. workers and the H-2B workers. Must be available to work split-shifts, nights, weekends &amp; holidays as needed. Must be able to lift, pull, push or carry up to 25 lbs or more, and walk or stand for long periods of time. Professional appearance, able to communicate in English. Number of Hours Per Week: 35 Work Schedule (Start/End time): 7:00 A.M. - 11:00 P.M.</t>
  </si>
  <si>
    <t>H-400-26185-078912</t>
  </si>
  <si>
    <t>Greet members and guests; operate phones following proper telephone etiquette; answer inquiries / provide information, transmit / receive messages; make / confirm reservations; distribute Club information and schedules, collect / sort the mail. ***F.a.5 A-H &amp; F.a.6a &amp; F.a.6b 35 hrs/wk minimum. Shifts and shift hours vary Mon-Sun 7a-11p. *** F.b.9a: Raises and/or bonuses may be offered to any worker in the specified occupation at the company’s sole discretion based on individual factors, including work performance, skill or tenure. Job Classification: 43-4081.00 - Hotel, Motel, and Resort Desk Clerks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Pre-hire drug test and background check, carried out equally between the U.S. workers and the H-2B workers. Must be available to work split-shifts, nights, weekends &amp; holidays as needed. Must be able to lift, pull, push or carry up to 25 lbs or more, and walk or stand for long periods of time. Professional appearance, able to communicate in English. Number of Hours Per Week: 35 Work Schedule (Start/End time): 7:00 A.M. - 11:00 P.M.</t>
  </si>
  <si>
    <t>H-400-26185-078896</t>
  </si>
  <si>
    <t>THE MAR-A-LAGO CLUB</t>
  </si>
  <si>
    <t>hrmalclub@gmail.com</t>
  </si>
  <si>
    <t>+15619731450</t>
  </si>
  <si>
    <t>***Original*** Take beverage orders. Mix and serve drinks. Clean glasses and bar equipment. Keep bar area clean and stocked. May be required to take and serve food orders. Requisition and display liquor and supplies. May perform other reasonable job related duties as needed. ***RFI response*** On occasion, members may prefer a quick meal while seated at the bar. In such instances, taking their food order and then serving them snacks and food items may be required. Other reasonable job related duties may include: Replenish bar with beer, wine, liquor, and related supplies such as ice, glassware, napkins, or straws. Slice and pit fruit for garnishing drinks. Arrange bottles and glasses to make attractive displays. ***F.a.5 A-H &amp; F.a.6a &amp; F.a.6b 35 hrs/wk minimum. Shifts and shift hours vary Mon-Sun 7a-12a *** F.b.9a: Raises and/or bonuses may be offered to any worker in the specified occupation at the company’s sole discretion based on individual factors, including work performance, skill or tenure. Job Classification: 35-3011.00 - Bartenders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Pre-hire drug test and background check, carried out equally between U.S. workers and H-2B workers. Must be available to work split-shifts, nights, weekends &amp; holidays as needed. Must be able to lift, pull, push or carry up to 25 lbs or more, and walk or stand for long periods of time. Professional appearance, able to communicate in English. Number of Hours Per Week: 35 Work Schedule (Start/End time): 7:00 A.M. - 12:00 A.M.</t>
  </si>
  <si>
    <t>H-400-26185-078898</t>
  </si>
  <si>
    <t>H-400-26185-078901</t>
  </si>
  <si>
    <t>Reservation / Information Desk Clerk</t>
  </si>
  <si>
    <t>***Original*** Answer members / guest phone calls; answer inquiries / provide information, transmit / receive messages; make / confirm dining and lodging reservations; check guests in/out; issue room keys; assist with coordination of arrivals/departures; contact housekeeping or maintenance staff when problems are reported. ***RFI response*** Assisting with coordination of arrivals/departures entails: keeping records of occupied rooms vs available rooms; advising housekeeping staff when rooms have been vacated and are ready for cleaning; confirming that rooms assigned to arriving guests are ready for check-in; confirming that transportation services (if requested by the incoming or departing guests) are in place. ***F.a.5 A-H &amp; F.a.6a &amp; F.a.6b 35 hrs/wk minimum. Shifts and shift hours vary Mon-Sun 7a-12a. *** F.b.9a: Raises and/or bonuses may be offered to any worker in the specified occupation at the company’s sole discretion based on individual factors, including work performance, skill or tenure. Job Classification: 43-4081.00 - Hotel, Motel, and Resort Desk Clerks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Pre-hire drug test and background check, carried out equally between U.S. workers and H-2B workers. Must be available to work split-shifts, nights, weekends &amp; holidays as needed. Must be able to lift, pull, push or carry up to 25 lbs or more, and walk or stand for long periods of time. Professional appearance, able to communicate in English. Number of Hours Per Week: 35 Work Schedule (Start/End time): 7:00 A.M. - 12:00 A.M.</t>
  </si>
  <si>
    <t>H-400-26185-078902</t>
  </si>
  <si>
    <t>Clean and maintain the club's guest rooms, common areas, bathrooms and locker rooms including: Dust and wipe down furniture. Sweep, light mop, and vacuum floors. Scrub and disinfect bathrooms. Handle linens, assist with laundry, make beds. Replenish supplies, linens and towels. Move furniture, hang drapes, roll carpets. Occasional trash removal. ***F.a.5 A-H &amp; F.a.6a &amp; F.a.6b 35 hrs/wk minimum. Shifts and shift hours vary Mon-Sun 7a-12a. *** F.b.9a: Raises and/or bonuses may be offered to any worker in the specified occupation at the company’s sole discretion based on individual factors, including work performance, skill or tenure. Job Classification: 37-2012.00 - Maids and Housekeeping Cleaners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Pre-hire drug test and background check, carried out equally between U.S. workers and H-2B workers. Must be available to work split-shifts, nights, weekends &amp; holidays as needed. Must be able to lift, pull, push or carry up to 25 lbs or more, and walk or stand for long periods of time. Professional appearance, able to communicate in English. Number of Hours Per Week: 35 Work Schedule (Start/End time): 7:00 A.M. - 12:00 A.M.</t>
  </si>
  <si>
    <t>H-400-26185-078904</t>
  </si>
  <si>
    <t>Facilitate food service. Clean and clear tables of used linens, china, utensils. Set tables; replenish supply of clean linens, china, utensils. Supply service bar with food. Serve water, condiments, and coffee. Run food from kitchen to patrons’ tables. Help set up / break down buffets and keep buffet replenished with food, dishes, containers and utensils. May perform other reasonable job related duties as needed. ***F.a.5 A-H &amp; F.a.6a &amp; F.a.6b 35 hrs/wk minimum. Shifts and shift hours vary Mon-Sun 7a-12a. *** F.b.9a: Raises and/or bonuses may be offered to any worker in the specified occupation at the company’s sole discretion based on individual factors, including work performance, skill or tenure. Job Classification: 35-9011.00 - Dining Room and Cafeteria Attendants and Bartender Helpers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Pre-hire drug test and background check, carried out equally between U.S. workers and H-2B workers. Must be available to work split-shifts, nights, weekends &amp; holidays as needed. Must be able to lift, pull, push or carry up to 25 lbs or more, and walk or stand for long periods of time. Professional appearance, able to communicate in English. Number of Hours Per Week: 35 Work Schedule (Start/End time): 7:00 A.M. - 12:00 A.M.</t>
  </si>
  <si>
    <t>H-400-26185-078899</t>
  </si>
  <si>
    <t>Supervise and coordinate activities of dining room / banquet hall staff during set up, serving and clearing. Train new food and beverage service staff. Assist with serving of food and beverages as required, particularly in the service of special guests and VIPs. Ensure the highest level of service is provided by the club’s serving staff. Maintain contact with kitchen staff, management, serving staff, and build/maintain rapport with the club members. Prepare staff work schedules. Plan parties or other special events and services as needed. Other reasonable job related responsibilities possible, as required. ***F.a.5 A-H &amp; F.a.6a &amp; F.a.6b 35 hrs/wk minimum. Shifts and shift hours vary Mon-Sun 7a-12a. *** F.b.9a: Raises and/or bonuses may be offered to any worker in the specified occupation at the company’s sole discretion based on individual factors, including work performance, skill or tenure. Job Classification: 35-1012.00 - First-Line Supervisors of Food Preparation and Serving Workers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Pre-hire drug test and background check, carried out equally between U.S. workers and H-2B workers. Must be available to work split-shifts, nights, weekends &amp; holidays as needed. Must be able to lift, pull, push or carry up to 25 lbs or more, and walk or stand for long periods of time. Professional appearance, able to communicate in English. Number of Hours Per Week: 35 Work Schedule (Start/End time): 7:00 A.M. - 12:00 A.M.</t>
  </si>
  <si>
    <t>H-400-26185-078905</t>
  </si>
  <si>
    <t>***Original*** Serve food, water, soft drinks &amp; alcoholic beverages. Present menus, take orders, relay order to kitchen. Complete side work, clear tables, carry dishes from dining room to kitchen, keep station areas clean. Supply clean linens, silverware, glassware, dishes in dining room. Assist with set-up, cleaning, opening/closing of restaurant/food and beverage area. May be required to perform duties in an outdoor environment or at banquet events. May perform other reasonable job related duties as needed. ***RFI response*** Set-up, cleaning, opening/closing of restaurant/food and beverage area tasks may include: clean tables of used linens, china, utensils; set tables with clean linens, china, utensils; set up or break down food buffets. Reasonable job related duties may include: serve condiments and coffee; supply service bar with food; keep buffet replenished with food, dishes, containers and utensils. ***F.a.5 A-H &amp; F.a.6a &amp; F.a.6b 35 hrs/wk minimum. Shifts and shift hours vary Mon-Sun 7a-12a. *** F.b.9a: Raises and/or bonuses may be offered to any worker in the specified occupation at the company’s sole discretion based on individual factors, including work performance, skill or tenure. Job Classification: 35-3031.00 - Waiters and Waitresses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Pre-hire drug test and background check, carried out equally between U.S. workers and H-2B workers. Must be available to work split-shifts, nights, weekends &amp; holidays as needed. Must be able to lift, pull, push or carry up to 25 lbs or more, and walk or stand for long periods of time. Professional appearance, able to communicate in English. Number of Hours Per Week: 35 Work Schedule (Start/End time): 7:00 A.M. - 12:00 A.M.</t>
  </si>
  <si>
    <t>H-400-26185-078918</t>
  </si>
  <si>
    <t>THE MOORINGS CLUB, INC.</t>
  </si>
  <si>
    <t>madams@themooringsclub.com</t>
  </si>
  <si>
    <t>+17724693615</t>
  </si>
  <si>
    <t>Prep, season, cook, plate &amp; garnish meals. Measure/mix ingredients per recipe for cooking from scratch. Follow portion control, presentation, consistency, flavor, proper sanitation procedures. Observe/test food cooked. May substitute/assist other cooks in emergencies/rush periods ***F.a.5 A-H &amp; F.a.6a &amp; F.a.6b 35 hrs/wk minimum. Shifts and shift hours vary Mon-Sun 7a-11p. *** F.b.9a: Raises and/or bonuses may be offered to any worker in the specified occupation at the company’s sole discretion based on individual factors, including work performance, skill or tenure. Job Classification: 35-2014.00 - Cooks, Restaurant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Pre-hire drug test and background check, carried out equally between U.S. workers and H-2B workers. Must be available to work split-shifts, nights, weekends &amp; holidays as needed. Must be able to lift, pull, push or carry up to 25 lbs or more, and walk or stand for long periods of time. Professional appearance, able to communicate in English. Number of Hours Per Week: 35 Work Schedule (Start/End time): 7:00 A.M. - 11:00 P.M.</t>
  </si>
  <si>
    <t>H-400-26185-078920</t>
  </si>
  <si>
    <t>TRUMP INTERNATIONAL GOLF CLUB LLC</t>
  </si>
  <si>
    <t>tigcwpb.hr@gmail.com</t>
  </si>
  <si>
    <t>+15619731550</t>
  </si>
  <si>
    <t>Prep, season, cook, plate &amp; garnish meals. Measure/mix ingredients per recipe for cooking from scratch. Follow portion control, presentation, consistency, flavor, proper sanitation procedures. Observe/test food cooked. May substitute/assist other cooks in emergencies/rush periods. ***F.a.5 A-H &amp; F.a.6a &amp; F.a.6b 35 hrs/wk minimum. Shifts and shift hours vary Mon-Sun 7a-12a. *** F.b.9a: Raises and/or bonuses may be offered to any worker in the specified occupation at the company’s sole discretion based on individual factors, including work performance, skill or tenure. Job Classification: 35-2014.00 - Cooks, Restaurant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Pre-hire drug test and background check, carried out equally between U.S. workers and H-2B workers. Must be available to work split-shifts, nights, weekends &amp; holidays as needed. Must be able to lift, pull, push or carry up to 25 lbs or more, and walk or stand for long periods of time. Professional appearance, able to communicate in English Number of Hours Per Week: 35 Work Schedule (Start/End time): 7:00 A.M. - 12:00 A.M.</t>
  </si>
  <si>
    <t>H-400-26185-078921</t>
  </si>
  <si>
    <t>H-400-26186-078968</t>
  </si>
  <si>
    <t>The F.A. Bartlett Tree Expert Company</t>
  </si>
  <si>
    <t>Eric Steiner</t>
  </si>
  <si>
    <t>csciaroni@Bartlett.com</t>
  </si>
  <si>
    <t>+14154728640</t>
  </si>
  <si>
    <t>Eight (8) temporary full-time Ground Person positions available for work beginning October 1, 2026 and continuing through April 30, 2027, working day shift with forty hours work provided weekly, Monday through Friday 8am to 4pm, at $25.75 or higher per hour, with overtime offered often at $38.63 or higher per hour. No previous training, experience, education required, nor on-the-job training, as clear and simple instructions are given onsite by supervising crew leaders. Ground Persons will work on the following types of properties: residential and commercial and municipal properties and landscapes that include lawns and campuses and town halls, throughout the listed counties. Ground Person duties include trimming, pruning, and hedging, at times using ladders, such as with ornamental trees and taller hedges and shrubs. Duties also include collecting debris and branches from storm damage, and then hauling out debris, and also raking and using the chipper, as well as applying protective mulch; also loading and unloading crew vehicles. The position is entry-level and non-agricultural. Ground Persons attend a daily Safety Briefing. Job Classification: 37-3011.00 - Landscaping and Groundskeeping Workers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No special requirements. Number of Hours Per Week: 40 Work Schedule (Start/End time): 8:00 A.M. - 4:00 P.M.</t>
  </si>
  <si>
    <t>H-400-26186-078969</t>
  </si>
  <si>
    <t>jsaenz@Bartlett.com</t>
  </si>
  <si>
    <t>+16262862716</t>
  </si>
  <si>
    <t>Nine (9) temporary full-time Ground Person positions available for work beginning October 1, 2026 and continuing through April 30, 2027, working day shift with forty hours work provided weekly - Monday through Friday 8am to 4pm, at $21.60 or higher per hour, with overtime offered often at $32.40 or higher per hour. Ground Person duties include trimming, pruning, and hedging, at times using ladders, such as with ornamental trees and taller hedges and shrubs. Duties also include collecting debris and branches from winter storm damage, and then hauling out debris, and also raking and using the chipper, and also applying protective mulch and safe fertilizers; also loading and unloading crew vehicles. Ground Persons support our climbers and diagnosticians through ground-support duties. The position is entry-level and non-agricultural. Ground Persons attend a daily Safety Briefing. No previous training, experience, education required, nor on-the-job training, as clear and simple instructions are given onsite by supervising crew leaders. Ground Persons will work on the following types of properties: residential and commercial and municipal properties and landscapes that include lawns and campuses and town halls, throughout the listed counties. Job Classification: 37-3011.00 - Landscaping and Groundskeeping Workers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No special requirements. Number of Hours Per Week: 40 Work Schedule (Start/End time): 8:00 A.M. - 4:00 P.M.</t>
  </si>
  <si>
    <t>H-400-26185-078916</t>
  </si>
  <si>
    <t>The Fall Line</t>
  </si>
  <si>
    <t>ncrawford@falllineclub.com</t>
  </si>
  <si>
    <t>+15857500727</t>
  </si>
  <si>
    <t>H-400-26185-078917</t>
  </si>
  <si>
    <t>Prep, season, cook, plate &amp; garnish meals. Measure/mix ingredients per recipe for cooking from scratch. Follow portion control, presentation, consistency, flavor, proper sanitation procedures. Observe/test food cooked. May substitute/assist other cooks in emergencies/rush periods. ***F.a.5 A-H &amp; F.a.6a &amp; F.a.6b 35 hrs/wk minimum. Shifts and shift hours vary Mon-Sun 7a-11p. *** F.b.9a: Raises and/or bonuses may be offered to any worker in the specified occupation at the company’s sole discretion based on individual factors, including work performance, skill or tenure. Job Classification: 35-2014.00 - Cooks, Restaurant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Must be available to work split-shifts, nights, weekends &amp; holidays as needed. Must be able to lift, pull, push or carry up to 25 lbs or more, and walk or stand for long periods of time. Professional appearance, able to communicate in English. Number of Hours Per Week: 35 Work Schedule (Start/End time): 7:00 A.M. - 11:00 A.M.</t>
  </si>
  <si>
    <t>H-400-26185-078919</t>
  </si>
  <si>
    <t>***Original*** Serve food, water, soft drinks &amp; alcoholic beverages. Present menus, take orders, relay order to kitchen. Complete side work, clear tables, carry dishes from dining room to kitchen, keep station areas clean. Supply clean linens, silverware, glassware, dishes in dining room. Assist with set-up, cleaning, opening/closing of restaurant/food and beverage area. May be required to perform duties in an outdoor environment, at banquet events, or serve customers via golf cart. May perform other reasonable job related duties as needed. ***RFI response*** Set-up, cleaning, opening/closing of restaurant/food and beverage area tasks may include: clean tables of used linens, china, utensils; set tables with clean linens, china, utensils; set up or break down food buffets. Reasonable job related duties may include: serve condiments and coffee; supply service bar with food; keep buffet replenished with food, dishes, containers and utensils. ***F.a.5 A-H &amp; F.a.6a &amp; F.a.6b 35 hrs/wk minimum. Shifts and shift hours vary Mon-Sun 7a-11p. *** F.b.9a: Raises and/or bonuses may be offered to any worker in the specified occupation at the company’s sole discretion based on individual factors, including work performance, skill or tenure. Job Classification: 35-3041.00 - Food Servers, Nonrestaurant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Must be available to work split-shifts, nights, weekends &amp; holidays as needed. Must be able to lift, pull, push or carry up to 25 lbs or more, and walk or stand for long periods of time. Professional appearance, able to communicate in English. Number of Hours Per Week: 35 Work Schedule (Start/End time): 7:00 A.M. - 11:00 P.M.</t>
  </si>
  <si>
    <t>H-400-26185-078903</t>
  </si>
  <si>
    <t>The Yard Butler LLC</t>
  </si>
  <si>
    <t>Melissa Nolan</t>
  </si>
  <si>
    <t>jessica@theyardbutler.com</t>
  </si>
  <si>
    <t>+12085239273</t>
  </si>
  <si>
    <t>Seasonal Landscape and Grounds Maintenance Workers</t>
  </si>
  <si>
    <t>The Seasonal Landscape and Grounds Maintenance Workers perform landscape, grounds maintenance, and seasonal property maintenance services for residential and commercial properties. Specific duties may include: - Mowing, trimming, edging, and maintaining lawns and landscaped areas - Planting flowers, shrubs, trees, and other landscape materials - Spreading mulch, rock, soil, fertilizer, and other landscape materials - Performing spring and fall cleanup services including debris and leaf removal - Assisting with irrigation system installation, startup, winterization, and basic repairs - Operating hand tools, power tools, and small equipment commonly used in landscape and grounds maintenance - Loading and unloading landscape materials, tools, and supplies - Cleaning and maintaining tools, equipment, and work areas - Performing seasonal snow and ice removal services including clearing sidewalks, walkways, parking areas, and property access areas using hand tools, snow blowers, spreaders, and small snow-removal equipment - Applying ice melt and deicing materials to maintain safe property conditions during winter weather - Following company safety procedures and maintaining a safe work environment - Performing general outdoor labor associated with landscape, grounds maintenance, and seasonal property services Workers will perform duties on residential and commercial properties throughout the employer’s service areas. Must be able to perform physical outdoor work in varying weather conditions, including standing, bending, lifting, walking, shoveling, and carrying materials weighing up to 50 pounds. Regular work schedule may include weekdays, weekends, holidays, and overtime depending on weather conditions and seasonal business needs. Work will be performed 7:30 a.m. - 4:00 p.m., Monday - Friday. Must be available for on-call work, including evenings, night, early mornings, weekends and holidays. OT will be available. ***If needed, employer intends to assist foreign and non-local U.S. workers hired pursuant to this job order to secure worker-paid lodging not to exceed reasonable fair market value cost based on a number of occupants. Job Classification: 37-3011.00 - Landscaping and Groundskeeping Workers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Workers must possess the ability to lift and carryup to 50 pounds on a regular basis. Must possess a valid drivers license required and ability to drive company vehicles. Work will be performed 7:30 a.m. - 4:00 p.m., Monday - Friday. Must be available for on-call work, including evenings, night, early mornings, weekends and holidays. OT will be available. No prior experience required. Any necessary training will be provided. Must be able to work in extreme cold and weather for extended periods of time. Number of Hours Per Week: 40 Work Schedule (Start/End time): 7:30 A.M. - 4:00 P.M.</t>
  </si>
  <si>
    <t>H-400-26185-078925</t>
  </si>
  <si>
    <t>Titans of Pool Plumbing LLC</t>
  </si>
  <si>
    <t>jkunzler90@gmail.com</t>
  </si>
  <si>
    <t>+12103719978</t>
  </si>
  <si>
    <t>Pool plumber will assemble, install pipe sections, tubing and fitting pipelines in residential construction. May also alter, cut openings in structures to accommodate pipes and pipe fittings, and repair pipelines or pipe systems using hand and power tools. Fill pipes or plumbing fixtures with water, steam, or air to detect and locate leaks in swimming pools. May install heating and cooling equipment and mechanical control systems. Job Classification: 47-2152.00 - Plumbers, Pipefitters, and Steamfitters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Three months experience as pool plumber in residential construction setting. Must bend, lift and sustain up to 50 lbs, work under extreme weather conditions. No travel required outside the metropolitan area, no education required, no on-the-job training available. Post-hire drug test required paid by the employer, all us and guest workers will be screened equally. Number of Hours Per Week: 40 Work Schedule (Start/End time): 7:00 A.M. - 3:00 P.M.</t>
  </si>
  <si>
    <t>H-400-26185-078929</t>
  </si>
  <si>
    <t>YAADTZ, LLC</t>
  </si>
  <si>
    <t>Fatjon Cake</t>
  </si>
  <si>
    <t>yaadtzhospitality@gmail.com</t>
  </si>
  <si>
    <t>+18436477829</t>
  </si>
  <si>
    <t>House Keeping</t>
  </si>
  <si>
    <t>Clean guest rooms, bathrooms, and common areas of the hotel, ensuring they are kept in a neat and sanitary condition. Change bed linens, make beds, and replenish towels, toiletries, and other amenities according to hotel standards. Sweep, mop, vacuum, and dust rooms and hallways as needed. Dispose of trash and ensure proper waste management in designated areas. Inspect and report any damage, maintenance issues, or missing items to the management. Restock cleaning supplies and report low inventory to management. Assist with laundry tasks, including washing, drying, and folding linens when needed. Ensure adherence to all health and safety regulations. Provide excellent customer service and respond to guest requests for additional supplies or room service. Maintain high standards of cleanliness and organization in all guest rooms and public areas. Job Classification: 37-2012.00 - Maids and Housekeeping Cleaners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1 Special Requirements: ABILITY TO STAND, BEND, KNEEL, AND LIFT UP TO 25 POUNDS FOR EXTENDED PERIODS. MUST BE DETAIL-ORIENTED AND ABLE TO FOLLOW INSTRUCTIONS. PREVIOUS HOUSEKEEPING OR CLEANING EXPERIENCE PREFERRED, BUT NOT REQUIRED. MUST BE WILLING TO WORK FLEXIBLE HOURS, INCLUDING WEEKENDS AND HOLIDAYS. MUST ADHERE TO COMPANY POLICIES AND GROOMING STANDARDS. Number of Hours Per Week: 40 Work Schedule (Start/End time): 7:00 A.M. - 3:30 P.M.</t>
  </si>
  <si>
    <t>H-400-26186-079010</t>
  </si>
  <si>
    <t>H-400-26186-078993</t>
  </si>
  <si>
    <t>Waiter</t>
  </si>
  <si>
    <t>•Take food and beverage orders and serve meals and drinks to customers •Prepare and serve cocktails •Provide courteous customer service and respond to customer requests Job Classification: 35-3031.00 - Waiters and Waitresses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4 Special Requirements: Must able to lift 75lbs. Number of Hours Per Week: 40 Work Schedule (Start/End time): 3:00 P.M. - 10:00 P.M.</t>
  </si>
  <si>
    <t>H-400-26186-079035</t>
  </si>
  <si>
    <t xml:space="preserve">Broken Sound Club, Inc. </t>
  </si>
  <si>
    <t>lforney@brokensoundclub.org</t>
  </si>
  <si>
    <t>+15612416886</t>
  </si>
  <si>
    <t>Taking and serving food and beverage orders; Carrying out food and miscellaneous set up and clean up activities; May be required to perform duties in an outdoor environment and at banquet events; may be required to serve customers via golf cart. *Continuation to Section F.a.5 below: 40 hours a week. Shifts will consist of 8 hour shifts that can vary as needed as advertised in State Workforce Agency job order, and in other H2B advertisement sources as per employers recruiting requirements for prospective workers under the H-2B program. Variable shifts over 7 days a week. Shifts may vary: 6am to 11pm. Job Classification: 35-3041.00 - Food Servers, Nonrestaurant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Ability TO COMMUNICATE IN ENGLISH. Number of Hours Per Week: 40 Work Schedule (Start/End time): 6:00 A.M. - 11:00 P.M.</t>
  </si>
  <si>
    <t>H-400-26186-078999</t>
  </si>
  <si>
    <t>CHRISTOPHE CLEMENT RACING STABLE, INC.</t>
  </si>
  <si>
    <t>Ron Katiraei</t>
  </si>
  <si>
    <t>clementstable@aol.com</t>
  </si>
  <si>
    <t>+15163269540</t>
  </si>
  <si>
    <t>Cares for and cleans horses; exercises and inspects them according to instructions. Job Classification: 39-2021.00 - Animal Caretakers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1 Special Requirements: Regarding Section F.a.5 A-H, The working days may vary. Regarding Section F.a.6a and F.a.6b, The working hours are from 5am to 11am and 3pm to 5pm and may vary. Number of Hours Per Week: 40 Work Schedule (Start/End time): 5:00 A.M. - 11:00 A.M.</t>
  </si>
  <si>
    <t>H-400-26186-079029</t>
  </si>
  <si>
    <t>Congaree Golf Partners, LLC</t>
  </si>
  <si>
    <t>hiring@congareegc.com</t>
  </si>
  <si>
    <t>+18437173400</t>
  </si>
  <si>
    <t>Take beverage order. Prepare mixed drinks and serve the same. Cleans bar area. May be required to take food orders and make knowledgeable recommendations regarding wines and other products. Requisition and display liquor and supplies. Must keep bar area clean and work under strictly enforced state code. *Continuation to Section F.a.5 below: 40 hours a week. Shifts will consist of 8 hour shifts that can vary as needed as advertised in State Workforce Agency job order, and in other H2B advertisement sources as per employers recruiting requirements for prospective workers under the H-2B program. Variable shifts over 7 days a week. Shifts may vary: 6am to 11pm. Job Classification: 35-3011.00 - Bartenders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ABILITY TO COMMUNICATE IN ENGLISH. EMPLOYER REQUIRES PRE-EMPLOYMENT DRUG TESTING TO BE CARRIED OUT EQUALLY BETWEEN THE U.S. WORKERS AND THE H-2B WORKERS. Number of Hours Per Week: 40 Work Schedule (Start/End time): 6:00 A.M. - 11:00 P.M.</t>
  </si>
  <si>
    <t>H-400-26186-079030</t>
  </si>
  <si>
    <t>Prepares, seasons and cooks soups, meats, vegetables, fruits, desserts and other miscellaneous food for consumption; observes recipe guidelines and sanitation procedures. *Continuation to Section F.a.5 below: 40 hours a week. Shifts will consist of 8 hour shifts that can vary as needed as advertised in State Workforce Agency job order, and in other H2B advertisement sources as per employers recruiting requirements for prospective workers under the H-2B program. Variable shifts over 7 days a week. Shifts may vary: 6am to 11pm. Job Classification: 35-2014.00 - Cooks, Restaurant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ABILITY TO COMMUNICATE IN ENGLISH. EMPLOYER REQUIRES PRE-EMPLOYMENT DRUG TESTING TO BE CARRIED OUT EQUALLY BETWEEN THE U.S. WORKERS AND THE H-2B WORKERS. Number of Hours Per Week: 40 Work Schedule (Start/End time): 6:00 A.M. - 11:00 P.M.</t>
  </si>
  <si>
    <t>H-400-26186-079031</t>
  </si>
  <si>
    <t>Taking and serving food and beverage orders; Carrying out food and miscellaneous set up and clean up activities; May be required to perform duties in an outdoor environment and at banquet events; may be required to serve customers via golf cart. *Continuation to Section F.a.5 below: 40 hours a week. Shifts will consist of 8 hour shifts that can vary as needed as advertised in State Workforce Agency job order, and in other H2B advertisement sources as per employers recruiting requirements for prospective workers under the H-2B program. Variable shifts over 7 days a week. Shifts may vary: 6am to 11pm. Job Classification: 35-3041.00 - Food Servers, Nonrestaurant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ABILITY TO COMMUNICATE IN ENGLISH. EMPLOYER REQUIRES PRE-EMPLOYMENT DRUG TESTING TO BE CARRIED OUT EQUALLY BETWEEN THE U.S. WORKERS AND THE H-2B WORKERS. Number of Hours Per Week: 40 Work Schedule (Start/End time): 6:00 A.M. - 11:00 P.M.</t>
  </si>
  <si>
    <t>H-400-26186-079034</t>
  </si>
  <si>
    <t>Worker may be required to perform any of the following duties: monitor activities at golf course, tennis complex, aquatic complex and spa and fitness facility; may provide administrative assistance to membership, including checking membership cards, confirming reservations, arranging merchandise and providing facility information; perform minor cleaning of golf carts and clubs and transport members' golf equipment and automobiles to and from the clubhouse facilities. The administrative assistance task entails the worker being asked to tag luggage with return shipping labels, and then be required to transport the luggage from the clubhouse to the shipping/receiving department. The duties involved with and transporting guest automobiles task requires meeting the guest at the curb of the clubhouse; opening the driver’s door immediately upon arrival; and conducting a quick, discreet visual scan for any pre-existing damage; transporting guests in their automobile to and from a secure, designated area for club members to the golf staging area; transporting the automobile to the clubhouse designated guest parking; bringing the automobile to the front of the clubhouse facilities upon request. *Continuation to Section F.a.5 below: 40 hours a week. Shifts will consist of 8 hour shifts that can vary as needed as advertised in State Workforce Agency job order, and in other H2B advertisement sources as per employers recruiting requirements for prospective workers under the H-2B program. Variable shifts over 7 days a week. Shifts may vary: 6am to 11pm. Job Classification: 53-3053.00 - Shuttle Drivers and Chauffeurs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ABILITY TO COMMUNICATE IN ENGLISH. EMPLOYER REQUIRES PRE-EMPLOYMENT DRUG TESTING TO BE CARRIED OUT EQUALLY BETWEEN THE U.S. WORKERS AND THE H-2B WORKERS. Number of Hours Per Week: 40 Work Schedule (Start/End time): 6:00 A.M. - 11:00 P.M.</t>
  </si>
  <si>
    <t>H-400-26186-079032</t>
  </si>
  <si>
    <t>FP Calibre Stone LLC</t>
  </si>
  <si>
    <t>CalibreStoneLLC@gmail.com</t>
  </si>
  <si>
    <t>+15125636255</t>
  </si>
  <si>
    <t>New Quarry Preparation Laborer</t>
  </si>
  <si>
    <t>Perform manual labor to prepare newly acquired land and existing quarry property for future quarry operations, including clearing brush, weeds, vines, grass, shrubs, small saplings, undergrowth, and other overgrown vegetation from designated work areas; removing fallen branches, loose rocks, sticks, leaves, and other natural debris and obstructions; and gathering, dragging, bundling, stacking, and removing cleared vegetation and organic materials. Establish and maintain unimproved dirt access paths and entry and exit routes throughout the property by clearing vegetation and debris from designated travel routes and keeping these access routes clear for site access. These duties are performed by hand and with hand and groundskeeping tools, including loppers, pruning shears, brush hooks, mattocks, hand saws, pruning saws, rakes, shovels, hoes, pitchforks, wheelbarrows, hand carts, ropes, and tarps. This work does not involve grading, excavating, leveling, loading earth, road or roadbed construction, or the operation of heavy construction equipment. Collect, sort, carry, load, unload, move, stack, and place materials, tools, supplies, debris, litter, trash, scrap materials, and waste by hand and using wheelbarrows, hand carts, hand trucks, dollies, buckets, tarps, ropes, shovels, rakes, trash grabbers, and similar manual material-handling tools. Clean existing buildings, storage sheds, work shelters, storage areas, and other site structures, and clean and maintain walkways and other grounds features, by sweeping and removing dirt, dust, leaves, cobwebs, litter, and debris. These duties are performed using push brooms, corn brooms, dust mops, dustpans, cleaning brushes, cleaning cloths, buckets, and non-specialized cleaning supplies. Receive and follow oral instructions to determine daily work assignments; maintain neat and orderly work areas and tool and equipment storage areas; follow all company and site safety procedures and wear required personal protective equipment; and perform other closely related general labor and groundskeeping duties as assigned. Job Classification: 37-3011.00 - Landscaping and Groundskeeping Workers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Some overtime and weekend work may be required. Hours may vary, depending on weather. Must be able to perform manual, physical labor outside during all weather conditions (hot, cold, rain, snow, etc.). Must be able to lift up to 80 lbs. Must be able to use hand tools and manual equipment safely. Number of Hours Per Week: 40 Work Schedule (Start/End time): 8:00 A.M. - 5:00 P.M.</t>
  </si>
  <si>
    <t>H-400-26186-079015</t>
  </si>
  <si>
    <t>Jupiter Hills Club Inc.</t>
  </si>
  <si>
    <t>dgettig@jupiterhillsclub.org</t>
  </si>
  <si>
    <t>+15617465151</t>
  </si>
  <si>
    <t>Take beverage order; prepares mixed drinks and serves the same; cleans bar area; may be required to take food orders and make knowledgeable recommendations regarding wines and other products; requisition and display liquor and supplies; must keep bar area clean and work under strictly enforced state code. *Continuation to Section F.a.5 below: 40 hours a week. Shifts will consist of 8 hour shifts that can vary as needed as advertised in State Workforce Agency job order, and in other H2B advertisement sources as per employers recruiting requirements for prospective workers under the H-2B program. Variable shifts over 7 days a week. Shifts may vary: 6am to 11pm. Job Classification: 35-3011.00 - Bartenders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EMPLOYER REQUIRES PRE-EMPLOYMENT POLICE CLEARANCE AND POST-EMPLOYMENT DRUG TESTING TO BE CARRIED OUT EQUALLY BETWEEN THE U.S. WORKERS AND THE H-2B WORKERS. ABILITY TO COMMUNICATE IN ENGLISH. Number of Hours Per Week: 40 Work Schedule (Start/End time): 6:00 A.M. - 11:00 P.M.</t>
  </si>
  <si>
    <t>H-400-26186-079016</t>
  </si>
  <si>
    <t>Prepares, seasons and cooks soups, meats, vegetables, fruits, desserts and other miscellaneous foods for consumption; Observe recipe guidelines and sanitation procedures. *Continuation to Section F.a.5 below: 40 hours a week. Shifts will consist of 8 hour shifts that can vary as needed as advertised in State Workforce Agency job order, and in other H2B advertisement sources as per employers recruiting requirements for prospective workers under the H-2B program. Variable shifts over 7 days a week. Shifts may vary: 6am to 11pm. Job Classification: 35-2014.00 - Cooks, Restaurant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EMPLOYER REQUIRES PRE-EMPLOYMENT POLICE CLEARANCE AND POST-EMPLOYMENT DRUG TESTING TO BE CARRIED OUT EQUALLY BETWEEN THE U.S. WORKERS AND THE H-2B WORKERS. ABILITY TO COMMUNICATE IN ENGLISH. Number of Hours Per Week: 40 Work Schedule (Start/End time): 6:00 A.M. - 11:00 P.M.</t>
  </si>
  <si>
    <t>H-400-26186-079020</t>
  </si>
  <si>
    <t>Greets, escorts and provides menus to customers; assists with misc. cleaning/polishing etc. as necessary. The cleaning/polishing duties and the location/area(s) where the cleaning takes place task is a daily service requirement for hosts/hostesses that takes place at the entrance of the dining venue that specifically consists of maintaining the cleanliness and polished appearance of the entrance, focusing on the host stand, and guest seating areas. Key duties include sanitizing menus, wiping high-touch surfaces, cleaning the host station, polishing doors, to ensure a positive first impression. *Continuation to Section F.a.5 below: 40 hours a week. Shifts will consist of 8 hour shifts that can vary as needed as advertised in State Workforce Agency job order, and in other H2B advertisement sources as per employers recruiting requirements for prospective workers under the H-2B program. Variable shifts over 7 days a week. Shifts may vary: 6am to 11pm. Job Classification: 35-9031.00 - Hosts and Hostesses, Restaurant, Lounge, and Coffee Shop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EMPLOYER REQUIRES PRE-EMPLOYMENT POLICE CLEARANCE AND POST-EMPLOYMENT DRUG TESTING TO BE CARRIED OUT EQUALLY BETWEEN THE U.S. WORKERS AND THE H-2B WORKERS. ABILITY TO COMMUNICATE IN ENGLISH. Number of Hours Per Week: 40 Work Schedule (Start/End time): 6:00 A.M. - 11:00 P.M.</t>
  </si>
  <si>
    <t>H-400-26186-079021</t>
  </si>
  <si>
    <t>H-400-26186-079023</t>
  </si>
  <si>
    <t>Clean common areas, hallways, rooms, and locker rooms, dusting, light mopping, vacuuming, and occasional trash/laundry removal. Loads, washes, and stores laundry items, speciﬁcally including washing dining room linens, guest room linens, facility linens, facility uniforms, towels, curtains and decorative textiles. *Continuation to Section F.a.5 below: 40 hours a week. Shifts will consist of 8 hour shifts that can vary as needed as advertised in State Workforce Agency job order, and in other H2B advertisement sources as per employers recruiting requirements for prospective workers under the H-2B program. Variable shifts over 7 days a week. Shifts may vary: 6am to 11pm. Job Classification: 37-2012.00 - Maids and Housekeeping Cleaners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EMPLOYER REQUIRES PRE-EMPLOYMENT POLICE CLEARANCE AND POST-EMPLOYMENT DRUG TESTING TO BE CARRIED OUT EQUALLY BETWEEN THE U.S. WORKERS AND THE H-2B WORKERS. ABILITY TO COMMUNICATE IN ENGLISH. Number of Hours Per Week: 40 Work Schedule (Start/End time): 6:00 A.M. - 11:00 P.M.</t>
  </si>
  <si>
    <t>H-400-26186-079019</t>
  </si>
  <si>
    <t>Worker may be required to perform any of the following duties: monitor activities at golf course, tennis complex, aquatic complex and spa and fitness facility; may provide administrative assistance to membership, including checking membership cards, confirming reservations, arranging merchandise, equipment, bag storage and providing facility information; perform minor cleaning of golf carts and clubs and transport members' golf equipment and automobiles to and from the clubhouse facilities. The cleaning duties of the golf carts and any other vehicles task is a daily service requirement for recreational aides, designed to maintain equipment longevity, enhance member experience, and ensure high sanitization standards. This process involves a swift, structured routine upon the return of carts from the course. A typical minor cleaning takes approximately 15–20 minutes and includes trash removal, washing, wiping down surface, seat cleaning, windshield care, wheels and drying the surfaces of the golf cart. The duties involved with transporting automobiles to and from the facilities task requires a mix of hospitality, safety, and strict organization. This role is often the first and last point of contact for a member, which involves greeting the member at the curb; opening the driver’s door immediately upon arrival; and conducting a quick, discreet visual scan for any pre-existing damage; bring the automobile to the front of the clubhouse facilities upon request of the member. *Continuation to Section F.a.5 below: 40 hours a week. Shifts will consist of 8 hour shifts that can vary as needed as advertised in State Workforce Agency job order, and in other H2B advertisement sources as per employers recruiting requirements for prospective workers under the H-2B program. Variable shifts over 7 days a week. Shifts may vary: 6am to 11pm. Job Classification: 53-6021.00 - Parking Attendants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EMPLOYER REQUIRES PRE-EMPLOYMENT POLICE CLEARANCE AND POST-EMPLOYMENT DRUG TESTING TO BE CARRIED OUT EQUALLY BETWEEN THE U.S. WORKERS AND THE H-2B WORKERS. ABILITY TO COMMUNICATE IN ENGLISH. Number of Hours Per Week: 40 Work Schedule (Start/End time): 6:00 A.M. - 11:00 P.M.</t>
  </si>
  <si>
    <t>H-400-26186-079022</t>
  </si>
  <si>
    <t>Oversee serving staff during set up, serving and clearing; train new servers on the floor; build/maintain rapport with the club members; assume servers duties as required, particularly in the service of special guests of honor and VIPs; required to set an exemplary example and to ensure the highest level of service that is provided by the club's serving staff. *Continuation to Section F.a.5 below: 40 hours a week. Shifts will consist of 8 hour shifts that can vary as needed as advertised in State Workforce Agency job order, and in other H2B advertisement sources as per employers recruiting requirements for prospective workers under the H-2B program. Variable shifts over 7 days a week. Shifts may vary: 6am to 11pm. Job Classification: 35-1012.00 - First-Line Supervisors of Food Preparation and Serving Workers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6 Special Requirements: EMPLOYER REQUIRES PRE-EMPLOYMENT POLICE CLEARANCE AND POST-EMPLOYMENT DRUG TESTING TO BE CARRIED OUT EQUALLY BETWEEN THE U.S. WORKERS AND THE H-2B WORKERS. ABILITY TO COMMUNICATE IN ENGLISH. THE 6 MONTHS EXPERIENCE REQUIRED IN BOX F.A.9, CONTEMPLATES 6 MONTHS EXPERIENCE AS A SERVER OR SENIOR SERVER IN A HOSPITALITY SETTING. Number of Hours Per Week: 40 Work Schedule (Start/End time): 6:00 A.M. - 11:00 P.M.</t>
  </si>
  <si>
    <t>H-400-26186-078998</t>
  </si>
  <si>
    <t>KATHLEEN O'CONNELL RACING STABLES, INC</t>
  </si>
  <si>
    <t>smileko@aol.com</t>
  </si>
  <si>
    <t>+13053892589</t>
  </si>
  <si>
    <t>H-400-26186-078987</t>
  </si>
  <si>
    <t>KDE EQUINE, LLC DBA STEVE ASMUSSEN RACING STABLE</t>
  </si>
  <si>
    <t>kdeequinevisa@yahoo.com</t>
  </si>
  <si>
    <t>+15026313343</t>
  </si>
  <si>
    <t>Cares for and cleans horses; exercises and inspects them according to instructions. Job Classification: 39-2021.00 - Animal Caretakers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1 Special Requirements: Regarding Section F.a.5 A-H, The working days may vary. Regarding Section F.a.6a and F.a.6b, the working hours are from 5am to 11am and 3pm to 5pm and may vary. Number of Hours Per Week: 45 Work Schedule (Start/End time): 5:00 A.M. - 11:00 A.M.</t>
  </si>
  <si>
    <t>H-400-26186-078974</t>
  </si>
  <si>
    <t>H-400-26186-078983</t>
  </si>
  <si>
    <t>+15036313343</t>
  </si>
  <si>
    <t>H-400-26186-078994</t>
  </si>
  <si>
    <t>H-400-26186-079006</t>
  </si>
  <si>
    <t>Lamp Metal Trusses Inc</t>
  </si>
  <si>
    <t>apfirman@lampmetaltrusses.com</t>
  </si>
  <si>
    <t>+17705399366</t>
  </si>
  <si>
    <t>The truss assembler will work with metal and wood trusses, produce trusses, parts or components for trusses depending on the size and measurements of projects, assemble precut materials, accuracy of assembly, using ruler and gauges, fitting parts together, place metal reinforcement plates over connecting joints and connects parts at joints, may produce or help produce components according to instructions, use hand tools and machines used to build trusses are, but not limited to: hammers, saws, cutting saws, press breaks, jigs and clamps to hold members in place for assembly, laser cutter for precise component cutting, may use lifters for heavy trusses for roof trusses in building construction. May be responsible for pulling plates, stacking of finished product, banding, and marking materials, and pushing products into position by hand or crane on carts to appropriate work area or storing them at the end of the workday to keep the area clean and free of hazardous pieces. Job Classification: 53-7021.00 - Crane and Tower Operators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Three months of experience as truss assembler in residential or commercial construction settings. Must bend, lift, and sustain up to 50 lbs, work under extreme hot weather conditions. Travel will be required within several counties, no on-the-job training available, no education required. Post-hire drug test required paid by employer, all US and Guest workers will be screened equally. Number of Hours Per Week: 40 Work Schedule (Start/End time): 7:00 A.M. - 3:30 P.M.</t>
  </si>
  <si>
    <t>H-400-26186-079002</t>
  </si>
  <si>
    <t>NATIVE RESOURCES INTERNATIONAL, INC.</t>
  </si>
  <si>
    <t>briank@nativeresources.com</t>
  </si>
  <si>
    <t>+16238696757</t>
  </si>
  <si>
    <t>Landscape or maintain grounds of property using hand or power tools or equipment. Workers typically perform a variety of tasks, which may include any combination of the following: sod laying, mowing, trimming, planting, watering, fertilizing, digging, and raking. May also perform minor repairs and maintenance procedures on equipment utilized in grounds-keeping and tree services through bracing, planting, pruning, removal, spraying, surgery, trimming. Job Classification: 37-3011.00 - Landscaping and Groundskeeping Workers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1 Number of Hours Per Week: 40 Work Schedule (Start/End time): 9:00 A.M. - 5:00 P.M.</t>
  </si>
  <si>
    <t>H-400-26186-078979</t>
  </si>
  <si>
    <t>Palm Beach Country Club, Inc.</t>
  </si>
  <si>
    <t>rpassaggio@palmbeachcountryclub.org</t>
  </si>
  <si>
    <t>+15618443500</t>
  </si>
  <si>
    <t>Prepares, seasons and cooks soups, meats, vegetables, fruits, desserts and other miscellaneous foods for consumption; Observe recipe guidelines and sanitation procedures. *Continuation to Section F.a.5 below: 40 hours a week. Shifts will consist of 8 hour shifts that can vary as needed as advertised in State Workforce Agency job order, and in other H2B advertisement sources as per employers recruiting requirements for prospective workers under the H-2B program. Variable shifts over 7 days a week. Shifts may vary: 6am to 11pm. Job Classification: 35-2014.00 - Cooks, Restaurant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EMPLOYER REQUIRES PRE-EMPLOYMENT POLICE CLEARANCE AND POST-EMPLOYMENT DRUG TESTING TO BE CARRIED OUT EQUALLY BETWEEN THE U.S. WORKERS AND THE H-2B WORKERS. Ability TO COMMUNICATE IN ENGLISH. Number of Hours Per Week: 40 Work Schedule (Start/End time): 6:00 A.M. - 11:00 P.M.</t>
  </si>
  <si>
    <t>H-400-26186-078980</t>
  </si>
  <si>
    <t>Oversee serving staff during set up, serving and clearing; train new servers on the floor; build/maintain rapport with the club members; assume servers duties as required, particularly in the service of special guests of honor and VIPs; required to set an exemplary example and to ensure the highest level of service that is provided by the club's serving staff. *Continuation to Section F.a.5 below: 40 hours a week. Shifts will consist of 8 hour shifts that can vary as needed as advertised in State Workforce Agency job order, and in other H2B advertisement sources as per employers recruiting requirements for prospective workers under the H-2B program. Variable shifts over 7 days a week. Shifts may vary: 6am to 11pm. Job Classification: 35-1012.00 - First-Line Supervisors of Food Preparation and Serving Workers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6 Special Requirements: EMPLOYER REQUIRES PRE-EMPLOYMENT POLICE CLEARANCE AND POST-EMPLOYMENT DRUG TESTING TO BE CARRIED OUT EQUALLY BETWEEN THE U.S. WORKERS AND THE H-2B WORKERS. Ability TO COMMUNICATE IN ENGLISH. THE 6 MONTHS EXPERIENCE REQUIRED IN BOX F.A.9, CONTEMPLATES 6 MONTHS EXPERIENCE AS A SERVER OR SENIOR SERVER IN A HOSPITALITY SETTING. Number of Hours Per Week: 40 Work Schedule (Start/End time): 6:00 A.M. - 11:00 P.M.</t>
  </si>
  <si>
    <t>H-400-26186-078976</t>
  </si>
  <si>
    <t>Worker may be required to perform any of the following duties: monitor activities at golf course and tennis complex; may provide administrative assistance to membership, including checking membership cards, confirming reservations, arranging merchandise and providing facility info; transport members' golf equipment to and from the clubhouse facilities. *Continuation to Section F.a.5 below: 40 hours a week. Shifts will consist of 8 hour shifts that can vary as needed as advertised in State Workforce Agency job order, and in other H2B advertisement sources as per employers recruiting requirements for prospective workers under the H-2B program. Variable shifts over 7 days a week. Shifts may vary: 6am to 11pm. Job Classification: 39-3091.00 - Amusement and Recreation Attendants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EMPLOYER REQUIRES PRE-EMPLOYMENT POLICE CLEARANCE AND POST-EMPLOYMENT DRUG TESTING TO BE CARRIED OUT EQUALLY BETWEEN THE U.S. WORKERS AND THE H-2B WORKERS. Ability TO COMMUNICATE IN ENGLISH. Number of Hours Per Week: 40 Work Schedule (Start/End time): 6:00 A.M. - 11:00 P.M.</t>
  </si>
  <si>
    <t>H-400-26186-078981</t>
  </si>
  <si>
    <t>Taking and serving food and beverage orders; Carrying out food and miscellaneous set up and clean up activities; May be required to perform duties in an outdoor environment and at banquet events; may be required to serve customers via golf cart. *Continuation to Section F.a.5 below: 40 hours a week. Shifts will consist of 8 hour shifts that can vary as needed as advertised in State Workforce Agency job order, and in other H2B advertisement sources as per employers recruiting requirements for prospective workers under the H-2B program. Variable shifts over 7 days a week. Shifts may vary: 6am to 11pm. Job Classification: 35-3031.00 - Waiters and Waitresses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EMPLOYER REQUIRES PRE-EMPLOYMENT POLICE CLEARANCE AND POST-EMPLOYMENT DRUG TESTING TO BE CARRIED OUT EQUALLY BETWEEN THE U.S. WORKERS AND THE H-2B WORKERS. Ability TO COMMUNICATE IN ENGLISH. Number of Hours Per Week: 40 Work Schedule (Start/End time): 6:00 A.M. - 11:00 P.M.</t>
  </si>
  <si>
    <t>H-400-26186-078978</t>
  </si>
  <si>
    <t>Sharpe's Outdoor Services LLC</t>
  </si>
  <si>
    <t>Jessica Sharpe</t>
  </si>
  <si>
    <t>outdooremployment@gmail.com</t>
  </si>
  <si>
    <t>+15172581425</t>
  </si>
  <si>
    <t>Winter Maintenance and Repair Workers</t>
  </si>
  <si>
    <t>Responsible for snow removal utilizing shovels, rakes, snow blowers, and related equipment. Must be available on a flexible, on-call basis around the clock, responding to weather conditions as needed. Performs routine maintenance and repairs on equipment using hand tools. Carries out cold-weather agricultural and horticultural tasks including cleanup, pruning, trimming, and planting that could not be completed during warmer months. May, from time to time, drive a company vehicle. Maintenance and Repair of Non-Mechanical Equipment: • Inspect snow removal tools and hand-held equipment (e.g., shovels, rakes, ice chippers) for cracks, loose fasteners, or worn handles. • Repair or replace damaged or broken tool handles by removing old handles and installing new wooden or fiberglass handles using hammers, wrenches, and screwdrivers. • Tighten or replace bolts, nuts, or screws on equipment like snow blowers’ external parts (e.g., handles, housings—not internal engine or drive systems) using hand tools. • Sharpen or file edges of shovels and ice scrapers by hand to maintain efficiency. • Lubricate moving parts on small, non-motorized equipment such as spreader wheels or adjustable handles with hand-held grease guns or oil cans. • Check and patch holes or tears in wheelbarrow or cart tubs using small patches, adhesives, or replacement hardware. Tools Used: • Common hand tools such as: o Hammers o Screwdrivers o Adjustable wrenches o Pliers o Hand files o Hand saws (for cutting replacement handles or boards) • Lubrication tools like handheld grease guns and oil cans. Materials Used: • Replacement hardware (nuts, bolts, screws). • Replacement handles and grips (wood, fiberglass). • Lubricants (oil or grease). • Adhesives or patch kits for non-structural repairs. Types of Equipment Maintained: • Manual snow removal tools: shovels, scrapers, rakes. • Hand-pushed equipment: salt or sand spreaders. • Small garden tools used during winter horticultural tasks: hand pruners, loppers, hand saws. • Non-powered carts or wheelbarrows used for moving snow, mulch, or debris. Scope of Work: • Maintenance and repairs are limited strictly to non-mechanical, hand-operated tools and the external, user-serviceable parts of simple, walk-behind snow blowers (e.g., handle adjustments or tightening hardware), without any repair, servicing, or adjustment of internal combustion engines, transmissions, or complex mechanical assemblies. • These tasks ensure equipment remains functional and safe for winter maintenance and cold-weather horticultural work in residential and commercial landscaping/property maintenance. Industry Context: • Work is performed in the landscaping, property maintenance, and groundskeeping fields on residential and commercial sites requiring seasonal winter services. The work will be performed at the job site/customer's location and Sharpe's business locations. Job Classification: 49-9071.00 - Maintenance and Repair Workers, General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Ability to lift the weight necessary to perform the duties of this job as assessed by the worker. Ability to tolerate severe winter weather conditions. Number of Hours Per Week: 35 Work Schedule (Start/End time): 8:00 A.M. - 4:30 P.M.</t>
  </si>
  <si>
    <t>H-400-26186-078988</t>
  </si>
  <si>
    <t>The Boca Raton, LLC</t>
  </si>
  <si>
    <t>internationaltalent@thebocaraton.com</t>
  </si>
  <si>
    <t>+15614473657</t>
  </si>
  <si>
    <t>Bellperson</t>
  </si>
  <si>
    <t>Duties: Responsible for receiving and marking baggage, greeting incoming guests and escorting them to their rooms, transporting guests about premises, maintaining clean lobbies or entrance areas, and transferring luggage, trunks, and packages to and from rooms, loading areas, vehicles, or transportation terminals, by hand or using baggage carts. Bellhops may need to lift and carry up to fifty (50) pounds. Requirements: Three (3) months of experience at a high-end hotel, resort, or private club required. On-the-job training is provided. Applicant must provide Pre-employment Criminal Background Check. Requirements: Three (3) months of experience at a high-end hotel, resort, or private club required. On-the-job training is provided. Applicant must provide Pre-employment Criminal Background Check. Rate of Pay: $14.00 per hour plus gratuity, paid bi-weekly. Employer guarantees hourly rate will not fall below prevailing wage of $15.86 per hour. Overtime is available at $23.79 per hour. Employee may be eligible for additional compensation in the form of holiday pay of up to $500.00. Eligible for company subsidized housing. Shifts: Work schedule can vary and can include evening, weekend, and holiday hours. Work may be performed on any day of the week from Monday through Sunday. Example shifts: 7am - 2pm, 9am - 4pm, or 4pm- 11am. Shift hours may vary. Job Classification: 39-6011.00 - Baggage Porters and Bellhops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Three (3) months of experience at a high-end hotel, resort, or private club required. On-the-job training is provided. Applicant must provide Pre-employment Criminal Background Check. Number of Hours Per Week: 35 Work Schedule (Start/End time): 7:00 A.M. - 2:00 P.M.</t>
  </si>
  <si>
    <t>H-400-26186-079007</t>
  </si>
  <si>
    <t>Maintenance Engineer</t>
  </si>
  <si>
    <t>Duties: Responsible for responding and attending to guest requests, communicating with guests to resolve maintenance issues, performing daily checks and preventative maintenance on tools and equipment, and troubleshooting and performing basic repairs on all types of equipment including plumbing and electrical equipment. Requirements: Six (6) months of maintenance experience at a high-end hotel, resort, or private club required. On-the-job training is provided. Applicant must provide Pre-employment Criminal Background Check. Rate of Pay: $23.66 – $27.00 per hour, paid bi-weekly. Overtime is available at $35.49 - $40.50 per hour. Employee may be eligible for additional compensation in the form of holiday pay of up to $500.00. Eligible for company subsidized housing. Shifts: Work schedule can vary and can include evening, weekend, and holiday hours. Work may be performed on any day of the week from Monday through Sunday. Example shifts: 7am-2pm, 9am-4pm, or 4pm-11pm. Shift hours may vary. Job Classification: 49-9071.00 - Maintenance and Repair Workers, General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6 Special Requirements: Six (6) months of maintenance experience at a high-end hotel, resort, or private club required. On-the-job training is provided. Applicant must provide Pre-employment Criminal Background Check. Number of Hours Per Week: 35 Work Schedule (Start/End time): 7:00 A.M. - 2:00 P.M.</t>
  </si>
  <si>
    <t>H-400-26186-079012</t>
  </si>
  <si>
    <t>Duties: Resolve customer complaints regarding food service. Assist with scheduling, training and guest interaction. Train workers in service, sanitation, and safety procedures. Inspect supplies, equipment, and work areas to ensure efficient service and conformance to standards. Requirements: Six (6) months experience supervising staff &amp; restaurant operations in a fine-dining or high-volume environment at a high-end restaurant, resort, or private club required. On-the-job training is provided. Applicant must provide Pre-employment Criminal Background Check is required. Rate of Pay: $24.00 per hour, paid bi-weekly. Overtime is available at $36.00 per hour. Employee may be eligible for additional compensation in the form of holiday pay of up to $500.00. Eligible for company subsidized housing. Shifts: Work schedule can vary and can include evening, weekend, and holiday hours. Work may be performed on any day of the week from Monday through Sunday. Example shifts: 7am - 2pm, 9am - 4pm, or 4pm- 11am. Shift hours may vary. Job Classification: 35-1012.00 - First-Line Supervisors of Food Preparation and Serving Workers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6 Special Requirements: Six (6) months experience supervising staff &amp; restaurant operations in a fine-dining or high-volume environment at a high-end restaurant, resort, or private club required. On-the-job training is provided. Applicant must provide Pre-employment Criminal Background Check. Number of Hours Per Week: 35 Work Schedule (Start/End time): 7:00 A.M. - 2:00 P.M.</t>
  </si>
  <si>
    <t>H-400-26186-079018</t>
  </si>
  <si>
    <t>Duties: Quickly clear dirty table settings and prepare table for resetting. Promptly and consistently reset all service ware as prescribed. Maintain stock and cleanliness of stations for all meal periods with necessary equipment including silverware, linen and condiments. Wipe down booths and chairs, move tables and chairs, and clean floors as necessary. Serve guests with beverages, breads and butter to begin their dining experience and replenish as necessary. Assist server with food &amp; beverage service to ensure guest satisfaction. Assist servers by running plated food from the kitchen to the guest’s table in a timely and organized manner. Ensure that each guest receives the correct dish, as ordered, and that food is presented neatly. Communicate with the kitchen and servers to coordinate timing of food delivery. Provide guests with additional items upon request, such as condiments, utensils, napkins, or drink refills, to enhance satisfaction. Monitor guest tables to anticipate needs, such as removing used dishes between courses or replenishing water glasses. Assist with guest inquiries in a professional and courteous manner, or promptly direct them to a server if further assistance is needed. Support the server in ensuring all components of the meal (appetizers, main courses, side items, drinks) are delivered smoothly and without delays. Help pace the service so guests do not experience rushed or prolonged waits between courses. Proactively maintain a clean and orderly dining environment by promptly removing used dishes and keeping service areas neat. Coordinate with the server and kitchen to ensure timely removal and replacement of soiled plates, minimizing disruption to the guest experience. Transport all dirty tableware from dining room to dishwashing area for proper cleaning. Perform all assigned side work to include replenishing condiments and restocking side stands. Requirements: Three (3) months of bussing experience in a fine-dining or high-volume environment at a high-end restaurant, resort, or private club required. On-the-job training is provided. Pre-employment Criminal Background Check is required. Rate of Pay: Wage: Tipped position with wage of $8.00 - $10.00 per hour, paid bi-weekly. Employer guarantees hourly rate will not fall below prevailing wage of $17.91 per hour. Overtime is available at $26.87 per hour. Employee may be eligible for additional compensation in the form of holiday pay of up to $500.00. Eligible for company subsidized housing. Shifts: Work schedule can vary and can include evening, weekend, and holiday hours. Work may be performed on any day of the week from Monday through Sunday. Example shifts: 7am - 2pm, 9am - 4pm, or 4pm- 11am. Shift hours may vary. Job Classification: 35-9011.00 - Dining Room and Cafeteria Attendants and Bartender Helpers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Three (3) months of bussing experience in a fine-dining or high-volume environment at a high-end restaurant, resort, or private club required. On-the-job training is provided. Applicant must provide Pre-employment Criminal Background Check. Number of Hours Per Week: 35 Work Schedule (Start/End time): 7:00 A.M. - 2:00 P.M.</t>
  </si>
  <si>
    <t>H-400-26186-078995</t>
  </si>
  <si>
    <t>Duties: Responsible for preparing, seasoning, and cooking soups, meats, vegetables, desserts, and other food items in a restaurant. Requirements: Six (6) months of culinary experience in a fine-dining or high-volume environment at a high-end restaurant, resort, or private club required. On-the-job training is provided. Applicant must provide Pre-employment Criminal Background Check. Rate of Pay: $24.00 per hour, paid bi-weekly. Overtime is available at $36.00 per hour. Employee may be eligible for additional compensation in the form of holiday pay of up to $500.00. Eligible for company subsidized housing. Shifts: Work schedule can vary and can include evening, weekend, and holiday hours. Work may be performed on any day of the week from Monday through Sunday. Example shifts: 7am - 2pm, 9am - 4pm, or 4pm- 11am. Shift hours may vary. Job Classification: 35-2014.00 - Cooks, Restaurant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6 Special Requirements: Six (6) months of culinary experience in a fine-dining or high-volume environment at a high-end restaurant, resort, or private club required. On-the-job training is provided. Applicant must provide Pre-employment Criminal Background Check. Number of Hours Per Week: 35 Work Schedule (Start/End time): 7:00 A.M. - 2:00 P.M.</t>
  </si>
  <si>
    <t>H-400-26186-079008</t>
  </si>
  <si>
    <t>Pool Attendant</t>
  </si>
  <si>
    <t>Duties: Responsible for monitoring activities to ensure adherence to rules and safety procedures; maintaining cleanliness of pool area and equipment; providing information about facilities rules and regulations, maintaining inventory of equipment/linens, setting up chairs and umbrellas and storing and retrieving items as necessary and maintaining daily response and logs of pool activity. Requirements: Three (3) months of experience at a high-end hotel, resort, or private club required. On-the-job training is provided. Applicant must provide Pre-employment Criminal Background Check. Rate of Pay: $14.00 per hour plus gratuity, paid bi-weekly. Employer guarantees hourly rate will not fall below prevailing wage of $15.60 per hour. Overtime is available at $23.40 per hour. Employee may be eligible for additional compensation in the form of holiday pay of up to $500.00. Eligible for company subsidized housing. Shifts: Work schedule can vary and can include evening, weekend, and holiday hours. Work may be performed on any day of the week from Monday through Sunday. Example shifts: 7am - 2pm, 9am - 4pm, or 4pm- 11am. Shift hours may vary. Job Classification: 39-3091.00 - Amusement and Recreation Attendants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Three (3) months of experience at a high-end hotel, resort, or private club required. On-the-job training is provided. Applicant must provide Pre-employment Criminal Background Check. Number of Hours Per Week: 35 Work Schedule (Start/End time): 7:00 A.M. - 2:00 P.M.</t>
  </si>
  <si>
    <t>H-400-26186-079013</t>
  </si>
  <si>
    <t>Duties: Responsible for cleaning and maintaining all rooms, suites, and indoor common areas at Boca Raton Resort &amp; Club’s property, which includes vacuuming floors, dusting, replenishing linens and towels, disinfecting bathrooms, and washing windows. Requirements: Three (3) months of experience at a high-end hotel, resort, or private club required. On-the-job training is provided. Applicant must provide Pre-employment Criminal Background Check. Rate of Pay: $18.00 per hour, paid bi-weekly. Resort share-eligible position, so actual wage with tips may occasionally be higher. Overtime is available at $27.00 per hour. Employee may be eligible for additional compensation in the form of holiday pay of up to $500.00. Eligible for company subsidized housing. Shifts: Work schedule can vary and can include evening, weekend, and holiday hours. Work may be performed on any day of the week from Monday through Sunday. Example shifts: 7am - 2pm, 9am - 4pm, or 4pm- 11am. Shift hours may vary. Job Classification: 37-2012.00 - Maids and Housekeeping Cleaners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Three (3) months of experience at a high-end hotel, resort, or private club required. On-the-job training is provided. Applicant must provide Pre-employment Criminal Background Check. Number of Hours Per Week: 35 Work Schedule (Start/End time): 7:00 A.M. - 2:00 P.M.</t>
  </si>
  <si>
    <t>H-400-26186-079014</t>
  </si>
  <si>
    <t>Duties: Responsible for greeting customers, setting up the dining areas, taking and placing orders, carrying trays and plates, serving food and beverages, and cleaning and clearing tables. Requirements: Six (6) months of service experience in a fine-dining or high-volume environment at a high-end restaurant, resort, or private club required. On-the-job training is provided. Applicant must provide Pre-employment Criminal Background Check. Rate of Pay: Tipped position with wage of $8.00 - $10.00 per hour, paid bi-weekly. Employer guarantees hourly rate will not fall below prevailing wage of $18.71 per hour. Overtime is available at $28.07 per hour. Employer will guarantee wage in any given workweek when total compensation (including tips) does not meet prevailing wage rate or overtime wage rate. Employee may be eligible for additional compensation in the form of holiday pay of up to $500.00. Eligible for company subsidized housing. Shifts: Work schedule can vary and can include evening, weekend, and holiday hours. Work may be performed on any day of the week from Monday through Sunday. Example shifts: 7am - 2pm, 9am - 4pm, or 4pm- 11am. Shift hours may vary. Job Classification: 35-3031.00 - Waiters and Waitresses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6 Special Requirements: Six (6) months of service experience in a fine-dining or high-volume environment at a high-end restaurant, resort, or private club required. On-the-job training is provided. Applicant must provide Pre-employment Criminal Background Check. Number of Hours Per Week: 35 Work Schedule (Start/End time): 7:00 A.M. - 2:00 P.M.</t>
  </si>
  <si>
    <t>H-400-26186-078984</t>
  </si>
  <si>
    <t>The Country Club at Woodfield, Inc.</t>
  </si>
  <si>
    <t>Ihope@woodfield.org</t>
  </si>
  <si>
    <t>+15619977699</t>
  </si>
  <si>
    <t>Take beverage order. Prepare mixed drinks and serve the same. Cleans bar area. May be required to take food orders and make knowledgeable recommendations regarding wines and other products. Requisition and display liquor and supplies. Must keep bar area clean and work under strictly enforced state code. *Continuation to Section F.a.5 below: 40 hours a week. Shifts will consist of 8 hour shifts that can vary as needed as advertised in State Workforce Agency job order, and in other H2B advertisement sources as per employers recruiting requirements for prospective workers under the H-2B program. Variable shifts over 7 days a week. Shifts may vary: 6am to 11pm. Job Classification: 35-3011.00 - Bartenders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EMPLOYER REQUIRES PRE-EMPLOYMENT POLICE CLEARANCE AND PRE-EMPLOYMENT DRUG TESTING TO BE CARRIED OUT EQUALLY BETWEEN THE U.S. WORKERS AND THE H-2B WORKERS. ability TO COMMUNICATE IN ENGLISH. Number of Hours Per Week: 40 Work Schedule (Start/End time): 6:00 A.M. - 11:00 P.M.</t>
  </si>
  <si>
    <t>H-400-26186-078986</t>
  </si>
  <si>
    <t>Prepares, seasons and cooks soups, meats, vegetables, fruits, desserts and other miscellaneous food for consumption; observes recipe guidelines and sanitation procedures. *Continuation to Section F.a.5 below: 40 hours a week. Shifts will consist of 8 hour shifts that can vary as needed as advertised in State Workforce Agency job order, and in other H2B advertisement sources as per employers recruiting requirements for prospective workers under the H-2B program. Variable shifts over 7 days a week. Shifts may vary: 6am to 11pm. Job Classification: 35-2014.00 - Cooks, Restaurant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EMPLOYER REQUIRES PRE-EMPLOYMENT POLICE CLEARANCE AND PRE-EMPLOYMENT DRUG TESTING TO BE CARRIED OUT EQUALLY BETWEEN THE U.S. WORKERS AND THE H-2B WORKERS. ability TO COMMUNICATE IN ENGLISH. Number of Hours Per Week: 40 Work Schedule (Start/End time): 6:00 A.M. - 11:00 P.M.</t>
  </si>
  <si>
    <t>H-400-26186-078989</t>
  </si>
  <si>
    <t>Greets, escorts and provides menus to customers; assists with misc. cleaning/polishing etc. as necessary. The cleaning/polishing duties and the location/area(s) where the cleaning takes place task is a daily service requirement for hosts/hostesses that takes place at the entrance of the dining venue that specifically consists of maintaining the cleanliness and polished appearance of the entrance, focusing on the host stand, and guest seating areas. Key duties include sanitizing menus, wiping high-touch surfaces, cleaning the host station, polishing doors, to ensure a positive first impression. *Continuation to Section F.a.5 below: 40 hours a week. Shifts will consist of 8 hour shifts that can vary as needed as advertised in State Workforce Agency job order, and in other H2B advertisement sources as per employers recruiting requirements for prospective workers under the H-2B program. Variable shifts over 7 days a week. Shifts may vary: 6am to 11pm. Job Classification: 35-9031.00 - Hosts and Hostesses, Restaurant, Lounge, and Coffee Shop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EMPLOYER REQUIRES PRE-EMPLOYMENT POLICE CLEARANCE AND PRE-EMPLOYMENT DRUG TESTING TO BE CARRIED OUT EQUALLY BETWEEN THE U.S. WORKERS AND THE H-2B WORKERS. ability TO COMMUNICATE IN ENGLISH. Number of Hours Per Week: 40 Work Schedule (Start/End time): 6:00 A.M. - 11:00 P.M.</t>
  </si>
  <si>
    <t>H-400-26186-078991</t>
  </si>
  <si>
    <t>Oversee serving staff during set up, serving and clearing; train new servers on the floor; build/maintain rapport with the club members; assume servers duties as required, particularly in the service of special guests of honor and VIPs; required to set an exemplary example and to ensure the highest level of service that is provided by the club's serving staff. *Continuation to Section F.a.5 below: 40 hours a week. Shifts will consist of 8 hour shifts that can vary as needed as advertised in State Workforce Agency job order, and in other H2B advertisement sources as per employers recruiting requirements for prospective workers under the H-2B program. Variable shifts over 7 days a week. Shifts may vary: 6am to 11pm. Job Classification: 35-1012.00 - First-Line Supervisors of Food Preparation and Serving Workers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6 Special Requirements: EMPLOYER REQUIRES PRE-EMPLOYMENT POLICE CLEARANCE AND PRE-EMPLOYMENT DRUG TESTING TO BE CARRIED OUT EQUALLY BETWEEN THE U.S. WORKERS AND THE H-2B WORKERS. ability TO COMMUNICATE IN ENGLISH. THE 6 MONTHS EXPERIENCE REQUIRED IN BOX F.A.9, CONTEMPLATES 6 MONTHS EXPERIENCE AS A SERVER OR SENIOR SERVER IN A HOSPITALITY SETTING. Number of Hours Per Week: 40 Work Schedule (Start/End time): 6:00 A.M. - 11:00 P.M.</t>
  </si>
  <si>
    <t>H-400-26186-078996</t>
  </si>
  <si>
    <t>Worker may be required to perform any of the following duties: monitor activities at golf course and tennis complex; may provide administrative assistance to membership, including checking membership cards, confirming reservations, arranging merchandise and providing facility info; transport members' golf equipment to and from the clubhouse facilities.The duties involved with transport members' golf equipment to and from the clubhouse facilities task requires meeting members at the bag drop area of the clubhouse facilities and unloading golf clubs from personal vehicles; transporting bags to and from a secure, designated storage area for club members; loading the golf bags onto carts and ensuring they are ready for the player on the staging area; cleaning clubs after play, returning bags to storage, or transporting them back to the member's car. *Continuation to Section F.a.5 below: 40 hours a week. Shifts will consist of 8 hour shifts that can vary as needed as advertised in State Workforce Agency job order, and in other H2B advertisement sources as per employers recruiting requirements for prospective workers under the H-2B program. Variable shifts over 7 days a week. Shifts may vary: 6am to 11pm. Job Classification: 39-3091.00 - Amusement and Recreation Attendants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EMPLOYER REQUIRES PRE-EMPLOYMENT POLICE CLEARANCE AND PRE-EMPLOYMENT DRUG TESTING TO BE CARRIED OUT EQUALLY BETWEEN THE U.S. WORKERS AND THE H-2B WORKERS. ability TO COMMUNICATE IN ENGLISH. Number of Hours Per Week: 40 Work Schedule (Start/End time): 6:00 A.M. - 11:00 P.M.</t>
  </si>
  <si>
    <t>H-400-26186-078990</t>
  </si>
  <si>
    <t>Taking and serving food and beverage orders; Carrying out food and miscellaneous set up and clean up activities; May be required to perform duties in an outdoor environment and at banquet events; may be required to serve customers via golf cart. *Continuation to Section F.a.5 below: 40 hours a week. Shifts will consist of 8 hour shifts that can vary as needed as advertised in State Workforce Agency job order, and in other H2B advertisement sources as per employers recruiting requirements for prospective workers under the H-2B program. Variable shifts over 7 days a week. Shifts may vary: 6am to 11pm. Job Classification: 35-3031.00 - Waiters and Waitresses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EMPLOYER REQUIRES PRE-EMPLOYMENT POLICE CLEARANCE AND PRE-EMPLOYMENT DRUG TESTING TO BE CARRIED OUT EQUALLY BETWEEN THE U.S. WORKERS AND THE H-2B WORKERS. ability TO COMMUNICATE IN ENGLISH. Number of Hours Per Week: 40 Work Schedule (Start/End time): 6:00 A.M. - 11:00 P.M.</t>
  </si>
  <si>
    <t>H-400-26186-078971</t>
  </si>
  <si>
    <t>Climber</t>
  </si>
  <si>
    <t>Five (5) temporary full-time Climber positions available for work beginning October 1, 2026 and continuing through April 30, 2027, working day shift with forty hours work provided weekly - Monday through Friday 8am to 4pm, at $37.62 or higher per hour, with overtime offered often at $56.43 or higher per hour. Bartlett Climbers serve as members of our tree-care crew. They perform basic tree climbing and rigging, pruning and trimming, and lowering of limbs and branches. Climbers use climbing hooks and belts to gain access to work areas. Climbers use power saws and pruners to cut away dead or excess branches from trees or shrubs to improve health and productivity. Climbers help inspect trees for potential risks. Climbers attend a daily Safety Briefing. This occupation requires a high-school diploma, and six months related work experience. Climbers serve as a member of our tree-care crew. One month of paid on-the-job training get any hires up to speed so they can identify tree species and safety risks, and also safely use saws and other tools for removing branches and debris. Climbers will work on the following types of properties: residential and commercial and municipal properties and landscapes that include lawns and campuses and town halls, throughout the listed counties. Job Classification: 37-3013.00 - Tree Trimmers and Pruners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6 Special Requirements: 6 MONTHS PRIOR RELATED WORK EXPERIENCE; ONE MONTH PAID ON THE JOB TRAINING IN IDENTIFYING TREE SPECIES AND SAFETY RISKS AND SAFE USE OF TOOLS. Number of Hours Per Week: 40 Work Schedule (Start/End time): 8:00 A.M. - 4:00 P.M.</t>
  </si>
  <si>
    <t>H-400-26186-078972</t>
  </si>
  <si>
    <t>5 temporary full-time Climber positions available for work beginning October 1, 2026 and continuing through April 30, 2027, working day shift with forty hours work provided weekly - Monday through Friday 8am to 4pm, at $30.35 or higher per hour, with overtime offered often at $45.53 or higher per hour. Bartlett Climbers serve as members of our tree-care crew. They perform basic tree climbing and rigging, pruning and trimming, and lowering of limbs and branches. Climbers use climbing hooks and belts to gain access to work areas. Climbers use power saws and pruners to cut away dead or excess branches from trees or shrubs to improve health and productivity. Climbers help inspect trees for potential risks. Climbers attend a daily Safety Briefing. This occupation requires a high-school diploma and six months related work experience in ground work and/or tree species familiarity. One month of paid on-the-job training gets any hires up to speed so they can identify tree species and climbing risks, and also safely utilize pruners and saws and other hand and power tools for removing branches and debris. Climbers will work on the following types of property: residential and commercial and municipal properties and landscapes that include lawns and campuses and town halls, throughout the listed counties. Job Classification: 37-3013.00 - Tree Trimmers and Pruners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6 Special Requirements: 1 MONTH PAID ON-THE-JOB TRAINING IN TREE SPECIES AND TOOL SAFETY; AND SIX MONTHS PRIOR EXPERIENCE IN GROUND WORK AND/OR TREE SPECIES FAMILIARITY. Number of Hours Per Week: 40 Work Schedule (Start/End time): 8:00 A.M. - 4:00 P.M.</t>
  </si>
  <si>
    <t>H-400-26186-078973</t>
  </si>
  <si>
    <t>The Little Club at Gulf Stream</t>
  </si>
  <si>
    <t>rlehner@thelittleclubfl.com</t>
  </si>
  <si>
    <t>+15612781010</t>
  </si>
  <si>
    <t>H-400-26186-079024</t>
  </si>
  <si>
    <t>sgradomski@fiddlerscreekgolf.com</t>
  </si>
  <si>
    <t>+12392942020</t>
  </si>
  <si>
    <t>H-400-26186-079025</t>
  </si>
  <si>
    <t>H-400-26186-079027</t>
  </si>
  <si>
    <t>Greets, escorts and provides menus to customers; assists with misc. cleaning/polishing etc. as necessary. The cleaning/polishing duties and the location/area(s) where the cleaning takes place task is a daily service requirement for hosts/hostesses that takes place at the entrance of the dining venue that specifically consists of maintaining the cleanliness and polished appearance of the entrance, focusing on the host stand, and guest seating areas. Key duties include sanitizing menus, wiping high-touch surfaces, cleaning the host station, polishing doors, to ensure a positive first impression. *Continuation to Section F.a.5 below: 40 hours a week. Shifts will consist of 8 hour shifts that can vary as needed as advertised in State Workforce Agency job order, and in other H2B advertisement sources as per employers recruiting requirements for prospective workers under the H-2B program. Variable shifts over 7 days a week. Shifts may vary: 6am to 11pm. Job Classification: 35-9031.00 - Hosts and Hostesses, Restaurant, Lounge, and Coffee Shop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EMPLOYER REQUIRES PRE-EMPLOYMENT POLICE CLEARANCE AND POST-EMPLOYMENT DRUG TESTING TO BE CARRIED OUT EQUALLY BETWEEN THE U.S. WORKERS AND H-2B WORKERS. ABILITY TO COMMUNICATE IN ENGLISH. Number of Hours Per Week: 40 Work Schedule (Start/End time): 6:00 A.M. - 11:00 P.M.</t>
  </si>
  <si>
    <t>H-400-26186-079028</t>
  </si>
  <si>
    <t>H-400-26186-079026</t>
  </si>
  <si>
    <t>H-400-26186-079067</t>
  </si>
  <si>
    <t>AMISTAD GAME FARM AND KENNELS CO</t>
  </si>
  <si>
    <t>amistadgamefarm@gmail.com</t>
  </si>
  <si>
    <t>+18637632808</t>
  </si>
  <si>
    <t>Game Keeper</t>
  </si>
  <si>
    <t>Duties: Responsible for developing the European style of Driven Partridge Shooting at Amistad Ranch. This will include working with the Ranch Manager in strategic planning and placement of Game Covers, Hedgerows and gun stands. Ensuring an adequate feeding and watering regime is adhered to after birds are released. Ensures release pens are of a high standard, predator proof and well maintained. Assist the Head Game Keeper in the care, safety and welfare of the animals &amp; Game Birds, whilst ensuring that health and safety is maintained at all times. Rear Pheasants and Partridges ready for the shoot season. Feeding. Predator Control Beating. Ensure animal welfare and safety. Daily livestock supervision. Prepare feed and water supplies for livestock. Load and unload physical resources within the work area. Monitor and maintain Health and Safety at all times. Maintain equipment. General animal husbandry. Conduct season closing activities including maintenance, repair and storage of equipment at the end of season. Requirements: Minimum 12 months of traditional European style Game Keeper experience. Background checks &amp; post-offer pre-employment drug screenings conducted equally between the US and the H-2B workers. Must be available to work a minimum of 6 days of the week, depending on schedule. Pay Rate: $22.00 – $25.00 per hour. Overtime possible based on company need paid at $33.00 – $37.50 /hr. Tips paid by/at Member discretion. Up-to 15% of wages in company Performance bonus scheme. Shifts: During this period Ranch operates 7 days a week from 7:00am-6:30pm; Shifts will vary based on need with minimum 40 hours per week. Job Classification: 45-2093.00 - Farmworkers, Farm, Ranch, and Aquacultural Animals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12 Special Requirements: Minimum 12 months of traditional European style Game Keeper experience. Background checks &amp; post-offer pre-employment drug screenings conducted equally between the US and the H2B workers. Must be available to work a minimum of 6 days of the week, depending on schedule. Number of Hours Per Week: 40 Work Schedule (Start/End time): 7:00 A.M. - 6:30 P.M.</t>
  </si>
  <si>
    <t>H-400-26186-079071</t>
  </si>
  <si>
    <t>House Manager / Butler</t>
  </si>
  <si>
    <t>Duties: Ensure the daily operation of the house runs smoothly and efficiently; manage, maintain, and continually improve the quality of the service within the household and ensure that the highest standards and best practice are achieved in all aspects of the house; assist with staff training and organize the duties and schedule of domestic staff; schedule and oversee vendors of contracted services; assist with household and family security measures; oversee and participate in ensuring proper table settings and entertainment preparation; coordinate with other staff as needed as well as with other parts of the employer’s organization; answer residence phone; receive guests at the door and supervises the reception of visitors; assist in loading/unloading of family vehicles; keep the household budgets and inventory supplies; cleaning and maintenance; oversee family packing and travel preparations; assist with planning and organizing parties and events in the home; oversee and participate in proper table settings and entertainment prep; serve meals and drinks and performs wait services; serve as personal valet to the household and/or gentleman of the house; perform light housekeeping duties; care of clothing, care of fine china, silver, crystal; care and inventory of artwork and antiques; maintenance of automobiles; security of their employer and residence; coordinate and schedule service contractors; run errands (shopping, gift purchases, dry cleaning); manage the household calendar; and oversee household staff. There is no public or commercial restaurant operating on the premises. Assist in service-related functions such as overseeing proper table settings, supervising meal service, and coordinating with the private chef to ensure seamless hospitality in a private, residential estate environment, not a commercial food establishment. Monitor access to the residence, receiving guests, answering the residence phone, and coordinating with ranch security personnel. Load/unload of luggage, hunting gear, household supplies, or personal items for family members and guests during travel or ranch visits. Supervise and participate in general upkeep and cleanliness of the main residence, including light housekeeping duties (e.g., dusting, tidying living spaces, and maintaining cleanliness of formal areas), while managing other household staff. Oversee and perform formal table settings, meal service, and drink service in a private dining environment. Assist in light cleaning tasks such as organizing rooms, preparing guest accommodations, maintaining household inventories, and ensuring common areas are guest-ready at all times. Maintain the condition and security of valuable household items, including artwork, antiques, fine china, crystal, and silver. Coordinate the upkeep and servicing of the family’s vehicles by scheduling routine maintenance, cleaning, fueling, and inspections, often working in conjunction with vendors or on-site staff. Light maintenance and readiness checks (e.g., tire pressure, fluids) may be performed personally. Tasked with looking after the Owners dogs. i.e. feeding, exercise, collection / delivery from one household to the to another. Requirements: Minimum 24 months of traditional European country house experience. Background checks &amp; post-offer pre-employment drug screenings conducted equally between the US and the H-2B workers. Pay Rate: $35.00 - $40.00 per hour. Rate of pay depending on experience. Overtime - $52.50 - $60.00 per hour. Shifts: During this period Ranch operates 7 days a week from 7:00am - 6:30pm; Shifts will vary based on need with minimum 40 hours per week. Plus 20 hours overtime (Variable). Job Classification: 39-1022.00 - First-Line Supervisors of Personal Service Workers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24 Special Requirements: Minimum 24 months of traditional European country house experience. Background checks &amp; post-offer pre-employment drug screenings conducted equally between the US and the H2B workers. Must be available to work a minimum of 6 days of the week, depending on schedule. Number of Hours Per Week: 40 Work Schedule (Start/End time): 7:00 A.M. - 6:30 P.M.</t>
  </si>
  <si>
    <t>H-400-26186-079100</t>
  </si>
  <si>
    <t>Aberdeen Golf &amp; Country Club Inc.</t>
  </si>
  <si>
    <t>Matthew Dunn</t>
  </si>
  <si>
    <t>aberdeenemployment@gmail.com</t>
  </si>
  <si>
    <t>+15617384903</t>
  </si>
  <si>
    <t>Worker may be required to perform any of the following duties: monitor activities at golf course, tennis complex, aquatic complex and spa and fitness facility; may provide administrative assistance to membership, including checking membership cards, confirming reservations, arranging merchandise and providing facility info; perform minor cleaning of golf carts by removing debris from golf carts and wiping down golf clubs. Transport members' golf equipment to and from the clubhouse facilities. Job Classification: 39-3091.00 - Amusement and Recreation Attendants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Pass pre-employment police clearance; Able to communicate in English; post-employment drug testing. Employer requires pre-employment police clearance and post-employment drug testing to be carried out equally between the U.S. workers and the H-2B workers. *CONTINUATION TO SECTION F.A.5 OF ETA 9142 ABOVE: 40 HOURS A WEEK WILL CONSIST OF 8 HOUR SHIFTS THAT CAN VARY AS NEEDED OVER 7 DAYS A WEEK. SHIFT MAY VARY FROM 6AM TO 11PM. Number of Hours Per Week: 40 Work Schedule (Start/End time): 9:00 A.M. - 6:00 P.M.</t>
  </si>
  <si>
    <t>H-400-26186-079107</t>
  </si>
  <si>
    <t>Take beverage order; prepares mixed drinks and serves the same; cleans bar area; may be required to take food orders and make knowledgeable recommendations regarding wines and other products; requisition and display liquor and supplies; must keep bar area clean and work under strictly enforced state code. Job Classification: 35-3011.00 - Bartenders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Pass pre-employment police clearance; Able to communicate in English; post-employment drug testing. Employer requires pre-employment police clearance and post-employment drug testing to be carried out equally between the U.S. workers and the H-2B workers. *CONTINUATION TO SECTION F.A.5 OF ETA 9142 ABOVE: 40 HOURS A WEEK WILL CONSIST OF 8 HOUR SHIFTS THAT CAN VARY AS NEEDED OVER 7 DAYS A WEEK. SHIFT MAY VARY FROM 6AM TO 11PM. Number of Hours Per Week: 40 Work Schedule (Start/End time): 9:00 A.M. - 6:00 P.M.</t>
  </si>
  <si>
    <t>H-400-26186-079101</t>
  </si>
  <si>
    <t>Prepares, seasons and cooks soups, meats, vegetables, fruits, desserts and other miscellaneous foods for consumption; Observe recipe guidelines and other sanitation procedures. Job Classification: 35-2014.00 - Cooks, Restaurant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Pass pre-employment police clearance; post-employment drug testing. Employer requires pre-employment police clearance and post-employment drug testing to be carried out equally between the U.S. workers and the H-2B workers. *CONTINUATION TO SECTION F.A.5 OF ETA 9142 ABOVE: 40 HOURS A WEEK WILL CONSIST OF 8 HOUR SHIFTS THAT CAN VARY AS NEEDED OVER 7 DAYS A WEEK. SHIFT MAY VARY FROM 6AM TO 11PM. Number of Hours Per Week: 40 Work Schedule (Start/End time): 9:00 A.M. - 6:00 P.M.</t>
  </si>
  <si>
    <t>H-400-26186-079102</t>
  </si>
  <si>
    <t>Assist servers by bringing beverages to the table, replenishing drinks, clearing spent flatware/china; cleaning server areas and equipment; stock all wares and equipment needed for service. Job Classification: 35-9011.00 - Dining Room and Cafeteria Attendants and Bartender Helpers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Pass pre-employment police clearance; Able to communicate in English; post-employment drug testing. Employer requires pre-employment police clearance and post-employment drug testing to be carried out equally between the U.S. workers and the H-2B workers. *CONTINUATION TO SECTION F.A.5 OF ETA 9142 ABOVE: 40 HOURS A WEEK WILL CONSIST OF 8 HOUR SHIFTS THAT CAN VARY AS NEEDED OVER 7 DAYS A WEEK. SHIFT MAY VARY FROM 6AM TO 11PM. Number of Hours Per Week: 40 Work Schedule (Start/End time): 9:00 A.M. - 6:00 P.M.</t>
  </si>
  <si>
    <t>H-400-26186-079104</t>
  </si>
  <si>
    <t>Greets, escorts and provides menus to customers; assists with misc. cleaning/polishing etc. as necessary including performing minor cleaning in the dining area/restaurants and wiping down menus. Job Classification: 35-9031.00 - Hosts and Hostesses, Restaurant, Lounge, and Coffee Shop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Pass pre-employment police clearance; Able to communicate in English; post-employment drug testing. Employer requires pre-employment police clearance and post-employment drug testing to be carried out equally between the U.S. workers and the H-2B workers. *CONTINUATION TO SECTION F.A.5 OF ETA 9142 ABOVE: 40 HOURS A WEEK WILL CONSIST OF 8 HOUR SHIFTS THAT CAN VARY AS NEEDED OVER 7 DAYS A WEEK. SHIFT MAY VARY FROM 6AM TO 11PM. Number of Hours Per Week: 40 Work Schedule (Start/End time): 9:00 A.M. - 6:00 P.M.</t>
  </si>
  <si>
    <t>H-400-26186-079072</t>
  </si>
  <si>
    <t>Abigail Frederic</t>
  </si>
  <si>
    <t>abifrederic710@gmail.com</t>
  </si>
  <si>
    <t>+16302348137</t>
  </si>
  <si>
    <t>***RFI response*** All tasks are performed in the recipient’s home as routine, non-clinical personal-care assistance under a care plan established and supervised by the recipient’s licensed health care professionals (such as the recipient’s physician and/or registered nurse). The aide does not diagnose, prescribe, or independently design therapy or treatment; the aide assists with and reinforces activities according to the methods and instructions prescribed by those professionals, and reports the recipient’s responses and any change in condition back to them. The cognitive-skill and language tasks are supportive daily-living activities, not skilled therapy. While assisting with ordinary routines (meals, dressing, grooming, and recreation), the aide encourages and reinforces communication and basic engagement by: talking with the recipient and prompting verbal responses; naming and repeating words for common objects, people, and activities; using simple gestures and basic signs to help the recipient understand and express needs (for example, signs for “eat,” “drink,” “more,” or “help”); and using picture cards, photographs, and picture books so the recipient can point to or identify items, people, and activities. The aide repeats these same prompts consistently throughout the day so the recipient can practice expressing wants and needs during normal routines. Techniques, technologies, and equipment used are limited to ordinary, non-medical items: picture and communication cards or boards, flashcards, photographs, picture books, common household objects, and the aide’s own verbal prompting and basic gestures or signing. The aide uses no specialized medical, diagnostic, or therapeutic equipment and provides no skilled therapy. The aide performs all of the above based on prescribed methods, by following the recipient’s individualized care plan and the directions of the supervising health care professionals. ***Original*** The primary duty is to maintain a high level of wellbeing and safety at all times for the recipient. This includes: Personal care in all daily living activities such as feeding and hydration, proper hygiene, grooming and socialization using proper manners. Also developing cognitive skills through goals interventions such as language and communication by verbalization, sign language, gestures and pictures; and mobilization through recreational activities with fine and gross motor skills. Job Classification: 31-1121.00 - Home Health Aides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First Aid and CPR Number of Hours Per Week: 44 Work Schedule (Start/End time): 8:00 A.M. - 5:00 P.M.</t>
  </si>
  <si>
    <t>H-400-26186-079052</t>
  </si>
  <si>
    <t>BRIAN PAUL BROOKS</t>
  </si>
  <si>
    <t>janetwolpert@hotmail.com</t>
  </si>
  <si>
    <t>+14157705998</t>
  </si>
  <si>
    <t>***RFI response*** Meals: The Nanny does not cook the three daily meals. The meals are prepared in advance by a cook, by the Parents, or otherwise by a third party. The Nanny arranges for the pre-prepared meals to be served to the child in her care: she places the food in front of the child and warms it as needed using the microwave available in the home. The food is eaten by the one child for whom the Nanny provides care. Other Domestic Duties: These duties consist of packing the Child for trips, organizing the Child's bedroom when it becomes messy in the course of the Nanny's duties, and assisting with potty training as necessary when the Parents are not home. No special tools, equipment, or materials are required to perform these tasks. ***Original*** Childcare &amp; Development Gentle Guidance: In no event will the child be allowed to engage in any activity that is deemed dangerous by the parents or the nanny. The children are not to be spanked, hit, or touched with force for transgressions. Follow Nap Schedule: The nanny will ensure that children follow the nap schedule and routine provided by the parents. Arrange Healthy Meals/Snacks: The nanny will arrange for full meals three times per day, healthy snacks twice per day, and bottles as needed. Daily Outdoor Time: The nanny will spend at least 90 minutes each day outside with the child, weather permitting, in the backyard of parent homes or parent-approved parks. Daily Updates to Parents: The nanny will provide the parents with a daily update via text, photo, or video. Transportation Prior Parental Consent: The children will not be transported without the parents’ prior consent and instruction, and no person has permission to transport the children without this consent. The children will not be transported to someone else’s home without prior consent of the parents. Family Vehicle &amp; Car Seat: All transportation will be with the parent's vehicle and with a proper car seat provided and approved by parents. Insurance Costs: The parents will cover associated insurance costs. Domestic Duties Clean Bottles/Dishes Used by Child: The nanny is responsible for the daily cleaning of all bottles, cups, dishes, etc., that are used by the child and the nanny, including putting dirty dishes in the dishwasher and running the appropriate cycle. Sweep/Vacuum and Wipe Counters: The nanny will vacuum and/or sweep under the kitchen tables and wipe down tables and countertops after eating, as needed. Pick Up Toys/Clothes in Play Areas: The nanny will pick up toys and clothes daily in the child’s play areas (including the child’s rooms, playroom, living room, and outside) and rotate toys periodically. Other Domestic Duties: The nanny will be responsible for certain other domestic duties as reasonably requested by the parents, including packing the child for trips and organizing the child’s bedroom. Other Responsibilities &amp; Additional Skills Follow Rules for Releasing Child: The nanny will not release children to any relative, neighbor, family friend, or friend’s parent without the parents’ direct authorization to do so. Provide Supplies &amp; Equipment: The parents will provide adequate sun or rain/snow protection for the child (e.g., sunscreen, jackets). Emergency Protocol: In the event of an emergency, the nanny must immediately call 911 and then notify the parents. Specialized Skills and Training: The nanny must possess strong verbal skills, as well as Scottish/British cultural skills and training to prepare the child for eventual admission to the Scottish private school system. Job Classification: 39-9011.01 - Nannies The job/industry classification and description includes general information on the position from ONET/OES and the North American Industry Classification System. Please review Job Duties and Job Order for more information. Job Requirements Experience Required: No Number of Hours Per Week: 50 Work Schedule (Start/End time): 8:00 A.M. - 5:00 P.M.</t>
  </si>
  <si>
    <t>H-400-26186-079036</t>
  </si>
  <si>
    <t>Taking and serving food and beverage orders; carrying out food and misc. setup and cleanup activities; may be required to perform duties in an outdoor environment and at banquet events; may be required to serve customers via golf cart; oversee serving staff during set up; train new servers on the floor; build/maintain rapport with the club members; required to set an exemplary example and to ensure the highest level of service is provided by the club's serving staff. *Continuation to Section F.a.5 below: 40 hours a week. Shifts will consist of 8 hour shifts that can vary as needed as advertised in State Workforce Agency job order, and in other H2B advertisement sources as per employers recruiting requirements for prospective workers under the H-2B program. Variable shifts over 7 days a week. Shifts may vary: 6am to 11pm. Job Classification: 35-1012.00 - First-Line Supervisors of Food Preparation and Serving Workers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6 Special Requirements: ABILITY TO COMMUNICATE IN ENGLISH. THE 6 MONTHS EXPERIENCE REQUIRED IN BOX F.A.9, CONTEMPLATES 6 MONTHS EXPERIENCE AS A SERVER OR SENIOR SERVER IN A HOSPITALITY SETTING Number of Hours Per Week: 40 Work Schedule (Start/End time): 6:00 A.M. - 11:00 P.M.</t>
  </si>
  <si>
    <t>H-400-26186-079094</t>
  </si>
  <si>
    <t>Casa Tequila LLC</t>
  </si>
  <si>
    <t>Natalie Pedroza</t>
  </si>
  <si>
    <t>tequilacasa@yahoo.com</t>
  </si>
  <si>
    <t>+19188956262</t>
  </si>
  <si>
    <t>Prepare, season, and cook dishes such as soups, meats, vegetables, or desserts in restaurants. May order supplies, keep records and accounts, price items on menu, or plan menu. Will assist and help out in other areas of the restaurant as needed. Job Classification: 35-2014.00 - Cooks, Restaurant The job/industry classification and description includes general information on the position from ONET/OES and the North American Industry Classification System. Please review Job Duties and Job Order for more information. Job Requirements Experience Required: No Number of Hours Per Week: 35 Work Schedule (Start/End time): 11:00 A.M. - 5:00 P.M.</t>
  </si>
  <si>
    <t>H-400-26186-079045</t>
  </si>
  <si>
    <t>Chavez Construction, Inc.</t>
  </si>
  <si>
    <t>carmen@chavezconstructioninc.com</t>
  </si>
  <si>
    <t>+13039793757</t>
  </si>
  <si>
    <t>Construction and Landscaping Laborer</t>
  </si>
  <si>
    <t>Perform general construction and landscaping labor including site preparation, material handling, and cleanup. Assist with loading and unloading materials, digging, trenching, and backfilling. Perform landscaping tasks such as planting, grading, and basic irrigation support. Operate hand tools and small equipment. Maintain job site safety and cleanliness. Follow supervisor instructions and assist skilled workers as needed. Work is performed outdoors in varying weather conditions. Job Classification: 47-2061.00 - Construction Laborers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None F.a.5 A-H. (continued): 8 hours per day. Monday - Friday 7:00am - 4:00pm. OT hours possible. Number of Hours Per Week: 40 Work Schedule (Start/End time): 7:00 A.M. - 4:00 P.M.</t>
  </si>
  <si>
    <t>H-400-26186-079070</t>
  </si>
  <si>
    <t>Don Tequila Madison LTD</t>
  </si>
  <si>
    <t>Soumya Konuri</t>
  </si>
  <si>
    <t>Barronoscar2019@gmail.com</t>
  </si>
  <si>
    <t>+14140655647</t>
  </si>
  <si>
    <t>Restaurant Cook / Prep Cook</t>
  </si>
  <si>
    <t>***RFI Response*** During periods of increased customer volume, the Restaurant Cook / Prep Cook performs the following functions in coordination with the kitchen team: • Expedites prepared dishes from cooking stations to the service area to maintain proper food temperature and service timing; • Restocks pre-prepared ingredients and supplies at active cooking stations to ensure uninterrupted food preparation; • Assists at various cooking stations (including grill, fryer, or sauté stations) when order volume exceeds the capacity of a single station; • Coordinates with dishwashing staff to maintain a continuous supply of clean cookware and utensils during active service periods; and • Communicates order timing and preparation status with other kitchen staff to ensure that all components of customer orders are completed and plated simultaneously. ***Original F.a.2*** Prepare, season, and cook menu items using grills, fryers, ovens, and stovetops in accordance with established recipes and restaurant specifications. Set up and stock workstations with required ingredients and equipment prior to each service period. Wash, peel, chop, slice, and portion ingredients as needed for daily food preparation. Monitor cooking temperatures and ensure food is prepared and plated to restaurant presentation standards. Maintain cleanliness and sanitation of cooking surfaces, utensils, equipment, and food preparation areas in compliance with applicable health and food safety regulations. Store and rotate food stock according to food safety standards to minimize waste and ensure freshness. Assist with inventory counts and communicate supply shortages to kitchen management. Support kitchen team operations during periods of peak customer volume to ensure timely and consistent food service. Job Classification: 35-2014.00 - Cooks, Restaurant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Must be able to stand for extended periods and lift and carry up to 40 pounds. Must be able to work evenings, weekends, and holidays as scheduled. Number of Hours Per Week: 40 Work Schedule (Start/End time): 4:00 P.M. - 10:00 P.M.</t>
  </si>
  <si>
    <t>H-400-26186-079060</t>
  </si>
  <si>
    <t>Emily Psimoulis</t>
  </si>
  <si>
    <t>11/08/2029</t>
  </si>
  <si>
    <t>epsimoulis@hotmail.com</t>
  </si>
  <si>
    <t>+12392125660</t>
  </si>
  <si>
    <t>***RFI response*** - Meals (Issue 1): The Nanny does not cook the three daily meals. The meals are prepared in advance by a cook, by the Parents, or otherwise by a third party. The Nanny arranges for the pre-prepared meals to be served to the child in her care: she places the food in front of the child and warms it as needed using the microwave available in the home. The food is eaten by the one child for whom the Nanny provides care. - Other Domestic Duties (Issue 2): These duties consist of packing the Child for trips, organizing the Child's bedroom when it becomes messy in the course of the Nanny's duties, and assisting with potty training as necessary when the Parents are not home. No special tools, equipment, or materials are required to perform these tasks. ***Original*** General duties: The Nanny is to provide responsible care for one child • Gentle Guidance: In no event will a Child be allowed to engage in any activity that is deemed dangerous by the Parents or the Nanny. The Child are not to be spanked, hit, or touched with force for transgressions. • Transportation: The Child will not be transported without the Parents’ prior consent and instruction. The Child will not be transported to someone else’s home without prior consent of the Parents. All transportation will be with the parent's vehicle and with proper car seat provided and approved by parents. No person has permission to transport the Child without the Parents’ prior consent. • Meals: The Nanny will arrange for full meals three times per day, healthy snacks twice per day, and bottles as needed. • Naps: Nanny will ensure that Child follow the nap schedule and routine provided by the Parents. • Guidelines for Releasing Child: The Nanny will not release Child to any relative, neighbor, family friend, or friend’s parent without the Parents’ direct authorization to do so. • Time Outside: The Nanny will spend at least thirty (30) minutes each day outside with the Child, weather permitting in the backyard of parent homes or parent-approved parks. The Nanny will ensure adequate sun or rain/snow protection for the Child (e.g., sunscreen, jackets, etc. to be provided by the Parents). • Regular Updates to Parents: The Nanny will provide the Parents with a daily update via text message or email. Domestic Duties: The Nanny will be responsible for the following domestic duties as part of her job: i. Baby dishes/bottles: Daily cleaning of all bottles, cups, dishes, etc. that are used by the Child and the Nanny (e.g., the Nanny will put dirty dishes in the dishwasher, run the appropriate dishwasher). The Nanny will also vacuum and/or sweep under the kitchen tables and wipe down tables and countertops after eating, as needed. ii. Play Area: Pick up toys and clothes daily in the Child’s play areas (including Child’s rooms, play room, living room, and outside) and rotate toys periodically. iii. Child’s Laundry: Weekly, or upon request, cleaning of baby’s laundry to include clothing, bedsheets, bibs, high chair cover, changing pad, etc. iv. Other Domestic Duties: The Nanny will be responsible for certain other domestic duties as reasonably requested by the Parents (e.g., packing the Child for trips, organizing the Child’s bedroom, assisting with potty training, etc.). Job Classification: 39-9011.01 - Nannies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NONE. Number of Hours Per Week: 48 Work Schedule (Start/End time): 8:00 A.M. - 8:00 P.M.</t>
  </si>
  <si>
    <t>H-400-26186-079085</t>
  </si>
  <si>
    <t>Genoa Jewelers Stt Ltd</t>
  </si>
  <si>
    <t>Michael Schewe</t>
  </si>
  <si>
    <t>VIRGIN ISLANDS</t>
  </si>
  <si>
    <t>rahul@milanodg.com</t>
  </si>
  <si>
    <t>+16467905689</t>
  </si>
  <si>
    <t>Sales Associate</t>
  </si>
  <si>
    <t>Prepare store, inventory, and equipment for work day. Open and close the store. Assist customers with sales inquiries. Utilize product knowledge and sales methods to successfully close deals. Maintain inventory by ensuring that all inventory quantity matches store records, that inventory is stored in a proper manner to avoid damage, and that inventory is cleaned on a frequent basis. Job Classification: 41-2031.00 - Retail Salespersons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6 Special Requirements: Six months of experience as a sales associate, salesperson or a similar occupation at a store catering to cruise ship passengers and/or tourists. MUST HAVE UNDERSTANDING OF JEWELRY AND KNOWLEDGE OF CRUISE SHIP MARKETING. Number of Hours Per Week: 40 Work Schedule (Start/End time): 6:00 A.M. - 2:00 P.M.</t>
  </si>
  <si>
    <t>H-400-26186-079076</t>
  </si>
  <si>
    <t>High Ridge Country Club, Inc.</t>
  </si>
  <si>
    <t>Augusta@highridgecc.com</t>
  </si>
  <si>
    <t>+15615863333</t>
  </si>
  <si>
    <t>Prepares, seasons and cooks soups, meats, vegetables, fruits, desserts and other miscellaneous foods for consumption; observe recipe guidelines and sanitation procedures. Job Classification: 35-2014.00 - Cooks, Restaurant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Pass pre-employment police clearance; post-employment drug testing. Employer requires pre-employment police clearance and post-employment drug testing to be carried out equally between the U.S. workers and the H-2B workers. *CONTINUATION TO SECTION F.A.5 OF ETA 9142 ABOVE: 40 HOURS A WEEK WILL CONSIST OF 8 HOUR SHIFTS THAT CAN VARY AS NEEDED OVER 7 DAYS A WEEK. SHIFT MAY VARY FROM 6AM TO 11PM. Number of Hours Per Week: 40 Work Schedule (Start/End time): 9:00 A.M. - 6:00 P.M.</t>
  </si>
  <si>
    <t>H-400-26186-079078</t>
  </si>
  <si>
    <t>Taking and serving food and beverage orders; carrying out food and miscellaneous setup and cleanup activities; may be required to perform duties in an outdoor environment and at banquet events; may be required to serve customers via golf cart. Job Classification: 35-3031.00 - Waiters and Waitresses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Pass pre-employment police clearance; Able to communicate in English; post-employment drug testing. Employer requires pre-employment police clearance and post-employment drug testing to be carried out equally between the U.S. workers and the H-2B workers. *CONTINUATION TO SECTION F.A.5 OF ETA 9142 ABOVE: 40 HOURS A WEEK WILL CONSIST OF 8 HOUR SHIFTS THAT CAN VARY AS NEEDED OVER 7 DAYS A WEEK. SHIFT MAY VARY FROM 6AM TO 11PM. Number of Hours Per Week: 40 Work Schedule (Start/End time): 9:00 A.M. - 6:00 P.M.</t>
  </si>
  <si>
    <t>H-400-26186-079079</t>
  </si>
  <si>
    <t>Jason@highridgecc.com</t>
  </si>
  <si>
    <t>Worker may be required to perform any of the following duties: monitor activities at golf course; may provide administrative assistance to membership, including checking membership cards, confirming reservations, arranging merchandise and providing facility info; performing minor cleaning of golf carts by removing debris from golf carts and wiping down golf clubs, and transport members' golf equipment/golf bags and members within our facility grounds to and from the clubhouse facilities via golf cart. Job Classification: 39-3091.00 - Amusement and Recreation Attendants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Pass pre-employment police clearance; Able to communicate in English; post-employment drug testing. Employer requires pre-employment police clearance and post-employment drug testing to be carried out equally between the U.S. workers and the H-2B workers. *CONTINUATION TO SECTION F.A.5 OF ETA 9142 ABOVE: 40 HOURS A WEEK WILL CONSIST OF 8 HOUR SHIFTS THAT CAN VARY AS NEEDED OVER 7 DAYS A WEEK. SHIFT MAY VARY FROM 6AM TO 11PM. Number of Hours Per Week: 40 Work Schedule (Start/End time): 9:00 A.M. - 6:00 P.M.</t>
  </si>
  <si>
    <t>H-400-26186-079082</t>
  </si>
  <si>
    <t>Oversee serving staff during set up, serving and clearing; train new servers on the floor; build/maintain rapport with the club members; assume server duties as required, particularly in the service of special guests of honor and VIPs; required to set an exemplary example and to ensure the highest level of service that is provided by the clubs serving staff. Supervise approximately 4-5 people. Job Classification: 35-1012.00 - First-Line Supervisors of Food Preparation and Serving Workers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6 Special Requirements: Pass pre-employment police clearance; Able to communicate in English; post-employment drug testing. Employer requires pre-employment police clearance and post-employment drug testing to be carried out equally between the U.S. workers and the H-2B workers. *CONTINUATION TO SECTION F.A.5 OF ETA 9142 ABOVE: 40 HOURS A WEEK WILL CONSIST OF 8 HOUR SHIFTS THAT CAN VARY AS NEEDED OVER 7 DAYS A WEEK. SHIFT MAY VARY FROM 6AM TO 11PM. Number of Hours Per Week: 40 Work Schedule (Start/End time): 9:00 A.M. - 6:00 P.M.</t>
  </si>
  <si>
    <t>H-400-26186-079059</t>
  </si>
  <si>
    <t>Hoffman Old Collier Golf Club, LLC</t>
  </si>
  <si>
    <t>amattozzi@theoldcolliergc.com</t>
  </si>
  <si>
    <t>+12392547251</t>
  </si>
  <si>
    <t>Golf Caddie</t>
  </si>
  <si>
    <t>Duties: Provide traditional caddy services including carrying bags, advising players on selection of proper club for play, reading the greens and raking the bunkers. Requirements: Minimum 3 months of traditional caddie experience within the prior 5 years. Background checks &amp; post-offer pre-employment drug screenings conducted equally between the US and the H2B workers. Must be available to work a minimum of 6 days of the week, depending on schedule. Rate of Pay: $95.00 per 18 hole walking loop; $47.50 per 9 hole walking loop; $47.50 per 18 hole forecaddy loop; and $23.75 per 9 hole forecaddy loop. However, wage rate will in no case be less than the prevailing wage, $15.60/hour. Overtime possible based on company need paid at $23.40/hr. Tips paid by/at Club Member discretion. Shifts: During this period Club operates 7 days a week from 7:00am-6:30pm; Shifts will vary based on need with minimum 35 hours work per week. Job Classification: 39-3091.00 - Amusement and Recreation Attendants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Minimum 3 months of traditional caddy exp within the prior 5 years. Background checks &amp; post-offer pre-employment drug screenings conducted equally between the US and the H2B workers. Must be available to work a minimum of 6 days of the week, depending on schedule. Number of Hours Per Week: 35 Work Schedule (Start/End time): 7:00 A.M. - 6:30 P.M.</t>
  </si>
  <si>
    <t>H-400-26186-079087</t>
  </si>
  <si>
    <t>Integrity Golf, Inc.</t>
  </si>
  <si>
    <t>visas@integritygolf.us</t>
  </si>
  <si>
    <t>+17604513400</t>
  </si>
  <si>
    <t>***RFI response*** The workers will operate mechanized landscaping and irrigation equipment to transport, distribute, and install materials used in golf course renovation, landscaping, and maintenance projects. Specific tasks for which the equipment will be used include moving and placing sod, sand gravel, greens mix, irrigation materials, sprinklers components, and other landscaping supplies; preparing landscaped areas for irrigation installation; assisting with irrigation system installation; and maintaining golf course grounds and playing surfaces. The workers will use hand tools and power tools commonly utilized in landscaping and groundskeeping activities, including shovels, rakes, wheelbarrows, tampers, sod knives, string trimmers, and irrigation installation tools. The workers may also operate the following equipment for the purpose of removing turf and preparing the ground for new sod installation and distributing landscaping materials throughout the property: Kubota RTV-X1140WL-A utility vehicle (25HP; operating weight 2,380-2,390 lbs.; payload capacity 1,600 lbs.) used to transport landscaping materials, irrigation supplies, tools, and equipment throughout the golf course; Kubota MX5200 tractor with Gearmore trailer (55 HP; operating weight 6,800 lbs.) used to transport and distribute sand, greens mix, gravel, sod, and other landscaping materials; Billy Goat SC182HCA sod cutter (5.5 HP; operating weight 395 lbs.) used to remove existing turf in preparation for sod installation and landscape improvements; and Multiquip MTX60HD Mikasa Rammer with Honda GX100 engine (2.8 HP; operating weight 141 lbs.) used to compact soil and backfill around irrigation installations and landscaped areas. ***Original*** Performs various golf course renovation and landscaping tasks, including preparing landscaped and playing surface areas; prepares irrigation system components, glues/fuses connections and tie-ins; installs irrigation lines, wire, and sprinkler heads; utilizes hand tools to install drainage and irrigation tie-ins; spreads and lays materials such as grass seed, sod, greens mix, gravel, and sand; operates mechanized equipment to move and install materials. Laborers assist with the installation of golf course irrigation components. Workers will use landscaping and irrigation equipment, along with hand shovels and other hand tools, to level ground surfaces and prepare areas for irrigation, as needed. WORK IS GENERALLY PERFORMED MON - FRI 7:00 AM - 5:00 PM, BUT WEEKENDS AND OT MAY BE NECESSARY DEPENDING ON THE WEATHER. ***IF NEEDED, EMPLOYER INTENDS TO ASSIST FOREIGN AND NON-LOCAL U.S. WORKERS HIRED PURSUANT TO THIS JOB ORDER TO SECURE WORKER-PAID LODGING NOT TO EXCEED REASONABLE FAIR MARKET VALUE COST Job Classification: 47-2073.00 - Operating Engineers and Other Construction Equipment Operators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3 months experience utilizing basic knowledge of golf course layout; understanding of golf course irrigation systems including ability to install/repair key components; knowledge of golf course landscaping tasks including building/repair of greens, tees, and bunkers. 3 months experience operating any one of the following: tractor, skid loader, plows/trencher. Willingness to perform OT, as needed. Number of Hours Per Week: 45 Work Schedule (Start/End time): 7:00 A.M. - 5:00 P.M.</t>
  </si>
  <si>
    <t>H-400-26186-079093</t>
  </si>
  <si>
    <t>H-400-26186-079081</t>
  </si>
  <si>
    <t>H-400-26186-079083</t>
  </si>
  <si>
    <t xml:space="preserve">Integrity Golf, Inc.  </t>
  </si>
  <si>
    <t>***RFI response*** The workers will operate mechanized landscaping and irrigation equipment to transport, distribute, and install materials used in golf course renovation, landscaping, and maintenance projects. Specific tasks for which the equipment will be used include moving and placing sod, sand gravel, greens mix, irrigation materials, sprinklers components, and other landscaping supplies; preparing landscaped areas for irrigation installation; assisting with irrigation system installation; and maintaining golf course grounds and playing surfaces. The workers will use hand tools and power tools commonly utilized in landscaping and groundskeeping activities, including shovels, rakes, wheelbarrows, tampers, sod knives, string trimmers, and irrigation installation tools. The workers may also operate the following equipment for the purpose of removing turf and preparing the ground for new sod installation and distributing landscaping materials throughout the property: Kubota RTV-X1140WL-A utility vehicle (25HP; operating weight 2,380-2,390 lbs.; payload capacity 1,600 lbs.) used to transport landscaping materials, irrigation supplies, tools, and equipment throughout the golf course; Kubota MX5200 tractor with Gearmore trailer (55 HP; operating weight 6,800 lbs.) used to transport and distribute sand, greens mix, gravel, sod, and other landscaping materials; Billy Goat SC182HCA sod cutter (5.5 HP; operating weight 395 lbs.) used to remove existing turf in preparation for sod installation and landscape improvements; and Multiquip MTX60HD Mikasa Rammer with Honda GX100 engine (2.8 HP; operating weight 141 lbs.) used to compact soil and backfill around irrigation installations and landscaped areas. ***Original*** Hands on manual labor at golf course construction sites, working on staking/layout, drainage, bunkers, finishing, greens and tees, operating equipment, etc.; informs crews of the day's planned activities and equips crews with necessary tools and materials; instructs, supervises, and trains crews in assigned tasks, such as irrigation installation, tee and bunker creation, sodding, seeding, staking/flagging, operating and maintaining equipment; manages inventory of equipment, supplies and materials, and fuel; identifies and eliminates potential waste that may occur during performance of assigned tasks, including material waste such as irrigation heads, irrigation pipe and wire, gravel and greens mix; ensures assigned equipment and tools are properly maintained through performance of routine preventative maintenance; assists in maintaining project records such as delivery tickets, purchase orders, safety meeting rosters; assists in creating as-built drawings; and reports potential problems to the Project Superintendent. WORK IS GENERALLY PERFORMED MON - FRI 7:00 AM - 5:00 PM, BUT WEEKENDS AND OT MAY BE NECESSARY DEPENDING ON THE WEATHER. ***IF NEEDED, EMPLOYER INTENDS TO ASSIST FOREIGN AND NON-LOCAL U.S. WORKERS HIRED PURSUANT TO THIS JOB ORDER TO SECURE WORKER-PAID LODGING NOT TO EXCEED REASONABLE FAIR MARKET VALUE COST. Job Classification: 47-2073.00 - Operating Engineers and Other Construction Equipment Operators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12 Special Requirements: Certification as a Certified Pipe Fuser by a recognized vendor, such as CMF Global, ISCO, Ewing Irrigation or ADS. 12 months of experience in golf course construction and renovation. Willingness to perform OT, as necessary. Number of Hours Per Week: 45 Work Schedule (Start/End time): 7:00 A.M. - 5:00 P.M.</t>
  </si>
  <si>
    <t>H-400-26186-079098</t>
  </si>
  <si>
    <t>***RFI response*** The workers will operate mechanized landscaping and irrigation equipment to transport, distribute, and install materials used in golf course renovation, landscaping, and maintenance projects. Specific tasks for which the equipment will be used include moving and placing sod, sand gravel, greens mix, irrigation materials, sprinklers components, and other landscaping supplies; preparing landscaped areas for irrigation installation; assisting with irrigation system installation; and maintaining golf course grounds and playing surfaces. The workers will use hand tools and power tools commonly utilized in landscaping and groundskeeping activities, including shovels, rakes, wheelbarrows, tampers, sod knives, string trimmers, and irrigation installation tools. The workers may also operate the following equipment for the purpose of removing turf and preparing the ground for new sod installation and distributing landscaping materials throughout the property: Kubota RTV-X1140WL-A utility vehicle (25HP; operating weight 2,380-2,390 lbs.; payload capacity 1,600 lbs.) used to transport landscaping materials, irrigation supplies, tools, and equipment throughout the golf course; Kubota MX5200 tractor with Gearmore trailer (55 HP; operating weight 6,800 lbs.) used to transport and distribute sand, greens mix, gravel, sod, and other landscaping materials; Billy Goat SC182HCA sod cutter (5.5 HP; operating weight 395 lbs.) used to remove existing turf in preparation for sod installation and landscape improvements; and Multiquip MTX60HD Mikasa Rammer with Honda GX100 engine (2.8 HP; operating weight 141 lbs.) used to compact soil and backfill around irrigation installations and landscaped areas. ***Original*** Hands on manual labor at golf course construction sites, working on staking/layout, drainage, bunkers, finishing, greens and tees, operating equipment, etc.; informs crews of the day's planned activities and equips crews with necessary tools and materials; instructs, supervises, and trains crews in assigned tasks, such as irrigation installation, tee and bunker creation, sodding, seeding, staking/flagging, operating and maintaining equipment; manages inventory of equipment, supplies and materials, and fuel; identifies and eliminates potential waste that may occur during performance of assigned tasks, including material waste such as irrigation heads, irrigation pipe and wire, gravel and greens mix; ensures assigned equipment and tools are properly maintained through performance of routine preventative maintenance; assists in maintaining project records such as delivery tickets, purchase orders, safety meeting rosters; assists in creating as-built drawings; and reports potential problems to the Project Superintendent. WORK IS GENERALLY PERFORMED MON - FRI 7:00 AM - 5:00 PM, BUT WEEKENDS AND OT MAY BE NECESSARY DEPENDING ON THE WEATHER. ***IF NEEDED, EMPLOYER INTENDS TO ASSIST FOREIGN AND NON-LOCAL U.S. WORKERS HIRED PURSUANT TO THIS JOB ORDER TO SECURE WORKER-PAID LODGING NOT TO EXCEED REASONABLE FAIR MARKET VALUE COST Job Classification: 47-2073.00 - Operating Engineers and Other Construction Equipment Operators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12 Special Requirements: Certification as a Certified Pipe Fuser by a recognized vendor, such as CMF Global, ISCO, Ewing Irrigation or ADS. 12 months of experience in golf course construction and renovation. Willingness to perform OT, as necessary. Number of Hours Per Week: 45 Work Schedule (Start/End time): 7:00 A.M. - 5:00 P.M.</t>
  </si>
  <si>
    <t>H-400-26186-079051</t>
  </si>
  <si>
    <t>JO's Haircare Dominican Salon LLC</t>
  </si>
  <si>
    <t>derickadams8@gmail.com</t>
  </si>
  <si>
    <t>+13203173892</t>
  </si>
  <si>
    <t>Salon Assistant</t>
  </si>
  <si>
    <t>Assisting the hairstylist by washing the client's hair, detangling the hair if necessary, and putting the hair in sections. The following tools, materials, and equipment may be used to perform these duties: comb and/or brush, shampoo, condition, hair dryer, and steamers. These duties prepare the client for the stylist so that the stylist can start the process of styling the client's hair in order to change or maintain the client's image. Maintaining the cleanliness and professional appearance of the salon, including sweeping hair from floors, cleaning workstations, sanitizing tools and equipment, organizing supplies, and keeping service areas neat and presentable for clients and staff. Job Classification: 39-5093.00 - Shampooers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None F.a.5 A-H. (continued): 35 hours per week. 7-hour workday. Tue-Sat. 8am-4pm. OT hours required. Number of Hours Per Week: 35 Work Schedule (Start/End time): 8:00 A.M. - 4:00 P.M.</t>
  </si>
  <si>
    <t>H-400-26186-079050</t>
  </si>
  <si>
    <t>Josephine Chow</t>
  </si>
  <si>
    <t>josey@shopback.com</t>
  </si>
  <si>
    <t>1512979098</t>
  </si>
  <si>
    <t>General duties: The Nanny is to provide responsible care for the Children and assistance to the household. This includes, but is not limited to, the following: • Gentle Guidance: In no event will a Child be allowed to engage in any activity that is deemed dangerous by the Parents or the Nanny. The Children are not to be spanked, hit, or touched with force for transgressions. • Transportation: The Children will not be transported without the Parents’ prior consent and instruction. The Children will not be transported to someone else’s home without prior consent of the Parents. All transportation will be with the parent's vehicle and with proper car seat provided and approved by parents. No person, other than parent-approved child care providers or babysitters, has permission to transport the Children without the Parents’ prior consent. The Parents will cover all reasonable associated fees, including the Nanny’s car insurance and fuel (the Nanny will be reimbursed for fuel costs associated with transporting the Children, not for personal trips). • Meals: The Nanny will arrange for full meals three times per day, healthy snacks and bottles of milk. • Naps: Nanny will ensure that Children follow the nap schedule and routine provided by the Parents. • Guidelines for Releasing Children: The Nanny will not release Children to any relative, neighbor, family friend, or friend’s parent without the Parents’ direct authorization to do so. • Time Outside: The Nanny will spend at least sixty (60) minutes each day outside with the Child, weather permitting in the backyard of parent homes or parent-approved parks. The Nanny will ensure adequate sun or rain/snow protection for the Child (e.g., sunscreen, jackets, etc. to be provided by the Parents). • Regular Updates to Parents: The Nanny will provide the Parents with a daily update via text message or email. Domestic Duties: The Nanny will be responsible for the following domestic duties as part of her job: i. Baby dishes/bottles: Daily cleaning of all bottles, cups, dishes, etc. that are used by the Child and the Nanny (e.g., the Nanny will put dirty dishes in the dishwasher, run the appropriate dishwasher). The Nanny will also vacuum and/or sweep under the kitchen tables and wipe down tables and countertops after eating, as needed. ii. Play Area: Pick up toys and clothes daily in the Child’s play areas (including Child’s rooms, play room, living room, and outside) and rotate toys periodically. iii. Laundry: weekly cleaning and ironing of the Children's clothes and bedding. iv. Cooking: Weekly meal planning and pre-cooking meals for the Children, to be stored in the freezer. The meals to be prepared for the Children are to be agreed upon with the Parents prior to being made. v. Activities: Organizing, scheduling, and attending appropriate classes, play dates, and activities, to be agreed with the Parents. Job Classification: 39-9011.01 - Nannies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The Nanny agrees that she will obtain Cardiopulmonary Resuscitation (CPR) Certification training for infants before or after arriving to the worksite. The Employer will compensate the nanny for the costs of any such certification. Nanny will have to undertake driving lessons in the US, if they do not have a driver's license, or have a foreign driver's license. Number of Hours Per Week: 50 Work Schedule (Start/End time): 8:00 A.M. - 6:00 P.M.</t>
  </si>
  <si>
    <t>H-400-26186-079040</t>
  </si>
  <si>
    <t>Kupfer Engineering and Manufacturing LLC</t>
  </si>
  <si>
    <t>dparedes@kupfersolutions.com</t>
  </si>
  <si>
    <t>+14805494987</t>
  </si>
  <si>
    <t>Structural Steel Fabricator/fitter</t>
  </si>
  <si>
    <t>Fabricate, fit, assemble, and weld structural steel and mechanical components for industrial and mining-related projects, including chutes, platforms, stairs, supports, and other heavy steel structures. Read and interpret fabrication drawings, blueprints, welding symbols, and project specifications. Perform layout, material preparation, fit-up, cutting, grinding, drilling, welding, surface preparation, and finishing of steel components. Operate fabrication equipment and hand tools, including welding machines, grinders, CNC cutting equipment, measuring instruments, material handling equipment, and other industrial fabrication tools. Perform SMAW, FCAW, and TIG welding as needed to complete structural steel fabrication and assembly work. Follow company procedures, project specifications, quality standards, and applicable workplace safety requirements. Job Classification: 51-2041.00 - Structural Metal Fabricators and Fitters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24 Special Requirements: Anticipated workday schedule: Monday through Friday; Shifts available from 6:00am to 6:00pm; guaranteed 40 hours a week. Overtime: Overtime is available/anticipated and will be paid as required by applicable federal and state law. Offered wage: $21.79 to $30.00, depending on experience and qualifications, and at least the highest applicable required wage. Overtime wage: $32.69 to $45 per hour for overtime hours, as required by applicable law. Employer may pay higher overtime rates depending on regular rate and actual wage offered. Number of Hours Per Week: 40 Work Schedule (Start/End time): 6:00 A.M. - 6:00 P.M.</t>
  </si>
  <si>
    <t>H-400-26186-079048</t>
  </si>
  <si>
    <t>Lugo Contracting, LLC</t>
  </si>
  <si>
    <t>lugocontracting@yahoo.com</t>
  </si>
  <si>
    <t>+18595521718</t>
  </si>
  <si>
    <t>Cleaning the general work area, including sweeping; Picking up and loading materials from distribution centers, such as Home Depot. Employee will not be required to drive the vehicle. Assisting with assembling scaffolding. Moving and holding tools for other workers such as generators, air compressors, electrical tools, table saws, and electrical drills. Job Classification: 47-2061.00 - Construction Laborers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None F.a.5 A-H. (continued): 8-hour workday. Mon-Fri 8am-4pm. 5-10 hours OT available Number of Hours Per Week: 40 Work Schedule (Start/End time): 8:00 A.M. - 4:00 P.M.</t>
  </si>
  <si>
    <t>H-400-26186-079099</t>
  </si>
  <si>
    <t>M&amp;L Cleaning Services II, LLC</t>
  </si>
  <si>
    <t>mlcleaning4@gmail.com</t>
  </si>
  <si>
    <t>+15612866933</t>
  </si>
  <si>
    <t>Duties: Workers will be responsible for ensuring high standards of cleanliness for assigned guest rooms, in an efficient manner. Duties include but are not limited to cleaning the guestroom and bathroom, making beds, changing linens and stocking towels, collecting and disposing trash, replenishing, toiletries, mopping, and dusting. Keep all equipment clean and interact with guests and hotel colleagues as needed. Must have the ability to lift, pull and push a moderate amount of weight. Must be able to stand, walk, bend, and/or reach for the duration of the shift, including moving between floors and buildings with large carts and equipment. On-the-job training will not be provided. Requirements: 3 months housekeeping experience. Must be able to lift 20lbs, work standing up for extended periods of time, stoop to pick up items and clean, and rotate mattresses. Pre-employment Criminal Background Check and Pre-employment Drug Test is required and will be administered equally among US and H-2B workers. Pay Rate: Workers will be paid no less than $16.20/hour. Overtime will be available as needed at a rate of $24.30. Employer will make all deductions from the worker's paycheck as required by law. Workers will be paid weekly on Fridays via Direct Deposit. Workers are eligible for seasonal bonuses. Shifts: Minimum 35 hours per week. Sunday - Saturday, 7:00 a.m. to 4:00 p.m., with 1-2 days off per week. May be required to work weekends and overtime. Job Classification: 37-2012.00 - Maids and Housekeeping Cleaners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3 months housekeeping experience. Must be able to lift 20lbs, work standing up for extended periods of time, stoop to pick up items and clean, and rotate mattresses. Pre-employment Criminal Background Check and Pre-employment Drug Test is required and will be administered equally among U.S. and H-2B workers. Number of Hours Per Week: 35 Work Schedule (Start/End time): 7:00 A.M. - 4:00 P.M.</t>
  </si>
  <si>
    <t>H-400-26186-079039</t>
  </si>
  <si>
    <t>Landscape planting, Installation of sod, mulching, mowing, pruning and weeding. Lift up to 50lbs. Load and unload materials. Job Classification: 37-3011.00 - Landscaping and Groundskeeping Workers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None. Number of Hours Per Week: 40 Work Schedule (Start/End time): 7:00 A.M. - 5:00 P.M.</t>
  </si>
  <si>
    <t>H-400-26186-079084</t>
  </si>
  <si>
    <t>MORGAN STREET SEAFOOD</t>
  </si>
  <si>
    <t>morganstseafood@gmail.com</t>
  </si>
  <si>
    <t>+13618819288</t>
  </si>
  <si>
    <t>Processing of fish and shrimp to safe and consumer ready. Wash the seafood, sorting, descaling, gutting and deheading. Skinning, trimming, filleting and deboning fish. Grading and sorting shrimp by size and quality. Job Classification: 45-2041.00 - Graders and Sorters, Agricultural Products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1 hr unpaid lunch break. No exp, ed, or training required. Number of Hours Per Week: 35 Work Schedule (Start/End time): 6:00 A.M. - 2:00 P.M.</t>
  </si>
  <si>
    <t>H-400-26186-079097</t>
  </si>
  <si>
    <t>Mezger Enterprises, Ltd</t>
  </si>
  <si>
    <t>Danielle Anderson</t>
  </si>
  <si>
    <t>moldham@mezger.com</t>
  </si>
  <si>
    <t>+12545478207</t>
  </si>
  <si>
    <t>Material Mover</t>
  </si>
  <si>
    <t>**RFI** 1. Machinery Motorized roller conveyors and walk-behind powered lift truck. 2. Defective Products By hand (under 50 lbs), manual hand truck, or electric walk-behind powered lift truck. 3. Powered Lift Trucks Electric walk-behind pallet jacks and walkie stackers (Big Joe/Raymond models). 4. Painting • Tools: Wire brushes, sandpaper, and aerosol spray-paint cans. • Purpose: Cosmetic touch-ups to prevent exterior rust. 5. Maintenance • Tasks: Scraping dust, wiping down machines, and pressure washing. • Tools: Screwdrivers, wrenches, pliers, and a pressure washer. Parts/Gears: Replacing rubber dust seals or lightbulbs. Changing gears means sliding a plastic drop-in guide sprocket onto a conveyor roller by unbolting a guard with a hand wrench. It involves zero internal mechanical repair, zero timing adjustments, and no engine, transmission, electrical, or hydraulic work. **Original** Load and unload building stone items from machines and conveyors, operate machinery used to support the production process performed inside building at worksite, place building stone in equipment or on work surfaces for further processing, inspection or wrapping. Workers will hold and supply building stone materials and tools to support production workers. Transfer finished products, building stone, tools, or equipment between storage and work areas of plants and warehouses, by hand or using hand trucks or powered lift trucks. Workers will also sweep and collect trash and debris for disposal. Workers will perform rust removal, and paint equipment and machines such as excavators and skid loaders. Assist in end of season maintenance tasks such as performing minor repairs to machines (replacing damaged or worn parts), changing machine gears, and washing work areas, machines, and equipment. Workers will also identify defective building stone products and reallocate for disposal or reprocessing. Must be able to bend, stoop, be on feet for long periods, and work outside in hot/cold weather. Job Classification: 49-9043.00 - Maintenance Workers, Machinery The job/industry classification and description includes general information on the position from ONET/OES and the North American Industry Classification System. Please review Job Duties and Job Order for more information. Job Requirements Experience Required: No Number of Hours Per Week: 41 Work Schedule (Start/End time): 7:00 A.M. - 5:00 P.M.</t>
  </si>
  <si>
    <t>H-400-26186-079037</t>
  </si>
  <si>
    <t>Mirasol Club &amp; Association, Inc.</t>
  </si>
  <si>
    <t>shoyt@mirasolcc.com</t>
  </si>
  <si>
    <t>+15617764949</t>
  </si>
  <si>
    <t>Take beverage order. Prepare mixed drinks and serve the same. Cleans bar area. Maybe required to take food orders and make knowledgeable recommendations regarding wines and other products. Requisition and display liquor and supplies. Must keep bar area clean and work under strictly enforced state code. *Continuation to Section F.a.5 below: 40 hours a week. Shifts will consist of 8 hour shifts that can vary as needed as advertised in State Workforce Agency job order, and in other H2B advertisement sources as per employers recruiting requirements for prospective workers under the H-2B program. Variable shifts over 7 days a week. Shifts may vary: 6am to 11pm. Job Classification: 35-3011.00 - Bartenders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EMPLOYER REQUIRES PRE-EMPLOYMENT POLICE CLEARANCE AND POST-EMPLOYMENT DRUG TESTING TO BE CARRIED OUT EQUALLY BETWEEN THE U.S. WORKERS AND THE H-2B WORKERS. ABILITY TO COMMUNICATE IN ENGLISH. Number of Hours Per Week: 40 Work Schedule (Start/End time): 6:00 A.M. - 11:00 P.M.</t>
  </si>
  <si>
    <t>H-400-26186-079038</t>
  </si>
  <si>
    <t>H-400-26186-079086</t>
  </si>
  <si>
    <t>Northwood Hospitality, LLC</t>
  </si>
  <si>
    <t>iwantajob@cheeca.com</t>
  </si>
  <si>
    <t>+13055174450</t>
  </si>
  <si>
    <t>Bellman</t>
  </si>
  <si>
    <t>Duties: Responsible for welcoming guests, opening doors, keeping entry areas and courtyard clean, unloading, and transporting guests’ luggage by hand or baggage cart, valet service, responding to guest issues and acquainting guests with amenities. Valet service includes greet arriving guests. Open vehicle doors for guests and assist with entry and exit from vehicles. Issue valet tickets, recording vehicle information including license plate number, make/model, and time of arrival. Safely drive, park, and retrieve guest vehicles. Inspect vehicles for pre-existing damage upon arrival and report any issues per company protocol. Retrieve vehicles promptly upon guest request. Maintain the cleanliness and orderliness of the valet podium, parking areas, and entrance zone. Assist with unloading and loading of luggage. Transport luggage to rooms and storing luggage in the bell valet closet for later transport into the rooms. Requirements: One (1) year of Bell Person/Bellstand experience at a high-end hotel, resort, or private club required. On-the-job training is provided. Applicant must provide Pre-employment Criminal Background Check. Pay Rate: $15.22 per hour plus tips, paid bi-weekly. Overtime is available at $22.83 per hour. Employees may be eligible for additional compensation in the form of performance-based pay. Additional, optional benefits may be offered to worker, for worker's sole benefit, including but not limited to medical, dental and vision insurance, short-term disability, long-term disability, 401k, and life insurance. If voluntarily elected by worker, employee costs/contributions for benefits will be deducted from paycheck. Shifts: Work schedule can vary and can include evening, weekend, and holiday hours. Work may be performed on any day of the week from Monday through Sunday. Example shifts: 6:00am to 2:00pm, or 2:00pm to 10:00pm. Shift hours may vary. Job Classification: 39-6011.00 - Baggage Porters and Bellhops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12 Special Requirements: 1 year of Bell Person/Bellstand experience at a high-end hotel, resort, or private club required. On-the-job training is provided. Applicant must provide Pre-employment Criminal Background Check. Number of Hours Per Week: 35 Work Schedule (Start/End time): 6:00 A.M. - 2:00 P.M.</t>
  </si>
  <si>
    <t>H-400-26186-079089</t>
  </si>
  <si>
    <t>Duties: Responsible for cleaning and maintaining all rooms, suites, and indoor common areas at Cheeca Lodge &amp; Spa’s property, which includes vacuuming floors, dusting, disinfecting bathrooms, and washing windows. Requirements: Three (3) months of housekeeping experience required. High-end hotel, resort, or private club experience preferred. On-the-job training is provided. Applicant must provide Pre-employment Criminal Background Check and Pre-employment Drug Test is required. Pay Rate: $16.98 - $19.17 per hour, paid bi-weekly. Overtime is available at $25.47 - $28.76 per hour. Additional, optional benefits may be offered to worker, for worker’s sole benefit, including but not limited to medical, dental and vision insurance, short-term disability, long-term disability, 401k, and life insurance. If voluntarily elected by worker, employee costs/contributions for benefits will be deducted from paycheck. Shifts: Work schedule can vary and can include evening, weekend, and holiday hours. Work may be performed on any day of the week from Monday through Sunday. Example shifts: 8:30am to 4:30pm, or 7:00am to 3:00pm, 8:00am to 4:00 pm, or 3:00pm to 11:00pm. Shift hours may vary. Job Classification: 37-2012.00 - Maids and Housekeeping Cleaners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Requirements: 3 months of housekeeping experience required. High-end hotel, resort, or private club experience preferred. On-the-job training is provided. Applicant must provide Pre-employment Criminal Background Check and Pre-employment Drug Test is required. Number of Hours Per Week: 35 Work Schedule (Start/End time): 8:30 A.M. - 4:30 P.M.</t>
  </si>
  <si>
    <t>H-400-26186-079091</t>
  </si>
  <si>
    <t>Lead Cook</t>
  </si>
  <si>
    <t>Duties: Responsible for preparing, seasoning, and cooking soups, meats, vegetables, desserts, and other food items in a restaurant; general oversight and coordination (but not direct supervision or management) of up to 5 Line Cooks; consult with supervising staff to plan menus; assist Executive Chef in relaying instructions to the kitchen team when the Executive Chef is not in the kitchen. Requirements: Three (3) years of culinary experience in a fine-dining or high-volume environment required. High-end hotel, resort, or private club experienced preferred. On-the-job training is provided. Applicant must provide Pre-employment Criminal Background Check and Pre-employment Drug Test is required. Pay Rate: $19.40 - $21.00 per hour, paid bi-weekly. Overtime is available at $29.10 - $31.50 per hour. Additional, optional benefits may be offered to worker, for worker’s sole benefit, including but not limited to medical, dental and vision insurance, short-term disability, long-term disability, 401k, and life insurance. If voluntarily elected by worker, employee costs/contributions for benefits will be deducted from paycheck. Shifts: Work schedule can vary and can include evening, weekend, and holiday hours. Work may be performed on any day of the week from Monday through Sunday. Example shifts: 5:00am to 1:00pm, 9:00am to 5:00pm. Shift hours may vary. Job Classification: 35-2014.00 - Cooks, Restaurant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36 Special Requirements: Requirements: Three (3) years of culinary experience in a fine-dining or high-volume environment required. High-end hotel, resort, or private club experienced preferred. On-the-job training is provided. Applicant must provide Pre-employment Criminal Background Check and Pre-employment Drug Test is required. Number of Hours Per Week: 35 Work Schedule (Start/End time): 5:00 A.M. - 1:00 P.M.</t>
  </si>
  <si>
    <t>H-400-26186-079095</t>
  </si>
  <si>
    <t>Duties: Responsible for informing guests of available activities, assisting with activity equipment available such as bikes, golfing, kayaks, paddle boards, ensuring that entry areas to pools, beach, and pier are clean and free of debris, providing precise directions and offering suggestions to guests for both resort amenities and nearby destinations, and collecting any used towels on lounge chairs and return chairs to upright position. Requirements: Six (6) months of recreation activities service experience in a high-end hotel, resort, or private club required. On-the-job training is provided. Applicant must provide Pre-employment Criminal Background Check and Pre-employment Drug Test is required. Pay Rate: $16.07 - $18.00 per hour, paid bi-weekly. Overtime is available at $24.11 - $27.00 per hour. Additional, optional benefits may be offered to worker, for worker’s sole benefit, including but not limited to medical, dental and vision insurance, short-term disability, long-term disability, 401k, and life insurance. If voluntarily elected by worker, employee costs/contributions for benefits will be deducted from paycheck. Shifts: Work schedule can vary and can include evening, weekend, and holiday hours. Work may be performed on any day of the week from Monday through Sunday. Example shifts: 8:00am to 4:00pm, 11:00am to 7:00pm. Shift hours may vary. Job Classification: 39-3091.00 - Amusement and Recreation Attendants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6 Special Requirements: Requirements: Six (6) months of recreation activities service experience in a high-end hotel, resort, or private club required. On-the-job training is provided. Applicant must provide Pre-employment Criminal Background Check and Pre-employment Drug Test is required. Number of Hours Per Week: 35 Work Schedule (Start/End time): 7:00 A.M. - 3:00 P.M.</t>
  </si>
  <si>
    <t>H-400-26186-079088</t>
  </si>
  <si>
    <t>Duties: Responsible for setting tables, carrying trays and plates, cleaning and clearing tables, serving water and coffee to customers, taking guest orders and requests, delivering food and beverages to guest rooms and tables, and assisting with banquet setup. Requirements: Two (2) years of service experience in a fine-dining or high-volume environment at a high-end restaurant, resort, or private club required. On-the-job training is provided. Applicant must provide Pre-employment Criminal Background Check and Pre-employment Drug Test is required. Pay Rate: Tipped position with a guaranteed wage of at least $18.75 per hour, paid bi-weekly. Overtime is available at $28.13 per hour. Employer will guarantee wage in any given workweek when total compensation (including tips) does not meet prevailing wage rate or overtime rate. Employees may be eligible for additional compensation in the form of performance-based pay. Additional, optional benefits may be offered to worker, for worker’s sole benefit, including but not limited to medical, dental and vision insurance, short-term disability, long-term disability, 401k, and life insurance. If voluntarily elected by worker, employee costs/contributions for benefits will be deducted from paycheck. Shifts: Work schedule can vary and can include evening, weekend, and holiday hours. Work may be performed on any day of the week from Monday through Sunday. Example shifts: 6:00am to 2:00pm, or 2:00pm to 10:00pm. Shift hours may vary. Job Classification: 35-3031.00 - Waiters and Waitresses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24 Special Requirements: Requirements: 2 years of service experience in a fine-dining or high-volume environment at a high-end restaurant, resort, or private club required. On-the-job training is provided. Applicant must provide Pre-employment Criminal Background Check and Pre-employment Drug Test is required. Number of Hours Per Week: 35 Work Schedule (Start/End time): 6:00 A.M. - 2:00 P.M.</t>
  </si>
  <si>
    <t>H-400-26186-079090</t>
  </si>
  <si>
    <t>Duties: Lead, train, and monitor the performance of housekeeping team members to ensure resort cleanliness standards are met. Conduct daily room inspections and public area checks to ensure all assigned areas meet quality and cleanliness expectations. Requirements: Two (2) years Housekeeping Supervisor experience at a luxury hotel resort. International experience preferred. Physically capable of lifting up to 50 pounds, standing, bending, and walking for extended periods. On-the-job training is provided. Applicant must provide Pre-employment Criminal Background Check and Pre-employment Drug Test is required. Pay Rate: $23.40 / hour. Overtime is available at $35.10 / hour. Additional, optional benefits may be offered to worker, for worker’s sole benefit, including but not limited to medical, dental and vision insurance, short-term disability, long-term disability, 401k, and life insurance. If voluntarily elected by worker, employee costs/contributions for benefits will be deducted from paycheck. Shifts: Work schedule can vary and can include evening, weekend, and holiday hours. Work may be performed on any day of the week from Monday through Sunday. Example shifts: 8:00am to 4:00pm. Shift hours may vary. Job Classification: 37-1011.00 - First-Line Supervisors of Housekeeping and Janitorial Workers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24 Special Requirements: Requirements: Two (2) years Housekeeping Supervisor experience at a luxury hotel resort. International experience preferred. Physically capable of lifting up to 50 pounds, standing, bending, and walking for extended periods. On-the-job training is provided. Applicant must provide Pre-employment Criminal Background Check and Pre-employment Drug Test is required. Number of Hours Per Week: 35 Work Schedule (Start/End time): 8:00 A.M. - 4:00 P.M.</t>
  </si>
  <si>
    <t>H-400-26186-079092</t>
  </si>
  <si>
    <t>Duties: Responsible for responding and attending to guest requests, communicating with guests to resolve maintenance issues, perform daily checks and preventative maintenance on tools and equipment, and troubleshoot and perform basic repairs on all types of equipment including plumbing and electrical equipment Requirements: Two (2) years of maintenance experience required. High-end hotel, resort, or private club experience preferred. On-the-job training is provided. Applicant must provide Pre-employment Criminal Background Check and Pre-employment Drug Test is required. Pay Rate: $22.17 – $24.00 per hour, paid bi-weekly. Overtime is available at $33.26 - $36.00 per hour. Additional, optional benefits may be offered to worker, for worker’s sole benefit, including but not limited to medical, dental and vision insurance, short-term disability, long-term disability, 401k, and life insurance. If voluntarily elected by worker, employee costs/contributions for benefits will be deducted from paycheck. Shifts: Work schedule can vary and can include evening, weekend, and holiday hours. Work may be performed on any day of the week from Monday through Sunday. Example shifts: 7:00am to 3:00pm, 2:00pm to 10:00pm, 11:00am to 7:00pm. Shift hours may vary. Job Classification: 49-9071.00 - Maintenance and Repair Workers, General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24 Special Requirements: Requirements: Two (2) years of maintenance experience required. High-end hotel, resort, or private club experience preferred. On-the-job training is provided. Applicant must provide Pre-employment Criminal Background Check and Pre-employment Drug Test is required. Number of Hours Per Week: 35 Work Schedule (Start/End time): 8:00 A.M. - 4:00 P.M.</t>
  </si>
  <si>
    <t>H-400-26186-079103</t>
  </si>
  <si>
    <t>+17652027131</t>
  </si>
  <si>
    <t>***RFI Response*** the laborers use forklifts and pallet jacks to move pallets of expired milk products in gallon containers to machines that will depackage/tear open/puncture the gallon containers to capture the expired milk liquid (it just falls into a collection well under the pallets); the collected milk is pasteurized, chilled back to 36 degrees, and shipped in bulk to the calf ranches for directly feeding to the calves as a liquid. ***Original Duties*** Maintain equipment storage areas to ensure that inventory is protected. Related occupations Read work orders or receive oral instructions to determine work assignments or material or equipment needs. Related occupations Move freight, stock, or other materials to and from storage or production areas, loading docks, delivery vehicles, ships, or containers, by hand or using trucks, tractors, or other equipment. Related occupations Install protective devices, such as bracing, padding, or strapping, to prevent shifting or damage to items being transported. Related occupations Sort cargo before loading and unloading. Job Classification: 53-7051.00 - Industrial Truck and Tractor Operators The job/industry classification and description includes general information on the position from ONET/OES and the North American Industry Classification System. Please review Job Duties and Job Order for more information. Job Requirements Experience Required: No Number of Hours Per Week: 40 Work Schedule (Start/End time): 7:00 A.M. - 4:00 P.M.</t>
  </si>
  <si>
    <t>H-400-26186-079055</t>
  </si>
  <si>
    <t>RBM SERVICES INC</t>
  </si>
  <si>
    <t>REMOVE SNOW USING A SNOW SHOVEL AND APPLY SALT/ICE MELT USING A WALK BEHIND SPREADER. LIFTING REQUIREMENTS OF 50 LBS. Job Classification: 37-2011.00 - Janitors and Cleaners, Except Maids and Housekeeping Cleaners The job/industry classification and description includes general information on the position from ONET/OES and the North American Industry Classification System. Please review Job Duties and Job Order for more information. Job Requirements Experience Required: No Number of Hours Per Week: 40 Work Schedule (Start/End time): 8:00 A.M. - 5:00 P.M.</t>
  </si>
  <si>
    <t>H-400-26186-079042</t>
  </si>
  <si>
    <t>SaBell’s Civil and Landscape, LLC.</t>
  </si>
  <si>
    <t>Lauras@sclcontractor.com</t>
  </si>
  <si>
    <t>+17205365340</t>
  </si>
  <si>
    <t>Snow Shovelers</t>
  </si>
  <si>
    <t>Remove snow on sidewalk with shovel and apply sand or ice melt to the sidewalk. Shovel, clear, and remove snow and ice from sidewalks, walkways, and pedestrian access areas to maintain safe passage. Spread sand, salt, or ice melt on treated surfaces to reduce slippery conditions and help prevent ice accumulation during and after winter weather events. Job Classification: 37-2011.00 - Janitors and Cleaners, Except Maids and Housekeeping Cleaners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Post-employment drug test may be conducted based upon the employers reasonable suspicion of an employees drug use or Post- Accident. F.a.5 A-H. 5-hour workday. Sunday - Saturday 4 a.m. to 9 a.m. OT hours possible. Number of Hours Per Week: 40 Work Schedule (Start/End time): 4:00 A.M. - 9:00 A.M.</t>
  </si>
  <si>
    <t>H-400-26184-076223</t>
  </si>
  <si>
    <t>William Barry Landscaping LLC</t>
  </si>
  <si>
    <t>WMBARRYLANDSCAPE@verizon.net</t>
  </si>
  <si>
    <t>+12672285900</t>
  </si>
  <si>
    <t>Landscape or maintain grounds of property using hand or power tools or equipment. Workers typically perform a variety of tasks, which may include any combination of the following: sod laying, mowing, trimming, planting, watering, fertilizing, digging, raking. Job Classification: 37-3011.00 - Landscaping and Groundskeeping Workers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Requires three months of previous landscape experience. Must lift/carry 50 lbs., when necessary. Saturday work required, when necessary. Employer-paid post-hire random and upon suspicion of use drug testing required of foreign and domestic workers. Employer may offer more than the stated work hours depending on weather, business needs, and other conditions. Extreme heat, cold, rain, or drought may affect exact working hours. Number of Hours Per Week: 40 Work Schedule (Start/End time): 8:00 A.M. - 4:30 P.M.</t>
  </si>
  <si>
    <t>H-400-26186-079054</t>
  </si>
  <si>
    <t>Thomas Gunter</t>
  </si>
  <si>
    <t>20/08/2029</t>
  </si>
  <si>
    <t>jillrgunter@gmail.com</t>
  </si>
  <si>
    <t>+16175993968</t>
  </si>
  <si>
    <t>***RFI response*** (1) Workers supervised: the family's nanny/nannies. The family currently employs one (1) nanny assigned to the children. Supervision includes setting the nanny's schedule and hours; assigning and directing childcare-related tasks; relaying the parents' instructions and standards; acting as point of contact between parents and nanny; and monitoring performance. (2) Home maintenance/repair: the Manager arranges, schedules, supervises, and verifies work by outside contractors and does not perform repairs. Tasks: identifying needs (e.g., HVAC, plumbing, house cleaning, electrical maintenance, appliance repair, landscaping, handyman); selecting contractors; comparing quotes; scheduling site access around family/staff schedules; approving payment; recordkeeping; and warranty follow-up. Authority: may select, engage, and pay routine/recurring contractors (ex. House cleaners) without prior approval within a parent-set per-project budget, and direct vendors on scope, location, and timing; non-routine or higher-cost projects above that threshold go to the parents for final approval with the Manager's recommendation. Supervisory duties: monitoring on-site progress; inspecting work for scope and quality; . These contractors are independent vendors, not household employees. Tools: computer/laptop, smartphone, email, scheduling apps, spreadsheets and digital records, and payment methods (online bill-pay, household cards, or check); contractors supply their own tools and materials. (3) Household bills/administrative duties: receiving, organizing, and tracking bills/invoices (utilities, internet/cable/phone, insurance, subscriptions, services); tracking due dates and paying on time by online banking, scheduled/auto pay, or check; maintaining records of bills, receipts, and payments; tracking spending against a budget and reconciling accounts; managing household mail and documents; and handling children's paperwork (school enrollment, medical/insurance forms); Techniques/technologies/equipment: computer/laptop and smartphone; online banking and bill-pay platforms; spreadsheet software (e.g., Excel, Google Sheets) and/or finance/budgeting software (e.g., Quicken, QuickBooks); email and calendar apps; scanner, printer, and digital/cloud plus physical filing; and payment methods including household cards and check. ***Original*** This is a Household Manager position, in a household that has multiple domestic staff. The Household Manager will be responsible for managing the household’s schedules and calendars, including the schedules of the children and the childcare workers assigned to those children. One of the children is an infant. These duties include: Event planning, organizing, and coordination for children; Arranging appointments for personal and professional needs for children and family; Scheduling home maintenance and repair work, and supervising the project; Handling household bills and administrative duties for parents, as related to both the family and the children; Running errands and performing necessary tasks, like grocery delivery; Supervision of other household staff, such as nannies, of which the family has one; Shopping for food, supplies, and other requested items Other Domestic Duties: The Household will sometimes be responsible for the following domestic duties as part of their job: i. Dishes/bottles: Assisting as necessary with the daily cleaning of all bottles, cups, dishes, etc. that are used by the Child and the domestic staff. ii. Play Area: Pick up toys and clothes daily in the Child’s play areas (including Child’s rooms, play room, living room, and outside) and rotate toys periodically. iii. Child’s Laundry: Weekly, or upon request, cleaning of baby’s laundry to include clothing, bedsheets, bibs, high chair cover, changing pad, etc. Job Classification: 11-9179.00 - Personal Service Managers, All Other The job/industry classification and description includes general information on the position from ONET/OES and the North American Industry Classification System. Please review Job Duties and Job Order for more information. Job Requirements Experience Required: No Number of Hours Per Week: 44 Work Schedule (Start/End time): 8:00 A.M. - 5:00 P.M.</t>
  </si>
  <si>
    <t>H-400-26186-079080</t>
  </si>
  <si>
    <t>Tree Wise Men, LLC</t>
  </si>
  <si>
    <t>yvette.lapeanusher@treewisemenllc.com</t>
  </si>
  <si>
    <t>+16087514171</t>
  </si>
  <si>
    <t>Tree Climber</t>
  </si>
  <si>
    <t>Four (4) temporary full-time Tree Climber positions are available for work beginning October 1, 2026 and continuing through April 30, 2027, working day shift with forty hours work provided weekly - Monday through Friday 8am to 4pm, at $24.49 or higher per hour, with overtime offered often at $36.74 or higher per hour. Tree Climbers perform tree climbing and rigging, pruning and trimming, cutting away excess branches from trees or shrubs; also lowering of limbs and branches. Tree Climbers treat and care for trees by using handsaws, hand pruners, clippers, and power pruners. Tree Climbers often work off the ground near tree canopy or in truck-mounted lifts. Tree Climbers are called to follow all safety regulations per industry and municipality and company, including safe usage of employer-provided personal protective equipment. Tree Climbers are caring for the health, value, appearance, and productivity of area trees and shrubs. This occupation requires a high-school diploma and six months related work experience in ground work or tree species. One month of paid on-the-job training gets any hires up to speed so they can identify tree species and climbing risks, and also safely use power and hand tools and lifts. Job Classification: 37-3013.00 - Tree Trimmers and Pruners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6 Special Requirements: SIX MONTHS PREVIOUS EXPERIENCE IN GROUND WORK AND/OR TREE SPECIES FAMILIARITY; AND ONE MONTH ON-THE-JOB TRAINING IN TREE SPECIES AND CLIMBING SAFETY AND TOOL SAFETY. Number of Hours Per Week: 40 Work Schedule (Start/End time): 8:00 A.M. - 4:00 P.M.</t>
  </si>
  <si>
    <t>H-400-26186-079062</t>
  </si>
  <si>
    <t>United Forest Services, LLC</t>
  </si>
  <si>
    <t>unitedforestservices@gmail.com</t>
  </si>
  <si>
    <t>+19109951794</t>
  </si>
  <si>
    <t>dig holes to plant seedling trees without J or U root, carefully secure seedling with soil, maintain seedling growth by spray, hand prune, maintain surrounding vegetation, pile/remove debris, identify disease/undesirable trees and remove them, thin and space trees with the use of power saws and hand saws. Gather/Package forest products. Maintain tallies of trees examined. Job duties require moving your entire body, such as climbing, lifting, balancing, walking, stooping and handling of materials. Extensive walking through rough terrain. Job Classification: 45-4011.00 - Forest and Conservation Workers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Physically demanding Number of Hours Per Week: 35 Work Schedule (Start/End time): 8:00 A.M. - 3:00 P.M.</t>
  </si>
  <si>
    <t>H-400-26186-079057</t>
  </si>
  <si>
    <t>Pine Straw Worker</t>
  </si>
  <si>
    <t>**RFI** Workers will manually rake, gather, clean, and bale longleaf pine straw from forested areas using hand tools such as pine straw rakes and pitchforks. The baled pine straw will then be loaded by hand onto trailers for transport. Duties include removing debris (pinecones, sticks, and other unwanted materials) from the straw during the baling process to ensure a clean product. Workers will also maintain counts of daily bale output for tallying purposes. The work requires extensive walking across uneven, wooded terrain and performing repetitive physical tasks such as lifting, bending, balancing, and stooping. Work will be performed outdoors in pine plantations or managed forest stands where longleaf pine straw is cultivated and harvested for landscaping use. Employees will use manual baling equipment, trailers, and hand tools (rakes, pitchforks, and tarps) to complete the job. The employee will work in the forestry and landscaping supply industry, specifically in the collection and preparation of pine straw as a commercial mulch product. No machinery is used in the baling process. **Original** ather/Package forest products. Maintain tallies of trees examined. Job duties require moving your entire body, such as climbing, lifting, balancing, walking, stooping and handling of materials. Extensive walking through rough terrain. Job Classification: 45-4011.00 - Forest and Conservation Workers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Physically demanding Number of Hours Per Week: 35 Work Schedule (Start/End time): 8:00 A.M. - 3:00 P.M.</t>
  </si>
  <si>
    <t>H-400-26186-079114</t>
  </si>
  <si>
    <t>Taking and serving food and beverage orders; carrying out food and miscellaneous setup and cleanup activities; may be required to perform duties in an outdoor environment and at banquet events; may be required to serve customers via golf cart. Job Classification: 35-3031.00 - Waiters and Waitresses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Pass pre-employment police clearance; Able to communicate in English; post-employment drug testing. Employer requires pre-employment police clearance and post-employment drug testing to be carried out equally between the U.S. workers and the H-2B workers. *CONTINUATION TO SECTION F.A.5 OF ETA 9142 ABOVE: 40 HOURS A WEEK WILL CONSIST OF 8 HOUR SHIFTS THAT CAN VARY AS NEEDED OVER 7 DAYS A WEEK. SHIFT MAY VARY FROM 6AM TO 11PM. Number of Hours Per Week: 40 Work Schedule (Start/End time): 9:00 A.M. - 6:00 P.M.</t>
  </si>
  <si>
    <t>H-400-26186-079112</t>
  </si>
  <si>
    <t>Oversee serving staff during set up, serving and clearing; train new servers on the floor; build/maintain rapport with the club members; assume server duties as required, particularly in the service of special guests of honor and VIPs; required to set an exemplary example and to ensure the highest level of service that is provided by the clubs serving staff. Supervise approx. 20 people. Job Classification: 35-1012.00 - First-Line Supervisors of Food Preparation and Serving Workers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6 Special Requirements: Pass pre-employment police clearance; Able to communicate in English; post-employment drug testing. Employer requires pre-employment police clearance and post-employment drug testing to be carried out equally between the U.S. workers and the H-2B workers. *Continuation to Section F.A.5 of ETA 9142 above: 40 hours a week will consist of 8 hour shifts that can vary as needed over 7 days a week. Shifts may vary from 6AM to 11PM. Number of Hours Per Week: 40 Work Schedule (Start/End time): 9:00 A.M. - 6:00 P.M.</t>
  </si>
  <si>
    <t>H-400-26186-079123</t>
  </si>
  <si>
    <t>Boca West Country Club, Inc.</t>
  </si>
  <si>
    <t>klanfranco@bocawestcc.org</t>
  </si>
  <si>
    <t>+15614886933</t>
  </si>
  <si>
    <t>Take beverage order; prepare mixed drinks and serves the same; cleans bar area; may be required to take food orders and make knowledgeable recommendations regarding wines and other products; requisition and display liquor and supplies; must keep bar area clean and work under strictly enforced state code. Job Classification: 35-3011.00 - Bartenders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Pass pre-employment police clearance; Able to communicate in English; post-employment drug testing. Employer requires pre-employment police clearance and post-employment drug testing to be carried out equally between the U.S. workers and the H-2B workers. *Continuation to Section F.A.5 of ETA 9142 above: 40 hours a week will consist of 8 hour shifts that can vary as needed over 7 days a week. Shifts may vary from 6AM to 11PM. Number of Hours Per Week: 40 Work Schedule (Start/End time): 9:00 A.M. - 6:00 P.M.</t>
  </si>
  <si>
    <t>H-400-26186-079139</t>
  </si>
  <si>
    <t>Protect and provide safety to persons at a pool; enforce and adhere to policies and procedures; assist in operations, maintain/monitor chemicals; maintain clean aquatic facility. Distribute/collect towels and perform other assigned duties. Job Classification: 33-9092.00 - Lifeguards, Ski Patrol, and Other Recreational Protective Service Workers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Pass lifeguard course Pass pre-employment police clearance; Able to communicate in English; post-employment drug testing. Employer requires pre-employment police clearance and post-employment drug testing to be carried out equally between the U.S. workers and the H-2B workers. *Continuation to Section F.A.5 of ETA 9142 above: 40 hours a week will consist of 8 hour shifts that can vary as needed over 7 days a week. Shifts may vary from 6AM to 11PM. Number of Hours Per Week: 40 Work Schedule (Start/End time): 9:00 A.M. - 6:00 P.M.</t>
  </si>
  <si>
    <t>H-400-26186-079141</t>
  </si>
  <si>
    <t>Prepares, seasons and cooks soups, meats, vegetables, fruits, desserts and other miscellaneous foods for consumption; Observe recipe guidelines and sanitation procedures. Job Classification: 35-2014.00 - Cooks, Restaurant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Pass pre-employment police clearance; post-employment drug testing. Employer requires pre-employment police clearance and post-employment drug testing to be carried out equally between the U.S. workers and the H-2B workers. *Continuation to Section F.A.5 of ETA 9142 above: 40 hours a week will consist of 8 hour shifts that can vary as needed over 7 days a week. Shifts may vary from 6AM to 11PM. Number of Hours Per Week: 40 Work Schedule (Start/End time): 9:00 A.M. - 6:00 P.M.</t>
  </si>
  <si>
    <t>H-400-26186-079146</t>
  </si>
  <si>
    <t>Taking and serving food and beverage orders in the clubhouse and dining facilities using trays, speed racks, and utility carts; carrying out food and miscellaneous setup and cleanup activities including prepare tables for meals and setting up items such as linens, silverware, and glassware; clean tables, remove dishes and glasses from tables and counters, and take them to kitchen for cleaning, and tidy up server station. May be required to perform duties in an outdoor environment and at banquet events and parties held in clubhouse and dining facilities to serve food and beverages to guests using utility carts and move tables using mover dolly; and may be required to serve customers via golf cart. Job Classification: 35-3031.00 - Waiters and Waitresses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Pass pre-employment police clearance; Able to communicate in English; post-employment drug testing. Employer requires pre-employment police clearance and post-employment drug testing to be carried out equally between the U.S. workers and the H-2B workers. *Continuation to Section F.A.5 of ETA 9142 above: 40 hours a week will consist of 8 hour shifts that can vary as needed over 7 days a week. Shifts may vary from 6AM to 11PM. Number of Hours Per Week: 40 Work Schedule (Start/End time): 9:00 A.M. - 6:00 P.M.</t>
  </si>
  <si>
    <t>H-400-26186-079150</t>
  </si>
  <si>
    <t>Taking and serving food and beverage orders in the clubhouse and dining facilities using trays, speed racks, and utility carts; carrying out food and miscellaneous setup and cleanup activities including prepare tables for meals and setting up items such as linens, silverware, and glassware; clean tables, remove dishes and glasses from tables and counters, and take them to kitchen for cleaning, and tidy up server station. May be required to perform duties in an outdoor environment and at banquet events and parties held in clubhouse and dining facilities to serve food and beverages to guests using utility carts and move tables using mover dolly; and may be required to serve customers via golf cart. Job Classification: 35-3031.00 - Waiters and Waitresses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Pass pre-employment police clearance; Able to communicate in English; post-employment drug testing. Employer requires pre-employment police clearance and post-employment drug testing to be carried out equally between the U.S. workers and the H-2B workers. *Continuation to Section F.A.5 of ETA 9142 above: 40 hours a week will consist of 8 hour shifts that can vary as needed over 7 days a week. Shifts may vary from 6AM to 11PM. Number of Hours Per Week: 40 Work Schedule (Start/End time): 9:00 A.M. - 6:00 P.M.</t>
  </si>
  <si>
    <t>H-400-26186-079127</t>
  </si>
  <si>
    <t>Greets, escorts and provides menus to customers; assists with misc. cleaning/polishing etc. as necessary including performing minor cleaning in the dining area/restaurants and wiping down menus as well as resetting tables and place settings. Job Classification: 35-9011.00 - Dining Room and Cafeteria Attendants and Bartender Helpers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Pass pre-employment police clearance; Able to communicate in English; post-employment drug testing. Employer requires pre-employment police clearance and post-employment drug testing to be carried out equally between the U.S. workers and the H-2B workers. *Continuation to Section F.A.5 of ETA 9142 above: 40 hours a week will consist of 8 hour shifts that can vary as needed over 7 days a week. Shifts may vary from 6AM to 11PM. Number of Hours Per Week: 40 Work Schedule (Start/End time): 9:00 A.M. - 6:00 P.M.</t>
  </si>
  <si>
    <t>H-400-26186-079136</t>
  </si>
  <si>
    <t>Clean common areas in the clubhouse such as lobby, kitchen, hallways, offices, restaurants, rooms and restrooms using brooms, mops, and vacuum cleaners. Stack and organize dishware and silverware. Dusting, mopping floors, vacuuming rugs and carpets, polishing furnitures, and trash/laundry towels and linens removal. Job Classification: 37-2012.00 - Maids and Housekeeping Cleaners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Pass pre-employment police clearance; Able to communicate in English; post-employment drug testing. Employer requires pre-employment police clearance and post-employment drug testing to be carried out equally between the U.S. workers and the H-2B workers. *Continuation to Section F.A.5 of ETA 9142 above: 40 hours a week will consist of 8 hour shifts that can vary as needed over 7 days a week. Shifts may vary from 6AM to 11PM. Number of Hours Per Week: 40 Work Schedule (Start/End time): 9:00 A.M. - 6:00 P.M.</t>
  </si>
  <si>
    <t>H-400-26186-079143</t>
  </si>
  <si>
    <t>Worker may be required to perform any of the following duties: monitor activities at golf course, tennis complex, aquatic complex and spa and fitness facility; may provide administrative assistance to membership, including checking membership cards, confirming reservations, arranging merchandise and providing facility info; performing minor cleaning of golf carts by removing debris from golf carts and wiping down golf clubs, and transport members' golf equipment/golf bags and members within our facility grounds from automobiles to and from the clubhouse facilities via golf cart. Job Classification: 39-3091.00 - Amusement and Recreation Attendants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Pass pre-employment police clearance; Able to communicate in English; post-employment drug testing. Employer requires pre-employment police clearance and post-employment drug testing to be carried out equally between the U.S. workers and the H-2B workers. *Continuation to Section F.A.5 of ETA 9142 above: 40 hours a week will consist of 8 hour shifts that can vary as needed over 7 days a week. Shifts may vary from 6AM to 11PM. Number of Hours Per Week: 40 Work Schedule (Start/End time): 9:00 A.M. - 6:00 P.M.</t>
  </si>
  <si>
    <t>H-400-26186-079157</t>
  </si>
  <si>
    <t>Assist servers by bringing beverages to the table, replenishing drinks, clearing spent flatware/china; cleaning server areas and equipment; stock all wares and equipment needed for service. Job Classification: 35-9011.00 - Dining Room and Cafeteria Attendants and Bartender Helpers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Pass pre-employment police clearance; Able to communicate in English; post-employment drug testing. Employer requires pre-employment police clearance and post-employment drug testing to be carried out equally between the U.S. workers and the H-2B workers. *Continuation to Section F.A.5 of ETA 9142 above: 40 hours a week will consist of 8 hour shifts that can vary as needed over 7 days a week. Shifts may vary from 6AM to 11PM. Number of Hours Per Week: 40 Work Schedule (Start/End time): 9:00 P.M. - 6:00 P.M.</t>
  </si>
  <si>
    <t>H-400-26186-079163</t>
  </si>
  <si>
    <t>H-400-26186-079158</t>
  </si>
  <si>
    <t>Cancun Mexican Restaurant Inc.</t>
  </si>
  <si>
    <t>Glen Krebs</t>
  </si>
  <si>
    <t>lasespigas1@yahoo.com</t>
  </si>
  <si>
    <t>+12704981402</t>
  </si>
  <si>
    <t>Cooks prepare, season, and cook dishes such as soups, vegetables, meats and desserts in restaurants. Ensure consistency, quality, and safety of food for our guests. Daily maintenance and cleaning of kitchen and equipment such as dishwasher, broiler, fryer, grill, coolers, etc. Weighing and portioning of foods. Job Classification: 37-2011.00 - Janitors and Cleaners, Except Maids and Housekeeping Cleaners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Able and willing to follow instructions and work on feet for many hours. Employer will offer at least 40 hours of work per week, Sunday through Saturday, between the hours of 10:00 AM - 2:00 PM and 4:00 PM - 8:00 PM, with varying days off. Number of Hours Per Week: 40 Work Schedule (Start/End time): 10:00 A.M. - 4:00 P.M.</t>
  </si>
  <si>
    <t>H-400-26186-079169</t>
  </si>
  <si>
    <t>Cerro De Culiacan, LLC</t>
  </si>
  <si>
    <t>jgtzleon.73@gmail.com</t>
  </si>
  <si>
    <t>+18169168633</t>
  </si>
  <si>
    <t>***RFI Response*** The references to sweeping, mopping, and cleaning/dusting furniture fixtures refers to “side work” for the waiters which includes the routine, localized tidying of a waiter’s assigned dining station and serving station. These are minor, incidental duties typically performed at the beginning or end of a shift or when a customer needs something cleaned up due to a spill. Cleaning furniture and dusting simply refer to wiping down tables and chairs with sanitizer before or after guest seating to ensure a clean dining environment or superficial dusting of immediate service areas (such as a server station) during opening or closing setup. Sweeping and mopping is strictly limited to localized spot-cleaning under and around a server’s assigned tables if a guest spills food or drink during service. The overwhelming majority of the worker’s time is dedicated to traditional waiter/server duties. The employee will not perform heavy-duty, deep-cleaning or facility-wide maintenance. The employer retains separate, dedicated staff or commercial services for janitorial duties such as deep-cleaning the kitchen, scrubbing floors, emptying commercial trash dumpsters, or maintaining restrooms. The waiter’s cleaning duties are strictly confined to the immediate guest-facing dining area to ensure immediate cleanliness and hospitality standards. ***Original F.a.2*** Customer service at table, drink preparation, pre-cleaning and post-cleaning (sweeping, mopping, dusting/cleaning furniture fixtures) pre-preparation (stocking server areas with to-go boxes, cups, lids, filling ice containers, rolling silverware), keeping up with stock (bar, salsa, chips, baskets, liners); general cleaning duties; taking out trash; replacing can liners; filling and re-filling of drinks; chips and salsa; greeting and taking care of seating arrangements for customers; wiping down tables and setting up for next customers; taking and packing up to-go orders; settling customer payments. Job Classification: 35-3031.00 - Waiters and Waitresses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Ability to work in a very fast-paced and demanding environment. Must be able to lift up to 40 lbs. Ability to work quick on feet and stand for long periods of time. Ability to work week days, weekends, and holidays. Employer will offer at least 40 hours of work per week, Sunday through Saturday, between the hours of 10:30 AM and 9:30 PM, with varying days off. Housing will not be provided, but employer will assist workers with finding housing, if necessary. Number of Hours Per Week: 40 Work Schedule (Start/End time): 10:30 A.M. - 9:30 P.M.</t>
  </si>
  <si>
    <t>H-400-26186-079161</t>
  </si>
  <si>
    <t>Chato, LLC</t>
  </si>
  <si>
    <t>luisatilano06@gmail.com</t>
  </si>
  <si>
    <t>+16365755502</t>
  </si>
  <si>
    <t>Cooks prepare, season, and cook dishes such as soups, vegetables, meats and desserts in restaurants. Ensure consistency, quality, and safety of food for our guests. Daily maintenance and cleaning of kitchen and equipment such as dishwasher, broiler, fryer, grill, coolers, etc. Weighing and portioning foods. Job Classification: 35-2014.00 - Cooks, Restaurant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Able and willing to follow instructions and work on feet for many hours. Employer will offer at least 40 hours of work per week, Sunday through Saturday, between the hours of 11:00 AM and 9:30 PM, with varying days off. Number of Hours Per Week: 40 Work Schedule (Start/End time): 11:00 A.M. - 9:30 P.M.</t>
  </si>
  <si>
    <t>H-400-26186-079162</t>
  </si>
  <si>
    <t>Greet and provide menus to customers; answer questions regarding menu items; take orders for food and beverages for transmittal to kitchen staff; ensure patrons are enjoying meals and address any issues; check identification for purchase of alcohol; serve food to patrons; prepare checks that itemize total meal costs and sales taxes; collect payments from customers; remove dishes and glasses from tables and clean tables after patrons have finished dining; prepare and set up tables for meals; perform other cleaning duties in restaurant as needed such as cleaning floors, stocking and tidying service station, taking out trash and wiping down surfaces. Job Classification: 35-3031.00 - Waiters and Waitresses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Able and willing to follow instructions and work on feet for many hours. Employer will offer at least 40 hours of work per week, Sunday through Saturday, between the hours of 11:00 AM and 9:30 PM, with varying days off. Number of Hours Per Week: 40 Work Schedule (Start/End time): 11:00 A.M. - 9:30 P.M.</t>
  </si>
  <si>
    <t>H-400-26186-079156</t>
  </si>
  <si>
    <t xml:space="preserve">Diamond Fruit Growers, Inc </t>
  </si>
  <si>
    <t xml:space="preserve">Ryan Ogburn </t>
  </si>
  <si>
    <t>lisbetl@diamondfruit.com</t>
  </si>
  <si>
    <t>+15413545313</t>
  </si>
  <si>
    <t>Packing House Labor</t>
  </si>
  <si>
    <t>Employee will pull formed boxes from the Box Former Machine, setting them on an empty box conveyer. Employees will maintain the packing lines stocked with box lids, packing paper, bags for pears, clips to seal bags in appropriately sized holding conveyors. Employees will cut open shook pallets and place cardboard in recycle bins. Employees will be assigned to clean facility such as sweeping pear leaves, extra access of packing paper on floor, cleaning tables, and picking up pears from the packing line floor. Employees will weigh containers of fruit, place packing supplies on the packing lines, place “socks” on fruit, assemble containers, repack and strip pack boxes of fruit, sticker containers, bags, and boxes. Employee perform fruit packing duties at the Diamond Odell &amp; Central location. Almost all work is done at waist level. Employee places empty box on “horse” and with one hand takes fruit from belt and using other hand wraps and places into box until filled. Job Classification: 53-7064.00 - Packers and Packagers, Hand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Endurance: Sitting Never Standing Continuous 6+ hrs Walking Occasionally 1-3 hrs Physical Requirements: Lift: 1-10 lbs Frequently 3-6 hrs 11-20 lbs intermittent &lt; 1 hr 21-50 lbs frequently 3-6 hrs 51-75 lbs not likely 0 hr 76-100 lbs not likely 0 hr Carry: 1-10 lbs intermttent &lt; 4 hr 11-20 lbs Occasionally &lt;4 hr 21-50 lbs not likely 0 hr 51-75 lbs not likely 0 hr 76-100 lbs not likely 0 hr Push: 1-10 lbs Occasionally 1-3 hrs 11-20 lbs Occasionally 1-4 hr 21-50 lbs not likely 0 hr 51-75 lbs not likely 0 hr 76-100 lbs not likely 0 hr Pull: 1-10 lbs Frequently 3-6 hrs 11-20 lbs Occasionally 1-3 hrs 21-50 lbs Occasionally 1-3 hrs 51-75 lbs not likely 0 hr 76-100 lbs not likely 0 hr Bend intermttent &lt; 1 hr Twist Frequently 3-6 hrs Crouch intermttent &lt; 1 hr Kneel not likely 0 hr Crawl not likely 0 hr Walk-Level Surface Occasionally 1-3 hrs Walk- Uneven Surface not likely 0 hr Climb Stairs intermttent &lt; 1 hr Climb Ladder not likely 0 hr Reach Above Shoulder not likely 0 hr Use of Arms Continuous 6+ hrs Use of Wrist Continuous 6+ hrs Use of Hands Continuous 6+ hrs (a) Grasping Continuous 6+ hrs (b) Squeezing Continuous 6+ hrs Operate Foot Control not likely 0 hr Environment: Inside Continuous 6+ hrs Outside not likely 0 h Heat not likely 0 h Cold not likely 0 h Dusty not likely 0 h Noisy Continuous 6+ hrs Other Continuous 6+ hrs Days/Hours/Schedule: Monday- Friday Day Shift 7am- 2:30pm Swing Shift: 4pm-11:30am Workers may work at either of the facilities located at 3515 Chevron Drive Hood River, OR 97031, or 3364 Odell Hwy Hood River OR 97031. Number of Hours Per Week: 35 Work Schedule (Start/End time): 7:00 A.M. - 2:30 P.M.</t>
  </si>
  <si>
    <t>H-400-26186-079170</t>
  </si>
  <si>
    <t>Distinct Contracting LLC</t>
  </si>
  <si>
    <t>distinctcontractingllc@yahoo.com</t>
  </si>
  <si>
    <t>+17316144709</t>
  </si>
  <si>
    <t>Flooring Installer</t>
  </si>
  <si>
    <t>Install resilient flooring, vinyl plank, laminate, linoleum, and cork flooring in commercial and residential facilities. Inspect surfaces to determine layout and identify defects. Prepare subfloors by cleaning, scraping, sanding, and filling cracks, holes, or uneven areas to ensure a smooth, level base. Measure and cut flooring materials using hand tools, tape measures, straightedges, and utility knives. Apply adhesives, glues, or mastic evenly to subfloors using notched trowels. Lay flooring materials according to specific design layouts, aligning seams and edges precisely. Use floor rollers and hand rollers to smooth out air bubbles and ensure secure bonding. Install transition strips, base shoes, and moldings at doorways and walls. Clean up excess adhesive and job site debris. Safely operate standard hand and power tools including miter saws, undercut saws, and jamb saws. Maintain and organize equipment. Must be able to lift, push, and pull materials weighing up to 50 lbs. Work involves frequent kneeling, bending, stooping, and standing for extended periods. Job Classification: 47-2042.00 - Floor Layers, Except Carpet, Wood, and Hard Tiles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Able to lift and carry 50 pounds. Some overtime and weekends required. Post hire random drug testing. Number of Hours Per Week: 40 Work Schedule (Start/End time): 8:00 A.M. - 5:00 P.M.</t>
  </si>
  <si>
    <t>H-400-26186-079128</t>
  </si>
  <si>
    <t>Ebner Camps, Inc.</t>
  </si>
  <si>
    <t>Maria Saenz</t>
  </si>
  <si>
    <t>kris@ebnercamps.com</t>
  </si>
  <si>
    <t>+18606268300</t>
  </si>
  <si>
    <t>Camp Recruitment &amp; Retention Specialist</t>
  </si>
  <si>
    <t>Recruit campers by informing potential customers about camp programs, costs and availability through presentations, Zoom meetings, and calls. Draft and send contracts required to enroll in camps. Communicate enrollment and payment deadlines to families. Develop sales presentations and plan events to highlight the camp's services. Promote our camps and group rentals by giving presentations, and distributing promotional materials. Resolve client concerns and issues as they arise. Review camper rosters and intake forms to ensure all relevant information is accurate and up-to-date. Review industry publications and complete American Camp Association trainings to stay current on industry trends and best practices. Job Classification: 41-3091.00 - Sales Representatives of Services, Except Advertising, Insurance, Financial Services, and Travel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12 Special Requirements: 12 months of prior experience required in Sales, Summer Camp Administration, or Recruitment Number of Hours Per Week: 35 Work Schedule (Start/End time): 8:00 A.M. - 4:45 P.M.</t>
  </si>
  <si>
    <t>H-400-26186-079126</t>
  </si>
  <si>
    <t>Eisaman Equine Services, Inc.</t>
  </si>
  <si>
    <t>barry@eisamanequine.com</t>
  </si>
  <si>
    <t>+13528435084</t>
  </si>
  <si>
    <t>Attend to live horses. Duties include feed, water, bathe, exercise, walk and load horses. Clean and maintain stalls. Working split shift. Break area provided. Job Classification: 39-2021.00 - Animal Caretakers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Willingness to work with live horses. Employer will offer 40 hours of work per week, Monday - Friday 5:30 AM until 11:30 AM and 2:30 PM until 4:30 PM. Number of Hours Per Week: 40 Work Schedule (Start/End time): 5:30 A.M. - 4:30 P.M.</t>
  </si>
  <si>
    <t>H-400-26186-079129</t>
  </si>
  <si>
    <t>Exercise Rider</t>
  </si>
  <si>
    <t>Breaking and riding thoroughbred horses. Get horses accustomed to wearing tack, respond to commands and condition them for racing. Job Classification: 39-2011.00 - Animal Trainers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Willingness to ride live thoroughbred horses, sometimes at a high rate of speed and distance, without assistance. Work hours are Monday - Friday 6:00 AM until 12:00 PM and Saturday 6:00 AM until 11:30 AM. Number of Hours Per Week: 35 Work Schedule (Start/End time): 6:00 A.M. - 12:00 P.M.</t>
  </si>
  <si>
    <t>H-400-26186-079140</t>
  </si>
  <si>
    <t>El Mazatlan 6, Inc.</t>
  </si>
  <si>
    <t>Cooks prepare, season, and cook dishes such as soups, vegetables, meats and desserts in restaurants. Ensure consistency, quality, and safety of food for our guests. Daily maintenance and cleaning of kitchen and equipment such as dishwasher, broiler, fryer, grill, coolers, etc. Weighing and portioning foods. Job Classification: 35-2014.00 - Cooks, Restaurant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Able and willing to follow instructions and work on feet for many hours. Employer will offer at least 40 hours of work per week, Sunday through Saturday, between the hours of 10:00 AM - 2:00 PM and 4:00 PM - 8:00 PM, with varying days off. Number of Hours Per Week: 40 Work Schedule (Start/End time): 10:00 A.M. - 8:00 P.M.</t>
  </si>
  <si>
    <t>H-400-26186-079165</t>
  </si>
  <si>
    <t>Flores &amp; Leon, Inc.</t>
  </si>
  <si>
    <t>H-400-26186-079166</t>
  </si>
  <si>
    <t>H-400-26186-079133</t>
  </si>
  <si>
    <t>Ian Brennan Stables</t>
  </si>
  <si>
    <t>ianbrennanstables@gmail.com</t>
  </si>
  <si>
    <t>+13524278544</t>
  </si>
  <si>
    <t>Attend to live horses. Duties include feed, water, bathe, exercise, walk and load horses. Clean and maintain stalls. Job Classification: 39-2021.00 - Animal Caretakers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Willingness to work with live thoroughbred horses. Workers will be offered at least 40 hours of work per week, Monday - Saturday between the hours of 6:00 AM - 12:00 PM and 1:30 PM - 4:00 PM. Number of Hours Per Week: 40 Work Schedule (Start/End time): 6:00 A.M. - 4:00 P.M.</t>
  </si>
  <si>
    <t>H-400-26186-079110</t>
  </si>
  <si>
    <t>H-400-26186-079113</t>
  </si>
  <si>
    <t>H-400-26186-079118</t>
  </si>
  <si>
    <t>***RFI response*** The workers will operate mechanized landscaping and irrigation equipment to transport, distribute, and install materials used in golf course renovation, landscaping, and maintenance projects. Specific tasks for which the equipment will be used include moving and placing sod, sand gravel, greens mix, irrigation materials, sprinklers components, and other landscaping supplies; preparing landscaped areas for irrigation installation; assisting with irrigation system installation; and maintaining golf course grounds and playing surfaces. The workers will use hand tools and power tools commonly utilized in landscaping and groundskeeping activities, including shovels, rakes, wheelbarrows, tampers, sod knives, string trimmers, and irrigation installation tools. The workers may, but will most likely not, operate the following equipment for the purpose of removing turf and preparing the ground for new sod installation and distributing landscaping materials throughout the property: Kubota RTV-X1140WL-A utility vehicle (25HP; operating weight 2,380-2,390 lbs.; payload capacity 1,600 lbs.); and Multiquip MTX60HD Mikasa Rammer with Honda GX100 engine (2.8 HP; operating weight 141 lbs.) used to compact soil and backfill around irrigation installations and landscaped areas. ***Original*** Performs various golf course renovation and landscaping tasks, including preparing landscaped and playing surface areas; prepares irrigation system components, glues/fuses connections and tie-ins; installs irrigation lines, wire, and sprinkler heads; utilizes hand tools to install drainage and irrigation tie-ins; spreads and lays materials such as grass seed, sod, greens mix, gravel, and sand; operates mechanized equipment to move and install materials. Laborers assist with the installation of golf course irrigation components. Workers will use landscaping and irrigation equipment, along with hand shovels and other hand tools, to level ground surfaces and prepare areas for irrigation, as needed. WORK IS GENERALLY PERFORMED MON - FRI 7:00 AM - 5:00 PM, BUT WEEKENDS AND OT MAY BE NECESSARY DEPENDING ON THE WEATHER. ***IF NEEDED, EMPLOYER INTENDS TO ASSIST FOREIGN AND NON-LOCAL U.S. WORKERS HIRED PURSUANT TO THIS JOB ORDER TO SECURE WORKER-PAID LODGING NOT TO EXCEED REASONABLE FAIR MARKET VALUE COST Job Classification: 37-3011.00 - Landscaping and Groundskeeping Workers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3 months experience utilizing basic knowledge of golf course layout; understanding of golf course irrigation systems including ability to install/repair key components; knowledge of golf course landscaping tasks including building/repair of greens, tees, and bunkers. 3 months experience operating any one of the following: tractor, skid loader, plows/trencher. Willingness to perform OT, as needed. Number of Hours Per Week: 45 Work Schedule (Start/End time): 7:00 A.M. - 5:00 P.M.</t>
  </si>
  <si>
    <t>H-400-26186-079121</t>
  </si>
  <si>
    <t>Hands on manual labor at golf course construction sites, working on staking/layout, drainage, bunkers, finishing, greens and tees, operating equipment, etc.; informs crews of the day's planned activities and equips crews with necessary tools and materials; instructs, supervises, and trains crews in assigned tasks, such as irrigation installation, tee and bunker creation, sodding, seeding, staking/flagging, operating and maintaining equipment; manages inventory of equipment, supplies and materials, and fuel; identifies and eliminates potential waste that may occur during performance of assigned tasks, including material waste such as irrigation heads, irrigation pipe and wire, gravel and greens mix; ensures assigned equipment and tools are properly maintained through performance of routine preventative maintenance; assists in maintaining project records such as delivery tickets, purchase orders, safety meeting rosters; assists in creating as-built drawings; and reports potential problems to the Project Superintendent. WORK IS GENERALLY PERFORMED MON - FRI 7:00 AM - 5:00 PM, BUT WEEKENDS AND OT MAY BE NECESSARY DEPENDING ON THE WEATHER. ***IF NEEDED, EMPLOYER INTENDS TO ASSIST FOREIGN AND NON-LOCAL U.S. WORKERS HIRED PURSUANT TO THIS JOB ORDER TO SECURE WORKER-PAID LODGING NOT TO EXCEED REASONABLE FAIR MARKET VALUE COST Job Classification: 37-1012.00 - First-Line Supervisors of Landscaping, Lawn Service, and Groundskeeping Workers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12 Special Requirements: Certification as a Certified Pipe Fuser by a recognized vendor, such as CMF Global, ISCO, Ewing Irrigation or ADS. 12 months of experience in golf course construction and renovation. Willingness to perform OT, as necessary. Number of Hours Per Week: 45 Work Schedule (Start/End time): 7:00 A.M. - 5:00 P.M.</t>
  </si>
  <si>
    <t>H-400-26186-079142</t>
  </si>
  <si>
    <t>La Colorada, Inc.</t>
  </si>
  <si>
    <t>Cooks prepare, season, and cook dishes such as soups, vegetables, meats, and desserts in restaurants. Ensure consistency, quality, and safety of food for guests. Daily maintenance and cleaning of kitchen equipment such as dishwasher, broiler, fryer, grill, coolers, etc. Weighing and portioning foods. Job Classification: 35-2014.00 - Cooks, Restaurant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Employer will offer at least 40 hours of work per week, Sunday through Saturday, between the hours of 10:00 AM - 2:00 PM and 4:00 PM - 8:00 PM, with varying days off. Number of Hours Per Week: 40 Work Schedule (Start/End time): 10:00 A.M. - 8:00 P.M.</t>
  </si>
  <si>
    <t>H-400-26186-079154</t>
  </si>
  <si>
    <t>MJAY'S Specialty Baked Foods</t>
  </si>
  <si>
    <t>Milagros DiLeo</t>
  </si>
  <si>
    <t>tania.ramirez@mjaysbakery.com</t>
  </si>
  <si>
    <t>+17704489190</t>
  </si>
  <si>
    <t>Bakers</t>
  </si>
  <si>
    <t>Pack brownies, cakes, cookies and other desserts in a bakery. Assemble, line and pad cartons, craters, and containers, using hand tools. Work in a hot environment and at a fast pace. Job Classification: 51-3011.00 - Bakers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40 hours a week, a single work week is the standard for computing wages due, 5 days Monday-Sunday, two days off varies (based on customer orders). Varies shifts Batter Shift 1 12:00 am 9 am ( or completion of production ), Packing Shift 1 1:00 am to 10:00 am ( or completion of production ), Packing Shift 2 2:00 am to 11:00 am (or completion of production ), Decorating Shift 8 am to 5 pm ( or completion of production ), Batter Shift 2 9 am to 6 pm ( or completion of production), Petite Bundt Cake Line 9 am to 6 pm ( or completion of production ). -Average 40 hours weekly with a 30-minute nonpaid lunch break. -One 10-minute paid break with over an 8-hour shift. Number of Hours Per Week: 56 Work Schedule (Start/End time): 8:00 A.M. - 5:00 P.M.</t>
  </si>
  <si>
    <t>H-400-26184-075953</t>
  </si>
  <si>
    <t>Woodland Hospitality Inc.</t>
  </si>
  <si>
    <t>woodlandresort@gondtc.com</t>
  </si>
  <si>
    <t>+17013510878</t>
  </si>
  <si>
    <t>Duties may include: Keep storage areas and carts well-stocked, clean, and tidy. Clean rooms, hallways, lobbies, lounges, restrooms, corridors, elevators, stairways, and other work areas so that health standards are met. Empty wastebaskets, empty and clean ashtrays, and transport other trash and waste to disposal areas. Sweep, scrub, wax, or polish floors, using brooms, mops. Replenish supplies, such as drinking glasses, linens, writing supplies, and bathroom items. Clean rugs, carpets, upholstered furniture, and draperies, using vacuum cleaners and shampooers. Wash windows, walls, ceilings, and woodwork, waxing and polishing as necessary. Dust and polish furniture and equipment. Disinfect equipment and supplies. Sort, count and mark clean linens and store them in linen closets. Sort clothing and other articles, load washing machines and iron and fold dried items. Prepare rooms for meetings and arrange decorations, media equipment, and furniture for social or business functions &amp; other related Maids activities as per SOC/OES 37-2012 (onetonline.org). Standard/Expected Schedule: Monday-Saturday 7:00AM-3:00PM. Offering 35+ (plus) hours per week; not including applicable lunch and/or breaks. Weekly schedule may vary based on business needs.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Job Classification: 37-2012.00 - Maids and Housekeeping Cleaners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Must show proof of legal authorization to work in the United States. Drug/alcohol/tobacco free work zone. Perform physical activities: such as lift, balance, walk, stoop, handle, position, move, manipulate materials use static strength to exert maximum muscle force to lift, push, pull, carry objects up to 40lbs. All applicants must be able, willing and qualified to perform work described and must be available for the entire period specified and work throughout all areas of intended employment.Based on Employer's discretion/cost: Worker may have random drug/alcohol testing during employment: positive test/refusal to abide = dismissal. Possible background check post hire at employer's expense.Hours may fluctuate based on tourism peaks and valleys throughout the season (+/-), possible downtime and/or overtime. Number of Hours Per Week: 35 Work Schedule (Start/End time): 7:00 A.M. - 3:00 P.M.</t>
  </si>
  <si>
    <t>H-400-26186-079122</t>
  </si>
  <si>
    <t>Niall Brennan Stables, Inc.</t>
  </si>
  <si>
    <t>nbstables@aol.com</t>
  </si>
  <si>
    <t>+13527327459</t>
  </si>
  <si>
    <t>Attend to live horses. Duties include feed, water, bathe, exercise, walk and load horses. Clean and maintain stalls. Working split shift. Break area provided. Job Classification: 39-2021.00 - Animal Caretakers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Willingness to work with thoroughbred horses. Workers will be offered at least 40 hours of work per week, Monday - Saturday between the hours of 6:00 AM - 11:30 AM AND 2:30 PM - 4:00 PM. Number of Hours Per Week: 40 Work Schedule (Start/End time): 6:00 A.M. - 4:00 P.M.</t>
  </si>
  <si>
    <t>H-400-26186-079108</t>
  </si>
  <si>
    <t>H-400-26186-079116</t>
  </si>
  <si>
    <t>H-400-26186-079145</t>
  </si>
  <si>
    <t>Ehv Tower Erector Ii (680309.000170)</t>
  </si>
  <si>
    <t>EHV Tower Erector II is an entry to intermediate skilled position responsible for assisting with the assembly and erection of lattice steel extra high voltage (EHV) transmission towers, including systems operating at 400kV and higher. Work safely while assisting with assembly and erection of lattice steel EHV transmission towers, including 400kV+ structures. Perform climbing and structure work under the supervision of senior lattice erectors and supervision. Assist in assembling lattice components including legs, panels, bracing, arms, peaks, and hardware. Install bolts and hardware per erection drawings and supervision direction. Apply basic lattice tower sequencing and erection safety requirements. Frequently work at heights requiring strict compliance with fall protection systems. Assist with rigging, hoisting, and material handling for lattice tower sections. Follow safe climbing techniques on lattice structures. Maintain awareness of dropped object hazards. Work with induced voltage hazards associated with EHV lattice towers. Assist in applying grounding methods used for lattice tower erection. Assist with crane or hoist signaling as directed. Read and understand basic lattice tower drawings and erection instructions. Maintain tools, climbing equipment, and PPE in good working condition. Working at heights and/or within confined spaces of lattice structures. Properly installing and removing PPE and fall protection equipment. Does all other related work as required to complete the job. Follow Company safety rules and all other Company policies. Work will be performed at unanticipated locations through Texas depending on project development. Job Classification: 49-9051.00 - Electrical Power-Line Installers and Repairers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36 Special Requirements: Position requires at least three years of lattice tower erection or related structural steel experience; EHV lattice experience (400kV+) required. Able to travel long distances on short notice, when required. Able to work for extended periods in various locations, when required. Able to lift in excess of 50 lbs. Willing to work outside of the normal work schedule including weekends and holidays as required for the position. Must be able to work outside, frequently in inclement weather. Able to perform rigorous physical labor. Must pass a pre-employment drug screen, background check, and/or MVR (Motor Vehicle Record) check. For positions involving driving or DOT-regulated work, employees must also pass a DOT physical including drug screening. Number of Hours Per Week: 40 Work Schedule (Start/End time): 8:00 A.M. - 4:30 P.M.</t>
  </si>
  <si>
    <t>H-400-26186-079149</t>
  </si>
  <si>
    <t>Ehv B Lineworker - Transmission (680309.000166)</t>
  </si>
  <si>
    <t>This is a semi-skilled position in the construction, maintenance, and repair of high-voltage and extra-high-voltage (EHV) electrical transmission systems, including systems operating at 400kV and higher. Work safely while performing new construction, maintenance, or repair work of energized and de-energized transmission and EHV transmission systems, including 400kV+ circuits, under the direction of senior crew members. Stringing overhead wire, including bundled conductors used on high-voltage and EHV lines. Setting lattice towers, poles, structures, and anchors for transmission and EHV systems. Troubleshooting problems on transmission and EHV transmission systems with guidance. Frequently work with energized high-voltage and extra-high-voltage systems requiring skill, awareness, and strict adherence to safety procedures to protect the lives of themselves and others. Maintain company vehicles, equipment, and tools in good working order. Identify transmission primary and secondary voltage on standard and EHV circuits. Work with induced voltage, including higher levels associated with EHV systems. Properly use phasing sticks on high-voltage and EHV systems. Obtain knowledge of bare hand work. Execute requirements for proper line clearances, including extended clearances for EHV voltage classes. Identify wire and conductor sizes used in transmission and EHV construction. Pole and tower climbing, including steel structures when qualified. Perform all aspects of heavy lifting and rigging associated with transmission and EHV work. Executing EPZ grounding techniques for transmission and EHV systems. Safely setting a pole or assisting with structure erection. Operating wire tensioner equipment under supervision, including equipment used for EHV installations. Change pole framing and insulators with line energized from hooks or bucket, as qualified. Operating sideloader, bucket, and derrick trucks. Understanding and reading blueprints, structure drawings, and job prints. Understanding equipment setup and grounding requirements for transmission and EHV work. Working at heights and/or confined spaces. Properly installing and removing PPE and high-voltage or EHV-rated cover up. Checking voltage on transformers. Clipping in transmission conductor, including EHV conductor systems. Climb different types of structures (wood, steel, lattice, monopole, etc.) and use the necessary tools to do so. Perform grounding procedures. Phasing out a line using phasing sticks on high-voltage and EHV lines. Obtain a one shot on a recloser. Utilize minimum approach distance, including increased MAD requirements for EHV voltages. Flag and tag procedures. Performing basic bucket rescue/escape. Effectively conduct a pre-job or tailgate briefing when assigned. Safely installing and removing mechanical jumpers on transmission and EHV systems. Properly inspect rubber goods, cover, and PPE rated for high-voltage and EHV work. Follow Company safety rules and all other Company policies. Does all other related work as required to complete the job. Work will be performed at unanticipated locations through Texas depending on project development. Job Classification: 49-9051.00 - Electrical Power-Line Installers and Repairers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36 Special Requirements: Position requires at least three years of transmission line field or related experience. Able to travel long distances on short notice, when required. Able to work for extended periods in various locations, when required. Able to lift in excess of 50 lbs. Willing to work outside of the normal work schedule including weekends and holidays as required for the position. Able to perform rigorous physical labor. Must be able to work outside, frequently in inclement weather. Must pass a pre-employment drug screen, background check, and/or MVR (Motor Vehicle Record) check. For positions involving driving or DOT-regulated work, employees must also pass a DOT physical including drug screening. Number of Hours Per Week: 40 Work Schedule (Start/End time): 8:00 A.M. - 4:30 P.M.</t>
  </si>
  <si>
    <t>H-400-26186-079124</t>
  </si>
  <si>
    <t xml:space="preserve">Quail Ridge Property Owners Association, Inc. </t>
  </si>
  <si>
    <t>rames@theclubatquailridge.com</t>
  </si>
  <si>
    <t>+15617375100</t>
  </si>
  <si>
    <t>Taking and serving food and beverage orders; Carrying out food and miscellaneous set up and clean up activities; May be required to perform duties in an outdoor environment and at banquet events; may be required to serve customers via golf cart. *Continuation to Section F.a.5 below: 40 hours a week. Shifts will consist of 8 hour shifts that can vary as needed as advertised in State Workforce Agency job order, and in other H2B advertisement sources as per employers recruiting requirements for prospective workers under the H-2B program. Variable shifts over 7 days a week. Shifts may vary: 6am to 11pm. Job Classification: 35-3031.00 - Waiters and Waitresses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Ability TO COMMUNICATE IN ENGLISH. Number of Hours Per Week: 40 Work Schedule (Start/End time): 6:00 A.M. - 11:00 P.M.</t>
  </si>
  <si>
    <t>H-400-26186-079132</t>
  </si>
  <si>
    <t>ASSIST SERVERS BY BRINGING BEVERAGES TO THE TABLE, REPLENISHING DRINKS, CLEARING SPENT FLATWARE/CHINA; CLEANING SERVER AREAS AND EQUIPMENT; ASSIST WITH TABLE SET UP; STOCK ALL WARES AND EQUIPMENT NEEDED FOR SERVICE. *Continuation to Section F.a.5 below: 40 hours a week. Shifts will consist of 8 hour shifts that can vary as needed as advertised in State Workforce Agency job order, and in other H2B advertisement sources as per employers recruiting requirements for prospective workers under the H-2B program. Variable shifts over 7 days a week. Shifts may vary: 6am to 11pm. Job Classification: 35-9011.00 - Dining Room and Cafeteria Attendants and Bartender Helpers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ABILITY TO COMMUNICATE IN ENGLISH. Number of Hours Per Week: 40 Work Schedule (Start/End time): 6:00 A.M. - 11:00 P.M.</t>
  </si>
  <si>
    <t>H-400-26186-079138</t>
  </si>
  <si>
    <t>Worker may be required to perform any of the following duties: monitor activities at golf course and tennis complex; may provide administrative assistance to membership, including checking membership cards, confirming reservations, arranging merchandise and providing facility info; transport members' golf equipment to and from the clubhouse facilities.The duties involved with transport members' golf equipment to and from the clubhouse facilities task requires meeting members at the bag drop area of the clubhouse facilities and unloading golf clubs from personal vehicles; transporting bags to and from a secure, designated storage area for club members; loading the golf bags onto carts and ensuring they are ready for the player on the staging area; cleaning clubs after play, returning bags to storage, or transporting them back to the member's car. *Continuation to Section F.a.5 below: 40 hours a week. Shifts will consist of 8 hour shifts that can vary as needed as advertised in State Workforce Agency job order, and in other H2B advertisement sources as per employers recruiting requirements for prospective workers under the H-2B program. Variable shifts over 7 days a week. Shifts may vary: 6am to 11pm. Job Classification: 39-3091.00 - Amusement and Recreation Attendants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Ability TO COMMUNICATE IN ENGLISH. Number of Hours Per Week: 40 Work Schedule (Start/End time): 6:00 A.M. - 11:00 P.M.</t>
  </si>
  <si>
    <t>H-400-26186-079148</t>
  </si>
  <si>
    <t>Sailfish Point Property Owners' and Country Club Association, Inc.</t>
  </si>
  <si>
    <t>d.daly@sailfishpoint.com</t>
  </si>
  <si>
    <t>+17722251003</t>
  </si>
  <si>
    <t>H-400-26186-079155</t>
  </si>
  <si>
    <t>Oversee serving staff during set up, serving and clearing; train new servers on the floor; build/maintain rapport with the club members; assume servers duties as required, particularly in the service of special guests of honor and VIPs; required to set an exemplary example and to ensure the highest level of service that is provided by the resort serving staff. *Continuation to Section F.a.5 below: 40 hours a week. Shifts will consist of 8 hour shifts that can vary as needed as advertised in State Workforce Agency job order, and in other H2B advertisement sources as per employers recruiting requirements for prospective workers under the H-2B program. Variable shifts over 7 days a week. Shifts may vary: 6am to 11pm. Job Classification: 35-1012.00 - First-Line Supervisors of Food Preparation and Serving Workers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6 Special Requirements: EMPLOYER REQUIRES PRE-EMPLOYMENT POLICE CLEARANCE AND POST-EMPLOYMENT DRUG TESTING TO BE CARRIED OUT EQUALLY BETWEEN THE U.S. WORKERS AND THE H-2B WORKERS. Ability TO COMMUNICATE IN ENGLISH. THE 6 MONTHS EXPERIENCE REQUIRED IN BOX F.A.9, CONTEMPLATES 6 MONTHS EXPERIENCE AS A SERVER OR SENIOR SERVER IN A HOSPITALITY SETTING. Number of Hours Per Week: 40 Work Schedule (Start/End time): 6:00 A.M. - 11:00 P.M.</t>
  </si>
  <si>
    <t>H-400-26186-079160</t>
  </si>
  <si>
    <t>Landscaping and maintaining golf course grounds of property using hand or power tools or equipment. Responsibilities may include any combination of the following: sod laying, mowing, trimming, planting, watering, fertilizing, digging, raking, and sprinkler installation. *Continuation to Section F.a.5 below: 40 hours a week. Shifts will consist of 8 hour shifts that can vary as needed as advertised in State Workforce Agency job order, and in other H2B advertisement sources as per employers recruiting requirements for prospective workers under the H-2B program. Variable shifts over 7 days a week. Shifts may vary: 6am to 11pm. Job Classification: 37-3011.00 - Landscaping and Groundskeeping Workers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EMPLOYER REQUIRES PRE-EMPLOYMENT POLICE CLEARANCE AND POST-EMPLOYMENT DRUG TESTING TO BE CARRIED OUT EQUALLY BETWEEN THE U.S. WORKERS AND THE H-2B WORKERS. Ability TO COMMUNICATE IN ENGLISH. Number of Hours Per Week: 40 Work Schedule (Start/End time): 6:00 A.M. - 11:00 P.M.</t>
  </si>
  <si>
    <t>H-400-26186-079164</t>
  </si>
  <si>
    <t>Clean common areas, hallways, rooms, and locker rooms, dusting, light mopping, vacuuming, and occasional trash/laundry removal. Loads, washes, and stores laundry items, speciﬁcally including washing dining room linens, guest room linens, facility linens, facility uniforms, towels, curtains and decorative textiles. *Continuation to Section F.a.5 below: 40 hours a week. Shifts will consist of 8 hour shifts that can vary as needed as advertised in State Workforce Agency job order, and in other H2B advertisement sources as per employers recruiting requirements for prospective workers under the H-2B program. Variable shifts over 7 days a week. Shifts may vary: 6am to 11pm. Job Classification: 37-2012.00 - Maids and Housekeeping Cleaners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EMPLOYER REQUIRES PRE-EMPLOYMENT POLICE CLEARANCE AND POST-EMPLOYMENT DRUG TESTING TO BE CARRIED OUT EQUALLY BETWEEN THE U.S. WORKERS AND THE H-2B WORKERS. Ability TO COMMUNICATE IN ENGLISH. Number of Hours Per Week: 40 Work Schedule (Start/End time): 6:00 A.M. - 11:00 P.M.</t>
  </si>
  <si>
    <t>H-400-26186-079144</t>
  </si>
  <si>
    <t>Taking beverage order. Prepare mixed drinks and serve the same. Cleans bar area. May be required to take food orders and make knowledgeable recommendations regarding wines and other products. Requisition and display liquor and supplies. Must keep bar area clean and work under strictly enforced state code. *Continuation to Section F.a.5 below: 40 hours a week. Shifts will consist of 8 hour shifts that can vary as needed as advertised in State Workforce Agency job order, and in other H2B advertisement sources as per employers recruiting requirements for prospective workers under the H-2B program. Variable shifts over 7 days a week. Shifts may vary: 6am to 11pm. Job Classification: 35-3011.00 - Bartenders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EMPLOYER REQUIRES PRE-EMPLOYMENT POLICE CLEARANCE AND POST-EMPLOYMENT DRUG TESTING TO BE CARRIED OUT EQUALLY BETWEEN THE U.S. WORKERS AND THE H-2B WORKERS. Ability TO COMMUNICATE IN ENGLISH. Number of Hours Per Week: 40 Work Schedule (Start/End time): 6:00 A.M. - 11:00 P.M.</t>
  </si>
  <si>
    <t>H-400-26186-079171</t>
  </si>
  <si>
    <t>Worker may be required to perform any of the following duties: monitor activities at golf course, tennis complex, aquatic complex and spa and fitness facility; may provide administrative assistance to membership, including checking membership cards, confirming reservations, arranging merchandise and providing facility information; perform minor cleaning of golf carts and clubs and transport members' golf equipment and automobiles to and from the clubhouse facilities.The duties involved with transport members' golf equipment and automobiles to and from the clubhouse facilities task requires meeting the member at the curb; opening the driver’s door immediately upon arrival; and conducting a quick, discreet visual scan for any pre-existing damage; transporting members and their golf equipment bags in their automobile to and from a secure, designated storage area for club members; loading the golf equipment bags from the automobile onto carts and ensuring they are ready for the player on the staging area; cleaning clubs after play, returning golf equipment bags to storage, or transporting them back to the member's automobile; bringing the automobile to the front of the clubhouse facilities upon request of the member. *Continuation to Section F.a.5 below: 40 hours a week. Shifts will consist of 8 hour shifts that can vary as needed as advertised in State Workforce Agency job order, and in other H2B advertisement sources as per employers recruiting requirements for prospective workers under the H-2B program. Variable shifts over 7 days a week. Shifts may vary: 6am to 11pm. Job Classification: 53-6021.00 - Parking Attendants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EMPLOYER REQUIRES PRE-EMPLOYMENT POLICE CLEARANCE AND POST-EMPLOYMENT DRUG TESTING TO BE CARRIED OUT EQUALLY BETWEEN THE U.S. WORKERS AND THE H-2B WORKERS. Ability TO COMMUNICATE IN ENGLISH. Number of Hours Per Week: 40 Work Schedule (Start/End time): 6:00 A.M. - 11:00 P.M.</t>
  </si>
  <si>
    <t>H-400-26186-079130</t>
  </si>
  <si>
    <t>Top Choice Lawn Care</t>
  </si>
  <si>
    <t>nolan@topchoiceaustin.com</t>
  </si>
  <si>
    <t>+15129144128</t>
  </si>
  <si>
    <t>Winter Lawn and Landscape Driver</t>
  </si>
  <si>
    <t>Workers will perform landscape duties and/or maintain grounds of property using hand or power tools or equipment which is not limited to edgers, sprayers, blowers, rakes, shovels, hand pruners, and hedge shears. Workers typically perform a variety of tasks, which may include any combination of the following: gathering and removing litter, sod laying, mowing, trimming, planting, watering, fertilizing, digging, raking, and sprinkler installation. Workers will assist with yard clean-up, leaf removal, mulch or replace mulch, and leaf cleanup. Winter duties include holiday lights installations, winter cutbacks, yard cleanups, leaf and debris removal, and tree trimming. Winter activities include holiday lights installations, winter cutbacks, yard cleanups, leaf and debris removal, and tree trimming. Job Classification: 49-9099.00 - Installation, Maintenance, and Repair Workers, All Other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6 Special Requirements: Requires ability to get U.S. Drivers License and operate a work vehicle. Must be able to lift and carry 75 lbs for 75 yards. Must pass pre-employment background check and drug test. Number of Hours Per Week: 40 Work Schedule (Start/End time): 7:00 A.M. - 6:00 P.M.</t>
  </si>
  <si>
    <t>H-400-26186-079153</t>
  </si>
  <si>
    <t>WKELMAZ INC.</t>
  </si>
  <si>
    <t>H-400-26186-079137</t>
  </si>
  <si>
    <t>Whisper Hill Farm LLC</t>
  </si>
  <si>
    <t>toddquast@aol.com</t>
  </si>
  <si>
    <t>+13528176480</t>
  </si>
  <si>
    <t>Attend to live horses. Duties include feed, water, bathe, exercise, walk and load horses. Clean and maintain stalls. Job Classification: 39-2021.00 - Animal Caretakers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Willingness to work with live thoroughbred horses. Ability to lift up to 50 lbs. and push a wheelbarrow containing up to 75 lbs. Working on feet and outdoors for 8 - 10 hours per day, 6 days per week. Workers will be offered at least 40 hours of work per week, Monday - Saturday between the hours of 6:00 AM - 12:00 PM and 1:30 PM - 4:00 PM. The employer will not provide housing, but will assist workers with finding housing that is not owned by the employer or management. Number of Hours Per Week: 40 Work Schedule (Start/End time): 6:00 A.M. - 4:00 P.M.</t>
  </si>
  <si>
    <t>H-400-26186-079135</t>
  </si>
  <si>
    <t>Whisper Hill Training Center LLC</t>
  </si>
  <si>
    <t>Attend to live horses. Duties include feed, water, bathe, exercise, walk and load horses. Clean and maintain stalls. Job Classification: 39-2021.00 - Animal Caretakers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Willingness to work with live thoroughbred horses. Ability to lift up to 50 lbs. and push a wheelbarrow containing up to 75 lbs. Working on feet and outdoors for 8-10 hours per day, 6 days per week. Workers will be offered at least 40 hours of work per week, Monday - Saturday between the hours of 6:00 AM - 12:30 PM and 1:30 PM - 4:00 PM. The employer will not provide housing, but will assist workers with finding housing that is not owned by the employer or managment. Number of Hours Per Week: 40 Work Schedule (Start/End time): 6:00 A.M. - 4:00 P.M.</t>
  </si>
  <si>
    <t>H-400-26186-079204</t>
  </si>
  <si>
    <t>3C's Construction Services, LLC</t>
  </si>
  <si>
    <t>susanna.guzman@3csconstructionservices.com</t>
  </si>
  <si>
    <t>+12106817909</t>
  </si>
  <si>
    <t>Possible fall flower installation; flowers in flower beds. Fall and winter decorations related to landscaping. Trimming and removing dead plants from flower beds and planters. Job Classification: 37-3011.00 - Landscaping and Groundskeeping Workers The job/industry classification and description includes general information on the position from ONET/OES and the North American Industry Classification System. Please review Job Duties and Job Order for more information. Job Requirements Experience Required: No Number of Hours Per Week: 40 Work Schedule (Start/End time): 7:00 A.M. - 4:00 P.M.</t>
  </si>
  <si>
    <t>H-400-26186-079229</t>
  </si>
  <si>
    <t>Avant Doors LLC</t>
  </si>
  <si>
    <t>BEKIR SAHIN</t>
  </si>
  <si>
    <t>armando@avantdoors.com</t>
  </si>
  <si>
    <t>+12102310243</t>
  </si>
  <si>
    <t>Door Installer</t>
  </si>
  <si>
    <t>The Door Installer is responsible for the safe, accurate, and professional installation of residential and commercial door systems, including aluminum sliding doors, bifold patio doors, wrought-iron entry doors, and custom architectural door units. The Installer ensures all work meets AvantDoors’ quality standards, manufacturer requirements, and local building codes. Install various types of doors including sliding doors, bifold systems, iron entry doors, pivot doors, and storefront-style aluminum systems. Measure, align, level, and secure door frames, panels, and hardware components. Remove existing doors, frames, and trim as required. Use power tools, lifts, dollies, and safe handling techniques to move and install large door units. Apply sealants, weatherproofing, shims, flashing, and waterproofing materials according to installation standards. Job Classification: 47-2031.00 - Carpenters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12 Special Requirements: Must have the ability to lift and maneuver heavy door units (up to 100150 lbs. with assistance); strong knowledge of hand tools, power tools, and construction materials; a basic understanding of measurements, levels, plumb lines, and layout work; and the ability to read simple blueprints and installation instructions. Number of Hours Per Week: 40 Work Schedule (Start/End time): 9:00 A.M. - 5:00 P.M.</t>
  </si>
  <si>
    <t>H-400-26186-079228</t>
  </si>
  <si>
    <t>Door Installation Supervisor</t>
  </si>
  <si>
    <t>The Installation Supervisor oversees daily field operations for door installation projects, ensuring quality workmanship, safety compliance, crew coordination, and efficient completion of job schedules. This role provides leadership to installers, communicates directly with customers and contractors, and ensures all Avant Doors installations meet company standards. The supervisor is responsible for leading and supervising installation crews on residential and commercial job sites, coordinating scheduling and project timelines with management, and ensuring the proper installation of sliding doors, bifold systems, iron entry doors, pivot doors, aluminum doors, and custom units.They perform advanced installations, troubleshoot complex issues in the field, and review architectural plans, measurements, and specifications. The Installation Supervisor also verifies that waterproofing, flashing, hardware, and structural requirements meet code standards, conducts quality inspections before and after installation, and trains and mentors new installers on techniques, safety practices, and company procedures. Additional responsibilities include serving as the primary point of contact for clients during installations, maintaining accurate records of job progress and materials, enforcing OSHA and company safety protocols, communicating material shortages or delays to management, and assisting with warehouse planning, staging, and loading or unloading materials as needed. Job Classification: 47-1011.00 - First-Line Supervisors of Construction Trades and Extraction Workers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36 Special Requirements: Must have a strong understanding of installation methods for premium door systems; the ability to lead crews, manage jobsite workflow, and enforce quality standards; the ability to read and interpret blueprints, architectural plans, and manufacturer specifications; excellent communication and customer-service skills; a valid drivers license or the ability to obtain one upon hire; and the ability to lift 100150 lbs. with assistance. Number of Hours Per Week: 40 Work Schedule (Start/End time): 9:00 A.M. - 5:00 P.M.</t>
  </si>
  <si>
    <t>H-400-26186-079173</t>
  </si>
  <si>
    <t>Banyan Golf Club of Palm Beach, Inc.</t>
  </si>
  <si>
    <t>c.bibby@banyangolfclub.com</t>
  </si>
  <si>
    <t>+15617932800</t>
  </si>
  <si>
    <t>Worker may be required to perform any of the following duties: monitor activities at golf course and tennis complex; may provide administrative assistance to membership, including checking membership cards, confirming reservations, arranging merchandise and providing facility info; perform minor cleaning of golf carts by removing debris from golf carts and wiping down golf clubs; transport members' golf equipment to and from the clubhouse facilities. Job Classification: 39-3091.00 - Amusement and Recreation Attendants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Pass pre-employment police clearance; Able to communicate in English; post-employment drug testing. Employer requires pre-employment police clearance and post-employment drug testing to be carried out equally between the U.S. workers and the H-2B workers. *CONTINUATION TO SECTION F.A.5 OF ETA 9142 ABOVE: 40 HOURS A WEEK WILL CONSIST OF 8 HOUR SHIFTS THAT CAN VARY AS NEEDED OVER 7 DAYS A WEEK. SHIFT MAY VARY FROM 6AM TO 11PM. Number of Hours Per Week: 40 Work Schedule (Start/End time): 9:00 A.M. - 6:00 P.M.</t>
  </si>
  <si>
    <t>H-400-26186-079176</t>
  </si>
  <si>
    <t>H-400-26186-079179</t>
  </si>
  <si>
    <t>Prepares, seasons and cooks soups, meats, vegetables, fruits, desserts and other miscellaneous foods for consumption; Observe recipe guidelines and sanitation procedures. Job Classification: 35-2014.00 - Cooks, Restaurant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Pass pre-employment police clearance; post-employment drug testing. Employer requires pre-employment police clearance and post-employment drug testing to be carried out equally between the U.S. workers and the H-2B workers. *CONTINUATION TO SECTION F.A.5 OF ETA 9142 ABOVE: 40 HOURS A WEEK WILL CONSIST OF 8 HOUR SHIFTS THAT CAN VARY AS NEEDED OVER 7 DAYS A WEEK. SHIFT MAY VARY FROM 6AM TO 11PM. Number of Hours Per Week: 40 Work Schedule (Start/End time): 9:00 A.M. - 6:00 P.M.</t>
  </si>
  <si>
    <t>H-400-26186-079216</t>
  </si>
  <si>
    <t>Bay Area Landscape Nursery, LLC</t>
  </si>
  <si>
    <t>bayareanurserycc@gmail.com</t>
  </si>
  <si>
    <t>+13618260680</t>
  </si>
  <si>
    <t>Remove and trim bushes, dispose of brush, rake and clean up ground and leftover debris, landscape planting, spreading mulch, leaf removal, install rye-grass seed, winter maintenance of athletic fields. Job Classification: 37-3011.00 - Landscaping and Groundskeeping Workers The job/industry classification and description includes general information on the position from ONET/OES and the North American Industry Classification System. Please review Job Duties and Job Order for more information. Job Requirements Experience Required: No Number of Hours Per Week: 40 Work Schedule (Start/End time): 8:00 A.M. - 5:00 P.M.</t>
  </si>
  <si>
    <t>H-400-26186-079212</t>
  </si>
  <si>
    <t>Bridlewood Holdings, LLC</t>
  </si>
  <si>
    <t>georgeisaacs@att.net</t>
  </si>
  <si>
    <t>+13526225319</t>
  </si>
  <si>
    <t>Breaking and riding thoroughbred horses. Get horses accustomed to wearing tack, respond to commands and condition them for racing. Job Classification: 39-2011.00 - Animal Trainers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Willingness to ride live thoroughbred horses, sometimes at a high rate of speed and distance, without assistance. Work hours are Monday - Saturday between 5:50 AM and 11:00 AM. The employer will not provide housing, but will assist workers with finding housing that is not owned by the employer or management. Number of Hours Per Week: 36 Work Schedule (Start/End time): 5:50 A.M. - 11:00 A.M.</t>
  </si>
  <si>
    <t>H-400-26186-079213</t>
  </si>
  <si>
    <t>Attend to live horses. Duties include feed, water, bathe, exercise, walk, load, tacking up, turning out, and applying leg wraps to horses. Clean and maintain stalls. Job Classification: 39-2021.00 - Animal Caretakers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Willingness to work with live thoroughbred horses. Workers will be offered at least 40 hours of work per week, Monday - Sunday between the hours of 5:00 AM - 11:00 AM and 1:00 PM - 4:00 PM. The employer will not provide housing but will assist workers with finding housing that is not owned by the employer or management. Number of Hours Per Week: 40 Work Schedule (Start/End time): 5:00 A.M. - 4:00 P.M.</t>
  </si>
  <si>
    <t>H-400-26186-079232</t>
  </si>
  <si>
    <t>C. Schuster Properties LLC</t>
  </si>
  <si>
    <t>candcschuster@yahoo.com</t>
  </si>
  <si>
    <t>+16364857302</t>
  </si>
  <si>
    <t>Shovel accumulated deposits of snow on an ongoing basis in extreme weather conditions on various commercial properties. Remove and clean up snow using snow blowers and standard commercial snow shovels, leaf removal. Lifting required up to 50 lbs. Job Classification: 37-2011.00 - Janitors and Cleaners, Except Maids and Housekeeping Cleaners The job/industry classification and description includes general information on the position from ONET/OES and the North American Industry Classification System. Please review Job Duties and Job Order for more information. Job Requirements Experience Required: No Number of Hours Per Week: 40 Work Schedule (Start/End time): 7:00 A.M. - 4:00 P.M.</t>
  </si>
  <si>
    <t>H-400-26186-079181</t>
  </si>
  <si>
    <t>El Jimador Mexican Restaurant</t>
  </si>
  <si>
    <t>GLEN KREBS</t>
  </si>
  <si>
    <t>claudiaayala1017@gmail.com</t>
  </si>
  <si>
    <t>+15737911616</t>
  </si>
  <si>
    <t>Cooks prepare, season, and cook dishes such as soups, vegetables, meats, and desserts in restaurants. Ensure consistency, quality and safety of food for guests. Daily maintenance and cleaning of kitchen equipment such as dishwasher, broiler, fryer, grill, cooler, etc. Weighing and portioning foods. Job Classification: 35-2014.00 - Cooks, Restaurant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Able and willing to follow instructions and work on feet for many hours. Employer will offer at least 40 hours of work per week, between the hours of 10:00 AM and 8:00 PM, with varying shifts and varying days off. Employees must be willing to work on weekends, evenings, and/or holidays as necessary. Number of Hours Per Week: 40 Work Schedule (Start/End time): 10:00 A.M. - 8:00 P.M.</t>
  </si>
  <si>
    <t>H-400-26186-079188</t>
  </si>
  <si>
    <t>FISHER ISLAND CLUB INC.</t>
  </si>
  <si>
    <t>aborges@fisherislandclub.com</t>
  </si>
  <si>
    <t>+13056042328</t>
  </si>
  <si>
    <t>Supervise and coordinate activities of dining room staff during set up, serving and clearing. Train new food and beverage service staff. Assist with serving of food and beverages as required, particularly in the service of special guests and VIPs. Ensure the highest level of service is provided by the club’s serving staff. Maintain contact with kitchen staff, management, serving staff, and build/maintain rapport with the club members. Prepare staff work schedules. Plan parties or other special events and services as needed. Other reasonable job related responsibilities possible, as required. ***F.a.5 A-H &amp; F.a.6a &amp; F.a.6b 35 hrs/wk minimum. Shifts and shift hours vary Mon-Sun 7a-11p. *** F.b.9a: Raises and/or bonuses may be offered to any worker in the specified occupation at the company’s sole discretion based on individual factors, including work performance, skill or tenure. Transportation to/from work allowance $220.00/month Job Classification: 35-1012.00 - First-Line Supervisors of Food Preparation and Serving Workers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Must be available to work split-shifts, nights, weekends &amp; holidays as needed. Must be able to lift, pull, push or carry up to 25 lbs or more, and walk or stand for long periods of time. Professional appearance, able to communicate in English. Number of Hours Per Week: 35 Work Schedule (Start/End time): 7:00 A.M. - 11:00 P.M.</t>
  </si>
  <si>
    <t>H-400-26186-079189</t>
  </si>
  <si>
    <t>Host / Hostess</t>
  </si>
  <si>
    <t>***Original*** Greets, escorts and provides menus to customers; assists with miscellaneous cleaning/polishing etc. as necessary. May perform other reasonable job related duties as needed ***RFI response*** During periods of high dining volume, may assist the service staff with clearing tables of used linens and utensils. If necessary, may also assist with removing residual water spots from glassware or silverware using a lint-free microfiber cloth. Other reasonable job related duties may include: assigning members to tables suitable for their needs, location preferences, and according to rotation; interacting with members to ensure satisfaction with food and service; maintaining contact with serving staff, kitchen staff, and management to ensure an excellent dining experience for the members. ***F.a.5 A-H &amp; F.a.6a &amp; F.a.6b 35 hrs/wk minimum. Shifts and shift hours vary Mon-Sun 7a-11p. *** F.b.9a: Raises and/or bonuses may be offered to any worker in the specified occupation at the company’s sole discretion based on individual factors, including work performance, skill or tenure. Transportation to/from work allowance $220.00/month Job Classification: 35-9011.00 - Dining Room and Cafeteria Attendants and Bartender Helpers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Must be available to work split-shifts, nights, weekends &amp; holidays as needed. Must be able to lift, pull, push or carry up to 25 lbs or more, and walk or stand for long periods of time. Professional appearance, able to communicate in English. Number of Hours Per Week: 35 Work Schedule (Start/End time): 7:00 A.M. - 11:00 P.M.</t>
  </si>
  <si>
    <t>H-400-26186-079187</t>
  </si>
  <si>
    <t>Prep, season, cook, plate &amp; garnish meals. Measure/mix ingredients per recipe for cooking from scratch. Follow portion control, presentation, consistency, flavor, proper sanitation procedures. Observe/test food cooked. May substitute/assist other cooks in emergencies/rush periods ***F.a.5 A-H &amp; F.a.6a &amp; F.a.6b 35 hrs/wk minimum. Shifts and shift hours vary Mon-Sun 7a-11p. *** F.b.9a: Raises and/or bonuses may be offered to any worker in the specified occupation at the company’s sole discretion based on individual factors, including work performance, skill or tenure. Transportation to/from work allowance $220.00/month Job Classification: 35-2014.00 - Cooks, Restaurant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Must be available to work split-shifts, nights, weekends &amp; holidays as needed. Must be able to lift, pull, push or carry up to 25 lbs or more, and walk or stand for long periods of time. Professional appearance, able to communicate in English. Number of Hours Per Week: 35 Work Schedule (Start/End time): 7:00 A.M. - 11:00 P.M.</t>
  </si>
  <si>
    <t>H-400-26186-079192</t>
  </si>
  <si>
    <t>***Original*** Serve food, water, soft drinks &amp; alcoholic beverages. Present menus, take orders, relay order to kitchen. Complete side work, clear tables, carry dishes from dining room to kitchen, keep station areas clean. Supply clean linens, silverware, glassware, dishes in dining room. Assist with set-up, cleaning, opening/closing of restaurant/food and beverage area. May be required to perform duties in an outdoor environment, at banquet events, or serve customers via golf cart. Other reasonable job related duties as needed. ***RFI response*** Set-up, cleaning, opening/closing of restaurant/food and beverage area tasks may include: clean tables of used linens, china, utensils; set tables with clean linens, china, utensils; set up or break down food buffets. Reasonable job related duties may include: serve condiments and coffee; supply service bar with food; keep buffet replenished with food, dishes, containers and utensils. ***F.a.5 A-H &amp; F.a.6a &amp; F.a.6b 35 hrs/wk minimum. Shifts and shift hours vary Mon-Sun 7a-11p. *** F.b.9a: Tipped position with guaranteed wage rate of $18.71/hr; overtime possible but not guaranteed @ $28.07/hr. Employer will guarantee wage in any given workweek when total compensation (including tips) does not meet prevailing wage rate or overtime wage rate. Raises and/or bonuses may be offered to any worker in the specified occupation at the company’s sole discretion based on individual factors, including work performance, skill or tenure. Transportation to/from work allowance $220.00/month Job Classification: 35-3031.00 - Waiters and Waitresses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Must be available to work split-shifts, nights, weekends &amp; holidays as needed. Must be able to lift, pull, push or carry up to 25 lbs or more, and walk or stand for long periods of time. Professional appearance, able to communicate in English. Number of Hours Per Week: 35 Work Schedule (Start/End time): 7:00 A.M. - 11:00 P.M.</t>
  </si>
  <si>
    <t>H-400-26186-079197</t>
  </si>
  <si>
    <t>Facilitate food service. Clean and clear tables of used linens, china, utensils. Set tables; replenish supply of clean linens, china, utensils. Supply service bar with food. Serve water, condiments, and coffee. Run food from kitchen to patrons’ tables. Help set up / break down buffets and keep buffet replenished with food, dishes, containers and utensils. May perform other reasonable job related duties as needed. ***F.a.5 A-H &amp; F.a.6a &amp; F.a.6b 35 hrs/wk minimum. Shifts and shift hours vary Mon-Sun 7a-11p. *** F.b.9a: Tipped position with guaranteed wage rate of $17.91/hr; overtime possible but not guaranteed @ $26.87/hr. Employer will guarantee wage in any given workweek when total compensation (including tips) does not meet prevailing wage rate or overtime wage rate. Raises and/or bonuses may be offered to any worker in the specified occupation at the company’s sole discretion based on individual factors, including work performance, skill or tenure. Transportation to/from work allowance $220.00/month Job Classification: 35-9011.00 - Dining Room and Cafeteria Attendants and Bartender Helpers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Must be available to work split-shifts, nights, weekends &amp; holidays as needed. Must be able to lift, pull, push or carry up to 25 lbs or more, and walk or stand for long periods of time. Professional appearance, able to communicate in English. Number of Hours Per Week: 35 Work Schedule (Start/End time): 7:00 P.M. - 11:00 P.M.</t>
  </si>
  <si>
    <t>H-400-26186-079191</t>
  </si>
  <si>
    <t xml:space="preserve">FISHER ISLAND CLUB INC. </t>
  </si>
  <si>
    <t>***Original*** Provide assistance at golf / sports / beach / clubhouse facilities including: greet members; confirm reservations; answer inquiries; arrange merchandise and provide facility info; assist guests by handing out fresh towels, cleaning, setting up, or relocating lounge chairs and umbrellas; load/unload golf bags; handle / clean / maintain golf carts, bags, clubs and shoes; keep cart barn and staging area orderly and stocked; occasional trash removal and restroom cleaning; perform other related duties as assigned. ***RFI response*** Other related duties may include: collect golf balls from golf practice range, wash golf balls and keep ready for replenishment; refill water coolers for the players on the golf course when or if needed. ***F.a.5 A-H &amp; F.a.6a &amp; F.a.6b 35 hrs/wk minimum. Shifts and shift hours vary Mon-Sun 7a-11p. *** F.b.9a: Raises and/or bonuses may be offered to any worker in the specified occupation at the company’s sole discretion based on individual factors, including work performance, skill or tenure. Transportation to/from work allowance $220.00/month Job Classification: 37-2011.00 - Janitors and Cleaners, Except Maids and Housekeeping Cleaners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Must be available to work split-shifts, nights, weekends &amp; holidays as needed. Must be able to lift, pull, push or carry up to 25 lbs or more, and walk or stand for long periods of time. Professional appearance, able to communicate in English. Number of Hours Per Week: 35 Work Schedule (Start/End time): 7:00 A.M. - 11:00 P.M.</t>
  </si>
  <si>
    <t>H-400-26186-079223</t>
  </si>
  <si>
    <t>Holiday Lighting of West County</t>
  </si>
  <si>
    <t>holiday.light.westco@gmail.com</t>
  </si>
  <si>
    <t>+16366281503</t>
  </si>
  <si>
    <t>Organize and prepare stock of holiday decor material. Install and/or remove materials from job sites. Load/unload materials and prepare for storage. Lift up to 50lbs. Job Classification: 49-9099.00 - Installation, Maintenance, and Repair Workers, All Other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Pre-hire employer paid drug test required for all U.S. and foreign workers. Number of Hours Per Week: 40 Work Schedule (Start/End time): 7:00 A.M. - 4:00 P.M.</t>
  </si>
  <si>
    <t>H-400-26186-079225</t>
  </si>
  <si>
    <t>Huaroco Landscaping LLC</t>
  </si>
  <si>
    <t>huarocolandscaping@gmail.com</t>
  </si>
  <si>
    <t>+12144500529</t>
  </si>
  <si>
    <t>mow, cut, water, edge lawns and trees, rake and blow leaves, pull and chop weeds, prune and haul topsoil and mulch, plant flowers, shrubs, and trees. Able to lift weight as required to carry and use landscaping equipment and material needed for assigned tasks. Able to tolerate outdoor work temperature (over 90 degrees and under 32 degrees Fahrenheit possible). Job Classification: 37-3011.00 - Landscaping and Groundskeeping Workers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Must be able to lift weight as required to carry and use landscaping equipment and material needed for assigned tasks. Able to tolerate outdoor work temperature expected in St. Louis, MO-IL MSA (over 90 degrees and under 32 degrees Fahrenheit possible). Employer will rely on the representations of potential worker and Employer's observations to determine whether worker meets physical requirements of this position. Number of Hours Per Week: 40 Work Schedule (Start/End time): 8:00 A.M. - 4:30 P.M.</t>
  </si>
  <si>
    <t>H-400-26186-079207</t>
  </si>
  <si>
    <t>Performs various golf course renovation and landscaping tasks, including preparing landscaped and playing surface areas; prepares irrigation system components, glues/fuses connections and tie-ins; installs irrigation lines, wire, and sprinkler heads; utilizes hand tools to install drainage and irrigation tie-ins; spreads and lays materials such as grass seed, sod, greens mix, gravel, and sand; operates mechanized equipment to move and install materials. Laborers assist with the installation of golf course irrigation components. Workers will use landscaping and irrigation equipment, along with hand shovels and other hand tools, to level ground surfaces and prepare areas for irrigation, as needed. WORK IS GENERALLY PERFORMED MON - FRI 7:00 AM - 5:00 PM, BUT WEEKENDS AND OT MAY BE NECESSARY DEPENDING ON THE WEATHER. ***IF NEEDED, EMPLOYER INTENDS TO ASSIST FOREIGN AND NON-LOCAL U.S. WORKERS HIRED PURSUANT TO THIS JOB ORDER TO SECURE WORKER-PAID LODGING NOT TO EXCEED REASONABLE FAIR MARKET VALUE COST Job Classification: 37-3011.00 - Landscaping and Groundskeeping Workers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3 months experience utilizing basic knowledge of golf course layout; understanding of golf course irrigation systems including ability to install/repair key components; knowledge of golf course landscaping tasks including building/repair of greens, tees, and bunkers. 3 months experience operating any one of the following: tractor, skid loader, plows/trencher. Willingness to perform OT, as needed. Number of Hours Per Week: 45 Work Schedule (Start/End time): 7:00 A.M. - 5:00 P.M.</t>
  </si>
  <si>
    <t>H-400-26186-079215</t>
  </si>
  <si>
    <t>Performs various golf course renovation and landscaping tasks, including preparing landscaped and playing surface areas; prepares irrigation system components, glues/fuses connections and tie-ins; installs irrigation lines, wire, and sprinkler heads; utilizes hand tools to install drainage and irrigation tie-ins; spreads and lays materials such as grass seed, sod, greens mix, gravel, and sand; operates mechanized equipment to move and install materials. Laborers assist with the installation of golf course irrigation components. Workers will use landscaping and irrigation equipment, along with hand shovels and other hand tools, to level ground surfaces and prepare areas for irrigation, as needed. WORK IS GENERALLY PERFORMED MON - FRI 7:00 AM - 5:00 PM, BUT WEEKENDS AND OT MAY BE NECESSARY DEPENDING ON THE WEATHER. ***IF NEEDED, EMPLOYER INTENDS TO ASSIST FOREIGN AND NON-LOCAL U.S. WORKERS HIRED PURSUANT TO THIS JOB ORDER TO SECURE WORKER-PAID LODGING NOT TO EXCEED REASONABLE FAIR MARKET VALUE COST. Job Classification: 37-3011.00 - Landscaping and Groundskeeping Workers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3 months experience utilizing basic knowledge of golf course layout; understanding of golf course irrigation systems including ability to install/repair key components; knowledge of golf course landscaping tasks including building/repair of greens, tees, and bunkers. 3 months experience operating any one of the following: tractor, skid loader, plows/trencher. Willingness to perform OT, as needed. Number of Hours Per Week: 45 Work Schedule (Start/End time): 7:00 A.M. - 5:00 P.M.</t>
  </si>
  <si>
    <t>H-400-26186-079210</t>
  </si>
  <si>
    <t>H-400-26186-079221</t>
  </si>
  <si>
    <t>H-400-26186-079237</t>
  </si>
  <si>
    <t>J &amp; M Allen Properties I, LLC</t>
  </si>
  <si>
    <t>mike@allenoutdoorservices.com</t>
  </si>
  <si>
    <t>+15133854775</t>
  </si>
  <si>
    <t>Shovel accumulated deposits of snow on an ongoing basis in extreme weather conditions on various commercial properties. Lifting required up to 50 lbs. Job Classification: 37-2011.00 - Janitors and Cleaners, Except Maids and Housekeeping Cleaners The job/industry classification and description includes general information on the position from ONET/OES and the North American Industry Classification System. Please review Job Duties and Job Order for more information. Job Requirements Experience Required: No Number of Hours Per Week: 40 Work Schedule (Start/End time): 8:00 A.M. - 5:00 P.M.</t>
  </si>
  <si>
    <t>H-400-26186-079172</t>
  </si>
  <si>
    <t>Jorgensen Sales Co., Inc.</t>
  </si>
  <si>
    <t>matt@jorgensensales.com</t>
  </si>
  <si>
    <t>+15027776735</t>
  </si>
  <si>
    <t>Warehouse Helpers</t>
  </si>
  <si>
    <t>Assists warehouse team with unboxing of materials, loading and unloading of materials, and cleaning and removing debris. Job Classification: 53-7062.00 - Laborers and Freight, Stock, and Material Movers, Hand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Must have ability to stand on feet for long hours. Employer will offer 40 hours of work per week Monday through Friday between the hours of 8:00 AM and 5:00 PM. Number of Hours Per Week: 40 Work Schedule (Start/End time): 8:00 A.M. - 5:00 P.M.</t>
  </si>
  <si>
    <t>H-400-26186-079205</t>
  </si>
  <si>
    <t>lampmetaltrusses@outlook.com</t>
  </si>
  <si>
    <t>The truss assembler will work with metal and wood trusses, produce trusses, parts or components for trusses depending on the size and measurements of projects, assemble precut materials, accuracy of assembly, using ruler and gauges, fitting parts together, place metal reinforcement plates over connecting joints and connects parts at joints, may produce or help produce components according to instructions, use hand tools and machines used to build trusses are, but not limited to: hammers, saws, cutting saws, press breaks, jigs and clamps to hold members in place for assembly, laser cutter for precise component cutting, may use lifters for heavy trusses for roof trusses in building construction. May be responsible for pulling plates, stacking of finished product, banding, and marking materials, and pushing products into position by hand or crane on carts to appropriate work area or storing them at the end of the workday to keep the area clean and free of hazardous pieces. Job Classification: 53-7021.00 - Crane and Tower Operators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Three months of experience as truss assembler in residential or commercial construction settings. Must bend, lift, and sustain up to 50 lbs, work under extreme hot weather conditions. Travel will be required within several coutnies, no on-the-job training available, no education required. Post-hire drug test required paid by employer, all US and Guest workers will be screened equally. Number of Hours Per Week: 40 Work Schedule (Start/End time): 7:00 A.M. - 3:00 P.M.</t>
  </si>
  <si>
    <t>H-400-26186-079206</t>
  </si>
  <si>
    <t>MD &amp; MD Restaurant Group, Inc.</t>
  </si>
  <si>
    <t>jc_majarrez@hotmail.com</t>
  </si>
  <si>
    <t>+12707848628</t>
  </si>
  <si>
    <t>**RFI Response** The phrase “prepare sauces and special recipes” in the job description refers to the assembly and preparation of standard, proprietary menu items featuring international flavors. The workers will not create, design, or alter recipes, nor do they exercise independent culinary creativity. The special recipes refer to following standard recipe cards to assemble quick-service international items such as pre-combined and pre-measured spice blends with proteins or assembling ingredients into standard dishes. The preparation of sauces involves mixing pre-packaged ingredients, combining pre-made bases or reheating bulk sauces provided by our supplier to maintain consistent flavor in dishes. We operate a high-volume, premium fast-casual/quick service establishment specializing in a variety of accessible international cuisines. It is not a full-service, sit down or fine dining restaurant. The food prepared consists of standard, quick-preparation international dishes such as quick-serve bowls, wraps, sandwiches, and salads. All food preparation is designed for speed, consistency and volume requiring basic assembly, portioning, and cooking techniques that utilize a microwave, grill, oven, and fryer. The position does not entail advanced culinary expertise or gourmet, from-scratch cooking. **Original** Keep kitchen clean and organized; prepare sauces and special recipes; take inventory; sanitize and manage the cooler and freezer and keep check of temperatures often. Job Classification: 35-2014.00 - Cooks, Restaurant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Must have the ability to stand on feet for many hours. Employer will offer at least 40 hours of work per week, Sunday through Saturday, between the hours of 10:30 AM and 9:30 PM, with varying shifts and varying days off. Employees must be willing to work nights, weekends, and/or holidays as necessary. Number of Hours Per Week: 40 Work Schedule (Start/End time): 10:30 A.M. - 9:30 P.M.</t>
  </si>
  <si>
    <t>H-400-26186-079186</t>
  </si>
  <si>
    <t>Marriott International</t>
  </si>
  <si>
    <t>naplesapplications@ritzcarlton.com</t>
  </si>
  <si>
    <t>+12395986611</t>
  </si>
  <si>
    <t>Guest Environment Expert</t>
  </si>
  <si>
    <t>Duties: Will work at multiple outlets on property. Perform a wide range of housekeeping functions with responsibility for maintaining the appearance and cleanliness of the whole hotel, including rooms and public spaces. Welcome and acknowledge each and every guest with a smile, eye contact, and a friendly verbal greeting, using the guest's name when possible. Anticipate and address guests' service needs. Check that all appliances are present in the room and in working order (e.g., hair dryer, TV, remote, microwave). Clean bathrooms, including bathtub/hot tub/shower, toilet, floor, sink, and mirror. Dust, polish, and remove marks from walls and furnishings (e.g., appliances, furniture, ice bucket, honor bar, baseboards, ledges, entrance door). Remove trash, dirty linen, and room service items from room and balcony/patio. Replace dirty linens (e.g., sheets, pillow cases) and terry (e.g., towels, bathrobes) with clean items, following correct bed making and folding standards. Replace guest amenities and supplies in rooms, such as toiletries, glasses, mugs, linens, towels, tissues, coffee, printed materials, and laundry bags according to standards. Return cart to designated area at the end of shift. Clean and organize items stored in laundry room, supply/storage closets, linen room, and/or uniform room. Fold cleaned linen into designated size, either by hand or using folding machine. Other related duties. Requirements: No education or experience required. Must be able to move, lift, carry, push, pull, and place objects weighing less than or equal to 50 pounds without assistance. Must be able to communicate with our English-speaking guest and employees. Pre-employment Criminal Background Check. Post-employment Drug Tests are administered only if reasonable suspicion present. Pay Rate: $18.60/hr. to $19.10/hr. O/T $27.90 to $28.65/hr. Eligible for multiple benefits including Associate Travel Discounts; Online Store; MEFCU; myCompany Store; myARL; Associate Appreciation Week; Cafeteria – Free meal per shift; Uniform Laundry. For full list of benefits, please contact HR. Shifts: 8am to 4:30pm; 4pm to 10pm; 11pm to 7:30 am (5 rotating days including weekends). Job Classification: 37-2012.00 - Maids and Housekeeping Cleaners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Requirements: No education or experience required. Must be able to move, lift, carry, push, pull, and place objects weighing less than or equal to 50 pounds without assistance. Must be able to communicate with our English-speaking guest and employees. Pre-employment Criminal Background Check. Post-employment Drug Tests are administered only if reasonable suspicion present Number of Hours Per Week: 35 Work Schedule (Start/End time): 8:00 A.M. - 4:30 P.M.</t>
  </si>
  <si>
    <t>H-400-26186-079177</t>
  </si>
  <si>
    <t>***RFI response*** Cook may work at multiple restaurant-style dining outlets, including fine dining and casual restaurants providing table service. The Cook prepares and cooks menu items primarily on an à la carte, made-to-order basis for individual guests, following standardized recipes, quality standards, and presentation guidelines. Limited advance preparation of ingredients is performed as part of normal restaurant kitchen operations. Cooks may also be assigned in our banquet kitchen to prepare large-batch cooking, sauces, and plated or buffet-style meals for large gatherings. The Cook performs routine ingredient preparation duties in support of cooking functions, including preparing small batches of sauces, dressings, and recipe components; preparing fresh fruits and vegetables, including juicing when used as ingredients in menu items; and assisting in preparing and handling specialty ice in accordance with kitchen and restaurant service standards. Tasks are performed using standard kitchen equipment such as knives, cutting boards, mixers, blenders, juicers, refrigeration units, and ice machines. ***Original*** Duties: Will work at multiple outlets on property. Prepare ingredients for cooking and serving, including portioning, chopping, and storing food. Wash and peel fresh fruits and vegetables. Weigh, measure, and mix ingredients. Prepare and cook food according to recipes, quality standards, presentation standards, and food preparation checklist. Prepare cold foods, including batching, juicing and assist in preparing specialty ice for bars and restaurants. Operate ovens, stoves, grills, microwaves, and fryers. Test foods to determine if they have been cooked sufficiently. Monitor food and beverage quality while preparing food and beverage. Set-up and break down work station. Serve food in proper portions onto proper receptacles. Wash and disinfect kitchen area, commissary, tables, tools, knives, and equipment. Check and ensure the correctness of the temperature of appliances and food. Complete all closing duties, locking refrigerators and restocking. Other related duties. Requirements: High School Degree or equivalent required. One year related cook experience required. Must be able to stand, sit, or walk for an extended period of time or for an entire work shift. Reach overhead and below the knees, including bending, twisting, pulling, and stooping. Move, lift, carry, push, pull, and place objects weighing less than or equal to 25 pounds without assistance. Must be able to communicate fluently with our English-speaking guest and employees. Pre-employment Criminal Background Check. Post-employment Drug Tests are administered only if reasonable suspicion present. Pay Rate: $20.37 to $20.60/hr. O/T $30.55 to $30.90 /hr. Eligible for multiple benefits including Associate Travel Discounts; Online Store; MEFCU; myCompany Store; myARL; Associate Appreciation Week; Cafeteria – Free meal per shift; Uniform Laundry. For full list of benefits, please contact HR. Shifts: 4:30AM – 12:30PM; 6:00AM – 2:30PM; 9:00AM – 5:30PM; 2:30PM – 11:00PM; (5 rotating days including weekends). Job Classification: 35-2012.00 - Cooks, Institution and Cafeteria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12 Special Requirements: High School Degree or equivalent required. One year related cook experience required. Must be able to stand, sit, or walk for an extended period of time or for an entire work shift. Reach overhead and below the knees, including bending, twisting, pulling, and stooping. Move, lift, carry, push, pull, and place objects weighing less than or equal to 25 pounds without assistance. Must be able to communicate fluently with our English-speaking guest and employees. Pre-employment Criminal Background Check. Post-employment Drug Tests are administered only if reasonable suspicion present. Number of Hours Per Week: 35 Work Schedule (Start/End time): 4:30 A.M. - 12:30 P.M.</t>
  </si>
  <si>
    <t>H-400-26186-079218</t>
  </si>
  <si>
    <t>MasterCorp Inc</t>
  </si>
  <si>
    <t>guesprograms@mastercorp.com</t>
  </si>
  <si>
    <t>+14077231139</t>
  </si>
  <si>
    <t>Temporary Housekeeping Service Attendant-202</t>
  </si>
  <si>
    <t>RFI Response: Vehicles or utility vehicles are used to delivery linen and terry to guest rooms and guest units. All deliveries are within the resort building or campus which is supported by Employer. Employees will assist in transporting basic housekeeping cleaning tools including vacuums, brooms, mops, cleaning rags and other small cleaning supplies to the guest rooms and/or guest units. Vehicles, including utility vehicles are used to deliver linen and terry to units assigned to be cleaned. Original JDs: Temporary Housekeeping Service Attendants will be responsible for cleaning and maintaining all rooms, suites, and indoor common areas at client properties, which includes but is not limited to vacuuming floors, dusting, laundering and replenishing linens and towels, removing trash from units, stripping units of soiled linen, disinfecting bathrooms, washing windows, reporting lost and found items to Management, assisting in maintaining storage closets, performing weekly service checks, emptying trash, lint traps, and vents. Occasional use of company utility vehicle or company automobile weighing no more than 8,000 lbs. and holds less than 15 passengers to assist with transporting tools and other necessary items within the worksite location in order to perform duties. Other duties as assigned which are related to general functions of housekeeping and cleaning responsibilities which include, walk all assigned buildings or floors to ensure all are free of linen, trash or equipment. Move furniture as directed, make guest deliveries as directed. Assist in linen inventories which includes sorting and cleaning of dirty linen/terry. Fold or iron clean linen/terry and deliver linen/terry supply bags to units. Job Classification: 37-2012.00 - Maids and Housekeeping Cleaners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The petitioner will consider for employment any person who possesses at least three (3) months of experience preferred but not required at a hotel, resort, private club or vacation homes; other hospitality or cleaning experience can be substituted. Number of Hours Per Week: 35 Work Schedule (Start/End time): 9:00 A.M. - 4:00 P.M.</t>
  </si>
  <si>
    <t>H-400-26186-079224</t>
  </si>
  <si>
    <t>Miller's Tree Service, LLC</t>
  </si>
  <si>
    <t>admin@millerstreeservice.com</t>
  </si>
  <si>
    <t>+18507890577</t>
  </si>
  <si>
    <t>Using sophisticated climbing and rigging techniques, cut away dead or excess branches from trees or shrubs to maintain right-of-way for roads, sidewalks, or utilities, or to improve appearance, health, and value of tree. Prune or treat trees or shrubs using handsaws, hand pruners, clippers, and power pruners. Works off the ground in the tree canopy and may use truck-mounted lifts. Must follow all safety regulations and Miller's Tree Service, LLC safety guidelines, including but not limited to employer-provided personal protective equipment. Job Classification: 37-3013.00 - Tree Trimmers and Pruners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6 Special Requirements: Requires six months of tree trimming/climbing experience. Must lift/carry 50 lbs., when necessary. Saturday and Sunday work required, when necessary. Employer-paid drug test required of foreign and domestic workers prior to commencing work. Post-hire employment eligibility (e-Verify) check required of foreign and domestic workers. Employer may offer more than the stated work hours depending on weather, business needs, and other conditions. Extreme heat, cold, rain, or drought may affect exact working hours. Number of Hours Per Week: 40 Work Schedule (Start/End time): 7:00 A.M. - 4:00 P.M.</t>
  </si>
  <si>
    <t>H-400-26186-079219</t>
  </si>
  <si>
    <t>***RFI response*** The men physically lift the pallets of expired milk cartons and place them into the puncturing machine and pull the hydraulic leave of the machine to puncture the milk gallons to allow the milk to collect in the machine. These duties are NOT related to pasteurization. The worker will NOT ship the milk. ***Original*** the laborers use forklifts and pallet jacks to move pallets of expired milk products in gallon containers to machines that will depackage/tear open/puncture the gallon containers to capture the expired milk liquid (it just falls into a collection well under the pallets); the collected milk is pasteurized, chilled back to 36 degrees, and shipped in bulk to the calf ranches for directly feeding to the calves as a liquid. Maintain equipment storage areas to ensure that inventory is protected. Related occupations Read work orders or receive oral instructions to determine work assignments or material or equipment needs. Related occupations Move freight, stock, or other materials to and from storage or production areas, loading docks, delivery vehicles, ships, or containers, by hand or using trucks, tractors, or other equipment. Related occupations Install protective devices, such as bracing, padding, or strapping, to prevent shifting or damage to items being transported. Related occupations Sort cargo before loading and unloading. Job Classification: 53-7051.00 - Industrial Truck and Tractor Operators The job/industry classification and description includes general information on the position from ONET/OES and the North American Industry Classification System. Please review Job Duties and Job Order for more information. Job Requirements Experience Required: No Number of Hours Per Week: 40 Work Schedule (Start/End time): 7:00 A.M. - 4:00 P.M.</t>
  </si>
  <si>
    <t>H-400-26186-079196</t>
  </si>
  <si>
    <t>O'Dwyer Racing, LLC</t>
  </si>
  <si>
    <t>odwyerracing@icloud.com</t>
  </si>
  <si>
    <t>+17192381096</t>
  </si>
  <si>
    <t>Attend to live horses. Duties include feed, water, bathe, exercise, walk and load horses. Clean and maintain stalls. Working split shift. Break area provided. Job Classification: 39-2021.00 - Animal Caretakers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Willingness to work with live horses. Employer will offer at least 40 hours of work per week, Sunday through Saturday, between the hours of 6:00 AM - 11:00 AM and 2:00 PM - 4:00 PM, with varying days off. Number of Hours Per Week: 40 Work Schedule (Start/End time): 6:00 A.M. - 4:00 P.M.</t>
  </si>
  <si>
    <t>H-400-26186-079227</t>
  </si>
  <si>
    <t>PAYALLI CORP</t>
  </si>
  <si>
    <t>kamil@onestopexpo.com</t>
  </si>
  <si>
    <t>+17026771608</t>
  </si>
  <si>
    <t>Carpenter / Exhibit Fabrication Technician</t>
  </si>
  <si>
    <t>Responsible for fabrication, assembly, and preparation of custom exhibition booth components and wood structures. Duties include operating woodworking tools and equipment, preparing materials, assembling booth structures, loading and unloading materials, and assisting with installation and dismantling activities at trade show venues. May assist with onsite setup, repairs, staging, and coordination of booth components during exhibitions. Job Classification: 47-2031.00 - Carpenters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12 Number of Hours Per Week: 40 Work Schedule (Start/End time): 9:00 A.M. - 5:00 P.M.</t>
  </si>
  <si>
    <t>H-400-26186-079226</t>
  </si>
  <si>
    <t>Prepares, seasons and cooks soups, meats, vegetables, fruits, desserts and other miscellaneous foods for consumption; Observe recipe guidelines and sanitation procedures. *Continuation to Section F.a.5 below: 40 hours a week. Shifts will consist of 8 hour shifts that can vary as needed as advertised in State Workforce Agency job order, and in other H2B advertisement sources as per employers recruiting requirements for prospective workers under the H-2B program. Variable shifts over 7 days a week. Shifts may vary: 6am to 11pm. Job Classification: 35-2014.00 - Cooks, Restaurant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Ability TO COMMUNICATE IN ENGLISH. Number of Hours Per Week: 40 Work Schedule (Start/End time): 6:00 A.M. - 11:00 P.M.</t>
  </si>
  <si>
    <t>H-400-26186-079175</t>
  </si>
  <si>
    <t>Wash dishes, glassware, flatware, pots, pans and other utensils by hand or by dishwasher. Maintain kitchen work areas and equipment. Remove trash, mop, clean, load and unload supply deliveries. *Continuation to Section F.a.5 below: 40 hours a week. Shifts will consist of 8 hour shifts that can vary as needed as advertised in State Workforce Agency job order, and in other H2B advertisement sources as per employers recruiting requirements for prospective workers under the H-2B program. Variable shifts over 7 days a week. Shifts may vary: 6am to 11pm. Job Classification: 35-9021.00 - Dishwashers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EMPLOYER REQUIRES PRE-EMPLOYMENT POLICE CLEARANCE AND POST-EMPLOYMENT DRUG TESTING TO BE CARRIED OUT EQUALLY BETWEEN THE U.S. WORKERS AND THE H-2B WORKERS. Ability TO COMMUNICATE IN ENGLISH. Number of Hours Per Week: 40 Work Schedule (Start/End time): 6:00 A.M. - 11:00 P.M.</t>
  </si>
  <si>
    <t>H-400-26186-079233</t>
  </si>
  <si>
    <t>H-400-26186-079180</t>
  </si>
  <si>
    <t>ASSIST SERVERS BY BRINGING BEVERAGES TO THE TABLE, REPLENISHING DRINKS, CLEARING SPENT FLATWARE/CHINA; CLEANING SERVER AREAS AND EQUIPMENT; STOCK ALL WARES AND EQUIPMENT NEEDED FOR SERVICE. *Continuation to Section F.a.5 below: 40 hours a week. Shifts will consist of 8 hour shifts that can vary as needed as advertised in State Workforce Agency job order, and in other H2B advertisement sources as per employers recruiting requirements for prospective workers under the H-2B program. Variable shifts over 7 days a week. Shifts may vary: 6am to 11pm. Job Classification: 35-9011.00 - Dining Room and Cafeteria Attendants and Bartender Helpers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EMPLOYER REQUIRES PRE-EMPLOYMENT POLICE CLEARANCE AND POST-EMPLOYMENT DRUG TESTING TO BE CARRIED OUT EQUALLY BETWEEN THE U.S. WORKERS AND THE H-2B WORKERS. Ability TO COMMUNICATE IN ENGLISH. Number of Hours Per Week: 40 Work Schedule (Start/End time): 6:00 A.M. - 11:00 P.M.</t>
  </si>
  <si>
    <t>H-400-26186-079199</t>
  </si>
  <si>
    <t>St. Andrews Country Club Property Owners Association, Inc.</t>
  </si>
  <si>
    <t>seasonaljobs@standrewscc.com</t>
  </si>
  <si>
    <t>+15614706564</t>
  </si>
  <si>
    <t>H-400-26186-079202</t>
  </si>
  <si>
    <t>Senior Server</t>
  </si>
  <si>
    <t>H-400-26186-079203</t>
  </si>
  <si>
    <t>Clean common areas, hallways, rooms, and locker rooms, dusting, light mopping, vacuuming, and occasional trash/laundry removal. Loads, washes, and stores laundry items, speciﬁcally including washing dining room linens, guest room linens, facility linens, facility uniforms, towels, curtains and decorative textiles. *Continuation to Section F.a.5 below: 40 hours a week. Shifts will consist of 8 hour shifts that can vary as needed as advertised in State Workforce Agency job order, and in other H2B advertisement sources as per employers recruiting requirements for prospective workers under the H-2B program. Variable shifts over 7 days a week. Shifts may vary: 6am to 11pm. Job Classification: 37-2012.00 - Maids and Housekeeping Cleaners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EMPLOYER REQUIRES PRE-EMPLOYMENT POLICE CLEARANCE AND POST-EMPLOYMENT DRUG TESTING TO BE CARRIED OUT EQUALLY BETWEEN THE U.S. WORKERS AND THE H-2B WORKERS. ability TO COMMUNICATE IN ENGLISH. Number of Hours Per Week: 40 Work Schedule (Start/End time): 6:00 A.M. - 11:00 P.M.</t>
  </si>
  <si>
    <t>H-400-26186-079234</t>
  </si>
  <si>
    <t>Prepares, seasons and cooks soups, meats, vegetables, fruits, desserts and other miscellaneous food for consumption; Observes recipe guidelines and sanitation procedures. *Continuation to Section F.a.5 below: 40 hours a week. Shifts will consist of 8 hour shifts that can vary as needed as advertised in State Workforce Agency job order, and in other H2B advertisement sources as per employers recruiting requirements for prospective workers under the H-2B program. Variable shifts over 7 days a week. Shifts may vary: 6am to 11pm. Job Classification: 35-2014.00 - Cooks, Restaurant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EMPLOYER REQUIRES PRE-EMPLOYMENT POLICE CLEARANCE AND POST-EMPLOYMENT DRUG TESTING TO BE CARRIED OUT EQUALLY BETWEEN THE U.S. WORKERS AND THE H-2B WORKERS. ability TO COMMUNICATE IN ENGLISH. Number of Hours Per Week: 40 Work Schedule (Start/End time): 6:00 A.M. - 11:00 P.M.</t>
  </si>
  <si>
    <t>H-400-26186-079236</t>
  </si>
  <si>
    <t>Worker may be required to perform any of the following duties: monitor activities at golf course, tennis complex, aquatic complex and spa and fitness facility; may provide administrative assistance to membership, including checking membership cards, confirming reservations, arranging merchandise and providing facility info; perform minor cleaning of golf carts and clubs and transport members' golf equipment and automobiles to and from the clubhouse facilities. The duties involved with transport members' golf equipment and automobiles to and from the clubhouse facilities task requires meeting the member at the curb; opening the driver’s door immediately upon arrival; and conducting a quick, discreet visual scan for any pre-existing damage; transporting members and their golf equipment bags in their automobile to and from a secure, designated storage area for club members; loading the golf equipment bags from the automobile onto carts and ensuring they are ready for the player on the staging area; cleaning clubs after play, returning golf equipment bags to storage, or transporting them back to the member's automobile; bringing the automobile to the front of the clubhouse facilities upon request of the member. *Continuation to Section F.a.5 below: 40 hours a week. Shifts will consist of 8 hour shifts that can vary as needed as advertised in State Workforce Agency job order, and in other H2B advertisement sources as per employers recruiting requirements for prospective workers under the H-2B program. Variable shifts over 7 days a week. Shifts may vary: 6am to 11pm. Job Classification: 39-3091.00 - Amusement and Recreation Attendants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EMPLOYER REQUIRES PRE-EMPLOYMENT POLICE CLEARANCE AND POST-EMPLOYMENT DRUG TESTING TO BE CARRIED OUT EQUALLY BETWEEN THE U.S. WORKERS AND THE H-2B WORKERS. ability TO COMMUNICATE IN ENGLISH. Number of Hours Per Week: 40 Work Schedule (Start/End time): 6:00 A.M. - 11:00 P.M.</t>
  </si>
  <si>
    <t>H-400-26186-079195</t>
  </si>
  <si>
    <t>Taking beverage order. Prepare mixed drinks and serve the same. Cleans bar area. May be required to take food orders and make knowledgable recommendations regarding wines and other products. Requisition and display liquor and supplies. Must keep bar area clean and work under strictly enforced state code. *Continuation to Section F.a.5 below: 40 hours a week. Shifts will consist of 8 hour shifts that can vary as needed as advertised in State Workforce Agency job order, and in other H2B advertisement sources as per employers recruiting requirements for prospective workers under the H-2B program. Variable shifts over 7 days a week. Shifts may vary: 6am to 11pm. Job Classification: 35-3011.00 - Bartenders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EMPLOYER REQUIRES PRE-EMPLOYMENT POLICE CLEARANCE AND POST-EMPLOYMENT DRUG TESTING TO BE CARRIED OUT EQUALLY BETWEEN THE U.S. WORKERS AND THE H-2B WORKERS. ability TO COMMUNICATE IN ENGLISH. Number of Hours Per Week: 40 Work Schedule (Start/End time): 6:00 A.M. - 11:00 P.M.</t>
  </si>
  <si>
    <t>H-400-26186-079200</t>
  </si>
  <si>
    <t>TOP NOTCH WINTER SERVICES LLC</t>
  </si>
  <si>
    <t>tony@topnotchlawncare.com</t>
  </si>
  <si>
    <t>+15405800830</t>
  </si>
  <si>
    <t>Remove and clean up snow using snow blowers and standard commercial snow shovels, leaf removal, load/unload materials. Lift up to 50 lbs. Job Classification: 37-3011.00 - Landscaping and Groundskeeping Workers The job/industry classification and description includes general information on the position from ONET/OES and the North American Industry Classification System. Please review Job Duties and Job Order for more information. Job Requirements Experience Required: No Number of Hours Per Week: 40 Work Schedule (Start/End time): 7:30 A.M. - 3:30 P.M.</t>
  </si>
  <si>
    <t>H-400-26186-079174</t>
  </si>
  <si>
    <t>Teufel Holly Farms, Inc.</t>
  </si>
  <si>
    <t>oscarg@teufelhollyfarms.com</t>
  </si>
  <si>
    <t>+15032929181</t>
  </si>
  <si>
    <t>***RFI Response*** The branches are already cut before arriving onsite. Employees do not cut or harvest branches from trees at any stage of the process. H-2B workers will not operate forklifts. Forklifts move and stack pallets of finished products for storage and shipment. Employees do not move pallets by hand. Employees will only use a broom and dustpan to sweep greenery debris and dust from the floor. A 1-gallon spray tank will be used to minimize airborne dust while sweeping. Employees will dispose of trash in garbage bins. Employees will take finished wreaths/centerpieces and pack them into boxes based on the product dimensions. Employees will place a kit inside each box, seal the box using a hand tape dispenser or a carton sealer, and stack the sealed boxes onto pallets. This application covers multiple duties involved in the overall wreath production process. Makers assemble wreaths from raw materials. Cutters prepare the noble and fir greenery. Packing and moving duties are combined because employees pack finished wreaths and pass them to the end of the table to be packed onto pallets. ***Original F.a.2*** Makers (All Positions) Primary duties may include: Hand tie or crimp Noble, Cedar, Pine, Holly, etc into Wreaths according to established designs, weights, and sizes. Trim and arrange Noble, Cedar, Pine, Holly, etc into Centerpieces or Swags according to established designs, weights, and sizes. Hand tie or machine tie Noble, Cedar, Pine, etc into Garlands according to established designs, weights, and sizes. Will be expected to work inside (no heat) and outside in all kinds of weather and must have suitable clothing and footwear. Ability to work effectively and in a cohesive team atmosphere. Must be able to work in a safety aware environment. Help maintain housekeeping standards to ensure a clean and safe work environment. Required to attend weekly safety meetings. Work schedule is Monday through Friday, possible weekends. Will be expected to help other positions as required. Any reasonable task request by the company. Cutters (Wreaths &amp; Garlands piecework Swags &amp; Centerpieces hourly): Primary duties may include: Carry, sort, cut greens to specific sizes Noble, Cedar, Pine, Holly, etc. into useable sizes for makers. Will be expected to work inside (no heat) and outside in all kinds of weather and must have suitable clothing and footwear. Ability to work effectively and in a cohesive team atmosphere with all areas. Must be able to work in a safety aware environment. Help maintain housekeeping standards to ensure a clean and safe work environment. Required to attend weekly safety meetings. Work schedule is Monday through Friday, possible weekends. Will be expected to help other positions as required. Any reasonable task request by the company. Hourly Job: Primary duties may include, but not limited too: Carry, sort, cut greens to specific sizes, and pack boughs of noble, cedar and pine. Work with a motorized belt, strapping machine, hand and foot stapling machine, pallet jack, and handheld pruners. Make boxes, pack, strap and palletize boxes or crates. Decorate wreaths and / or centerpieces. Will be expected to work inside (no heat) and outside in all kinds of weather and must have suitable clothing and footwear. May work in a cooler' type environment (approx. 37 degrees) and must have suitable clothing and footwear. Ability to work effectively and in a cohesive team atmosphere. Must be able to work in a safety aware environment. Help maintain housekeeping standards to ensure a clean and safe work environment. Load finish material into trucks Insert wreaths hangers Dump non-reusable greens into trash bins Sweep warehouse Required to attend weekly safety meetings. Wear PPE Work schedule is Monday through Friday, possible weekends. Will be expected to help other positions as required. Any reasonable task request by the company Job Classification: 27-1023.00 - Floral Designers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Ability to lift up to 70 pounds. 3 months experience in production jobs in a commercial or agricultural setting. Able to maneuver around garland machines, production tables, motorized belts, fork lifts, boxes, pallets and crates, inventory, production supplies, etc. Must be able to lift and carry 15-40 pounds repeatedly. Must be able to stand and / or walk 8 to 12 hrs a day. Must have good dexterity skills. Must be able to use pruners and other hand held equipment Number of Hours Per Week: 40 Work Schedule (Start/End time): 6:00 A.M. - 2:30 P.M.</t>
  </si>
  <si>
    <t>H-400-26186-079235</t>
  </si>
  <si>
    <t xml:space="preserve">The Ritz-Carlton Hotel Company LLC </t>
  </si>
  <si>
    <t>mariola.hernandez@ritzcarlton.com</t>
  </si>
  <si>
    <t>+19703431046</t>
  </si>
  <si>
    <t>Duties: Prepare special meals or substitute items. Regulate temperature of ovens, broilers, grills, and roasters. Pull food from freezer storage to thaw in the refrigerator. Ensure proper portion, arrangement, and food garnish. Maintain food logs. Monitor the quality and quantity of food that is prepared. Communicate assistance needed during busy periods. Inform Chef of excess food items for use in daily specials. Inform Food &amp; Beverage service staff of menu specials and out of stock menu items. Ensure the quality of the food items. Prepare and cook food according to recipes, quality standards, presentation standards, and food preparation checklist. Prepare cold foods. Other related duties. Requirements: High School Degree or equivalent required. One year related experience required. On the job training provided. Must be able to stand, sit, or walk for an extended period of time or for an entire work shift. Reach overhead and below the knees, including bending, twisting, pulling, and stooping. Move, lift, carry, push, pull, and place objects weighing less than or equal to 25 pounds without assistance. Pre - employment background check conducted. Pay Rate: $20.60 – 24.00/hr. O/T at $30.90 – $ 36.00/hour, based on experience. Eligible for multiple benefits including Discounted bus pass (public transportation Eagle County); Discounted ski pass (merchant pass – Epic Pass); Access to property chair lift (with applicable pass); Sick emergency time paid – based on Colorado State Law (accrual of 1 hour per 30 hours worked); Complimentary meal per shift; Complimentary Parking and Shuttle Service to/ from property; Complimentary uniform (shoes not included); Marriott Explore Discount (Rooms, Retail, Spa, and F&amp;B); Complimentary fitness center usage on property (Fitness Center Usage Release required); For full list of benefits, please contact HR. Shifts: Min. 35 hours/week. 8 hour shifts. Morning: 5:00AM – 8:00AM through 1PM – 4PM; Afternoon: 2:00PM – 10:00PM; Overnight: 10:30PM – 7:00AM. (5 rotating days including weekends). Job Classification: 35-2014.00 - Cooks, Restaurant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12 Special Requirements: High School Degree or equivalent required. One year related experience required. On the job training provided. Must be able to stand, sit, or walk for an extended period of time or for an entire work shift. Reach overhead and below the knees, including bending, twisting, pulling, and stooping. Move, lift, carry, push, pull, and place objects weighing less than or equal to 25 pounds without assistance. Pre-employment background check conducted. Number of Hours Per Week: 35 Work Schedule (Start/End time): 5:00 A.M. - 1:00 P.M.</t>
  </si>
  <si>
    <t>H-400-26186-079211</t>
  </si>
  <si>
    <t>The Ritz-Carlton Hotel Company, LLC</t>
  </si>
  <si>
    <t>wendy.hunter@ritzcarlton.com</t>
  </si>
  <si>
    <t>+15305623000</t>
  </si>
  <si>
    <t>Duties: Prepare ingredients for cooking, including portioning, chopping, and storing food. Wash and peel fresh fruits and vegetables. Weigh, measure, and mix ingredients. Prepare and cook food according to recipes, quality standards, presentation standards, and food preparation checklist. Prepare cold foods. Operate ovens, stoves, grills, microwaves, and fryers. Test foods to determine if they have been cooked sufficiently. Monitor food quality while preparing food. Set-up and break down workstation. Serve food in proper portions onto proper receptacles. Wash and disinfect kitchen area, tables, tools, knives, and equipment. Check and ensure the correctness of the temperature of appliances and food. Other related duties. Requirements: No education required. Six months related experience required. Must be able to stand, sit, or walk for an extended period of time or for an entire work shift. Reach overhead and below the knees, including bending, twisting, pulling, and stooping. Move, lift, carry, push, pull, and place objects weighing less than or equal to 25 pounds without assistance. Pre-employment Criminal Background Check. On the job training provided. Rate of Pay: Minimum $23.33/hr. O/T $34.99/hr. Eligible for multiple benefits including Associate Travel Discounts; Online Store; MEFCU; myCompany Store; myARL; Associate Appreciation Week; Cafeteria – Free meal per shift; Uniform Laundry. For full list of benefits, please contact HR. Shifts: 6:00AM – 2:30PM; 9:00AM – 5:30PM; 2:30PM – 11:00PM; 10:30PM – 7:00AM. (5 rotating days including weekends). Job Classification: 35-2014.00 - Cooks, Restaurant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6 Special Requirements: No education required. Six months related experience required. Must be able to stand, sit, or walk for an extended period of time or for an entire work shift. Reach overhead and below the knees, including bending, twisting, pulling, and stooping. Move, lift, carry, push, pull, and place objects weighing less than or equal to 25 pounds without assistance. Pre-employment Criminal Background Check. On the job training provided. Number of Hours Per Week: 35 Work Schedule (Start/End time): 6:00 A.M. - 2:30 P.M.</t>
  </si>
  <si>
    <t>H-400-26186-079222</t>
  </si>
  <si>
    <t>Facilities Maintenance Engineer</t>
  </si>
  <si>
    <t>Duties: Respond and attend to guest repair requests. Communicate with guests/customers to resolve maintenance issues with little to no supervision. Perform preventive maintenance on tools and equipment, including cleaning and lubrication. Visually inspect tools, equipment, or machines. Carry equipment (e.g., tools, radio). Identify, locate, and operate all shut-off valves for equipment and shut-offs for buildings. Maintain maintenance inventory and requisition parts and supplies as needed. Assure each day’s activities and problems that occur are communicated to the other shifts using approved communication programs and standards. Troubleshoot and perform basic repair on all types of equipment (e.g., pump and motor replacement), plumbing (e.g., plunge toilets and unclog drains), electrical equipment including lamps, cosmetic items, extension cords, vacuum cleaners, internet devices, replace electrical switches and outlets, and other guestroom items. Requirements: High school diploma or G.E.D. equivalent. One year related experience required. Must be able to move, lift, carry, push, pull, and place objects weighing less than or equal to 50 pounds without assistance and heavier lifting or movement tasks with assistance. Move up and down stairs, service ramps, and/or ladders. Reach overhead and below the knees, including bending, twisting, pulling, and stooping. Enter and locate work-related information using computers. Pre-employment Criminal Background Check. On the job training provided. Rate of Pay: $24.55/hr. O/T $36.83/hr. Eligible for multiple benefits including Associate Travel Discounts; Online Store; MEFCU; myCompany Store; myARL; Associate Appreciation Week; Cafeteria – Free meal per shift; Uniform Laundry. For full list of benefits, please contact HR. Shifts: 6:00AM – 2:30PM; 9:00AM – 5:30PM; 2:30PM – 11:00PM; 10:30PM – 7:00AM. (5 rotating days including weekends). Job Classification: 49-9071.00 - Maintenance and Repair Workers, General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12 Special Requirements: High school diploma or G.E.D. equivalent. One year related experience required. Must be able to move, lift, carry, push, pull, and place objects weighing less than or equal to 50 pounds without assistance and heavier lifting or movement tasks with assistance. Move up and down stairs, service ramps, and/or ladders. Reach overhead and below the knees, including bending, twisting, pulling, and stooping. Enter and locate work-related information using computers. Pre-employment Criminal Background Check. On the job training provided. Number of Hours Per Week: 35 Work Schedule (Start/End time): 6:00 A.M. - 2:30 P.M.</t>
  </si>
  <si>
    <t>H-400-26186-079183</t>
  </si>
  <si>
    <t>Wavertree Stables</t>
  </si>
  <si>
    <t>wavertree@bellsouth.net</t>
  </si>
  <si>
    <t>+13524898440</t>
  </si>
  <si>
    <t>Attend to live horses. Duties include feed, water, bathe, exercise, walk and load horses. Clean and maintain stalls. Working split shift. Break area provided. Job Classification: 39-2021.00 - Animal Caretakers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Willingness to work with live horses. Workers will be offered at least 40 hours of work per week, Monday through Saturday between the hours of 6:00 AM - 11:30 AM and 2:30 PM - 4:00 PM. Number of Hours Per Week: 40 Work Schedule (Start/End time): 6:00 A.M. - 4:00 P.M.</t>
  </si>
  <si>
    <t>H-400-26186-079286</t>
  </si>
  <si>
    <t>+17276235313</t>
  </si>
  <si>
    <t>Waitress</t>
  </si>
  <si>
    <t>Greet and seat guests in a courteous and professional manner Present menus and explain menu items, specials, and beverages Take food and beverage orders accurately Enter orders into point-of-sale systems Serve food and beverages to guests Monitor guest dining experience and respond to requests promptly Prepare tables before and after guest service Process guest payments and provide receipts Maintain cleanliness of dining areas, service stations, and tables Refill beverages, condiments, utensils, and supplies Communicate guest orders and special requests to kitchen staff Follow food safety and sanitation standards Work efficiently during high-volume meal periods and peak tourism operations Job Classification: 35-3031.00 - Waiters and Waitresses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No education or experience required. Employer will provide on-the-job training. Must be able to stand and walk for extended period; life and carry up to 25 pounds; communicate effectively with customers and coworkers; maintain a professional appearance and provide courteous customer service. Must comply with employer policies regarding food safety, sanitation, and workplace safety. Number of Hours Per Week: 40 Work Schedule (Start/End time): 2:00 P.M. - 10:00 P.M.</t>
  </si>
  <si>
    <t>H-400-26186-079267</t>
  </si>
  <si>
    <t>Clean guest rooms, according to preset standards. Principal tasks include but would not be limited to: Vacuuming, dusting, cleaning bathrooms, cleaning kitchens and making beds. Keep cart, linen room and equipment neat and orderly. Follow established chemical procedures. Turn in immediately all articles found in rooms and handle according to Lost and Found procedures. Follow all safety and energy conservation guidelines. Job Classification: 37-2012.00 - Maids and Housekeeping Cleaners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Number of Hours Per Week: 40 Work Schedule (Start/End time): 8:00 A.M. - 4:00 P.M.</t>
  </si>
  <si>
    <t>H-400-26186-079282</t>
  </si>
  <si>
    <t>Belmatt, Inc.</t>
  </si>
  <si>
    <t>jade@targil.com</t>
  </si>
  <si>
    <t>+13379426276</t>
  </si>
  <si>
    <t>Production Room Laborer</t>
  </si>
  <si>
    <t>Job Duties may include: packaging of products; labeling of products; unloading/loading of trucks/crates/pallets/boxes; Load materials and products into package processing equipment; measure, weigh, and count products and materials; bagging products; assemble, line, and pad cartons, crates, and containers; wrapping product on pallets; ensure cleanliness, tidiness, and safety of work area; clean and maintain worksite and equipment. Job Classification: 53-7064.00 - Packers and Packagers, Hand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Repetitive movements; stand/sit for long periods of a time; Number of Hours Per Week: 40 Work Schedule (Start/End time): 4:30 A.M. - 3:00 P.M.</t>
  </si>
  <si>
    <t>H-400-26186-079241</t>
  </si>
  <si>
    <t>H-400-26186-079247</t>
  </si>
  <si>
    <t>Worker may be required to perform any of the following duties: monitor activities at golf course and tennis complex; may provide administrative assistance to membership, including checking membership cards, confirming reservations, arranging merchandise and providing facility info; transport members' golf equipment to and from the clubhouse facilities. *Continuation to Section F.a.5 below: 40 hours a week. Shifts will consist of 8 hour shifts that can vary as needed as advertised in State Workforce Agency job order, and in other H2B advertisement sources as per employers recruiting requirements for prospective workers under the H-2B program. Variable shifts over 7 days a week. Shifts may vary: 6am to 11pm. Job Classification: 39-3091.00 - Amusement and Recreation Attendants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Ability TO COMMUNICATE IN ENGLISH. Number of Hours Per Week: 40 Work Schedule (Start/End time): 6:00 A.M. - 11:00 P.M.</t>
  </si>
  <si>
    <t>H-400-26186-079250</t>
  </si>
  <si>
    <t>Take beverage order. Prepare mixed drinks and serve the same. Cleans bar area. Maybe required to take food orders and make knowledgeable recommendations regarding wines and other products. Requisition and display liquor and supplies. Must keep bar area clean and work under strictly enforced state code. *Continuation to Section F.a.5 below: 40 hours a week. Shifts will consist of 8 hour shifts that can vary as needed as advertised in State Workforce Agency job order, and in other H2B advertisement sources as per employers recruiting requirements for prospective workers under the H-2B program. Variable shifts over 7 days a week. Shifts may vary: 6am to 11pm. Job Classification: 35-3011.00 - Bartenders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ABILITY TO COMMUNICATE IN ENGLISH. Number of Hours Per Week: 40 Work Schedule (Start/End time): 6:00 A.M. - 11:00 P.M.</t>
  </si>
  <si>
    <t>H-400-26186-079291</t>
  </si>
  <si>
    <t>CV Wilkerson LLC</t>
  </si>
  <si>
    <t>imekonnen@acetailors.com</t>
  </si>
  <si>
    <t>+15126586234</t>
  </si>
  <si>
    <t>Tailor</t>
  </si>
  <si>
    <t>Duties: Perform basic to intermediate alterations on a range of garments, including hemming, seam adjustments, zipper replacements, and garment repairs. Interpret and follow alteration instructions or order details without direct client interaction. Operate industrial sewing machines (single-needle, overlock, blind-stitch, etc.) with proficiency. Inspect finished garments for quality, accuracy, and adherence to specifications. Maintain Ace Tailors’ minimum production standards and meet daily output goals. Keep workstations clean, organized, and stocked with necessary tools and supplies. Collaborate with team members to ensure consistent processes and share best practices. Uphold company quality, safety, and professionalism standards at all times. Requirement: Minimum 3 months of Tailor experience on industrial sewing machine. Pay Rate: $18.00 - $25.00 per hour. Overtime possible based on company need paid at $27.00 – $37.50 /hr. Meals provided during shift. Shifts: Minimum 35 per week. 9:00 AM to 5:00 PM; M-F. Weekends are required based on company need. Job Classification: 51-6052.00 - Tailors, Dressmakers, and Custom Sewers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Minimum 3 months of Tailor experience on industrial sewing machine. Number of Hours Per Week: 35 Work Schedule (Start/End time): 9:00 A.M. - 5:00 P.M.</t>
  </si>
  <si>
    <t>H-400-26186-079321</t>
  </si>
  <si>
    <t>ELEVATION TYME MULTI SERVICES LLC</t>
  </si>
  <si>
    <t>BRAVOB17@HOTMAIL.COM</t>
  </si>
  <si>
    <t>Washes and sanitize all kitchen wares including pots, pans, flatware, and glasses, using dishwasher machine in a Diner. Correctly places and stores all clean equipment, dishes, and utensils in assigned storage areas for use. Stocks serving stations, cupboards, refrigerators, and other assigned areas with clean dishes and utensils. Maintain a clean work area and kitchen by sweeping and mopping as needed and emptying trash containers regularly. Job Classification: 35-9021.00 - Dishwashers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SECOND SHIFT- 12PM TO 8:00PM pre-hire criminal background checks to be conducted; Number of Hours Per Week: 35 Work Schedule (Start/End time): 4:00 A.M. - 12:00 P.M.</t>
  </si>
  <si>
    <t>H-400-26187-079324</t>
  </si>
  <si>
    <t>Prepare, season, and cook dishes such as soups, meats, vegetables, or desserts in casual restaurants according to company’s recipes. Perform all cooking duties necessary to ensure that a meal is properly prepared and presented within a specified timeframe. Ensuring that food portions and food presentation meet restaurant standards. Ensuring that food health and safety regulations are followed and may order supplies. The cooking duties will be performed in a casual restaurant where they will be waited on by servers. Job Classification: 35-2014.00 - Cooks, Restaurant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SECOND SHIFT-12:00pm- 8:00pm shifts pre-hire criminal background checks to be conducted Number of Hours Per Week: 35 Work Schedule (Start/End time): 4:00 A.M. - 12:00 P.M.</t>
  </si>
  <si>
    <t>H-400-26186-079309</t>
  </si>
  <si>
    <t>bravob17@hotmail.com</t>
  </si>
  <si>
    <t>Serving food and beverages, or bussing tables. Inspect dining and serving areas to ensure cleanliness and proper setup. Maintain contact with kitchen staff, management and customers to ensure that dining details are handled properly and customers' concerns are addressed. Speak with patrons to ensure satisfaction with food and service, to respond to complaints, or to make conversation. Job Classification: 35-9011.00 - Dining Room and Cafeteria Attendants and Bartender Helpers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SECOND SHIFT- 4:00pm- 12:00am pre-hire criminal background checks to be conducted Number of Hours Per Week: 35 Work Schedule (Start/End time): 8:00 A.M. - 4:00 P.M.</t>
  </si>
  <si>
    <t>H-400-26186-079317</t>
  </si>
  <si>
    <t>Dusting of furniture and cleaning of window dressing, and other interior surfaces, hanging drapes where necessary, sort, count, fold linens, move and arrange furniture and beds in areas necessary, clean bathrooms, cleans wall, vacuum, empty wastebaskets and trash, removal of soiled linen form rooms for laundering, replenish room supplies, clean walkways of buildings and elevators, report observed damaged equipment to the relevant person, check furniture, building and fixtures to make sure they are in good conditions, and keep their surroundings clean. Job Classification: 37-2012.00 - Maids and Housekeeping Cleaners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SECOND SHIFT-5:00pm- 1:00 am pre hire criminal background checks to be conducted Number of Hours Per Week: 35 Work Schedule (Start/End time): 9:00 A.M. - 5:00 P.M.</t>
  </si>
  <si>
    <t>H-400-26186-079312</t>
  </si>
  <si>
    <t>Dusting of furniture and cleaning of window dressing, and other interior surfaces, hanging drapes where necessary, sort, count, fold linens, move and arrange furniture and beds in areas necessary, clean bathrooms, cleans wall, vacuum, empty wastebaskets and trash, removal of soiled linen form rooms for laundering, replenish room supplies, clean walkways of buildings and elevators, report observed damaged equipment to the relevant person, check furniture, building and fixtures to make sure they are in good conditions, and keep their surroundings clean. Job Classification: 37-2012.00 - Maids and Housekeeping Cleaners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SECOND SHIFT- 5:00pm- 1:00 am pre hire criminal background checks to be conducted Number of Hours Per Week: 36 Work Schedule (Start/End time): 9:00 A.M. - 5:00 P.M.</t>
  </si>
  <si>
    <t>H-400-26186-079308</t>
  </si>
  <si>
    <t>FCC Beach &amp; Yacht, LLC</t>
  </si>
  <si>
    <t>Goswamim@fiddlerscreek.com</t>
  </si>
  <si>
    <t>+12397329400</t>
  </si>
  <si>
    <t>Taking beverage order. Prepare mixed drinks and serve the same. Cleans bar area. May be required to take food orders and make knowledgeable recommendations regarding wines and other products. Requisition and display liquor and supplies. Must keep bar area clean and work under strictly enforced state code. *Continuation to Section F.a.5 below: 35 hours a week; Work may be performed on any day of the week from Monday through Sunday. Variable shifts over 7 days a week that can vary as needed as advertised in State Workforce Agency job order, and in other H2B advertisement sources as per employers recruiting requirements for prospective workers under the H2B program; Shifts may vary: 6am to 11pm. Job Classification: 35-3011.00 - Bartenders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EMPLOYER REQUIRES PRE-EMPLOYMENT POLICE CLEARANCE AND POST-EMPLOYMENT DRUG TESTING TO BE CARRIED OUT EQUALLY BETWEEN THE U.S. WORKERS AND H-2B WORKERS. ABILITY TO COMMUNICATE IN ENGLISH. Number of Hours Per Week: 35 Work Schedule (Start/End time): 6:00 A.M. - 11:00 P.M.</t>
  </si>
  <si>
    <t>H-400-26186-079310</t>
  </si>
  <si>
    <t>Greets, escorts and provides menus to customers; assists with misc. cleaning/polishing etc. as necessary. *Continuation to Section F.a.5 below: 35 hours a week; Work may be performed on any day of the week from Monday through Sunday. Variable shifts over 7 days a week that can vary as needed as advertised in State Workforce Agency job order, and in other H2B advertisement sources as per employers recruiting requirements for prospective workers under the H2B program; Shifts may vary: 6am to 11pm. Job Classification: 35-9031.00 - Hosts and Hostesses, Restaurant, Lounge, and Coffee Shop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EMPLOYER REQUIRES PRE-EMPLOYMENT POLICE CLEARANCE AND POST-EMPLOYMENT DRUG TESTING TO BE CARRIED OUT EQUALLY BETWEEN THE U.S. WORKERS AND H-2B WORKERS. ABILITY TO COMMUNICATE IN ENGLISH. Number of Hours Per Week: 35 Work Schedule (Start/End time): 6:00 A.M. - 11:00 P.M.</t>
  </si>
  <si>
    <t>H-400-26186-079314</t>
  </si>
  <si>
    <t>Oversee serving staff during set up, serving and clearing; train new servers on the floor; build/maintain rapport with patrons and members; assume servers duties as required, particularly in the service of special guests of honor and VIPs; required to set an exemplary example and to ensure the highest level of service that is provided by the serving staff. *Continuation to Section F.a.5 below: 35 hours a week; Work may be performed on any day of the week from Monday through Sunday. Variable shifts over 7 days a week that can vary as needed as advertised in State Workforce Agency job order, and in other H2B advertisement sources as per employers recruiting requirements for prospective workers under the H2B program; Shifts may vary: 6am to 11pm. Job Classification: 35-1012.00 - First-Line Supervisors of Food Preparation and Serving Workers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6 Special Requirements: EMPLOYER REQUIRES PRE-EMPLOYMENT POLICE CLEARANCE AND POST-EMPLOYMENT DRUG TESTING TO BE CARRIED OUT EQUALLY BETWEEN THE U.S. WORKERS AND H-2B WORKERS. ABILITY TO COMMUNICATE IN ENGLISH. THE 6 MONTHS EXPERIENCE REQUIRED IN BOX F.A.9, CONTEMPLATES 6 MONTHS EXPERIENCE AS A SERVER OR SENIOR SERVER IN A HOSPITALITY SETTING. Number of Hours Per Week: 35 Work Schedule (Start/End time): 6:00 A.M. - 11:00 P.M.</t>
  </si>
  <si>
    <t>H-400-26186-079315</t>
  </si>
  <si>
    <t>Taking and serving food and beverage orders; Carrying out food and miscellaneous set up and clean up activities; May be required to perform duties in an outdoor environment and at banquet events; may be required to serve customers via golf cart. *Continuation to Section F.a.5 below: 35 hours a week; Work may be performed on any day of the week from Monday through Sunday. Variable shifts over 7 days a week that can vary as needed as advertised in State Workforce Agency job order, and in other H2B advertisement sources as per employers recruiting requirements for prospective workers under the H2B program; Shifts may vary: 6am to 11pm. Job Classification: 35-3031.00 - Waiters and Waitresses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EMPLOYER REQUIRES PRE-EMPLOYMENT POLICE CLEARANCE AND POST-EMPLOYMENT DRUG TESTING TO BE CARRIED OUT EQUALLY BETWEEN THE U.S. WORKERS AND H-2B WORKERS. ABILITY TO COMMUNICATE IN ENGLISH. Number of Hours Per Week: 35 Work Schedule (Start/End time): 6:00 A.M. - 11:00 P.M.</t>
  </si>
  <si>
    <t>H-400-26186-079311</t>
  </si>
  <si>
    <t>Prepares, seasons and cooks soups, meats, vegetables, fruits, desserts and other miscellaneous food for consumption; Observes recipe guidelines and sanitation procedures. *Continuation to Section F.a.5 below: 35 hours a week; Work may be performed on any day of the week from Monday through Sunday. Variable shifts over 7 days a week that can vary as needed as advertised in State Workforce Agency job order, and in other H2B advertisement sources as per employers recruiting requirements for prospective workers under the H2B program; Shifts may vary: 6am to 11pm. Job Classification: 35-2014.00 - Cooks, Restaurant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EMPLOYER REQUIRES PRE-EMPLOYMENT POLICE CLEARANCE AND POST-EMPLOYMENT DRUG TESTING TO BE CARRIED OUT EQUALLY BETWEEN THE U.S. WORKERS AND H-2B WORKERS. ABILITY TO COMMUNICATE IN ENGLISH. Number of Hours Per Week: 35 Work Schedule (Start/End time): 6:00 A.M. - 11:00 P.M.</t>
  </si>
  <si>
    <t>H-400-26186-079320</t>
  </si>
  <si>
    <t>Worker may be required to perform any of the following duties: monitor activities at golf course, tennis complex, aquatic complex and spa and fitness facility; may provide administrative assistance to membership, including checking membership cards, confirming reservations, arranging merchandise and providing facility information; perform minor cleaning of golf carts and clubs and transport members' golf equipment and automobiles to and from the facilities. The duties involved with and transport members' golf equipment and automobiles to and from the clubhouse facilities task requires meeting the member at the curb; opening the driver’s door immediately upon arrival; and conducting a quick, discreet visual scan for any pre-existing damage; transporting members and their golf equipment bags in their automobile to and from a secure, designated storage area for club members; loading the golf equipment bags from the automobile onto carts and ensuring they are ready for the player on the staging area; cleaning clubs after play, returning golf equipment bags to storage, or transporting them back to the member's automobile; bringing the automobile to the front of the clubhouse facilities upon request of the member. *Continuation to Section F.a.5 below: 35 hours a week; Work may be performed on any day of the week from Monday through Sunday. Variable shifts over 7 days a week that can vary as needed as advertised in State Workforce Agency job order, and in other H2B advertisement sources as per employers recruiting requirements for prospective workers under the H2B program; Shifts may vary: 6am to 11pm. Job Classification: 53-6021.00 - Parking Attendants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EMPLOYER REQUIRES PRE-EMPLOYMENT POLICE CLEARANCE AND POST-EMPLOYMENT DRUG TESTING TO BE CARRIED OUT EQUALLY BETWEEN THE U.S. WORKERS AND H-2B WORKERS. ABILITY TO COMMUNICATE IN ENGLISH. Number of Hours Per Week: 35 Work Schedule (Start/End time): 6:00 A.M. - 11:00 P.M.</t>
  </si>
  <si>
    <t>H-400-26186-079292</t>
  </si>
  <si>
    <t>Fiddler’s Creek Foundation, Inc</t>
  </si>
  <si>
    <t>H-400-26186-079295</t>
  </si>
  <si>
    <t>H-400-26186-079296</t>
  </si>
  <si>
    <t>Oversee serving staff during set up, serving and clearing; train new servers on the floor; build/maintain rapport with the club members; assume servers duties as required, particularly in the service of special guests of honor and VIPs; required to set an exemplary example and to ensure the highest level of service that is provided by the club's serving staff. *Continuation to Section F.a.5 below: 35 hours a week; Work may be performed on any day of the week from Monday through Sunday. Variable shifts over 7 days a week that can vary as needed as advertised in State Workforce Agency job order, and in other H2B advertisement sources as per employers recruiting requirements for prospective workers under the H2B program; Shifts may vary: 6am to 11pm. Job Classification: 35-1012.00 - First-Line Supervisors of Food Preparation and Serving Workers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6 Special Requirements: EMPLOYER REQUIRES PRE-EMPLOYMENT POLICE CLEARANCE AND POST-EMPLOYMENT DRUG TESTING TO BE CARRIED OUT EQUALLY BETWEEN THE U.S. WORKERS AND H-2B WORKERS. ABILITY TO COMMUNICATE IN ENGLISH. THE 6 MONTHS EXPERIENCE REQUIRED IN BOX F.A.9, CONTEMPLATES 6 MONTHS EXPERIENCE AS A SERVER OR SENIOR SERVER IN A HOSPITALITY SETTING. Number of Hours Per Week: 35 Work Schedule (Start/End time): 6:00 A.M. - 11:00 P.M.</t>
  </si>
  <si>
    <t>H-400-26186-079301</t>
  </si>
  <si>
    <t>H-400-26186-079304</t>
  </si>
  <si>
    <t>Worker may be required to perform any of the following duties: monitor activities at golf course, tennis complex, aquatic complex and spa and fitness facility; may provide administrative assistance to membership, including checking membership cards, confirming reservations, arranging merchandise and providing facility information; perform minor cleaning of golf carts and clubs and transport members' golf equipment and automobiles to and from the clubhouse facilities. The duties involved with and transport members' golf equipment and automobiles to and from the clubhouse facilities task requires meeting the member at the curb; opening the driver’s door immediately upon arrival; and conducting a quick, discreet visual scan for any pre-existing damage; transporting members and their golf equipment bags in their automobile to and from a secure, designated storage area for club members; loading the golf equipment bags from the automobile onto carts and ensuring they are ready for the player on the staging area; cleaning clubs after play, returning golf equipment bags to storage, or transporting them back to the member's automobile; bringing the automobile to the front of the clubhouse facilities upon request of the member. *Continuation to Section F.a.5 below: 35 hours a week; Work may be performed on any day of the week from Monday through Sunday. Variable shifts over 7 days a week that can vary as needed as advertised in State Workforce Agency job order, and in other H2B advertisement sources as per employers recruiting requirements for prospective workers under the H2B program; Shifts may vary: 6am to 11pm. Job Classification: 53-6021.00 - Parking Attendants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EMPLOYER REQUIRES PRE-EMPLOYMENT POLICE CLEARANCE AND POST-EMPLOYMENT DRUG TESTING TO BE CARRIED OUT EQUALLY BETWEEN THE U.S. WORKERS AND H-2B WORKERS. ABILITY TO COMMUNICATE IN ENGLISH. Number of Hours Per Week: 35 Work Schedule (Start/End time): 6:00 A.M. - 11:00 P.M.</t>
  </si>
  <si>
    <t>H-400-26186-079289</t>
  </si>
  <si>
    <t>H-400-26186-079260</t>
  </si>
  <si>
    <t>Fontaine Roofiing and Siding Inc</t>
  </si>
  <si>
    <t>customerservice@fontaineroofing.com</t>
  </si>
  <si>
    <t>+18026718141</t>
  </si>
  <si>
    <t>Helpers-roofing and Siding</t>
  </si>
  <si>
    <t>Help roofers and siding workers by performing duties requiring less skill. Duties include using, supplying, or holding materials or tools, and cleaning work area and equipment. Check to ensure that completed roofs are watertight. Sweep and clean roofs to prepare them for the application of new roofing material. Locate worn or torn areas in roofs. Maintain tools and equipment. Assist experienced workers with installing siding. Load and unload materials onto the trucks. The roofing part of my business is 80%. The siding Business is 20%. Job Classification: 47-3016.00 - Helpers--Roofers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Be able to list up to 50 pounds. Number of Hours Per Week: 47 Work Schedule (Start/End time): 7:30 A.M. - 5:00 P.M.</t>
  </si>
  <si>
    <t>H-400-26186-079306</t>
  </si>
  <si>
    <t>GREEN LEAF INNOVATIONS INC</t>
  </si>
  <si>
    <t>egonzalez@greenleaf.group</t>
  </si>
  <si>
    <t>+19194540622</t>
  </si>
  <si>
    <t>REMOVE SNOW USING A SNOW SHOVEL AND APPLY ICE/SALT MELT USING A WALK BEHIND SPREADER. 50LBS LIFTING REQUIREMENTS Job Classification: 37-2011.00 - Janitors and Cleaners, Except Maids and Housekeeping Cleaners The job/industry classification and description includes general information on the position from ONET/OES and the North American Industry Classification System. Please review Job Duties and Job Order for more information. Job Requirements Experience Required: No Number of Hours Per Week: 40 Work Schedule (Start/End time): 7:00 A.M. - 4:00 P.M.</t>
  </si>
  <si>
    <t>H-400-26186-079307</t>
  </si>
  <si>
    <t>H-400-26186-079303</t>
  </si>
  <si>
    <t xml:space="preserve">Home Fashions International </t>
  </si>
  <si>
    <t>Dan Revich</t>
  </si>
  <si>
    <t>jobs@westgatehome.com</t>
  </si>
  <si>
    <t>+18644870011</t>
  </si>
  <si>
    <t>Pillow Factory Worker</t>
  </si>
  <si>
    <t>Fill seasonal decorative pillows shells and outdoor cushion covers with polyester fiber or foam inserts. Stage polyester fiber and foam inserts at the appropriate production location. Operate polyester fiber blowing / filling machine. Operate cushion core insert machine. Operate sewing machines as required to close filled pillow and cushion openings. Inspect, and pack pillows and cushions. Load polyester fiber into the densified polyester production line. Transfer densified polyester cushion inserts from the production line for transfer to the cushion insert line. Transfer packed finished pillows and cushions to the warehouse utilizing pallet jacks and conveyor belts. Load trucks with finished products for shipment to customer. No forklift operation required. Specific duties include: Receive raw material for pillows and cushions. Stage raw material at production line. Load fiber into hoppers. Fill pillows at blowing machine. Fill cushions with densified fiber on stuffing machines. Close pillows with sewing machine and/or install zippers. Close cushions with sewing machines and/or manually close zippers. Offload cushion inserts from the end of the production line. Pack finished pillows and cushions into cartons. Apply appropriate product identification markers and shipping labels. Palletize cartons of completed pillows and apply plastic shrink wrap. Preparing Pallets for forklift operators to transport. Transfer finished pillow products to warehouse by conveyor belt or pallet jack. Down-stack and floor-load Pallets by hand. Pull warehouse production for Shipping department. Deliver Pallets to the dock from the warehouse by conveyor belt or pallet jack. Use Roller Belts to move cartons into the truck trailer. Load trucks for customer shipments. Receive and stage fiber for densified polyester production line. Offload densified polyester cushions from production line and load into transfer bins. Move densified cushion inserts to production area for production. Job Classification: 51-9199.00 - Production Workers, All Other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May be required to work night shifts Number of Hours Per Week: 40 Work Schedule (Start/End time): 8:00 A.M. - 4:30 P.M.</t>
  </si>
  <si>
    <t>H-400-26186-079258</t>
  </si>
  <si>
    <t>KNL Equipment Lease Co.</t>
  </si>
  <si>
    <t>tiffany@simplifiedlandscape.com</t>
  </si>
  <si>
    <t>Sidewalk shoveling, shovel accumulated deposits of snow on an ongoing basis in extreme weather conditions on various properties, operate snowblower. Lifting required up to 50 lbs. Job Classification: 37-2011.00 - Janitors and Cleaners, Except Maids and Housekeeping Cleaners The job/industry classification and description includes general information on the position from ONET/OES and the North American Industry Classification System. Please review Job Duties and Job Order for more information. Job Requirements Experience Required: No Number of Hours Per Week: 40 Work Schedule (Start/End time): 6:00 A.M. - 2:00 P.M.</t>
  </si>
  <si>
    <t>H-400-26186-079270</t>
  </si>
  <si>
    <t>H-400-26186-079287</t>
  </si>
  <si>
    <t>guestprograms@mastercorp.com</t>
  </si>
  <si>
    <t>Temporary Housekeeping Service Attendant-148</t>
  </si>
  <si>
    <t>RFI Response: The employee may operate a company vehicle under 8,000 lbs with fewer than 15 passengers; no specific SUV, van, or truck type is designated. Vehicles or utility vehicles are used within the resort property to transport linen, terry items (e.g., towels, washcloths, bath mats), and basic housekeeping supplies such as vacuums, mops, brooms, and cleaning materials. All transportation occurs within the employer’s resort campus. Employees may occasionally transport coworkers to or from optional employer-provided housing, if properly licensed and approved under company policy. Housekeeping duties include making guest deliveries such as towels, toiletries, linens, and kitchen items directly to occupied units; these deliveries do not require motorized vehicles. Furniture movement is limited to temporary repositioning of standard in-room items (e.g., beds, chairs, tables) as part of routine cleaning, using equipment such as dollies and back support belts when needed. This does not involve renovation or refurbishment work. Service checks on lint traps and vents refer to standard guest room appliances (in-unit washers/dryers and HVAC vents), not commercial laundry facilities. Original JDs: Temporary Housekeeping Service Attendants will be responsible for cleaning and maintaining all rooms, suites, and indoor common areas at client properties, which includes but is not limited to vacuuming floors, dusting, laundering and replenishing linens and towels, removing trash from units, stripping units of soiled linen, disinfecting bathrooms, washing windows, reporting lost and found items to Management, assisting in maintaining storage closets, performing weekly service checks, emptying trash, lint traps, and vents. Occasional use of company utility vehicle or company automobile weighing no more than 8,000 lbs. and holds less than 15 passengers to assist with transporting tools and other necessary items within the worksite location in order to perform duties. Other duties as assigned which are related to general functions of housekeeping and cleaning responsibilities which include, walk all assigned buildings or floors to ensure all are free of linen, trash or equipment. Move furniture as directed, make guest deliveries as directed. Assist in linen inventories which includes sorting and cleaning of dirty linen/terry. Fold or iron clean linen/terry and deliver linen/terry supply bags to units. Job Classification: 37-2012.00 - Maids and Housekeeping Cleaners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The petitioner will consider for employment any person who possesses at least three (3) months of experience preferred but not required at a hotel, resort, private club or vacation homes; other hospitality or cleaning experience can be substituted. Number of Hours Per Week: 35 Work Schedule (Start/End time): 9:00 A.M. - 4:00 P.M.</t>
  </si>
  <si>
    <t>H-400-26186-079264</t>
  </si>
  <si>
    <t>H-400-26186-079261</t>
  </si>
  <si>
    <t>Prepares, seasons and cooks soups, meats, vegetables, fruits, desserts and other miscellaneous food for consumption; Observes recipe guidelines and sanitation procedures. *Continuation to Section F.a.5 below: 40 hours a week. Shifts will consist of 8 hour shifts that can vary as needed as advertised in State Workforce Agency job order, and in other H2B advertisement sources as per employers recruiting requirements for prospective workers under the H-2B program. Variable shifts over 7 days a week. Shifts may vary: 6am to 11pm. Job Classification: 35-2014.00 - Cooks, Restaurant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EMPLOYER REQUIRES PRE-EMPLOYMENT POLICE CLEARANCE AND POST-EMPLOYMENT DRUG TESTING TO BE CARRIED OUT EQUALLY BETWEEN THE U.S. WORKERS AND THE H-2B WORKERS. Ability TO COMMUNICATE IN ENGLISH. Number of Hours Per Week: 40 Work Schedule (Start/End time): 6:00 A.M. - 11:00 P.M.</t>
  </si>
  <si>
    <t>H-400-26186-079272</t>
  </si>
  <si>
    <t>Worker may be required to perform any of the following duties: monitor activities at golf course and tennis complex; may provide administrative assistance to membership, including checking membership cards, confirming reservations, arranging merchandise and providing facility info; transport members' golf equipment to and from the clubhouse facilities. The duties involved with transport members' golf equipment to and from the clubhouse facilities task requires meeting members at the bag drop area of the clubhouse facilities and unloading golf clubs from personal vehicles; transporting bags to and from a secure, designated storage area for club members; loading the golf bags onto carts and ensuring they are ready for the player on the staging area; cleaning clubs after play, returning bags to storage, or transporting them back to the member's car. *Continuation to Section F.a.5 below: 40 hours a week. Shifts will consist of 8 hour shifts that can vary as needed as advertised in State Workforce Agency job order, and in other H2B advertisement sources as per employers recruiting requirements for prospective workers under the H-2B program. Variable shifts over 7 days a week. Shifts may vary: 6am to 11pm. Job Classification: 39-3091.00 - Amusement and Recreation Attendants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EMPLOYER REQUIRES PRE-EMPLOYMENT POLICE CLEARANCE AND POST-EMPLOYMENT DRUG TESTING TO BE CARRIED OUT EQUALLY BETWEEN THE U.S. WORKERS AND THE H-2B WORKERS. Ability TO COMMUNICATE IN ENGLISH. Number of Hours Per Week: 40 Work Schedule (Start/End time): 6:00 A.M. - 11:00 P.M.</t>
  </si>
  <si>
    <t>H-400-26186-079294</t>
  </si>
  <si>
    <t>H-400-26187-079330</t>
  </si>
  <si>
    <t>One Love Hospitality and Landscape Services LLC</t>
  </si>
  <si>
    <t>+19028641369</t>
  </si>
  <si>
    <t>Scrape, rinse, and load dishes and utensils into dish machine. Wash and sanitize all pans, utensils, and dishes. Clean, sanitize, and maintain dish machine. Unload dishes and utensils from dish machine and organize them properly. Empty trash containers regularly. Job Classification: 35-9021.00 - Dishwashers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SECOND SHIFT:12:00pm- 8:00pm shifts pre-hire criminal background checks to be conducted Number of Hours Per Week: 35 Work Schedule (Start/End time): 4:00 A.M. - 12:00 P.M.</t>
  </si>
  <si>
    <t>H-400-26187-079333</t>
  </si>
  <si>
    <t>Prepare, season, and cook dishes such as soups, meats, vegetables, or desserts in restaurants. May order supplies, keep records and accounts, price items on menu, or plan menu. Job Classification: 35-2014.00 - Cooks, Restaurant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pre-hire criminal background checks to be conducted SECOND SHIFT 12:00pm- 8:00pm shifts Number of Hours Per Week: 35 Work Schedule (Start/End time): 4:00 A.M. - 12:00 P.M.</t>
  </si>
  <si>
    <t>H-400-26186-079313</t>
  </si>
  <si>
    <t>R&amp;A Oyster Company Inc.</t>
  </si>
  <si>
    <t>ross@raoyster.com</t>
  </si>
  <si>
    <t>+12518241443</t>
  </si>
  <si>
    <t>Floor Worker</t>
  </si>
  <si>
    <t>Lift sacks of oysters (50+ lbs) on conveyor to wash, grade, and process through high pressure processing machine. Shuck oysters, box and run through cryogenic freezer for cold storage. Follow food safety requirements and wash work area after processing. Job Classification: 51-9032.00 - Cutting and Slicing Machine Setters, Operators, and Tenders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Applicants may be required to undergo post-hire/pre-employment drug screen. Number of Hours Per Week: 42 Work Schedule (Start/End time): 6:00 A.M. - 2:00 P.M.</t>
  </si>
  <si>
    <t>H-400-26186-079265</t>
  </si>
  <si>
    <t>Reser's Fine Foods, Inc</t>
  </si>
  <si>
    <t>BelindaR@Resers.com</t>
  </si>
  <si>
    <t>+17852765108</t>
  </si>
  <si>
    <t>Packager</t>
  </si>
  <si>
    <t>Prepares and assembles product packaging and containers. Inspects and examines boxes, containers, materials, and products to ensure packaging meets company specifications, quality standards, as well as undamaged and correct for the product. Disposes of defective or damaged products or packaging in designated bins. Verifies product packaging dates and weights are accurate and within specifications. Seals packages and containers once filled with product. Maintains a clean, organized work area. Follows company safety guidelines and Good Manufacturing Practices (GMP). Job Classification: 53-7064.00 - Packers and Packagers, Hand The job/industry classification and description includes general information on the position from ONET/OES and the North American Industry Classification System. Please review Job Duties and Job Order for more information. Job Requirements Experience Required: No Number of Hours Per Week: 40 Work Schedule (Start/End time): 2:00 A.M. - 10:00 A.M.</t>
  </si>
  <si>
    <t>H-400-26186-079318</t>
  </si>
  <si>
    <t>STEVE'S LAWNS &amp; MASONRY LLC</t>
  </si>
  <si>
    <t>melissa@steveslawnandmasonry.com</t>
  </si>
  <si>
    <t>+18454261224</t>
  </si>
  <si>
    <t>REMOVAL OF BRUSH FROM COMMERICAL PROPERTIES, SHOVELING AND CLEARING OF SNOW, BLOWING OFF AND RAKING UP OF LEAVES, STICKS &amp; DEBRIS FROM PROPERTIES AND PARKING LOTS. Job Classification: 37-3011.00 - Landscaping and Groundskeeping Workers The job/industry classification and description includes general information on the position from ONET/OES and the North American Industry Classification System. Please review Job Duties and Job Order for more information. Job Requirements Experience Required: No Number of Hours Per Week: 40 Work Schedule (Start/End time): 8:00 A.M. - 5:00 P.M.</t>
  </si>
  <si>
    <t>H-400-26186-079276</t>
  </si>
  <si>
    <t>Scott Heleva &amp; Timothy Emery Partnership</t>
  </si>
  <si>
    <t>precisionpatios@yahoo.com</t>
  </si>
  <si>
    <t>+14842393651</t>
  </si>
  <si>
    <t>H-400-26186-079266</t>
  </si>
  <si>
    <t>Superscapes Opco, LLC</t>
  </si>
  <si>
    <t>hr@superscapes.net</t>
  </si>
  <si>
    <t>+19727120353</t>
  </si>
  <si>
    <t>Remove and trim bushes, dispose of brush, rake and clean up ground and leftover debris, landscape planting, spreading mulch, leaf removal, install rye-grass seed, winter maintenance of athletic fields. Job Classification: 37-3011.00 - Landscaping and Groundskeeping Workers The job/industry classification and description includes general information on the position from ONET/OES and the North American Industry Classification System. Please review Job Duties and Job Order for more information. Job Requirements Experience Required: No Number of Hours Per Week: 40 Work Schedule (Start/End time): 7:00 A.M. - 4:06 P.M.</t>
  </si>
  <si>
    <t>H-400-26186-079240</t>
  </si>
  <si>
    <t>Concierge</t>
  </si>
  <si>
    <t>Duties: Respond to guest requests for special arrangements or services (e.g., transportation, reservations, dry cleaning) by making arrangements or identifying appropriate providers. Respond to special requests from guests with unique needs and follow up to ensure satisfaction. Gather, summarize, and provide information to guests about the property and the surrounding area amenities, including special events and activities. Answer, record, and process all guest calls, messages, requests, questions, or concerns. Contact appropriate individual or department (e.g., Bellperson, Housekeeping) as necessary to resolve guest call, request, or problem. Review shift logs/daily memo books and document pertinent information in logbooks. Monitor club lounge for seating availability, service, safety, and well-being of guests. Report accidents, injuries, and unsafe work conditions to manager; and complete safety training and certifications. Welcome and acknowledge all guests. Address guests’ service needs, assist individuals with disabilities, and thank guests with genuine appreciation. Requirements: High School Degree or equivalent required. One-year related experience required. On the job training provided. Stand, sit, or walk for an extended period of time or for an entire work shift. Move, lift, carry, push, pull, and place objects weighing less than or equal to 10 pounds without assistance. Pre-employment background check conducted. Pay Rate:$23.07/hr. O/T at $34.61/hr. Eligible for multiple benefits including Discounted bus pass (public transportation Eagle County); Discounted ski pass (merchant pass – Epic Pass); Access to property chair lift (with applicable pass); Sick emergency time paid – based on Colorado State Law (accrual of 1 hour per 30 hours worked); Complimentary meal per shift; Complimentary Parking and Shuttle Service to/ from property; Complimentary uniform (shoes not included); Marriott Explore Discount (Rooms, Retail, Spa, and F&amp;B); Complimentary fitness center usage on property (Fitness Center Usage Release required); For full list of benefits, please contact HR. Shifts: Min. 35 hours/week. 8 hour shifts. Morning: 5:00AM – 8:00AM through 1PM – 4PM; Afternoon: 2:00PM – 10:00PM; Overnight: 10:30PM – 7:00AM. (5 rotating days including weekends). Job Classification: 39-6012.00 - Concierges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12 Special Requirements: High School Degree or equivalent required. One-year related experience required. On the job training provided. Stand, sit, or walk for an extended period of time or for an entire work shift. Move, lift, carry, push, pull, and place objects weighing less than or equal to 10 pounds without assistance. Pre-employment background check conducted. Number of Hours Per Week: 35 Work Schedule (Start/End time): 5:00 A.M. - 1:00 P.M.</t>
  </si>
  <si>
    <t>H-400-26186-079253</t>
  </si>
  <si>
    <t>Guest Experience Expert</t>
  </si>
  <si>
    <t>Duties: Take the initiative to deliver a wide range of services that guide guests through their entire stay. Process operational needs (e.g. process check-ins, check-outs, payments), address guest requests, completing reports (e.g. GXP report, track of amenities, leave &amp; arrivals, Bonvoy members, track of cancellations, guest details reports), or share the highlights of the local area, the Guest Experience Expert makes transactions feel like part of the experience. Actively listen and respond positively to guest questions, concerns, and requests. Address guests' service needs in a professional, positive, and timely manner. Assist other employees to ensure proper coverage and prompt guest service. Engage guests in conversation regarding their stay, property services, and area attractions/offerings, including social media where appropriate. Stay up-to-date on the local area so that you are prepared to provide specific recommendations for guests. Organize and coordinate check-in/pre-registration procedures for arriving groups. Process all check-outs including express check-outs, resolving any late and disputed charges, settling account, retrieving room key, and requesting comments on guest's stay. Process all guest check-ins by confirming reservations in computer system. Secure valid form of payment (e.g., credit card, cash) prior to issuing room key. Process all payment types such as room charges, cash, checks, debit, or credit. Verify and adjust billing for guests. Arrange transportation (e.g., taxi cab, shuttle bus) for guests/residents/visitors, and record advance transportation request as needed. Contact appropriate individual or department (e.g., Bellperson, Front Desk, Housekeeping, Engineering, Security/Loss Prevention) as necessary to resolve guest call, request, or problem. Other related duties. Requirements: High School Degree or equivalent required. One year related experience required. On the job training provided. Must be on their feet and moving around (stand, sit, or walk for an extended time) and taking a hands-on approach to work (move, lift, carry, push, pull, and place objects weighing less than or equal to 10 pounds without assistance). Pre-employment background check conducted. Pay Rate:$23.00/hr. O/T at $34.50/hr. Eligible for multiple benefits including Discounted bus pass (public transportation Eagle County); Discounted ski pass (merchant pass – Epic Pass); Access to property chair lift (with applicable pass); Sick emergency time paid – based on Colorado State Law (accrual of 1 hour per 30 hours worked); Complimentary meal per shift; Complimentary Parking and Shuttle Service to/ from property; Complimentary uniform (shoes not included); Marriott Explore Discount (Rooms, Retail, Spa, and F&amp;B); Complimentary fitness center usage on property (Fitness Center Usage Release required); For full list of benefits, please contact HR. Shifts: Min. 35 hours/week. 8 hour shifts. Morning: 5:00AM – 8:00AM through 1PM – 4PM; Afternoon: 2:00PM – 10:00PM; Overnight: 10:30PM – 7:00AM. (5 rotating days including weekends). Job Classification: 39-6012.00 - Concierges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12 Special Requirements: High School Degree or equivalent required. One-year related experience required. On the job training provided. Must be on their feet and moving around (stand, sit, or walk for an extended time) and taking a hands-on approach to work (move, lift, carry, push, pull, and place objects weighing less than or equal to 10 pounds without assistance). Pre-employment background check conducted. Number of Hours Per Week: 35 Work Schedule (Start/End time): 5:00 A.M. - 1:00 P.M.</t>
  </si>
  <si>
    <t>H-400-26186-079274</t>
  </si>
  <si>
    <t>paz.escobar@stregis.com</t>
  </si>
  <si>
    <t>+19709203300</t>
  </si>
  <si>
    <t>Duties: Prepare ingredients for cooking, including portioning, chopping, and storing food. Wash and peel fresh fruits and vegetables. Weigh, measure, and mix ingredients. Prepare and cook food according to recipes, quality standards, presentation standards, and food preparation checklist. Prepare cold foods. Operate ovens, stoves, grills, microwaves, and fryers. Test foods to determine if they have been cooked sufficiently. Monitor food quality while preparing food. Set-up and break down workstation. Serve food in proper portions onto proper receptacles. Wash and disinfect kitchen area, tables, tools, knives, and equipment. Check and ensure the correctness of the temperature of appliances and food. Other related duties. Requirements: One year related experience required. Must be able to stand, sit, or walk for an extended period of time or for an entire work shift. Reach overhead and below the knees, including bending, twisting, pulling, and stooping. Move, lift, carry, push, pull, and place objects weighing less than or equal to 25 pounds without assistance. Pre-employment Criminal Background Check. Pay Rate: $21.00 to $23.00/hour. O/T $31.50 to $34.50/hour. Eligible for multiple benefits including Life Insurance, TakeCare Wellness Program, Marriott Discounts, Free Meal Per Shift, Department of the Quarter Awards/Luncheons. For full list of benefits, please contact HR. Shifts: 6:00AM – 2:30PM; 9:00AM – 5:30PM; 2:30PM – 11:00PM; 10:30PM – 7:00AM (5 rotating days including weekends). Job Classification: 35-2014.00 - Cooks, Restaurant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12 Special Requirements: One year related experience required. Must be able to stand, sit, or walk for an extended period of time or for an entire work shift. Reach overhead and below the knees, including bending, twisting, pulling, and stooping. Move, lift, carry, push, pull, and place objects weighing less than or equal to 25 pounds without assistance. Pre-employment Criminal Background Check. Number of Hours Per Week: 35 Work Schedule (Start/End time): 6:00 A.M. - 2:30 P.M.</t>
  </si>
  <si>
    <t>H-400-26186-079278</t>
  </si>
  <si>
    <t>Duties: Perform a wide range of housekeeping functions with responsibility for maintaining the appearance and cleanliness of the whole hotel, including rooms and public spaces. Welcome and acknowledge each and every guest with a smile, eye contact, and a friendly verbal greeting, using the guest's name when possible. Anticipate and address guests' service needs. Check that all appliances are present in the room and in working order (e.g., hair dryer, TV, remote, microwave). Clean bathrooms, including bathtub/hot tub/shower, toilet, floor, sink, and mirror. Dust, polish, and remove marks from walls and furnishings (e.g., appliances, furniture, ice bucket, honor bar, baseboards, ledges, entrance door). Remove trash, dirty linen, and room service items from room and balcony/patio. Replace dirty linens (e.g., sheets, pillow cases) and terry (e.g., towels, bathrobes) with clean items, following correct bed making and folding standards. Replace guest amenities and supplies in rooms, such as toiletries, glasses, mugs, linens, towels, tissues, coffee, printed materials, and laundry bags according to standards. Return cart to designated area at the end of shift. Clean and organize items stored in laundry room, supply/storage closets, linen room, and/or uniform room. Fold cleaned linen into designated size, either by hand or using folding machine. Other related duties. Requirements: No education or experience required. Must be able to move, lift, carry, push, pull, and place objects weighing less than or equal to 50 pounds without assistance. Pre-employment Criminal Background Check. Pay Rate: $21.00 to $23.00/hour. O/T $31.50 to $34.50/hour. Eligible for multiple benefits including Life Insurance, TakeCare Wellness Program, Marriott Discounts, Free Meal Per Shift, Department of the Quarter Awards/Luncheons. For full list of benefits, please contact HR. Shifts: 6:00AM – 3:00PM; 7:00AM – 3:30PM; 8:00AM – 4:30PM; 9:00AM – 5:00PM; 10:00AM – 7:00PM; 2:30PM – 11:00PM; 3:00PM – 11:00PM; 4:00PM – 11:00PM; 5:00PM – 11:00PM; 5:00PM – 9:00PM (5 rotating days including weekends). Job Classification: 37-2012.00 - Maids and Housekeeping Cleaners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No education or experience required. Must be able to move, lift, carry, push, pull, and place objects weighing less than or equal to 50 pounds without assistance. Pre-employment Criminal Background Check. Number of Hours Per Week: 35 Work Schedule (Start/End time): 6:00 A.M. - 3:00 P.M.</t>
  </si>
  <si>
    <t>H-400-26186-079280</t>
  </si>
  <si>
    <t>Duties: Actively listen and respond positively to guest questions, concerns, and requests. Address guests' service needs in a professional, positive, and timely manner. Assist other employees to ensure proper coverage and prompt guest service. Engage guests in conversation regarding their stay, property services, and area attractions/offerings, including social media where appropriate. Stay up-to-date on the local area so that you are prepared to provide specific recommendations for guests. Organize and coordinate check-in/pre-registration procedures for arriving groups. Process all check-outs including express check-outs, resolving any late and disputed charges, settling account, retrieving room key, and requesting comments on guest's stay. Process all guest check-ins by confirming reservations in computer system. Secure valid form of payment (e.g., credit card, cash) prior to issuing room key. Process all payment types such as room charges, cash, checks, debit, or credit. Verify and adjust billing for guests. Arrange transportation (e.g., taxi cab, shuttle bus) for guests/residents/visitors, and record advance transportation request as needed. Contact appropriate individual or department (e.g., Bell person, Front Desk, Housekeeping, Engineering, Security/Loss Prevention) as necessary to resolve guest call, request, or problem. Other related duties. Requirements: High School Degree or equivalent required. No experience required. Must be able to stand, sit, or walk for an extended period of time or for an entire work shift and move, lift, carry, push, pull, and place objects weighing less than or equal to 10 pounds without assistance. Pre-employment Criminal Background Check. Pay Rate: $20.00 to $23.00/hour. O/T $30.00 to $34.50/hour. Eligible for multiple benefits including Life Insurance, TakeCare Wellness Program, Marriott Discounts, Discounted Seasonal Bus Passes, Free Meal Per Shift, Department of the Quarter Awards/Luncheons. For full list of benefits, please contact HR. Shifts: 6am-2:30pm; 7am-3:30pm; 8am-4:30pm; 9am-5:30pm; 10am-6:30pm; 11am-7:30pm; 12pm-8:30pm; 1pm-9:30pm, 2pm-10:30pm; 3pm-11:30pm; 6pm-2:30am; 8pm-4:30pm; 11pm-7:30am. (5 rotating days including weekends). Job Classification: 43-4081.00 - Hotel, Motel, and Resort Desk Clerks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High School Degree or equivalent required. No experience required. Must be able to stand, sit, or walk for an extended period of time or for an entire work shift and move, lift, carry, push, pull, and place objects weighing less than or equal to 10 pounds without assistance. Pre-employment Criminal Background Check. Number of Hours Per Week: 35 Work Schedule (Start/End time): 6:00 A.M. - 2:30 P.M.</t>
  </si>
  <si>
    <t>H-400-26186-079281</t>
  </si>
  <si>
    <t>Engineer/maintenance Technician</t>
  </si>
  <si>
    <t>Duties: Respond and attend to guest repair requests. Communicate with guests/customers to resolve maintenance issues with little to no supervision. Perform preventive maintenance on tools and equipment, including cleaning and lubrication. Visually inspect tools, equipment, or machines. Carry equipment (e.g., tools, radio). Identify, locate, and operate all shut-off valves for equipment and shut-offs for buildings. Maintain maintenance inventory and requisition parts and supplies as needed. Assure each day’s activities and problems that occur are communicated to the other shifts using approved communication programs and standards. Troubleshoot and perform basic repair on all types of equipment (e.g., pump and motor replacement), plumbing (e.g., plunge toilets and unclog drains), electrical equipment including lamps, cosmetic items, extension cords, vacuum cleaners, internet devices, replace electrical switches and outlets, and other guestroom items. Requirements: High School Degree or equivalent required. 1 year related experience required. Must be able to move, lift, carry, push, pull, and place objects weighing less than or equal to 50 pounds without assistance and heavier lifting or movement tasks with assistance. Move up and down stairs, service ramps, and/or ladders. Reach overhead and below the knees, including bending, twisting, pulling, and stooping. Enter and locate work-related information using computers. Pre-employment Criminal Background Check. Pay Rate: $26.00 to $28.00/hour. O/T $39.00 to $42.00/hour. Eligible for multiple benefits including Life Insurance, TakeCare Wellness Program, Marriott Discounts, Discounted Seasonal Bus Passes, Free Meal Per Shift, Department of the Quarter Awards/Luncheons. For full list of benefits, please contact HR. Shifts: 6am-2:30pm; 7am-3:30pm; 9am-5:30pm; 10am-6:30pm; 11am-7:30pm; 12pm-8:30pm; 1pm-9:30pm; 2pm-10:30pm; 3pm-11:30pm; 8pm-4:30pm; 11pm-7:30am. (5 rotating days including weekends). Job Classification: 49-9071.00 - Maintenance and Repair Workers, General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12 Special Requirements: High School Degree or equivalent required. 1 year related experience required. Must be able to move, lift, carry, push, pull, and place objects weighing less than or equal to 50 pounds without assistance and heavier lifting or movement tasks with assistance. Move up and down stairs, service ramps, and/or ladders. Reach overhead and below the knees, including bending, twisting, pulling, and stooping. Enter and locate work-related information using computers. Pre-employment Criminal Background Check. Number of Hours Per Week: 35 Work Schedule (Start/End time): 6:00 A.M. - 2:30 P.M.</t>
  </si>
  <si>
    <t>H-400-26186-079319</t>
  </si>
  <si>
    <t>Top Taste Inc</t>
  </si>
  <si>
    <t>Ebony Rowe</t>
  </si>
  <si>
    <t>toptaste0111@gmail.com</t>
  </si>
  <si>
    <t>+19738496047</t>
  </si>
  <si>
    <t>• Cleaning and sanitizing dishes, cookware, and utensils • Assisting in the food preparation process by cutting, chopping, slicing, and washing vegetables, meats, and other ingredients • Prepare all food items according to company specifications, standards, and recipes • Support line staff as needed and perform additional tasks assigned by the Chef on duty • Utilize basic knowledge of kitchen equipment to prepare a variety of menu items • Communicate effectively and request assistance as needed • Label and date all prepared food items along with properly adhering to FIFO and in designated areas Job Classification: 35-2021.00 - Food Preparation Workers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None. Number of Hours Per Week: 55 Work Schedule (Start/End time): 7:00 A.M. - 11:00 P.M.</t>
  </si>
  <si>
    <t>H-400-26187-079335</t>
  </si>
  <si>
    <t>Triumph Foods LLC</t>
  </si>
  <si>
    <t>Kathleen Lee</t>
  </si>
  <si>
    <t>info@triumphfoods.com</t>
  </si>
  <si>
    <t>+18163962700</t>
  </si>
  <si>
    <t>General Production Worker</t>
  </si>
  <si>
    <t>The General Production Worker is responsible for the overall preparation of meat products for packaging and sale. Work may include harvesting, carcass processing, transporting carcasses to chillers and freezers, grinding of meats to create various products, slicing meat cuts for further processing, and packaging meats for sale, all while ensuring health and safety standards are met. Work is steady, repetitive in motion, and fast-paced. Job duties include: manual handling of product; the use of hand tools, including knives, machinery, and equipment while processing, packaging, and shipping pork products; cutting carcasses for further processing; separating meat and byproducts; cleaning, trimming, slicing, sectioning, and weighing raw materials; inspecting meat products for defects, bruises, or blemishes, and removing them along with excess fat; checking products to ensure they are up to USDA standards; packaging cut products through a packaging machine; boxing products based on order specifications; monitoring machines and equipment and adjusting when necessary; adhering to all safety procedures and policies; and performing additional duties as requested by supervisor. Equipment and/or machinery used to perform the tasks, include operating: 8410 Electric Pallet Trucks; Cryovac Brand 8600 Series Rotary Vacuum Chamber Series; Ham skinners, which are Townsend 7600 series skinners, including the Townsend 7650, and the Townsend 7620; and Wizard knife operators will use a system from Bettcher Industries, which utilizes a Wizard Quantum Motor with Quantum Flex Hand Trimmers that have various blade sizes. Employer will offer a minimum of 40 hours per week, Monday - Friday; some Saturdays and Sundays may be required based on operational needs. Depending on whether the worker is stationed on the hot or cold side, the shifts will begin either between 6:00 a.m. - 7:00 a.m. or between 2:45 p.m. - 4:00 p.m. Shifts are either 8, 10, or 12 hour shifts. Overtime may be required as necessary to keep up with production demands. Job Classification: 51-3023.00 - Slaughterers and Meat Packers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Physical demands: The physical demands described herein are representative of those that must be met by an employee to perform the essential functions of this job successfully. While performing the job, the employee will stand on a hard surface for the duration of their shift and will be required to move about the facility. The employee will perform repetitive hand and arm movements, carry, twist, bend, kneel, climb, balance, and squat. Depending on the level of duty assigned, the employee will: repetitively push or pull objects weighing 20 pounds and potentially up to 85 pounds. Regularly lift objects weighing less than 20 pounds and potentially up to 40 pounds. There is also a possibility of assistance with lifting up to 100 pounds. Work Environment: The work environment characteristics described here are representative of those an employee encounters when performing the essential functions of the job. The environment may be cold, hot or humid, depending in which area of the facility the employee works. The employee will be regularly exposed to strong odors and the sight of hog blood. Noise level in the work environment is generally moderate but can be loud in the production area. The employee will work near machinery with moving parts and vibration. Other Requirements: Applicants will be required to undergo a drug screen prior to hire (paid for by the employer) and pass a health assessment to ensure the applicant is capable of physically performing the job duties prior to hire. The applicant must be available to work six days a week. The applicant must be familiar with and understand safety rules, operating and maintenance instructions, and procedure manuals. No education or prior work experience is required for this position. Number of Hours Per Week: 56 Work Schedule (Start/End time): 6:00 A.M. - 2:00 P.M.</t>
  </si>
  <si>
    <t>H-400-26187-079387</t>
  </si>
  <si>
    <t>Prepare and cook to order a variety of foods with short preparation time in a casual, local chain restaurant andsports bar. Prepare quick and simple recipes such as chicken tenders, chicken wings, and classic American pubfood like spinach dip and mini quesadillas. Perform food preparation tasks such as simple assembly of preppedand partially cooked ingredients to create sandwiches, burgers, soups, salads, and sweet desserts, finishingthem quickly on the grill or in the oven when ordered. Ensure food is stored and cooked at correct temperatureby regulating fast ovens, broilers, grills, and roasters. Use standard commercial kitchen equipment, relyingheavily on deep fryers for the famous chicken wings and tenders, along with custom sauce-making equipmentfor house-made sauces and spices to speed up cooking. Ensure freshness of foods and ingredients by checkingfor quality, keeping track of old and new items and rotating stock. Clean food preparation equipment withinthe kitchen such as ovens, grills, and deep fryers, using soap, degreaser, and scrubbing pads. Clean kitchenwork areas such as kitchen counters and tables using surface cleaners, cleaning brushes and sanitizers. Job Classification: 35-2014.00 - Cooks, Restaurant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Number of Hours Per Week: 40 Work Schedule (Start/End time): 3:00 P.M. - 11:00 P.M.</t>
  </si>
  <si>
    <t>H-400-26187-079381</t>
  </si>
  <si>
    <t>Baker Concrete</t>
  </si>
  <si>
    <t>Yarin Romero</t>
  </si>
  <si>
    <t>SandovalF@bakerconcrete.com</t>
  </si>
  <si>
    <t>+18005392224</t>
  </si>
  <si>
    <t>Finisher will participate completion of finish work. Finish grade during pour slabs will place, finish curing, and cutting concrete slabs. Patch, repair, and restore concrete, and apply floor toppings. Ensure floor finishes meet project requirements consistent with FF/FL terminology. Straight Edges, float blades, and finish blades, hand tools for floor finishing, edging, joint tooling, single and double trowe machines, curing equipment, pump equipment, vibratory equipment, walk-behind equipment, and double riders. Job Classification: 47-2051.00 - Cement Masons and Concrete Finishers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24 Special Requirements: Must have minimum of one year experience concrete pouring and cutting concrete slabs . Number of Hours Per Week: 45 Work Schedule (Start/End time): 7:00 P.M. - 6:00 P.M.</t>
  </si>
  <si>
    <t>H-400-26187-079402</t>
  </si>
  <si>
    <t>sandovalf@bakerconrete.com</t>
  </si>
  <si>
    <t>Form Carpenter</t>
  </si>
  <si>
    <t>Under the supervision of a Foreman or Lead Carpenter, perform form carpentry work in connection with commercial concrete construction projects. Duties include constructing, erecting, installing, stripping, and repairing concrete forms and related structures using wood, plywood, steel, and prefabricated form systems in accordance with construction drawings and specifications. Use carpenter hand and power tools to perform assigned tasks. Such as: Install footing forms. Build and install wall and column forms. Build and install structural deck forms. Set slab-on-grade forms. Prepare and set tilt-up and precast concrete forms. Assist with building layout and form alignment. Strip and repair formwork for reuse. Measure, cut, assemble, and brace form materials. Maintain tools, equipment, and a safe worksite. Job Classification: 47-2031.00 - Carpenters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18 Special Requirements: Must have at least 12 months of experience building and installing structural deck forms and setting slab on grade forms. Number of Hours Per Week: 45 Work Schedule (Start/End time): 7:00 P.M. - 6:00 P.M.</t>
  </si>
  <si>
    <t>H-400-26187-079418</t>
  </si>
  <si>
    <t>CAMI INSTALATION LLC</t>
  </si>
  <si>
    <t>MILAGROS DILEO</t>
  </si>
  <si>
    <t>cami.installationllc@gmail.com</t>
  </si>
  <si>
    <t>+17707285647</t>
  </si>
  <si>
    <t>Help masons, tile and stone setters by cleaning and preparing a job site, loading and delivering materials, applying caulking, and preparing materials for installation. Most work is in buildings without heating or air conditioning. Job Classification: 47-3011.00 - Helpers--Brickmasons, Blockmasons, Stonemasons, and Tile and Marble Setters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Total shows 56 hours, but It is 40 hours week, a single work week is the standard for computing wages, 5 days, two days off. Monday-Sunday, 8AM to 4 PM days off varies. Number of Hours Per Week: 56 Work Schedule (Start/End time): 8:00 A.M. - 5:00 P.M.</t>
  </si>
  <si>
    <t>H-400-26187-079375</t>
  </si>
  <si>
    <t>CDC Pools, Inc.</t>
  </si>
  <si>
    <t>justin@cdcpools.com</t>
  </si>
  <si>
    <t>+14805397700</t>
  </si>
  <si>
    <t>***RFI response*** The H-2B workers assigned to this position operate the following equipment in performing pool renovation work: Power and hand drills: Drilling core holes in concrete pool shells and structural elements to install anchor points and mechanical fasteners for equipment and material attachment. Air-powered hammers and breakers: Removing deteriorated plaster, pebble finishes, and other coating materials from pool shell surfaces during renovation and resurfacing work. Jack hammers: Breaking and removing hardened plaster, pebble aggregate, and bonded coating materials from the interior surfaces and shells of pools. Cement mixers: Preparing and mixing plaster compound and pebble aggregate materials to specification for application to pool interior surfaces by finishing crews. The workers also utilize hand measuring equipment and tools to verify dimensions and alignment during preparation work, ensuring surfaces are properly prepared and cleaned for finishing application. CRAFT WORKER ASSISTANCE DETAIL The Construction Laborer assists skilled tradespeople in the following specialized pool renovation tasks: Crack injection specialists: Injecting epoxy compound into structural cracks and voids in pool shells using injection machinery and grinders to prepare crack surfaces. Workers assist in surface preparation, material handling, and cleanup of injected areas. Interior finishers: Mixing plaster and pebble finishing materials to specification and assisting in troweling, spreading, and finishing these materials on pool interior surfaces. Workers prepare materials, transport mixed compounds, and perform finishing and troweling work under the finisher's direction. Tools include mixers, pumps, hoses, and trowels. Materials include plaster and pebble compounds. Interior cleanup and surface preparation: Removing and clearing plaster chips, pebble fragments, and old coating materials from pool shells and interior surfaces using pneumatic and manual tools to prepare surfaces for new finishes. Workers also perform acid bath cleaning of pool interiors using pressure washers and chemical solutions with appropriate safety equipment (respirators), then rinse and prepare surfaces for finishing work. ***Original*** The workers will perform task involving physical labor at building swimming pools. May operate hand and power tools of all types: air hammers, earth tampers, cement mixers, small mechanical hoists, surveying equipment, measuring equipment, and a variety of other equipment or instruments. May clean and prepare sites, dig trenches and may assist other craft workers. Job Classification: 47-2161.00 - Plasterers and Stucco Masons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Able to lift 50lbs. Number of Hours Per Week: 40 Work Schedule (Start/End time): 6:00 A.M. - 2:30 P.M.</t>
  </si>
  <si>
    <t>H-400-26187-079377</t>
  </si>
  <si>
    <t>Duininck, Inc.</t>
  </si>
  <si>
    <t>jasond@duininck.com</t>
  </si>
  <si>
    <t>+13209786011</t>
  </si>
  <si>
    <t>Duties may include: Performs various golf course renovation tasks including prepping for and building of greens, tees, and bunkers. Use hand tools, such as shoves or rakes to dig holes to locate wire and irrigation lines. Install/maintain irrigation systems, rake/smooth ground. Lay/spread sod, grass, seed, gravel, and sand. May use vehicles or powered equipment such as mowers or tractors &amp; other related Landscape Laborer activities as per SOC/OES 37-3011 (onetonline.org). Standard/Expected Schedule: Monday-Saturday 7:00AM-7:00PM. Offering 45+ (plus) hours per week; not including applicable lunch and/or breaks. Possible weekend/holiday work. Start/end times, offered hours and/or overtime could vary as they may be dependent upon other factors such as project/schedule/service needs, weather, and commute time between worksites (if applicable). Overtime possible, but not required or guaranteed. At Employer’s sole discretion: possible raises and/or bonuses based on individual factors such as work performance or skill (not guaranteed). Optional, shared housing available at no cost to the worker. Job Classification: 37-3011.00 - Landscaping and Groundskeeping Workers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Must show proof of legal authorization to work in the United States. Drug/alcohol/tobacco free work zone. Perform physical activities: such as lift, balance, walk, stoop, handle, position, move, manipulate materials use static strength to exert maximum muscle force to lift, push, pull, carry objects up to 50lbs. All applicants must be able, willing and qualified to perform work described and must be available for the entire period specified and work throughout all areas of intended employment. Work is performed outdoors, exposed to weather; must be capable of doing physically strenuous labor for long hours, occasionally in extreme heat or cold. Variable weather conditions apply; hours may fluctuate (+/-), possible downtime and/or overtime. Number of Hours Per Week: 45 Work Schedule (Start/End time): 7:00 A.M. - 7:00 P.M.</t>
  </si>
  <si>
    <t>H-400-26187-079401</t>
  </si>
  <si>
    <t>EVS BUSINESS SERVICES LLC</t>
  </si>
  <si>
    <t>evsglobal@outlook.com</t>
  </si>
  <si>
    <t>+18572000252</t>
  </si>
  <si>
    <t>**RFI Response** The phrase "perform deep cleaning tasks, as needed" refers to periodic cleaning tasks that go beyond routine daily housekeeping and are performed to maintain cleanliness, sanitation, and the overall appearance of the property. These tasks include, but are not limited to: • Shampooing and extracting carpets using commercial carpet shampooers and carpet extractors. • Stripping, waxing, buffing, and polishing hard-surface floors using floor stripping machines, buffers, burnishers, mops, and approved floor-finishing products. • Steam cleaning upholstered furniture, curtains, and fabric surfaces using commercial steam cleaners or upholstery extractors. • Washing interior and exterior windows, window tracks, blinds, and screens using squeegees, extension poles, microfiber cloths, and glass-cleaning solutions. • Cleaning baseboards, walls, doors, ceilings, vents, light fixtures, and ceiling fans using microfiber dusters, extension dusters, ladders, cloths, and approved cleaning solutions. • Moving lightweight furniture to clean underneath and behind beds, dressers, sofas, tables, and other furnishings using standard housekeeping techniques. • Deep cleaning kitchens and bathrooms by removing soap scum, mineral deposits, grease, and accumulated grime from sinks, countertops, cabinets, appliances, showers, tubs, toilets, grout, and tile surfaces using brushes, scrub pads, non-abrasive scrapers, disinfectants, degreasers, descaling agents, and other approved cleaning chemicals. • Vacuuming and cleaning air vents and other accessible surfaces using commercial vacuum cleaners equipped with hose and brush attachments. • Sanitizing high-touch surfaces, including door handles, light switches, remote controls, telephones, and other fixtures using EPA-approved disinfectants and microfiber cloths. These deep cleaning duties are performed using standard commercial housekeeping equipment and techniques commonly employed in the hospitality industry, including vacuuming, mopping, scrubbing, dusting, polishing, shampooing, steam cleaning, disinfecting, stripping and waxing floors, and extracting carpets. Employees use commercially available housekeeping equipment and cleaning products provided by the employer while following established safety procedures and manufacturer instructions. **Original** Clean guest rooms as assigned, including, but not limited to, making beds, cleaning bathrooms, sweeping, mopping, dusting and vacuuming, change and replenish bed linens, towels and guest amenities, as needed; perform deep cleaning tasks, as needed; stock, maintain and transport housekeeping supply cart on a daily basis; dispose of trash and recyclables; respond to special guest requests in a timely, friendly and efficient manner; maintain cleanliness of rooms, hallways, and other areas of the hotel; identify and report preventative maintenance issues in public areas or guest rooms. Job Classification: 37-2012.00 - Maids and Housekeeping Cleaners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None. Number of Hours Per Week: 52 Work Schedule (Start/End time): 7:00 A.M. - 9:00 P.M.</t>
  </si>
  <si>
    <t>H-400-26187-079359</t>
  </si>
  <si>
    <t>FRANCIS HOSPITALITY &amp; MULTI SERVICES LLC</t>
  </si>
  <si>
    <t>FRNACISHMS21@GMAIL.COM</t>
  </si>
  <si>
    <t>+18504436908</t>
  </si>
  <si>
    <t>Washes and sanitize all kitchen wares including pots, pans, flatware, and glasses, using dishwasher machine in a Diner. Correctly places and stores all clean equipment, dishes, and utensils in assigned storage areas for use. Stocks serving stations, cupboards, refrigerators, and other assigned areas with clean dishes and utensils. Maintain a clean work area and kitchen by sweeping and mopping as needed and emptying trash containers regularly. Job Classification: 35-9021.00 - Dishwashers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SECOND SHIFT-12PM TO 8:00PM pre-hire criminal background checks to be conducted Number of Hours Per Week: 35 Work Schedule (Start/End time): 4:00 A.M. - 12:00 P.M.</t>
  </si>
  <si>
    <t>H-400-26187-079342</t>
  </si>
  <si>
    <t>Francis Hospitality &amp; Multi Services LLC</t>
  </si>
  <si>
    <t>FRANCISHMS21@GMAIL.COM</t>
  </si>
  <si>
    <t>Dusting of furniture and cleaning of window dressing, and other interior surfaces, hanging drapes where necessary, sort, count, fold linens, move and arrange furniture and beds in areas necessary, clean bathrooms, cleans wall, vacuum, empty wastebaskets and trash, removal of soiled linen form rooms for laundering, replenish room supplies, clean walkways of buildings and elevators, report observed damaged equipment to the relevant person, check furniture, building and fixtures to make sure they are in good conditions, and keep their surroundings clean. Job Classification: 37-2012.00 - Maids and Housekeeping Cleaners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SECOND SHIFT-5:00pm- 1:00am criminal record checks to be conducted pre-employment Number of Hours Per Week: 35 Work Schedule (Start/End time): 9:00 A.M. - 5:00 P.M.</t>
  </si>
  <si>
    <t>H-400-26187-079352</t>
  </si>
  <si>
    <t>Dusting of furniture and cleaning of window dressing, and other interior surfaces, hanging drapes where necessary, sort, count, fold linens, move and arrange furniture and beds in areas necessary, clean bathrooms, cleans wall, vacuum, empty wastebaskets and trash, removal of soiled linen form rooms for laundering, replenish room supplies, clean walkways of buildings and elevators, report observed damaged equipment to the relevant person, check furniture, building and fixtures to make sure they are in good conditions, and keep their surroundings clean. Job Classification: 37-2012.00 - Maids and Housekeeping Cleaners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SECOND SHIFT- and 4:30pm- 12:30 am and criminal record checks to be conducted pre -employment; Number of Hours Per Week: 35 Work Schedule (Start/End time): 8:30 A.M. - 4:30 P.M.</t>
  </si>
  <si>
    <t>H-400-26187-079364</t>
  </si>
  <si>
    <t>Dusting of furniture and cleaning of window dressing, and other interior surfaces, hanging drapes where necessary, sort, count, fold linens, move and arrange furniture and beds in areas necessary, clean bathrooms, cleans wall, vacuum, empty wastebaskets and trash, removal of soiled linen form rooms for laundering, replenish room supplies, clean walkways of buildings and elevators, report observed damaged equipment to the relevant person, check furniture, building and fixtures to make sure they are in good conditions, and keep their surroundings clean. Job Classification: 37-2012.00 - Maids and Housekeeping Cleaners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SECOND SHIFT: 4:30pm- 12:30 am criminal record checks to be conducted pre -employment Number of Hours Per Week: 35 Work Schedule (Start/End time): 8:30 A.M. - 4:30 A.M.</t>
  </si>
  <si>
    <t>H-400-26187-079366</t>
  </si>
  <si>
    <t>Ride Attendant</t>
  </si>
  <si>
    <t>Check to make sure that all the communication functions assign worked properly. Ensure guest safety, maintain order for rides, provide information Announce and demonstrate safety and emergency procedures. Utilize excellent communication skills, while communicating with customers. Observe activity in the recreational facility and respond appropriately in accordance with local operating procedure in the event of an emergency. Job Classification: 39-3091.00 - Amusement and Recreation Attendants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SECOND SHIFT: 3PM TO 10PM and pre hire criminal background checks to be conducted Number of Hours Per Week: 35 Work Schedule (Start/End time): 9:00 A.M. - 3:00 P.M.</t>
  </si>
  <si>
    <t>H-400-26187-079380</t>
  </si>
  <si>
    <t>Housekeeping/maid/cleaners</t>
  </si>
  <si>
    <t>Dusting of furniture and cleaning of window dressing, and other interior surfaces, hanging drapes where necessary, sort, count, fold linens, move and arrange furniture and beds in areas necessary, clean bathrooms, cleans wall, vacuum, empty wastebaskets and trash, removal of soiled linen form rooms for laundering, replenish room supplies, clean walkways of buildings and elevators, report observed damaged equipment to the relevant person, check furniture, building and fixtures to make sure they are in good conditions, and keep their surroundings clean. Job Classification: 37-2012.00 - Maids and Housekeeping Cleaners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SECOND SHIFT:5:00pm- 1:00 am criminal record checks to be conducted pre -employment Number of Hours Per Week: 35 Work Schedule (Start/End time): 9:00 A.M. - 5:00 P.M.</t>
  </si>
  <si>
    <t>H-400-26187-079400</t>
  </si>
  <si>
    <t>International Brazilian Food Service LLC</t>
  </si>
  <si>
    <t>Flavia Santos Lloyd</t>
  </si>
  <si>
    <t>fran@myhealthystand.com</t>
  </si>
  <si>
    <t>+14694684588</t>
  </si>
  <si>
    <t>***RFI response*** -Answering telephones and giving information to callers or taking messages -Operating electronic mail systems and coordinate the flow of information, internally or with other organizations. -Maintaining scheduling and event calendars -Completing forms in accordance with company procedures. We use four main types of internal forms that the worker shall be responsible for: 1) staff scheduling spreadsheets that organize, assign, and track hours for salespeople and other employers and independent contractors who set up and operate our smoothie and Açaí bowl concession stands at events in various locations. 2) Inventory reports that allow us to maintain appropriate amounts of different ingredients and other consumables on hand, anticipate restocking needs, and refine recipes. 3) Purchase orders for restocking ingredients and other consumables based on our inventory reports. 4) Sales reports that track which of our products our customers are buying, and help us calculate revenues and conduct loss prevention monitoring. -Preparing event materials such as fliers or advertisements. Specifically the worker will use Adobe Acrobat and Microsoft Works Suite on our office’s desktop computer to design both menus for our concession stands as well as promotional items including fliers advertising special pricing and cardboard “tags” with our seasonal or event-specific branding that are tied on to smoothie cups and Açaí bowls. These physical items are then printed/manufactured by third party vendors. -Ordering and dispensing supplies necessary for Employer’s sales operations -Conducting payroll functions such as maintaining timekeeping information and processing and submitting payroll -Mailing promotional materials -Communicating with employees across Employer company’s organizational structure, including those who speak Portuguese exclusively or as a primary language. We frequently engage with independent contractors for sales, including some who primarily speak Portuguese and need to converse in that language in order to effectively communicate. Additionally, the worker will need to interface with our Açaí suppliers in Portuguese both in writing via emails (translating Portuguese emails to English, and then translating English responses into Portuguese to send to the suppliers) and Portuguese-language purchase orders, and verbally on phone calls. Açaí is a key ingredient for our smoothies and bowls, so maintaining strong and functional relationships with our suppliers through easy communication is a key aspect of our business. ***Original*** Employee shall be responsible for the following tasks: -Answering telephones and giving information to callers or taking messages -Operating electronic mail systems and coordinate the flow of information, internally or with other organizations. -Maintaining scheduling and event calendars -Completing forms in accordance with company procedures -Preparing event materials such as fliers or advertisements -Ordering and dispensing supplies necessary for Employer’s sales operations -Mailing promotional materials -Communicating with employees across Employer company’s organizational structure, including those who speak Portuguese exclusively or as a primary language Job Classification: 27-1024.00 - Graphic Designers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The employee must speak and write fluent Portuguese Number of Hours Per Week: 40 Work Schedule (Start/End time): 9:00 A.M. - 5:00 P.M.</t>
  </si>
  <si>
    <t>H-400-26187-079388</t>
  </si>
  <si>
    <t>Island Grill &amp; Pub</t>
  </si>
  <si>
    <t>islandgrillandpub@gmail.com</t>
  </si>
  <si>
    <t>+18033236500</t>
  </si>
  <si>
    <t>Position will be responsible for preparing food items following standardized recipes while ensuring a safe and sanitary work environment. This role requires working efficiently in a fast-paced, high-pressure kitchen setting. Candidate must consistently deliver high-quality food, support team members, and maintain cleanliness and organization. Maintain high standards for consistent, high-quality food preparation and presentation daily. Communicate effectively and request assistance as needed. Prepare all food items according to company specifications, standards, and recipes. Label and date all prepared food items properly, and adhere to FIFO (First In, First Out) principles. Ensure all food areas comply with sanitation and cleanliness standards. Monitor food quality and ensure correct quantities are prepared. Support line staff as needed and perform additional tasks assigned by the Chef on duty. Operate a designated station set by the Chef on duty. Utilize basic knowledge of kitchen equipment to prepare a variety of menu items. Set up stations with appropriate parts and ingredients. Assist in training and developing new cooks when necessary. Exhibit excellent personal hygiene and teamwork skills. Properly store food items in designated areas. Demonstrate a strong desire to grow within the culinary industry. Job Classification: 35-2014.00 - Cooks, Restaurant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6 Special Requirements: None. Number of Hours Per Week: 53 Work Schedule (Start/End time): 11:00 A.M. - 8:30 P.M.</t>
  </si>
  <si>
    <t>H-400-26187-079384</t>
  </si>
  <si>
    <t>Juicy's Restaurant Group, LLC</t>
  </si>
  <si>
    <t>28/04/2027</t>
  </si>
  <si>
    <t>marivel@juicysfood.com</t>
  </si>
  <si>
    <t>+19096704543</t>
  </si>
  <si>
    <t>Perform variety of attending duties at mobile food concession. Arrange tables and decorations according to instructions. Communicate with customers regarding orders. Accept payment from customers. Serve food, beverages or desserts to customers. Prepare daily food items and cook simple foods and beverages using proper safety precautions and safety measures. Clean &amp; organize eating, service, and kitchen areas. Perform cleaning duties to keep equipment and facilities sanatory. Job Classification: 35-2019.00 - Cooks, All Other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Post-employment random drug testing and background checks may be required, at no cost to the worker. The job requires the applicant to be qualified, ready, willing, able, and available to perform during the entire employment at the designated worksites; and to follow workplace rules. Number of Hours Per Week: 40 Work Schedule (Start/End time): 1:00 P.M. - 10:00 P.M.</t>
  </si>
  <si>
    <t>H-400-26187-079420</t>
  </si>
  <si>
    <t>Duties include sweeping, mopping, vacuuming, dusting, sanitizing, and disinfecting. Clean windows, ceiling vents, and furniture. Remove garbage from the site to a dumpster or disposable area. Replacing linen and do laundry. Any other duties as per assigned. Job Classification: 37-2012.00 - Maids and Housekeeping Cleaners The job/industry classification and description includes general information on the position from ONET/OES and the North American Industry Classification System. Please review Job Duties and Job Order for more information. Job Requirements Experience Required: No Number of Hours Per Week: 35 Work Schedule (Start/End time): 9:00 A.M. - 4:00 P.M.</t>
  </si>
  <si>
    <t>H-400-26187-079348</t>
  </si>
  <si>
    <t>Mindak Commercial Construction, LLC</t>
  </si>
  <si>
    <t>gjebrinakraus@gmail.com</t>
  </si>
  <si>
    <t>+16122589022</t>
  </si>
  <si>
    <t>Helper - Carpenter</t>
  </si>
  <si>
    <t>Install wood structural components, move materials around the construction site, and maintain a clean and orderly work area. Erect and position braces. Clean work areas, machines, or equipment, to maintain a clean and safe job site. Fasten lumber with glue, screws, pegs, or nails and install hardware. Select tools, equipment, or materials from storage and transport items to the work site. Align, straighten, plumb, or square forms for installation. Cut lumber or paneling to specified dimensions. Drill holes in lumber. Position and hold timbers, lumber, or paneling in place for fastening or cutting. Understand and observe all safety procedures and practices in order to prevent injury to self or coworkers. May perform other job duties pursuant to 47-3012, Helpers - Carpenters. F.a.5a-F.a.6b: 35+ hours/week. 9-hour shifts between 7:00 am and 4:30 am. 5-6 days per week, Mon-Sat. Schedule (including workdays) may vary. May work more than the guaranteed hours. May work overtime. OT varies and must be pre-approved. F.c.1: The H-2B Temporary Helper - Carpenters will perform job duties at 130 Delaware Street SE, Lonsdale, MN 55046 and at multiple worksites within the area of intended employment, including the following counties: Rice, Dakota, Hennepin, Ramsey, Scott, and Washington. F.d.1: Employer will offer daily transportation to and from worksites, or employee may report directly to the worksite on their own. F.d.4: Workers have the option of employer-provided housing for $150 per week, and if elected, employer will deduct costs from worker's paycheck. Workers also have the option of securing their own lodging. Job Classification: 47-3012.00 - Helpers--Carpenters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High school diploma, GED or foreign equivalent required. No training or experience required. On-the-job training will be provided. Knowledge of materials, methods, and the tools involved in construction. Analyzing information and evaluating results to choose the best solution and solve problems. Good teamwork and collaboration effort. Strong problem solving, multi-tasking and organizational skills. Must be able to lift and carry materials and equipment weighing up to 50 pounds on a frequent basis and up to 100 pounds on an occasional basis; prolonged standing and frequent bending, stooping, and reaching is required on a daily basis. A full range of physical motion is required in order to operate manual and electrically powered tools, sprayers, and construction-related equipment. The ability to move throughout the building, including climbing stairs and to work at heights from ladders or scaffolding, in order to perform construction-related work is required. Work is performed indoors and outdoors, occasionally in environments that are dusty, noisy, or which could have work hazards. Number of Hours Per Week: 35 Work Schedule (Start/End time): 7:00 A.M. - 4:30 P.M.</t>
  </si>
  <si>
    <t>H-400-26187-079344</t>
  </si>
  <si>
    <t>Nurturing Seedz Globally llc</t>
  </si>
  <si>
    <t>Jobs@nurturingseedzglobally.com</t>
  </si>
  <si>
    <t>+18565000501</t>
  </si>
  <si>
    <t>Keep buildings in clean and orderly condition. Perform heavy cleaning duties, such as cleaning floors, shampooing rugs, washing walls and glass, and removing rubbish. Duties may include tending furnace and boiler, performing routine maintenance activities, notifying management of need for repairs, and cleaning snow or debris from sidewalk. Job Classification: 37-2011.00 - Janitors and Cleaners, Except Maids and Housekeeping Cleaners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Training is 5 days, not 1 full month. Number of Hours Per Week: 40 Work Schedule (Start/End time): 9:00 A.M. - 5:00 A.M.</t>
  </si>
  <si>
    <t>H-400-26187-079345</t>
  </si>
  <si>
    <t>Pinnacle Lawn Care and Outdoor Aesthetics, LLC</t>
  </si>
  <si>
    <t>stephanie@pinnacleoutdoorservices.com</t>
  </si>
  <si>
    <t>+13147627622</t>
  </si>
  <si>
    <t>The general Landscape Laborers will landscape or maintain grounds of property using hand or power tools or equipment, including lawnmower (walk behind and rider), trimmer, edger, backpack blower, wheel barrel, broom, rake, shovel, spade. Workers typically perform a variety of tasks which may include a combination of the following: sod laying, mowing, trimming, planting, watering, digging, aerating, seedings, weeding, mulching and raking. Laborers will also undertake snow and ice removal using the same equipment used for landscaping work. Laborers would also process tree trunks into company-defined bundles of firewood, complete with branded wrapping and labeling. Once processed, the Laborers would use company vehicles to deliver the bundled firewood. GVWR varies from dually to non-dually for the pickup trucks, but the range is 11k - 14k. If trailers are needed, all trailers are under 10k GVWR. In any trucks/trailers combo, nothing will exceed the 26,001 lb threshold for CDL requirements. The skid steer will utilize a pallet fork attachment or the grapple bucket attachment. These attachments will also apply for mini skids (stand-on skid steers). The skids are used in the initial phase of transport and the holding mechanism to allow the Laborers to use chainsaws and break down the larger logs and to raise the bundled logs higher off the ground for organized loading into the trucks/trailers for transport. Laborers process tree trunks into co pany-defined bundles of firewood, complete with branded wrapping and labeling. Once processed, the Laborers would use company vehicles to deliver the bundled firewood. The firewood processing workflow begins with seasoned tree trunks that are delivered to the worksite by Pinnacle’s customer. The selected log/trunk will be transported using machinery (skid steer, stand-on mini skid steer) equipped with a grapple bucket into an initial log staging area. Logs are then to be cut into smaller segments utilizing chainsaws. The segmented logs are manually placed into a mechanical wood splitter, which splits/processes them into traditional firewood-sized pieces. These split pieces are deposited into a designated drop zone consisting solely of the split firewood. This is then manually loaded onto a conveyor system that transports it to a secondary staging area for bundling. At this stage, the Laborer is responsible for selecting an appropriate quantity of wood per bundle, affixing a branded paper logo on top, and operating a wrapping machine to encase the bundle in clear plastic. Completed bundles are then stacked in a designated storage area for future distribution. The Laborer will also be loading company dump trucks and/or trailers with finished bundles for delivery. The equipment that the Laborers will utilize to perform the firewood tasks is similar to that which is used by the workers for their general landscape duties, and are as follows: skid steer, mini skid steer (stand-on skid), chainsaw, dump trucks, trailers, along with standard personal protective equipment - gloves, ear/hearing protection, eye and face protection, steel-toe or composite-toe boots. The type of vehicle the Laborers will drive to deliver the firewood include pickup trucks, dump trucks, flatbed/stake bed trucks, dump trailers, enclosed trailers, and open trailers. The equipment the Laborers utilize to remove snow and ice include shovels and walk-behind snow blowers. These workers will be responsible for clearing driveways, sidewalks, and pedestrian pathways across the residential and commercial properties. Some clients require ongoing snow removal during extended weather events, while others request a one-time service after the storm has ended. **IF NEEDED, EMPLOYER WILL ASSIST FOREIGN AND NON-LOCAL U.S. WORKERS HIRED PURSUANT TO THIS JOB ORDER TO SECURE WORKER-PAID LODGING NOT TO EXCEED REASONABLE FAIR MARKET VALUE COST BASED ON NUMBER OF OCCUPANTS. Job Classification: 37-3011.00 - Landscaping and Groundskeeping Workers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MUST BE ABLE TO LIFT AND CARRY 50 LBS. TOOLS &amp; EQPT PROVIDED AT NO CHARGE. 40 HOURS PER WEEK, 7AM-3:30PM, WEEKENDS MAY BE REQUIRED DEPENDING ON WEATHER. OT MAY BE AVAILABLE BUT IS NOT GUARANTEED. Number of Hours Per Week: 40 Work Schedule (Start/End time): 7:00 A.M. - 3:30 P.M.</t>
  </si>
  <si>
    <t>H-400-26187-079397</t>
  </si>
  <si>
    <t>Pyramid Naples Bay Management LLC</t>
  </si>
  <si>
    <t>ihernandez@naplesbayresort.com</t>
  </si>
  <si>
    <t>+12395305149</t>
  </si>
  <si>
    <t>Duties: Accommodate club patrons by registering and assigning rooms to guests, issuing room keys or cards, transmitting and receiving messages, keeping records of occupied rooms and guests' accounts, making and confirming reservations, and presenting statements to and collecting payments from departing guests. Requirements: No minimum education; no experience. Ability to communicate in English. Workers will be provided with on-the-job training to perform the duties assigned. Pay Rate: $16.22 per hour; O/T at $24.33 per hour. Raises/bonuses may be offered to any worker based on performance, skill, and tenure. Shifts: 40 hrs/wk.; O/T as needed; variable shifts over 7 days a week; variable 8-hour shifts over 7 days a week between 6AM to 11PM Job Classification: 43-4081.00 - Hotel, Motel, and Resort Desk Clerks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Requirements: No minimum education; no experience. Ability to communicate in English. Workers will be provided with on-the-job training to perform the duties assigned. Number of Hours Per Week: 40 Work Schedule (Start/End time): 6:00 A.M. - 11:00 P.M.</t>
  </si>
  <si>
    <t>H-400-26187-079403</t>
  </si>
  <si>
    <t>Duties: Taking and serving food and beverage orders; Carrying out food and miscellaneous set up and clean up activities; May be required to perform duties in an outdoor environment and at banquet events; may be required to serve customers via golf cart. Requirements: No minimum education; no experience. Ability to communicate in English. Workers will be provided with on-the-job training to perform the duties assigned. Pay Rate: $20.13 per hour. O/T at $30.20 per hour. Raises/bonuses may be offered to any worker based on performance, skill, and tenure. Shifts: 40 hrs/wk; O/T as needed; variable shifts over 7 days a week; variable 8-hour shifts over 7 days a week between 6AM to 11PM. Job Classification: 35-3031.00 - Waiters and Waitresses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Requirements: No minimum education; no experience. Ability to communicate in English. Workers will be provided with on-the-job training to perform the duties assigned. Number of Hours Per Week: 40 Work Schedule (Start/End time): 6:00 A.M. - 11:00 P.M.</t>
  </si>
  <si>
    <t>H-400-26187-079408</t>
  </si>
  <si>
    <t>Duties: Prepares, seasons, and cooks soups, meats, vegetables, fruits, desserts and other miscellaneous food for consumption; Observes recipe guidelines and sanitation procedures. Requirements: No minimum education; no experience. Ability to communicate in English. Workers will be provided with on-the-job training to perform the duties assigned. Pay Rate: $19.88 per hour. O/T at $29.82 per hour. Raises/bonuses may be offered to any worker based on performance, skill, and tenure. Shifts: 40 hrs/wk.; O/T as needed; variable shifts over 7 days a week; variable 8-hour shifts over 7 days a week between 6AM to 11PM. Job Classification: 35-2014.00 - Cooks, Restaurant The job/industry classification and description includes general information on the position from ONET/OES and the North American Industry Classification System. Please review Job Duties and Job Order for more information. Job Requirements Experience Required: No Special Requirements: Requirements: No minimum education; no experience. Ability to communicate in English. Workers will be provided with on-the-job training to perform the duties assigned. Number of Hours Per Week: 40 Work Schedule (Start/End time): 6:00 A.M. - 11:00 P.M.</t>
  </si>
  <si>
    <t>H-400-26187-079350</t>
  </si>
  <si>
    <t>Starwood Hotels &amp; Resorts Worldwide, LLC</t>
  </si>
  <si>
    <t>Samantha.Denning@marriott.com</t>
  </si>
  <si>
    <t>+14359405783</t>
  </si>
  <si>
    <t>Duties: Prepare ingredients for cooking, including portioning, chopping, and storing food. Wash and peel fresh fruits and vegetables. Weigh, measure, and mix ingredients. Prepare and cook food according to recipes, quality standards, presentation standards, and food preparation checklist. Prepare cold foods. Operate ovens, stoves, grills, microwaves, and fryers. Test foods to determine if they have been cooked sufficiently. Monitor food quality while preparing food. Set-up and break down workstation. Serve food in proper portions onto proper receptacles. Wash and disinfect kitchen area, tables, tools, knives, and equipment. Check and ensure the correctness of the temperature of appliances and food. Other related duties. Requirements: High School Degree or equivalent required. One-year related experience required. Must be able to stand, sit, or walk for an extended period of time or for an entire work shift. Reach overhead and below the knees, including bending, twisting, pulling, and stooping. Move, lift, carry, push, pull, and place objects weighing less than or equal to 25 pounds without assistance. Pre-employment Criminal Background Check is required; Post-employment Drug Tests are administered only if reasonable suspicion present. Pay Rate: $20.50 to $24.50/hr. O/T $30.75 to $36.75/hr. Eligible for multiple benefits including Retirement Savings, Tuition Reimbursement, TakeCare Wellness Program, Marriott Discounts, Discounted Ski Passes, Free Meal Per Shift, Host of the Quarter Awards. For full list of benefits, please contact HR. Shifts: 5:00AM – 1:30PM; 6:00AM – 2:30PM; 7:00AM – 3:30PM; 8:00AM – 4:30PM; 1:00PM – 9:30PM; 2:00PM – 10:30PM; 3:00PM – 11:30PM; 4:00PM – 12:30AM; 10:30PM – 7:00AM. (5 rotating days including weekends). Job Classification: 35-2014.00 - Cooks, Restaurant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12 Special Requirements: High School Degree or equivalent required. One-year related experience required. Must be able to stand, sit, or walk for an extended period of time or for an entire work shift. Reach overhead and below the knees, including bending, twisting, pulling, and stooping. Move, lift, carry, push, pull, and place objects weighing less than or equal to 25 pounds without assistance. Pre-employment Criminal Background Check is required; Post-employment Drug Tests are administered only if reasonable suspicion present. Number of Hours Per Week: 35 Work Schedule (Start/End time): 5:00 A.M. - 1:30 P.M.</t>
  </si>
  <si>
    <t>H-400-26187-079416</t>
  </si>
  <si>
    <t>T&amp;G Global, LLC</t>
  </si>
  <si>
    <t>08/01/2027</t>
  </si>
  <si>
    <t>Brenda@st-nicks.com</t>
  </si>
  <si>
    <t>+17143230923</t>
  </si>
  <si>
    <t>Holiday Installer</t>
  </si>
  <si>
    <t>The Holiday Installer follows detailed digital work orders and onsite supervisory instructions to install large-scale holiday décor and lighting displays at designated job sites. Duties include assembling, positioning, and securing decorative installations such as wreaths, walk-through ornaments, illuminated bows, pole-mounted displays, and frame trees ranging from 8 to 50 feet in height. The position requires the safe use of ladders and aerial lift equipment, when properly certified, to access elevated installation areas. Holiday Installers are responsible for transporting, handling, and setting up décor materials with care to ensure proper installation and prevent damage to display components. Additional duties include troubleshooting and resolving minor installation-related issues, including tightening or replacing fasteners, repairing split wiring, and replacing damaged light strands to ensure displays are safely installed and fully operational. Transportation will be provided to and from area worksites at employer’s expense from a centralized La Palma, CA pick-up location. Housing option available to workers outside of commuting distance. Employer will provide meals during shifts. Job Classification: 49-9099.00 - Installation, Maintenance, and Repair Workers, All Other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3 Special Requirements: 3 months of previous experience in construction, installation, or assembly of holiday lighting or decor. Must be able to work outdoors for extended hours in varying conditions. Must be physically able to lift and move up to 50 lbs. and work at heights of 25 - 100 feet. Must be 21 years or older. Must have a valid driver's license. Must own a working mobile phone. Shifts are from 7am - 4pm and 3pm - 12am, Sunday - Saturday. Shift assignments will be based on project schedules. 5 - 10 hours OT as needed. Start time may be earlier or later depending on location and size of the project. Employer will provide meals during shifts. We want to clarify the information on Item F.a.5. During the work week, which runs Sunday through Saturday, employees are scheduled to work a 40 hour workweek and given OT as needed. F.a.5 does not allow us to enter such a work schedule. If we enter 8 hours each day, it would show 56 hours a week, which is not an accurate reflection of their work schedule. Employer will perform ladder/heights test. Number of Hours Per Week: 40 Work Schedule (Start/End time): 7:00 A.M. - 4:00 P.M.</t>
  </si>
  <si>
    <t>H-400-26187-079383</t>
  </si>
  <si>
    <t>Tai Me Up LLC</t>
  </si>
  <si>
    <t>Jay@taimeup.com</t>
  </si>
  <si>
    <t>+13025982252</t>
  </si>
  <si>
    <t>Prepare, season, and cook basic food items such as soups, sauces, and salads. Perform preliminary food preparation tasks including washing, peeling, slicing, and chopping vegetables and fruits. Cut, trim, and bone meats, poultry, and seafood. Measure and mix ingredients according to recipes. Maintain a clean and sanitary workstation by cleaning food preparation areas, equipment, and utensils. Monitor and rotate food stock to ensure freshness (FIFO). Assist line cooks by restocking stations with necessary ingredients and prepped items. Label and date all food containers for proper storage and compliance with safety regulations. Job Classification: 35-2014.00 - Cooks, Restaurant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12 Number of Hours Per Week: 40 Work Schedule (Start/End time): 11:00 A.M. - 10:00 P.M.</t>
  </si>
  <si>
    <t>H-400-26187-079396</t>
  </si>
  <si>
    <t>Prepare, season, and cook dishes such as soups, meats, vegetables, or desserts in a high-volume restaurant environment. Inspect and clean food preparation areas, surfaces, and kitchen equipment. Ensure freshness of food and ingredients by checking for quality and rotating stock. Weigh, measure, and mix ingredients according to specific recipes. Portion, arrange, and garnish food, and serve food to waitstaff or patrons. Maintain high standards of sanitation, specialized cooking techniques, and station management (e.g., sauté, grill, or fry stations) during meal services Job Classification: 35-2014.00 - Cooks, Restaurant The job/industry classification and description includes general information on the position from ONET/OES and the North American Industry Classification System. Please review Job Duties and Job Order for more information. Job Requirements Experience Required: Yes Months of Experience Required: 12 Number of Hours Per Week: 40 Work Schedule (Start/End time): 2:00 P.M. - 10:00 P.M.</t>
  </si>
</sst>
</file>

<file path=xl/styles.xml><?xml version="1.0" encoding="utf-8"?>
<styleSheet xmlns="http://schemas.openxmlformats.org/spreadsheetml/2006/main" xmlns:x14ac="http://schemas.microsoft.com/office/spreadsheetml/2009/9/ac" xmlns:mc="http://schemas.openxmlformats.org/markup-compatibility/2006">
  <fonts count="11">
    <font>
      <sz val="11.0"/>
      <color theme="1"/>
      <name val="Calibri"/>
      <scheme val="minor"/>
    </font>
    <font>
      <b/>
      <sz val="11.0"/>
      <color rgb="FFFFFFFF"/>
      <name val="Calibri"/>
    </font>
    <font>
      <sz val="10.0"/>
      <color theme="1"/>
      <name val="Calibri"/>
    </font>
    <font>
      <u/>
      <sz val="9.0"/>
      <color theme="10"/>
      <name val="Calibri"/>
    </font>
    <font>
      <u/>
      <sz val="9.0"/>
      <color theme="10"/>
      <name val="Calibri"/>
    </font>
    <font>
      <u/>
      <sz val="9.0"/>
      <color theme="10"/>
      <name val="Calibri"/>
    </font>
    <font>
      <u/>
      <sz val="9.0"/>
      <color theme="10"/>
      <name val="Calibri"/>
    </font>
    <font>
      <u/>
      <sz val="9.0"/>
      <color theme="10"/>
      <name val="Calibri"/>
    </font>
    <font>
      <u/>
      <sz val="9.0"/>
      <color theme="10"/>
      <name val="Calibri"/>
    </font>
    <font>
      <u/>
      <sz val="9.0"/>
      <color theme="10"/>
      <name val="Calibri"/>
    </font>
    <font>
      <u/>
      <sz val="9.0"/>
      <color theme="10"/>
      <name val="Calibri"/>
    </font>
  </fonts>
  <fills count="6">
    <fill>
      <patternFill patternType="none"/>
    </fill>
    <fill>
      <patternFill patternType="lightGray"/>
    </fill>
    <fill>
      <patternFill patternType="solid">
        <fgColor rgb="FF1F4E78"/>
        <bgColor rgb="FF1F4E78"/>
      </patternFill>
    </fill>
    <fill>
      <patternFill patternType="solid">
        <fgColor rgb="FFF2F2F2"/>
        <bgColor rgb="FFF2F2F2"/>
      </patternFill>
    </fill>
    <fill>
      <patternFill patternType="solid">
        <fgColor rgb="FFFFFF00"/>
        <bgColor rgb="FFFFFF00"/>
      </patternFill>
    </fill>
    <fill>
      <patternFill patternType="solid">
        <fgColor theme="0"/>
        <bgColor theme="0"/>
      </patternFill>
    </fill>
  </fills>
  <borders count="2">
    <border/>
    <border>
      <left style="thin">
        <color rgb="FFCCCCCC"/>
      </left>
      <right style="thin">
        <color rgb="FFCCCCCC"/>
      </right>
      <top style="thin">
        <color rgb="FFCCCCCC"/>
      </top>
      <bottom style="thin">
        <color rgb="FFCCCCCC"/>
      </bottom>
    </border>
  </borders>
  <cellStyleXfs count="1">
    <xf borderId="0" fillId="0" fontId="0" numFmtId="0" applyAlignment="1" applyFont="1"/>
  </cellStyleXfs>
  <cellXfs count="23">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0" fillId="2" fontId="1" numFmtId="0" xfId="0" applyAlignment="1" applyFont="1">
      <alignment horizontal="center" readingOrder="0" shrinkToFit="0" vertical="center" wrapText="1"/>
    </xf>
    <xf borderId="1" fillId="3" fontId="2" numFmtId="0" xfId="0" applyAlignment="1" applyBorder="1" applyFill="1" applyFont="1">
      <alignment shrinkToFit="0" vertical="top" wrapText="1"/>
    </xf>
    <xf borderId="1" fillId="3" fontId="2" numFmtId="0" xfId="0" applyAlignment="1" applyBorder="1" applyFont="1">
      <alignment horizontal="center" shrinkToFit="0" vertical="top" wrapText="1"/>
    </xf>
    <xf borderId="1" fillId="3" fontId="2" numFmtId="14" xfId="0" applyAlignment="1" applyBorder="1" applyFont="1" applyNumberFormat="1">
      <alignment horizontal="center" shrinkToFit="0" vertical="top" wrapText="1"/>
    </xf>
    <xf borderId="1" fillId="3" fontId="2" numFmtId="0" xfId="0" applyAlignment="1" applyBorder="1" applyFont="1">
      <alignment readingOrder="0" shrinkToFit="0" vertical="top" wrapText="1"/>
    </xf>
    <xf borderId="0" fillId="3" fontId="2" numFmtId="0" xfId="0" applyAlignment="1" applyFont="1">
      <alignment shrinkToFit="0" vertical="top" wrapText="1"/>
    </xf>
    <xf borderId="1" fillId="0" fontId="2" numFmtId="0" xfId="0" applyAlignment="1" applyBorder="1" applyFont="1">
      <alignment shrinkToFit="0" vertical="top" wrapText="1"/>
    </xf>
    <xf borderId="1" fillId="0" fontId="2" numFmtId="0" xfId="0" applyAlignment="1" applyBorder="1" applyFont="1">
      <alignment horizontal="center" shrinkToFit="0" vertical="top" wrapText="1"/>
    </xf>
    <xf borderId="1" fillId="3" fontId="3" numFmtId="0" xfId="0" applyAlignment="1" applyBorder="1" applyFont="1">
      <alignment shrinkToFit="0" vertical="top" wrapText="1"/>
    </xf>
    <xf borderId="1" fillId="0" fontId="2" numFmtId="0" xfId="0" applyAlignment="1" applyBorder="1" applyFont="1">
      <alignment readingOrder="0" shrinkToFit="0" vertical="top" wrapText="1"/>
    </xf>
    <xf borderId="0" fillId="0" fontId="4" numFmtId="0" xfId="0" applyAlignment="1" applyFont="1">
      <alignment shrinkToFit="0" vertical="top" wrapText="1"/>
    </xf>
    <xf borderId="0" fillId="0" fontId="5" numFmtId="0" xfId="0" applyFont="1"/>
    <xf borderId="1" fillId="0" fontId="6" numFmtId="0" xfId="0" applyAlignment="1" applyBorder="1" applyFont="1">
      <alignment shrinkToFit="0" vertical="top" wrapText="1"/>
    </xf>
    <xf borderId="1" fillId="4" fontId="2" numFmtId="0" xfId="0" applyAlignment="1" applyBorder="1" applyFill="1" applyFont="1">
      <alignment shrinkToFit="0" vertical="top" wrapText="1"/>
    </xf>
    <xf borderId="1" fillId="4" fontId="2" numFmtId="0" xfId="0" applyAlignment="1" applyBorder="1" applyFont="1">
      <alignment horizontal="center" shrinkToFit="0" vertical="top" wrapText="1"/>
    </xf>
    <xf borderId="1" fillId="4" fontId="7" numFmtId="0" xfId="0" applyAlignment="1" applyBorder="1" applyFont="1">
      <alignment shrinkToFit="0" vertical="top" wrapText="1"/>
    </xf>
    <xf borderId="1" fillId="3" fontId="8" numFmtId="0" xfId="0" applyAlignment="1" applyBorder="1" applyFont="1">
      <alignment horizontal="center" shrinkToFit="0" vertical="center" wrapText="1"/>
    </xf>
    <xf borderId="1" fillId="0" fontId="9" numFmtId="0" xfId="0" applyBorder="1" applyFont="1"/>
    <xf borderId="1" fillId="5" fontId="2" numFmtId="0" xfId="0" applyAlignment="1" applyBorder="1" applyFill="1" applyFont="1">
      <alignment shrinkToFit="0" vertical="top" wrapText="1"/>
    </xf>
    <xf borderId="1" fillId="5" fontId="2" numFmtId="0" xfId="0" applyAlignment="1" applyBorder="1" applyFont="1">
      <alignment horizontal="center" shrinkToFit="0" vertical="top" wrapText="1"/>
    </xf>
    <xf borderId="1" fillId="5" fontId="10" numFmtId="0" xfId="0" applyAlignment="1" applyBorder="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mailto:landartofrockwall@gmail.com" TargetMode="External"/><Relationship Id="rId42" Type="http://schemas.openxmlformats.org/officeDocument/2006/relationships/hyperlink" Target="https://www.facebook.com/p/Brandons-Quality-Oysters-61551444321554/" TargetMode="External"/><Relationship Id="rId41" Type="http://schemas.openxmlformats.org/officeDocument/2006/relationships/hyperlink" Target="mailto:info@skyviewsmiami.com" TargetMode="External"/><Relationship Id="rId44" Type="http://schemas.openxmlformats.org/officeDocument/2006/relationships/hyperlink" Target="mailto:info@texaslawn.tech" TargetMode="External"/><Relationship Id="rId43" Type="http://schemas.openxmlformats.org/officeDocument/2006/relationships/hyperlink" Target="mailto:suburbanscape@sbcglobal.net" TargetMode="External"/><Relationship Id="rId46" Type="http://schemas.openxmlformats.org/officeDocument/2006/relationships/hyperlink" Target="mailto:treesareusforest@aol.com" TargetMode="External"/><Relationship Id="rId45" Type="http://schemas.openxmlformats.org/officeDocument/2006/relationships/hyperlink" Target="mailto:groundeffects.llc@comcast.net" TargetMode="External"/><Relationship Id="rId1" Type="http://schemas.openxmlformats.org/officeDocument/2006/relationships/hyperlink" Target="mailto:mashah@aalandscape.net" TargetMode="External"/><Relationship Id="rId2" Type="http://schemas.openxmlformats.org/officeDocument/2006/relationships/hyperlink" Target="mailto:contact@mdes.ms.gov" TargetMode="External"/><Relationship Id="rId3" Type="http://schemas.openxmlformats.org/officeDocument/2006/relationships/hyperlink" Target="mailto:support@clifrock.com" TargetMode="External"/><Relationship Id="rId4" Type="http://schemas.openxmlformats.org/officeDocument/2006/relationships/hyperlink" Target="mailto:Customerservice@archwaylawncare.com" TargetMode="External"/><Relationship Id="rId9" Type="http://schemas.openxmlformats.org/officeDocument/2006/relationships/hyperlink" Target="mailto:ocervantes145@yahoo.com" TargetMode="External"/><Relationship Id="rId48" Type="http://schemas.openxmlformats.org/officeDocument/2006/relationships/hyperlink" Target="mailto:WMBARRYLANDSCAPE@verizon.net" TargetMode="External"/><Relationship Id="rId47" Type="http://schemas.openxmlformats.org/officeDocument/2006/relationships/hyperlink" Target="mailto:adeboer@itcmilbank.com" TargetMode="External"/><Relationship Id="rId49" Type="http://schemas.openxmlformats.org/officeDocument/2006/relationships/hyperlink" Target="mailto:woodlandresort@gondtc.com" TargetMode="External"/><Relationship Id="rId5" Type="http://schemas.openxmlformats.org/officeDocument/2006/relationships/hyperlink" Target="mailto:obonilla1335@yahoo.com" TargetMode="External"/><Relationship Id="rId6" Type="http://schemas.openxmlformats.org/officeDocument/2006/relationships/hyperlink" Target="mailto:info@cappelliservices.com" TargetMode="External"/><Relationship Id="rId7" Type="http://schemas.openxmlformats.org/officeDocument/2006/relationships/hyperlink" Target="mailto:awcarlisle04@yahoo.com" TargetMode="External"/><Relationship Id="rId8" Type="http://schemas.openxmlformats.org/officeDocument/2006/relationships/hyperlink" Target="mailto:awcarlisle04@yahoo.com" TargetMode="External"/><Relationship Id="rId31" Type="http://schemas.openxmlformats.org/officeDocument/2006/relationships/hyperlink" Target="mailto:sales@collegefundlandscaping.com" TargetMode="External"/><Relationship Id="rId30" Type="http://schemas.openxmlformats.org/officeDocument/2006/relationships/hyperlink" Target="mailto:jeff@landcorps.net" TargetMode="External"/><Relationship Id="rId33" Type="http://schemas.openxmlformats.org/officeDocument/2006/relationships/hyperlink" Target="mailto:sales@pennum.com" TargetMode="External"/><Relationship Id="rId32" Type="http://schemas.openxmlformats.org/officeDocument/2006/relationships/hyperlink" Target="mailto:milagrostonecompany@gmail.com" TargetMode="External"/><Relationship Id="rId35" Type="http://schemas.openxmlformats.org/officeDocument/2006/relationships/hyperlink" Target="mailto:plclcontractingllc@gmail.com" TargetMode="External"/><Relationship Id="rId34" Type="http://schemas.openxmlformats.org/officeDocument/2006/relationships/hyperlink" Target="mailto:rebeccal7@yahoo.com" TargetMode="External"/><Relationship Id="rId37" Type="http://schemas.openxmlformats.org/officeDocument/2006/relationships/hyperlink" Target="https://mdes.ms.gov/i-need-a-job/job-search" TargetMode="External"/><Relationship Id="rId36" Type="http://schemas.openxmlformats.org/officeDocument/2006/relationships/hyperlink" Target="https://www.workintexas.com/" TargetMode="External"/><Relationship Id="rId39" Type="http://schemas.openxmlformats.org/officeDocument/2006/relationships/hyperlink" Target="mailto:wildwoodchristmaslights@gmail.com" TargetMode="External"/><Relationship Id="rId38" Type="http://schemas.openxmlformats.org/officeDocument/2006/relationships/hyperlink" Target="mailto:mike@sitescapeinc.com" TargetMode="External"/><Relationship Id="rId20" Type="http://schemas.openxmlformats.org/officeDocument/2006/relationships/hyperlink" Target="mailto:themansion@rosewoodhotels.com" TargetMode="External"/><Relationship Id="rId22" Type="http://schemas.openxmlformats.org/officeDocument/2006/relationships/hyperlink" Target="https://www.louisianaworks.net/" TargetMode="External"/><Relationship Id="rId21" Type="http://schemas.openxmlformats.org/officeDocument/2006/relationships/hyperlink" Target="mailto:info@froioslawn.com" TargetMode="External"/><Relationship Id="rId24" Type="http://schemas.openxmlformats.org/officeDocument/2006/relationships/hyperlink" Target="mailto:pscontractingandlandscape@gmail.com" TargetMode="External"/><Relationship Id="rId23" Type="http://schemas.openxmlformats.org/officeDocument/2006/relationships/hyperlink" Target="mailto:triplestreefarm@gmail.com" TargetMode="External"/><Relationship Id="rId26" Type="http://schemas.openxmlformats.org/officeDocument/2006/relationships/hyperlink" Target="mailto:carlhemphillmjc@yahoo.com" TargetMode="External"/><Relationship Id="rId25" Type="http://schemas.openxmlformats.org/officeDocument/2006/relationships/hyperlink" Target="mailto:support@quality-irrigation.com" TargetMode="External"/><Relationship Id="rId28" Type="http://schemas.openxmlformats.org/officeDocument/2006/relationships/hyperlink" Target="mailto:info@lawsonmossrock.com" TargetMode="External"/><Relationship Id="rId27" Type="http://schemas.openxmlformats.org/officeDocument/2006/relationships/hyperlink" Target="mailto:services@a1lawn.com" TargetMode="External"/><Relationship Id="rId29" Type="http://schemas.openxmlformats.org/officeDocument/2006/relationships/hyperlink" Target="mailto:info@groundsgroomers.com" TargetMode="External"/><Relationship Id="rId50" Type="http://schemas.openxmlformats.org/officeDocument/2006/relationships/drawing" Target="../drawings/drawing1.xml"/><Relationship Id="rId11" Type="http://schemas.openxmlformats.org/officeDocument/2006/relationships/hyperlink" Target="mailto:mikewilson1965@yahoo.com" TargetMode="External"/><Relationship Id="rId10" Type="http://schemas.openxmlformats.org/officeDocument/2006/relationships/hyperlink" Target="https://alabamaworks.alabama.gov/" TargetMode="External"/><Relationship Id="rId13" Type="http://schemas.openxmlformats.org/officeDocument/2006/relationships/hyperlink" Target="mailto:info@rcsfun.com" TargetMode="External"/><Relationship Id="rId12" Type="http://schemas.openxmlformats.org/officeDocument/2006/relationships/hyperlink" Target="mailto:office@garrick-santo.com" TargetMode="External"/><Relationship Id="rId15" Type="http://schemas.openxmlformats.org/officeDocument/2006/relationships/hyperlink" Target="mailto:info@landscapeconcepts.com" TargetMode="External"/><Relationship Id="rId14" Type="http://schemas.openxmlformats.org/officeDocument/2006/relationships/hyperlink" Target="mailto:gtmlandscapeinc@comcast.net" TargetMode="External"/><Relationship Id="rId17" Type="http://schemas.openxmlformats.org/officeDocument/2006/relationships/hyperlink" Target="mailto:info@yellowstonelandscape.com" TargetMode="External"/><Relationship Id="rId16" Type="http://schemas.openxmlformats.org/officeDocument/2006/relationships/hyperlink" Target="mailto:scapesincla@aol.com" TargetMode="External"/><Relationship Id="rId19" Type="http://schemas.openxmlformats.org/officeDocument/2006/relationships/hyperlink" Target="mailto:themansion@rosewoodhotels.com" TargetMode="External"/><Relationship Id="rId18" Type="http://schemas.openxmlformats.org/officeDocument/2006/relationships/hyperlink" Target="mailto:themansion@rosewoodhotels.com"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0.0"/>
    <col customWidth="1" min="2" max="2" width="35.0"/>
    <col customWidth="1" min="3" max="3" width="22.0"/>
    <col customWidth="1" min="4" max="4" width="15.0"/>
    <col customWidth="1" min="5" max="5" width="10.0"/>
    <col customWidth="1" min="6" max="6" width="20.86"/>
    <col customWidth="1" min="7" max="7" width="12.0"/>
    <col customWidth="1" min="8" max="8" width="34.57"/>
    <col customWidth="1" min="9" max="9" width="16.0"/>
    <col customWidth="1" min="10" max="11" width="10.0"/>
    <col customWidth="1" min="12" max="12" width="30.0"/>
    <col customWidth="1" min="13" max="13" width="80.0"/>
    <col customWidth="1" min="14" max="14" width="42.86"/>
    <col customWidth="1" min="15" max="15" width="85.43"/>
  </cols>
  <sheetData>
    <row r="1" ht="30.75" customHeight="1">
      <c r="A1" s="1" t="s">
        <v>0</v>
      </c>
      <c r="B1" s="1" t="s">
        <v>1</v>
      </c>
      <c r="C1" s="1" t="s">
        <v>2</v>
      </c>
      <c r="D1" s="1" t="s">
        <v>3</v>
      </c>
      <c r="E1" s="1" t="s">
        <v>4</v>
      </c>
      <c r="F1" s="1" t="s">
        <v>5</v>
      </c>
      <c r="G1" s="1" t="s">
        <v>6</v>
      </c>
      <c r="H1" s="1" t="s">
        <v>7</v>
      </c>
      <c r="I1" s="1" t="s">
        <v>8</v>
      </c>
      <c r="J1" s="1" t="s">
        <v>9</v>
      </c>
      <c r="K1" s="1" t="s">
        <v>10</v>
      </c>
      <c r="L1" s="1" t="s">
        <v>11</v>
      </c>
      <c r="M1" s="1" t="s">
        <v>12</v>
      </c>
      <c r="N1" s="2" t="s">
        <v>13</v>
      </c>
      <c r="O1" s="2" t="s">
        <v>14</v>
      </c>
    </row>
    <row r="2" ht="20.25" customHeight="1">
      <c r="A2" s="3" t="s">
        <v>15</v>
      </c>
      <c r="B2" s="3" t="s">
        <v>16</v>
      </c>
      <c r="C2" s="3" t="s">
        <v>17</v>
      </c>
      <c r="D2" s="3" t="s">
        <v>18</v>
      </c>
      <c r="E2" s="4" t="s">
        <v>19</v>
      </c>
      <c r="F2" s="4" t="s">
        <v>20</v>
      </c>
      <c r="G2" s="5">
        <v>46384.0</v>
      </c>
      <c r="H2" s="3" t="s">
        <v>21</v>
      </c>
      <c r="I2" s="3" t="s">
        <v>22</v>
      </c>
      <c r="J2" s="4">
        <v>17.68</v>
      </c>
      <c r="K2" s="4">
        <v>5.0</v>
      </c>
      <c r="L2" s="6" t="s">
        <v>23</v>
      </c>
      <c r="M2" s="6" t="s">
        <v>24</v>
      </c>
      <c r="N2" s="7" t="str">
        <f>IFERROR(__xludf.DUMMYFUNCTION("IF(L2="""","""",GOOGLETRANSLATE(L2,""en"",""pt""))"),"Trabalhadores de Reciclagem e Recuperação")</f>
        <v>Trabalhadores de Reciclagem e Recuperação</v>
      </c>
      <c r="O2" s="7" t="str">
        <f>IFERROR(__xludf.DUMMYFUNCTION("IF(M2="""","""",GOOGLETRANSLATE(M2,""en"",""pt""))"),"Descarregar caminhões, preparar itens para envio e carregar reboques. Os materiais a serem carregados incluem produtos plásticos, papel e/ou papelão. Movimentar manualmente cargas, estoque ou outros materiais de e para áreas de armazenamento ou produção, "&amp;"docas de carga, veículos de entrega, navios ou contêineres, manualmente ou utilizando caminhões, tratores ou outros equipamentos. Operar empilhadeira/bobcat quando necessário. Os trabalhadores devem observar todas as políticas e procedimentos de segurança"&amp;".
Classificação da Função:
53-7062.04 - Trabalhadores de Reciclagem e Recuperação
A classificação e descrição da função/setor inclui informações gerais sobre o cargo, de acordo com o ONET/OES e o Sistema de Classificação Industrial da América do Norte. C"&amp;"onsulte as Funções e a Ordem de Serviço para obter mais informações.
Requisitos da Função
Experiência Necessária: Não
Requisitos Especiais:
Levantar/carregar repetidamente 34 kg (75 lbs), quando necessário. Movimentos repetitivos, longos períodos sentado"&amp;", caminhando e empurrando/puxando. A jornada de trabalho é de no mínimo 5 dias por semana, com turnos e dias de trabalho variando conforme o dia e a semana, incluindo sábado e domingo. É necessário ter disponibilidade para trabalhar ao ar livre em todas a"&amp;"s condições climáticas e em um ambiente dinâmico. O empregador poderá oferecer uma jornada de trabalho superior à estipulada, dependendo das condições climáticas, das necessidades da empresa e de outros fatores. Calor extremo, frio intenso, chuva ou seca "&amp;"podem afetar o horário de trabalho exato.
Número de horas por semana:
40
Horário de trabalho (início/término):
8h00 - 16h30")</f>
        <v>Descarregar caminhões, preparar itens para envio e carregar reboques. Os materiais a serem carregados incluem produtos plásticos, papel e/ou papelão. Movimentar manualmente cargas, estoque ou outros materiais de e para áreas de armazenamento ou produção, docas de carga, veículos de entrega, navios ou contêineres, manualmente ou utilizando caminhões, tratores ou outros equipamentos. Operar empilhadeira/bobcat quando necessário. Os trabalhadores devem observar todas as políticas e procedimentos de segurança.
Classificação da Função:
53-7062.04 - Trabalhadores de Reciclagem e Recuperação
A classificação e descrição da função/setor inclui informações gerais sobre o cargo, de acordo com o ONET/OES e o Sistema de Classificação Industrial da América do Norte. Consulte as Funções e a Ordem de Serviço para obter mais informações.
Requisitos da Função
Experiência Necessária: Não
Requisitos Especiais:
Levantar/carregar repetidamente 34 kg (75 lbs), quando necessário. Movimentos repetitivos, longos períodos sentado, caminhando e empurrando/puxando. A jornada de trabalho é de no mínimo 5 dias por semana, com turnos e dias de trabalho variando conforme o dia e a semana, incluindo sábado e domingo. É necessário ter disponibilidade para trabalhar ao ar livre em todas as condições climáticas e em um ambiente dinâmico. O empregador poderá oferecer uma jornada de trabalho superior à estipulada, dependendo das condições climáticas, das necessidades da empresa e de outros fatores. Calor extremo, frio intenso, chuva ou seca podem afetar o horário de trabalho exato.
Número de horas por semana:
40
Horário de trabalho (início/término):
8h00 - 16h30</v>
      </c>
    </row>
    <row r="3" ht="20.25" customHeight="1">
      <c r="A3" s="8" t="s">
        <v>25</v>
      </c>
      <c r="B3" s="8" t="s">
        <v>26</v>
      </c>
      <c r="C3" s="8" t="s">
        <v>27</v>
      </c>
      <c r="D3" s="8" t="s">
        <v>28</v>
      </c>
      <c r="E3" s="9" t="s">
        <v>19</v>
      </c>
      <c r="F3" s="9" t="s">
        <v>20</v>
      </c>
      <c r="G3" s="9" t="s">
        <v>29</v>
      </c>
      <c r="H3" s="8" t="s">
        <v>30</v>
      </c>
      <c r="I3" s="8" t="s">
        <v>31</v>
      </c>
      <c r="J3" s="9">
        <v>14.2</v>
      </c>
      <c r="K3" s="9">
        <v>10.0</v>
      </c>
      <c r="L3" s="8" t="s">
        <v>32</v>
      </c>
      <c r="M3" s="8" t="s">
        <v>33</v>
      </c>
      <c r="N3" s="7" t="str">
        <f>IFERROR(__xludf.DUMMYFUNCTION("GOOGLETRANSLATE(L3, ""en"", ""pt"")"),"Processador de Ostras")</f>
        <v>Processador de Ostras</v>
      </c>
      <c r="O3" s="7" t="str">
        <f>IFERROR(__xludf.DUMMYFUNCTION("IF(M3="""","""",GOOGLETRANSLATE(M3,""en"",""pt""))"),"As funções podem incluir: usar facas para abrir, limpar, aparar e fatiar ostras, retirando-as de suas conchas para serem pesadas e preparadas para venda; limpeza das áreas de trabalho e outras atividades relacionadas ao processamento de ostras, conforme S"&amp;"OC/OES 51-3022 (onetonline.org). Horário padrão/esperado: sábado a quarta-feira, das 5h às 12h. Oferecemos 35 horas semanais ou mais, sem incluir almoço e/ou intervalos. Possibilidade de trabalho em fins de semana e feriados. Os horários de início e térmi"&amp;"no, a carga horária e/ou horas extras podem variar, pois dependem de fatores como necessidades do projeto/cronograma/serviço, condições climáticas e tempo de deslocamento entre os locais de trabalho (se aplicável). Horas extras são possíveis, mas não obri"&amp;"gatórias nem garantidas. A critério exclusivo do empregador: aumentos salariais e/ou bônus podem ser concedidos com base em fatores individuais, como desempenho ou habilidades (não garantidos). Classificação da Função: 51-3022.00 - Cortadores e Aparadores"&amp;" de Carne, Aves e Peixes. A classificação e descrição da função/setor inclui informações gerais sobre o cargo, conforme o ONET/OES e o Sistema de Classificação Industrial da América do Norte (NAICS). Consulte as Funções e a Ordem de Serviço para obter mai"&amp;"s informações. Requisitos da Função Experiência Necessária: Sim Meses de Experiência Necessários: 3 Requisitos Especiais: É necessário ter 18 anos devido a viagens. É necessário apresentar comprovante de autorização legal para trabalhar nos Estados Unidos"&amp;". Ambiente de trabalho livre de drogas, álcool e tabaco. Executar atividades físicas, como levantar, equilibrar-se, caminhar, abaixar-se, manusear, posicionar, mover e manipular materiais; usar força estática para exercer força muscular máxima para levant"&amp;"ar, empurrar, puxar e carregar objetos de até 23 kg (50 lbs). Todos os candidatos devem ser capazes, estar dispostos e qualificados para executar o trabalho descrito e devem estar disponíveis durante todo o período especificado e trabalhar em todas as áre"&amp;"as do emprego pretendido. A critério do empregador/custo: O trabalhador poderá ser submetido a testes aleatórios de drogas/álcool durante o emprego: teste positivo/recusa em cumprir o teste = demissão. A entrega e a disponibilidade de frutos do mar proven"&amp;"ientes de pescadores podem resultar em possíveis períodos de inatividade devido às condições climáticas. Número de horas por semana: 35. Horário de trabalho (início/término): 5h00 - 19h00.")</f>
        <v>As funções podem incluir: usar facas para abrir, limpar, aparar e fatiar ostras, retirando-as de suas conchas para serem pesadas e preparadas para venda; limpeza das áreas de trabalho e outras atividades relacionadas ao processamento de ostras, conforme SOC/OES 51-3022 (onetonline.org). Horário padrão/esperado: sábado a quarta-feira, das 5h às 12h. Oferecemos 35 horas semanais ou mais, sem incluir almoço e/ou intervalos. Possibilidade de trabalho em fins de semana e feriados. Os horários de início e término, a carga horária e/ou horas extras podem variar, pois dependem de fatores como necessidades do projeto/cronograma/serviço, condições climáticas e tempo de deslocamento entre os locais de trabalho (se aplicável). Horas extras são possíveis, mas não obrigatórias nem garantidas. A critério exclusivo do empregador: aumentos salariais e/ou bônus podem ser concedidos com base em fatores individuais, como desempenho ou habilidades (não garantidos). Classificação da Função: 51-3022.00 - Cortadores e Aparadores de Carne, Aves e Peixes. A classificação e descrição da função/setor inclui informações gerais sobre o cargo, conforme o ONET/OES e o Sistema de Classificação Industrial da América do Norte (NAICS). Consulte as Funções e a Ordem de Serviço para obter mais informações. Requisitos da Função Experiência Necessária: Sim Meses de Experiência Necessários: 3 Requisitos Especiais: É necessário ter 18 anos devido a viagens. É necessário apresentar comprovante de autorização legal para trabalhar nos Estados Unidos. Ambiente de trabalho livre de drogas, álcool e tabaco. Executar atividades físicas, como levantar, equilibrar-se, caminhar, abaixar-se, manusear, posicionar, mover e manipular materiais; usar força estática para exercer força muscular máxima para levantar, empurrar, puxar e carregar objetos de até 23 kg (50 lbs). Todos os candidatos devem ser capazes, estar dispostos e qualificados para executar o trabalho descrito e devem estar disponíveis durante todo o período especificado e trabalhar em todas as áreas do emprego pretendido. A critério do empregador/custo: O trabalhador poderá ser submetido a testes aleatórios de drogas/álcool durante o emprego: teste positivo/recusa em cumprir o teste = demissão. A entrega e a disponibilidade de frutos do mar provenientes de pescadores podem resultar em possíveis períodos de inatividade devido às condições climáticas. Número de horas por semana: 35. Horário de trabalho (início/término): 5h00 - 19h00.</v>
      </c>
    </row>
    <row r="4" ht="20.25" customHeight="1">
      <c r="A4" s="3" t="s">
        <v>34</v>
      </c>
      <c r="B4" s="3" t="s">
        <v>35</v>
      </c>
      <c r="C4" s="3" t="s">
        <v>17</v>
      </c>
      <c r="D4" s="3" t="s">
        <v>36</v>
      </c>
      <c r="E4" s="4" t="s">
        <v>19</v>
      </c>
      <c r="F4" s="4" t="s">
        <v>20</v>
      </c>
      <c r="G4" s="4" t="s">
        <v>37</v>
      </c>
      <c r="H4" s="3" t="s">
        <v>38</v>
      </c>
      <c r="I4" s="3" t="s">
        <v>39</v>
      </c>
      <c r="J4" s="4">
        <v>20.11</v>
      </c>
      <c r="K4" s="4">
        <v>2.0</v>
      </c>
      <c r="L4" s="3" t="s">
        <v>40</v>
      </c>
      <c r="M4" s="3" t="s">
        <v>41</v>
      </c>
      <c r="N4" s="7" t="str">
        <f>IFERROR(__xludf.DUMMYFUNCTION("GOOGLETRANSLATE(L4, ""en"", ""pt"")"),"Ajudante de Mecânico")</f>
        <v>Ajudante de Mecânico</v>
      </c>
      <c r="O4" s="7" t="str">
        <f>IFERROR(__xludf.DUMMYFUNCTION("IF(M4="""","""",GOOGLETRANSLATE(M4,""en"",""pt""))"),"***Resposta à RFI*** 1. Tipos de Equipamentos Veículos: Caminhonetes/caminhonetes/de serviço/de mecânico/de equipe/de plataforma/basculantes/com garra/de brita/com cesto elevatório, plataformas elevatórias para uso em quintais, reboques, vans e outros veí"&amp;"culos da frota que dão suporte às operações de gestão de vegetação da concessionária. Máquinas/Equipamentos Industriais: Trituradores de madeira, destocadores, plataformas elevatórias para uso em quintais/aéreas, componentes de caminhões com cesto elevató"&amp;"rio, equipamentos hidráulicos, roçadeiras florestais, minicarregadeiras, tratores, compressores, bombas e equipamentos de apoio usados ​​na poda de árvores, gestão de vegetação e operações da frota. Equipamentos Elétricos/Eletrônicos: Iluminação de veícul"&amp;"os/reboques, alarmes de ré, sinalizadores de segurança/luzes estroboscópicas, cabos de bateria, baterias, fusíveis, fiação básica, unidades de câmera/GPS, dispositivos telemáticos e componentes elétricos básicos em veículos/equipamentos da empresa. 2. Dev"&amp;"eres e Ferramentas Tarefas: Fornecer/transportar ferramentas, peças, materiais e suprimentos para mecânicos/trabalhadores de manutenção; Segurar/posicionar/fixar peças durante reparos/manutenção; auxiliar na substituição básica de peças (lâmpadas, bateria"&amp;"s, filtros, palhetas do limpador de para-brisa, pneus, correias, mangueiras, luzes de reboque, fita refletora, itens de rotina); auxiliar na verificação/reabastecimento de fluidos (óleo do motor, líquido de arrefecimento, fluido do lavador de para-brisa, "&amp;"fluido hidráulico, DEF); remover/reinstalar painéis, tampas, proteções, pneus e componentes; auxiliar na manutenção preventiva (lubrificação de pontos de lubrificação, verificação da pressão dos pneus, limpeza dos terminais da bateria, organização de peça"&amp;"s, preparação de equipamentos); movimentar peças/suprimentos; limpar/organizar ferramentas, áreas de manutenção/peças e equipamentos; preparar veículos/equipamentos para inspeção/serviço/reparo. Ferramentas/Materiais: Ferramentas manuais, incluindo... Cha"&amp;"ves, soquetes, catracas, chaves de fenda, alicates, martelos, pistolas de graxa, mangueiras de ar, testadores de bateria, medidores de pressão de pneus, funis, bandejas de drenagem, panos de oficina, vassouras, desengraxantes, materiais de limpeza, lâmpad"&amp;"as de reposição, baterias, filtros, correias, mangueiras, fluidos e suprimentos de manutenção. Auxiliar com macacos, cavaletes, elevadores, carrinhos, macas de transporte e equipamentos de apoio da oficina, conforme instruções. 3. Trabalho com Motores a D"&amp;"iesel: Os veículos/equipamentos da empresa podem conter motores a diesel (caminhões, caminhões com plataforma elevatória, caminhões basculantes, trituradores, equipamentos da frota). O trabalho com motores a diesel se limita a suporte de nível auxiliar so"&amp;"b a supervisão de um mecânico/funcionário de manutenção qualificado (fornecer ferramentas/peças, segurar componentes, limpar áreas/equipamentos, auxiliar na verificação de fluidos, substituir itens básicos de serviço, preparar veículos/equipamentos). Não "&amp;"há funções avançadas de mecânico de motores a diesel. 4. Instalações/Locais de Trabalho: Trabalhar nos pátios da frota da empresa, oficinas de manutenção, filiais, equipamentos. Pátios de armazenamento e locais de trabalho designados. Trabalho de campo em"&amp;" locais de gestão de vegetação de concessionárias de serviços públicos, áreas de preparação, áreas de atendimento ao cliente e locais à beira da estrada/locais de trabalho para suporte/preparação básica. Trabalho estacionário em pátios/oficinas/instalaçõe"&amp;"s de filiais da empresa. O trabalho de campo se limita a apoiar mecânicos/pessoal de frota com tarefas relacionadas à manutenção de veículos/equipamentos da empresa. 5. Tarefas de Limpeza Limpeza = limpeza/organização básica de nível auxiliar relacionada "&amp;"a veículos, equipamentos, ferramentas e áreas de manutenção. Remover sujeira, graxa, detritos, serragem, folhas, lama, resíduos de óleo e acúmulo relacionado ao trabalho de superfícies de equipamentos, ferramentas, pisos, bancadas e áreas de trabalho. Fer"&amp;"ramentas incluem: vassouras, panos de oficina, panos de limpeza, escovas, raspadores, baldes, mangueiras de água, desengraxantes, almofadas absorventes, kits de derramamento, recipientes de lixo, luvas, óculos de segurança e materiais de limpeza. ***Origi"&amp;"nal*** Auxiliar os trabalhadores de instalação, manutenção e reparo na manutenção, substituição de peças e reparo de veículos, máquinas industriais e equipamentos elétricos e eletrônicos. Executar tarefas como fornecer ferramentas, materiais e suprimentos"&amp;" para outros trabalhadores; limpar a área de trabalho, máquinas e ferramentas; e segurar materiais ou ferramentas para outros trabalhadores. Classificação da função: 49-3093.00 - Reparadores e Trocadores de Pneus. A classificação e descrição da função/set"&amp;"or inclui informações gerais sobre o cargo, de acordo com o ONET/OES e o Sistema de Classificação Industrial da América do Norte (NAICS). Consulte as Funções e a Ordem de Serviço para obter mais informações. Requisitos da função: Experiência necessária: N"&amp;"ão. Requisitos especiais: Deve ser capaz de levantar/carregar 23 kg ou mais, quando necessário. Trabalho aos sábados e domingos, quando necessário. Teste de drogas pago pelo empregador é obrigatório para trabalhadores estrangeiros e nacionais antes do iní"&amp;"cio do trabalho e após a contratação, aleatoriamente, em caso de suspeita de uso e após acidentes. Verificação de antecedentes e elegibilidade para emprego (e-Verify) após a contratação é obrigatória para trabalhadores estrangeiros e nacionais. Exame físi"&amp;"co pago pelo empregador é obrigatório antes do início do trabalho para garantir que o trabalhador possa executar o trabalho com segurança. Viagens ocasionais limitadas e pagamento de hora extra em dobro podem estar disponíveis em determinadas situações de"&amp;" emergência e feriados. O empregador poderá oferecer uma jornada de trabalho superior à estipulada, dependendo das condições climáticas, das necessidades da empresa e de outros fatores. Calor extremo, frio intenso, chuva ou seca podem afetar o horário de "&amp;"trabalho exato. Número de horas por semana: 35. Horário de trabalho (início/término): 7h às 15h.")</f>
        <v>***Resposta à RFI*** 1. Tipos de Equipamentos Veículos: Caminhonetes/caminhonetes/de serviço/de mecânico/de equipe/de plataforma/basculantes/com garra/de brita/com cesto elevatório, plataformas elevatórias para uso em quintais, reboques, vans e outros veículos da frota que dão suporte às operações de gestão de vegetação da concessionária. Máquinas/Equipamentos Industriais: Trituradores de madeira, destocadores, plataformas elevatórias para uso em quintais/aéreas, componentes de caminhões com cesto elevatório, equipamentos hidráulicos, roçadeiras florestais, minicarregadeiras, tratores, compressores, bombas e equipamentos de apoio usados ​​na poda de árvores, gestão de vegetação e operações da frota. Equipamentos Elétricos/Eletrônicos: Iluminação de veículos/reboques, alarmes de ré, sinalizadores de segurança/luzes estroboscópicas, cabos de bateria, baterias, fusíveis, fiação básica, unidades de câmera/GPS, dispositivos telemáticos e componentes elétricos básicos em veículos/equipamentos da empresa. 2. Deveres e Ferramentas Tarefas: Fornecer/transportar ferramentas, peças, materiais e suprimentos para mecânicos/trabalhadores de manutenção; Segurar/posicionar/fixar peças durante reparos/manutenção; auxiliar na substituição básica de peças (lâmpadas, baterias, filtros, palhetas do limpador de para-brisa, pneus, correias, mangueiras, luzes de reboque, fita refletora, itens de rotina); auxiliar na verificação/reabastecimento de fluidos (óleo do motor, líquido de arrefecimento, fluido do lavador de para-brisa, fluido hidráulico, DEF); remover/reinstalar painéis, tampas, proteções, pneus e componentes; auxiliar na manutenção preventiva (lubrificação de pontos de lubrificação, verificação da pressão dos pneus, limpeza dos terminais da bateria, organização de peças, preparação de equipamentos); movimentar peças/suprimentos; limpar/organizar ferramentas, áreas de manutenção/peças e equipamentos; preparar veículos/equipamentos para inspeção/serviço/reparo. Ferramentas/Materiais: Ferramentas manuais, incluindo... Chaves, soquetes, catracas, chaves de fenda, alicates, martelos, pistolas de graxa, mangueiras de ar, testadores de bateria, medidores de pressão de pneus, funis, bandejas de drenagem, panos de oficina, vassouras, desengraxantes, materiais de limpeza, lâmpadas de reposição, baterias, filtros, correias, mangueiras, fluidos e suprimentos de manutenção. Auxiliar com macacos, cavaletes, elevadores, carrinhos, macas de transporte e equipamentos de apoio da oficina, conforme instruções. 3. Trabalho com Motores a Diesel: Os veículos/equipamentos da empresa podem conter motores a diesel (caminhões, caminhões com plataforma elevatória, caminhões basculantes, trituradores, equipamentos da frota). O trabalho com motores a diesel se limita a suporte de nível auxiliar sob a supervisão de um mecânico/funcionário de manutenção qualificado (fornecer ferramentas/peças, segurar componentes, limpar áreas/equipamentos, auxiliar na verificação de fluidos, substituir itens básicos de serviço, preparar veículos/equipamentos). Não há funções avançadas de mecânico de motores a diesel. 4. Instalações/Locais de Trabalho: Trabalhar nos pátios da frota da empresa, oficinas de manutenção, filiais, equipamentos. Pátios de armazenamento e locais de trabalho designados. Trabalho de campo em locais de gestão de vegetação de concessionárias de serviços públicos, áreas de preparação, áreas de atendimento ao cliente e locais à beira da estrada/locais de trabalho para suporte/preparação básica. Trabalho estacionário em pátios/oficinas/instalações de filiais da empresa. O trabalho de campo se limita a apoiar mecânicos/pessoal de frota com tarefas relacionadas à manutenção de veículos/equipamentos da empresa. 5. Tarefas de Limpeza Limpeza = limpeza/organização básica de nível auxiliar relacionada a veículos, equipamentos, ferramentas e áreas de manutenção. Remover sujeira, graxa, detritos, serragem, folhas, lama, resíduos de óleo e acúmulo relacionado ao trabalho de superfícies de equipamentos, ferramentas, pisos, bancadas e áreas de trabalho. Ferramentas incluem: vassouras, panos de oficina, panos de limpeza, escovas, raspadores, baldes, mangueiras de água, desengraxantes, almofadas absorventes, kits de derramamento, recipientes de lixo, luvas, óculos de segurança e materiais de limpeza. ***Original*** Auxiliar os trabalhadores de instalação, manutenção e reparo na manutenção, substituição de peças e reparo de veículos, máquinas industriais e equipamentos elétricos e eletrônicos. Executar tarefas como fornecer ferramentas, materiais e suprimentos para outros trabalhadores; limpar a área de trabalho, máquinas e ferramentas; e segurar materiais ou ferramentas para outros trabalhadores. Classificação da função: 49-3093.00 - Reparadores e Trocadores de Pneus. A classificação e descrição da função/setor inclui informações gerais sobre o cargo, de acordo com o ONET/OES e o Sistema de Classificação Industrial da América do Norte (NAICS). Consulte as Funções e a Ordem de Serviço para obter mais informações. Requisitos da função: Experiência necessária: Não. Requisitos especiais: Deve ser capaz de levantar/carregar 23 kg ou mais, quando necessário. Trabalho aos sábados e domingos, quando necessário. Teste de drogas pago pelo empregador é obrigatório para trabalhadores estrangeiros e nacionais antes do início do trabalho e após a contratação, aleatoriamente, em caso de suspeita de uso e após acidentes. Verificação de antecedentes e elegibilidade para emprego (e-Verify) após a contratação é obrigatória para trabalhadores estrangeiros e nacionais. Exame físico pago pelo empregador é obrigatório antes do início do trabalho para garantir que o trabalhador possa executar o trabalho com segurança. Viagens ocasionais limitadas e pagamento de hora extra em dobro podem estar disponíveis em determinadas situações de emergência e feriados. O empregador poderá oferecer uma jornada de trabalho superior à estipulada, dependendo das condições climáticas, das necessidades da empresa e de outros fatores. Calor extremo, frio intenso, chuva ou seca podem afetar o horário de trabalho exato. Número de horas por semana: 35. Horário de trabalho (início/término): 7h às 15h.</v>
      </c>
    </row>
    <row r="5" ht="20.25" customHeight="1">
      <c r="A5" s="8" t="s">
        <v>42</v>
      </c>
      <c r="B5" s="8" t="s">
        <v>43</v>
      </c>
      <c r="C5" s="8" t="s">
        <v>17</v>
      </c>
      <c r="D5" s="8" t="s">
        <v>18</v>
      </c>
      <c r="E5" s="9" t="s">
        <v>44</v>
      </c>
      <c r="F5" s="9" t="s">
        <v>20</v>
      </c>
      <c r="G5" s="9" t="s">
        <v>37</v>
      </c>
      <c r="H5" s="8" t="s">
        <v>38</v>
      </c>
      <c r="I5" s="8" t="s">
        <v>39</v>
      </c>
      <c r="J5" s="9">
        <v>20.15</v>
      </c>
      <c r="K5" s="9">
        <v>8.0</v>
      </c>
      <c r="L5" s="8" t="s">
        <v>45</v>
      </c>
      <c r="M5" s="8" t="s">
        <v>46</v>
      </c>
      <c r="N5" s="7" t="str">
        <f>IFERROR(__xludf.DUMMYFUNCTION("GOOGLETRANSLATE(L5, ""en"", ""pt"")"),"Ajudantes de mecânico")</f>
        <v>Ajudantes de mecânico</v>
      </c>
      <c r="O5" s="7" t="str">
        <f>IFERROR(__xludf.DUMMYFUNCTION("IF(M5="""","""",GOOGLETRANSLATE(M5,""en"",""pt""))"),"***Resposta à RFI*** 1. Tipos de Equipamentos Veículos: Caminhonetes/caminhonetes/de serviço/de mecânico/de equipe/de plataforma/basculantes/com garra/de brita/com cesto elevatório, plataformas elevatórias para uso em quintais, reboques, vans e outros veí"&amp;"culos da frota que dão suporte às operações de gestão de vegetação da concessionária. Máquinas/Equipamentos Industriais: Trituradores de madeira, destocadores, plataformas elevatórias para uso em quintais/aéreas, componentes de caminhões com cesto elevató"&amp;"rio, equipamentos hidráulicos, roçadeiras florestais, minicarregadeiras, tratores, compressores, bombas e equipamentos de apoio usados ​​na poda de árvores, gestão de vegetação e operações da frota. Equipamentos Elétricos/Eletrônicos: Iluminação de veícul"&amp;"os/reboques, alarmes de ré, sinalizadores de segurança/luzes estroboscópicas, cabos de bateria, baterias, fusíveis, fiação básica, unidades de câmera/GPS, dispositivos telemáticos e componentes elétricos básicos em veículos/equipamentos da empresa. 2. Dev"&amp;"eres e Ferramentas Tarefas: Fornecer/transportar ferramentas, peças, materiais e suprimentos para mecânicos/trabalhadores de manutenção; Segurar/posicionar/fixar peças durante reparos/manutenção; auxiliar na substituição básica de peças (lâmpadas, bateria"&amp;"s, filtros, palhetas do limpador de para-brisa, pneus, correias, mangueiras, luzes de reboque, fita refletora, itens de rotina); auxiliar na verificação/reabastecimento de fluidos (óleo do motor, líquido de arrefecimento, fluido do lavador de para-brisa, "&amp;"fluido hidráulico, DEF); remover/reinstalar painéis, tampas, proteções, pneus e componentes; auxiliar na manutenção preventiva (lubrificação de pontos de lubrificação, verificação da pressão dos pneus, limpeza dos terminais da bateria, organização de peça"&amp;"s, preparação de equipamentos); movimentar peças/suprimentos; limpar/organizar ferramentas, áreas de manutenção/peças e equipamentos; preparar veículos/equipamentos para inspeção/serviço/reparo. Ferramentas/Materiais: Ferramentas manuais, incluindo... Cha"&amp;"ves, soquetes, catracas, chaves de fenda, alicates, martelos, pistolas de graxa, mangueiras de ar, testadores de bateria, medidores de pressão de pneus, funis, bandejas de drenagem, panos de oficina, vassouras, desengraxantes, materiais de limpeza, lâmpad"&amp;"as de reposição, baterias, filtros, correias, mangueiras, fluidos e suprimentos de manutenção. Auxiliar com macacos, cavaletes, elevadores, carrinhos, macas de transporte e equipamentos de apoio da oficina, conforme instruções. 3. Trabalho com Motores a D"&amp;"iesel: Os veículos/equipamentos da empresa podem conter motores a diesel (caminhões, caminhões com plataforma elevatória, caminhões basculantes, trituradores, equipamentos da frota). O trabalho com motores a diesel se limita a suporte de nível auxiliar so"&amp;"b a supervisão de um mecânico/funcionário de manutenção qualificado (fornecer ferramentas/peças, segurar componentes, limpar áreas/equipamentos, auxiliar na verificação de fluidos, substituir itens básicos de serviço, preparar veículos/equipamentos). Não "&amp;"há funções avançadas de mecânico de motores a diesel. 4. Instalações/Locais de Trabalho: Trabalhar nos pátios da frota da empresa, oficinas de manutenção, filiais, equipamentos. Pátios de armazenamento e locais de trabalho designados. Trabalho de campo em"&amp;" locais de gestão de vegetação de concessionárias de serviços públicos, áreas de preparação, áreas de atendimento ao cliente e locais à beira da estrada/locais de trabalho para suporte/preparação básica. Trabalho estacionário em pátios/oficinas/instalaçõe"&amp;"s de filiais da empresa. O trabalho de campo se limita a apoiar mecânicos/pessoal de frota com tarefas relacionadas à manutenção de veículos/equipamentos da empresa. 5. Tarefas de Limpeza Limpeza = limpeza/organização básica de nível auxiliar relacionada "&amp;"a veículos, equipamentos, ferramentas e áreas de manutenção. Remover sujeira, graxa, detritos, serragem, folhas, lama, resíduos de óleo e acúmulo relacionado ao trabalho de superfícies de equipamentos, ferramentas, pisos, bancadas e áreas de trabalho. Fer"&amp;"ramentas incluem: vassouras, panos de oficina, panos de limpeza, escovas, raspadores, baldes, mangueiras de água, desengraxantes, almofadas absorventes, kits de derramamento, recipientes de lixo, luvas, óculos de segurança e materiais de limpeza. ***Origi"&amp;"nal*** Auxiliar os trabalhadores de instalação, manutenção e reparo na manutenção, substituição de peças e reparo de veículos, máquinas industriais e equipamentos elétricos e eletrônicos. Executar tarefas como fornecer ferramentas, materiais e suprimentos"&amp;" para outros trabalhadores; limpar a área de trabalho, máquinas e ferramentas; e segurar materiais ou ferramentas para outros trabalhadores. Classificação da função: 49-9098.00 - Ajudantes - Trabalhadores de Instalação, Manutenção e Reparo. A classificaçã"&amp;"o e descrição da função/setor inclui informações gerais sobre o cargo, de acordo com o ONET/OES e o Sistema de Classificação Industrial da América do Norte (NAICS). Consulte as Funções e a Ordem de Serviço para obter mais informações. Requisitos da função"&amp;": Experiência necessária: Não. Requisitos especiais: Deve ser capaz de levantar/carregar 23 kg ou mais, quando necessário. Trabalho aos sábados e domingos, quando necessário. Teste de drogas pago pelo empregador é obrigatório para trabalhadores estrangeir"&amp;"os e nacionais antes do início do trabalho e após a contratação, aleatoriamente, em caso de suspeita de uso e após acidente. Verificação de antecedentes e elegibilidade para emprego (e-Verify) após a contratação é obrigatória para trabalhadores estrangeir"&amp;"os e nacionais. Exame físico pago pelo empregador é obrigatório antes do início do trabalho para garantir que o trabalhador possa executar o trabalho com segurança. Viagens ocasionais limitadas e pagamento em dobro podem estar disponíveis em determinadas "&amp;"situações de emergência e feriados. O empregador pode oferecer mais horas de trabalho do que as estipuladas, dependendo do clima, das necessidades da empresa e de outras circunstâncias. Calor extremo, frio, chuva ou seca podem afetar o horário de trabalho"&amp;" exato. Número de horas por semana: 35. Horário de trabalho (início/término): 7h às 15h.")</f>
        <v>***Resposta à RFI*** 1. Tipos de Equipamentos Veículos: Caminhonetes/caminhonetes/de serviço/de mecânico/de equipe/de plataforma/basculantes/com garra/de brita/com cesto elevatório, plataformas elevatórias para uso em quintais, reboques, vans e outros veículos da frota que dão suporte às operações de gestão de vegetação da concessionária. Máquinas/Equipamentos Industriais: Trituradores de madeira, destocadores, plataformas elevatórias para uso em quintais/aéreas, componentes de caminhões com cesto elevatório, equipamentos hidráulicos, roçadeiras florestais, minicarregadeiras, tratores, compressores, bombas e equipamentos de apoio usados ​​na poda de árvores, gestão de vegetação e operações da frota. Equipamentos Elétricos/Eletrônicos: Iluminação de veículos/reboques, alarmes de ré, sinalizadores de segurança/luzes estroboscópicas, cabos de bateria, baterias, fusíveis, fiação básica, unidades de câmera/GPS, dispositivos telemáticos e componentes elétricos básicos em veículos/equipamentos da empresa. 2. Deveres e Ferramentas Tarefas: Fornecer/transportar ferramentas, peças, materiais e suprimentos para mecânicos/trabalhadores de manutenção; Segurar/posicionar/fixar peças durante reparos/manutenção; auxiliar na substituição básica de peças (lâmpadas, baterias, filtros, palhetas do limpador de para-brisa, pneus, correias, mangueiras, luzes de reboque, fita refletora, itens de rotina); auxiliar na verificação/reabastecimento de fluidos (óleo do motor, líquido de arrefecimento, fluido do lavador de para-brisa, fluido hidráulico, DEF); remover/reinstalar painéis, tampas, proteções, pneus e componentes; auxiliar na manutenção preventiva (lubrificação de pontos de lubrificação, verificação da pressão dos pneus, limpeza dos terminais da bateria, organização de peças, preparação de equipamentos); movimentar peças/suprimentos; limpar/organizar ferramentas, áreas de manutenção/peças e equipamentos; preparar veículos/equipamentos para inspeção/serviço/reparo. Ferramentas/Materiais: Ferramentas manuais, incluindo... Chaves, soquetes, catracas, chaves de fenda, alicates, martelos, pistolas de graxa, mangueiras de ar, testadores de bateria, medidores de pressão de pneus, funis, bandejas de drenagem, panos de oficina, vassouras, desengraxantes, materiais de limpeza, lâmpadas de reposição, baterias, filtros, correias, mangueiras, fluidos e suprimentos de manutenção. Auxiliar com macacos, cavaletes, elevadores, carrinhos, macas de transporte e equipamentos de apoio da oficina, conforme instruções. 3. Trabalho com Motores a Diesel: Os veículos/equipamentos da empresa podem conter motores a diesel (caminhões, caminhões com plataforma elevatória, caminhões basculantes, trituradores, equipamentos da frota). O trabalho com motores a diesel se limita a suporte de nível auxiliar sob a supervisão de um mecânico/funcionário de manutenção qualificado (fornecer ferramentas/peças, segurar componentes, limpar áreas/equipamentos, auxiliar na verificação de fluidos, substituir itens básicos de serviço, preparar veículos/equipamentos). Não há funções avançadas de mecânico de motores a diesel. 4. Instalações/Locais de Trabalho: Trabalhar nos pátios da frota da empresa, oficinas de manutenção, filiais, equipamentos. Pátios de armazenamento e locais de trabalho designados. Trabalho de campo em locais de gestão de vegetação de concessionárias de serviços públicos, áreas de preparação, áreas de atendimento ao cliente e locais à beira da estrada/locais de trabalho para suporte/preparação básica. Trabalho estacionário em pátios/oficinas/instalações de filiais da empresa. O trabalho de campo se limita a apoiar mecânicos/pessoal de frota com tarefas relacionadas à manutenção de veículos/equipamentos da empresa. 5. Tarefas de Limpeza Limpeza = limpeza/organização básica de nível auxiliar relacionada a veículos, equipamentos, ferramentas e áreas de manutenção. Remover sujeira, graxa, detritos, serragem, folhas, lama, resíduos de óleo e acúmulo relacionado ao trabalho de superfícies de equipamentos, ferramentas, pisos, bancadas e áreas de trabalho. Ferramentas incluem: vassouras, panos de oficina, panos de limpeza, escovas, raspadores, baldes, mangueiras de água, desengraxantes, almofadas absorventes, kits de derramamento, recipientes de lixo, luvas, óculos de segurança e materiais de limpeza. ***Original*** Auxiliar os trabalhadores de instalação, manutenção e reparo na manutenção, substituição de peças e reparo de veículos, máquinas industriais e equipamentos elétricos e eletrônicos. Executar tarefas como fornecer ferramentas, materiais e suprimentos para outros trabalhadores; limpar a área de trabalho, máquinas e ferramentas; e segurar materiais ou ferramentas para outros trabalhadores. Classificação da função: 49-9098.00 - Ajudantes - Trabalhadores de Instalação, Manutenção e Reparo. A classificação e descrição da função/setor inclui informações gerais sobre o cargo, de acordo com o ONET/OES e o Sistema de Classificação Industrial da América do Norte (NAICS). Consulte as Funções e a Ordem de Serviço para obter mais informações. Requisitos da função: Experiência necessária: Não. Requisitos especiais: Deve ser capaz de levantar/carregar 23 kg ou mais, quando necessário. Trabalho aos sábados e domingos, quando necessário. Teste de drogas pago pelo empregador é obrigatório para trabalhadores estrangeiros e nacionais antes do início do trabalho e após a contratação, aleatoriamente, em caso de suspeita de uso e após acidente. Verificação de antecedentes e elegibilidade para emprego (e-Verify) após a contratação é obrigatória para trabalhadores estrangeiros e nacionais. Exame físico pago pelo empregador é obrigatório antes do início do trabalho para garantir que o trabalhador possa executar o trabalho com segurança. Viagens ocasionais limitadas e pagamento em dobro podem estar disponíveis em determinadas situações de emergência e feriados. O empregador pode oferecer mais horas de trabalho do que as estipuladas, dependendo do clima, das necessidades da empresa e de outras circunstâncias. Calor extremo, frio, chuva ou seca podem afetar o horário de trabalho exato. Número de horas por semana: 35. Horário de trabalho (início/término): 7h às 15h.</v>
      </c>
    </row>
    <row r="6" ht="20.25" customHeight="1">
      <c r="A6" s="3" t="s">
        <v>47</v>
      </c>
      <c r="B6" s="3" t="s">
        <v>48</v>
      </c>
      <c r="C6" s="3" t="s">
        <v>17</v>
      </c>
      <c r="D6" s="3" t="s">
        <v>18</v>
      </c>
      <c r="E6" s="4" t="s">
        <v>19</v>
      </c>
      <c r="F6" s="4" t="s">
        <v>20</v>
      </c>
      <c r="G6" s="4" t="s">
        <v>37</v>
      </c>
      <c r="H6" s="3" t="s">
        <v>38</v>
      </c>
      <c r="I6" s="3" t="s">
        <v>39</v>
      </c>
      <c r="J6" s="4">
        <v>20.16</v>
      </c>
      <c r="K6" s="4">
        <v>2.0</v>
      </c>
      <c r="L6" s="3" t="s">
        <v>45</v>
      </c>
      <c r="M6" s="3" t="s">
        <v>46</v>
      </c>
      <c r="N6" s="7" t="str">
        <f>IFERROR(__xludf.DUMMYFUNCTION("GOOGLETRANSLATE(L6, ""en"", ""pt"")"),"Ajudantes de mecânico")</f>
        <v>Ajudantes de mecânico</v>
      </c>
      <c r="O6" s="7" t="str">
        <f>IFERROR(__xludf.DUMMYFUNCTION("IF(M6="""","""",GOOGLETRANSLATE(M6,""en"",""pt""))"),"***Resposta à RFI*** 1. Tipos de Equipamentos Veículos: Caminhonetes/caminhonetes/de serviço/de mecânico/de equipe/de plataforma/basculantes/com garra/de brita/com cesto elevatório, plataformas elevatórias para uso em quintais, reboques, vans e outros veí"&amp;"culos da frota que dão suporte às operações de gestão de vegetação da concessionária. Máquinas/Equipamentos Industriais: Trituradores de madeira, destocadores, plataformas elevatórias para uso em quintais/aéreas, componentes de caminhões com cesto elevató"&amp;"rio, equipamentos hidráulicos, roçadeiras florestais, minicarregadeiras, tratores, compressores, bombas e equipamentos de apoio usados ​​na poda de árvores, gestão de vegetação e operações da frota. Equipamentos Elétricos/Eletrônicos: Iluminação de veícul"&amp;"os/reboques, alarmes de ré, sinalizadores de segurança/luzes estroboscópicas, cabos de bateria, baterias, fusíveis, fiação básica, unidades de câmera/GPS, dispositivos telemáticos e componentes elétricos básicos em veículos/equipamentos da empresa. 2. Dev"&amp;"eres e Ferramentas Tarefas: Fornecer/transportar ferramentas, peças, materiais e suprimentos para mecânicos/trabalhadores de manutenção; Segurar/posicionar/fixar peças durante reparos/manutenção; auxiliar na substituição básica de peças (lâmpadas, bateria"&amp;"s, filtros, palhetas do limpador de para-brisa, pneus, correias, mangueiras, luzes de reboque, fita refletora, itens de rotina); auxiliar na verificação/reabastecimento de fluidos (óleo do motor, líquido de arrefecimento, fluido do lavador de para-brisa, "&amp;"fluido hidráulico, DEF); remover/reinstalar painéis, tampas, proteções, pneus e componentes; auxiliar na manutenção preventiva (lubrificação de pontos de lubrificação, verificação da pressão dos pneus, limpeza dos terminais da bateria, organização de peça"&amp;"s, preparação de equipamentos); movimentar peças/suprimentos; limpar/organizar ferramentas, áreas de manutenção/peças e equipamentos; preparar veículos/equipamentos para inspeção/serviço/reparo. Ferramentas/Materiais: Ferramentas manuais, incluindo... Cha"&amp;"ves, soquetes, catracas, chaves de fenda, alicates, martelos, pistolas de graxa, mangueiras de ar, testadores de bateria, medidores de pressão de pneus, funis, bandejas de drenagem, panos de oficina, vassouras, desengraxantes, materiais de limpeza, lâmpad"&amp;"as de reposição, baterias, filtros, correias, mangueiras, fluidos e suprimentos de manutenção. Auxiliar com macacos, cavaletes, elevadores, carrinhos, macas de transporte e equipamentos de apoio da oficina, conforme instruções. 3. Trabalho com Motores a D"&amp;"iesel: Os veículos/equipamentos da empresa podem conter motores a diesel (caminhões, caminhões com plataforma elevatória, caminhões basculantes, trituradores, equipamentos da frota). O trabalho com motores a diesel se limita a suporte de nível auxiliar so"&amp;"b a supervisão de um mecânico/funcionário de manutenção qualificado (fornecer ferramentas/peças, segurar componentes, limpar áreas/equipamentos, auxiliar na verificação de fluidos, substituir itens básicos de serviço, preparar veículos/equipamentos). Não "&amp;"há funções avançadas de mecânico de motores a diesel. 4. Instalações/Locais de Trabalho: Trabalhar nos pátios da frota da empresa, oficinas de manutenção, filiais, equipamentos. Pátios de armazenamento e locais de trabalho designados. Trabalho de campo em"&amp;" locais de gestão de vegetação de concessionárias de serviços públicos, áreas de preparação, áreas de atendimento ao cliente e locais à beira da estrada/locais de trabalho para suporte/preparação básica. Trabalho estacionário em pátios/oficinas/instalaçõe"&amp;"s de filiais da empresa. O trabalho de campo se limita a apoiar mecânicos/pessoal de frota com tarefas relacionadas à manutenção de veículos/equipamentos da empresa. 5. Tarefas de Limpeza Limpeza = limpeza/organização básica de nível auxiliar relacionada "&amp;"a veículos, equipamentos, ferramentas e áreas de manutenção. Remover sujeira, graxa, detritos, serragem, folhas, lama, resíduos de óleo e acúmulo relacionado ao trabalho de superfícies de equipamentos, ferramentas, pisos, bancadas e áreas de trabalho. Fer"&amp;"ramentas incluem: vassouras, panos de oficina, panos de limpeza, escovas, raspadores, baldes, mangueiras de água, desengraxantes, almofadas absorventes, kits de derramamento, recipientes de lixo, luvas, óculos de segurança e materiais de limpeza. ***Origi"&amp;"nal*** Auxiliar os trabalhadores de instalação, manutenção e reparo na manutenção, substituição de peças e reparo de veículos, máquinas industriais e equipamentos elétricos e eletrônicos. Executar tarefas como fornecer ferramentas, materiais e suprimentos"&amp;" para outros trabalhadores; limpar a área de trabalho, máquinas e ferramentas; e segurar materiais ou ferramentas para outros trabalhadores. Classificação da função: 49-9098.00 - Ajudantes - Trabalhadores de Instalação, Manutenção e Reparo. A classificaçã"&amp;"o e descrição da função/setor inclui informações gerais sobre o cargo, de acordo com o ONET/OES e o Sistema de Classificação Industrial da América do Norte (NAICS). Consulte as Funções e a Ordem de Serviço para obter mais informações. Requisitos da função"&amp;": Experiência necessária: Não. Requisitos especiais: Deve ser capaz de levantar/carregar 23 kg ou mais, quando necessário. Trabalho aos sábados e domingos, quando necessário. Teste de drogas pago pelo empregador é obrigatório para trabalhadores estrangeir"&amp;"os e nacionais antes do início do trabalho e após a contratação, aleatoriamente, em caso de suspeita de uso e após acidente. Verificação de antecedentes e elegibilidade para emprego (e-Verify) após a contratação é obrigatória para trabalhadores estrangeir"&amp;"os e nacionais. Exame físico pago pelo empregador é obrigatório antes do início do trabalho para garantir que o trabalhador possa executar o trabalho com segurança. Viagens ocasionais limitadas e pagamento em dobro podem estar disponíveis em determinadas "&amp;"situações de emergência e feriados. O empregador pode oferecer mais horas de trabalho do que as estipuladas, dependendo do clima, das necessidades da empresa e de outras circunstâncias. Calor extremo, frio, chuva ou seca podem afetar o horário de trabalho"&amp;" exato. Número de horas por semana: 35. Horário de trabalho (início/término): 7h às 15h.")</f>
        <v>***Resposta à RFI*** 1. Tipos de Equipamentos Veículos: Caminhonetes/caminhonetes/de serviço/de mecânico/de equipe/de plataforma/basculantes/com garra/de brita/com cesto elevatório, plataformas elevatórias para uso em quintais, reboques, vans e outros veículos da frota que dão suporte às operações de gestão de vegetação da concessionária. Máquinas/Equipamentos Industriais: Trituradores de madeira, destocadores, plataformas elevatórias para uso em quintais/aéreas, componentes de caminhões com cesto elevatório, equipamentos hidráulicos, roçadeiras florestais, minicarregadeiras, tratores, compressores, bombas e equipamentos de apoio usados ​​na poda de árvores, gestão de vegetação e operações da frota. Equipamentos Elétricos/Eletrônicos: Iluminação de veículos/reboques, alarmes de ré, sinalizadores de segurança/luzes estroboscópicas, cabos de bateria, baterias, fusíveis, fiação básica, unidades de câmera/GPS, dispositivos telemáticos e componentes elétricos básicos em veículos/equipamentos da empresa. 2. Deveres e Ferramentas Tarefas: Fornecer/transportar ferramentas, peças, materiais e suprimentos para mecânicos/trabalhadores de manutenção; Segurar/posicionar/fixar peças durante reparos/manutenção; auxiliar na substituição básica de peças (lâmpadas, baterias, filtros, palhetas do limpador de para-brisa, pneus, correias, mangueiras, luzes de reboque, fita refletora, itens de rotina); auxiliar na verificação/reabastecimento de fluidos (óleo do motor, líquido de arrefecimento, fluido do lavador de para-brisa, fluido hidráulico, DEF); remover/reinstalar painéis, tampas, proteções, pneus e componentes; auxiliar na manutenção preventiva (lubrificação de pontos de lubrificação, verificação da pressão dos pneus, limpeza dos terminais da bateria, organização de peças, preparação de equipamentos); movimentar peças/suprimentos; limpar/organizar ferramentas, áreas de manutenção/peças e equipamentos; preparar veículos/equipamentos para inspeção/serviço/reparo. Ferramentas/Materiais: Ferramentas manuais, incluindo... Chaves, soquetes, catracas, chaves de fenda, alicates, martelos, pistolas de graxa, mangueiras de ar, testadores de bateria, medidores de pressão de pneus, funis, bandejas de drenagem, panos de oficina, vassouras, desengraxantes, materiais de limpeza, lâmpadas de reposição, baterias, filtros, correias, mangueiras, fluidos e suprimentos de manutenção. Auxiliar com macacos, cavaletes, elevadores, carrinhos, macas de transporte e equipamentos de apoio da oficina, conforme instruções. 3. Trabalho com Motores a Diesel: Os veículos/equipamentos da empresa podem conter motores a diesel (caminhões, caminhões com plataforma elevatória, caminhões basculantes, trituradores, equipamentos da frota). O trabalho com motores a diesel se limita a suporte de nível auxiliar sob a supervisão de um mecânico/funcionário de manutenção qualificado (fornecer ferramentas/peças, segurar componentes, limpar áreas/equipamentos, auxiliar na verificação de fluidos, substituir itens básicos de serviço, preparar veículos/equipamentos). Não há funções avançadas de mecânico de motores a diesel. 4. Instalações/Locais de Trabalho: Trabalhar nos pátios da frota da empresa, oficinas de manutenção, filiais, equipamentos. Pátios de armazenamento e locais de trabalho designados. Trabalho de campo em locais de gestão de vegetação de concessionárias de serviços públicos, áreas de preparação, áreas de atendimento ao cliente e locais à beira da estrada/locais de trabalho para suporte/preparação básica. Trabalho estacionário em pátios/oficinas/instalações de filiais da empresa. O trabalho de campo se limita a apoiar mecânicos/pessoal de frota com tarefas relacionadas à manutenção de veículos/equipamentos da empresa. 5. Tarefas de Limpeza Limpeza = limpeza/organização básica de nível auxiliar relacionada a veículos, equipamentos, ferramentas e áreas de manutenção. Remover sujeira, graxa, detritos, serragem, folhas, lama, resíduos de óleo e acúmulo relacionado ao trabalho de superfícies de equipamentos, ferramentas, pisos, bancadas e áreas de trabalho. Ferramentas incluem: vassouras, panos de oficina, panos de limpeza, escovas, raspadores, baldes, mangueiras de água, desengraxantes, almofadas absorventes, kits de derramamento, recipientes de lixo, luvas, óculos de segurança e materiais de limpeza. ***Original*** Auxiliar os trabalhadores de instalação, manutenção e reparo na manutenção, substituição de peças e reparo de veículos, máquinas industriais e equipamentos elétricos e eletrônicos. Executar tarefas como fornecer ferramentas, materiais e suprimentos para outros trabalhadores; limpar a área de trabalho, máquinas e ferramentas; e segurar materiais ou ferramentas para outros trabalhadores. Classificação da função: 49-9098.00 - Ajudantes - Trabalhadores de Instalação, Manutenção e Reparo. A classificação e descrição da função/setor inclui informações gerais sobre o cargo, de acordo com o ONET/OES e o Sistema de Classificação Industrial da América do Norte (NAICS). Consulte as Funções e a Ordem de Serviço para obter mais informações. Requisitos da função: Experiência necessária: Não. Requisitos especiais: Deve ser capaz de levantar/carregar 23 kg ou mais, quando necessário. Trabalho aos sábados e domingos, quando necessário. Teste de drogas pago pelo empregador é obrigatório para trabalhadores estrangeiros e nacionais antes do início do trabalho e após a contratação, aleatoriamente, em caso de suspeita de uso e após acidente. Verificação de antecedentes e elegibilidade para emprego (e-Verify) após a contratação é obrigatória para trabalhadores estrangeiros e nacionais. Exame físico pago pelo empregador é obrigatório antes do início do trabalho para garantir que o trabalhador possa executar o trabalho com segurança. Viagens ocasionais limitadas e pagamento em dobro podem estar disponíveis em determinadas situações de emergência e feriados. O empregador pode oferecer mais horas de trabalho do que as estipuladas, dependendo do clima, das necessidades da empresa e de outras circunstâncias. Calor extremo, frio, chuva ou seca podem afetar o horário de trabalho exato. Número de horas por semana: 35. Horário de trabalho (início/término): 7h às 15h.</v>
      </c>
    </row>
    <row r="7" ht="20.25" customHeight="1">
      <c r="A7" s="8" t="s">
        <v>49</v>
      </c>
      <c r="B7" s="8" t="s">
        <v>50</v>
      </c>
      <c r="C7" s="8" t="s">
        <v>17</v>
      </c>
      <c r="D7" s="8" t="s">
        <v>51</v>
      </c>
      <c r="E7" s="9" t="s">
        <v>19</v>
      </c>
      <c r="F7" s="9" t="s">
        <v>20</v>
      </c>
      <c r="G7" s="9" t="s">
        <v>37</v>
      </c>
      <c r="H7" s="8" t="s">
        <v>38</v>
      </c>
      <c r="I7" s="8" t="s">
        <v>39</v>
      </c>
      <c r="J7" s="9">
        <v>19.23</v>
      </c>
      <c r="K7" s="9">
        <v>6.0</v>
      </c>
      <c r="L7" s="8" t="s">
        <v>40</v>
      </c>
      <c r="M7" s="8" t="s">
        <v>46</v>
      </c>
      <c r="N7" s="7" t="str">
        <f>IFERROR(__xludf.DUMMYFUNCTION("GOOGLETRANSLATE(L7, ""en"", ""pt"")"),"Ajudante de Mecânico")</f>
        <v>Ajudante de Mecânico</v>
      </c>
      <c r="O7" s="7" t="str">
        <f>IFERROR(__xludf.DUMMYFUNCTION("IF(M7="""","""",GOOGLETRANSLATE(M7,""en"",""pt""))"),"***Resposta à RFI*** 1. Tipos de Equipamentos Veículos: Caminhonetes/caminhonetes/de serviço/de mecânico/de equipe/de plataforma/basculantes/com garra/de brita/com cesto elevatório, plataformas elevatórias para uso em quintais, reboques, vans e outros veí"&amp;"culos da frota que dão suporte às operações de gestão de vegetação da concessionária. Máquinas/Equipamentos Industriais: Trituradores de madeira, destocadores, plataformas elevatórias para uso em quintais/aéreas, componentes de caminhões com cesto elevató"&amp;"rio, equipamentos hidráulicos, roçadeiras florestais, minicarregadeiras, tratores, compressores, bombas e equipamentos de apoio usados ​​na poda de árvores, gestão de vegetação e operações da frota. Equipamentos Elétricos/Eletrônicos: Iluminação de veícul"&amp;"os/reboques, alarmes de ré, sinalizadores de segurança/luzes estroboscópicas, cabos de bateria, baterias, fusíveis, fiação básica, unidades de câmera/GPS, dispositivos telemáticos e componentes elétricos básicos em veículos/equipamentos da empresa. 2. Dev"&amp;"eres e Ferramentas Tarefas: Fornecer/transportar ferramentas, peças, materiais e suprimentos para mecânicos/trabalhadores de manutenção; Segurar/posicionar/fixar peças durante reparos/manutenção; auxiliar na substituição básica de peças (lâmpadas, bateria"&amp;"s, filtros, palhetas do limpador de para-brisa, pneus, correias, mangueiras, luzes de reboque, fita refletora, itens de rotina); auxiliar na verificação/reabastecimento de fluidos (óleo do motor, líquido de arrefecimento, fluido do lavador de para-brisa, "&amp;"fluido hidráulico, DEF); remover/reinstalar painéis, tampas, proteções, pneus e componentes; auxiliar na manutenção preventiva (lubrificação de pontos de lubrificação, verificação da pressão dos pneus, limpeza dos terminais da bateria, organização de peça"&amp;"s, preparação de equipamentos); movimentar peças/suprimentos; limpar/organizar ferramentas, áreas de manutenção/peças e equipamentos; preparar veículos/equipamentos para inspeção/serviço/reparo. Ferramentas/Materiais: Ferramentas manuais, incluindo... Cha"&amp;"ves, soquetes, catracas, chaves de fenda, alicates, martelos, pistolas de graxa, mangueiras de ar, testadores de bateria, medidores de pressão de pneus, funis, bandejas de drenagem, panos de oficina, vassouras, desengraxantes, materiais de limpeza, lâmpad"&amp;"as de reposição, baterias, filtros, correias, mangueiras, fluidos e suprimentos de manutenção. Auxiliar com macacos, cavaletes, elevadores, carrinhos, macas de transporte e equipamentos de apoio da oficina, conforme instruções. 3. Trabalho com Motores a D"&amp;"iesel: Os veículos/equipamentos da empresa podem conter motores a diesel (caminhões, caminhões com plataforma elevatória, caminhões basculantes, trituradores, equipamentos da frota). O trabalho com motores a diesel se limita a suporte de nível auxiliar so"&amp;"b a supervisão de um mecânico/funcionário de manutenção qualificado (fornecer ferramentas/peças, segurar componentes, limpar áreas/equipamentos, auxiliar na verificação de fluidos, substituir itens básicos de serviço, preparar veículos/equipamentos). Não "&amp;"há funções avançadas de mecânico de motores a diesel. 4. Instalações/Locais de Trabalho: Trabalhar nos pátios da frota da empresa, oficinas de manutenção, filiais, equipamentos. Pátios de armazenamento e locais de trabalho designados. Trabalho de campo em"&amp;" locais de gestão de vegetação de concessionárias de serviços públicos, áreas de preparação, áreas de atendimento ao cliente e locais à beira da estrada/locais de trabalho para suporte/preparação básica. Trabalho estacionário em pátios/oficinas/instalaçõe"&amp;"s de filiais da empresa. O trabalho de campo se limita a apoiar mecânicos/pessoal de frota com tarefas relacionadas à manutenção de veículos/equipamentos da empresa. 5. Tarefas de Limpeza Limpeza = limpeza/organização básica de nível auxiliar relacionada "&amp;"a veículos, equipamentos, ferramentas e áreas de manutenção. Remover sujeira, graxa, detritos, serragem, folhas, lama, resíduos de óleo e acúmulo relacionado ao trabalho de superfícies de equipamentos, ferramentas, pisos, bancadas e áreas de trabalho. Fer"&amp;"ramentas incluem: vassouras, panos de oficina, panos de limpeza, escovas, raspadores, baldes, mangueiras de água, desengraxantes, almofadas absorventes, kits de derramamento, recipientes de lixo, luvas, óculos de segurança e materiais de limpeza. ***Origi"&amp;"nal*** Auxiliar os trabalhadores de instalação, manutenção e reparo na manutenção, substituição de peças e reparo de veículos, máquinas industriais e equipamentos elétricos e eletrônicos. Executar tarefas como fornecer ferramentas, materiais e suprimentos"&amp;" para outros trabalhadores; limpar a área de trabalho, máquinas e ferramentas; e segurar materiais ou ferramentas para outros trabalhadores. Classificação da função: 49-9098.00 - Ajudantes - Trabalhadores de Instalação, Manutenção e Reparo. A classificaçã"&amp;"o e descrição da função/setor inclui informações gerais sobre o cargo, de acordo com o ONET/OES e o Sistema de Classificação Industrial da América do Norte (NAICS). Consulte as Funções e a Ordem de Serviço para obter mais informações. Requisitos da função"&amp;": Experiência necessária: Não. Requisitos especiais: Deve ser capaz de levantar/carregar 23 kg ou mais, quando necessário. Trabalho aos sábados e domingos, quando necessário. Teste de drogas pago pelo empregador é obrigatório para trabalhadores estrangeir"&amp;"os e nacionais antes do início do trabalho e após a contratação, aleatoriamente, em caso de suspeita de uso e após acidente. Verificação de antecedentes e elegibilidade para emprego (e-Verify) após a contratação é obrigatória para trabalhadores estrangeir"&amp;"os e nacionais. Exame físico pago pelo empregador é obrigatório antes do início do trabalho para garantir que o trabalhador possa executar o trabalho com segurança. Viagens ocasionais limitadas e pagamento em dobro podem estar disponíveis em determinadas "&amp;"situações de emergência e feriados. O empregador pode oferecer mais horas de trabalho do que as estipuladas, dependendo do clima, das necessidades da empresa e de outras circunstâncias. Calor extremo, frio, chuva ou seca podem afetar o horário de trabalho"&amp;" exato. Número de horas por semana: 35. Horário de trabalho (início/término): 7h às 15h.")</f>
        <v>***Resposta à RFI*** 1. Tipos de Equipamentos Veículos: Caminhonetes/caminhonetes/de serviço/de mecânico/de equipe/de plataforma/basculantes/com garra/de brita/com cesto elevatório, plataformas elevatórias para uso em quintais, reboques, vans e outros veículos da frota que dão suporte às operações de gestão de vegetação da concessionária. Máquinas/Equipamentos Industriais: Trituradores de madeira, destocadores, plataformas elevatórias para uso em quintais/aéreas, componentes de caminhões com cesto elevatório, equipamentos hidráulicos, roçadeiras florestais, minicarregadeiras, tratores, compressores, bombas e equipamentos de apoio usados ​​na poda de árvores, gestão de vegetação e operações da frota. Equipamentos Elétricos/Eletrônicos: Iluminação de veículos/reboques, alarmes de ré, sinalizadores de segurança/luzes estroboscópicas, cabos de bateria, baterias, fusíveis, fiação básica, unidades de câmera/GPS, dispositivos telemáticos e componentes elétricos básicos em veículos/equipamentos da empresa. 2. Deveres e Ferramentas Tarefas: Fornecer/transportar ferramentas, peças, materiais e suprimentos para mecânicos/trabalhadores de manutenção; Segurar/posicionar/fixar peças durante reparos/manutenção; auxiliar na substituição básica de peças (lâmpadas, baterias, filtros, palhetas do limpador de para-brisa, pneus, correias, mangueiras, luzes de reboque, fita refletora, itens de rotina); auxiliar na verificação/reabastecimento de fluidos (óleo do motor, líquido de arrefecimento, fluido do lavador de para-brisa, fluido hidráulico, DEF); remover/reinstalar painéis, tampas, proteções, pneus e componentes; auxiliar na manutenção preventiva (lubrificação de pontos de lubrificação, verificação da pressão dos pneus, limpeza dos terminais da bateria, organização de peças, preparação de equipamentos); movimentar peças/suprimentos; limpar/organizar ferramentas, áreas de manutenção/peças e equipamentos; preparar veículos/equipamentos para inspeção/serviço/reparo. Ferramentas/Materiais: Ferramentas manuais, incluindo... Chaves, soquetes, catracas, chaves de fenda, alicates, martelos, pistolas de graxa, mangueiras de ar, testadores de bateria, medidores de pressão de pneus, funis, bandejas de drenagem, panos de oficina, vassouras, desengraxantes, materiais de limpeza, lâmpadas de reposição, baterias, filtros, correias, mangueiras, fluidos e suprimentos de manutenção. Auxiliar com macacos, cavaletes, elevadores, carrinhos, macas de transporte e equipamentos de apoio da oficina, conforme instruções. 3. Trabalho com Motores a Diesel: Os veículos/equipamentos da empresa podem conter motores a diesel (caminhões, caminhões com plataforma elevatória, caminhões basculantes, trituradores, equipamentos da frota). O trabalho com motores a diesel se limita a suporte de nível auxiliar sob a supervisão de um mecânico/funcionário de manutenção qualificado (fornecer ferramentas/peças, segurar componentes, limpar áreas/equipamentos, auxiliar na verificação de fluidos, substituir itens básicos de serviço, preparar veículos/equipamentos). Não há funções avançadas de mecânico de motores a diesel. 4. Instalações/Locais de Trabalho: Trabalhar nos pátios da frota da empresa, oficinas de manutenção, filiais, equipamentos. Pátios de armazenamento e locais de trabalho designados. Trabalho de campo em locais de gestão de vegetação de concessionárias de serviços públicos, áreas de preparação, áreas de atendimento ao cliente e locais à beira da estrada/locais de trabalho para suporte/preparação básica. Trabalho estacionário em pátios/oficinas/instalações de filiais da empresa. O trabalho de campo se limita a apoiar mecânicos/pessoal de frota com tarefas relacionadas à manutenção de veículos/equipamentos da empresa. 5. Tarefas de Limpeza Limpeza = limpeza/organização básica de nível auxiliar relacionada a veículos, equipamentos, ferramentas e áreas de manutenção. Remover sujeira, graxa, detritos, serragem, folhas, lama, resíduos de óleo e acúmulo relacionado ao trabalho de superfícies de equipamentos, ferramentas, pisos, bancadas e áreas de trabalho. Ferramentas incluem: vassouras, panos de oficina, panos de limpeza, escovas, raspadores, baldes, mangueiras de água, desengraxantes, almofadas absorventes, kits de derramamento, recipientes de lixo, luvas, óculos de segurança e materiais de limpeza. ***Original*** Auxiliar os trabalhadores de instalação, manutenção e reparo na manutenção, substituição de peças e reparo de veículos, máquinas industriais e equipamentos elétricos e eletrônicos. Executar tarefas como fornecer ferramentas, materiais e suprimentos para outros trabalhadores; limpar a área de trabalho, máquinas e ferramentas; e segurar materiais ou ferramentas para outros trabalhadores. Classificação da função: 49-9098.00 - Ajudantes - Trabalhadores de Instalação, Manutenção e Reparo. A classificação e descrição da função/setor inclui informações gerais sobre o cargo, de acordo com o ONET/OES e o Sistema de Classificação Industrial da América do Norte (NAICS). Consulte as Funções e a Ordem de Serviço para obter mais informações. Requisitos da função: Experiência necessária: Não. Requisitos especiais: Deve ser capaz de levantar/carregar 23 kg ou mais, quando necessário. Trabalho aos sábados e domingos, quando necessário. Teste de drogas pago pelo empregador é obrigatório para trabalhadores estrangeiros e nacionais antes do início do trabalho e após a contratação, aleatoriamente, em caso de suspeita de uso e após acidente. Verificação de antecedentes e elegibilidade para emprego (e-Verify) após a contratação é obrigatória para trabalhadores estrangeiros e nacionais. Exame físico pago pelo empregador é obrigatório antes do início do trabalho para garantir que o trabalhador possa executar o trabalho com segurança. Viagens ocasionais limitadas e pagamento em dobro podem estar disponíveis em determinadas situações de emergência e feriados. O empregador pode oferecer mais horas de trabalho do que as estipuladas, dependendo do clima, das necessidades da empresa e de outras circunstâncias. Calor extremo, frio, chuva ou seca podem afetar o horário de trabalho exato. Número de horas por semana: 35. Horário de trabalho (início/término): 7h às 15h.</v>
      </c>
    </row>
    <row r="8" ht="20.25" customHeight="1">
      <c r="A8" s="3" t="s">
        <v>52</v>
      </c>
      <c r="B8" s="3" t="s">
        <v>53</v>
      </c>
      <c r="C8" s="3" t="s">
        <v>54</v>
      </c>
      <c r="D8" s="3" t="s">
        <v>55</v>
      </c>
      <c r="E8" s="4" t="s">
        <v>19</v>
      </c>
      <c r="F8" s="4" t="s">
        <v>20</v>
      </c>
      <c r="G8" s="4" t="s">
        <v>56</v>
      </c>
      <c r="H8" s="3" t="s">
        <v>57</v>
      </c>
      <c r="I8" s="3" t="s">
        <v>58</v>
      </c>
      <c r="J8" s="4">
        <v>19.8</v>
      </c>
      <c r="K8" s="4">
        <v>6.0</v>
      </c>
      <c r="L8" s="3" t="s">
        <v>59</v>
      </c>
      <c r="M8" s="3" t="s">
        <v>60</v>
      </c>
      <c r="N8" s="7" t="str">
        <f>IFERROR(__xludf.DUMMYFUNCTION("GOOGLETRANSLATE(L8, ""en"", ""pt"")"),"Trabalhador de paisagismo")</f>
        <v>Trabalhador de paisagismo</v>
      </c>
      <c r="O8" s="7" t="str">
        <f>IFERROR(__xludf.DUMMYFUNCTION("IF(M8="""","""",GOOGLETRANSLATE(M8,""en"",""pt""))"),"As funções podem incluir: cuidar de gramados e propriedades, cortando, aparando, fazendo o acabamento das bordas, aplicando cobertura morta, aerando, capinando, removendo palha, lixo e detritos. Seguir o cronograma e os projetos de paisagismo planejados p"&amp;"ara determinar onde colocar grama, plantar árvores, arbustos e flores, instalar blocos de concreto pré-moldado sem argamassa para fins paisagísticos e podar árvores, arbustos ou sebes. Regar árvores, arbustos, flores e gramados. Remover neve de calçadas, "&amp;"entradas de garagem ou estacionamentos e espalhar sal nessas áreas, além de outras atividades relacionadas a serviços de paisagismo, conforme SOC/OES 37-3011 (onetonline.org). Horário padrão/esperado: segunda a sexta, das 7h30 às 16h30. Oferecemos mais de"&amp;" 40 horas semanais, sem incluir almoço e/ou intervalos. Possibilidade de trabalho nos fins de semana e feriados. Os horários de início e término, a carga horária oferecida e/ou a possibilidade de horas extras podem variar, pois dependem de fatores como ne"&amp;"cessidades do projeto/cronograma/serviço, condições climáticas e tempo de deslocamento entre os locais de trabalho (se aplicável). Horas extras são possíveis, mas não obrigatórias nem garantidas. A critério exclusivo do empregador: aumentos salariais e/ou"&amp;" bônus podem ser concedidos com base em fatores individuais, como desempenho ou habilidades (não garantidos). Classificação da vaga: 37-3011.00 - Trabalhadores de Paisagismo e Manutenção de Áreas Verdes. A classificação e a descrição da vaga/setor incluem"&amp;" informações gerais sobre o cargo, conforme o ONET/OES e o Sistema de Classificação Industrial da América do Norte (NAICS). Consulte as Funções e a Ordem de Serviço para obter mais informações. Requisitos da vaga: Experiência exigida: Não. Requisitos espe"&amp;"ciais: É necessário ter 18 anos ou mais devido a questões de seguro. É necessário apresentar comprovante de autorização legal para trabalhar nos Estados Unidos. Ambiente de trabalho livre de drogas, álcool e tabaco. Executar atividades físicas, como levan"&amp;"tar, equilibrar-se, caminhar, abaixar-se, manusear, posicionar, mover e manipular materiais; usar força estática para exercer força muscular máxima para levantar, empurrar, puxar e carregar objetos de até 23 kg. Todos os candidatos devem ser capazes, disp"&amp;"ostos e qualificados para executar o trabalho descrito e devem estar disponíveis durante todo o período especificado e trabalhar em todas as áreas da empresa. Possível verificação de antecedentes após a contratação, às custas do empregador. O trabalho é r"&amp;"ealizado ao ar livre, exposto às intempéries; o candidato deve ser capaz de realizar trabalho fisicamente extenuante por longos períodos, ocasionalmente em calor ou frio extremos. Condições climáticas variáveis ​​se aplicam; a carga horária pode sofrer al"&amp;"terações (+/-), com possibilidade de períodos de inatividade e/ou horas extras. Número de horas por semana: 40. Horário de trabalho (início/término): 7h30 às 16h30.")</f>
        <v>As funções podem incluir: cuidar de gramados e propriedades, cortando, aparando, fazendo o acabamento das bordas, aplicando cobertura morta, aerando, capinando, removendo palha, lixo e detritos. Seguir o cronograma e os projetos de paisagismo planejados para determinar onde colocar grama, plantar árvores, arbustos e flores, instalar blocos de concreto pré-moldado sem argamassa para fins paisagísticos e podar árvores, arbustos ou sebes. Regar árvores, arbustos, flores e gramados. Remover neve de calçadas, entradas de garagem ou estacionamentos e espalhar sal nessas áreas, além de outras atividades relacionadas a serviços de paisagismo, conforme SOC/OES 37-3011 (onetonline.org). Horário padrão/esperado: segunda a sexta, das 7h30 às 16h30. Oferecemos mais de 40 horas semanais, sem incluir almoço e/ou intervalos. Possibilidade de trabalho nos fins de semana e feriados. Os horários de início e término, a carga horária oferecida e/ou a possibilidade de horas extras podem variar, pois dependem de fatores como necessidades do projeto/cronograma/serviço, condições climáticas e tempo de deslocamento entre os locais de trabalho (se aplicável). Horas extras são possíveis, mas não obrigatórias nem garantidas. A critério exclusivo do empregador: aumentos salariais e/ou bônus podem ser concedidos com base em fatores individuais, como desempenho ou habilidades (não garantidos). Classificação da vaga: 37-3011.00 - Trabalhadores de Paisagismo e Manutenção de Áreas Verdes. A classificação e a descrição da vaga/setor incluem informações gerais sobre o cargo, conforme o ONET/OES e o Sistema de Classificação Industrial da América do Norte (NAICS). Consulte as Funções e a Ordem de Serviço para obter mais informações. Requisitos da vaga: Experiência exigida: Não. Requisitos especiais: É necessário ter 18 anos ou mais devido a questões de seguro. É necessário apresentar comprovante de autorização legal para trabalhar nos Estados Unidos. Ambiente de trabalho livre de drogas, álcool e tabaco. Executar atividades físicas, como levantar, equilibrar-se, caminhar, abaixar-se, manusear, posicionar, mover e manipular materiais; usar força estática para exercer força muscular máxima para levantar, empurrar, puxar e carregar objetos de até 23 kg. Todos os candidatos devem ser capazes, dispostos e qualificados para executar o trabalho descrito e devem estar disponíveis durante todo o período especificado e trabalhar em todas as áreas da empresa. Possível verificação de antecedentes após a contratação, às custas do empregador. O trabalho é realizado ao ar livre, exposto às intempéries; o candidato deve ser capaz de realizar trabalho fisicamente extenuante por longos períodos, ocasionalmente em calor ou frio extremos. Condições climáticas variáveis ​​se aplicam; a carga horária pode sofrer alterações (+/-), com possibilidade de períodos de inatividade e/ou horas extras. Número de horas por semana: 40. Horário de trabalho (início/término): 7h30 às 16h30.</v>
      </c>
    </row>
    <row r="9" ht="20.25" customHeight="1">
      <c r="A9" s="3" t="s">
        <v>61</v>
      </c>
      <c r="B9" s="3" t="s">
        <v>62</v>
      </c>
      <c r="C9" s="3" t="s">
        <v>63</v>
      </c>
      <c r="D9" s="3" t="s">
        <v>64</v>
      </c>
      <c r="E9" s="4" t="s">
        <v>44</v>
      </c>
      <c r="F9" s="4" t="s">
        <v>20</v>
      </c>
      <c r="G9" s="4" t="s">
        <v>65</v>
      </c>
      <c r="H9" s="10" t="s">
        <v>66</v>
      </c>
      <c r="I9" s="3" t="s">
        <v>67</v>
      </c>
      <c r="J9" s="4">
        <v>18.42</v>
      </c>
      <c r="K9" s="4">
        <v>50.0</v>
      </c>
      <c r="L9" s="3" t="s">
        <v>59</v>
      </c>
      <c r="M9" s="3" t="s">
        <v>68</v>
      </c>
      <c r="N9" s="7" t="str">
        <f>IFERROR(__xludf.DUMMYFUNCTION("GOOGLETRANSLATE(L9, ""en"", ""pt"")"),"Trabalhador de paisagismo")</f>
        <v>Trabalhador de paisagismo</v>
      </c>
      <c r="O9" s="7" t="str">
        <f>IFERROR(__xludf.DUMMYFUNCTION("IF(M9="""","""",GOOGLETRANSLATE(M9,""en"",""pt""))"),"Paisagismo e manutenção de terrenos utilizando ferramentas manuais ou elétricas. Os trabalhadores geralmente executam uma variedade de tarefas, que podem incluir qualquer combinação das seguintes: cobertura morta, corte de grama, poda, plantio, rega, fert"&amp;"ilização, escavação, rastelagem e instalação/manutenção/reparo de sistemas de irrigação de gramados. Carga e descarga de caminhões. Nível inicial; requer supervisão. Classificação da vaga: 37-3011.00 - Trabalhadores de Paisagismo e Manutenção de Terrenos."&amp;" A classificação e descrição da vaga/setor incluem informações gerais sobre o cargo, de acordo com o ONET/OES e o Sistema de Classificação Industrial da América do Norte. Consulte as Funções e a Ordem de Serviço para obter mais informações. Requisitos da "&amp;"vaga: Experiência exigida: Não. Requisitos especiais: Deve levantar/carregar 23 kg, quando necessário. Trabalho aos sábados e domingos, quando necessário. Testes de drogas/álcool pagos pelo empregador são obrigatórios para trabalhadores estrangeiros e nac"&amp;"ionais após a contratação, de forma aleatória. O empregador pode oferecer mais horas de trabalho do que as estipuladas, dependendo do clima, das necessidades da empresa e de outras condições. Calor extremo, frio, chuva ou seca podem afetar o horário de tr"&amp;"abalho exato. Número de horas por semana: 40. Horário de trabalho (início/término): 8h às 17h.")</f>
        <v>Paisagismo e manutenção de terrenos utilizando ferramentas manuais ou elétricas. Os trabalhadores geralmente executam uma variedade de tarefas, que podem incluir qualquer combinação das seguintes: cobertura morta, corte de grama, poda, plantio, rega, fertilização, escavação, rastelagem e instalação/manutenção/reparo de sistemas de irrigação de gramados. Carga e descarga de caminhões. Nível inicial; requer supervisão. Classificação da vaga: 37-3011.00 - Trabalhadores de Paisagismo e Manutenção de Terrenos. A classificação e descrição da vaga/setor incluem informações gerais sobre o cargo, de acordo com o ONET/OES e o Sistema de Classificação Industrial da América do Norte. Consulte as Funções e a Ordem de Serviço para obter mais informações. Requisitos da vaga: Experiência exigida: Não. Requisitos especiais: Deve levantar/carregar 23 kg, quando necessário. Trabalho aos sábados e domingos, quando necessário. Testes de drogas/álcool pagos pelo empregador são obrigatórios para trabalhadores estrangeiros e nacionais após a contratação, de forma aleatória. O empregador pode oferecer mais horas de trabalho do que as estipuladas, dependendo do clima, das necessidades da empresa e de outras condições. Calor extremo, frio, chuva ou seca podem afetar o horário de trabalho exato. Número de horas por semana: 40. Horário de trabalho (início/término): 8h às 17h.</v>
      </c>
    </row>
    <row r="10" ht="20.25" customHeight="1">
      <c r="A10" s="3" t="s">
        <v>69</v>
      </c>
      <c r="B10" s="3" t="s">
        <v>70</v>
      </c>
      <c r="C10" s="3" t="s">
        <v>17</v>
      </c>
      <c r="D10" s="3" t="s">
        <v>71</v>
      </c>
      <c r="E10" s="4" t="s">
        <v>19</v>
      </c>
      <c r="F10" s="4" t="s">
        <v>20</v>
      </c>
      <c r="G10" s="4" t="s">
        <v>72</v>
      </c>
      <c r="H10" s="3" t="s">
        <v>73</v>
      </c>
      <c r="I10" s="3"/>
      <c r="J10" s="4">
        <v>19.1</v>
      </c>
      <c r="K10" s="4">
        <v>6.0</v>
      </c>
      <c r="L10" s="3" t="s">
        <v>74</v>
      </c>
      <c r="M10" s="3" t="s">
        <v>75</v>
      </c>
      <c r="N10" s="7" t="str">
        <f>IFERROR(__xludf.DUMMYFUNCTION("GOOGLETRANSLATE(L10, ""en"", ""pt"")"),"Membro da Equipe de Instalação de Tendas")</f>
        <v>Membro da Equipe de Instalação de Tendas</v>
      </c>
      <c r="O10" s="7" t="str">
        <f>IFERROR(__xludf.DUMMYFUNCTION("IF(M10="""","""",GOOGLETRANSLATE(M10,""en"",""pt""))"),"Auxiliar na entrega, montagem, desmontagem e armazenamento de equipamentos de aluguel para eventos especiais; carga e descarga de caminhões; auxílio em tarefas de armazém, como limpeza de equipamentos de aluguel, organização e inventário. Nível inicial; r"&amp;"equer supervisão. Classificação da vaga: 53-7062.00 - Operários e Movimentadores de Carga, Estoque e Materiais. A classificação e descrição da vaga/setor incluem informações gerais sobre o cargo, de acordo com o ONET/OES e o Sistema de Classificação Indus"&amp;"trial da América do Norte (NAICS). Consulte as Funções e a Ordem de Serviço para obter mais informações. Requisitos da vaga: Experiência necessária: Não. Requisitos especiais: Deve ser capaz de levantar/carregar 23 kg, quando necessário. Trabalho aos sába"&amp;"dos e domingos, quando necessário. Vários turnos oferecidos, de acordo com as necessidades da empresa. Exame toxicológico pago pelo empregador é obrigatório para trabalhadores estrangeiros e nacionais antes do início do trabalho. Verificação do histórico "&amp;"de condução após a contratação é obrigatória apenas para trabalhadores estrangeiros e nacionais que dirigem veículos da empresa (dirigir não é um requisito para todos os funcionários da vaga). O empregador pode oferecer mais horas de trabalho do que as es"&amp;"tipuladas, dependendo do clima, das necessidades da empresa e de outras condições. Calor extremo, frio, chuva ou seca podem afetar o horário de trabalho exato. Número de horas por semana: 40. Horário de trabalho (início/término): 7h às 16h.")</f>
        <v>Auxiliar na entrega, montagem, desmontagem e armazenamento de equipamentos de aluguel para eventos especiais; carga e descarga de caminhões; auxílio em tarefas de armazém, como limpeza de equipamentos de aluguel, organização e inventário. Nível inicial; requer supervisão. Classificação da vaga: 53-7062.00 - Operários e Movimentadores de Carga, Estoque e Materiais. A classificação e descrição da vaga/setor incluem informações gerais sobre o cargo, de acordo com o ONET/OES e o Sistema de Classificação Industrial da América do Norte (NAICS). Consulte as Funções e a Ordem de Serviço para obter mais informações. Requisitos da vaga: Experiência necessária: Não. Requisitos especiais: Deve ser capaz de levantar/carregar 23 kg, quando necessário. Trabalho aos sábados e domingos, quando necessário. Vários turnos oferecidos, de acordo com as necessidades da empresa. Exame toxicológico pago pelo empregador é obrigatório para trabalhadores estrangeiros e nacionais antes do início do trabalho. Verificação do histórico de condução após a contratação é obrigatória apenas para trabalhadores estrangeiros e nacionais que dirigem veículos da empresa (dirigir não é um requisito para todos os funcionários da vaga). O empregador pode oferecer mais horas de trabalho do que as estipuladas, dependendo do clima, das necessidades da empresa e de outras condições. Calor extremo, frio, chuva ou seca podem afetar o horário de trabalho exato. Número de horas por semana: 40. Horário de trabalho (início/término): 7h às 16h.</v>
      </c>
    </row>
    <row r="11" ht="20.25" customHeight="1">
      <c r="A11" s="8" t="s">
        <v>76</v>
      </c>
      <c r="B11" s="8" t="s">
        <v>77</v>
      </c>
      <c r="C11" s="8" t="s">
        <v>78</v>
      </c>
      <c r="D11" s="8" t="s">
        <v>79</v>
      </c>
      <c r="E11" s="9" t="s">
        <v>19</v>
      </c>
      <c r="F11" s="9" t="s">
        <v>20</v>
      </c>
      <c r="G11" s="9" t="s">
        <v>80</v>
      </c>
      <c r="H11" s="8" t="s">
        <v>81</v>
      </c>
      <c r="I11" s="8" t="s">
        <v>82</v>
      </c>
      <c r="J11" s="9">
        <v>20.59</v>
      </c>
      <c r="K11" s="9">
        <v>24.0</v>
      </c>
      <c r="L11" s="8" t="s">
        <v>83</v>
      </c>
      <c r="M11" s="8" t="s">
        <v>84</v>
      </c>
      <c r="N11" s="7" t="str">
        <f>IFERROR(__xludf.DUMMYFUNCTION("GOOGLETRANSLATE(L11, ""en"", ""pt"")"),"Trabalhador Florestal")</f>
        <v>Trabalhador Florestal</v>
      </c>
      <c r="O11" s="7" t="str">
        <f>IFERROR(__xludf.DUMMYFUNCTION("IF(M11="""","""",GOOGLETRANSLATE(M11,""en"",""pt""))"),"As funções podem incluir: Plantio: mudas/árvores utilizando ferramentas manuais e aplicação de cobertura morta conforme necessário. Poda, desbaste, espaçamento ou corte de árvores ou outras vegetações; corte de árvores ou toras e empilhamento manual. SOB "&amp;"A DIREÇÃO DE OFICIAIS DE COMBATE A INCÊNDIOS OU TÉCNICOS FLORESTAIS: tarefas de prevenção e combate a incêndios, como queimadas controladas, proteção contra incêndios e combate a incêndios por meio de limpeza/descarte de vegetação rasteira, empilhamento e"&amp;" abertura de aceiros/construção de barreiras corta-fogo. Condução ocasional de veículos e outras atividades relacionadas a Trabalhador Florestal, conforme SOC/OES 45-4011 (onetonline.org). Horário padrão/esperado: Segunda a sexta, das 6h30 às 15h. Oferece"&amp;"ndo mais de 40 horas semanais, sem incluir almoço e/ou intervalos. Possibilidade de trabalho em fins de semana/feriados. Os horários de início e término, a carga horária oferecida e/ou a possibilidade de horas extras podem variar, pois dependem de fatores"&amp;" como necessidades do projeto/cronograma/serviço, condições climáticas e tempo de deslocamento entre os locais de trabalho (se aplicável). Horas extras são possíveis, mas não obrigatórias nem garantidas. A critério exclusivo do empregador: aumentos salari"&amp;"ais e/ou bônus podem ser concedidos com base em fatores individuais, como desempenho ou habilidades (não garantidos). Moradia compartilhada opcional disponível sem custo para o trabalhador. Classificação da vaga: 45-4011.00 - Trabalhadores Florestais e de"&amp;" Conservação. A classificação e a descrição da vaga/setor incluem informações gerais sobre o cargo, de acordo com o ONET/OES e o Sistema de Classificação Industrial da América do Norte. Consulte as Funções e a Ordem de Serviço para obter mais informações."&amp;" Requisitos da vaga: Experiência exigida: Sim. Meses de experiência exigidos: 3. Requisitos especiais: É necessário ter 18 anos devido a viagens. É necessário apresentar comprovante de autorização legal para trabalhar nos Estados Unidos. Ambiente de traba"&amp;"lho livre de drogas, álcool e tabaco. O candidato deve caminhar bastante (até 24 km/dia), além de se abaixar e se curvar carregando uma mochila (até 23 kg) em terrenos acidentados (fora de trilhas). Todos os candidatos devem ser capazes, dispostos e quali"&amp;"ficados para realizar o trabalho descrito e devem estar disponíveis durante todo o período especificado e trabalhar em todas as áreas da vaga. A critério do empregador e devido ao custo, o trabalhador poderá ser submetido a testes aleatórios de drogas/álc"&amp;"ool durante o emprego: teste positivo/recusa em cumprir o teste resultará em demissão. O trabalho é realizado ao ar livre, exposto às intempéries; o candidato deve ser capaz de realizar trabalho fisicamente extenuante por longos períodos, ocasionalmente e"&amp;"m calor ou frio extremos. As condições climáticas são variáveis; a carga horária pode sofrer alterações, com possibilidade de períodos de inatividade e/ou horas extras. Número de horas por semana: 40. Horário de trabalho (início/término): 6h30 às 15h.")</f>
        <v>As funções podem incluir: Plantio: mudas/árvores utilizando ferramentas manuais e aplicação de cobertura morta conforme necessário. Poda, desbaste, espaçamento ou corte de árvores ou outras vegetações; corte de árvores ou toras e empilhamento manual. SOB A DIREÇÃO DE OFICIAIS DE COMBATE A INCÊNDIOS OU TÉCNICOS FLORESTAIS: tarefas de prevenção e combate a incêndios, como queimadas controladas, proteção contra incêndios e combate a incêndios por meio de limpeza/descarte de vegetação rasteira, empilhamento e abertura de aceiros/construção de barreiras corta-fogo. Condução ocasional de veículos e outras atividades relacionadas a Trabalhador Florestal, conforme SOC/OES 45-4011 (onetonline.org). Horário padrão/esperado: Segunda a sexta, das 6h30 às 15h. Oferecendo mais de 40 horas semanais, sem incluir almoço e/ou intervalos. Possibilidade de trabalho em fins de semana/feriados. Os horários de início e término, a carga horária oferecida e/ou a possibilidade de horas extras podem variar, pois dependem de fatores como necessidades do projeto/cronograma/serviço, condições climáticas e tempo de deslocamento entre os locais de trabalho (se aplicável). Horas extras são possíveis, mas não obrigatórias nem garantidas. A critério exclusivo do empregador: aumentos salariais e/ou bônus podem ser concedidos com base em fatores individuais, como desempenho ou habilidades (não garantidos). Moradia compartilhada opcional disponível sem custo para o trabalhador. Classificação da vaga: 45-4011.00 - Trabalhadores Florestais e de Conservação. A classificação e a descrição da vaga/setor incluem informações gerais sobre o cargo, de acordo com o ONET/OES e o Sistema de Classificação Industrial da América do Norte. Consulte as Funções e a Ordem de Serviço para obter mais informações. Requisitos da vaga: Experiência exigida: Sim. Meses de experiência exigidos: 3. Requisitos especiais: É necessário ter 18 anos devido a viagens. É necessário apresentar comprovante de autorização legal para trabalhar nos Estados Unidos. Ambiente de trabalho livre de drogas, álcool e tabaco. O candidato deve caminhar bastante (até 24 km/dia), além de se abaixar e se curvar carregando uma mochila (até 23 kg) em terrenos acidentados (fora de trilhas). Todos os candidatos devem ser capazes, dispostos e qualificados para realizar o trabalho descrito e devem estar disponíveis durante todo o período especificado e trabalhar em todas as áreas da vaga. A critério do empregador e devido ao custo, o trabalhador poderá ser submetido a testes aleatórios de drogas/álcool durante o emprego: teste positivo/recusa em cumprir o teste resultará em demissão. O trabalho é realizado ao ar livre, exposto às intempéries; o candidato deve ser capaz de realizar trabalho fisicamente extenuante por longos períodos, ocasionalmente em calor ou frio extremos. As condições climáticas são variáveis; a carga horária pode sofrer alterações, com possibilidade de períodos de inatividade e/ou horas extras. Número de horas por semana: 40. Horário de trabalho (início/término): 6h30 às 15h.</v>
      </c>
    </row>
    <row r="12" ht="20.25" customHeight="1">
      <c r="A12" s="3" t="s">
        <v>85</v>
      </c>
      <c r="B12" s="3" t="s">
        <v>86</v>
      </c>
      <c r="C12" s="3" t="s">
        <v>78</v>
      </c>
      <c r="D12" s="3" t="s">
        <v>87</v>
      </c>
      <c r="E12" s="4" t="s">
        <v>19</v>
      </c>
      <c r="F12" s="4" t="s">
        <v>20</v>
      </c>
      <c r="G12" s="4" t="s">
        <v>56</v>
      </c>
      <c r="H12" s="3" t="s">
        <v>88</v>
      </c>
      <c r="I12" s="3" t="s">
        <v>89</v>
      </c>
      <c r="J12" s="4">
        <v>18.21</v>
      </c>
      <c r="K12" s="4">
        <v>6.0</v>
      </c>
      <c r="L12" s="3" t="s">
        <v>59</v>
      </c>
      <c r="M12" s="3" t="s">
        <v>90</v>
      </c>
      <c r="N12" s="7" t="str">
        <f>IFERROR(__xludf.DUMMYFUNCTION("GOOGLETRANSLATE(L12, ""en"", ""pt"")"),"Trabalhador de paisagismo")</f>
        <v>Trabalhador de paisagismo</v>
      </c>
      <c r="O12" s="7" t="str">
        <f>IFERROR(__xludf.DUMMYFUNCTION("IF(M12="""","""",GOOGLETRANSLATE(M12,""en"",""pt""))"),"As funções podem incluir: Cuidar de gramados já estabelecidos, cortando, aparando, delimitando, aplicando cobertura morta, aerando, capinando, rastelando e removendo palha, folhas, lixo e detritos. Seguir projetos paisagísticos planejados para a instalaçã"&amp;"o de árvores, arbustos, folhagens, grama, flores e sistemas de irrigação. Transportar ou espalhar terra vegetal. Podar ou aparar árvores, arbustos, folhagens e remover flores murchas. Misturar e pulverizar ou espalhar fertilizantes, herbicidas ou insetici"&amp;"das em árvores, arbustos, folhagens ou gramados usando pulverizadores ou espalhadores manuais ou automáticos. Regar gramados, árvores ou plantas, usando mangueiras e sistemas de irrigação portáteis. Manter sistemas de irrigação residenciais e comerciais. "&amp;"Providenciar a manutenção adequada de canteiros, calçadas, entradas de garagem e estacionamentos. Usar ferramentas manuais, como pás, ancinhos, tesouras de poda e serras de poda. Poderá operar veículos ou equipamentos motorizados, como caminhões de trabal"&amp;"ho com pequenos reboques utilitários, cortadores de grama, aparadores, bordadeiras, sopradores de folhas e tesouras de poda elétricas, além de outras atividades relacionadas a serviços de paisagismo, conforme SOC/OES 37-3011 (onetonline.org). Horário padr"&amp;"ão/esperado: segunda a sexta, das 7h às 15h30. Oferece-se mais de 40 horas semanais, sem incluir almoço e/ou intervalos. Possibilidade de trabalho nos fins de semana e feriados. Os horários de início e término, a carga horária oferecida e/ou a possibilida"&amp;"de de horas extras podem variar, pois dependem de fatores como necessidades do projeto/cronograma/serviço, condições climáticas e tempo de deslocamento entre os locais de trabalho (se aplicável). Horas extras são possíveis, mas não obrigatórias nem garant"&amp;"idas. A critério exclusivo do empregador: aumentos salariais e/ou bônus podem ser concedidos com base em fatores individuais, como desempenho ou habilidades (não garantidos). Classificação da Função: 37-3011.00 - Trabalhadores de Paisagismo e Manutenção d"&amp;"e Jardins. A classificação e descrição da função/setor inclui informações gerais sobre o cargo, conforme o ONET/OES e o Sistema de Classificação Industrial da América do Norte (NAICS). Consulte as Funções e a Ordem de Serviço para obter mais informações. "&amp;"Requisitos da Função: Experiência Necessária: Sim. Meses de Experiência Necessários: 3. Requisitos Especiais: É necessário ter 18 anos devido a exigências do seguro. É necessário apresentar comprovante de autorização legal para trabalhar nos Estados Unido"&amp;"s. Ambiente de trabalho livre de drogas, álcool e tabaco. Executar atividades físicas, como levantar, equilibrar-se, caminhar, abaixar-se, manusear, posicionar, mover e manipular materiais, utilizando força estática para exercer força muscular máxima para"&amp;" levantar, empurrar, puxar e carregar objetos de até 13,6 kg (30 lbs). Todos os candidatos devem ser capazes, dispostos e qualificados para executar o trabalho descrito e devem estar disponíveis durante todo o período especificado e trabalhar em todas as "&amp;"áreas da vaga. Possível verificação de antecedentes após a contratação, às custas do empregador. O trabalho é realizado ao ar livre, exposto às intempéries; o candidato deve ser capaz de realizar trabalho fisicamente extenuante por longos períodos, ocasio"&amp;"nalmente em calor ou frio extremos. Condições climáticas variáveis ​​se aplicam; o horário de trabalho pode sofrer alterações (+/-), podendo haver períodos de inatividade e/ou horas extras. Número de horas por semana: 40. Horário de trabalho (início/térmi"&amp;"no): 7h00 - 15h30.")</f>
        <v>As funções podem incluir: Cuidar de gramados já estabelecidos, cortando, aparando, delimitando, aplicando cobertura morta, aerando, capinando, rastelando e removendo palha, folhas, lixo e detritos. Seguir projetos paisagísticos planejados para a instalação de árvores, arbustos, folhagens, grama, flores e sistemas de irrigação. Transportar ou espalhar terra vegetal. Podar ou aparar árvores, arbustos, folhagens e remover flores murchas. Misturar e pulverizar ou espalhar fertilizantes, herbicidas ou inseticidas em árvores, arbustos, folhagens ou gramados usando pulverizadores ou espalhadores manuais ou automáticos. Regar gramados, árvores ou plantas, usando mangueiras e sistemas de irrigação portáteis. Manter sistemas de irrigação residenciais e comerciais. Providenciar a manutenção adequada de canteiros, calçadas, entradas de garagem e estacionamentos. Usar ferramentas manuais, como pás, ancinhos, tesouras de poda e serras de poda. Poderá operar veículos ou equipamentos motorizados, como caminhões de trabalho com pequenos reboques utilitários, cortadores de grama, aparadores, bordadeiras, sopradores de folhas e tesouras de poda elétricas, além de outras atividades relacionadas a serviços de paisagismo, conforme SOC/OES 37-3011 (onetonline.org). Horário padrão/esperado: segunda a sexta, das 7h às 15h30. Oferece-se mais de 40 horas semanais, sem incluir almoço e/ou intervalos. Possibilidade de trabalho nos fins de semana e feriados. Os horários de início e término, a carga horária oferecida e/ou a possibilidade de horas extras podem variar, pois dependem de fatores como necessidades do projeto/cronograma/serviço, condições climáticas e tempo de deslocamento entre os locais de trabalho (se aplicável). Horas extras são possíveis, mas não obrigatórias nem garantidas. A critério exclusivo do empregador: aumentos salariais e/ou bônus podem ser concedidos com base em fatores individuais, como desempenho ou habilidades (não garantidos). Classificação da Função: 37-3011.00 - Trabalhadores de Paisagismo e Manutenção de Jardins. A classificação e descrição da função/setor inclui informações gerais sobre o cargo, conforme o ONET/OES e o Sistema de Classificação Industrial da América do Norte (NAICS). Consulte as Funções e a Ordem de Serviço para obter mais informações. Requisitos da Função: Experiência Necessária: Sim. Meses de Experiência Necessários: 3. Requisitos Especiais: É necessário ter 18 anos devido a exigências do seguro. É necessário apresentar comprovante de autorização legal para trabalhar nos Estados Unidos. Ambiente de trabalho livre de drogas, álcool e tabaco. Executar atividades físicas, como levantar, equilibrar-se, caminhar, abaixar-se, manusear, posicionar, mover e manipular materiais, utilizando força estática para exercer força muscular máxima para levantar, empurrar, puxar e carregar objetos de até 13,6 kg (30 lbs). Todos os candidatos devem ser capazes, dispostos e qualificados para executar o trabalho descrito e devem estar disponíveis durante todo o período especificado e trabalhar em todas as áreas da vaga. Possível verificação de antecedentes após a contratação, às custas do empregador. O trabalho é realizado ao ar livre, exposto às intempéries; o candidato deve ser capaz de realizar trabalho fisicamente extenuante por longos períodos, ocasionalmente em calor ou frio extremos. Condições climáticas variáveis ​​se aplicam; o horário de trabalho pode sofrer alterações (+/-), podendo haver períodos de inatividade e/ou horas extras. Número de horas por semana: 40. Horário de trabalho (início/término): 7h00 - 15h30.</v>
      </c>
    </row>
    <row r="13" ht="20.25" customHeight="1">
      <c r="A13" s="8" t="s">
        <v>91</v>
      </c>
      <c r="B13" s="8" t="s">
        <v>92</v>
      </c>
      <c r="C13" s="8" t="s">
        <v>93</v>
      </c>
      <c r="D13" s="8" t="s">
        <v>28</v>
      </c>
      <c r="E13" s="9" t="s">
        <v>19</v>
      </c>
      <c r="F13" s="9" t="s">
        <v>20</v>
      </c>
      <c r="G13" s="9" t="s">
        <v>94</v>
      </c>
      <c r="H13" s="8" t="s">
        <v>95</v>
      </c>
      <c r="I13" s="8" t="s">
        <v>96</v>
      </c>
      <c r="J13" s="9">
        <v>22.66</v>
      </c>
      <c r="K13" s="9">
        <v>8.0</v>
      </c>
      <c r="L13" s="8" t="s">
        <v>97</v>
      </c>
      <c r="M13" s="8" t="s">
        <v>98</v>
      </c>
      <c r="N13" s="7" t="str">
        <f>IFERROR(__xludf.DUMMYFUNCTION("GOOGLETRANSLATE(L13, ""en"", ""pt"")"),"Operador de Equipamentos")</f>
        <v>Operador de Equipamentos</v>
      </c>
      <c r="O13" s="7" t="str">
        <f>IFERROR(__xludf.DUMMYFUNCTION("IF(M13="""","""",GOOGLETRANSLATE(M13,""en"",""pt""))"),"Carregar, descarregar e transportar bagaço para a estação de processamento utilizando uma pá carregadeira, garantindo a distribuição adequada e o manuseio seguro. Realizar inspeção pré-turno dos equipamentos, manutenção de rotina e reparos básicos para ga"&amp;"rantir o funcionamento eficaz dos equipamentos. Reportar imediatamente quaisquer defeitos ou necessidades de manutenção. Manter o local do projeto em condições seguras de operação. Cumprir todas as normas e protocolos de segurança para prevenir acidentes "&amp;"e manter um ambiente de trabalho seguro para si e para os outros no local de trabalho. Classificação da Função: 53-7051.00 - Operadores de Caminhões e Tratores Industriais. A classificação e descrição da função/setor incluem informações gerais sobre o car"&amp;"go, de acordo com o ONET/OES e o Sistema de Classificação Industrial da América do Norte (NAICS). Consulte as Funções e a Ordem de Serviço para obter mais informações. Requisitos da Função: Experiência Necessária: Sim. Meses de Experiência Necessários: 12"&amp;". Requisitos Especiais: Requer doze meses de experiência como Operador de Equipamentos. Deve ser capaz de levantar/carregar 23 kg, quando necessário. As exigências físicas incluem longos períodos em pé, caminhando, subindo e levantando objetos pesados. A "&amp;"jornada de trabalho é de no mínimo 5 dias por semana, com turnos e dias de trabalho variando conforme o dia da semana, incluindo sábado e domingo. Exemplos de turnos: 6h às 18h, 18h às 6h. Exame toxicológico pago pelo empregador é obrigatório para funcion"&amp;"ários estrangeiros e nacionais antes do início do trabalho. Verificação de antecedentes criminais é obrigatória para funcionários estrangeiros e nacionais após a contratação. Funcionários que possuírem carteira de habilitação válida nos EUA poderão dirigi"&amp;"r veículos da empresa (dirigir não é um requisito para todos os funcionários da função). O empregador poderá oferecer uma jornada de trabalho superior à estipulada, dependendo das condições climáticas, necessidades da empresa e outras circunstâncias. Calo"&amp;"r extremo, frio intenso, chuva ou seca podem afetar o horário de trabalho exato. Número de horas por semana: 57. Horário de trabalho (início/término): 6h às 18h.")</f>
        <v>Carregar, descarregar e transportar bagaço para a estação de processamento utilizando uma pá carregadeira, garantindo a distribuição adequada e o manuseio seguro. Realizar inspeção pré-turno dos equipamentos, manutenção de rotina e reparos básicos para garantir o funcionamento eficaz dos equipamentos. Reportar imediatamente quaisquer defeitos ou necessidades de manutenção. Manter o local do projeto em condições seguras de operação. Cumprir todas as normas e protocolos de segurança para prevenir acidentes e manter um ambiente de trabalho seguro para si e para os outros no local de trabalho. Classificação da Função: 53-7051.00 - Operadores de Caminhões e Tratores Industriais. A classificação e descrição da função/setor incluem informações gerais sobre o cargo, de acordo com o ONET/OES e o Sistema de Classificação Industrial da América do Norte (NAICS). Consulte as Funções e a Ordem de Serviço para obter mais informações. Requisitos da Função: Experiência Necessária: Sim. Meses de Experiência Necessários: 12. Requisitos Especiais: Requer doze meses de experiência como Operador de Equipamentos. Deve ser capaz de levantar/carregar 23 kg, quando necessário. As exigências físicas incluem longos períodos em pé, caminhando, subindo e levantando objetos pesados. A jornada de trabalho é de no mínimo 5 dias por semana, com turnos e dias de trabalho variando conforme o dia da semana, incluindo sábado e domingo. Exemplos de turnos: 6h às 18h, 18h às 6h. Exame toxicológico pago pelo empregador é obrigatório para funcionários estrangeiros e nacionais antes do início do trabalho. Verificação de antecedentes criminais é obrigatória para funcionários estrangeiros e nacionais após a contratação. Funcionários que possuírem carteira de habilitação válida nos EUA poderão dirigir veículos da empresa (dirigir não é um requisito para todos os funcionários da função). O empregador poderá oferecer uma jornada de trabalho superior à estipulada, dependendo das condições climáticas, necessidades da empresa e outras circunstâncias. Calor extremo, frio intenso, chuva ou seca podem afetar o horário de trabalho exato. Número de horas por semana: 57. Horário de trabalho (início/término): 6h às 18h.</v>
      </c>
    </row>
    <row r="14" ht="20.25" customHeight="1">
      <c r="A14" s="3" t="s">
        <v>99</v>
      </c>
      <c r="B14" s="3" t="s">
        <v>100</v>
      </c>
      <c r="C14" s="3" t="s">
        <v>101</v>
      </c>
      <c r="D14" s="3" t="s">
        <v>102</v>
      </c>
      <c r="E14" s="4" t="s">
        <v>19</v>
      </c>
      <c r="F14" s="4" t="s">
        <v>20</v>
      </c>
      <c r="G14" s="4" t="s">
        <v>29</v>
      </c>
      <c r="H14" s="3" t="s">
        <v>103</v>
      </c>
      <c r="I14" s="3" t="s">
        <v>104</v>
      </c>
      <c r="J14" s="4">
        <v>12.39</v>
      </c>
      <c r="K14" s="4">
        <v>25.0</v>
      </c>
      <c r="L14" s="3" t="s">
        <v>105</v>
      </c>
      <c r="M14" s="3" t="s">
        <v>106</v>
      </c>
      <c r="N14" s="7" t="str">
        <f>IFERROR(__xludf.DUMMYFUNCTION("GOOGLETRANSLATE(L14, ""en"", ""pt"")"),"Abridores de Ostras")</f>
        <v>Abridores de Ostras</v>
      </c>
      <c r="O14" s="7" t="str">
        <f>IFERROR(__xludf.DUMMYFUNCTION("IF(M14="""","""",GOOGLETRANSLATE(M14,""en"",""pt""))"),"As funções podem incluir: Utilizar faca/espátula para abrir ostras: cortar, limpar, enxaguar, aparar, fatiar, abrir, pesar e embalar ostras. Descarregar/distribuir ostras; limpeza da área de trabalho e outras atividades relacionadas à abertura de ostras, "&amp;"conforme SOC/OES 51-3022 (onetonline.org). Horário padrão/esperado: Segunda a sexta, das 5h às 12h. Oferecemos 35 horas ou mais por semana, sem incluir almoço e/ou intervalos. A falta ou atraso na entrega de frutos do mar no cais pode resultar em atrasos/"&amp;"paralisação. Possibilidade de trabalho nos fins de semana/feriados. Os horários de início e término, a carga horária oferecida e/ou horas extras podem variar, pois dependem de outros fatores, como necessidades do projeto/cronograma/serviço, condições clim"&amp;"áticas e tempo de deslocamento entre os locais de trabalho (se aplicável). Horas extras são possíveis, mas não obrigatórias ou garantidas. A critério exclusivo do empregador: possíveis aumentos e/ou bônus com base em fatores individuais, como desempenho o"&amp;"u habilidade (não garantidos). US$ 1/lb. Pagamento por libra igual ou superior ao salário vigente. Classificação do Cargo: 51-3022.00 - Cortadores e Aparadores de Carne, Aves e Peixes. A classificação e descrição do cargo/setor incluem informações gerais "&amp;"sobre a posição, conforme ONET/OES e o Sistema de Classificação Industrial da América do Norte (NAICS). Consulte as Funções e a Ordem de Serviço para obter mais informações. Requisitos do Cargo Experiência Necessária: Não. Requisitos Especiais: É necessár"&amp;"io ter 18 anos devido a questões de seguro. É necessário apresentar comprovante de autorização legal para trabalhar nos Estados Unidos. Ambiente de trabalho livre de drogas, álcool e tabaco. Executar atividades físicas, como levantar, equilibrar-se, camin"&amp;"har, abaixar-se, manusear, posicionar, mover e manipular materiais; usar força estática para exercer força muscular máxima para levantar, empurrar, puxar e carregar objetos de até 22,7 kg (50 lbs). Todos os candidatos devem ser capazes, estar dispostos e "&amp;"qualificados para executar o trabalho descrito e devem estar disponíveis durante todo o período especificado e trabalhar em todas as áreas do emprego pretendido. A critério do empregador/custo: O trabalhador poderá ser submetido a testes aleatórios de dro"&amp;"gas/álcool durante o emprego: teste positivo/recusa em cumprir o teste = demissão. A entrega e a disponibilidade de frutos do mar provenientes de pescadores podem resultar em possíveis períodos de inatividade devido às condições climáticas. Número de hora"&amp;"s por semana: 35. Horário de trabalho (início/término): 5h00 - 12h00.")</f>
        <v>As funções podem incluir: Utilizar faca/espátula para abrir ostras: cortar, limpar, enxaguar, aparar, fatiar, abrir, pesar e embalar ostras. Descarregar/distribuir ostras; limpeza da área de trabalho e outras atividades relacionadas à abertura de ostras, conforme SOC/OES 51-3022 (onetonline.org). Horário padrão/esperado: Segunda a sexta, das 5h às 12h. Oferecemos 35 horas ou mais por semana, sem incluir almoço e/ou intervalos. A falta ou atraso na entrega de frutos do mar no cais pode resultar em atrasos/paralisação. Possibilidade de trabalho nos fins de semana/feriados. Os horários de início e término, a carga horária oferecida e/ou horas extras podem variar, pois dependem de outros fatores, como necessidades do projeto/cronograma/serviço, condições climáticas e tempo de deslocamento entre os locais de trabalho (se aplicável). Horas extras são possíveis, mas não obrigatórias ou garantidas. A critério exclusivo do empregador: possíveis aumentos e/ou bônus com base em fatores individuais, como desempenho ou habilidade (não garantidos). US$ 1/lb. Pagamento por libra igual ou superior ao salário vigente. Classificação do Cargo: 51-3022.00 - Cortadores e Aparadores de Carne, Aves e Peixes. A classificação e descrição do cargo/setor incluem informações gerais sobre a posição, conforme ONET/OES e o Sistema de Classificação Industrial da América do Norte (NAICS). Consulte as Funções e a Ordem de Serviço para obter mais informações. Requisitos do Cargo Experiência Necessária: Não. Requisitos Especiais: É necessário ter 18 anos devido a questões de seguro. É necessário apresentar comprovante de autorização legal para trabalhar nos Estados Unidos. Ambiente de trabalho livre de drogas, álcool e tabaco. Executar atividades físicas, como levantar, equilibrar-se, caminhar, abaixar-se, manusear, posicionar, mover e manipular materiais; usar força estática para exercer força muscular máxima para levantar, empurrar, puxar e carregar objetos de até 22,7 kg (50 lbs). Todos os candidatos devem ser capazes, estar dispostos e qualificados para executar o trabalho descrito e devem estar disponíveis durante todo o período especificado e trabalhar em todas as áreas do emprego pretendido. A critério do empregador/custo: O trabalhador poderá ser submetido a testes aleatórios de drogas/álcool durante o emprego: teste positivo/recusa em cumprir o teste = demissão. A entrega e a disponibilidade de frutos do mar provenientes de pescadores podem resultar em possíveis períodos de inatividade devido às condições climáticas. Número de horas por semana: 35. Horário de trabalho (início/término): 5h00 - 12h00.</v>
      </c>
    </row>
    <row r="15" ht="20.25" customHeight="1">
      <c r="A15" s="8" t="s">
        <v>107</v>
      </c>
      <c r="B15" s="8" t="s">
        <v>108</v>
      </c>
      <c r="C15" s="8" t="s">
        <v>27</v>
      </c>
      <c r="D15" s="8" t="s">
        <v>109</v>
      </c>
      <c r="E15" s="9" t="s">
        <v>19</v>
      </c>
      <c r="F15" s="9" t="s">
        <v>20</v>
      </c>
      <c r="G15" s="9" t="s">
        <v>110</v>
      </c>
      <c r="H15" s="8" t="s">
        <v>111</v>
      </c>
      <c r="I15" s="8" t="s">
        <v>112</v>
      </c>
      <c r="J15" s="9">
        <v>25.83</v>
      </c>
      <c r="K15" s="9">
        <v>5.0</v>
      </c>
      <c r="L15" s="8" t="s">
        <v>59</v>
      </c>
      <c r="M15" s="8" t="s">
        <v>113</v>
      </c>
      <c r="N15" s="7" t="str">
        <f>IFERROR(__xludf.DUMMYFUNCTION("GOOGLETRANSLATE(L15, ""en"", ""pt"")"),"Trabalhador de paisagismo")</f>
        <v>Trabalhador de paisagismo</v>
      </c>
      <c r="O15" s="7" t="str">
        <f>IFERROR(__xludf.DUMMYFUNCTION("IF(M15="""","""",GOOGLETRANSLATE(M15,""en"",""pt""))"),"As funções podem incluir: decoração de espaços internos e externos, lavagem de calçadas com lavadora de alta pressão, instalação de pavimentos intertravados sem argamassa, instalação de iluminação paisagística externa, manutenção de gramados, incluindo co"&amp;"rte, aparo e limpeza de áreas externas, e outras atividades relacionadas a serviços de paisagismo, conforme SOC/OES 49-9099 (onetonline.org). Horário padrão/esperado: segunda a sexta, das 8h às 18h. Oferecemos 35 horas semanais ou mais, sem incluir almoço"&amp;" e/ou intervalos. Possibilidade de trabalho em fins de semana e feriados. Os horários de início e término, a carga horária e/ou horas extras podem variar, pois dependem de fatores como necessidades do projeto/cronograma/serviço, condições climáticas e tem"&amp;"po de deslocamento entre os locais de trabalho (se aplicável). Horas extras são possíveis, mas não obrigatórias nem garantidas. A critério exclusivo do empregador: aumentos salariais e/ou bônus podem ser concedidos com base em fatores individuais, como de"&amp;"sempenho ou habilidades (não garantidos). Classificação da Função: 49-9099.00 - Trabalhadores de Instalação, Manutenção e Reparo, Outros. A classificação e descrição da função/setor inclui informações gerais sobre o cargo, de acordo com o ONET/OES e o Sis"&amp;"tema de Classificação Industrial da América do Norte (NAICS). Consulte as Funções e a Ordem de Serviço para obter mais informações. Requisitos da Função Experiência Necessária: Não. Requisitos Especiais: É necessário ter 18 anos devido a questões de segur"&amp;"o. É necessário apresentar comprovante de autorização legal para trabalhar nos Estados Unidos. Ambiente de trabalho livre de drogas, álcool e tabaco. Executar atividades físicas, como levantar, equilibrar, caminhar, abaixar, manusear, posicionar, mover e "&amp;"manipular materiais, utilizando força estática para exercer força muscular máxima para levantar, empurrar, puxar e carregar objetos de até 23 kg. Todos os candidatos devem ser capazes, dispostos e qualificados para executar o trabalho descrito e devem est"&amp;"ar disponíveis durante todo o período especificado e trabalhar em todas as áreas de atuação pretendidas. O trabalho é realizado ao ar livre, exposto às intempéries; o candidato deve ser capaz de realizar trabalho fisicamente extenuante por longos períodos"&amp;", ocasionalmente em calor ou frio extremos. Condições climáticas variáveis ​​se aplicam. O horário de trabalho pode variar (+/-), podendo haver períodos de inatividade e/ou horas extras. Número de horas por semana: 35. Horário de trabalho (início/término)"&amp;": 8h às 18h.")</f>
        <v>As funções podem incluir: decoração de espaços internos e externos, lavagem de calçadas com lavadora de alta pressão, instalação de pavimentos intertravados sem argamassa, instalação de iluminação paisagística externa, manutenção de gramados, incluindo corte, aparo e limpeza de áreas externas, e outras atividades relacionadas a serviços de paisagismo, conforme SOC/OES 49-9099 (onetonline.org). Horário padrão/esperado: segunda a sexta, das 8h às 18h. Oferecemos 35 horas semanais ou mais, sem incluir almoço e/ou intervalos. Possibilidade de trabalho em fins de semana e feriados. Os horários de início e término, a carga horária e/ou horas extras podem variar, pois dependem de fatores como necessidades do projeto/cronograma/serviço, condições climáticas e tempo de deslocamento entre os locais de trabalho (se aplicável). Horas extras são possíveis, mas não obrigatórias nem garantidas. A critério exclusivo do empregador: aumentos salariais e/ou bônus podem ser concedidos com base em fatores individuais, como desempenho ou habilidades (não garantidos). Classificação da Função: 49-9099.00 - Trabalhadores de Instalação, Manutenção e Reparo, Outros. A classificação e descrição da função/setor inclui informações gerais sobre o cargo, de acordo com o ONET/OES e o Sistema de Classificação Industrial da América do Norte (NAICS). Consulte as Funções e a Ordem de Serviço para obter mais informações. Requisitos da Função Experiência Necessária: Não. Requisitos Especiais: É necessário ter 18 anos devido a questões de seguro. É necessário apresentar comprovante de autorização legal para trabalhar nos Estados Unidos. Ambiente de trabalho livre de drogas, álcool e tabaco. Executar atividades físicas, como levantar, equilibrar, caminhar, abaixar, manusear, posicionar, mover e manipular materiais, utilizando força estática para exercer força muscular máxima para levantar, empurrar, puxar e carregar objetos de até 23 kg. Todos os candidatos devem ser capazes, dispostos e qualificados para executar o trabalho descrito e devem estar disponíveis durante todo o período especificado e trabalhar em todas as áreas de atuação pretendidas. O trabalho é realizado ao ar livre, exposto às intempéries; o candidato deve ser capaz de realizar trabalho fisicamente extenuante por longos períodos, ocasionalmente em calor ou frio extremos. Condições climáticas variáveis ​​se aplicam. O horário de trabalho pode variar (+/-), podendo haver períodos de inatividade e/ou horas extras. Número de horas por semana: 35. Horário de trabalho (início/término): 8h às 18h.</v>
      </c>
    </row>
    <row r="16" ht="20.25" customHeight="1">
      <c r="A16" s="3" t="s">
        <v>114</v>
      </c>
      <c r="B16" s="3" t="s">
        <v>115</v>
      </c>
      <c r="C16" s="3" t="s">
        <v>116</v>
      </c>
      <c r="D16" s="3" t="s">
        <v>117</v>
      </c>
      <c r="E16" s="4" t="s">
        <v>19</v>
      </c>
      <c r="F16" s="4" t="s">
        <v>20</v>
      </c>
      <c r="G16" s="4" t="s">
        <v>118</v>
      </c>
      <c r="H16" s="3" t="s">
        <v>119</v>
      </c>
      <c r="I16" s="3" t="s">
        <v>120</v>
      </c>
      <c r="J16" s="4">
        <v>18.03</v>
      </c>
      <c r="K16" s="4">
        <v>8.0</v>
      </c>
      <c r="L16" s="3" t="s">
        <v>121</v>
      </c>
      <c r="M16" s="3" t="s">
        <v>122</v>
      </c>
      <c r="N16" s="7" t="str">
        <f>IFERROR(__xludf.DUMMYFUNCTION("GOOGLETRANSLATE(L16, ""en"", ""pt"")"),"Trabalhador braçal")</f>
        <v>Trabalhador braçal</v>
      </c>
      <c r="O16" s="7" t="str">
        <f>IFERROR(__xludf.DUMMYFUNCTION("IF(M16="""","""",GOOGLETRANSLATE(M16,""en"",""pt""))"),"As funções podem incluir: Remover neve e gelo de calçadas e passeios usando pás manuais, picadores de gelo e equipamentos de remoção de neve movidos a combustível. Aplicar sal/produto para derreter gelo nas superfícies tratadas. Limpar todas as ferramenta"&amp;"s, equipamentos e veículos após o uso, incluindo a lavagem do sal dos equipamentos e caminhões para evitar corrosão. Garantir que todas as ferramentas e equipamentos estejam prontos para uso antes do deslocamento. Transportar membros da equipe até os loca"&amp;"is de trabalho. Comunicar-se com os gerentes antes, durante e após eventos de neve e outras atividades relacionadas a serviços gerais, conforme SOC/OES 37-2011 (onetonline.org). Horário padrão/esperado: Segunda a sexta, das 6h às 14h. Oferecemos mais de 4"&amp;"0 horas semanais, sem incluir almoço e/ou intervalos. Possibilidade de trabalho nos fins de semana e feriados. Os horários de início e término, a carga horária e/ou horas extras podem variar, pois dependem de outros fatores, como necessidades do projeto/c"&amp;"ronograma/serviço, condições climáticas e tempo de deslocamento entre os locais de trabalho (se aplicável). Horas extras são possíveis, mas não obrigatórias ou garantidas. A critério exclusivo do empregador: possíveis aumentos e/ou bônus com base em fator"&amp;"es individuais, como desempenho no trabalho ou habilidades (não garantidos). Classificação do Cargo: 37-2011.00 - Zeladores e Faxineiros, exceto Empregadas Domésticas e Faxineiros. A classificação e descrição do cargo/setor incluem informações gerais sobr"&amp;"e a posição, de acordo com o ONET/OES e o Sistema de Classificação Industrial da América do Norte. Consulte as Funções e a Ordem de Serviço para obter mais informações. Requisitos do Cargo Experiência Necessária: Sim Meses de Experiência Necessários: 3 Re"&amp;"quisitos Especiais: É necessário ter 18 anos devido ao uso de equipamentos. É necessário apresentar comprovante de autorização legal para trabalhar nos Estados Unidos. Ambiente de trabalho livre de drogas, álcool e tabaco. Executar atividades físicas como"&amp;": levantar, equilibrar-se, caminhar, abaixar-se, manusear, posicionar, mover e manipular materiais; usar força estática para exercer força muscular máxima para levantar, empurrar, puxar e carregar objetos de até 34 kg (possivelmente com a ajuda de outra p"&amp;"essoa). Todos os candidatos devem ser capazes, estar dispostos e qualificados para executar o trabalho descrito e devem estar disponíveis durante todo o período especificado e trabalhar em todas as áreas do emprego pretendido. A critério do empregador/cus"&amp;"to: O trabalhador poderá ser submetido a testes aleatórios de drogas/álcool durante o emprego: teste positivo/recusa em cumprir o teste = demissão. Possível verificação de antecedentes após a contratação, às custas do empregador. O trabalho é realizado ao"&amp;" ar livre, exposto às intempéries; o candidato deve ser capaz de realizar trabalho fisicamente extenuante por longos períodos, ocasionalmente em calor ou frio extremos. Condições climáticas variáveis ​​se aplicam; a carga horária pode sofrer alterações (+"&amp;"/-), com possibilidade de períodos de inatividade e/ou horas extras. Número de horas por semana: 40. Horário de trabalho (início/término): 6h às 14h.")</f>
        <v>As funções podem incluir: Remover neve e gelo de calçadas e passeios usando pás manuais, picadores de gelo e equipamentos de remoção de neve movidos a combustível. Aplicar sal/produto para derreter gelo nas superfícies tratadas. Limpar todas as ferramentas, equipamentos e veículos após o uso, incluindo a lavagem do sal dos equipamentos e caminhões para evitar corrosão. Garantir que todas as ferramentas e equipamentos estejam prontos para uso antes do deslocamento. Transportar membros da equipe até os locais de trabalho. Comunicar-se com os gerentes antes, durante e após eventos de neve e outras atividades relacionadas a serviços gerais, conforme SOC/OES 37-2011 (onetonline.org). Horário padrão/esperado: Segunda a sexta, das 6h às 14h. Oferecemos mais de 40 horas semanais, sem incluir almoço e/ou intervalos. Possibilidade de trabalho nos fins de semana e feriados. Os horários de início e término, a carga horária e/ou horas extras podem variar, pois dependem de outros fatores, como necessidades do projeto/cronograma/serviço, condições climáticas e tempo de deslocamento entre os locais de trabalho (se aplicável). Horas extras são possíveis, mas não obrigatórias ou garantidas. A critério exclusivo do empregador: possíveis aumentos e/ou bônus com base em fatores individuais, como desempenho no trabalho ou habilidades (não garantidos). Classificação do Cargo: 37-2011.00 - Zeladores e Faxineiros, exceto Empregadas Domésticas e Faxineiros. A classificação e descrição do cargo/setor incluem informações gerais sobre a posição, de acordo com o ONET/OES e o Sistema de Classificação Industrial da América do Norte. Consulte as Funções e a Ordem de Serviço para obter mais informações. Requisitos do Cargo Experiência Necessária: Sim Meses de Experiência Necessários: 3 Requisitos Especiais: É necessário ter 18 anos devido ao uso de equipamentos. É necessário apresentar comprovante de autorização legal para trabalhar nos Estados Unidos. Ambiente de trabalho livre de drogas, álcool e tabaco. Executar atividades físicas como: levantar, equilibrar-se, caminhar, abaixar-se, manusear, posicionar, mover e manipular materiais; usar força estática para exercer força muscular máxima para levantar, empurrar, puxar e carregar objetos de até 34 kg (possivelmente com a ajuda de outra pessoa). Todos os candidatos devem ser capazes, estar dispostos e qualificados para executar o trabalho descrito e devem estar disponíveis durante todo o período especificado e trabalhar em todas as áreas do emprego pretendido. A critério do empregador/custo: O trabalhador poderá ser submetido a testes aleatórios de drogas/álcool durante o emprego: teste positivo/recusa em cumprir o teste = demissão. Possível verificação de antecedentes após a contratação, às custas do empregador. O trabalho é realizado ao ar livre, exposto às intempéries; o candidato deve ser capaz de realizar trabalho fisicamente extenuante por longos períodos, ocasionalmente em calor ou frio extremos. Condições climáticas variáveis ​​se aplicam; a carga horária pode sofrer alterações (+/-), com possibilidade de períodos de inatividade e/ou horas extras. Número de horas por semana: 40. Horário de trabalho (início/término): 6h às 14h.</v>
      </c>
    </row>
    <row r="17" ht="20.25" customHeight="1">
      <c r="A17" s="8" t="s">
        <v>123</v>
      </c>
      <c r="B17" s="8" t="s">
        <v>124</v>
      </c>
      <c r="C17" s="8" t="s">
        <v>125</v>
      </c>
      <c r="D17" s="8" t="s">
        <v>126</v>
      </c>
      <c r="E17" s="9" t="s">
        <v>19</v>
      </c>
      <c r="F17" s="9" t="s">
        <v>20</v>
      </c>
      <c r="G17" s="9" t="s">
        <v>56</v>
      </c>
      <c r="H17" s="8" t="s">
        <v>127</v>
      </c>
      <c r="I17" s="8" t="s">
        <v>128</v>
      </c>
      <c r="J17" s="9">
        <v>21.25</v>
      </c>
      <c r="K17" s="9">
        <v>50.0</v>
      </c>
      <c r="L17" s="8" t="s">
        <v>129</v>
      </c>
      <c r="M17" s="8" t="s">
        <v>130</v>
      </c>
      <c r="N17" s="7" t="str">
        <f>IFERROR(__xludf.DUMMYFUNCTION("GOOGLETRANSLATE(L17, ""en"", ""pt"")"),"Trabalhador de paisagismo e manutenção de jardins")</f>
        <v>Trabalhador de paisagismo e manutenção de jardins</v>
      </c>
      <c r="O17" s="7" t="str">
        <f>IFERROR(__xludf.DUMMYFUNCTION("IF(M17="""","""",GOOGLETRANSLATE(M17,""en"",""pt""))"),"As funções incluem a instalação de árvores, arbustos ou flores durante o período de dormência, seguindo o padrão de design apropriado. Isso inclui descarregar materiais, cavar buracos para o sistema radicular, cobrir os buracos adequadamente e, às vezes, "&amp;"colocar grama em placas, plantar sementes de grama ou conectar a irrigação. Também envolve a remoção de folhas, plantio de sementes e palha, aeração do gramado, plantio de arbustos, escavação, rastelagem e instalação de blocos de concreto pré-moldados sem"&amp;" argamassa. Os trabalhadores podem coletar e remover lixo, regar gramados, árvores e plantas semeadas, além de podar árvores, arbustos ou sebes. Podem operar equipamentos motorizados e dirigir veículos até os locais dos clientes. As tarefas podem incluir "&amp;"colocação de grama em placas, corte de grama, rega de plantas e gramados, transplante de plantas, fertilização, escavação, rastelagem e instalação de aspersores. Os funcionários cavarão valas com no máximo 15 a 30 cm de profundidade e 15 a 30 cm de largur"&amp;"a com pás e ferramentas manuais. Essas valas são usadas para acomodar a tubulação utilizada na instalação de sistemas de irrigação. Toda a poda/aparamento será feita no solo. Os trabalhadores não realizarão nenhuma atividade de poda ou corte acima do níve"&amp;"l do solo. O trabalhador poderá transportar outros trabalhadores de e para os locais de trabalho ocasionalmente, porém essa não será sua principal função. Classificação da função: 37-3011.00 - Trabalhadores de Paisagismo e Manutenção de Jardins. A classif"&amp;"icação e descrição da função/setor inclui informações gerais sobre o cargo, de acordo com o ONET/OES e o Sistema de Classificação Industrial da América do Norte (NAICS). Consulte as Funções e a Ordem de Serviço para obter mais informações. Requisitos da f"&amp;"unção: Experiência necessária: Não. Requisitos especiais: Deve ser capaz de levantar 23 kg, realizar movimentos repetitivos, empurrar/puxar com frequência, caminhar bastante, agachar-se frequentemente e estar exposto a temperaturas extremas. Número de hor"&amp;"as por semana: 40. Horário de trabalho (início/término): 7h às 16h.")</f>
        <v>As funções incluem a instalação de árvores, arbustos ou flores durante o período de dormência, seguindo o padrão de design apropriado. Isso inclui descarregar materiais, cavar buracos para o sistema radicular, cobrir os buracos adequadamente e, às vezes, colocar grama em placas, plantar sementes de grama ou conectar a irrigação. Também envolve a remoção de folhas, plantio de sementes e palha, aeração do gramado, plantio de arbustos, escavação, rastelagem e instalação de blocos de concreto pré-moldados sem argamassa. Os trabalhadores podem coletar e remover lixo, regar gramados, árvores e plantas semeadas, além de podar árvores, arbustos ou sebes. Podem operar equipamentos motorizados e dirigir veículos até os locais dos clientes. As tarefas podem incluir colocação de grama em placas, corte de grama, rega de plantas e gramados, transplante de plantas, fertilização, escavação, rastelagem e instalação de aspersores. Os funcionários cavarão valas com no máximo 15 a 30 cm de profundidade e 15 a 30 cm de largura com pás e ferramentas manuais. Essas valas são usadas para acomodar a tubulação utilizada na instalação de sistemas de irrigação. Toda a poda/aparamento será feita no solo. Os trabalhadores não realizarão nenhuma atividade de poda ou corte acima do nível do solo. O trabalhador poderá transportar outros trabalhadores de e para os locais de trabalho ocasionalmente, porém essa não será sua principal função. Classificação da função: 37-3011.00 - Trabalhadores de Paisagismo e Manutenção de Jardins. A classificação e descrição da função/setor inclui informações gerais sobre o cargo, de acordo com o ONET/OES e o Sistema de Classificação Industrial da América do Norte (NAICS). Consulte as Funções e a Ordem de Serviço para obter mais informações. Requisitos da função: Experiência necessária: Não. Requisitos especiais: Deve ser capaz de levantar 23 kg, realizar movimentos repetitivos, empurrar/puxar com frequência, caminhar bastante, agachar-se frequentemente e estar exposto a temperaturas extremas. Número de horas por semana: 40. Horário de trabalho (início/término): 7h às 16h.</v>
      </c>
    </row>
    <row r="18" ht="20.25" customHeight="1">
      <c r="A18" s="3" t="s">
        <v>131</v>
      </c>
      <c r="B18" s="3" t="s">
        <v>132</v>
      </c>
      <c r="C18" s="3" t="s">
        <v>63</v>
      </c>
      <c r="D18" s="3" t="s">
        <v>133</v>
      </c>
      <c r="E18" s="4" t="s">
        <v>19</v>
      </c>
      <c r="F18" s="4" t="s">
        <v>20</v>
      </c>
      <c r="G18" s="4" t="s">
        <v>56</v>
      </c>
      <c r="H18" s="3" t="s">
        <v>134</v>
      </c>
      <c r="I18" s="3" t="s">
        <v>135</v>
      </c>
      <c r="J18" s="4">
        <v>18.95</v>
      </c>
      <c r="K18" s="4">
        <v>9.0</v>
      </c>
      <c r="L18" s="3" t="s">
        <v>59</v>
      </c>
      <c r="M18" s="3" t="s">
        <v>136</v>
      </c>
      <c r="N18" s="7" t="str">
        <f>IFERROR(__xludf.DUMMYFUNCTION("GOOGLETRANSLATE(L18, ""en"", ""pt"")"),"Trabalhador de paisagismo")</f>
        <v>Trabalhador de paisagismo</v>
      </c>
      <c r="O18" s="7" t="str">
        <f>IFERROR(__xludf.DUMMYFUNCTION("IF(M18="""","""",GOOGLETRANSLATE(M18,""en"",""pt""))"),"Paisagismo e manutenção de terrenos utilizando ferramentas manuais ou elétricas. Os trabalhadores geralmente executam uma variedade de tarefas, que podem incluir qualquer combinação das seguintes: cortar grama, aparar, regar, fertilizar, cavar, rastelar, "&amp;"auxiliar na instalação de aspersores, limpeza de folhas/remoção de detritos. Carregar/descarregar equipamentos/materiais de paisagismo; limpar equipamentos/local de trabalho ao término do serviço. Nível inicial; requer supervisão. Classificação da vaga: 3"&amp;"7-3011.00 - Trabalhadores de Paisagismo e Manutenção de Terrenos. A classificação e descrição da vaga/setor incluem informações gerais sobre o cargo, de acordo com o ONET/OES e o Sistema de Classificação Industrial da América do Norte. Consulte as Funções"&amp;" e a Ordem de Serviço para obter mais informações. Requisitos da vaga: Experiência necessária: Não. Requisitos especiais: Deve levantar/carregar 23 kg, quando necessário. Trabalho aos sábados, quando necessário. Testes aleatórios de drogas após a contrata"&amp;"ção são obrigatórios para trabalhadores estrangeiros e nacionais. O empregador pode oferecer mais horas de trabalho do que as estipuladas, dependendo do clima, das necessidades da empresa e de outras condições. Calor extremo, frio, chuva ou seca podem afe"&amp;"tar o horário de trabalho exato. Número de horas por semana: 40 Horário de trabalho (início/término): 7h00 - 16h00")</f>
        <v>Paisagismo e manutenção de terrenos utilizando ferramentas manuais ou elétricas. Os trabalhadores geralmente executam uma variedade de tarefas, que podem incluir qualquer combinação das seguintes: cortar grama, aparar, regar, fertilizar, cavar, rastelar, auxiliar na instalação de aspersores, limpeza de folhas/remoção de detritos. Carregar/descarregar equipamentos/materiais de paisagismo; limpar equipamentos/local de trabalho ao término do serviço. Nível inicial; requer supervisão. Classificação da vaga: 37-3011.00 - Trabalhadores de Paisagismo e Manutenção de Terrenos. A classificação e descrição da vaga/setor incluem informações gerais sobre o cargo, de acordo com o ONET/OES e o Sistema de Classificação Industrial da América do Norte. Consulte as Funções e a Ordem de Serviço para obter mais informações. Requisitos da vaga: Experiência necessária: Não. Requisitos especiais: Deve levantar/carregar 23 kg, quando necessário. Trabalho aos sábados, quando necessário. Testes aleatórios de drogas após a contratação são obrigatórios para trabalhadores estrangeiros e nacionais. O empregador pode oferecer mais horas de trabalho do que as estipuladas, dependendo do clima, das necessidades da empresa e de outras condições. Calor extremo, frio, chuva ou seca podem afetar o horário de trabalho exato. Número de horas por semana: 40 Horário de trabalho (início/término): 7h00 - 16h00</v>
      </c>
    </row>
    <row r="19" ht="20.25" customHeight="1">
      <c r="A19" s="8" t="s">
        <v>137</v>
      </c>
      <c r="B19" s="8" t="s">
        <v>138</v>
      </c>
      <c r="C19" s="8" t="s">
        <v>139</v>
      </c>
      <c r="D19" s="8" t="s">
        <v>140</v>
      </c>
      <c r="E19" s="9" t="s">
        <v>19</v>
      </c>
      <c r="F19" s="9" t="s">
        <v>20</v>
      </c>
      <c r="G19" s="9" t="s">
        <v>118</v>
      </c>
      <c r="H19" s="8" t="s">
        <v>141</v>
      </c>
      <c r="I19" s="8" t="s">
        <v>142</v>
      </c>
      <c r="J19" s="9">
        <v>20.81</v>
      </c>
      <c r="K19" s="9">
        <v>5.0</v>
      </c>
      <c r="L19" s="8" t="s">
        <v>83</v>
      </c>
      <c r="M19" s="8" t="s">
        <v>143</v>
      </c>
      <c r="N19" s="7" t="str">
        <f>IFERROR(__xludf.DUMMYFUNCTION("GOOGLETRANSLATE(L19, ""en"", ""pt"")"),"Trabalhador Florestal")</f>
        <v>Trabalhador Florestal</v>
      </c>
      <c r="O19" s="7" t="str">
        <f>IFERROR(__xludf.DUMMYFUNCTION("IF(M19="""","""",GOOGLETRANSLATE(M19,""en"",""pt""))"),"As funções podem incluir: selecionar mudas de árvores, descartar mudas de qualidade inferior, preparar o solo e plantar árvores em áreas de reflorestamento, utilizando ferramentas e equipamentos de plantio manuais e/ou mecânicos. Verificar o funcionamento"&amp;" adequado dos equipamentos e outras atividades relacionadas ao trabalho florestal, conforme SOC/OES 45-4011 (onetonline.org). Horário padrão/esperado: segunda a sexta, das 7h às 18h. Oferecemos mais de 40 horas semanais, sem incluir almoço e/ou intervalos"&amp;". Possibilidade de trabalho aos fins de semana e feriados. Os horários de início e término, a carga horária e/ou horas extras podem variar, pois dependem de fatores como necessidades do projeto/cronograma/serviço, condições climáticas e tempo de deslocame"&amp;"nto entre os locais de trabalho (se aplicável). Horas extras são possíveis, mas não obrigatórias nem garantidas. A critério exclusivo do empregador: aumentos salariais e/ou bônus podem ser concedidos com base em fatores individuais, como desempenho ou hab"&amp;"ilidades (não garantidos). Classificação da Função: 45-4011.00 - Trabalhadores Florestais e de Conservação. A classificação e descrição da função/setor inclui informações gerais sobre o cargo, de acordo com o ONET/OES e o Sistema de Classificação Industri"&amp;"al da América do Norte. Consulte as Funções e a Ordem de Serviço para obter mais informações. Requisitos da Função: Experiência Necessária: Sim. Meses de Experiência Necessários: 3. Requisitos Especiais: É necessário ter 18 anos devido a viagens. É necess"&amp;"ário apresentar comprovante de autorização legal para trabalhar nos Estados Unidos. Ambiente de trabalho livre de drogas, álcool e tabaco. O candidato deve caminhar bastante (até 24 km/dia), além de se abaixar e se curvar carregando uma mochila (até 23 kg"&amp;") em terrenos acidentados (fora de trilhas). Todos os candidatos devem ser capazes, dispostos e qualificados para executar o trabalho descrito e devem estar disponíveis durante todo o período especificado e trabalhar em todas as áreas de atuação pretendid"&amp;"as. A critério/custo do Empregador: O trabalhador poderá ser submetido a testes aleatórios de drogas/álcool durante o emprego: teste positivo/recusa em cumprir o teste = demissão. O trabalho é realizado ao ar livre, exposto às intempéries. O candidato dev"&amp;"e ser capaz de realizar trabalhos fisicamente extenuantes por longos períodos, ocasionalmente em condições de calor ou frio extremos. As condições climáticas são variáveis; a carga horária pode sofrer alterações, com possibilidade de períodos de inativida"&amp;"de e/ou horas extras. Número de horas por semana: 40. Horário de trabalho (início/término): 7h às 18h.")</f>
        <v>As funções podem incluir: selecionar mudas de árvores, descartar mudas de qualidade inferior, preparar o solo e plantar árvores em áreas de reflorestamento, utilizando ferramentas e equipamentos de plantio manuais e/ou mecânicos. Verificar o funcionamento adequado dos equipamentos e outras atividades relacionadas ao trabalho florestal, conforme SOC/OES 45-4011 (onetonline.org). Horário padrão/esperado: segunda a sexta, das 7h às 18h. Oferecemos mais de 40 horas semanais, sem incluir almoço e/ou intervalos. Possibilidade de trabalho aos fins de semana e feriados. Os horários de início e término, a carga horária e/ou horas extras podem variar, pois dependem de fatores como necessidades do projeto/cronograma/serviço, condições climáticas e tempo de deslocamento entre os locais de trabalho (se aplicável). Horas extras são possíveis, mas não obrigatórias nem garantidas. A critério exclusivo do empregador: aumentos salariais e/ou bônus podem ser concedidos com base em fatores individuais, como desempenho ou habilidades (não garantidos). Classificação da Função: 45-4011.00 - Trabalhadores Florestais e de Conservação. A classificação e descrição da função/setor inclui informações gerais sobre o cargo, de acordo com o ONET/OES e o Sistema de Classificação Industrial da América do Norte. Consulte as Funções e a Ordem de Serviço para obter mais informações. Requisitos da Função: Experiência Necessária: Sim. Meses de Experiência Necessários: 3. Requisitos Especiais: É necessário ter 18 anos devido a viagens. É necessário apresentar comprovante de autorização legal para trabalhar nos Estados Unidos. Ambiente de trabalho livre de drogas, álcool e tabaco. O candidato deve caminhar bastante (até 24 km/dia), além de se abaixar e se curvar carregando uma mochila (até 23 kg) em terrenos acidentados (fora de trilhas). Todos os candidatos devem ser capazes, dispostos e qualificados para executar o trabalho descrito e devem estar disponíveis durante todo o período especificado e trabalhar em todas as áreas de atuação pretendidas. A critério/custo do Empregador: O trabalhador poderá ser submetido a testes aleatórios de drogas/álcool durante o emprego: teste positivo/recusa em cumprir o teste = demissão. O trabalho é realizado ao ar livre, exposto às intempéries. O candidato deve ser capaz de realizar trabalhos fisicamente extenuantes por longos períodos, ocasionalmente em condições de calor ou frio extremos. As condições climáticas são variáveis; a carga horária pode sofrer alterações, com possibilidade de períodos de inatividade e/ou horas extras. Número de horas por semana: 40. Horário de trabalho (início/término): 7h às 18h.</v>
      </c>
    </row>
    <row r="20" ht="20.25" customHeight="1">
      <c r="A20" s="3" t="s">
        <v>144</v>
      </c>
      <c r="B20" s="3" t="s">
        <v>145</v>
      </c>
      <c r="C20" s="3" t="s">
        <v>101</v>
      </c>
      <c r="D20" s="3" t="s">
        <v>28</v>
      </c>
      <c r="E20" s="4" t="s">
        <v>44</v>
      </c>
      <c r="F20" s="4" t="s">
        <v>20</v>
      </c>
      <c r="G20" s="4" t="s">
        <v>146</v>
      </c>
      <c r="H20" s="3" t="s">
        <v>147</v>
      </c>
      <c r="I20" s="3" t="s">
        <v>148</v>
      </c>
      <c r="J20" s="4">
        <v>17.17</v>
      </c>
      <c r="K20" s="4">
        <v>5.0</v>
      </c>
      <c r="L20" s="3" t="s">
        <v>149</v>
      </c>
      <c r="M20" s="3" t="s">
        <v>150</v>
      </c>
      <c r="N20" s="7" t="str">
        <f>IFERROR(__xludf.DUMMYFUNCTION("GOOGLETRANSLATE(L20, ""en"", ""pt"")"),"Trabalhador de paisagismo")</f>
        <v>Trabalhador de paisagismo</v>
      </c>
      <c r="O20" s="7" t="str">
        <f>IFERROR(__xludf.DUMMYFUNCTION("IF(M20="""","""",GOOGLETRANSLATE(M20,""en"",""pt""))"),"As funções podem incluir: cortar grama, roçar, aparar manualmente, varrer, cavar, soprar, pintar demarcações, remover detritos e limpar/desobstruir locais de trabalho/equipamentos/instalações, operar/manter uma variedade de equipamentos manuais e elétrico"&amp;"s e outras atividades relacionadas a trabalhadores de paisagismo, conforme SOC/OES 37-3011 (onetonline.org). Horário padrão/esperado: segunda a sexta, das 6h às 16h. Oferecemos mais de 40 horas semanais, sem incluir almoço e/ou intervalos. Possibilidade d"&amp;"e trabalho nos fins de semana e feriados. Os horários de início e término, a carga horária e/ou horas extras podem variar, pois dependem de fatores como necessidades do projeto/cronograma/serviço, condições climáticas e tempo de deslocamento entre os loca"&amp;"is de trabalho (se aplicável). Horas extras são possíveis, mas não obrigatórias nem garantidas. A critério exclusivo do empregador: aumentos salariais e/ou bônus podem ser concedidos com base em fatores individuais, como desempenho ou habilidades (não gar"&amp;"antidos). Alojamento compartilhado opcional disponível sem custo para o trabalhador. Classificação da vaga: 37-3011.00 - Trabalhadores de Paisagismo e Manutenção de Jardins. A classificação e descrição da vaga/setor inclui informações gerais sobre o cargo"&amp;", de acordo com o ONET/OES e o Sistema de Classificação Industrial da América do Norte (NAICS). Consulte as Funções e a Ordem de Serviço para obter mais informações. Requisitos da vaga: Experiência exigida: Não. Requisitos especiais: É necessário ter 18 a"&amp;"nos ou mais, devido às leis trabalhistas estaduais. É necessário apresentar comprovante de autorização legal para trabalhar nos Estados Unidos. Ambiente de trabalho livre de drogas, álcool e tabaco. Executar atividades físicas, como levantar, equilibrar-s"&amp;"e, caminhar, abaixar-se, manusear, posicionar, mover e manipular materiais; usar força estática para exercer força muscular máxima para levantar, empurrar, puxar e carregar objetos de até 23 kg (50 lbs). Todos os candidatos devem ser capazes, estar dispos"&amp;"tos e qualificados para executar o trabalho descrito e devem estar disponíveis durante todo o período especificado e trabalhar em todas as áreas do emprego pretendido. A critério do empregador/custo: o trabalhador poderá ser submetido a testes aleatórios "&amp;"de drogas/álcool durante o emprego: teste positivo/recusa em cumprir o teste = demissão. Possível verificação de antecedentes após a contratação, às custas do empregador. O trabalho é realizado ao ar livre, exposto às intempéries; o candidato deve ser cap"&amp;"az de realizar trabalho fisicamente extenuante por longas horas, ocasionalmente em calor ou frio extremos. As condições climáticas são variáveis; a carga horária pode sofrer alterações (+/-), podendo haver períodos de inatividade e/ou horas extras. Número"&amp;" de horas por semana: 40. Horário de trabalho (início/término): 6h às 16h.")</f>
        <v>As funções podem incluir: cortar grama, roçar, aparar manualmente, varrer, cavar, soprar, pintar demarcações, remover detritos e limpar/desobstruir locais de trabalho/equipamentos/instalações, operar/manter uma variedade de equipamentos manuais e elétricos e outras atividades relacionadas a trabalhadores de paisagismo, conforme SOC/OES 37-3011 (onetonline.org). Horário padrão/esperado: segunda a sexta, das 6h às 16h. Oferecemos mais de 40 horas semanais, sem incluir almoço e/ou intervalos. Possibilidade de trabalho nos fins de semana e feriados. Os horários de início e término, a carga horária e/ou horas extras podem variar, pois dependem de fatores como necessidades do projeto/cronograma/serviço, condições climáticas e tempo de deslocamento entre os locais de trabalho (se aplicável). Horas extras são possíveis, mas não obrigatórias nem garantidas. A critério exclusivo do empregador: aumentos salariais e/ou bônus podem ser concedidos com base em fatores individuais, como desempenho ou habilidades (não garantidos). Alojamento compartilhado opcional disponível sem custo para o trabalhador. Classificação da vaga: 37-3011.00 - Trabalhadores de Paisagismo e Manutenção de Jardins. A classificação e descrição da vaga/setor inclui informações gerais sobre o cargo, de acordo com o ONET/OES e o Sistema de Classificação Industrial da América do Norte (NAICS). Consulte as Funções e a Ordem de Serviço para obter mais informações. Requisitos da vaga: Experiência exigida: Não. Requisitos especiais: É necessário ter 18 anos ou mais, devido às leis trabalhistas estaduais. É necessário apresentar comprovante de autorização legal para trabalhar nos Estados Unidos. Ambiente de trabalho livre de drogas, álcool e tabaco. Executar atividades físicas, como levantar, equilibrar-se, caminhar, abaixar-se, manusear, posicionar, mover e manipular materiais; usar força estática para exercer força muscular máxima para levantar, empurrar, puxar e carregar objetos de até 23 kg (50 lbs). Todos os candidatos devem ser capazes, estar dispostos e qualificados para executar o trabalho descrito e devem estar disponíveis durante todo o período especificado e trabalhar em todas as áreas do emprego pretendido. A critério do empregador/custo: o trabalhador poderá ser submetido a testes aleatórios de drogas/álcool durante o emprego: teste positivo/recusa em cumprir o teste = demissão. Possível verificação de antecedentes após a contratação, às custas do empregador. O trabalho é realizado ao ar livre, exposto às intempéries; o candidato deve ser capaz de realizar trabalho fisicamente extenuante por longas horas, ocasionalmente em calor ou frio extremos. As condições climáticas são variáveis; a carga horária pode sofrer alterações (+/-), podendo haver períodos de inatividade e/ou horas extras. Número de horas por semana: 40. Horário de trabalho (início/término): 6h às 16h.</v>
      </c>
    </row>
    <row r="21" ht="20.25" customHeight="1">
      <c r="A21" s="8" t="s">
        <v>151</v>
      </c>
      <c r="B21" s="8" t="s">
        <v>152</v>
      </c>
      <c r="C21" s="8" t="s">
        <v>153</v>
      </c>
      <c r="D21" s="8" t="s">
        <v>154</v>
      </c>
      <c r="E21" s="9" t="s">
        <v>44</v>
      </c>
      <c r="F21" s="9" t="s">
        <v>20</v>
      </c>
      <c r="G21" s="9" t="s">
        <v>155</v>
      </c>
      <c r="H21" s="8" t="s">
        <v>156</v>
      </c>
      <c r="I21" s="8" t="s">
        <v>157</v>
      </c>
      <c r="J21" s="9">
        <v>24.64</v>
      </c>
      <c r="K21" s="9">
        <v>1.0</v>
      </c>
      <c r="L21" s="8" t="s">
        <v>158</v>
      </c>
      <c r="M21" s="8" t="s">
        <v>159</v>
      </c>
      <c r="N21" s="7" t="str">
        <f>IFERROR(__xludf.DUMMYFUNCTION("GOOGLETRANSLATE(L21, ""en"", ""pt"")"),"Instalador de portas/janelas")</f>
        <v>Instalador de portas/janelas</v>
      </c>
      <c r="O21" s="7" t="str">
        <f>IFERROR(__xludf.DUMMYFUNCTION("IF(M21="""","""",GOOGLETRANSLATE(M21,""en"",""pt""))"),"Instala janelas e portas de vinil pré-fabricadas em edifícios residenciais, comerciais e institucionais. Realiza o planejamento, a medição, o ajuste e a instalação de unidades de janelas e portas pré-fabricadas em aberturas preparadas. Responsabilidades: "&amp;"Mede e verifica as aberturas brutas para o encaixe adequado das unidades de janelas e portas pré-fabricadas. Instala janelas, portas, fachadas de lojas e conjuntos relacionados pré-fabricados em aberturas preparadas. Posiciona as unidades utilizando ferra"&amp;"mentas manuais, níveis e instrumentos de medição. Pruma, nivela e esquadreja as molduras de janelas e portas para garantir o funcionamento adequado. Fixa as unidades utilizando calços, fixadores, parafusos, pregos ou ancoragens, conforme especificado. Ins"&amp;"tala acabamentos internos e externos, guarnições e molduras ao redor das unidades instaladas. Aplica selantes, vedantes e fitas de vedação para garantir instalações estanques. Remove janelas e portas existentes quando necessário para trabalhos de reforma."&amp;" Prepara as aberturas brutas, limpando, reparando ou modificando conforme necessário. Instala rufos, papel impermeabilizante e barreiras de umidade de acordo com as especificações do fabricante. Ajusta e alinha ferragens, incluindo fechaduras, maçanetas, "&amp;"dobradiças e mecanismos. Testa as unidades instaladas para garantir o funcionamento adequado, o encaixe e a vedação contra intempéries. Realiza pequenos reparos e ajustes para assegurar uma instalação de qualidade. Classificação da Função: 47-2031.00 - Ca"&amp;"rpinteiros. A classificação e descrição da função/setor inclui informações gerais sobre o cargo, de acordo com o ONET/OES e o Sistema de Classificação Industrial da América do Norte (NAICS). Consulte as Funções e a Ordem de Serviço para obter mais informa"&amp;"ções. Requisitos da Função: Experiência Necessária: Sim. Meses de Experiência Necessários: 12. Requisitos Especiais: Os candidatos devem ter no mínimo 12 meses de experiência na instalação de unidades pré-fabricadas de janelas e portas de vinil, incluindo"&amp;" a instalação, o nivelamento e a fixação das unidades em aberturas preparadas. Deve ser capaz de levantar e carregar até 34 kg repetidamente ao longo do dia de trabalho. Deve ser capaz de trabalhar em escadas e andaimes em alturas variadas. Deve ser capaz"&amp;" de ajoelhar, curvar-se, agachar-se e trabalhar em posições desconfortáveis ​​por longos períodos. Deve ser capaz de trabalhar ao ar livre em diversas condições climáticas, incluindo calor, frio e chuva. Deve possuir proficiência no uso de ferramentas man"&amp;"uais e elétricas, incluindo furadeiras, serras circulares, pregadores pneumáticos, pistolas de calafetagem, níveis e instrumentos de medição. Deve ter experiência na aplicação de rufos, selantes, fitas de vedação e barreiras contra umidade, conforme as es"&amp;"pecificações do fabricante. Deve ser capaz de instalar acabamentos internos e externos, molduras e guarnições. Deve cumprir todas as normas de segurança da OSHA aplicáveis ​​e usar os equipamentos de proteção individual (EPIs) obrigatórios em todos os mom"&amp;"entos no local de trabalho. Número de horas por semana: 40. Horário de trabalho (início/término): 7h30 às 16h30.")</f>
        <v>Instala janelas e portas de vinil pré-fabricadas em edifícios residenciais, comerciais e institucionais. Realiza o planejamento, a medição, o ajuste e a instalação de unidades de janelas e portas pré-fabricadas em aberturas preparadas. Responsabilidades: Mede e verifica as aberturas brutas para o encaixe adequado das unidades de janelas e portas pré-fabricadas. Instala janelas, portas, fachadas de lojas e conjuntos relacionados pré-fabricados em aberturas preparadas. Posiciona as unidades utilizando ferramentas manuais, níveis e instrumentos de medição. Pruma, nivela e esquadreja as molduras de janelas e portas para garantir o funcionamento adequado. Fixa as unidades utilizando calços, fixadores, parafusos, pregos ou ancoragens, conforme especificado. Instala acabamentos internos e externos, guarnições e molduras ao redor das unidades instaladas. Aplica selantes, vedantes e fitas de vedação para garantir instalações estanques. Remove janelas e portas existentes quando necessário para trabalhos de reforma. Prepara as aberturas brutas, limpando, reparando ou modificando conforme necessário. Instala rufos, papel impermeabilizante e barreiras de umidade de acordo com as especificações do fabricante. Ajusta e alinha ferragens, incluindo fechaduras, maçanetas, dobradiças e mecanismos. Testa as unidades instaladas para garantir o funcionamento adequado, o encaixe e a vedação contra intempéries. Realiza pequenos reparos e ajustes para assegurar uma instalação de qualidade. Classificação da Função: 47-2031.00 - Carpinteiros. A classificação e descrição da função/setor inclui informações gerais sobre o cargo, de acordo com o ONET/OES e o Sistema de Classificação Industrial da América do Norte (NAICS). Consulte as Funções e a Ordem de Serviço para obter mais informações. Requisitos da Função: Experiência Necessária: Sim. Meses de Experiência Necessários: 12. Requisitos Especiais: Os candidatos devem ter no mínimo 12 meses de experiência na instalação de unidades pré-fabricadas de janelas e portas de vinil, incluindo a instalação, o nivelamento e a fixação das unidades em aberturas preparadas. Deve ser capaz de levantar e carregar até 34 kg repetidamente ao longo do dia de trabalho. Deve ser capaz de trabalhar em escadas e andaimes em alturas variadas. Deve ser capaz de ajoelhar, curvar-se, agachar-se e trabalhar em posições desconfortáveis ​​por longos períodos. Deve ser capaz de trabalhar ao ar livre em diversas condições climáticas, incluindo calor, frio e chuva. Deve possuir proficiência no uso de ferramentas manuais e elétricas, incluindo furadeiras, serras circulares, pregadores pneumáticos, pistolas de calafetagem, níveis e instrumentos de medição. Deve ter experiência na aplicação de rufos, selantes, fitas de vedação e barreiras contra umidade, conforme as especificações do fabricante. Deve ser capaz de instalar acabamentos internos e externos, molduras e guarnições. Deve cumprir todas as normas de segurança da OSHA aplicáveis ​​e usar os equipamentos de proteção individual (EPIs) obrigatórios em todos os momentos no local de trabalho. Número de horas por semana: 40. Horário de trabalho (início/término): 7h30 às 16h30.</v>
      </c>
    </row>
    <row r="22" ht="20.25" customHeight="1">
      <c r="A22" s="3" t="s">
        <v>160</v>
      </c>
      <c r="B22" s="3" t="s">
        <v>161</v>
      </c>
      <c r="C22" s="3" t="s">
        <v>63</v>
      </c>
      <c r="D22" s="3" t="s">
        <v>109</v>
      </c>
      <c r="E22" s="4" t="s">
        <v>19</v>
      </c>
      <c r="F22" s="4" t="s">
        <v>20</v>
      </c>
      <c r="G22" s="4" t="s">
        <v>162</v>
      </c>
      <c r="H22" s="3" t="s">
        <v>163</v>
      </c>
      <c r="I22" s="3" t="s">
        <v>164</v>
      </c>
      <c r="J22" s="4">
        <v>19.86</v>
      </c>
      <c r="K22" s="4">
        <v>50.0</v>
      </c>
      <c r="L22" s="3" t="s">
        <v>165</v>
      </c>
      <c r="M22" s="3" t="s">
        <v>166</v>
      </c>
      <c r="N22" s="7" t="str">
        <f>IFERROR(__xludf.DUMMYFUNCTION("GOOGLETRANSLATE(L22, ""en"", ""pt"")"),"Trabalhador de remoção de neve")</f>
        <v>Trabalhador de remoção de neve</v>
      </c>
      <c r="O22" s="7" t="str">
        <f>IFERROR(__xludf.DUMMYFUNCTION("IF(M22="""","""",GOOGLETRANSLATE(M22,""en"",""pt""))"),"Os trabalhadores realizarão manutenção comercial e residencial, incluindo limpeza após tempestades de outono/inverno, remoção de neve com pá, arremesso e arado. Também realizarão quebra de gelo, aplicação de sal e tratamento de sal em pavimentos e calçada"&amp;"s. Farão a manutenção de equipamentos de neve/gelo. Utilizarão ferramentas manuais e equipamentos como pá de neve, arado, soprador de neve, espalhador de sal e quebra-gelo. Os trabalhadores não operarão caminhões com arado de neve acoplado na frente e não"&amp;" espalharão sal por meio de caminhão. Nível inicial; requer supervisão. Classificação da vaga: 37-3011.00 - Trabalhadores de Paisagismo e Manutenção de Jardins. A classificação e descrição da vaga/setor incluem informações gerais sobre o cargo, de acordo "&amp;"com o ONET/OES e o Sistema de Classificação Industrial da América do Norte (NAICS). Consulte as Funções e a Ordem de Serviço para obter mais informações. Requisitos da vaga: Experiência necessária: Não. Requisitos especiais: Deve ser capaz de levantar/car"&amp;"regar 23 kg, quando necessário. Trabalho aos sábados e domingos, quando necessário. Verificação de elegibilidade para emprego (e-Verify) após a contratação, obrigatória para trabalhadores estrangeiros e nacionais. O empregador poderá oferecer uma jornada "&amp;"de trabalho superior à estipulada, dependendo das condições climáticas, das necessidades da empresa e de outros fatores. Calor extremo, frio intenso, chuva ou seca podem afetar o horário de trabalho exato. Número de horas por semana: 40. Horário de trabal"&amp;"ho (início/término): 6h30 às 15h.")</f>
        <v>Os trabalhadores realizarão manutenção comercial e residencial, incluindo limpeza após tempestades de outono/inverno, remoção de neve com pá, arremesso e arado. Também realizarão quebra de gelo, aplicação de sal e tratamento de sal em pavimentos e calçadas. Farão a manutenção de equipamentos de neve/gelo. Utilizarão ferramentas manuais e equipamentos como pá de neve, arado, soprador de neve, espalhador de sal e quebra-gelo. Os trabalhadores não operarão caminhões com arado de neve acoplado na frente e não espalharão sal por meio de caminhão. Nível inicial; requer supervisão. Classificação da vaga: 37-3011.00 - Trabalhadores de Paisagismo e Manutenção de Jardins. A classificação e descrição da vaga/setor incluem informações gerais sobre o cargo, de acordo com o ONET/OES e o Sistema de Classificação Industrial da América do Norte (NAICS). Consulte as Funções e a Ordem de Serviço para obter mais informações. Requisitos da vaga: Experiência necessária: Não. Requisitos especiais: Deve ser capaz de levantar/carregar 23 kg, quando necessário. Trabalho aos sábados e domingos, quando necessário. Verificação de elegibilidade para emprego (e-Verify) após a contratação, obrigatória para trabalhadores estrangeiros e nacionais. O empregador poderá oferecer uma jornada de trabalho superior à estipulada, dependendo das condições climáticas, das necessidades da empresa e de outros fatores. Calor extremo, frio intenso, chuva ou seca podem afetar o horário de trabalho exato. Número de horas por semana: 40. Horário de trabalho (início/término): 6h30 às 15h.</v>
      </c>
    </row>
    <row r="23" ht="20.25" customHeight="1">
      <c r="A23" s="8" t="s">
        <v>167</v>
      </c>
      <c r="B23" s="8" t="s">
        <v>168</v>
      </c>
      <c r="C23" s="8" t="s">
        <v>169</v>
      </c>
      <c r="D23" s="8" t="s">
        <v>109</v>
      </c>
      <c r="E23" s="9" t="s">
        <v>44</v>
      </c>
      <c r="F23" s="9" t="s">
        <v>20</v>
      </c>
      <c r="G23" s="9" t="s">
        <v>155</v>
      </c>
      <c r="H23" s="8" t="s">
        <v>170</v>
      </c>
      <c r="I23" s="8"/>
      <c r="J23" s="9">
        <v>18.69</v>
      </c>
      <c r="K23" s="9">
        <v>2.0</v>
      </c>
      <c r="L23" s="8" t="s">
        <v>171</v>
      </c>
      <c r="M23" s="8" t="s">
        <v>172</v>
      </c>
      <c r="N23" s="7" t="str">
        <f>IFERROR(__xludf.DUMMYFUNCTION("GOOGLETRANSLATE(L23, ""en"", ""pt"")"),"Trabalhador de Preparação do Terreno")</f>
        <v>Trabalhador de Preparação do Terreno</v>
      </c>
      <c r="O23" s="7" t="str">
        <f>IFERROR(__xludf.DUMMYFUNCTION("IF(M23="""","""",GOOGLETRANSLATE(M23,""en"",""pt""))"),"***Resposta à Solicitação de Informações*** Ao auxiliar na instalação dos limpa-neves e espalhadores, os trabalhadores de preparação do local orientam o motorista do veículo até a conexão do limpa-neve e, em seguida, utilizam ferramentas manuais (martelo/"&amp;"chave de fenda) para inserir pinos de segurança, fixando o limpa-neve e o espalhador ao veículo. Os trabalhadores de preparação do local não dirigem caminhões ou equipamentos, mas sim removem a neve das calçadas com pás de neve e espalhadores manuais. ***"&amp;"Original F.a.2*** Os trabalhadores realizarão a limpeza de propriedades comerciais e residenciais, incluindo a coleta de lixo/detritos; limpeza de folhas caídas e poda de inverno de árvores/arbustos dormentes, como parte da preparação do local antes da te"&amp;"mporada de remoção de neve. Os trabalhadores realizarão a limpeza de propriedades privadas em decorrência de condições climáticas adversas, incluindo a remoção de neve/gelo de calçadas/passeios utilizando pás de neve, sopradores de neve ou espalhadores de"&amp;" sal manuais, além da aplicação de produtos para derretimento de neve/gelo; e coleta de lixo/detritos do terreno. Os trabalhadores também podem colocar marcadores de neve de plástico nos locais de trabalho para auxiliar os motoristas de limpa-neve da empr"&amp;"esa a identificar as áreas corretas a serem limpas. Os trabalhadores também podem instalar suportes para arados e espalhadores de sal nos caminhões. Os trabalhadores limparão os equipamentos após o uso, incluindo lavagem com água pressurizada e limpeza do"&amp;" interior dos veículos, além da lavagem com água pressurizada das ferramentas/equipamentos para remover o sal. Os trabalhadores de inverno organizarão e limparão os detritos na oficina, garantirão o armazenamento adequado de ferramentas/equipamentos e lim"&amp;"parão as áreas de escritório. Nível inicial; requer supervisão. Classificação do Cargo: 37-3011.00 - Trabalhadores de Paisagismo e Manutenção de Áreas Verdes. A classificação e descrição do cargo/setor incluem informações gerais sobre a posição de acordo "&amp;"com o ONET/OES e o Sistema de Classificação Industrial da América do Norte. Consulte as Funções e a Ordem de Serviço para obter mais informações. Requisitos do Cargo Experiência Necessária: Não Requisitos Especiais: Deve levantar/carregar 23 kg, quando ne"&amp;"cessário. Trabalho aos sábados e domingos, quando necessário. Os horários de trabalho podem variar e os trabalhadores ficam de plantão durante condições climáticas adversas. Teste de drogas pós-contratação obrigatório para trabalhadores estrangeiros e nac"&amp;"ionais em caso de suspeita de uso. É obrigatória a verificação de antecedentes após a contratação de trabalhadores estrangeiros e nacionais. O empregador poderá oferecer uma jornada de trabalho superior à estipulada, dependendo das condições climáticas, d"&amp;"as necessidades da empresa e de outros fatores. Calor extremo, frio intenso, chuva ou seca podem afetar o horário de trabalho exato. Número de horas por semana: 40. Horário de trabalho (início/término): 7h30 às 16h.")</f>
        <v>***Resposta à Solicitação de Informações*** Ao auxiliar na instalação dos limpa-neves e espalhadores, os trabalhadores de preparação do local orientam o motorista do veículo até a conexão do limpa-neve e, em seguida, utilizam ferramentas manuais (martelo/chave de fenda) para inserir pinos de segurança, fixando o limpa-neve e o espalhador ao veículo. Os trabalhadores de preparação do local não dirigem caminhões ou equipamentos, mas sim removem a neve das calçadas com pás de neve e espalhadores manuais. ***Original F.a.2*** Os trabalhadores realizarão a limpeza de propriedades comerciais e residenciais, incluindo a coleta de lixo/detritos; limpeza de folhas caídas e poda de inverno de árvores/arbustos dormentes, como parte da preparação do local antes da temporada de remoção de neve. Os trabalhadores realizarão a limpeza de propriedades privadas em decorrência de condições climáticas adversas, incluindo a remoção de neve/gelo de calçadas/passeios utilizando pás de neve, sopradores de neve ou espalhadores de sal manuais, além da aplicação de produtos para derretimento de neve/gelo; e coleta de lixo/detritos do terreno. Os trabalhadores também podem colocar marcadores de neve de plástico nos locais de trabalho para auxiliar os motoristas de limpa-neve da empresa a identificar as áreas corretas a serem limpas. Os trabalhadores também podem instalar suportes para arados e espalhadores de sal nos caminhões. Os trabalhadores limparão os equipamentos após o uso, incluindo lavagem com água pressurizada e limpeza do interior dos veículos, além da lavagem com água pressurizada das ferramentas/equipamentos para remover o sal. Os trabalhadores de inverno organizarão e limparão os detritos na oficina, garantirão o armazenamento adequado de ferramentas/equipamentos e limparão as áreas de escritório. Nível inicial; requer supervisão. Classificação do Cargo: 37-3011.00 - Trabalhadores de Paisagismo e Manutenção de Áreas Verdes. A classificação e descrição do cargo/setor incluem informações gerais sobre a posição de acordo com o ONET/OES e o Sistema de Classificação Industrial da América do Norte. Consulte as Funções e a Ordem de Serviço para obter mais informações. Requisitos do Cargo Experiência Necessária: Não Requisitos Especiais: Deve levantar/carregar 23 kg, quando necessário. Trabalho aos sábados e domingos, quando necessário. Os horários de trabalho podem variar e os trabalhadores ficam de plantão durante condições climáticas adversas. Teste de drogas pós-contratação obrigatório para trabalhadores estrangeiros e nacionais em caso de suspeita de uso. É obrigatória a verificação de antecedentes após a contratação de trabalhadores estrangeiros e nacionais. O empregador poderá oferecer uma jornada de trabalho superior à estipulada, dependendo das condições climáticas, das necessidades da empresa e de outros fatores. Calor extremo, frio intenso, chuva ou seca podem afetar o horário de trabalho exato. Número de horas por semana: 40. Horário de trabalho (início/término): 7h30 às 16h.</v>
      </c>
    </row>
    <row r="24" ht="20.25" customHeight="1">
      <c r="A24" s="3" t="s">
        <v>173</v>
      </c>
      <c r="B24" s="3" t="s">
        <v>174</v>
      </c>
      <c r="C24" s="3" t="s">
        <v>63</v>
      </c>
      <c r="D24" s="3" t="s">
        <v>87</v>
      </c>
      <c r="E24" s="4" t="s">
        <v>19</v>
      </c>
      <c r="F24" s="4" t="s">
        <v>20</v>
      </c>
      <c r="G24" s="4" t="s">
        <v>175</v>
      </c>
      <c r="H24" s="3" t="s">
        <v>176</v>
      </c>
      <c r="I24" s="3"/>
      <c r="J24" s="4">
        <v>15.41</v>
      </c>
      <c r="K24" s="4">
        <v>6.0</v>
      </c>
      <c r="L24" s="3" t="s">
        <v>177</v>
      </c>
      <c r="M24" s="3" t="s">
        <v>178</v>
      </c>
      <c r="N24" s="7" t="str">
        <f>IFERROR(__xludf.DUMMYFUNCTION("GOOGLETRANSLATE(L24, ""en"", ""pt"")"),"Empregadas domésticas")</f>
        <v>Empregadas domésticas</v>
      </c>
      <c r="O24" s="7" t="str">
        <f>IFERROR(__xludf.DUMMYFUNCTION("IF(M24="""","""",GOOGLETRANSLATE(M24,""en"",""pt""))"),"Limpeza de casas, chalés, imóveis para aluguel e propriedades comerciais. As funções incluem limpeza geral, limpeza/aspiração de carpetes/pisos, lavagem de louça, arrumação de camas e lavagem/reposição de roupas de cama. Classificação da função: 37-2012.0"&amp;"0 - Empregadas Domésticas e Auxiliares de Limpeza. A classificação e descrição da função/setor incluem informações gerais sobre o cargo, de acordo com o ONET/OES e o Sistema de Classificação Industrial da América do Norte (NAICS). Consulte a Descrição das"&amp;" Funções e a Ordem de Serviço para obter mais informações. Requisitos da vaga: Experiência necessária: Não. Requisitos especiais: Deve ser capaz de levantar/carregar 23 kg, quando necessário. Trabalho aos sábados e domingos, quando necessário. O empregado"&amp;"r pode oferecer mais horas de trabalho do que as indicadas, dependendo do clima, das necessidades da empresa e de outras condições. Calor extremo, frio, chuva ou seca podem afetar o horário de trabalho exato. Número de horas por semana: 40. Horário de tra"&amp;"balho (início/término): 8h às 17h.")</f>
        <v>Limpeza de casas, chalés, imóveis para aluguel e propriedades comerciais. As funções incluem limpeza geral, limpeza/aspiração de carpetes/pisos, lavagem de louça, arrumação de camas e lavagem/reposição de roupas de cama. Classificação da função: 37-2012.00 - Empregadas Domésticas e Auxiliares de Limpeza. A classificação e descrição da função/setor incluem informações gerais sobre o cargo, de acordo com o ONET/OES e o Sistema de Classificação Industrial da América do Norte (NAICS). Consulte a Descrição das Funções e a Ordem de Serviço para obter mais informações. Requisitos da vaga: Experiência necessária: Não. Requisitos especiais: Deve ser capaz de levantar/carregar 23 kg, quando necessário. Trabalho aos sábados e domingos, quando necessário. O empregador pode oferecer mais horas de trabalho do que as indicadas, dependendo do clima, das necessidades da empresa e de outras condições. Calor extremo, frio, chuva ou seca podem afetar o horário de trabalho exato. Número de horas por semana: 40. Horário de trabalho (início/término): 8h às 17h.</v>
      </c>
    </row>
    <row r="25" ht="20.25" customHeight="1">
      <c r="A25" s="8" t="s">
        <v>179</v>
      </c>
      <c r="B25" s="8" t="s">
        <v>180</v>
      </c>
      <c r="C25" s="8" t="s">
        <v>93</v>
      </c>
      <c r="D25" s="8" t="s">
        <v>109</v>
      </c>
      <c r="E25" s="9" t="s">
        <v>19</v>
      </c>
      <c r="F25" s="9" t="s">
        <v>20</v>
      </c>
      <c r="G25" s="9" t="s">
        <v>181</v>
      </c>
      <c r="H25" s="8" t="s">
        <v>182</v>
      </c>
      <c r="I25" s="8"/>
      <c r="J25" s="9">
        <v>19.36</v>
      </c>
      <c r="K25" s="9">
        <v>4.0</v>
      </c>
      <c r="L25" s="8" t="s">
        <v>59</v>
      </c>
      <c r="M25" s="8" t="s">
        <v>183</v>
      </c>
      <c r="N25" s="7" t="str">
        <f>IFERROR(__xludf.DUMMYFUNCTION("GOOGLETRANSLATE(L25, ""en"", ""pt"")"),"Trabalhador de paisagismo")</f>
        <v>Trabalhador de paisagismo</v>
      </c>
      <c r="O25" s="7" t="str">
        <f>IFERROR(__xludf.DUMMYFUNCTION("IF(M25="""","""",GOOGLETRANSLATE(M25,""en"",""pt""))"),"Paisagismo e manutenção de terrenos utilizando ferramentas manuais ou elétricas. Os trabalhadores irão cortar a grama, aparar as bordas, podar, regar, fertilizar, cavar, rastelar, plantar e remover árvores e arbustos, podar plantas ornamentais, aplicar co"&amp;"bertura morta e remover folhas e detritos. Classificação da função: 37-3011.00 - Trabalhadores de Paisagismo e Manutenção de Terrenos. A classificação e descrição da função/setor inclui informações gerais sobre o cargo, de acordo com o ONET/OES e o Sistem"&amp;"a de Classificação Industrial da América do Norte (NAICS). Consulte as Funções e a Ordem de Serviço para obter mais informações. Requisitos da vaga: Experiência exigida: Sim. Meses de experiência exigidos: 6. Requisitos especiais: Requer seis meses de exp"&amp;"eriência prévia em paisagismo. Deve ser capaz de levantar/carregar 23 kg, quando necessário. É necessário ter capacidade para trabalhar ao ar livre em condições de calor, frio, umidade e seca. Trabalho aos sábados, quando necessário. Testes toxicológicos "&amp;"aleatórios e pós-acidente são obrigatórios para trabalhadores estrangeiros e nacionais. Dois intervalos remunerados de 15 minutos por dia, além de um intervalo de almoço não remunerado de 30 minutos. Carteira de habilitação exigida apenas para funcionário"&amp;"s estrangeiros e nacionais que dirigem veículos da empresa (dirigir não é um requisito para todos os funcionários da função). O empregador poderá oferecer uma jornada de trabalho superior à estipulada, dependendo das condições climáticas, das necessidades"&amp;" da empresa e de outros fatores. Calor extremo, frio intenso, chuva ou seca podem afetar o horário de trabalho exato. Número de horas por semana: 45. Horário de trabalho (início/término): 6h45 às 18h.")</f>
        <v>Paisagismo e manutenção de terrenos utilizando ferramentas manuais ou elétricas. Os trabalhadores irão cortar a grama, aparar as bordas, podar, regar, fertilizar, cavar, rastelar, plantar e remover árvores e arbustos, podar plantas ornamentais, aplicar cobertura morta e remover folhas e detritos. Classificação da função: 37-3011.00 - Trabalhadores de Paisagismo e Manutenção de Terrenos. A classificação e descrição da função/setor inclui informações gerais sobre o cargo, de acordo com o ONET/OES e o Sistema de Classificação Industrial da América do Norte (NAICS). Consulte as Funções e a Ordem de Serviço para obter mais informações. Requisitos da vaga: Experiência exigida: Sim. Meses de experiência exigidos: 6. Requisitos especiais: Requer seis meses de experiência prévia em paisagismo. Deve ser capaz de levantar/carregar 23 kg, quando necessário. É necessário ter capacidade para trabalhar ao ar livre em condições de calor, frio, umidade e seca. Trabalho aos sábados, quando necessário. Testes toxicológicos aleatórios e pós-acidente são obrigatórios para trabalhadores estrangeiros e nacionais. Dois intervalos remunerados de 15 minutos por dia, além de um intervalo de almoço não remunerado de 30 minutos. Carteira de habilitação exigida apenas para funcionários estrangeiros e nacionais que dirigem veículos da empresa (dirigir não é um requisito para todos os funcionários da função). O empregador poderá oferecer uma jornada de trabalho superior à estipulada, dependendo das condições climáticas, das necessidades da empresa e de outros fatores. Calor extremo, frio intenso, chuva ou seca podem afetar o horário de trabalho exato. Número de horas por semana: 45. Horário de trabalho (início/término): 6h45 às 18h.</v>
      </c>
    </row>
    <row r="26" ht="20.25" customHeight="1">
      <c r="A26" s="3" t="s">
        <v>184</v>
      </c>
      <c r="B26" s="3" t="s">
        <v>185</v>
      </c>
      <c r="C26" s="3" t="s">
        <v>93</v>
      </c>
      <c r="D26" s="3" t="s">
        <v>186</v>
      </c>
      <c r="E26" s="4" t="s">
        <v>44</v>
      </c>
      <c r="F26" s="4" t="s">
        <v>20</v>
      </c>
      <c r="G26" s="4" t="s">
        <v>56</v>
      </c>
      <c r="H26" s="3" t="s">
        <v>187</v>
      </c>
      <c r="I26" s="3" t="s">
        <v>188</v>
      </c>
      <c r="J26" s="4">
        <v>17.55</v>
      </c>
      <c r="K26" s="4">
        <v>8.0</v>
      </c>
      <c r="L26" s="3" t="s">
        <v>59</v>
      </c>
      <c r="M26" s="3" t="s">
        <v>189</v>
      </c>
      <c r="N26" s="7" t="str">
        <f>IFERROR(__xludf.DUMMYFUNCTION("GOOGLETRANSLATE(L26, ""en"", ""pt"")"),"Trabalhador de paisagismo")</f>
        <v>Trabalhador de paisagismo</v>
      </c>
      <c r="O26" s="7" t="str">
        <f>IFERROR(__xludf.DUMMYFUNCTION("IF(M26="""","""",GOOGLETRANSLATE(M26,""en"",""pt""))"),"Paisagismo e manutenção de terrenos utilizando ferramentas manuais/elétricas ou equipamentos como cortadores de grama, aparadores de borda e sopradores. As atividades podem incluir qualquer combinação das seguintes: cavar, plantar, cultivar, rastelar, apl"&amp;"icar cobertura morta, aparar, capinar, cortar grama, podar, semear, colocar grama em placas e pulverizar. Carregar/descarregar/mover árvores, arbustos e materiais de paisagismo; remover detritos; manter, limpar e reparar equipamentos/ferramentas quando nã"&amp;"o estiverem em uso. Classificação da função: 37-3011.00 - Trabalhadores de Paisagismo e Manutenção de Terrenos. A classificação e descrição da função/setor inclui informações gerais sobre o cargo, de acordo com o ONET/OES e o Sistema de Classificação Indu"&amp;"strial da América do Norte. Consulte as Funções e a Ordem de Serviço para obter mais informações. Requisitos da vaga: Experiência necessária: Sim. Meses de experiência necessários: 3. Requisitos especiais: Requer três meses de experiência prévia em paisag"&amp;"ismo. Deve ser capaz de levantar/carregar 23 kg, quando necessário. Trabalho aos sábados e domingos, quando necessário. O empregador exige que trabalhadores estrangeiros e nacionais se submetam a testes de drogas pagos pela empresa antes do início do trab"&amp;"alho e após a contratação, em caso de acidente. É necessário se curvar, ajoelhar, agachar e caminhar por 8 horas ou mais em climas quentes. Trabalhadores que possuírem carteira de habilitação válida nos EUA poderão dirigir veículos da empresa (dirigir não"&amp;" é um requisito para todos os funcionários da função). O empregador poderá oferecer uma jornada de trabalho superior à estipulada, dependendo das condições climáticas, das necessidades da empresa e de outros fatores. Calor extremo, frio, chuva ou seca pod"&amp;"em afetar o horário de trabalho exato. Número de horas por semana: 40. Horário de trabalho (início/término): 7h às 15h30.")</f>
        <v>Paisagismo e manutenção de terrenos utilizando ferramentas manuais/elétricas ou equipamentos como cortadores de grama, aparadores de borda e sopradores. As atividades podem incluir qualquer combinação das seguintes: cavar, plantar, cultivar, rastelar, aplicar cobertura morta, aparar, capinar, cortar grama, podar, semear, colocar grama em placas e pulverizar. Carregar/descarregar/mover árvores, arbustos e materiais de paisagismo; remover detritos; manter, limpar e reparar equipamentos/ferramentas quando não estiverem em uso. Classificação da função: 37-3011.00 - Trabalhadores de Paisagismo e Manutenção de Terrenos. A classificação e descrição da função/setor inclui informações gerais sobre o cargo, de acordo com o ONET/OES e o Sistema de Classificação Industrial da América do Norte. Consulte as Funções e a Ordem de Serviço para obter mais informações. Requisitos da vaga: Experiência necessária: Sim. Meses de experiência necessários: 3. Requisitos especiais: Requer três meses de experiência prévia em paisagismo. Deve ser capaz de levantar/carregar 23 kg, quando necessário. Trabalho aos sábados e domingos, quando necessário. O empregador exige que trabalhadores estrangeiros e nacionais se submetam a testes de drogas pagos pela empresa antes do início do trabalho e após a contratação, em caso de acidente. É necessário se curvar, ajoelhar, agachar e caminhar por 8 horas ou mais em climas quentes. Trabalhadores que possuírem carteira de habilitação válida nos EUA poderão dirigir veículos da empresa (dirigir não é um requisito para todos os funcionários da função). O empregador poderá oferecer uma jornada de trabalho superior à estipulada, dependendo das condições climáticas, das necessidades da empresa e de outros fatores. Calor extremo, frio, chuva ou seca podem afetar o horário de trabalho exato. Número de horas por semana: 40. Horário de trabalho (início/término): 7h às 15h30.</v>
      </c>
    </row>
    <row r="27" ht="20.25" customHeight="1">
      <c r="A27" s="8" t="s">
        <v>190</v>
      </c>
      <c r="B27" s="8" t="s">
        <v>191</v>
      </c>
      <c r="C27" s="8" t="s">
        <v>125</v>
      </c>
      <c r="D27" s="8" t="s">
        <v>109</v>
      </c>
      <c r="E27" s="9" t="s">
        <v>19</v>
      </c>
      <c r="F27" s="9" t="s">
        <v>20</v>
      </c>
      <c r="G27" s="9" t="s">
        <v>65</v>
      </c>
      <c r="H27" s="8" t="s">
        <v>192</v>
      </c>
      <c r="I27" s="8" t="s">
        <v>193</v>
      </c>
      <c r="J27" s="9">
        <v>18.69</v>
      </c>
      <c r="K27" s="9">
        <v>15.0</v>
      </c>
      <c r="L27" s="8" t="s">
        <v>129</v>
      </c>
      <c r="M27" s="8" t="s">
        <v>194</v>
      </c>
      <c r="N27" s="7" t="str">
        <f>IFERROR(__xludf.DUMMYFUNCTION("GOOGLETRANSLATE(L27, ""en"", ""pt"")"),"Trabalhador de paisagismo e manutenção de jardins")</f>
        <v>Trabalhador de paisagismo e manutenção de jardins</v>
      </c>
      <c r="O27" s="7" t="str">
        <f>IFERROR(__xludf.DUMMYFUNCTION("IF(M27="""","""",GOOGLETRANSLATE(M27,""en"",""pt""))"),"As funções incluem a instalação de árvores, arbustos ou flores durante o período de dormência, seguindo o padrão de design apropriado. Isso inclui descarregar materiais, cavar buracos para o sistema radicular, cobrir os buracos adequadamente e, às vezes, "&amp;"colocar grama em placas, plantar sementes de grama ou conectar a irrigação. Também envolve a remoção de folhas, plantio de sementes e palha, aeração do gramado, plantio de arbustos, escavação, rastelagem e instalação de blocos de concreto pré-moldados sem"&amp;" argamassa. Os trabalhadores podem coletar e remover lixo, regar gramados, árvores e plantas semeadas, além de podar árvores, arbustos ou sebes. Podem operar equipamentos motorizados e dirigir veículos até os locais dos clientes. As tarefas podem incluir "&amp;"colocação de grama em placas, corte de grama, rega de plantas e gramados, transplante de plantas, fertilização, escavação, rastelagem e instalação de aspersores. Os funcionários cavarão valas com no máximo 15 a 30 cm de profundidade e 15 a 30 cm de largur"&amp;"a com pás e ferramentas manuais. Essas valas são usadas para acomodar a tubulação utilizada na instalação de sistemas de irrigação. Toda a poda/aparamento será feita no solo. Os trabalhadores não realizarão nenhuma atividade de poda ou corte acima do níve"&amp;"l do solo. O trabalhador poderá transportar outros trabalhadores de e para os locais de trabalho ocasionalmente, porém esta não será sua principal função. Classificação da Função: 37-3011.00 - Trabalhadores de Paisagismo e Manutenção de Jardins. A classif"&amp;"icação e descrição da função/setor inclui informações gerais sobre o cargo, de acordo com o ONET/OES e o Sistema de Classificação Industrial da América do Norte (NAICS). Consulte as Funções e a Ordem de Serviço para obter mais informações. Requisitos da F"&amp;"unção Experiência Necessária: Sim Meses de Experiência Necessários: 3 Requisitos Especiais: Carteira de habilitação válida obrigatória. Exame toxicológico pós-admissão por conta do empregador. 3 meses de experiência exigidos. Capacidade de levantar e carr"&amp;"egar 23 kg, movimentos repetitivos, empurrar/puxar com frequência, caminhar bastante, agachar-se frequentemente e exposição a temperaturas extremas. Número de Horas por Semana: 40 Horário de Trabalho (Início/Término): 7h às 16h.")</f>
        <v>As funções incluem a instalação de árvores, arbustos ou flores durante o período de dormência, seguindo o padrão de design apropriado. Isso inclui descarregar materiais, cavar buracos para o sistema radicular, cobrir os buracos adequadamente e, às vezes, colocar grama em placas, plantar sementes de grama ou conectar a irrigação. Também envolve a remoção de folhas, plantio de sementes e palha, aeração do gramado, plantio de arbustos, escavação, rastelagem e instalação de blocos de concreto pré-moldados sem argamassa. Os trabalhadores podem coletar e remover lixo, regar gramados, árvores e plantas semeadas, além de podar árvores, arbustos ou sebes. Podem operar equipamentos motorizados e dirigir veículos até os locais dos clientes. As tarefas podem incluir colocação de grama em placas, corte de grama, rega de plantas e gramados, transplante de plantas, fertilização, escavação, rastelagem e instalação de aspersores. Os funcionários cavarão valas com no máximo 15 a 30 cm de profundidade e 15 a 30 cm de largura com pás e ferramentas manuais. Essas valas são usadas para acomodar a tubulação utilizada na instalação de sistemas de irrigação. Toda a poda/aparamento será feita no solo. Os trabalhadores não realizarão nenhuma atividade de poda ou corte acima do nível do solo. O trabalhador poderá transportar outros trabalhadores de e para os locais de trabalho ocasionalmente, porém esta não será sua principal função. Classificação da Função: 37-3011.00 - Trabalhadores de Paisagismo e Manutenção de Jardins. A classificação e descrição da função/setor inclui informações gerais sobre o cargo, de acordo com o ONET/OES e o Sistema de Classificação Industrial da América do Norte (NAICS). Consulte as Funções e a Ordem de Serviço para obter mais informações. Requisitos da Função Experiência Necessária: Sim Meses de Experiência Necessários: 3 Requisitos Especiais: Carteira de habilitação válida obrigatória. Exame toxicológico pós-admissão por conta do empregador. 3 meses de experiência exigidos. Capacidade de levantar e carregar 23 kg, movimentos repetitivos, empurrar/puxar com frequência, caminhar bastante, agachar-se frequentemente e exposição a temperaturas extremas. Número de Horas por Semana: 40 Horário de Trabalho (Início/Término): 7h às 16h.</v>
      </c>
    </row>
    <row r="28" ht="20.25" customHeight="1">
      <c r="A28" s="3" t="s">
        <v>195</v>
      </c>
      <c r="B28" s="3" t="s">
        <v>196</v>
      </c>
      <c r="C28" s="3" t="s">
        <v>197</v>
      </c>
      <c r="D28" s="3" t="s">
        <v>71</v>
      </c>
      <c r="E28" s="4" t="s">
        <v>44</v>
      </c>
      <c r="F28" s="4" t="s">
        <v>20</v>
      </c>
      <c r="G28" s="4" t="s">
        <v>198</v>
      </c>
      <c r="H28" s="3" t="s">
        <v>199</v>
      </c>
      <c r="I28" s="3" t="s">
        <v>200</v>
      </c>
      <c r="J28" s="4">
        <v>18.71</v>
      </c>
      <c r="K28" s="4">
        <v>12.0</v>
      </c>
      <c r="L28" s="3" t="s">
        <v>201</v>
      </c>
      <c r="M28" s="3" t="s">
        <v>202</v>
      </c>
      <c r="N28" s="7" t="str">
        <f>IFERROR(__xludf.DUMMYFUNCTION("GOOGLETRANSLATE(L28, ""en"", ""pt"")"),"Servidores")</f>
        <v>Servidores</v>
      </c>
      <c r="O28" s="7" t="str">
        <f>IFERROR(__xludf.DUMMYFUNCTION("IF(M28="""","""",GOOGLETRANSLATE(M28,""en"",""pt""))"),"Receber pedidos de comida e bebida, levar comida e bebida da cozinha às mesas, limpar e arrumar as mesas. Receber pagamentos. Manter todos os postos de trabalho limpos e abastecidos. Preparar salões de banquetes. Classificação da vaga: 35-3031.00 - Garçon"&amp;"s e Garçonetes. A classificação e descrição da vaga/setor inclui informações gerais sobre o cargo, de acordo com o ONET/OES e o Sistema de Classificação Industrial da América do Norte. Consulte as Funções e a Ordem de Serviço para obter mais informações. "&amp;"Requisitos da vaga: Experiência necessária: Não. Requisitos especiais: Turnos rotativos de segunda a domingo, das 6h às 22h. Verificação de antecedentes criminais pré-contratação obrigatória para trabalhadores americanos e trabalhadores com visto H2B. Núm"&amp;"ero de horas por semana: 40. Horário de trabalho (início/término): 6h às 22h.")</f>
        <v>Receber pedidos de comida e bebida, levar comida e bebida da cozinha às mesas, limpar e arrumar as mesas. Receber pagamentos. Manter todos os postos de trabalho limpos e abastecidos. Preparar salões de banquetes. Classificação da vaga: 35-3031.00 - Garçons e Garçonetes. A classificação e descrição da vaga/setor inclui informações gerais sobre o cargo, de acordo com o ONET/OES e o Sistema de Classificação Industrial da América do Norte. Consulte as Funções e a Ordem de Serviço para obter mais informações. Requisitos da vaga: Experiência necessária: Não. Requisitos especiais: Turnos rotativos de segunda a domingo, das 6h às 22h. Verificação de antecedentes criminais pré-contratação obrigatória para trabalhadores americanos e trabalhadores com visto H2B. Número de horas por semana: 40. Horário de trabalho (início/término): 6h às 22h.</v>
      </c>
    </row>
    <row r="29" ht="20.25" customHeight="1">
      <c r="A29" s="8" t="s">
        <v>203</v>
      </c>
      <c r="B29" s="8" t="s">
        <v>204</v>
      </c>
      <c r="C29" s="8" t="s">
        <v>205</v>
      </c>
      <c r="D29" s="8" t="s">
        <v>71</v>
      </c>
      <c r="E29" s="9" t="s">
        <v>44</v>
      </c>
      <c r="F29" s="9" t="s">
        <v>20</v>
      </c>
      <c r="G29" s="9" t="s">
        <v>94</v>
      </c>
      <c r="H29" s="8" t="s">
        <v>206</v>
      </c>
      <c r="I29" s="8" t="s">
        <v>207</v>
      </c>
      <c r="J29" s="9">
        <v>25.06</v>
      </c>
      <c r="K29" s="9">
        <v>18.0</v>
      </c>
      <c r="L29" s="8" t="s">
        <v>208</v>
      </c>
      <c r="M29" s="8" t="s">
        <v>209</v>
      </c>
      <c r="N29" s="7" t="str">
        <f>IFERROR(__xludf.DUMMYFUNCTION("GOOGLETRANSLATE(L29, ""en"", ""pt"")"),"Instalador")</f>
        <v>Instalador</v>
      </c>
      <c r="O29" s="7" t="str">
        <f>IFERROR(__xludf.DUMMYFUNCTION("IF(M29="""","""",GOOGLETRANSLATE(M29,""en"",""pt""))"),"As funções podem incluir: Organizar e transportar luzes de Natal, clipes de fixação de plástico, decorações, escadas, ferramentas e suprimentos do depósito para os locais de trabalho. Instalar, ajustar, testar e substituir luzes e decorações de Natal em t"&amp;"elhados, cercas, estruturas, árvores e arbustos, conforme solicitação do cliente. Segurar, auxiliar ou fornecer luzes de Natal, clipes de fixação de plástico, decorações, escadas extensíveis e de mão, vara de instalação com gancho e suprimentos para outro"&amp;"s instaladores. Instalar e ajustar extensões elétricas e temporizadores automáticos. Desinstalar, remover, organizar e armazenar luzes e decorações de Natal após a temporada de festas. Limpar e manter o local de trabalho e outras atividades relacionadas à"&amp;" instalação, conforme SOC/OES 49-9099 (onetonline.org). Horário padrão/esperado: Segunda a sexta, das 7h às 19h. Oferecemos mais de 40 horas semanais, sem incluir almoço e/ou intervalos. Possibilidade de trabalho nos fins de semana e feriados. Os horários"&amp;" de início e término, a carga horária oferecida e/ou a possibilidade de horas extras podem variar, pois dependem de fatores como necessidades do projeto/cronograma/serviço, condições climáticas e tempo de deslocamento entre os locais de trabalho (se aplic"&amp;"ável). Horas extras são possíveis, mas não obrigatórias nem garantidas. A critério exclusivo do empregador: aumentos salariais e/ou bônus podem ser concedidos com base em fatores individuais, como desempenho ou habilidades (não garantidos). Classificação "&amp;"da vaga: 49-9099.00 - Trabalhadores de Instalação, Manutenção e Reparo, Outros. A classificação e a descrição da vaga/setor incluem informações gerais sobre o cargo, conforme o ONET/OES e o Sistema de Classificação Industrial da América do Norte (NAICS). "&amp;"Consulte as Funções e a Ordem de Serviço para obter mais informações. Requisitos da vaga: Experiência exigida: Não. Requisitos especiais: É necessário ter 18 anos ou mais, devido às leis trabalhistas estaduais. É necessário apresentar comprovante de autor"&amp;"ização legal para trabalhar nos Estados Unidos. Ambiente de trabalho livre de drogas, álcool e tabaco. Executar atividades físicas como: levantar, equilibrar-se, caminhar, abaixar-se, manusear, posicionar, mover e manipular materiais; usar força estática "&amp;"para exercer força muscular máxima para levantar, empurrar, puxar e carregar objetos de até 27 kg (possivelmente por duas pessoas). Todos os candidatos devem ser capazes, dispostos e qualificados para executar o trabalho descrito e devem estar disponíveis"&amp;" durante todo o período especificado e trabalhar em todas as áreas da vaga pretendida. O trabalho é realizado ao ar livre, exposto às intempéries; o candidato deve ser capaz de realizar trabalho fisicamente extenuante por longos períodos, ocasionalmente e"&amp;"m calor ou frio extremos. As condições climáticas são variáveis; a carga horária pode sofrer alterações (+/-), com possibilidade de períodos de inatividade e/ou horas extras. Número de horas por semana: 40. Horário de trabalho (início/término): 7h às 19h.")</f>
        <v>As funções podem incluir: Organizar e transportar luzes de Natal, clipes de fixação de plástico, decorações, escadas, ferramentas e suprimentos do depósito para os locais de trabalho. Instalar, ajustar, testar e substituir luzes e decorações de Natal em telhados, cercas, estruturas, árvores e arbustos, conforme solicitação do cliente. Segurar, auxiliar ou fornecer luzes de Natal, clipes de fixação de plástico, decorações, escadas extensíveis e de mão, vara de instalação com gancho e suprimentos para outros instaladores. Instalar e ajustar extensões elétricas e temporizadores automáticos. Desinstalar, remover, organizar e armazenar luzes e decorações de Natal após a temporada de festas. Limpar e manter o local de trabalho e outras atividades relacionadas à instalação, conforme SOC/OES 49-9099 (onetonline.org). Horário padrão/esperado: Segunda a sexta, das 7h às 19h. Oferecemos mais de 40 horas semanais, sem incluir almoço e/ou intervalos. Possibilidade de trabalho nos fins de semana e feriados. Os horários de início e término, a carga horária oferecida e/ou a possibilidade de horas extras podem variar, pois dependem de fatores como necessidades do projeto/cronograma/serviço, condições climáticas e tempo de deslocamento entre os locais de trabalho (se aplicável). Horas extras são possíveis, mas não obrigatórias nem garantidas. A critério exclusivo do empregador: aumentos salariais e/ou bônus podem ser concedidos com base em fatores individuais, como desempenho ou habilidades (não garantidos). Classificação da vaga: 49-9099.00 - Trabalhadores de Instalação, Manutenção e Reparo, Outros. A classificação e a descrição da vaga/setor incluem informações gerais sobre o cargo, conforme o ONET/OES e o Sistema de Classificação Industrial da América do Norte (NAICS). Consulte as Funções e a Ordem de Serviço para obter mais informações. Requisitos da vaga: Experiência exigida: Não. Requisitos especiais: É necessário ter 18 anos ou mais, devido às leis trabalhistas estaduais. É necessário apresentar comprovante de autorização legal para trabalhar nos Estados Unidos. Ambiente de trabalho livre de drogas, álcool e tabaco. Executar atividades físicas como: levantar, equilibrar-se, caminhar, abaixar-se, manusear, posicionar, mover e manipular materiais; usar força estática para exercer força muscular máxima para levantar, empurrar, puxar e carregar objetos de até 27 kg (possivelmente por duas pessoas). Todos os candidatos devem ser capazes, dispostos e qualificados para executar o trabalho descrito e devem estar disponíveis durante todo o período especificado e trabalhar em todas as áreas da vaga pretendida. O trabalho é realizado ao ar livre, exposto às intempéries; o candidato deve ser capaz de realizar trabalho fisicamente extenuante por longos períodos, ocasionalmente em calor ou frio extremos. As condições climáticas são variáveis; a carga horária pode sofrer alterações (+/-), com possibilidade de períodos de inatividade e/ou horas extras. Número de horas por semana: 40. Horário de trabalho (início/término): 7h às 19h.</v>
      </c>
    </row>
    <row r="30" ht="20.25" customHeight="1">
      <c r="A30" s="3" t="s">
        <v>210</v>
      </c>
      <c r="B30" s="3" t="s">
        <v>211</v>
      </c>
      <c r="C30" s="3" t="s">
        <v>197</v>
      </c>
      <c r="D30" s="3" t="s">
        <v>55</v>
      </c>
      <c r="E30" s="4" t="s">
        <v>19</v>
      </c>
      <c r="F30" s="4" t="s">
        <v>20</v>
      </c>
      <c r="G30" s="4" t="s">
        <v>212</v>
      </c>
      <c r="H30" s="3" t="s">
        <v>213</v>
      </c>
      <c r="I30" s="3" t="s">
        <v>214</v>
      </c>
      <c r="J30" s="4">
        <v>20.5</v>
      </c>
      <c r="K30" s="4">
        <v>3.0</v>
      </c>
      <c r="L30" s="3" t="s">
        <v>215</v>
      </c>
      <c r="M30" s="3" t="s">
        <v>216</v>
      </c>
      <c r="N30" s="7" t="str">
        <f>IFERROR(__xludf.DUMMYFUNCTION("GOOGLETRANSLATE(L30, ""en"", ""pt"")"),"Trabalhador de limpeza")</f>
        <v>Trabalhador de limpeza</v>
      </c>
      <c r="O30" s="7" t="str">
        <f>IFERROR(__xludf.DUMMYFUNCTION("IF(M30="""","""",GOOGLETRANSLATE(M30,""en"",""pt""))"),"LIMPEZA E REMOÇÃO DE GALHOS E TUBOS DE PROPRIEDADES. CARREGAMENTO E DESCARREGAMENTO DE MATERIAIS DE CAMINHÕES. UTILIZAÇÃO DE ANCINHOS, VASSOURAS E PÁS EM LOCAIS DE TRABALHO. Classificação da Função: 37-3011.00 - Trabalhadores de Paisagismo e Manutenção de"&amp;" Áreas Verdes. A classificação e descrição da função/setor incluem informações gerais sobre o cargo, de acordo com o ONET/OES e o Sistema de Classificação Industrial da América do Norte (NAICS). Consulte as Funções e a Ordem de Serviço para obter mais inf"&amp;"ormações. Requisitos da Função: Experiência Necessária: Não. Número de Horas por Semana: 40. Horário de Trabalho (Início/Término): 8h às 17h.")</f>
        <v>LIMPEZA E REMOÇÃO DE GALHOS E TUBOS DE PROPRIEDADES. CARREGAMENTO E DESCARREGAMENTO DE MATERIAIS DE CAMINHÕES. UTILIZAÇÃO DE ANCINHOS, VASSOURAS E PÁS EM LOCAIS DE TRABALHO. Classificação da Função: 37-3011.00 - Trabalhadores de Paisagismo e Manutenção de Áreas Verdes. A classificação e descrição da função/setor incluem informações gerais sobre o cargo, de acordo com o ONET/OES e o Sistema de Classificação Industrial da América do Norte (NAICS). Consulte as Funções e a Ordem de Serviço para obter mais informações. Requisitos da Função: Experiência Necessária: Não. Número de Horas por Semana: 40. Horário de Trabalho (Início/Término): 8h às 17h.</v>
      </c>
    </row>
    <row r="31" ht="20.25" customHeight="1">
      <c r="A31" s="8" t="s">
        <v>217</v>
      </c>
      <c r="B31" s="8" t="s">
        <v>218</v>
      </c>
      <c r="C31" s="8" t="s">
        <v>125</v>
      </c>
      <c r="D31" s="8" t="s">
        <v>18</v>
      </c>
      <c r="E31" s="9" t="s">
        <v>19</v>
      </c>
      <c r="F31" s="9" t="s">
        <v>20</v>
      </c>
      <c r="G31" s="9" t="s">
        <v>146</v>
      </c>
      <c r="H31" s="8" t="s">
        <v>219</v>
      </c>
      <c r="I31" s="8" t="s">
        <v>220</v>
      </c>
      <c r="J31" s="9">
        <v>19.47</v>
      </c>
      <c r="K31" s="9">
        <v>36.0</v>
      </c>
      <c r="L31" s="8" t="s">
        <v>129</v>
      </c>
      <c r="M31" s="8" t="s">
        <v>221</v>
      </c>
      <c r="N31" s="7" t="str">
        <f>IFERROR(__xludf.DUMMYFUNCTION("GOOGLETRANSLATE(L31, ""en"", ""pt"")"),"Trabalhador de paisagismo e manutenção de jardins")</f>
        <v>Trabalhador de paisagismo e manutenção de jardins</v>
      </c>
      <c r="O31" s="7" t="str">
        <f>IFERROR(__xludf.DUMMYFUNCTION("IF(M31="""","""",GOOGLETRANSLATE(M31,""en"",""pt""))"),"As funções incluem a instalação de árvores, arbustos ou flores durante o período de dormência, seguindo o padrão de design apropriado. Isso inclui descarregar materiais, cavar buracos para o sistema radicular, cobrir os buracos adequadamente e, às vezes, "&amp;"colocar grama em placas, plantar sementes de grama ou conectar a irrigação. Também envolve a remoção de folhas, plantio de sementes e palha, aeração do gramado, plantio de arbustos, escavação, rastelagem e instalação de blocos de concreto pré-moldados sem"&amp;" argamassa. Os trabalhadores podem coletar e remover lixo, regar gramados, árvores e plantas semeadas, além de podar árvores, arbustos ou sebes. Podem operar equipamentos motorizados e dirigir veículos até os locais dos clientes. As tarefas podem incluir "&amp;"colocação de grama em placas, corte de grama, rega de plantas e gramados, transplante de plantas, fertilização, escavação, rastelagem e instalação de aspersores. Os funcionários cavarão valas com no máximo 15 a 30 cm de profundidade e 15 a 30 cm de largur"&amp;"a com pás e ferramentas manuais. Essas valas são usadas para acomodar a tubulação utilizada na instalação de sistemas de irrigação. Toda a poda/aparamento será feita no solo. Os trabalhadores não realizarão nenhuma atividade de poda ou corte acima do níve"&amp;"l do solo. O trabalhador poderá transportar outros trabalhadores de e para os locais de trabalho ocasionalmente, porém esta não será sua principal função. Classificação da Função: 37-3011.00 - Trabalhadores de Paisagismo e Manutenção de Jardins. A classif"&amp;"icação e descrição da função/setor inclui informações gerais sobre o cargo, de acordo com o ONET/OES e o Sistema de Classificação Industrial da América do Norte (NAICS). Consulte as Funções e a Ordem de Serviço para obter mais informações. Requisitos da F"&amp;"unção Experiência Necessária: Sim Meses de Experiência Necessários: 3 Requisitos Especiais: Deve ser capaz de levantar 27 kg, realizar movimentos repetitivos, empurrar/puxar com frequência, caminhar bastante, agachar-se frequentemente e estar exposto a te"&amp;"mperaturas extremas. Deve possuir carteira de habilitação válida, realizar exame toxicológico pós-admissão por conta do empregador e ter 3 meses de experiência. Número de Horas por Semana: 40 Horário de Trabalho (Início/Término): 7h às 16h.")</f>
        <v>As funções incluem a instalação de árvores, arbustos ou flores durante o período de dormência, seguindo o padrão de design apropriado. Isso inclui descarregar materiais, cavar buracos para o sistema radicular, cobrir os buracos adequadamente e, às vezes, colocar grama em placas, plantar sementes de grama ou conectar a irrigação. Também envolve a remoção de folhas, plantio de sementes e palha, aeração do gramado, plantio de arbustos, escavação, rastelagem e instalação de blocos de concreto pré-moldados sem argamassa. Os trabalhadores podem coletar e remover lixo, regar gramados, árvores e plantas semeadas, além de podar árvores, arbustos ou sebes. Podem operar equipamentos motorizados e dirigir veículos até os locais dos clientes. As tarefas podem incluir colocação de grama em placas, corte de grama, rega de plantas e gramados, transplante de plantas, fertilização, escavação, rastelagem e instalação de aspersores. Os funcionários cavarão valas com no máximo 15 a 30 cm de profundidade e 15 a 30 cm de largura com pás e ferramentas manuais. Essas valas são usadas para acomodar a tubulação utilizada na instalação de sistemas de irrigação. Toda a poda/aparamento será feita no solo. Os trabalhadores não realizarão nenhuma atividade de poda ou corte acima do nível do solo. O trabalhador poderá transportar outros trabalhadores de e para os locais de trabalho ocasionalmente, porém esta não será sua principal função. Classificação da Função: 37-3011.00 - Trabalhadores de Paisagismo e Manutenção de Jardins. A classificação e descrição da função/setor inclui informações gerais sobre o cargo, de acordo com o ONET/OES e o Sistema de Classificação Industrial da América do Norte (NAICS). Consulte as Funções e a Ordem de Serviço para obter mais informações. Requisitos da Função Experiência Necessária: Sim Meses de Experiência Necessários: 3 Requisitos Especiais: Deve ser capaz de levantar 27 kg, realizar movimentos repetitivos, empurrar/puxar com frequência, caminhar bastante, agachar-se frequentemente e estar exposto a temperaturas extremas. Deve possuir carteira de habilitação válida, realizar exame toxicológico pós-admissão por conta do empregador e ter 3 meses de experiência. Número de Horas por Semana: 40 Horário de Trabalho (Início/Término): 7h às 16h.</v>
      </c>
    </row>
    <row r="32" ht="20.25" customHeight="1">
      <c r="A32" s="3" t="s">
        <v>222</v>
      </c>
      <c r="B32" s="3" t="s">
        <v>223</v>
      </c>
      <c r="C32" s="3" t="s">
        <v>125</v>
      </c>
      <c r="D32" s="3" t="s">
        <v>18</v>
      </c>
      <c r="E32" s="4" t="s">
        <v>44</v>
      </c>
      <c r="F32" s="4" t="s">
        <v>20</v>
      </c>
      <c r="G32" s="4" t="s">
        <v>80</v>
      </c>
      <c r="H32" s="3" t="s">
        <v>224</v>
      </c>
      <c r="I32" s="3" t="s">
        <v>225</v>
      </c>
      <c r="J32" s="4">
        <v>14.34</v>
      </c>
      <c r="K32" s="4">
        <v>10.0</v>
      </c>
      <c r="L32" s="3" t="s">
        <v>129</v>
      </c>
      <c r="M32" s="3" t="s">
        <v>226</v>
      </c>
      <c r="N32" s="7" t="str">
        <f>IFERROR(__xludf.DUMMYFUNCTION("GOOGLETRANSLATE(L32, ""en"", ""pt"")"),"Trabalhador de paisagismo e manutenção de jardins")</f>
        <v>Trabalhador de paisagismo e manutenção de jardins</v>
      </c>
      <c r="O32" s="7" t="str">
        <f>IFERROR(__xludf.DUMMYFUNCTION("IF(M32="""","""",GOOGLETRANSLATE(M32,""en"",""pt""))"),"Limpar o terreno de pedras, rochas e outros detritos usando ferramentas manuais, como pás e ancinhos. Recolher pedras e rochas em cestos para remoção. Descartar lixo ou resíduos. Os trabalhadores podem recolher e remover lixo, operar equipamentos motoriza"&amp;"dos e dirigir veículos da empresa até os locais de trabalho. O trabalho será realizado ao longo do leito de um riacho em terreno aberto e não limpo. Os trabalhadores recolherão o lixo deixado como resultado de trabalhos anteriores realizados no local. Ess"&amp;"e lixo pode incluir paletes velhos e fios velhos. O equipamento motorizado operado é uma pequena carregadeira articulada usada para recolher paletes de pedras. Todos os veículos ou equipamentos operados têm peso bruto total inferior a 26.000 libras (aprox"&amp;"imadamente 11.800 kg). Os trabalhadores não dirigirão veículos da empresa para transportar outros funcionários/trabalhadores de e para os locais de trabalho. Classificação do Cargo: 37-3019.00 - Trabalhadores de Manutenção de Terrenos, Outros. A classific"&amp;"ação e descrição do cargo/setor inclui informações gerais sobre a posição, de acordo com o ONET/OES e o Sistema de Classificação Industrial da América do Norte. Consulte as Funções e a Ordem de Serviço para obter mais informações. Requisitos da vaga Exper"&amp;"iência necessária: Não Requisitos especiais: Capacidade de levantar e carregar 34 kg. Exposição a temperaturas extremas. Caminhadas extensas, agachamentos e flexões frequentes. Número de horas por semana: 40 Horário de trabalho (início/término): 7h às 16h")</f>
        <v>Limpar o terreno de pedras, rochas e outros detritos usando ferramentas manuais, como pás e ancinhos. Recolher pedras e rochas em cestos para remoção. Descartar lixo ou resíduos. Os trabalhadores podem recolher e remover lixo, operar equipamentos motorizados e dirigir veículos da empresa até os locais de trabalho. O trabalho será realizado ao longo do leito de um riacho em terreno aberto e não limpo. Os trabalhadores recolherão o lixo deixado como resultado de trabalhos anteriores realizados no local. Esse lixo pode incluir paletes velhos e fios velhos. O equipamento motorizado operado é uma pequena carregadeira articulada usada para recolher paletes de pedras. Todos os veículos ou equipamentos operados têm peso bruto total inferior a 26.000 libras (aproximadamente 11.800 kg). Os trabalhadores não dirigirão veículos da empresa para transportar outros funcionários/trabalhadores de e para os locais de trabalho. Classificação do Cargo: 37-3019.00 - Trabalhadores de Manutenção de Terrenos, Outros. A classificação e descrição do cargo/setor inclui informações gerais sobre a posição, de acordo com o ONET/OES e o Sistema de Classificação Industrial da América do Norte. Consulte as Funções e a Ordem de Serviço para obter mais informações. Requisitos da vaga Experiência necessária: Não Requisitos especiais: Capacidade de levantar e carregar 34 kg. Exposição a temperaturas extremas. Caminhadas extensas, agachamentos e flexões frequentes. Número de horas por semana: 40 Horário de trabalho (início/término): 7h às 16h</v>
      </c>
    </row>
    <row r="33" ht="20.25" customHeight="1">
      <c r="A33" s="8" t="s">
        <v>227</v>
      </c>
      <c r="B33" s="8" t="s">
        <v>228</v>
      </c>
      <c r="C33" s="8" t="s">
        <v>54</v>
      </c>
      <c r="D33" s="8" t="s">
        <v>36</v>
      </c>
      <c r="E33" s="9" t="s">
        <v>19</v>
      </c>
      <c r="F33" s="9" t="s">
        <v>20</v>
      </c>
      <c r="G33" s="9" t="s">
        <v>229</v>
      </c>
      <c r="H33" s="8" t="s">
        <v>230</v>
      </c>
      <c r="I33" s="8" t="s">
        <v>231</v>
      </c>
      <c r="J33" s="9">
        <v>16.61</v>
      </c>
      <c r="K33" s="9">
        <v>53.0</v>
      </c>
      <c r="L33" s="8" t="s">
        <v>232</v>
      </c>
      <c r="M33" s="8" t="s">
        <v>233</v>
      </c>
      <c r="N33" s="7" t="str">
        <f>IFERROR(__xludf.DUMMYFUNCTION("GOOGLETRANSLATE(L33, ""en"", ""pt"")"),"Limpa-mato para faixas de servidão de serviços públicos")</f>
        <v>Limpa-mato para faixas de servidão de serviços públicos</v>
      </c>
      <c r="O33" s="7" t="str">
        <f>IFERROR(__xludf.DUMMYFUNCTION("IF(M33="""","""",GOOGLETRANSLATE(M33,""en"",""pt""))"),"As funções podem incluir: pulverização de fertilizantes, herbicidas ou inseticidas em arbustos ou árvores, utilizando pulverizadores manuais ou automáticos, e outras atividades relacionadas à limpeza de vegetação em faixas de domínio de serviços públicos,"&amp;" conforme SOC/OES 37-3011 (onetonline.org). Horário padrão/esperado: segunda a sexta, das 7h às 19h. Oferecemos de 35 a 35 horas semanais (ou mais), sem incluir almoço e/ou intervalos. Possibilidade de trabalho em fins de semana e feriados. Os horários de"&amp;" início e término, a carga horária e/ou horas extras podem variar, pois dependem de fatores como projeto/cronograma/necessidades do serviço, condições climáticas e tempo de deslocamento entre os locais de trabalho (se aplicável). Horas extras são possívei"&amp;"s, mas não obrigatórias ou garantidas. A critério exclusivo do empregador: aumentos salariais e/ou bônus podem ser concedidos com base em fatores individuais, como desempenho ou habilidades (não garantidos). Pagamento por produção: o trabalhador nunca rec"&amp;"eberá menos que o salário vigente ou o salário mínimo federal/estadual/municipal. Alojamento compartilhado opcional disponível sem custo para o trabalhador. Classificação do Cargo: 37-3011.00 - Trabalhadores de Paisagismo e Manutenção de Jardins. A classi"&amp;"ficação e descrição do cargo/setor inclui informações gerais sobre a posição, de acordo com o ONET/OES e o Sistema de Classificação Industrial da América do Norte (NAICS). Consulte as Funções e a Ordem de Serviço para obter mais informações. Requisitos do"&amp;" Cargo Experiência Necessária: Não. Requisitos Especiais: É necessário ter 18 anos devido a viagens. É necessário apresentar comprovante de autorização legal para trabalhar nos Estados Unidos. Ambiente de trabalho livre de drogas, álcool e tabaco. É neces"&amp;"sário caminhar bastante (até 24 km/dia), além de se abaixar e se curvar carregando uma mochila (até 23 kg) em terrenos acidentados (fora de trilhas). Todos os candidatos devem ser capazes, dispostos e qualificados para executar o trabalho descrito e devem"&amp;" estar disponíveis durante todo o período especificado e trabalhar em todas as áreas de atuação pretendidas. O trabalho é realizado ao ar livre, exposto às intempéries; o candidato deve ser capaz de realizar trabalho fisicamente extenuante por longos perí"&amp;"odos, ocasionalmente em calor ou frio extremos. Condições climáticas variáveis ​​se aplicam. O horário de trabalho pode variar (+/-), podendo haver períodos de inatividade e/ou horas extras. Número de horas por semana: 35. Horário de trabalho (início/térm"&amp;"ino): 7h às 19h.")</f>
        <v>As funções podem incluir: pulverização de fertilizantes, herbicidas ou inseticidas em arbustos ou árvores, utilizando pulverizadores manuais ou automáticos, e outras atividades relacionadas à limpeza de vegetação em faixas de domínio de serviços públicos, conforme SOC/OES 37-3011 (onetonline.org). Horário padrão/esperado: segunda a sexta, das 7h às 19h. Oferecemos de 35 a 35 horas semanais (ou mais), sem incluir almoço e/ou intervalos. Possibilidade de trabalho em fins de semana e feriados. Os horários de início e término, a carga horária e/ou horas extras podem variar, pois dependem de fatores como projeto/cronograma/necessidades do serviço, condições climáticas e tempo de deslocamento entre os locais de trabalho (se aplicável). Horas extras são possíveis, mas não obrigatórias ou garantidas. A critério exclusivo do empregador: aumentos salariais e/ou bônus podem ser concedidos com base em fatores individuais, como desempenho ou habilidades (não garantidos). Pagamento por produção: o trabalhador nunca receberá menos que o salário vigente ou o salário mínimo federal/estadual/municipal. Alojamento compartilhado opcional disponível sem custo para o trabalhador. Classificação do Cargo: 37-3011.00 - Trabalhadores de Paisagismo e Manutenção de Jardins. A classificação e descrição do cargo/setor inclui informações gerais sobre a posição, de acordo com o ONET/OES e o Sistema de Classificação Industrial da América do Norte (NAICS). Consulte as Funções e a Ordem de Serviço para obter mais informações. Requisitos do Cargo Experiência Necessária: Não. Requisitos Especiais: É necessário ter 18 anos devido a viagens. É necessário apresentar comprovante de autorização legal para trabalhar nos Estados Unidos. Ambiente de trabalho livre de drogas, álcool e tabaco. É necessário caminhar bastante (até 24 km/dia), além de se abaixar e se curvar carregando uma mochila (até 23 kg) em terrenos acidentados (fora de trilhas). Todos os candidatos devem ser capazes, dispostos e qualificados para executar o trabalho descrito e devem estar disponíveis durante todo o período especificado e trabalhar em todas as áreas de atuação pretendidas. O trabalho é realizado ao ar livre, exposto às intempéries; o candidato deve ser capaz de realizar trabalho fisicamente extenuante por longos períodos, ocasionalmente em calor ou frio extremos. Condições climáticas variáveis ​​se aplicam. O horário de trabalho pode variar (+/-), podendo haver períodos de inatividade e/ou horas extras. Número de horas por semana: 35. Horário de trabalho (início/término): 7h às 19h.</v>
      </c>
    </row>
    <row r="34" ht="20.25" customHeight="1">
      <c r="A34" s="3" t="s">
        <v>234</v>
      </c>
      <c r="B34" s="3" t="s">
        <v>235</v>
      </c>
      <c r="C34" s="3" t="s">
        <v>63</v>
      </c>
      <c r="D34" s="3" t="s">
        <v>109</v>
      </c>
      <c r="E34" s="4" t="s">
        <v>19</v>
      </c>
      <c r="F34" s="4" t="s">
        <v>20</v>
      </c>
      <c r="G34" s="4" t="s">
        <v>236</v>
      </c>
      <c r="H34" s="3" t="s">
        <v>237</v>
      </c>
      <c r="I34" s="3" t="s">
        <v>238</v>
      </c>
      <c r="J34" s="4">
        <v>18.69</v>
      </c>
      <c r="K34" s="4">
        <v>6.0</v>
      </c>
      <c r="L34" s="3" t="s">
        <v>239</v>
      </c>
      <c r="M34" s="3" t="s">
        <v>240</v>
      </c>
      <c r="N34" s="7" t="str">
        <f>IFERROR(__xludf.DUMMYFUNCTION("GOOGLETRANSLATE(L34, ""en"", ""pt"")"),"Especialista em manutenção de jardins")</f>
        <v>Especialista em manutenção de jardins</v>
      </c>
      <c r="O34" s="7" t="str">
        <f>IFERROR(__xludf.DUMMYFUNCTION("IF(M34="""","""",GOOGLETRANSLATE(M34,""en"",""pt""))"),"Paisagismo e manutenção de terrenos utilizando ferramentas manuais ou elétricas. Os trabalhadores devem ser capazes de executar uma variedade de tarefas sem supervisão direta, que podem incluir qualquer combinação das seguintes atividades: colocação de gr"&amp;"ama, corte de grama, poda, plantio, rega, fertilização, escavação, rastelagem, auxílio na instalação de sprinklers e instalação de blocos de concreto pré-moldados sem argamassa. Nível inicial; requer supervisão. Classificação da vaga: 37-3011.00 - Trabalh"&amp;"adores de Paisagismo e Manutenção de Terrenos. A classificação e descrição da vaga/setor incluem informações gerais sobre o cargo, de acordo com o ONET/OES e o Sistema de Classificação Industrial da América do Norte (NAICS). Consulte as Funções e a Ordem "&amp;"de Serviço para obter mais informações. Requisitos da vaga: Experiência exigida: Não. Requisitos especiais: Deve ser capaz de levantar/carregar 23 kg, quando necessário. Trabalho aos sábados e domingos, quando necessário. Teste antidrogas pós-contratação "&amp;"obrigatório para trabalhadores estrangeiros e nacionais em caso de suspeita de uso e após acidente. Verificação de antecedentes criminais pós-contratação obrigatória para trabalhadores estrangeiros e nacionais. O empregador poderá oferecer uma jornada de "&amp;"trabalho superior à estipulada, dependendo das condições climáticas, das necessidades da empresa e de outros fatores. Calor extremo, frio intenso, chuva ou seca podem afetar o horário de trabalho exato. Número de horas por semana: 40. Horário de trabalho "&amp;"(início/término): 7h00 - 15h30.")</f>
        <v>Paisagismo e manutenção de terrenos utilizando ferramentas manuais ou elétricas. Os trabalhadores devem ser capazes de executar uma variedade de tarefas sem supervisão direta, que podem incluir qualquer combinação das seguintes atividades: colocação de grama, corte de grama, poda, plantio, rega, fertilização, escavação, rastelagem, auxílio na instalação de sprinklers e instalação de blocos de concreto pré-moldados sem argamassa. Nível inicial; requer supervisão. Classificação da vaga: 37-3011.00 - Trabalhadores de Paisagismo e Manutenção de Terrenos. A classificação e descrição da vaga/setor incluem informações gerais sobre o cargo, de acordo com o ONET/OES e o Sistema de Classificação Industrial da América do Norte (NAICS). Consulte as Funções e a Ordem de Serviço para obter mais informações. Requisitos da vaga: Experiência exigida: Não. Requisitos especiais: Deve ser capaz de levantar/carregar 23 kg, quando necessário. Trabalho aos sábados e domingos, quando necessário. Teste antidrogas pós-contratação obrigatório para trabalhadores estrangeiros e nacionais em caso de suspeita de uso e após acidente. Verificação de antecedentes criminais pós-contratação obrigatória para trabalhadores estrangeiros e nacionais. O empregador poderá oferecer uma jornada de trabalho superior à estipulada, dependendo das condições climáticas, das necessidades da empresa e de outros fatores. Calor extremo, frio intenso, chuva ou seca podem afetar o horário de trabalho exato. Número de horas por semana: 40. Horário de trabalho (início/término): 7h00 - 15h30.</v>
      </c>
    </row>
    <row r="35" ht="20.25" customHeight="1">
      <c r="A35" s="8" t="s">
        <v>241</v>
      </c>
      <c r="B35" s="8" t="s">
        <v>242</v>
      </c>
      <c r="C35" s="8" t="s">
        <v>125</v>
      </c>
      <c r="D35" s="8" t="s">
        <v>87</v>
      </c>
      <c r="E35" s="9" t="s">
        <v>19</v>
      </c>
      <c r="F35" s="9" t="s">
        <v>20</v>
      </c>
      <c r="G35" s="9" t="s">
        <v>65</v>
      </c>
      <c r="H35" s="8" t="s">
        <v>243</v>
      </c>
      <c r="I35" s="8" t="s">
        <v>244</v>
      </c>
      <c r="J35" s="9">
        <v>18.07</v>
      </c>
      <c r="K35" s="9">
        <v>60.0</v>
      </c>
      <c r="L35" s="8" t="s">
        <v>129</v>
      </c>
      <c r="M35" s="8" t="s">
        <v>245</v>
      </c>
      <c r="N35" s="7" t="str">
        <f>IFERROR(__xludf.DUMMYFUNCTION("GOOGLETRANSLATE(L35, ""en"", ""pt"")"),"Trabalhador de paisagismo e manutenção de jardins")</f>
        <v>Trabalhador de paisagismo e manutenção de jardins</v>
      </c>
      <c r="O35" s="7" t="str">
        <f>IFERROR(__xludf.DUMMYFUNCTION("IF(M35="""","""",GOOGLETRANSLATE(M35,""en"",""pt""))"),"As funções incluem a instalação de árvores, arbustos ou flores durante o período de dormência, seguindo o padrão de design apropriado. Isso inclui descarregar materiais, cavar buracos para o sistema radicular, cobrir os buracos adequadamente e, às vezes, "&amp;"colocar grama em placas, plantar sementes de grama ou conectar a irrigação. Também envolve a remoção de folhas, plantio de sementes e palha, aeração do gramado, plantio de arbustos, escavação, rastelagem e instalação de blocos de concreto pré-moldados sem"&amp;" argamassa. Os trabalhadores podem coletar e remover lixo, regar gramados, árvores e plantas semeadas, além de podar árvores, arbustos ou sebes. Podem operar equipamentos motorizados e dirigir veículos até os locais dos clientes. As tarefas podem incluir "&amp;"colocação de grama em placas, corte de grama, rega de plantas e gramados, transplante de plantas, fertilização, escavação, rastelagem e instalação de aspersores. Os funcionários cavarão valas com no máximo 15 a 30 cm de profundidade e 15 a 30 cm de largur"&amp;"a com pás e ferramentas manuais. Essas valas são usadas para acomodar a tubulação utilizada na instalação de sistemas de irrigação. Toda a poda/aparamento será feita no solo. Os trabalhadores não realizarão nenhuma atividade de poda ou corte acima do níve"&amp;"l do solo. O trabalhador poderá transportar outros trabalhadores de e para os locais de trabalho ocasionalmente, porém esta não será sua principal função. Classificação da Função: 37-3011.00 - Trabalhadores de Paisagismo e Manutenção de Jardins. A classif"&amp;"icação e descrição da função/setor inclui informações gerais sobre o cargo, de acordo com o ONET/OES e o Sistema de Classificação Industrial da América do Norte (NAICS). Consulte as Funções e a Ordem de Serviço para obter mais informações. Requisitos da F"&amp;"unção: Experiência Necessária: Sim. Meses de Experiência Necessários: 3. Requisitos Especiais: Carteira de habilitação válida. Capacidade de levantar 34 kg. Movimentos repetitivos, empurrar/puxar com frequência, longas caminhadas, agachar-se frequentement"&amp;"e, exposição a temperaturas extremas. 3 meses de experiência em paisagismo. Exame toxicológico pós-admissão por conta do empregador. Número de Horas por Semana: 40. Horário de Trabalho (Início/Término): 7h às 16h.")</f>
        <v>As funções incluem a instalação de árvores, arbustos ou flores durante o período de dormência, seguindo o padrão de design apropriado. Isso inclui descarregar materiais, cavar buracos para o sistema radicular, cobrir os buracos adequadamente e, às vezes, colocar grama em placas, plantar sementes de grama ou conectar a irrigação. Também envolve a remoção de folhas, plantio de sementes e palha, aeração do gramado, plantio de arbustos, escavação, rastelagem e instalação de blocos de concreto pré-moldados sem argamassa. Os trabalhadores podem coletar e remover lixo, regar gramados, árvores e plantas semeadas, além de podar árvores, arbustos ou sebes. Podem operar equipamentos motorizados e dirigir veículos até os locais dos clientes. As tarefas podem incluir colocação de grama em placas, corte de grama, rega de plantas e gramados, transplante de plantas, fertilização, escavação, rastelagem e instalação de aspersores. Os funcionários cavarão valas com no máximo 15 a 30 cm de profundidade e 15 a 30 cm de largura com pás e ferramentas manuais. Essas valas são usadas para acomodar a tubulação utilizada na instalação de sistemas de irrigação. Toda a poda/aparamento será feita no solo. Os trabalhadores não realizarão nenhuma atividade de poda ou corte acima do nível do solo. O trabalhador poderá transportar outros trabalhadores de e para os locais de trabalho ocasionalmente, porém esta não será sua principal função. Classificação da Função: 37-3011.00 - Trabalhadores de Paisagismo e Manutenção de Jardins. A classificação e descrição da função/setor inclui informações gerais sobre o cargo, de acordo com o ONET/OES e o Sistema de Classificação Industrial da América do Norte (NAICS). Consulte as Funções e a Ordem de Serviço para obter mais informações. Requisitos da Função: Experiência Necessária: Sim. Meses de Experiência Necessários: 3. Requisitos Especiais: Carteira de habilitação válida. Capacidade de levantar 34 kg. Movimentos repetitivos, empurrar/puxar com frequência, longas caminhadas, agachar-se frequentemente, exposição a temperaturas extremas. 3 meses de experiência em paisagismo. Exame toxicológico pós-admissão por conta do empregador. Número de Horas por Semana: 40. Horário de Trabalho (Início/Término): 7h às 16h.</v>
      </c>
    </row>
    <row r="36" ht="20.25" customHeight="1">
      <c r="A36" s="3" t="s">
        <v>246</v>
      </c>
      <c r="B36" s="3" t="s">
        <v>247</v>
      </c>
      <c r="C36" s="3" t="s">
        <v>248</v>
      </c>
      <c r="D36" s="3" t="s">
        <v>249</v>
      </c>
      <c r="E36" s="4" t="s">
        <v>19</v>
      </c>
      <c r="F36" s="4" t="s">
        <v>20</v>
      </c>
      <c r="G36" s="4" t="s">
        <v>236</v>
      </c>
      <c r="H36" s="3" t="s">
        <v>250</v>
      </c>
      <c r="I36" s="3"/>
      <c r="J36" s="4">
        <v>19.22</v>
      </c>
      <c r="K36" s="4">
        <v>12.0</v>
      </c>
      <c r="L36" s="3" t="s">
        <v>59</v>
      </c>
      <c r="M36" s="3" t="s">
        <v>251</v>
      </c>
      <c r="N36" s="7" t="str">
        <f>IFERROR(__xludf.DUMMYFUNCTION("GOOGLETRANSLATE(L36, ""en"", ""pt"")"),"Trabalhador de paisagismo")</f>
        <v>Trabalhador de paisagismo</v>
      </c>
      <c r="O36" s="7" t="str">
        <f>IFERROR(__xludf.DUMMYFUNCTION("IF(M36="""","""",GOOGLETRANSLATE(M36,""en"",""pt""))"),"Paisagismo e manutenção de terrenos utilizando ferramentas manuais ou elétricas. Os trabalhadores geralmente executam uma variedade de tarefas, que podem incluir qualquer combinação das seguintes: colocação de grama, corte de grama, poda, plantio, rega, f"&amp;"ertilização, escavação, rastelamento, capina, cobertura morta e poda. Classificação da função: 37-3011.00 - Trabalhadores de Paisagismo e Manutenção de Terrenos. A classificação e descrição da função/setor incluem informações gerais sobre o cargo, de acor"&amp;"do com o ONET/OES e o Sistema de Classificação Industrial da América do Norte (NAICS). Consulte as Funções e a Ordem de Serviço para obter mais informações. Requisitos da função: Experiência exigida: Não. Requisitos especiais: Deve ser capaz de levantar/c"&amp;"arregar 23 kg, quando necessário. Trabalho aos sábados e domingos, quando necessário. Verificação de antecedentes criminais obrigatória para qualquer funcionário que dirija veículo da empresa (dirigir não é um requisito para todos os funcionários da funçã"&amp;"o). O empregador pode oferecer mais horas de trabalho do que as estipuladas, dependendo do clima, das necessidades da empresa e de outras condições. Calor extremo, frio, chuva ou seca podem afetar o horário de trabalho exato. Número de horas por semana: 4"&amp;"0 Horário de trabalho (início/término): 7h30 - 16h15")</f>
        <v>Paisagismo e manutenção de terrenos utilizando ferramentas manuais ou elétricas. Os trabalhadores geralmente executam uma variedade de tarefas, que podem incluir qualquer combinação das seguintes: colocação de grama, corte de grama, poda, plantio, rega, fertilização, escavação, rastelamento, capina, cobertura morta e poda. Classificação da função: 37-3011.00 - Trabalhadores de Paisagismo e Manutenção de Terrenos. A classificação e descrição da função/setor incluem informações gerais sobre o cargo, de acordo com o ONET/OES e o Sistema de Classificação Industrial da América do Norte (NAICS). Consulte as Funções e a Ordem de Serviço para obter mais informações. Requisitos da função: Experiência exigida: Não. Requisitos especiais: Deve ser capaz de levantar/carregar 23 kg, quando necessário. Trabalho aos sábados e domingos, quando necessário. Verificação de antecedentes criminais obrigatória para qualquer funcionário que dirija veículo da empresa (dirigir não é um requisito para todos os funcionários da função). O empregador pode oferecer mais horas de trabalho do que as estipuladas, dependendo do clima, das necessidades da empresa e de outras condições. Calor extremo, frio, chuva ou seca podem afetar o horário de trabalho exato. Número de horas por semana: 40 Horário de trabalho (início/término): 7h30 - 16h15</v>
      </c>
    </row>
    <row r="37" ht="20.25" customHeight="1">
      <c r="A37" s="8" t="s">
        <v>252</v>
      </c>
      <c r="B37" s="8" t="s">
        <v>253</v>
      </c>
      <c r="C37" s="8" t="s">
        <v>125</v>
      </c>
      <c r="D37" s="8" t="s">
        <v>254</v>
      </c>
      <c r="E37" s="9" t="s">
        <v>19</v>
      </c>
      <c r="F37" s="9" t="s">
        <v>20</v>
      </c>
      <c r="G37" s="9" t="s">
        <v>236</v>
      </c>
      <c r="H37" s="8" t="s">
        <v>255</v>
      </c>
      <c r="I37" s="8" t="s">
        <v>256</v>
      </c>
      <c r="J37" s="9">
        <v>18.54</v>
      </c>
      <c r="K37" s="9">
        <v>25.0</v>
      </c>
      <c r="L37" s="8" t="s">
        <v>59</v>
      </c>
      <c r="M37" s="8" t="s">
        <v>257</v>
      </c>
      <c r="N37" s="7" t="str">
        <f>IFERROR(__xludf.DUMMYFUNCTION("GOOGLETRANSLATE(L37, ""en"", ""pt"")"),"Trabalhador de paisagismo")</f>
        <v>Trabalhador de paisagismo</v>
      </c>
      <c r="O37" s="7" t="str">
        <f>IFERROR(__xludf.DUMMYFUNCTION("IF(M37="""","""",GOOGLETRANSLATE(M37,""en"",""pt""))"),"As funções incluem colocação de grama em rolo, corte de grama, poda de árvores, arbustos e plantas, plantio de plantas, árvores e arbustos, rega de plantas e gramados, transplante de plantas, fertilização, escavação, rastelagem, instalação de aspersores e"&amp;" instalação de blocos de concreto pré-moldados sem argamassa. Os trabalhadores podem coletar e remover lixo, operar equipamentos motorizados e dirigir veículos da empresa até os locais dos clientes. Todos os veículos a serem conduzidos são caminhonetes da"&amp;" empresa, com capacidade de Peso Bruto Total (PBT) inferior a 11.793 kg (26.000 lbs). Os equipamentos motorizados utilizados incluem cortadores de grama, roçadeiras e aparadores. Toda a poda será realizada no solo. Os trabalhadores não realizarão nenhuma "&amp;"atividade de poda acima do nível do solo. O trabalhador poderá transportar outros trabalhadores de e para os locais de trabalho ocasionalmente, porém essa não será sua principal função. Os trabalhadores podem dirigir caminhonetes e veículos leves similare"&amp;"s da empresa de e para os locais de trabalho dos clientes. Ocasionalmente, os trabalhadores podem transportar outros trabalhadores de e para os locais de trabalho. No entanto, o transporte de trabalhadores não é uma das principais atribuições do cargo. Os"&amp;" trabalhadores podem ocasionalmente transportar materiais de paisagismo, ferramentas e equipamentos de e para os locais de trabalho, incluindo cobertura vegetal, vasos de plantas, pás, ancinhos, cortadores de grama, sopradores e aparadores. Nenhum materia"&amp;"l perigoso será transportado pelos trabalhadores. Todos os veículos e equipamentos operados têm peso bruto total inferior a 26.000 libras (aproximadamente 11.793 kg), incluindo quaisquer reboques acoplados ou materiais transportados. Classificação do Carg"&amp;"o: 37-3011.00 - Trabalhadores de Paisagismo e Manutenção de Áreas Verdes. A classificação e descrição do cargo/setor inclui informações gerais sobre a posição, de acordo com o ONET/OES e o Sistema de Classificação Industrial da América do Norte (NAICS). C"&amp;"onsulte as Atribuições e a Ordem de Serviço para obter mais informações. Requisitos do Cargo Experiência Necessária: Sim Meses de Experiência Necessários: 3 Requisitos Especiais: Deve ser capaz de levantar 23 kg, caminhar bastante, exposição a temperatura"&amp;"s extremas, movimentos repetitivos, ficar sentado por longos períodos, empurrar e puxar com frequência, agachar-se frequentemente, carteira de habilitação obrigatória, 3 meses de experiência obrigatórios. Número de horas por semana: 40 Horário de trabalho"&amp;" (início/término): 7h00 - 16h00")</f>
        <v>As funções incluem colocação de grama em rolo, corte de grama, poda de árvores, arbustos e plantas, plantio de plantas, árvores e arbustos, rega de plantas e gramados, transplante de plantas, fertilização, escavação, rastelagem, instalação de aspersores e instalação de blocos de concreto pré-moldados sem argamassa. Os trabalhadores podem coletar e remover lixo, operar equipamentos motorizados e dirigir veículos da empresa até os locais dos clientes. Todos os veículos a serem conduzidos são caminhonetes da empresa, com capacidade de Peso Bruto Total (PBT) inferior a 11.793 kg (26.000 lbs). Os equipamentos motorizados utilizados incluem cortadores de grama, roçadeiras e aparadores. Toda a poda será realizada no solo. Os trabalhadores não realizarão nenhuma atividade de poda acima do nível do solo. O trabalhador poderá transportar outros trabalhadores de e para os locais de trabalho ocasionalmente, porém essa não será sua principal função. Os trabalhadores podem dirigir caminhonetes e veículos leves similares da empresa de e para os locais de trabalho dos clientes. Ocasionalmente, os trabalhadores podem transportar outros trabalhadores de e para os locais de trabalho. No entanto, o transporte de trabalhadores não é uma das principais atribuições do cargo. Os trabalhadores podem ocasionalmente transportar materiais de paisagismo, ferramentas e equipamentos de e para os locais de trabalho, incluindo cobertura vegetal, vasos de plantas, pás, ancinhos, cortadores de grama, sopradores e aparadores. Nenhum material perigoso será transportado pelos trabalhadores. Todos os veículos e equipamentos operados têm peso bruto total inferior a 26.000 libras (aproximadamente 11.793 kg), incluindo quaisquer reboques acoplados ou materiais transportados. Classificação do Cargo: 37-3011.00 - Trabalhadores de Paisagismo e Manutenção de Áreas Verdes. A classificação e descrição do cargo/setor inclui informações gerais sobre a posição, de acordo com o ONET/OES e o Sistema de Classificação Industrial da América do Norte (NAICS). Consulte as Atribuições e a Ordem de Serviço para obter mais informações. Requisitos do Cargo Experiência Necessária: Sim Meses de Experiência Necessários: 3 Requisitos Especiais: Deve ser capaz de levantar 23 kg, caminhar bastante, exposição a temperaturas extremas, movimentos repetitivos, ficar sentado por longos períodos, empurrar e puxar com frequência, agachar-se frequentemente, carteira de habilitação obrigatória, 3 meses de experiência obrigatórios. Número de horas por semana: 40 Horário de trabalho (início/término): 7h00 - 16h00</v>
      </c>
    </row>
    <row r="38" ht="20.25" customHeight="1">
      <c r="A38" s="3" t="s">
        <v>258</v>
      </c>
      <c r="B38" s="3" t="s">
        <v>259</v>
      </c>
      <c r="C38" s="3" t="s">
        <v>125</v>
      </c>
      <c r="D38" s="3" t="s">
        <v>18</v>
      </c>
      <c r="E38" s="4" t="s">
        <v>19</v>
      </c>
      <c r="F38" s="4" t="s">
        <v>20</v>
      </c>
      <c r="G38" s="4" t="s">
        <v>146</v>
      </c>
      <c r="H38" s="3" t="s">
        <v>260</v>
      </c>
      <c r="I38" s="3" t="s">
        <v>261</v>
      </c>
      <c r="J38" s="4">
        <v>20.1</v>
      </c>
      <c r="K38" s="4">
        <v>18.0</v>
      </c>
      <c r="L38" s="3" t="s">
        <v>262</v>
      </c>
      <c r="M38" s="3" t="s">
        <v>263</v>
      </c>
      <c r="N38" s="7" t="str">
        <f>IFERROR(__xludf.DUMMYFUNCTION("GOOGLETRANSLATE(L38, ""en"", ""pt"")"),"Operário da construção civil")</f>
        <v>Operário da construção civil</v>
      </c>
      <c r="O38" s="7" t="str">
        <f>IFERROR(__xludf.DUMMYFUNCTION("IF(M38="""","""",GOOGLETRANSLATE(M38,""en"",""pt""))"),"Executar tarefas que envolvam trabalho físico em canteiros de obras. Operar ferramentas manuais e elétricas de todos os tipos. Auxiliar na mistura, no despejo e na colocação de concreto (sem responsabilidades de acabamento) e executar tarefas relacionadas"&amp;" à construção, como limpeza do local de trabalho, auxílio a outros operários, escavação de valas e controle de tráfego. Auxiliar no posicionamento ou desmontagem de fôrmas para concretagem, utilizando serras, martelos, pregos ou parafusos. Auxiliar outros"&amp;" operários da construção civil executando tarefas de menor complexidade. Auxiliar outros operários na preparação do local de trabalho; coleta, carregamento, descarregamento e transporte de ferramentas, materiais e equipamentos; limpeza das áreas de trabal"&amp;"ho; e execução de tarefas manuais associadas a projetos de construção. Utilizar ferramentas manuais comuns e ferramentas elétricas básicas, incluindo pás, ancinhos, carrinhos de mão, vassouras, furadeiras, compactadores, níveis e instrumentos de medição. "&amp;"Os materiais manuseados podem incluir madeira, fôrmas de concreto, brita, areia, cimento, concreto, vergalhões, tubos e outros materiais de construção comuns. Classificação da Função: 47-2061.00 - Auxiliares de Construção Civil. A classificação e descriçã"&amp;"o da função/setor incluem informações gerais sobre o cargo, de acordo com o ONET/OES e o Sistema de Classificação Industrial da América do Norte (NAICS). Consulte as Funções e a Ordem de Serviço para obter mais informações. Requisitos da Função Experiênci"&amp;"a Necessária: Sim Meses de Experiência Necessários: 3 Requisitos Especiais: Capacidade de levantar 23 kg, realizar movimentos repetitivos, empurrar/puxar com frequência, caminhar bastante, agachar-se frequentemente e estar exposto a temperaturas extremas."&amp;" Experiência de 3 meses com concreto é necessária. Número de Horas por Semana: 40 Horário de Trabalho (Início/Término): 7h às 16h")</f>
        <v>Executar tarefas que envolvam trabalho físico em canteiros de obras. Operar ferramentas manuais e elétricas de todos os tipos. Auxiliar na mistura, no despejo e na colocação de concreto (sem responsabilidades de acabamento) e executar tarefas relacionadas à construção, como limpeza do local de trabalho, auxílio a outros operários, escavação de valas e controle de tráfego. Auxiliar no posicionamento ou desmontagem de fôrmas para concretagem, utilizando serras, martelos, pregos ou parafusos. Auxiliar outros operários da construção civil executando tarefas de menor complexidade. Auxiliar outros operários na preparação do local de trabalho; coleta, carregamento, descarregamento e transporte de ferramentas, materiais e equipamentos; limpeza das áreas de trabalho; e execução de tarefas manuais associadas a projetos de construção. Utilizar ferramentas manuais comuns e ferramentas elétricas básicas, incluindo pás, ancinhos, carrinhos de mão, vassouras, furadeiras, compactadores, níveis e instrumentos de medição. Os materiais manuseados podem incluir madeira, fôrmas de concreto, brita, areia, cimento, concreto, vergalhões, tubos e outros materiais de construção comuns. Classificação da Função: 47-2061.00 - Auxiliares de Construção Civil. A classificação e descrição da função/setor incluem informações gerais sobre o cargo, de acordo com o ONET/OES e o Sistema de Classificação Industrial da América do Norte (NAICS). Consulte as Funções e a Ordem de Serviço para obter mais informações. Requisitos da Função Experiência Necessária: Sim Meses de Experiência Necessários: 3 Requisitos Especiais: Capacidade de levantar 23 kg, realizar movimentos repetitivos, empurrar/puxar com frequência, caminhar bastante, agachar-se frequentemente e estar exposto a temperaturas extremas. Experiência de 3 meses com concreto é necessária. Número de Horas por Semana: 40 Horário de Trabalho (Início/Término): 7h às 16h</v>
      </c>
    </row>
    <row r="39" ht="20.25" customHeight="1">
      <c r="A39" s="8" t="s">
        <v>264</v>
      </c>
      <c r="B39" s="8" t="s">
        <v>265</v>
      </c>
      <c r="C39" s="8" t="s">
        <v>197</v>
      </c>
      <c r="D39" s="8" t="s">
        <v>55</v>
      </c>
      <c r="E39" s="9" t="s">
        <v>19</v>
      </c>
      <c r="F39" s="4" t="s">
        <v>20</v>
      </c>
      <c r="G39" s="4" t="s">
        <v>146</v>
      </c>
      <c r="H39" s="8" t="s">
        <v>266</v>
      </c>
      <c r="I39" s="8" t="s">
        <v>267</v>
      </c>
      <c r="J39" s="9">
        <v>20.05</v>
      </c>
      <c r="K39" s="9">
        <v>4.0</v>
      </c>
      <c r="L39" s="8" t="s">
        <v>121</v>
      </c>
      <c r="M39" s="11" t="s">
        <v>268</v>
      </c>
      <c r="N39" s="7" t="str">
        <f>IFERROR(__xludf.DUMMYFUNCTION("GOOGLETRANSLATE(L39, ""en"", ""pt"")"),"Trabalhador braçal")</f>
        <v>Trabalhador braçal</v>
      </c>
      <c r="O39" s="7" t="str">
        <f>IFERROR(__xludf.DUMMYFUNCTION("IF(M39="""","""",GOOGLETRANSLATE(M39,""en"",""pt""))"),"**Solicitação de Informações** “O trabalho é realizado nas instalações de fabricação de piscinas de fibra de vidro do empregador, no pátio de armazenamento, no depósito e nas áreas de preparação para instalação. Transporta materiais como areia, pedra, com"&amp;"ponentes de piscinas de fibra de vidro e outros materiais de construção usados ​​na fabricação e instalação de piscinas de fibra de vidro. Carrega tijolos, materiais para piscinas e outros suprimentos em paletes e caminhões para transporte. Limpa detritos"&amp;" no pátio e nas áreas de passagem usando pás, vassouras e ferramentas manuais semelhantes para manter as áreas de trabalho seguras e organizadas. Limpa as máquinas usadas na fabricação e manuseio de piscinas de fibra de vidro, removendo sujeira, poeira, r"&amp;"esíduos de fibra de vidro e outros detritos usando vassouras, escovas, panos, soluções de limpeza, mangueiras de ar e outras ferramentas básicas de limpeza para manter o equipamento limpo e em boas condições de funcionamento.” **Original** TRANSPORTA MATE"&amp;"RIAIS COMO AREIA E PEDRA, CARREGA TIJOLOS EM PALETES E CAMINHÕES PARA TRANSPORTE, LIMPA DETRITOS NO PÁTIO E ÁREAS DE PASSAGEM USANDO PÁS E VASSOURAS, LIMPA MÁQUINAS
Classificação da Função:
53-7062.00 - Operários e Movimentadores de Carga, Estoque e Mate"&amp;"riais
A classificação e descrição da função/setor inclui informações gerais sobre o cargo, de acordo com o ONET/OES e o Sistema de Classificação Industrial da América do Norte. Consulte as Funções e a Ordem de Serviço para obter mais informações.
Requisi"&amp;"tos da Função
Experiência Necessária: Não
Número de Horas por Semana:
40
Horário de Trabalho (Início/Término):
8h00 - 17h00")</f>
        <v>**Solicitação de Informações** “O trabalho é realizado nas instalações de fabricação de piscinas de fibra de vidro do empregador, no pátio de armazenamento, no depósito e nas áreas de preparação para instalação. Transporta materiais como areia, pedra, componentes de piscinas de fibra de vidro e outros materiais de construção usados ​​na fabricação e instalação de piscinas de fibra de vidro. Carrega tijolos, materiais para piscinas e outros suprimentos em paletes e caminhões para transporte. Limpa detritos no pátio e nas áreas de passagem usando pás, vassouras e ferramentas manuais semelhantes para manter as áreas de trabalho seguras e organizadas. Limpa as máquinas usadas na fabricação e manuseio de piscinas de fibra de vidro, removendo sujeira, poeira, resíduos de fibra de vidro e outros detritos usando vassouras, escovas, panos, soluções de limpeza, mangueiras de ar e outras ferramentas básicas de limpeza para manter o equipamento limpo e em boas condições de funcionamento.” **Original** TRANSPORTA MATERIAIS COMO AREIA E PEDRA, CARREGA TIJOLOS EM PALETES E CAMINHÕES PARA TRANSPORTE, LIMPA DETRITOS NO PÁTIO E ÁREAS DE PASSAGEM USANDO PÁS E VASSOURAS, LIMPA MÁQUINAS
Classificação da Função:
53-7062.00 - Operários e Movimentadores de Carga, Estoque e Materiais
A classificação e descrição da função/setor inclui informações gerais sobre o cargo, de acordo com o ONET/OES e o Sistema de Classificação Industrial da América do Norte. Consulte as Funções e a Ordem de Serviço para obter mais informações.
Requisitos da Função
Experiência Necessária: Não
Número de Horas por Semana:
40
Horário de Trabalho (Início/Término):
8h00 - 17h00</v>
      </c>
    </row>
    <row r="40" ht="20.25" customHeight="1">
      <c r="A40" s="3" t="s">
        <v>269</v>
      </c>
      <c r="B40" s="3" t="s">
        <v>270</v>
      </c>
      <c r="C40" s="3"/>
      <c r="D40" s="3" t="s">
        <v>271</v>
      </c>
      <c r="E40" s="4" t="s">
        <v>19</v>
      </c>
      <c r="F40" s="4" t="s">
        <v>20</v>
      </c>
      <c r="G40" s="4" t="s">
        <v>80</v>
      </c>
      <c r="H40" s="3" t="s">
        <v>272</v>
      </c>
      <c r="I40" s="3" t="s">
        <v>273</v>
      </c>
      <c r="J40" s="4">
        <v>17.66</v>
      </c>
      <c r="K40" s="4">
        <v>12.0</v>
      </c>
      <c r="L40" s="3" t="s">
        <v>274</v>
      </c>
      <c r="M40" s="3" t="s">
        <v>275</v>
      </c>
      <c r="N40" s="7" t="str">
        <f>IFERROR(__xludf.DUMMYFUNCTION("GOOGLETRANSLATE(L40, ""en"", ""pt"")"),"Serviços de limpeza para aluguéis de curta duração")</f>
        <v>Serviços de limpeza para aluguéis de curta duração</v>
      </c>
      <c r="O40" s="7" t="str">
        <f>IFERROR(__xludf.DUMMYFUNCTION("IF(M40="""","""",GOOGLETRANSLATE(M40,""en"",""pt""))"),"Limpeza diária de imóveis para aluguel de temporada. As tarefas específicas incluem a limpeza de: vasos sanitários, banheiras/chuveiros, pias, interruptores de luz, luminárias, exaustores, pisos, paredes, espelhos, embaixo/dentro de móveis/camas acessívei"&amp;"s, janelas acessíveis, portas, eletrodomésticos, bancadas, interior/exterior dos armários da cozinha, ligar/esvaziar a lava-louças, churrasqueiras externas e varrer os pátios externos. As tarefas também incluem lavar roupa de cama, arrumar camas e deixar "&amp;"toalhas extras para os hóspedes. Este é um trabalho fisicamente exigente. OBSERVAÇÃO: Esta vaga se enquadra mais na categoria de AUXILIARES DE LIMPEZA (Código SOC 37-2011.00), e NÃO em Empregadas Domésticas e Faxineiras. Esta é a mesma vaga para a qual so"&amp;"licitei (e consegui) trabalhadores durante a temporada de 1º de outubro de 2025 a 31 de julho de 2026. Utilizarei o número de registro H2B-REG-00023028, válido de 23 de julho de 2025 a 22 de julho de 2028. Classificação da função: 37-2012.00 - Empregadas "&amp;"Domésticas e Auxiliares de Limpeza. A classificação e descrição da função/setor incluem informações gerais sobre o cargo, conforme o ONET/OES e o Sistema de Classificação Industrial da América do Norte (NAICS). Consulte as atribuições e a ordem de serviço"&amp;" para obter mais informações. Requisitos da vaga: Experiência exigida: Sim. Meses de experiência exigidos: 3. Requisitos especiais: Os dias de trabalho podem incluir fins de semana e feriados. É necessário possuir carteira de habilitação válida e sem hist"&amp;"órico de infrações de trânsito. Número de horas por semana: 40. Horário de trabalho (início/término): 10h às 16h30.")</f>
        <v>Limpeza diária de imóveis para aluguel de temporada. As tarefas específicas incluem a limpeza de: vasos sanitários, banheiras/chuveiros, pias, interruptores de luz, luminárias, exaustores, pisos, paredes, espelhos, embaixo/dentro de móveis/camas acessíveis, janelas acessíveis, portas, eletrodomésticos, bancadas, interior/exterior dos armários da cozinha, ligar/esvaziar a lava-louças, churrasqueiras externas e varrer os pátios externos. As tarefas também incluem lavar roupa de cama, arrumar camas e deixar toalhas extras para os hóspedes. Este é um trabalho fisicamente exigente. OBSERVAÇÃO: Esta vaga se enquadra mais na categoria de AUXILIARES DE LIMPEZA (Código SOC 37-2011.00), e NÃO em Empregadas Domésticas e Faxineiras. Esta é a mesma vaga para a qual solicitei (e consegui) trabalhadores durante a temporada de 1º de outubro de 2025 a 31 de julho de 2026. Utilizarei o número de registro H2B-REG-00023028, válido de 23 de julho de 2025 a 22 de julho de 2028. Classificação da função: 37-2012.00 - Empregadas Domésticas e Auxiliares de Limpeza. A classificação e descrição da função/setor incluem informações gerais sobre o cargo, conforme o ONET/OES e o Sistema de Classificação Industrial da América do Norte (NAICS). Consulte as atribuições e a ordem de serviço para obter mais informações. Requisitos da vaga: Experiência exigida: Sim. Meses de experiência exigidos: 3. Requisitos especiais: Os dias de trabalho podem incluir fins de semana e feriados. É necessário possuir carteira de habilitação válida e sem histórico de infrações de trânsito. Número de horas por semana: 40. Horário de trabalho (início/término): 10h às 16h30.</v>
      </c>
    </row>
    <row r="41" ht="20.25" customHeight="1">
      <c r="A41" s="8" t="s">
        <v>276</v>
      </c>
      <c r="B41" s="8" t="s">
        <v>277</v>
      </c>
      <c r="C41" s="8" t="s">
        <v>125</v>
      </c>
      <c r="D41" s="8" t="s">
        <v>278</v>
      </c>
      <c r="E41" s="9" t="s">
        <v>19</v>
      </c>
      <c r="F41" s="9" t="s">
        <v>20</v>
      </c>
      <c r="G41" s="9" t="s">
        <v>146</v>
      </c>
      <c r="H41" s="8" t="s">
        <v>279</v>
      </c>
      <c r="I41" s="8" t="s">
        <v>280</v>
      </c>
      <c r="J41" s="9">
        <v>17.34</v>
      </c>
      <c r="K41" s="9">
        <v>5.0</v>
      </c>
      <c r="L41" s="8" t="s">
        <v>129</v>
      </c>
      <c r="M41" s="8" t="s">
        <v>281</v>
      </c>
      <c r="N41" s="7" t="str">
        <f>IFERROR(__xludf.DUMMYFUNCTION("GOOGLETRANSLATE(L41, ""en"", ""pt"")"),"Trabalhador de paisagismo e manutenção de jardins")</f>
        <v>Trabalhador de paisagismo e manutenção de jardins</v>
      </c>
      <c r="O41" s="7" t="str">
        <f>IFERROR(__xludf.DUMMYFUNCTION("IF(M41="""","""",GOOGLETRANSLATE(M41,""en"",""pt""))"),"As funções incluem o plantio de árvores, arbustos ou flores durante o período de dormência, seguindo o padrão de design apropriado. Isso inclui descarregar materiais, cavar buracos para o sistema radicular, cobrir os buracos adequadamente e, às vezes, col"&amp;"ocar grama em placas, semear grama ou conectar sistemas de irrigação. Também envolve a remoção de folhas, plantio de sementes e palha, aeração do gramado, plantio de arbustos e instalação de blocos de concreto pré-moldados sem argamassa. Os trabalhadores "&amp;"podem coletar e remover lixo, regar gramados, árvores e plantas semeadas, além de podar árvores, arbustos ou cercas vivas. As tarefas podem incluir a colocação de grama em placas, corte de grama, rega de plantas e gramados, transplante de plantas, fertili"&amp;"zação, escavação, rastelagem e instalação de aspersores. Os funcionários cavarão valas com no máximo 15 a 30 cm de profundidade e 15 a 30 cm de largura, utilizando pás e ferramentas manuais. Essas valas são usadas para acomodar a tubulação utilizada na in"&amp;"stalação de sistemas de irrigação. Toda a poda será realizada no solo. Os trabalhadores não realizarão nenhuma atividade de poda acima do nível do solo. Os funcionários podem operar equipamentos motorizados de jardinagem, incluindo cortadores de grama, ap"&amp;"aradores de borda, sopradores, roçadeiras, roçadeiras de jardim, tratores pequenos e equipamentos similares, além de dirigir veículos até os locais dos clientes. Os funcionários podem dirigir veículos da empresa, incluindo caminhonetes Ford F150, Ford F25"&amp;"0, Ford F350 e Ford F550, para ir e voltar dos locais de trabalho dos clientes. Ocasionalmente, os funcionários podem transportar outros trabalhadores para os locais de trabalho; no entanto, o transporte de trabalhadores não é uma função principal do carg"&amp;"o. Os funcionários também podem ocasionalmente transportar materiais, ferramentas e equipamentos de jardinagem para os locais de trabalho, incluindo cobertura morta, vasos de plantas, pás, ancinhos, cortadores de grama, sopradores e roçadeiras de jardim. "&amp;"Nenhum material perigoso será transportado pelos funcionários. Todos os veículos e equipamentos operados têm peso bruto total inferior a 26.000 libras (aproximadamente 11.800 kg), incluindo quaisquer reboques acoplados ou materiais transportados. Classifi"&amp;"cação da Função: 37-3011.00 - Trabalhadores de Paisagismo e Manutenção de Áreas Verdes. A classificação e descrição da função/setor inclui informações gerais sobre o cargo, conforme o ONET/OES e o Sistema de Classificação Industrial da América do Norte (N"&amp;"AICS). Consulte as Funções e a Ordem de Serviço para obter mais informações. Requisitos da Função Experiência Necessária: Sim Meses de Experiência Necessários: 3 Requisitos Especiais: Capacidade de levantar 34 kg, realizar movimentos repetitivos, empurrar"&amp;"/puxar objetos com frequência, caminhar bastante, agachar-se frequentemente e estar exposto a temperaturas extremas. Experiência de 3 meses em paisagismo é necessária. Número de Horas por Semana: 40 Horário de Trabalho (Início/Término): 7h às 16h")</f>
        <v>As funções incluem o plantio de árvores, arbustos ou flores durante o período de dormência, seguindo o padrão de design apropriado. Isso inclui descarregar materiais, cavar buracos para o sistema radicular, cobrir os buracos adequadamente e, às vezes, colocar grama em placas, semear grama ou conectar sistemas de irrigação. Também envolve a remoção de folhas, plantio de sementes e palha, aeração do gramado, plantio de arbustos e instalação de blocos de concreto pré-moldados sem argamassa. Os trabalhadores podem coletar e remover lixo, regar gramados, árvores e plantas semeadas, além de podar árvores, arbustos ou cercas vivas. As tarefas podem incluir a colocação de grama em placas, corte de grama, rega de plantas e gramados, transplante de plantas, fertilização, escavação, rastelagem e instalação de aspersores. Os funcionários cavarão valas com no máximo 15 a 30 cm de profundidade e 15 a 30 cm de largura, utilizando pás e ferramentas manuais. Essas valas são usadas para acomodar a tubulação utilizada na instalação de sistemas de irrigação. Toda a poda será realizada no solo. Os trabalhadores não realizarão nenhuma atividade de poda acima do nível do solo. Os funcionários podem operar equipamentos motorizados de jardinagem, incluindo cortadores de grama, aparadores de borda, sopradores, roçadeiras, roçadeiras de jardim, tratores pequenos e equipamentos similares, além de dirigir veículos até os locais dos clientes. Os funcionários podem dirigir veículos da empresa, incluindo caminhonetes Ford F150, Ford F250, Ford F350 e Ford F550, para ir e voltar dos locais de trabalho dos clientes. Ocasionalmente, os funcionários podem transportar outros trabalhadores para os locais de trabalho; no entanto, o transporte de trabalhadores não é uma função principal do cargo. Os funcionários também podem ocasionalmente transportar materiais, ferramentas e equipamentos de jardinagem para os locais de trabalho, incluindo cobertura morta, vasos de plantas, pás, ancinhos, cortadores de grama, sopradores e roçadeiras de jardim. Nenhum material perigoso será transportado pelos funcionários. Todos os veículos e equipamentos operados têm peso bruto total inferior a 26.000 libras (aproximadamente 11.800 kg), incluindo quaisquer reboques acoplados ou materiais transportados. Classificação da Função: 37-3011.00 - Trabalhadores de Paisagismo e Manutenção de Áreas Verdes. A classificação e descrição da função/setor inclui informações gerais sobre o cargo, conforme o ONET/OES e o Sistema de Classificação Industrial da América do Norte (NAICS). Consulte as Funções e a Ordem de Serviço para obter mais informações. Requisitos da Função Experiência Necessária: Sim Meses de Experiência Necessários: 3 Requisitos Especiais: Capacidade de levantar 34 kg, realizar movimentos repetitivos, empurrar/puxar objetos com frequência, caminhar bastante, agachar-se frequentemente e estar exposto a temperaturas extremas. Experiência de 3 meses em paisagismo é necessária. Número de Horas por Semana: 40 Horário de Trabalho (Início/Término): 7h às 16h</v>
      </c>
    </row>
    <row r="42" ht="20.25" customHeight="1">
      <c r="A42" s="3" t="s">
        <v>282</v>
      </c>
      <c r="B42" s="3" t="s">
        <v>283</v>
      </c>
      <c r="C42" s="3" t="s">
        <v>63</v>
      </c>
      <c r="D42" s="3" t="s">
        <v>284</v>
      </c>
      <c r="E42" s="4" t="s">
        <v>19</v>
      </c>
      <c r="F42" s="4" t="s">
        <v>20</v>
      </c>
      <c r="G42" s="4" t="s">
        <v>285</v>
      </c>
      <c r="H42" s="10" t="s">
        <v>286</v>
      </c>
      <c r="I42" s="3" t="s">
        <v>287</v>
      </c>
      <c r="J42" s="4">
        <v>16.01</v>
      </c>
      <c r="K42" s="4">
        <v>2.0</v>
      </c>
      <c r="L42" s="3" t="s">
        <v>288</v>
      </c>
      <c r="M42" s="3" t="s">
        <v>289</v>
      </c>
      <c r="N42" s="7" t="str">
        <f>IFERROR(__xludf.DUMMYFUNCTION("GOOGLETRANSLATE(L42, ""en"", ""pt"")"),"Especialista em Manutenção de Jardins")</f>
        <v>Especialista em Manutenção de Jardins</v>
      </c>
      <c r="O42" s="7" t="str">
        <f>IFERROR(__xludf.DUMMYFUNCTION("IF(M42="""","""",GOOGLETRANSLATE(M42,""en"",""pt""))"),"Paisagismo e manutenção de terrenos utilizando ferramentas manuais ou elétricas. Os trabalhadores devem ser capazes de executar uma variedade de tarefas sem supervisão direta, que podem incluir qualquer combinação das seguintes atividades: colocação de gr"&amp;"ama, corte de grama, poda, plantio, rega, fertilização, escavação e rastelagem. As funções podem incluir a limpeza de propriedades/terrenos residenciais/comerciais utilizando equipamentos de lavagem de alta pressão. Devem exercer julgamento independente; "&amp;"podem ser solicitados a demonstrar tarefas a outros funcionários, mas a função não inclui a supervisão de outros trabalhadores. Classificação da Função: 37-3011.00 - Trabalhadores de Paisagismo e Manutenção de Terrenos. A classificação e descrição da funç"&amp;"ão/setor incluem informações gerais sobre o cargo, de acordo com o ONET/OES e o Sistema de Classificação Industrial da América do Norte. Consulte as Funções e a Ordem de Serviço para obter mais informações. Requisitos da Função: Experiência Necessária: Si"&amp;"m. Meses de Experiência Necessários: 3. Requisitos Especiais: Deve ser capaz de levantar/carregar 23 kg, quando necessário. Trabalho aos sábados e domingos, quando necessário. Exames toxicológicos pós-contratação e pós-acidente são obrigatórios para traba"&amp;"lhadores estrangeiros e nacionais. O empregador pode oferecer uma jornada de trabalho superior à estipulada, dependendo das condições climáticas, das necessidades da empresa e de outros fatores. Calor extremo, frio intenso, chuva ou seca podem afetar o ho"&amp;"rário de trabalho exato. Número de horas por semana: 40. Horário de trabalho (início/término): 6h às 14h30.")</f>
        <v>Paisagismo e manutenção de terrenos utilizando ferramentas manuais ou elétricas. Os trabalhadores devem ser capazes de executar uma variedade de tarefas sem supervisão direta, que podem incluir qualquer combinação das seguintes atividades: colocação de grama, corte de grama, poda, plantio, rega, fertilização, escavação e rastelagem. As funções podem incluir a limpeza de propriedades/terrenos residenciais/comerciais utilizando equipamentos de lavagem de alta pressão. Devem exercer julgamento independente; podem ser solicitados a demonstrar tarefas a outros funcionários, mas a função não inclui a supervisão de outros trabalhadores. Classificação da Função: 37-3011.00 - Trabalhadores de Paisagismo e Manutenção de Terrenos. A classificação e descrição da função/setor incluem informações gerais sobre o cargo, de acordo com o ONET/OES e o Sistema de Classificação Industrial da América do Norte. Consulte as Funções e a Ordem de Serviço para obter mais informações. Requisitos da Função: Experiência Necessária: Sim. Meses de Experiência Necessários: 3. Requisitos Especiais: Deve ser capaz de levantar/carregar 23 kg, quando necessário. Trabalho aos sábados e domingos, quando necessário. Exames toxicológicos pós-contratação e pós-acidente são obrigatórios para trabalhadores estrangeiros e nacionais. O empregador pode oferecer uma jornada de trabalho superior à estipulada, dependendo das condições climáticas, das necessidades da empresa e de outros fatores. Calor extremo, frio intenso, chuva ou seca podem afetar o horário de trabalho exato. Número de horas por semana: 40. Horário de trabalho (início/término): 6h às 14h30.</v>
      </c>
    </row>
    <row r="43" ht="20.25" customHeight="1">
      <c r="A43" s="8" t="s">
        <v>290</v>
      </c>
      <c r="B43" s="8" t="s">
        <v>291</v>
      </c>
      <c r="C43" s="8" t="s">
        <v>197</v>
      </c>
      <c r="D43" s="8" t="s">
        <v>87</v>
      </c>
      <c r="E43" s="9" t="s">
        <v>44</v>
      </c>
      <c r="F43" s="9" t="s">
        <v>20</v>
      </c>
      <c r="G43" s="9" t="s">
        <v>292</v>
      </c>
      <c r="H43" s="8" t="s">
        <v>293</v>
      </c>
      <c r="I43" s="8" t="s">
        <v>294</v>
      </c>
      <c r="J43" s="9">
        <v>15.92</v>
      </c>
      <c r="K43" s="9">
        <v>10.0</v>
      </c>
      <c r="L43" s="8" t="s">
        <v>295</v>
      </c>
      <c r="M43" s="8" t="s">
        <v>296</v>
      </c>
      <c r="N43" s="7" t="str">
        <f>IFERROR(__xludf.DUMMYFUNCTION("GOOGLETRANSLATE(L43, ""en"", ""pt"")"),"Assistente Sazonal")</f>
        <v>Assistente Sazonal</v>
      </c>
      <c r="O43" s="7" t="str">
        <f>IFERROR(__xludf.DUMMYFUNCTION("IF(M43="""","""",GOOGLETRANSLATE(M43,""en"",""pt""))"),"ATENDER OS CLIENTES DA LOJA PREPARANDO REFEIÇÕES PARA VIAGEM. LIMPAR E ORGANIZAR AS ÁREAS DE SERVIÇO DE REFEIÇÕES E COZINHA. PREPARAR SANDUÍCHES E SALADAS PARA OS CLIENTES. Classificação da Vaga: 35-2021.00 - Auxiliares de Cozinha. A classificação e descr"&amp;"ição da vaga/setor inclui informações gerais sobre o cargo, de acordo com o ONET/OES e o Sistema de Classificação Industrial da América do Norte. Consulte as Funções e a Ordem de Serviço para obter mais informações. Requisitos da Vaga: Experiência Necessá"&amp;"ria: Não. Requisitos Especiais: DIAS VARIÁVEIS DE SEGUNDA A DOMINGO, TURNOS ROTATIVOS DAS 6H ÀS 21H. Número de Horas por Semana: 40. Horário de Trabalho (Início/Término): 6h às 21h.")</f>
        <v>ATENDER OS CLIENTES DA LOJA PREPARANDO REFEIÇÕES PARA VIAGEM. LIMPAR E ORGANIZAR AS ÁREAS DE SERVIÇO DE REFEIÇÕES E COZINHA. PREPARAR SANDUÍCHES E SALADAS PARA OS CLIENTES. Classificação da Vaga: 35-2021.00 - Auxiliares de Cozinha. A classificação e descrição da vaga/setor inclui informações gerais sobre o cargo, de acordo com o ONET/OES e o Sistema de Classificação Industrial da América do Norte. Consulte as Funções e a Ordem de Serviço para obter mais informações. Requisitos da Vaga: Experiência Necessária: Não. Requisitos Especiais: DIAS VARIÁVEIS DE SEGUNDA A DOMINGO, TURNOS ROTATIVOS DAS 6H ÀS 21H. Número de Horas por Semana: 40. Horário de Trabalho (Início/Término): 6h às 21h.</v>
      </c>
    </row>
    <row r="44" ht="20.25" customHeight="1">
      <c r="A44" s="3" t="s">
        <v>297</v>
      </c>
      <c r="B44" s="3" t="s">
        <v>298</v>
      </c>
      <c r="C44" s="3" t="s">
        <v>125</v>
      </c>
      <c r="D44" s="3" t="s">
        <v>299</v>
      </c>
      <c r="E44" s="4" t="s">
        <v>19</v>
      </c>
      <c r="F44" s="4" t="s">
        <v>20</v>
      </c>
      <c r="G44" s="4" t="s">
        <v>56</v>
      </c>
      <c r="H44" s="3" t="s">
        <v>300</v>
      </c>
      <c r="I44" s="3" t="s">
        <v>301</v>
      </c>
      <c r="J44" s="4">
        <v>26.57</v>
      </c>
      <c r="K44" s="4">
        <v>20.0</v>
      </c>
      <c r="L44" s="3" t="s">
        <v>302</v>
      </c>
      <c r="M44" s="3" t="s">
        <v>303</v>
      </c>
      <c r="N44" s="7" t="str">
        <f>IFERROR(__xludf.DUMMYFUNCTION("GOOGLETRANSLATE(L44, ""en"", ""pt"")"),"Operários da construção civil")</f>
        <v>Operários da construção civil</v>
      </c>
      <c r="O44" s="7" t="str">
        <f>IFERROR(__xludf.DUMMYFUNCTION("IF(M44="""","""",GOOGLETRANSLATE(M44,""en"",""pt""))"),"Executar tarefas que envolvam trabalho físico em canteiros de obras. Operar ferramentas manuais e elétricas básicas de todos os tipos, incluindo martelos pneumáticos, compactadores de solo, betoneiras, pequenos guindastes mecânicos, pás, ancinhos, carrinh"&amp;"os de mão, vassouras, furadeiras, compactadores, níveis e ferramentas de medição, equipamentos de topografia e medição, e uma variedade de outros equipamentos e instrumentos. Operar equipamentos básicos de medição e marcação, incluindo trenas, níveis a la"&amp;"ser, miras de nivelamento e linhas de prumo, para auxiliar supervisores e outros funcionários da construção civil na medição de distâncias, verificação de níveis e marcação de áreas de trabalho. Os materiais manuseados podem incluir madeira, fôrmas de con"&amp;"creto, cascalho, areia, cimento, concreto, vergalhões, tubos e outros materiais de construção comuns. Limpar e preparar locais, cavar valas, instalar escoras para sustentar as laterais das escavações, montar andaimes e limpar entulhos, detritos e outros r"&amp;"esíduos. Auxiliar outros operários na preparação de canteiros de obras; coletando, carregando, descarregando e transportando ferramentas, materiais e equipamentos; limpando áreas de trabalho; e executar tarefas de trabalho braçal associadas a projetos de "&amp;"construção. Classificação da função: 47-2061.00 - Operários da Construção Civil. A classificação e descrição da função/setor inclui informações gerais sobre o cargo, de acordo com o ONET/OES e o Sistema de Classificação Industrial da América do Norte (NAI"&amp;"CS). Consulte as Funções e a Ordem de Serviço para obter mais informações. Requisitos da vaga: Experiência exigida: Sim. Meses de experiência exigidos: 3. Requisitos especiais: Carteira de habilitação válida. Capacidade de levantar 45 kg. Movimentos repet"&amp;"itivos, empurrar/puxar com frequência, caminhar bastante, agachar-se frequentemente, exposição a temperaturas extremas. 3 meses de experiência em construção civil. Exame toxicológico pós-admissional por conta do empregador. Número de horas por semana: 40."&amp;" Horário de trabalho (início/término): 7h às 16h.")</f>
        <v>Executar tarefas que envolvam trabalho físico em canteiros de obras. Operar ferramentas manuais e elétricas básicas de todos os tipos, incluindo martelos pneumáticos, compactadores de solo, betoneiras, pequenos guindastes mecânicos, pás, ancinhos, carrinhos de mão, vassouras, furadeiras, compactadores, níveis e ferramentas de medição, equipamentos de topografia e medição, e uma variedade de outros equipamentos e instrumentos. Operar equipamentos básicos de medição e marcação, incluindo trenas, níveis a laser, miras de nivelamento e linhas de prumo, para auxiliar supervisores e outros funcionários da construção civil na medição de distâncias, verificação de níveis e marcação de áreas de trabalho. Os materiais manuseados podem incluir madeira, fôrmas de concreto, cascalho, areia, cimento, concreto, vergalhões, tubos e outros materiais de construção comuns. Limpar e preparar locais, cavar valas, instalar escoras para sustentar as laterais das escavações, montar andaimes e limpar entulhos, detritos e outros resíduos. Auxiliar outros operários na preparação de canteiros de obras; coletando, carregando, descarregando e transportando ferramentas, materiais e equipamentos; limpando áreas de trabalho; e executar tarefas de trabalho braçal associadas a projetos de construção. Classificação da função: 47-2061.00 - Operários da Construção Civil. A classificação e descrição da função/setor inclui informações gerais sobre o cargo, de acordo com o ONET/OES e o Sistema de Classificação Industrial da América do Norte (NAICS). Consulte as Funções e a Ordem de Serviço para obter mais informações. Requisitos da vaga: Experiência exigida: Sim. Meses de experiência exigidos: 3. Requisitos especiais: Carteira de habilitação válida. Capacidade de levantar 45 kg. Movimentos repetitivos, empurrar/puxar com frequência, caminhar bastante, agachar-se frequentemente, exposição a temperaturas extremas. 3 meses de experiência em construção civil. Exame toxicológico pós-admissional por conta do empregador. Número de horas por semana: 40. Horário de trabalho (início/término): 7h às 16h.</v>
      </c>
    </row>
    <row r="45" ht="20.25" customHeight="1">
      <c r="A45" s="8" t="s">
        <v>304</v>
      </c>
      <c r="B45" s="8" t="s">
        <v>305</v>
      </c>
      <c r="C45" s="8" t="s">
        <v>125</v>
      </c>
      <c r="D45" s="8" t="s">
        <v>306</v>
      </c>
      <c r="E45" s="9" t="s">
        <v>44</v>
      </c>
      <c r="F45" s="9" t="s">
        <v>20</v>
      </c>
      <c r="G45" s="9" t="s">
        <v>307</v>
      </c>
      <c r="H45" s="8" t="s">
        <v>308</v>
      </c>
      <c r="I45" s="8" t="s">
        <v>309</v>
      </c>
      <c r="J45" s="9">
        <v>18.27</v>
      </c>
      <c r="K45" s="9">
        <v>50.0</v>
      </c>
      <c r="L45" s="8" t="s">
        <v>129</v>
      </c>
      <c r="M45" s="8" t="s">
        <v>310</v>
      </c>
      <c r="N45" s="7" t="str">
        <f>IFERROR(__xludf.DUMMYFUNCTION("GOOGLETRANSLATE(L45, ""en"", ""pt"")"),"Trabalhador de paisagismo e manutenção de jardins")</f>
        <v>Trabalhador de paisagismo e manutenção de jardins</v>
      </c>
      <c r="O45" s="7" t="str">
        <f>IFERROR(__xludf.DUMMYFUNCTION("IF(M45="""","""",GOOGLETRANSLATE(M45,""en"",""pt""))"),"As funções incluem a instalação de árvores, arbustos ou flores durante o período de dormência, seguindo o padrão de design apropriado. Isso inclui descarregar materiais, cavar buracos para o sistema radicular, cobrir os buracos adequadamente e, às vezes, "&amp;"colocar grama em placas, plantar sementes de grama ou conectar a irrigação. Também envolve a remoção de folhas, plantio de sementes e palha, aeração do gramado, plantio de arbustos, escavação, rastelagem e instalação de blocos de concreto pré-moldados sem"&amp;" argamassa. Os trabalhadores podem coletar e remover lixo, regar gramados, árvores e plantas semeadas, além de podar árvores, arbustos ou sebes. Podem operar equipamentos motorizados e dirigir veículos até os locais dos clientes. As tarefas podem incluir "&amp;"colocação de grama em placas, corte de grama, rega de plantas e gramados, transplante de plantas, fertilização, escavação, rastelagem e instalação de aspersores. Os funcionários cavarão valas com no máximo 15 a 30 cm de profundidade e 15 a 30 cm de largur"&amp;"a com pás e ferramentas manuais. Essas valas são usadas para acomodar a tubulação utilizada na instalação de sistemas de irrigação. Toda a poda/aparamento será feita no solo. Os trabalhadores não realizarão nenhuma atividade de poda ou corte acima do níve"&amp;"l do solo. O trabalhador poderá transportar outros trabalhadores de e para os locais de trabalho ocasionalmente, porém essa não será sua principal função. Os trabalhadores poderão operar equipamentos motorizados de jardinagem, incluindo cortadores de gram"&amp;"a, aparadores de borda, sopradores, roçadeiras, roçadeiras de jardim, pequenos tratores e equipamentos similares. Os trabalhadores poderão dirigir caminhonetes e outros veículos leves da empresa para ir e voltar dos locais de trabalho dos clientes. Os tra"&amp;"balhadores poderão ocasionalmente transportar outros trabalhadores de e para os locais de trabalho; no entanto, o transporte de trabalhadores não é uma função principal. Os trabalhadores também poderão ocasionalmente transportar materiais, ferramentas e e"&amp;"quipamentos de jardinagem de e para os locais de trabalho, incluindo cobertura morta, plantas em vasos, pás, ancinhos, cortadores de grama, sopradores e roçadeiras de jardim. Nenhum material perigoso será transportado pelos trabalhadores. Todos os veículo"&amp;"s e equipamentos operados têm peso bruto total inferior a 26.000 libras (aproximadamente 11.800 kg), incluindo quaisquer reboques acoplados ou materiais transportados. Classificação da Função: 37-3011.00 - Trabalhadores de Paisagismo e Manutenção de Jardi"&amp;"ns. A classificação e descrição da função/setor inclui informações gerais sobre o cargo, de acordo com o ONET/OES e o Sistema de Classificação Industrial da América do Norte (NAICS). Consulte as Funções e a Ordem de Serviço para obter mais informações. Re"&amp;"quisitos da Função Experiência Necessária: Sim Meses de Experiência Necessários: 3 Requisitos Especiais: 3 meses de experiência em paisagismo, capacidade de levantar 23 kg, movimentos repetitivos, empurrar/puxar com frequência, caminhar bastante, agachar-"&amp;"se frequentemente e exposição a temperaturas extremas. De acordo com a legislação estadual de Michigan, Lei 338 de Licença Médica Remunerada, os empregadores são obrigados a fornecer licença médica remunerada aos seus funcionários. A quantidade de licença"&amp;" médica remunerada concedida pode variar dependendo do porte da empresa. Número de Horas por Semana: 40 Horário de Trabalho (Início/Término): 7h às 16h")</f>
        <v>As funções incluem a instalação de árvores, arbustos ou flores durante o período de dormência, seguindo o padrão de design apropriado. Isso inclui descarregar materiais, cavar buracos para o sistema radicular, cobrir os buracos adequadamente e, às vezes, colocar grama em placas, plantar sementes de grama ou conectar a irrigação. Também envolve a remoção de folhas, plantio de sementes e palha, aeração do gramado, plantio de arbustos, escavação, rastelagem e instalação de blocos de concreto pré-moldados sem argamassa. Os trabalhadores podem coletar e remover lixo, regar gramados, árvores e plantas semeadas, além de podar árvores, arbustos ou sebes. Podem operar equipamentos motorizados e dirigir veículos até os locais dos clientes. As tarefas podem incluir colocação de grama em placas, corte de grama, rega de plantas e gramados, transplante de plantas, fertilização, escavação, rastelagem e instalação de aspersores. Os funcionários cavarão valas com no máximo 15 a 30 cm de profundidade e 15 a 30 cm de largura com pás e ferramentas manuais. Essas valas são usadas para acomodar a tubulação utilizada na instalação de sistemas de irrigação. Toda a poda/aparamento será feita no solo. Os trabalhadores não realizarão nenhuma atividade de poda ou corte acima do nível do solo. O trabalhador poderá transportar outros trabalhadores de e para os locais de trabalho ocasionalmente, porém essa não será sua principal função. Os trabalhadores poderão operar equipamentos motorizados de jardinagem, incluindo cortadores de grama, aparadores de borda, sopradores, roçadeiras, roçadeiras de jardim, pequenos tratores e equipamentos similares. Os trabalhadores poderão dirigir caminhonetes e outros veículos leves da empresa para ir e voltar dos locais de trabalho dos clientes. Os trabalhadores poderão ocasionalmente transportar outros trabalhadores de e para os locais de trabalho; no entanto, o transporte de trabalhadores não é uma função principal. Os trabalhadores também poderão ocasionalmente transportar materiais, ferramentas e equipamentos de jardinagem de e para os locais de trabalho, incluindo cobertura morta, plantas em vasos, pás, ancinhos, cortadores de grama, sopradores e roçadeiras de jardim. Nenhum material perigoso será transportado pelos trabalhadores. Todos os veículos e equipamentos operados têm peso bruto total inferior a 26.000 libras (aproximadamente 11.800 kg), incluindo quaisquer reboques acoplados ou materiais transportados. Classificação da Função: 37-3011.00 - Trabalhadores de Paisagismo e Manutenção de Jardins. A classificação e descrição da função/setor inclui informações gerais sobre o cargo, de acordo com o ONET/OES e o Sistema de Classificação Industrial da América do Norte (NAICS). Consulte as Funções e a Ordem de Serviço para obter mais informações. Requisitos da Função Experiência Necessária: Sim Meses de Experiência Necessários: 3 Requisitos Especiais: 3 meses de experiência em paisagismo, capacidade de levantar 23 kg, movimentos repetitivos, empurrar/puxar com frequência, caminhar bastante, agachar-se frequentemente e exposição a temperaturas extremas. De acordo com a legislação estadual de Michigan, Lei 338 de Licença Médica Remunerada, os empregadores são obrigados a fornecer licença médica remunerada aos seus funcionários. A quantidade de licença médica remunerada concedida pode variar dependendo do porte da empresa. Número de Horas por Semana: 40 Horário de Trabalho (Início/Término): 7h às 16h</v>
      </c>
    </row>
    <row r="46" ht="20.25" customHeight="1">
      <c r="A46" s="3" t="s">
        <v>311</v>
      </c>
      <c r="B46" s="3" t="s">
        <v>312</v>
      </c>
      <c r="C46" s="3" t="s">
        <v>125</v>
      </c>
      <c r="D46" s="3" t="s">
        <v>306</v>
      </c>
      <c r="E46" s="4" t="s">
        <v>19</v>
      </c>
      <c r="F46" s="4" t="s">
        <v>20</v>
      </c>
      <c r="G46" s="4" t="s">
        <v>313</v>
      </c>
      <c r="H46" s="3" t="s">
        <v>314</v>
      </c>
      <c r="I46" s="3" t="s">
        <v>315</v>
      </c>
      <c r="J46" s="4">
        <v>26.26</v>
      </c>
      <c r="K46" s="4">
        <v>6.0</v>
      </c>
      <c r="L46" s="3" t="s">
        <v>262</v>
      </c>
      <c r="M46" s="3" t="s">
        <v>316</v>
      </c>
      <c r="N46" s="7" t="str">
        <f>IFERROR(__xludf.DUMMYFUNCTION("GOOGLETRANSLATE(L46, ""en"", ""pt"")"),"Operário da construção civil")</f>
        <v>Operário da construção civil</v>
      </c>
      <c r="O46" s="7" t="str">
        <f>IFERROR(__xludf.DUMMYFUNCTION("IF(M46="""","""",GOOGLETRANSLATE(M46,""en"",""pt""))"),"Executar tarefas que envolvam trabalho físico em canteiros de obras. Operar ferramentas manuais e elétricas de todos os tipos: martelos pneumáticos, compactadores de solo, betoneiras, pequenos guindastes mecânicos, equipamentos de topografia e medição, e "&amp;"uma variedade de outros equipamentos e instrumentos. Limpar e preparar locais, cavar valas, descarregar fôrmas de concreto do caminhão e auxiliar na instalação nos locais, auxiliar na remoção de fôrmas usando um martelo, carregar as fôrmas de volta no cam"&amp;"inhão, instalar escoras para sustentar as laterais das escavações, montar andaimes e limpar entulhos, detritos e outros materiais residuais. Auxiliar outros trabalhadores especializados. Manter o local de trabalho limpo, recolhendo e limpando todas as fer"&amp;"ramentas e equipamentos utilizados diariamente. Outras tarefas conforme designadas pelo supervisor. Seguir todas as normas e procedimentos de segurança e ser capaz de trabalhar de forma independente e em equipe. Auxiliar outros trabalhadores especializado"&amp;"s na preparação dos locais de trabalho; coletando, carregando, descarregando e transportando ferramentas, materiais e equipamentos; limpando áreas de trabalho; e executando tarefas manuais associadas a projetos de construção. Os trabalhadores podem usar f"&amp;"erramentas manuais comuns e ferramentas elétricas básicas, incluindo pás, ancinhos, carrinhos de mão, vassouras, furadeiras, compactadores, níveis e instrumentos de medição. Os materiais manuseados podem incluir madeira, fôrmas de concreto, cascalho, arei"&amp;"a, cimento, concreto, vergalhões, tubos e outros materiais de construção comuns. Os trabalhadores podem operar equipamentos básicos de medição e marcação, incluindo trenas, níveis a laser, miras de nivelamento e linhas de prumo, para auxiliar supervisores"&amp;" e outros funcionários da construção civil na medição de distâncias, verificação de níveis e marcação de áreas de trabalho. Classificação da função: 47-2061.00 - Auxiliares de Construção. A classificação e descrição da função/setor inclui informações gera"&amp;"is sobre o cargo, de acordo com o ONET/OES e o Sistema de Classificação Industrial da América do Norte (NAICS). Consulte as Funções e a Ordem de Serviço para obter mais informações. Requisitos da função: Experiência necessária: Não. Requisitos especiais: "&amp;"Deve ser capaz de levantar 23 kg, realizar movimentos repetitivos, empurrar/puxar com frequência, caminhar bastante, agachar-se frequentemente e estar exposto a temperaturas extremas. De acordo com a legislação estadual de Michigan, a Lei 338 sobre Licenç"&amp;"a Médica Remunerada (Earned Sick Time Act 338), os empregadores são obrigados a conceder licença médica remunerada aos seus funcionários. A quantidade de dias de licença médica remunerada pode variar dependendo do porte da empresa. Número de horas por sem"&amp;"ana: 40. Horário de trabalho (início/término): 7h às 16h.")</f>
        <v>Executar tarefas que envolvam trabalho físico em canteiros de obras. Operar ferramentas manuais e elétricas de todos os tipos: martelos pneumáticos, compactadores de solo, betoneiras, pequenos guindastes mecânicos, equipamentos de topografia e medição, e uma variedade de outros equipamentos e instrumentos. Limpar e preparar locais, cavar valas, descarregar fôrmas de concreto do caminhão e auxiliar na instalação nos locais, auxiliar na remoção de fôrmas usando um martelo, carregar as fôrmas de volta no caminhão, instalar escoras para sustentar as laterais das escavações, montar andaimes e limpar entulhos, detritos e outros materiais residuais. Auxiliar outros trabalhadores especializados. Manter o local de trabalho limpo, recolhendo e limpando todas as ferramentas e equipamentos utilizados diariamente. Outras tarefas conforme designadas pelo supervisor. Seguir todas as normas e procedimentos de segurança e ser capaz de trabalhar de forma independente e em equipe. Auxiliar outros trabalhadores especializados na preparação dos locais de trabalho; coletando, carregando, descarregando e transportando ferramentas, materiais e equipamentos; limpando áreas de trabalho; e executando tarefas manuais associadas a projetos de construção. Os trabalhadores podem usar ferramentas manuais comuns e ferramentas elétricas básicas, incluindo pás, ancinhos, carrinhos de mão, vassouras, furadeiras, compactadores, níveis e instrumentos de medição. Os materiais manuseados podem incluir madeira, fôrmas de concreto, cascalho, areia, cimento, concreto, vergalhões, tubos e outros materiais de construção comuns. Os trabalhadores podem operar equipamentos básicos de medição e marcação, incluindo trenas, níveis a laser, miras de nivelamento e linhas de prumo, para auxiliar supervisores e outros funcionários da construção civil na medição de distâncias, verificação de níveis e marcação de áreas de trabalho. Classificação da função: 47-2061.00 - Auxiliares de Construção. A classificação e descrição da função/setor inclui informações gerais sobre o cargo, de acordo com o ONET/OES e o Sistema de Classificação Industrial da América do Norte (NAICS). Consulte as Funções e a Ordem de Serviço para obter mais informações. Requisitos da função: Experiência necessária: Não. Requisitos especiais: Deve ser capaz de levantar 23 kg, realizar movimentos repetitivos, empurrar/puxar com frequência, caminhar bastante, agachar-se frequentemente e estar exposto a temperaturas extremas. De acordo com a legislação estadual de Michigan, a Lei 338 sobre Licença Médica Remunerada (Earned Sick Time Act 338), os empregadores são obrigados a conceder licença médica remunerada aos seus funcionários. A quantidade de dias de licença médica remunerada pode variar dependendo do porte da empresa. Número de horas por semana: 40. Horário de trabalho (início/término): 7h às 16h.</v>
      </c>
    </row>
    <row r="47" ht="20.25" customHeight="1">
      <c r="A47" s="8" t="s">
        <v>317</v>
      </c>
      <c r="B47" s="8" t="s">
        <v>318</v>
      </c>
      <c r="C47" s="8" t="s">
        <v>93</v>
      </c>
      <c r="D47" s="8" t="s">
        <v>109</v>
      </c>
      <c r="E47" s="9" t="s">
        <v>44</v>
      </c>
      <c r="F47" s="9" t="s">
        <v>20</v>
      </c>
      <c r="G47" s="9" t="s">
        <v>56</v>
      </c>
      <c r="H47" s="12" t="s">
        <v>319</v>
      </c>
      <c r="I47" s="8" t="s">
        <v>320</v>
      </c>
      <c r="J47" s="9">
        <v>18.69</v>
      </c>
      <c r="K47" s="9">
        <v>20.0</v>
      </c>
      <c r="L47" s="8" t="s">
        <v>321</v>
      </c>
      <c r="M47" s="8" t="s">
        <v>322</v>
      </c>
      <c r="N47" s="7" t="str">
        <f>IFERROR(__xludf.DUMMYFUNCTION("GOOGLETRANSLATE(L47, ""en"", ""pt"")"),"Trabalhadores de paisagismo")</f>
        <v>Trabalhadores de paisagismo</v>
      </c>
      <c r="O47" s="7" t="str">
        <f>IFERROR(__xludf.DUMMYFUNCTION("IF(M47="""","""",GOOGLETRANSLATE(M47,""en"",""pt""))"),"Paisagismo e manutenção de terrenos utilizando ferramentas manuais ou elétricas. Os trabalhadores geralmente executam uma variedade de tarefas, que podem incluir qualquer combinação das seguintes: colocar grama, cortar a grama, podar, plantar, regar, fert"&amp;"ilizar, cavar e rastelar. Classificação da função: 37-3011.00 - Trabalhadores de Paisagismo e Manutenção de Terrenos. A classificação e descrição da função/setor inclui informações gerais sobre o cargo, de acordo com o ONET/OES e o Sistema de Classificaçã"&amp;"o Industrial da América do Norte (NAICS). Consulte as Funções e a Ordem de Serviço para obter mais informações. Requisitos da vaga: Experiência exigida: Sim. Meses de experiência exigidos: 3. Requisitos especiais: Requer três meses de experiência prévia e"&amp;"m paisagismo. Deve ser capaz de levantar/carregar 23 kg, quando necessário. Trabalho aos sábados e domingos, quando necessário. Testes aleatórios de drogas após a contratação e em caso de suspeita de uso são exigidos para trabalhadores estrangeiros e naci"&amp;"onais. Verificação de antecedentes criminais após a contratação é exigida para trabalhadores estrangeiros e nacionais. O empregador pode oferecer mais horas de trabalho do que as estipuladas, dependendo do clima, das necessidades da empresa e de outras co"&amp;"ndições. Calor extremo, frio, chuva ou seca podem afetar o horário de trabalho exato. Número de horas por semana: 40 Horário de trabalho (início/término): 7h00 - 15h30")</f>
        <v>Paisagismo e manutenção de terrenos utilizando ferramentas manuais ou elétricas. Os trabalhadores geralmente executam uma variedade de tarefas, que podem incluir qualquer combinação das seguintes: colocar grama, cortar a grama, podar, plantar, regar, fertilizar, cavar e rastelar. Classificação da função: 37-3011.00 - Trabalhadores de Paisagismo e Manutenção de Terrenos. A classificação e descrição da função/setor inclui informações gerais sobre o cargo, de acordo com o ONET/OES e o Sistema de Classificação Industrial da América do Norte (NAICS). Consulte as Funções e a Ordem de Serviço para obter mais informações. Requisitos da vaga: Experiência exigida: Sim. Meses de experiência exigidos: 3. Requisitos especiais: Requer três meses de experiência prévia em paisagismo. Deve ser capaz de levantar/carregar 23 kg, quando necessário. Trabalho aos sábados e domingos, quando necessário. Testes aleatórios de drogas após a contratação e em caso de suspeita de uso são exigidos para trabalhadores estrangeiros e nacionais. Verificação de antecedentes criminais após a contratação é exigida para trabalhadores estrangeiros e nacionais. O empregador pode oferecer mais horas de trabalho do que as estipuladas, dependendo do clima, das necessidades da empresa e de outras condições. Calor extremo, frio, chuva ou seca podem afetar o horário de trabalho exato. Número de horas por semana: 40 Horário de trabalho (início/término): 7h00 - 15h30</v>
      </c>
    </row>
    <row r="48" ht="20.25" customHeight="1">
      <c r="A48" s="3" t="s">
        <v>323</v>
      </c>
      <c r="B48" s="3" t="s">
        <v>324</v>
      </c>
      <c r="C48" s="3" t="s">
        <v>325</v>
      </c>
      <c r="D48" s="3" t="s">
        <v>299</v>
      </c>
      <c r="E48" s="4" t="s">
        <v>19</v>
      </c>
      <c r="F48" s="4" t="s">
        <v>20</v>
      </c>
      <c r="G48" s="4" t="s">
        <v>212</v>
      </c>
      <c r="H48" s="3" t="s">
        <v>326</v>
      </c>
      <c r="I48" s="3" t="s">
        <v>327</v>
      </c>
      <c r="J48" s="4">
        <v>18.44</v>
      </c>
      <c r="K48" s="4">
        <v>6.0</v>
      </c>
      <c r="L48" s="3" t="s">
        <v>328</v>
      </c>
      <c r="M48" s="3" t="s">
        <v>329</v>
      </c>
      <c r="N48" s="7" t="str">
        <f>IFERROR(__xludf.DUMMYFUNCTION("GOOGLETRANSLATE(L48, ""en"", ""pt"")"),"Aparador de Carne (Suporte sazonal para a temporada de caça de animais selvagens do Departamento de Recursos Naturais de Minnesota)")</f>
        <v>Aparador de Carne (Suporte sazonal para a temporada de caça de animais selvagens do Departamento de Recursos Naturais de Minnesota)</v>
      </c>
      <c r="O48" s="7" t="str">
        <f>IFERROR(__xludf.DUMMYFUNCTION("IF(M48="""","""",GOOGLETRANSLATE(M48,""en"",""pt""))"),"Utilize ferramentas manuais para realizar o corte e o aparo rotineiros de carnes e aves. A Ulen Locker presta serviços durante a temporada de caça de animais selvagens do Departamento de Recursos Naturais de Minnesota (MN DNR), disponível em https://www.d"&amp;"nr.state.mn.us/hunting/seasons.html. Algumas datas anteriores incluem: arco e flecha, de 18 de setembro a 31 de dezembro; arma de fogo, de 6 a 28 de novembro; arma de antecarga, de 27 de novembro a 12 de dezembro; manejo de cervos na região metropolitana,"&amp;" de 6 a 28 de novembro; caça para jovens, de 21 a 24 de outubro; caça antecipada de cervos sem chifres, de 21 a 24 de outubro. Outras datas da temporada estão disponíveis em http://www.huntingseasonhq.com/minnesota-hunting-seasons/. Os serviços para o aba"&amp;"te de animais selvagens são necessários de 1º de outubro a 1º de junho. Após o recebimento da carcaça/aparamento da caça, o processo de aparo e congelamento ocorre devido ao grande volume de animais (ou seja, a caça chega muito rápido para ser processada "&amp;"imediatamente). Para processar a caça de animais selvagens durante o pico da temporada, os cortes são retirados do congelador e levam até junho para serem totalmente processados. A ocupação não é permanente, pois os empregadores precisam atender à tempora"&amp;"da de caça designada pelo Departamento de Recursos Naturais de Minnesota (MN DNR). Ao mesmo tempo em que atendem à temporada de caça designada pelo MN DNR, também prestam serviços regulares de carne bovina e suína durante todo o ano. Classificação da vaga"&amp;": 51-3022.00 - Cortadores e Aparadores de Carne, Aves e Peixes. A classificação e descrição da vaga/setor incluem informações gerais sobre o cargo, de acordo com o ONET/OES e o Sistema de Classificação Industrial da América do Norte (NAICS). Consulte as F"&amp;"unções e a Ordem de Serviço para obter mais informações. Requisitos da vaga: Experiência exigida: Não. Requisitos especiais: NÃO HÁ REQUISITOS MÍNIMOS DE EDUCAÇÃO, TREINAMENTO OU EXPERIÊNCIA PARA A VAGA. É NECESSÁRIO TER PELO MENOS 18 ANOS DE IDADE. É NEC"&amp;"ESSÁRIO SER CAPAZ DE SEGUIR INSTRUÇÕES ESCRITAS E VERBAIS DO SUPERVISOR. É necessário ser capaz de realizar manobras físicas básicas, algumas das quais são repetitivas, incluindo permanecer em pé por longos períodos. Levantar até 14 kg (30 libras) consist"&amp;"entemente e até 34 kg (75 libras) ocasionalmente. Número de horas por semana: 40. Horário de trabalho (início/término): 8h às 17h.")</f>
        <v>Utilize ferramentas manuais para realizar o corte e o aparo rotineiros de carnes e aves. A Ulen Locker presta serviços durante a temporada de caça de animais selvagens do Departamento de Recursos Naturais de Minnesota (MN DNR), disponível em https://www.dnr.state.mn.us/hunting/seasons.html. Algumas datas anteriores incluem: arco e flecha, de 18 de setembro a 31 de dezembro; arma de fogo, de 6 a 28 de novembro; arma de antecarga, de 27 de novembro a 12 de dezembro; manejo de cervos na região metropolitana, de 6 a 28 de novembro; caça para jovens, de 21 a 24 de outubro; caça antecipada de cervos sem chifres, de 21 a 24 de outubro. Outras datas da temporada estão disponíveis em http://www.huntingseasonhq.com/minnesota-hunting-seasons/. Os serviços para o abate de animais selvagens são necessários de 1º de outubro a 1º de junho. Após o recebimento da carcaça/aparamento da caça, o processo de aparo e congelamento ocorre devido ao grande volume de animais (ou seja, a caça chega muito rápido para ser processada imediatamente). Para processar a caça de animais selvagens durante o pico da temporada, os cortes são retirados do congelador e levam até junho para serem totalmente processados. A ocupação não é permanente, pois os empregadores precisam atender à temporada de caça designada pelo Departamento de Recursos Naturais de Minnesota (MN DNR). Ao mesmo tempo em que atendem à temporada de caça designada pelo MN DNR, também prestam serviços regulares de carne bovina e suína durante todo o ano. Classificação da vaga: 51-3022.00 - Cortadores e Aparadores de Carne, Aves e Peixes. A classificação e descrição da vaga/setor incluem informações gerais sobre o cargo, de acordo com o ONET/OES e o Sistema de Classificação Industrial da América do Norte (NAICS). Consulte as Funções e a Ordem de Serviço para obter mais informações. Requisitos da vaga: Experiência exigida: Não. Requisitos especiais: NÃO HÁ REQUISITOS MÍNIMOS DE EDUCAÇÃO, TREINAMENTO OU EXPERIÊNCIA PARA A VAGA. É NECESSÁRIO TER PELO MENOS 18 ANOS DE IDADE. É NECESSÁRIO SER CAPAZ DE SEGUIR INSTRUÇÕES ESCRITAS E VERBAIS DO SUPERVISOR. É necessário ser capaz de realizar manobras físicas básicas, algumas das quais são repetitivas, incluindo permanecer em pé por longos períodos. Levantar até 14 kg (30 libras) consistentemente e até 34 kg (75 libras) ocasionalmente. Número de horas por semana: 40. Horário de trabalho (início/término): 8h às 17h.</v>
      </c>
    </row>
    <row r="49" ht="20.25" customHeight="1">
      <c r="A49" s="8" t="s">
        <v>330</v>
      </c>
      <c r="B49" s="8" t="s">
        <v>331</v>
      </c>
      <c r="C49" s="8" t="s">
        <v>169</v>
      </c>
      <c r="D49" s="8" t="s">
        <v>140</v>
      </c>
      <c r="E49" s="9" t="s">
        <v>19</v>
      </c>
      <c r="F49" s="9" t="s">
        <v>20</v>
      </c>
      <c r="G49" s="9" t="s">
        <v>155</v>
      </c>
      <c r="H49" s="8" t="s">
        <v>332</v>
      </c>
      <c r="I49" s="8" t="s">
        <v>333</v>
      </c>
      <c r="J49" s="9">
        <v>18.22</v>
      </c>
      <c r="K49" s="9">
        <v>25.0</v>
      </c>
      <c r="L49" s="8" t="s">
        <v>334</v>
      </c>
      <c r="M49" s="8" t="s">
        <v>335</v>
      </c>
      <c r="N49" s="7" t="str">
        <f>IFERROR(__xludf.DUMMYFUNCTION("GOOGLETRANSLATE(L49, ""en"", ""pt"")"),"Trabalhadores Florestais")</f>
        <v>Trabalhadores Florestais</v>
      </c>
      <c r="O49" s="7" t="str">
        <f>IFERROR(__xludf.DUMMYFUNCTION("IF(M49="""","""",GOOGLETRANSLATE(M49,""en"",""pt""))"),"Trabalho manual itinerante de plantio manual de mudas de árvores para reflorestamento e manutenção de áreas florestais. Plantar mudas de árvores em um padrão específico usando pá, enxada, plantador ou plantador de mudas. Transportar as árvores em sacos pr"&amp;"óprios para mudas. Cavar buracos em intervalos predeterminados e inserir as mudas. Compactar o solo ao redor da planta com o pé e a ferramenta de plantio. Selecionar o local ideal para o plantio, considerando o espaçamento, o tipo de solo e a necessidade "&amp;"de sombra. Solo exposto. Essas atividades envolvem a propagação, a proteção e o manejo de áreas florestais. Trabalho manual itinerante para realizar atividades de apoio ao reflorestamento, incluindo desbaste pré-comercial e aplicação de herbicidas para a "&amp;"manutenção de áreas florestais. Demarcar limites de propriedade. Usar motosserra, roçadeira ou outros equipamentos manuais, incluindo aplicadores químicos como machado hipo e pistola de pulverização localizada, para remover o excesso de árvores e outras v"&amp;"egetações. Usar um pulverizador costal ou outras ferramentas manuais para pulverizar ou injetar herbicidas pré-misturados na vegetação, a fim de reduzir a competição com outras plantas. Determinar quais árvores imaturas devem ser deixadas para crescimento"&amp;" acelerado, considerando o espaçamento, a espécie, o tamanho, a ausência de doenças ou outros defeitos e os possíveis danos às árvores restantes. Como atividades secundárias, limpe e empilhe arbustos, galhos e outros detritos das áreas de plantio e recolh"&amp;"a palha de pinheiro. Classificação da função: 45-4011.00 - Trabalhadores Florestais e de Conservação. A classificação e descrição da função/setor inclui informações gerais sobre o cargo, de acordo com o ONET/OES e o Sistema de Classificação Industrial da "&amp;"América do Norte. Consulte as Funções e a Ordem de Serviço para obter mais informações. Requisitos da função: Experiência necessária: Não. Requisitos especiais: Deve ser capaz de levantar/carregar 23 kg, quando necessário. Trabalho aos sábados e domingos,"&amp;" quando necessário. Testes toxicológicos aleatórios e pós-acidente são obrigatórios para trabalhadores estrangeiros e nacionais. Meta de produção de 3.000 árvores plantadas corretamente por dia de 8 horas após uma semana de treinamento em serviço. Viagens"&amp;" com pernoite são necessárias. O empregador pode oferecer mais horas de trabalho do que as indicadas, dependendo do clima, das necessidades da empresa e de outras condições. Calor extremo, frio, chuva ou seca podem afetar o horário de trabalho exato. Núme"&amp;"ro de horas por semana: 40 Horário de trabalho (início/término): 7h00 - 16h00")</f>
        <v>Trabalho manual itinerante de plantio manual de mudas de árvores para reflorestamento e manutenção de áreas florestais. Plantar mudas de árvores em um padrão específico usando pá, enxada, plantador ou plantador de mudas. Transportar as árvores em sacos próprios para mudas. Cavar buracos em intervalos predeterminados e inserir as mudas. Compactar o solo ao redor da planta com o pé e a ferramenta de plantio. Selecionar o local ideal para o plantio, considerando o espaçamento, o tipo de solo e a necessidade de sombra. Solo exposto. Essas atividades envolvem a propagação, a proteção e o manejo de áreas florestais. Trabalho manual itinerante para realizar atividades de apoio ao reflorestamento, incluindo desbaste pré-comercial e aplicação de herbicidas para a manutenção de áreas florestais. Demarcar limites de propriedade. Usar motosserra, roçadeira ou outros equipamentos manuais, incluindo aplicadores químicos como machado hipo e pistola de pulverização localizada, para remover o excesso de árvores e outras vegetações. Usar um pulverizador costal ou outras ferramentas manuais para pulverizar ou injetar herbicidas pré-misturados na vegetação, a fim de reduzir a competição com outras plantas. Determinar quais árvores imaturas devem ser deixadas para crescimento acelerado, considerando o espaçamento, a espécie, o tamanho, a ausência de doenças ou outros defeitos e os possíveis danos às árvores restantes. Como atividades secundárias, limpe e empilhe arbustos, galhos e outros detritos das áreas de plantio e recolha palha de pinheiro. Classificação da função: 45-4011.00 - Trabalhadores Florestais e de Conservação. A classificação e descrição da função/setor inclui informações gerais sobre o cargo, de acordo com o ONET/OES e o Sistema de Classificação Industrial da América do Norte. Consulte as Funções e a Ordem de Serviço para obter mais informações. Requisitos da função: Experiência necessária: Não. Requisitos especiais: Deve ser capaz de levantar/carregar 23 kg, quando necessário. Trabalho aos sábados e domingos, quando necessário. Testes toxicológicos aleatórios e pós-acidente são obrigatórios para trabalhadores estrangeiros e nacionais. Meta de produção de 3.000 árvores plantadas corretamente por dia de 8 horas após uma semana de treinamento em serviço. Viagens com pernoite são necessárias. O empregador pode oferecer mais horas de trabalho do que as indicadas, dependendo do clima, das necessidades da empresa e de outras condições. Calor extremo, frio, chuva ou seca podem afetar o horário de trabalho exato. Número de horas por semana: 40 Horário de trabalho (início/término): 7h00 - 16h00</v>
      </c>
    </row>
    <row r="50" ht="20.25" customHeight="1">
      <c r="A50" s="3" t="s">
        <v>336</v>
      </c>
      <c r="B50" s="3" t="s">
        <v>337</v>
      </c>
      <c r="C50" s="3" t="s">
        <v>169</v>
      </c>
      <c r="D50" s="3" t="s">
        <v>284</v>
      </c>
      <c r="E50" s="4" t="s">
        <v>19</v>
      </c>
      <c r="F50" s="4" t="s">
        <v>20</v>
      </c>
      <c r="G50" s="4" t="s">
        <v>146</v>
      </c>
      <c r="H50" s="3" t="s">
        <v>338</v>
      </c>
      <c r="I50" s="3" t="s">
        <v>339</v>
      </c>
      <c r="J50" s="4">
        <v>16.01</v>
      </c>
      <c r="K50" s="4">
        <v>6.0</v>
      </c>
      <c r="L50" s="3" t="s">
        <v>59</v>
      </c>
      <c r="M50" s="3" t="s">
        <v>340</v>
      </c>
      <c r="N50" s="7" t="str">
        <f>IFERROR(__xludf.DUMMYFUNCTION("GOOGLETRANSLATE(L50, ""en"", ""pt"")"),"Trabalhador de paisagismo")</f>
        <v>Trabalhador de paisagismo</v>
      </c>
      <c r="O50" s="7" t="str">
        <f>IFERROR(__xludf.DUMMYFUNCTION("IF(M50="""","""",GOOGLETRANSLATE(M50,""en"",""pt""))"),"Paisagismo e manutenção de terrenos utilizando ferramentas manuais ou elétricas. Os trabalhadores geralmente executam uma variedade de tarefas, que podem incluir qualquer combinação das seguintes: cortar grama, aparar, podar, capinar, aplicar cobertura mo"&amp;"rta, colocar grama em placas, plantar, cavar, rastelar, cuidar da rotação de plantas sazonais, cortar arbustos e outras tarefas de manutenção de jardins, conforme necessário. Os trabalhadores carregam e descarregam ferramentas e equipamentos de caminhões."&amp;" Nível inicial; requer supervisão. Classificação do Cargo: 37-3011.00 - Trabalhadores de Paisagismo e Manutenção de Terrenos. A classificação e descrição do cargo/setor incluem informações gerais sobre a posição, de acordo com o ONET/OES e o Sistema de Cl"&amp;"assificação Industrial da América do Norte. Consulte as Funções e a Ordem de Serviço para obter mais informações. Requisitos do Cargo Experiência Necessária: Sim Meses de Experiência Necessários: 3 Requisitos Especiais: Deve ser capaz de levantar/carregar"&amp;" 23 kg, quando necessário. Trabalho aos sábados e domingos, quando necessário. O empregador exige que trabalhadores estrangeiros e nacionais se submetam a testes de drogas pagos pelo empregador antes do início do trabalho e, após a contratação, aleatoriam"&amp;"ente, em caso de suspeita de uso e após acidentes. A verificação de elegibilidade para emprego (e-Verify) após a contratação também é obrigatória para trabalhadores estrangeiros e nacionais. Trabalhadores que possuírem carteira de habilitação válida nos E"&amp;"UA poderão dirigir veículos da empresa (dirigir não é um requisito para todos os funcionários da função). O empregador poderá oferecer uma jornada de trabalho superior à estipulada, dependendo das condições climáticas, das necessidades da empresa e de out"&amp;"ros fatores. Calor extremo, frio, chuva ou seca podem afetar o horário de trabalho exato. Número de horas por semana: 37. Horário de trabalho (início/término): 7h30 às 16h.")</f>
        <v>Paisagismo e manutenção de terrenos utilizando ferramentas manuais ou elétricas. Os trabalhadores geralmente executam uma variedade de tarefas, que podem incluir qualquer combinação das seguintes: cortar grama, aparar, podar, capinar, aplicar cobertura morta, colocar grama em placas, plantar, cavar, rastelar, cuidar da rotação de plantas sazonais, cortar arbustos e outras tarefas de manutenção de jardins, conforme necessário. Os trabalhadores carregam e descarregam ferramentas e equipamentos de caminhões. Nível inicial; requer supervisão. Classificação do Cargo: 37-3011.00 - Trabalhadores de Paisagismo e Manutenção de Terrenos. A classificação e descrição do cargo/setor incluem informações gerais sobre a posição, de acordo com o ONET/OES e o Sistema de Classificação Industrial da América do Norte. Consulte as Funções e a Ordem de Serviço para obter mais informações. Requisitos do Cargo Experiência Necessária: Sim Meses de Experiência Necessários: 3 Requisitos Especiais: Deve ser capaz de levantar/carregar 23 kg, quando necessário. Trabalho aos sábados e domingos, quando necessário. O empregador exige que trabalhadores estrangeiros e nacionais se submetam a testes de drogas pagos pelo empregador antes do início do trabalho e, após a contratação, aleatoriamente, em caso de suspeita de uso e após acidentes. A verificação de elegibilidade para emprego (e-Verify) após a contratação também é obrigatória para trabalhadores estrangeiros e nacionais. Trabalhadores que possuírem carteira de habilitação válida nos EUA poderão dirigir veículos da empresa (dirigir não é um requisito para todos os funcionários da função). O empregador poderá oferecer uma jornada de trabalho superior à estipulada, dependendo das condições climáticas, das necessidades da empresa e de outros fatores. Calor extremo, frio, chuva ou seca podem afetar o horário de trabalho exato. Número de horas por semana: 37. Horário de trabalho (início/término): 7h30 às 16h.</v>
      </c>
    </row>
    <row r="51" ht="20.25" customHeight="1">
      <c r="A51" s="8" t="s">
        <v>341</v>
      </c>
      <c r="B51" s="8" t="s">
        <v>342</v>
      </c>
      <c r="C51" s="8" t="s">
        <v>343</v>
      </c>
      <c r="D51" s="8" t="s">
        <v>344</v>
      </c>
      <c r="E51" s="9" t="s">
        <v>19</v>
      </c>
      <c r="F51" s="9" t="s">
        <v>20</v>
      </c>
      <c r="G51" s="9" t="s">
        <v>345</v>
      </c>
      <c r="H51" s="8" t="s">
        <v>346</v>
      </c>
      <c r="I51" s="8" t="s">
        <v>347</v>
      </c>
      <c r="J51" s="9">
        <v>17.58</v>
      </c>
      <c r="K51" s="9">
        <v>30.0</v>
      </c>
      <c r="L51" s="8" t="s">
        <v>348</v>
      </c>
      <c r="M51" s="8" t="s">
        <v>349</v>
      </c>
      <c r="N51" s="7" t="str">
        <f>IFERROR(__xludf.DUMMYFUNCTION("GOOGLETRANSLATE(L51, ""en"", ""pt"")"),"Auxiliar de Cozinha")</f>
        <v>Auxiliar de Cozinha</v>
      </c>
      <c r="O51" s="7" t="str">
        <f>IFERROR(__xludf.DUMMYFUNCTION("IF(M51="""","""",GOOGLETRANSLATE(M51,""en"",""pt""))"),"Limpar e higienizar áreas de trabalho, equipamentos, utensílios, pratos e talheres; armazenar alimentos em recipientes e áreas de armazenamento designados para evitar deterioração; porcionar e embalar os alimentos ou colocá-los diretamente nos pratos para"&amp;" servir aos clientes; aferir e registrar a temperatura dos alimentos e das áreas de armazenamento, como geladeiras e freezers; preparar uma variedade de alimentos, como carnes, vegetais ou sobremesas, de acordo com os pedidos dos clientes ou instruções do"&amp;"s supervisores, seguindo os procedimentos aprovados. Classificação da vaga: 35-2021.00 - Auxiliares de Cozinha. A classificação e descrição da vaga/setor inclui informações gerais sobre o cargo, conforme o ONET/OES e o Sistema de Classificação Industrial "&amp;"da América do Norte. Consulte as Funções e a Ordem de Serviço para obter mais informações. Requisitos da vaga: Experiência necessária: Sim. Meses de experiência necessários: 1. Número de horas por semana: 40. Horário de trabalho (início/término): 9h às 17"&amp;"h.")</f>
        <v>Limpar e higienizar áreas de trabalho, equipamentos, utensílios, pratos e talheres; armazenar alimentos em recipientes e áreas de armazenamento designados para evitar deterioração; porcionar e embalar os alimentos ou colocá-los diretamente nos pratos para servir aos clientes; aferir e registrar a temperatura dos alimentos e das áreas de armazenamento, como geladeiras e freezers; preparar uma variedade de alimentos, como carnes, vegetais ou sobremesas, de acordo com os pedidos dos clientes ou instruções dos supervisores, seguindo os procedimentos aprovados. Classificação da vaga: 35-2021.00 - Auxiliares de Cozinha. A classificação e descrição da vaga/setor inclui informações gerais sobre o cargo, conforme o ONET/OES e o Sistema de Classificação Industrial da América do Norte. Consulte as Funções e a Ordem de Serviço para obter mais informações. Requisitos da vaga: Experiência necessária: Sim. Meses de experiência necessários: 1. Número de horas por semana: 40. Horário de trabalho (início/término): 9h às 17h.</v>
      </c>
    </row>
    <row r="52" ht="20.25" customHeight="1">
      <c r="A52" s="3" t="s">
        <v>350</v>
      </c>
      <c r="B52" s="3" t="s">
        <v>351</v>
      </c>
      <c r="C52" s="3"/>
      <c r="D52" s="3" t="s">
        <v>71</v>
      </c>
      <c r="E52" s="4" t="s">
        <v>19</v>
      </c>
      <c r="F52" s="4" t="s">
        <v>20</v>
      </c>
      <c r="G52" s="4" t="s">
        <v>155</v>
      </c>
      <c r="H52" s="3" t="s">
        <v>352</v>
      </c>
      <c r="I52" s="3" t="s">
        <v>353</v>
      </c>
      <c r="J52" s="4">
        <v>16.98</v>
      </c>
      <c r="K52" s="4">
        <v>200.0</v>
      </c>
      <c r="L52" s="3" t="s">
        <v>354</v>
      </c>
      <c r="M52" s="3" t="s">
        <v>355</v>
      </c>
      <c r="N52" s="7" t="str">
        <f>IFERROR(__xludf.DUMMYFUNCTION("GOOGLETRANSLATE(L52, ""en"", ""pt"")"),"Governanta")</f>
        <v>Governanta</v>
      </c>
      <c r="O52" s="7" t="str">
        <f>IFERROR(__xludf.DUMMYFUNCTION("IF(M52="""","""",GOOGLETRANSLATE(M52,""en"",""pt""))"),"Limpar e manter quartos de hóspedes, suítes, chalés e áreas comuns; arrumar camas e trocar lençóis; repor toalhas, artigos de higiene pessoal e suprimentos para hóspedes; aspirar carpetes e lavar pisos; tirar o pó de móveis, acessórios, saídas de ar e sup"&amp;"erfícies; limpar banheiros, pias, chuveiros, banheiras e espelhos; remover o lixo e transportar os resíduos para as áreas de descarte designadas; reabastecer os carrinhos de limpeza e os materiais de limpeza; relatar problemas de manutenção, danos ou risc"&amp;"os à segurança aos supervisores; garantir que os quartos atendam aos padrões de limpeza e higiene do hotel; limpar corredores, escadas, elevadores, lavanderias e espaços públicos; operar equipamentos de limpeza, como aspiradores de pó e ferramentas de lim"&amp;"peza de pisos; seguir os procedimentos de segurança da OSHA e as diretrizes de manuseio de produtos químicos; auxiliar nas tarefas de lavanderia quando necessário, incluindo lavar, secar, dobrar e organizar roupas de cama e banho; responder às solicitaçõe"&amp;"s dos hóspedes de maneira profissional e cortês; trabalhar com eficiência em um ambiente de hotelaria dinâmico durante os períodos de alta ocupação. Classificação do Cargo: 37-2012.00 - Camareiras e Auxiliares de Limpeza. A classificação e descrição do ca"&amp;"rgo/setor inclui informações gerais. sobre a posição de acordo com a ONET/OES e o Sistema de Classificação Industrial da América do Norte. Consulte as Funções e a Ordem de Serviço para obter mais informações. Requisitos da Vaga Experiência Necessária: Não"&amp;" Requisitos Especiais: Deve ser capaz de trabalhar sob pressão e em um ambiente dinâmico. Número de Horas por Semana: 40 Horário de Trabalho (Início/Término): 5h00 - 13h00")</f>
        <v>Limpar e manter quartos de hóspedes, suítes, chalés e áreas comuns; arrumar camas e trocar lençóis; repor toalhas, artigos de higiene pessoal e suprimentos para hóspedes; aspirar carpetes e lavar pisos; tirar o pó de móveis, acessórios, saídas de ar e superfícies; limpar banheiros, pias, chuveiros, banheiras e espelhos; remover o lixo e transportar os resíduos para as áreas de descarte designadas; reabastecer os carrinhos de limpeza e os materiais de limpeza; relatar problemas de manutenção, danos ou riscos à segurança aos supervisores; garantir que os quartos atendam aos padrões de limpeza e higiene do hotel; limpar corredores, escadas, elevadores, lavanderias e espaços públicos; operar equipamentos de limpeza, como aspiradores de pó e ferramentas de limpeza de pisos; seguir os procedimentos de segurança da OSHA e as diretrizes de manuseio de produtos químicos; auxiliar nas tarefas de lavanderia quando necessário, incluindo lavar, secar, dobrar e organizar roupas de cama e banho; responder às solicitações dos hóspedes de maneira profissional e cortês; trabalhar com eficiência em um ambiente de hotelaria dinâmico durante os períodos de alta ocupação. Classificação do Cargo: 37-2012.00 - Camareiras e Auxiliares de Limpeza. A classificação e descrição do cargo/setor inclui informações gerais. sobre a posição de acordo com a ONET/OES e o Sistema de Classificação Industrial da América do Norte. Consulte as Funções e a Ordem de Serviço para obter mais informações. Requisitos da Vaga Experiência Necessária: Não Requisitos Especiais: Deve ser capaz de trabalhar sob pressão e em um ambiente dinâmico. Número de Horas por Semana: 40 Horário de Trabalho (Início/Término): 5h00 - 13h00</v>
      </c>
    </row>
    <row r="53" ht="20.25" customHeight="1">
      <c r="A53" s="8" t="s">
        <v>356</v>
      </c>
      <c r="B53" s="8" t="s">
        <v>357</v>
      </c>
      <c r="C53" s="8" t="s">
        <v>125</v>
      </c>
      <c r="D53" s="8" t="s">
        <v>140</v>
      </c>
      <c r="E53" s="9" t="s">
        <v>44</v>
      </c>
      <c r="F53" s="9" t="s">
        <v>20</v>
      </c>
      <c r="G53" s="9" t="s">
        <v>307</v>
      </c>
      <c r="H53" s="8" t="s">
        <v>358</v>
      </c>
      <c r="I53" s="8" t="s">
        <v>359</v>
      </c>
      <c r="J53" s="9">
        <v>18.84</v>
      </c>
      <c r="K53" s="9">
        <v>19.0</v>
      </c>
      <c r="L53" s="8" t="s">
        <v>129</v>
      </c>
      <c r="M53" s="8" t="s">
        <v>360</v>
      </c>
      <c r="N53" s="7" t="str">
        <f>IFERROR(__xludf.DUMMYFUNCTION("GOOGLETRANSLATE(L53, ""en"", ""pt"")"),"Trabalhador de paisagismo e manutenção de jardins")</f>
        <v>Trabalhador de paisagismo e manutenção de jardins</v>
      </c>
      <c r="O53" s="7" t="str">
        <f>IFERROR(__xludf.DUMMYFUNCTION("IF(M53="""","""",GOOGLETRANSLATE(M53,""en"",""pt""))"),"As funções incluem a instalação de árvores, arbustos ou flores durante o período de dormência, seguindo o padrão de design apropriado. Isso inclui descarregar materiais, cavar buracos para o sistema radicular, cobrir os buracos adequadamente e, às vezes, "&amp;"colocar grama em placas, semear grama ou conectar sistemas de irrigação. Também envolve a remoção de folhas, plantio de sementes e palha, aeração do gramado, plantio de arbustos, escavação, rastelagem e instalação de blocos de concreto pré-moldados sem ar"&amp;"gamassa. Os trabalhadores podem coletar e remover lixo, regar gramados, árvores e plantas semeadas, além de podar árvores, arbustos ou sebes. Podem operar equipamentos motorizados e dirigir veículos até os locais dos clientes. As tarefas podem incluir a c"&amp;"olocação de grama em placas, corte de grama, rega de plantas e gramados, transplante de plantas, fertilização, escavação, rastelagem e instalação de aspersores. Os funcionários cavarão valas com no máximo 15 a 30 cm de profundidade e 15 a 30 cm de largura"&amp;", utilizando pás e ferramentas manuais. Essas valas são usadas para acomodar a tubulação utilizada na instalação de sistemas de irrigação. Toda a poda/aparamento será feita no solo. Os trabalhadores não realizarão nenhuma atividade de poda ou corte acima "&amp;"do nível do solo. Classificação da função: 37-3011.00 - Trabalhadores de Paisagismo e Manutenção de Jardins. A classificação e descrição da função/setor inclui informações gerais sobre o cargo, de acordo com o ONET/OES e o Sistema de Classificação Industr"&amp;"ial da América do Norte (NAICS). Consulte as Funções e a Ordem de Serviço para obter mais informações. Requisitos da função: Experiência necessária: Não. Requisitos especiais: Carteira de habilitação obrigatória; capacidade de levantar e carregar 23 kg; m"&amp;"ovimentos repetitivos; empurrar/puxar com frequência; caminhar bastante; agachar-se com frequência; exposição a temperaturas extremas. Número de horas por semana: 40. Horário de trabalho (início/término): 7h às 16h.")</f>
        <v>As funções incluem a instalação de árvores, arbustos ou flores durante o período de dormência, seguindo o padrão de design apropriado. Isso inclui descarregar materiais, cavar buracos para o sistema radicular, cobrir os buracos adequadamente e, às vezes, colocar grama em placas, semear grama ou conectar sistemas de irrigação. Também envolve a remoção de folhas, plantio de sementes e palha, aeração do gramado, plantio de arbustos, escavação, rastelagem e instalação de blocos de concreto pré-moldados sem argamassa. Os trabalhadores podem coletar e remover lixo, regar gramados, árvores e plantas semeadas, além de podar árvores, arbustos ou sebes. Podem operar equipamentos motorizados e dirigir veículos até os locais dos clientes. As tarefas podem incluir a colocação de grama em placas, corte de grama, rega de plantas e gramados, transplante de plantas, fertilização, escavação, rastelagem e instalação de aspersores. Os funcionários cavarão valas com no máximo 15 a 30 cm de profundidade e 15 a 30 cm de largura, utilizando pás e ferramentas manuais. Essas valas são usadas para acomodar a tubulação utilizada na instalação de sistemas de irrigação. Toda a poda/aparamento será feita no solo. Os trabalhadores não realizarão nenhuma atividade de poda ou corte acima do nível do solo. Classificação da função: 37-3011.00 - Trabalhadores de Paisagismo e Manutenção de Jardins. A classificação e descrição da função/setor inclui informações gerais sobre o cargo, de acordo com o ONET/OES e o Sistema de Classificação Industrial da América do Norte (NAICS). Consulte as Funções e a Ordem de Serviço para obter mais informações. Requisitos da função: Experiência necessária: Não. Requisitos especiais: Carteira de habilitação obrigatória; capacidade de levantar e carregar 23 kg; movimentos repetitivos; empurrar/puxar com frequência; caminhar bastante; agachar-se com frequência; exposição a temperaturas extremas. Número de horas por semana: 40. Horário de trabalho (início/término): 7h às 16h.</v>
      </c>
    </row>
    <row r="54" ht="20.25" customHeight="1">
      <c r="A54" s="3" t="s">
        <v>361</v>
      </c>
      <c r="B54" s="3" t="s">
        <v>362</v>
      </c>
      <c r="C54" s="3" t="s">
        <v>363</v>
      </c>
      <c r="D54" s="3" t="s">
        <v>79</v>
      </c>
      <c r="E54" s="4" t="s">
        <v>19</v>
      </c>
      <c r="F54" s="4" t="s">
        <v>20</v>
      </c>
      <c r="G54" s="4" t="s">
        <v>80</v>
      </c>
      <c r="H54" s="3" t="s">
        <v>364</v>
      </c>
      <c r="I54" s="3" t="s">
        <v>365</v>
      </c>
      <c r="J54" s="4">
        <v>18.42</v>
      </c>
      <c r="K54" s="4">
        <v>69.0</v>
      </c>
      <c r="L54" s="3" t="s">
        <v>83</v>
      </c>
      <c r="M54" s="3" t="s">
        <v>366</v>
      </c>
      <c r="N54" s="7" t="str">
        <f>IFERROR(__xludf.DUMMYFUNCTION("GOOGLETRANSLATE(L54, ""en"", ""pt"")"),"Trabalhador Florestal")</f>
        <v>Trabalhador Florestal</v>
      </c>
      <c r="O54" s="7" t="str">
        <f>IFERROR(__xludf.DUMMYFUNCTION("IF(M54="""","""",GOOGLETRANSLATE(M54,""en"",""pt""))"),"As funções podem incluir: plantio de árvores, remoção de tocos/desbaste, plantio em vasos, poda manual de árvores, pulverização, desbaste, liberação manual e redução de combustível por meio de empilhamento manual. SOB A SUPERVISÃO DE TÉCNICOS FLORESTAIS: "&amp;"auxiliar na limpeza/descarte de vegetação rasteira, empilhamento e abertura de aceiros/construção de faixas de contenção de combustível e outras atividades relacionadas a trabalhadores florestais, conforme SOC/OES 45-4011 (onetonline.org). Horário padrão/"&amp;"esperado: segunda a sexta, das 6h às 14h30. Oferecemos mais de 40 horas semanais, sem incluir almoço e/ou intervalos. Possibilidade de trabalho em fins de semana e feriados. Os horários de início e término, a carga horária oferecida e/ou horas extras pode"&amp;"m variar, pois dependem de outros fatores, como necessidades do projeto/cronograma/serviço, condições climáticas e tempo de deslocamento entre os locais de trabalho (se aplicável). Horas extras são possíveis, mas não obrigatórias ou garantidas. A critério"&amp;" exclusivo do empregador: possíveis aumentos e/ou bônus com base em fatores individuais, como desempenho no trabalho ou habilidades (não garantidos). Moradia compartilhada opcional disponível sem custo para o trabalhador. Classificação do Cargo: 45-4011.0"&amp;"0 - Trabalhadores Florestais e de Conservação. A classificação e descrição do cargo/setor incluem informações gerais sobre a posição, de acordo com o ONET/OES e o Sistema de Classificação Industrial da América do Norte. Consulte as Funções e a Ordem de Se"&amp;"rviço para obter mais informações. Requisitos do Cargo Experiência Necessária: Sim Meses de Experiência Necessários: 3 Requisitos Especiais: É necessário ter 18 anos devido a viagens. É necessário apresentar comprovante de autorização legal para trabalhar"&amp;" nos Estados Unidos. Ambiente de trabalho livre de drogas, álcool e tabaco. É necessário caminhar bastante (até 24 km/dia), além de se abaixar e se curvar carregando uma mochila (até 23 kg) em terrenos acidentados (fora de trilhas). Todos os candidatos de"&amp;"vem ser capazes, estar dispostos e qualificados para executar o trabalho descrito e devem estar disponíveis durante todo o período especificado e trabalhar em todas as áreas do emprego pretendido. A critério do empregador/custo: O trabalhador poderá ser s"&amp;"ubmetido a testes aleatórios de drogas/álcool durante o emprego: teste positivo/recusa em cumprir o teste = demissão. O trabalho é realizado ao ar livre, exposto às intempéries; o candidato deve ser capaz de realizar trabalho fisicamente extenuante por lo"&amp;"ngos períodos, ocasionalmente em calor ou frio extremos. As condições climáticas são variáveis; a carga horária pode sofrer alterações (+/-), com possibilidade de períodos de inatividade e/ou horas extras. Número de horas por semana: 40. Horário de trabal"&amp;"ho (início/término): 6h00 - 14h30.")</f>
        <v>As funções podem incluir: plantio de árvores, remoção de tocos/desbaste, plantio em vasos, poda manual de árvores, pulverização, desbaste, liberação manual e redução de combustível por meio de empilhamento manual. SOB A SUPERVISÃO DE TÉCNICOS FLORESTAIS: auxiliar na limpeza/descarte de vegetação rasteira, empilhamento e abertura de aceiros/construção de faixas de contenção de combustível e outras atividades relacionadas a trabalhadores florestais, conforme SOC/OES 45-4011 (onetonline.org). Horário padrão/esperado: segunda a sexta, das 6h às 14h30. Oferecemos mais de 40 horas semanais, sem incluir almoço e/ou intervalos. Possibilidade de trabalho em fins de semana e feriados. Os horários de início e término, a carga horária oferecida e/ou horas extras podem variar, pois dependem de outros fatores, como necessidades do projeto/cronograma/serviço, condições climáticas e tempo de deslocamento entre os locais de trabalho (se aplicável). Horas extras são possíveis, mas não obrigatórias ou garantidas. A critério exclusivo do empregador: possíveis aumentos e/ou bônus com base em fatores individuais, como desempenho no trabalho ou habilidades (não garantidos). Moradia compartilhada opcional disponível sem custo para o trabalhador. Classificação do Cargo: 45-4011.00 - Trabalhadores Florestais e de Conservação. A classificação e descrição do cargo/setor incluem informações gerais sobre a posição, de acordo com o ONET/OES e o Sistema de Classificação Industrial da América do Norte. Consulte as Funções e a Ordem de Serviço para obter mais informações. Requisitos do Cargo Experiência Necessária: Sim Meses de Experiência Necessários: 3 Requisitos Especiais: É necessário ter 18 anos devido a viagens. É necessário apresentar comprovante de autorização legal para trabalhar nos Estados Unidos. Ambiente de trabalho livre de drogas, álcool e tabaco. É necessário caminhar bastante (até 24 km/dia), além de se abaixar e se curvar carregando uma mochila (até 23 kg) em terrenos acidentados (fora de trilhas). Todos os candidatos devem ser capazes, estar dispostos e qualificados para executar o trabalho descrito e devem estar disponíveis durante todo o período especificado e trabalhar em todas as áreas do emprego pretendido. A critério do empregador/custo: O trabalhador poderá ser submetido a testes aleatórios de drogas/álcool durante o emprego: teste positivo/recusa em cumprir o teste = demissão. O trabalho é realizado ao ar livre, exposto às intempéries; o candidato deve ser capaz de realizar trabalho fisicamente extenuante por longos períodos, ocasionalmente em calor ou frio extremos. As condições climáticas são variáveis; a carga horária pode sofrer alterações (+/-), com possibilidade de períodos de inatividade e/ou horas extras. Número de horas por semana: 40. Horário de trabalho (início/término): 6h00 - 14h30.</v>
      </c>
    </row>
    <row r="55" ht="20.25" customHeight="1">
      <c r="A55" s="8" t="s">
        <v>367</v>
      </c>
      <c r="B55" s="8" t="s">
        <v>368</v>
      </c>
      <c r="C55" s="8" t="s">
        <v>17</v>
      </c>
      <c r="D55" s="8" t="s">
        <v>254</v>
      </c>
      <c r="E55" s="9" t="s">
        <v>44</v>
      </c>
      <c r="F55" s="9" t="s">
        <v>20</v>
      </c>
      <c r="G55" s="9" t="s">
        <v>369</v>
      </c>
      <c r="H55" s="8" t="s">
        <v>370</v>
      </c>
      <c r="I55" s="8" t="s">
        <v>371</v>
      </c>
      <c r="J55" s="9">
        <v>18.59</v>
      </c>
      <c r="K55" s="9">
        <v>110.0</v>
      </c>
      <c r="L55" s="8" t="s">
        <v>372</v>
      </c>
      <c r="M55" s="8" t="s">
        <v>373</v>
      </c>
      <c r="N55" s="7" t="str">
        <f>IFERROR(__xludf.DUMMYFUNCTION("GOOGLETRANSLATE(L55, ""en"", ""pt"")"),"Trabalhador braçal para serviços de outono e inverno")</f>
        <v>Trabalhador braçal para serviços de outono e inverno</v>
      </c>
      <c r="O55" s="7" t="str">
        <f>IFERROR(__xludf.DUMMYFUNCTION("IF(M55="""","""",GOOGLETRANSLATE(M55,""en"",""pt""))"),"***Resposta à Solicitação de Informações*** Toda a poda é feita no chão. Podamos arbustos, plantas e galhos baixos de árvores. ***Atribuições Originais*** Os trabalhadores realizarão a limpeza de propriedades privadas, incluindo a remoção manual de neve/g"&amp;"elo/folhas de calçadas, entradas de garagem, jardins ou estacionamentos, utilizando pás de neve, sopradores de neve, sopradores de folhas, ancinhos, trituradores de gelo ou espalhadores de sal; coleta de lixo/detritos; possível corte de grama no final da "&amp;"temporada, limpeza após tempestades de outono/inverno, incluindo a remoção de detritos do terreno; e poda de inverno de árvores/arbustos dormentes. Limpar e realizar a manutenção de rotina de equipamentos e ferramentas quando não estiverem em uso. Carrega"&amp;"r/descarregar materiais. Podar ou colher flores, limpar canteiros e decorar jardins com plantas e flores utilizando ferramentas de jardinagem. Abastecer vasos e canteiros externos com arranjos florais e plantas da estação. Nível inicial; requer supervisão"&amp;". Classificação da Função: 37-3011.00 - Trabalhadores de Paisagismo e Manutenção de Jardins. A classificação e descrição da função/setor inclui informações gerais sobre o cargo, de acordo com o ONET/OES e o Sistema de Classificação Industrial da América d"&amp;"o Norte (NAICS). Consulte as Funções e a Ordem de Serviço para obter mais informações. Requisitos da Função: Experiência Necessária: Não. Requisitos Especiais: Deve ser capaz de levantar/carregar 23 kg, quando necessário. Os turnos/horários de trabalho va"&amp;"riam de acordo com o dia e os dias de trabalho variam de acordo com a semana, dependendo da quantidade de neve. Trabalho aos sábados e domingos, quando necessário. Testes toxicológicos pagos pelo empregador são obrigatórios para trabalhadores estrangeiros"&amp;" e nacionais antes do início do trabalho e após a contratação, aleatoriamente, em caso de suspeita de uso e após acidentes. Verificação de antecedentes e elegibilidade para emprego (e-Verify) após a contratação são obrigatórias para trabalhadores estrange"&amp;"iros e nacionais. Verificação do histórico de condução após a contratação é obrigatória apenas para trabalhadores estrangeiros e nacionais que dirigem veículos da empresa (dirigir não é um requisito para todos os trabalhadores da função). O empregador pod"&amp;"e oferecer mais horas de trabalho do que as estipuladas, dependendo do clima, das necessidades da empresa e de outras condições. Calor extremo, frio, chuva ou seca podem afetar o horário de trabalho exato. Número de horas por semana: 40. Horário de trabal"&amp;"ho (início/término): 7h00 - 16h30.")</f>
        <v>***Resposta à Solicitação de Informações*** Toda a poda é feita no chão. Podamos arbustos, plantas e galhos baixos de árvores. ***Atribuições Originais*** Os trabalhadores realizarão a limpeza de propriedades privadas, incluindo a remoção manual de neve/gelo/folhas de calçadas, entradas de garagem, jardins ou estacionamentos, utilizando pás de neve, sopradores de neve, sopradores de folhas, ancinhos, trituradores de gelo ou espalhadores de sal; coleta de lixo/detritos; possível corte de grama no final da temporada, limpeza após tempestades de outono/inverno, incluindo a remoção de detritos do terreno; e poda de inverno de árvores/arbustos dormentes. Limpar e realizar a manutenção de rotina de equipamentos e ferramentas quando não estiverem em uso. Carregar/descarregar materiais. Podar ou colher flores, limpar canteiros e decorar jardins com plantas e flores utilizando ferramentas de jardinagem. Abastecer vasos e canteiros externos com arranjos florais e plantas da estação. Nível inicial; requer supervisão. Classificação da Função: 37-3011.00 - Trabalhadores de Paisagismo e Manutenção de Jardins. A classificação e descrição da função/setor inclui informações gerais sobre o cargo, de acordo com o ONET/OES e o Sistema de Classificação Industrial da América do Norte (NAICS). Consulte as Funções e a Ordem de Serviço para obter mais informações. Requisitos da Função: Experiência Necessária: Não. Requisitos Especiais: Deve ser capaz de levantar/carregar 23 kg, quando necessário. Os turnos/horários de trabalho variam de acordo com o dia e os dias de trabalho variam de acordo com a semana, dependendo da quantidade de neve. Trabalho aos sábados e domingos, quando necessário. Testes toxicológicos pagos pelo empregador são obrigatórios para trabalhadores estrangeiros e nacionais antes do início do trabalho e após a contratação, aleatoriamente, em caso de suspeita de uso e após acidentes. Verificação de antecedentes e elegibilidade para emprego (e-Verify) após a contratação são obrigatórias para trabalhadores estrangeiros e nacionais. Verificação do histórico de condução após a contratação é obrigatória apenas para trabalhadores estrangeiros e nacionais que dirigem veículos da empresa (dirigir não é um requisito para todos os trabalhadores da função). O empregador pode oferecer mais horas de trabalho do que as estipuladas, dependendo do clima, das necessidades da empresa e de outras condições. Calor extremo, frio, chuva ou seca podem afetar o horário de trabalho exato. Número de horas por semana: 40. Horário de trabalho (início/término): 7h00 - 16h30.</v>
      </c>
    </row>
    <row r="56" ht="20.25" customHeight="1">
      <c r="A56" s="3" t="s">
        <v>374</v>
      </c>
      <c r="B56" s="3" t="s">
        <v>375</v>
      </c>
      <c r="C56" s="3" t="s">
        <v>376</v>
      </c>
      <c r="D56" s="3" t="s">
        <v>28</v>
      </c>
      <c r="E56" s="4" t="s">
        <v>44</v>
      </c>
      <c r="F56" s="4" t="s">
        <v>20</v>
      </c>
      <c r="G56" s="4" t="s">
        <v>377</v>
      </c>
      <c r="H56" s="3" t="s">
        <v>378</v>
      </c>
      <c r="I56" s="3" t="s">
        <v>379</v>
      </c>
      <c r="J56" s="4">
        <v>18.53</v>
      </c>
      <c r="K56" s="4">
        <v>12.0</v>
      </c>
      <c r="L56" s="3" t="s">
        <v>380</v>
      </c>
      <c r="M56" s="3" t="s">
        <v>381</v>
      </c>
      <c r="N56" s="7" t="str">
        <f>IFERROR(__xludf.DUMMYFUNCTION("GOOGLETRANSLATE(L56, ""en"", ""pt"")"),"Auxiliares de manutenção")</f>
        <v>Auxiliares de manutenção</v>
      </c>
      <c r="O56" s="7" t="str">
        <f>IFERROR(__xludf.DUMMYFUNCTION("IF(M56="""","""",GOOGLETRANSLATE(M56,""en"",""pt""))"),"Auxiliares de Manutenção - Doze (12) vagas temporárias em tempo integral disponíveis em Lakeland, LA, de 01/10/2026 a 30/06/2027 na Alma Plantation, LLC. Auxiliar na realização de reparos, instalações e manutenção em diversas máquinas utilizadas no proces"&amp;"samento de açúcar durante a safra. Fornecer ferramentas aos trabalhadores. Manter as áreas de trabalho e os equipamentos de processamento de açúcar limpos. Auxiliar na calibração das máquinas. $18,53/hora; $27,80/hora para horas extras, com base em uma se"&amp;"mana de trabalho (pagas quinzenalmente por cheque). 48 horas/semana. As horas extras serão variáveis ​​e não são garantidas. O empregador fará todos os descontos exigidos por lei no contracheque do trabalhador. Alojamento opcional no local oferecido gratu"&amp;"itamente aos trabalhadores contratados para esta vaga temporária sazonal. Trabalho em turnos: será necessário trabalhar em diversos turnos de 8 horas (7h às 15h; 15h às 23h; 23h às 7h). É necessário ter disponibilidade para trabalhar 7 dias por semana dur"&amp;"ante o período de moagem. Durante a baixa temporada: das 7h às 16h; 40 horas/semana. Não há exigência de escolaridade mínima. Não haverá treinamento no local de trabalho. A Alma oferecerá aos trabalhadores americanos, no mínimo, os mesmos benefícios, salá"&amp;"rios e condições de trabalho oferecidos aos trabalhadores com visto H-2B. A Alma fornecerá ao trabalhador, sem custos ou taxas de depósito, todas as ferramentas, suprimentos e equipamentos necessários para o desempenho das funções atribuídas. O empregador"&amp;" garante oferecer emprego equivalente a, no mínimo, três quartos (3/4) dos dias úteis de cada período de 12 semanas do período total de emprego; e, caso a garantia não seja cumprida, o empregador pagará ao trabalhador o valor que ele teria recebido se o e"&amp;"mpregador tivesse oferecido o número de dias garantido. O período de 12 semanas terá início no primeiro dia útil após a chegada do trabalhador ou na primeira data de necessidade contratual anunciada, o que ocorrer por último. O trabalhador será reembolsad"&amp;"o pelas despesas de transporte e subsistência do local de origem, seja nos EUA ou no exterior, até o local de trabalho, por meio de cheque emitido pelo empregador, após a conclusão de 50% do período de trabalho coberto pela ordem de serviço ou antes, se a"&amp;"plicável. Isso inclui um mínimo de US$ 16,78 por dia durante a viagem, até um máximo de US$ 68,00 por dia, mediante apresentação de recibos. Além disso, o empregador fornecerá ou pagará o transporte e a subsistência do trabalhador na ida, caso este comple"&amp;"te o período da ordem de serviço ou seja dispensado antecipadamente. O empregador reembolsará o trabalhador com visto H-2B na primeira semana de trabalho pelo custo total de todos os vistos, processamento de vistos, travessia de fronteira e outras taxas r"&amp;"elacionadas, incluindo as exigidas pelo governo. A Alma fornecerá ou reembolsará os custos de transporte de ida e volta e a subsistência diária para os trabalhadores americanos correspondentes que não puderem retornar à sua residência no mesmo dia de trab"&amp;"alho. Quando aplicável, o transporte diário de ida e volta para o local de trabalho será fornecido pelo empregador. É necessário ter no mínimo três (3) meses de experiência profissional na função oferecida em uma usina de açúcar bruto. Salários mais altos"&amp;" podem estar disponíveis para trabalhadores com vasta experiência. Envie currículos/consultas para o Sr. Alan Chatman na Alma Plantation, LLC, 4612 Alma Road, Lakeland, LA 70752 Tel: 225-627-6666 Ramal 228 Fax: 225-627-5138 Email: achatman@almaplt.com. Os"&amp;" candidatos podem obter informações sobre a vaga ou enviar currículos/candidaturas diretamente para o Centro de Empregos Americano de Iberville/West Baton Rouge, 23510 Railroad Avenue, Plaquemine, LA 70764 (Sra. Lana D’ Albor, Tel: 225-687-0969; Email: ib"&amp;"erville@geauxjobs.org); Número da ordem de serviço: 1641079. Classificação da vaga: 49-9098.00 - Ajudantes - Trabalhadores de Instalação, Manutenção e Reparo. A classificação e descrição da vaga/setor incluem informações gerais sobre o cargo, de acordo co"&amp;"m o ONET/OES e o Sistema de Classificação Industrial da América do Norte (NAICS). Consulte as atribuições e a ordem de serviço para obter mais informações. Requisitos da vaga: Experiência necessária: Sim. Meses de experiência necessários: 3. Número de hor"&amp;"as por semana: 48. Horário de trabalho (início/término): 7h às 15h.")</f>
        <v>Auxiliares de Manutenção - Doze (12) vagas temporárias em tempo integral disponíveis em Lakeland, LA, de 01/10/2026 a 30/06/2027 na Alma Plantation, LLC. Auxiliar na realização de reparos, instalações e manutenção em diversas máquinas utilizadas no processamento de açúcar durante a safra. Fornecer ferramentas aos trabalhadores. Manter as áreas de trabalho e os equipamentos de processamento de açúcar limpos. Auxiliar na calibração das máquinas. $18,53/hora; $27,80/hora para horas extras, com base em uma semana de trabalho (pagas quinzenalmente por cheque). 48 horas/semana. As horas extras serão variáveis ​​e não são garantidas. O empregador fará todos os descontos exigidos por lei no contracheque do trabalhador. Alojamento opcional no local oferecido gratuitamente aos trabalhadores contratados para esta vaga temporária sazonal. Trabalho em turnos: será necessário trabalhar em diversos turnos de 8 horas (7h às 15h; 15h às 23h; 23h às 7h). É necessário ter disponibilidade para trabalhar 7 dias por semana durante o período de moagem. Durante a baixa temporada: das 7h às 16h; 40 horas/semana. Não há exigência de escolaridade mínima. Não haverá treinamento no local de trabalho. A Alma oferecerá aos trabalhadores americanos, no mínimo, os mesmos benefícios, salários e condições de trabalho oferecidos aos trabalhadores com visto H-2B. A Alma fornecerá ao trabalhador, sem custos ou taxas de depósito, todas as ferramentas, suprimentos e equipamentos necessários para o desempenho das funções atribuídas. O empregador garante oferecer emprego equivalente a, no mínimo, três quartos (3/4) dos dias úteis de cada período de 12 semanas do período total de emprego; e, caso a garantia não seja cumprida, o empregador pagará ao trabalhador o valor que ele teria recebido se o empregador tivesse oferecido o número de dias garantido. O período de 12 semanas terá início no primeiro dia útil após a chegada do trabalhador ou na primeira data de necessidade contratual anunciada, o que ocorrer por último. O trabalhador será reembolsado pelas despesas de transporte e subsistência do local de origem, seja nos EUA ou no exterior, até o local de trabalho, por meio de cheque emitido pelo empregador, após a conclusão de 50% do período de trabalho coberto pela ordem de serviço ou antes, se aplicável. Isso inclui um mínimo de US$ 16,78 por dia durante a viagem, até um máximo de US$ 68,00 por dia, mediante apresentação de recibos. Além disso, o empregador fornecerá ou pagará o transporte e a subsistência do trabalhador na ida, caso este complete o período da ordem de serviço ou seja dispensado antecipadamente. O empregador reembolsará o trabalhador com visto H-2B na primeira semana de trabalho pelo custo total de todos os vistos, processamento de vistos, travessia de fronteira e outras taxas relacionadas, incluindo as exigidas pelo governo. A Alma fornecerá ou reembolsará os custos de transporte de ida e volta e a subsistência diária para os trabalhadores americanos correspondentes que não puderem retornar à sua residência no mesmo dia de trabalho. Quando aplicável, o transporte diário de ida e volta para o local de trabalho será fornecido pelo empregador. É necessário ter no mínimo três (3) meses de experiência profissional na função oferecida em uma usina de açúcar bruto. Salários mais altos podem estar disponíveis para trabalhadores com vasta experiência. Envie currículos/consultas para o Sr. Alan Chatman na Alma Plantation, LLC, 4612 Alma Road, Lakeland, LA 70752 Tel: 225-627-6666 Ramal 228 Fax: 225-627-5138 Email: achatman@almaplt.com. Os candidatos podem obter informações sobre a vaga ou enviar currículos/candidaturas diretamente para o Centro de Empregos Americano de Iberville/West Baton Rouge, 23510 Railroad Avenue, Plaquemine, LA 70764 (Sra. Lana D’ Albor, Tel: 225-687-0969; Email: iberville@geauxjobs.org); Número da ordem de serviço: 1641079. Classificação da vaga: 49-9098.00 - Ajudantes - Trabalhadores de Instalação, Manutenção e Reparo. A classificação e descrição da vaga/setor incluem informações gerais sobre o cargo, de acordo com o ONET/OES e o Sistema de Classificação Industrial da América do Norte (NAICS). Consulte as atribuições e a ordem de serviço para obter mais informações. Requisitos da vaga: Experiência necessária: Sim. Meses de experiência necessários: 3. Número de horas por semana: 48. Horário de trabalho (início/término): 7h às 15h.</v>
      </c>
    </row>
    <row r="57" ht="20.25" customHeight="1">
      <c r="A57" s="8" t="s">
        <v>382</v>
      </c>
      <c r="B57" s="8" t="s">
        <v>383</v>
      </c>
      <c r="C57" s="8" t="s">
        <v>17</v>
      </c>
      <c r="D57" s="8" t="s">
        <v>186</v>
      </c>
      <c r="E57" s="9" t="s">
        <v>19</v>
      </c>
      <c r="F57" s="9" t="s">
        <v>20</v>
      </c>
      <c r="G57" s="9" t="s">
        <v>384</v>
      </c>
      <c r="H57" s="8" t="s">
        <v>385</v>
      </c>
      <c r="I57" s="8" t="s">
        <v>386</v>
      </c>
      <c r="J57" s="9">
        <v>20.06</v>
      </c>
      <c r="K57" s="9">
        <v>20.0</v>
      </c>
      <c r="L57" s="8" t="s">
        <v>387</v>
      </c>
      <c r="M57" s="8" t="s">
        <v>388</v>
      </c>
      <c r="N57" s="7" t="str">
        <f>IFERROR(__xludf.DUMMYFUNCTION("GOOGLETRANSLATE(L57, ""en"", ""pt"")"),"Ordem de serviço não disponível")</f>
        <v>Ordem de serviço não disponível</v>
      </c>
      <c r="O57" s="7" t="str">
        <f>IFERROR(__xludf.DUMMYFUNCTION("IF(M57="""","""",GOOGLETRANSLATE(M57,""en"",""pt""))"),"Esta vaga é para trabalhar em um refeitório no movimentado campus da Universidade James Madison (JMU). O ambiente de trabalho é uma cozinha industrial completa, equipada com eletrodomésticos e utensílios modernos, típicos de operações de serviço de alimen"&amp;"tação em larga escala. O profissional será responsável por cozinhar e preparar uma variedade de alimentos de acordo com as diretrizes de produção e receitas padronizadas. Deverá utilizar com segurança diversos utensílios e equipamentos para preparar, arma"&amp;"zenar e cozinhar alimentos, tais como: bancadas de preparo, fornos, grelhas, refrigeradores/congeladores, liquidificadores, utensílios e equipamentos gerais de preparo de alimentos encontrados em uma cozinha completa típica, além de unidades de armazename"&amp;"nto. As responsabilidades incluem arrumar, decorar, porcionar e servir os alimentos de acordo com as diretrizes estabelecidas, armazenar os alimentos adequadamente, seguindo as políticas e procedimentos de segurança alimentar, limpar e higienizar as áreas"&amp;" de trabalho, equipamentos e utensílios, monitorar e registrar as temperaturas dos alimentos para garantir a segurança alimentar e compilar e manter registros de produção e desperdício de alimentos. Classificação da Função: 35-2012.00 - Cozinheiros, Insti"&amp;"tuição e Refeitório. A classificação e descrição da função/setor inclui informações gerais sobre o cargo, de acordo com o ONET/OES e o Sistema de Classificação Industrial da América do Norte (NAICS). Consulte as Funções e a Ordem de Serviço para obter mai"&amp;"s informações. Requisitos da Função Experiência Necessária: Sim Meses de Experiência Necessários: 3 Requisitos Especiais: Requer três meses de experiência como cozinheiro(a). Deve ser capaz de levantar/carregar 11 kg, quando necessário. Trabalho aos sábad"&amp;"os e domingos, quando necessário. A escala de trabalho de cada dia da semana está sujeita a alterações. O(A) funcionário(a) poderá trabalhar em dias ou turnos alternados. O empregador cobre, após a contratação, o teste antidrogas em caso de suspeita de us"&amp;"o e o teste antidrogas pós-acidente, para trabalhadores estrangeiros e nacionais. Verificação de antecedentes e de elegibilidade para emprego (e-Verify) após a contratação são obrigatórias para trabalhadores estrangeiros e nacionais. Oferecemos pelo menos"&amp;" 40 horas semanais de trabalho. O empregador oferece um adicional noturno de US$ 2,00 a US$ 4,00 por hora e incentivos nos locais de trabalho em Harrisonburg, dependendo do horário e do dia do turno. Qualquer turno que termine após as 23h30 recebe um adic"&amp;"ional de US$ 2,00 por hora para todo o turno. Todas as horas trabalhadas entre as 17h de sexta-feira e as 2h de segunda-feira recebem um adicional de US$ 2,00 por hora (somente durante esse período). Ambos os adicionais noturnos podem ser acumulados, tota"&amp;"lizando um adicional de US$ 4,00 por hora, quando as condições forem atendidas. O empregador pode oferecer mais horas de trabalho do que o estipulado, dependendo do clima, das necessidades da empresa e de outras circunstâncias. Calor extremo, frio, chuva "&amp;"ou seca podem afetar o horário de trabalho exato. Número de horas por semana: 40. Horário de trabalho (início/término): 6h às 14h30.")</f>
        <v>Esta vaga é para trabalhar em um refeitório no movimentado campus da Universidade James Madison (JMU). O ambiente de trabalho é uma cozinha industrial completa, equipada com eletrodomésticos e utensílios modernos, típicos de operações de serviço de alimentação em larga escala. O profissional será responsável por cozinhar e preparar uma variedade de alimentos de acordo com as diretrizes de produção e receitas padronizadas. Deverá utilizar com segurança diversos utensílios e equipamentos para preparar, armazenar e cozinhar alimentos, tais como: bancadas de preparo, fornos, grelhas, refrigeradores/congeladores, liquidificadores, utensílios e equipamentos gerais de preparo de alimentos encontrados em uma cozinha completa típica, além de unidades de armazenamento. As responsabilidades incluem arrumar, decorar, porcionar e servir os alimentos de acordo com as diretrizes estabelecidas, armazenar os alimentos adequadamente, seguindo as políticas e procedimentos de segurança alimentar, limpar e higienizar as áreas de trabalho, equipamentos e utensílios, monitorar e registrar as temperaturas dos alimentos para garantir a segurança alimentar e compilar e manter registros de produção e desperdício de alimentos. Classificação da Função: 35-2012.00 - Cozinheiros, Instituição e Refeitório. A classificação e descrição da função/setor inclui informações gerais sobre o cargo, de acordo com o ONET/OES e o Sistema de Classificação Industrial da América do Norte (NAICS). Consulte as Funções e a Ordem de Serviço para obter mais informações. Requisitos da Função Experiência Necessária: Sim Meses de Experiência Necessários: 3 Requisitos Especiais: Requer três meses de experiência como cozinheiro(a). Deve ser capaz de levantar/carregar 11 kg, quando necessário. Trabalho aos sábados e domingos, quando necessário. A escala de trabalho de cada dia da semana está sujeita a alterações. O(A) funcionário(a) poderá trabalhar em dias ou turnos alternados. O empregador cobre, após a contratação, o teste antidrogas em caso de suspeita de uso e o teste antidrogas pós-acidente, para trabalhadores estrangeiros e nacionais. Verificação de antecedentes e de elegibilidade para emprego (e-Verify) após a contratação são obrigatórias para trabalhadores estrangeiros e nacionais. Oferecemos pelo menos 40 horas semanais de trabalho. O empregador oferece um adicional noturno de US$ 2,00 a US$ 4,00 por hora e incentivos nos locais de trabalho em Harrisonburg, dependendo do horário e do dia do turno. Qualquer turno que termine após as 23h30 recebe um adicional de US$ 2,00 por hora para todo o turno. Todas as horas trabalhadas entre as 17h de sexta-feira e as 2h de segunda-feira recebem um adicional de US$ 2,00 por hora (somente durante esse período). Ambos os adicionais noturnos podem ser acumulados, totalizando um adicional de US$ 4,00 por hora, quando as condições forem atendidas. O empregador pode oferecer mais horas de trabalho do que o estipulado, dependendo do clima, das necessidades da empresa e de outras circunstâncias. Calor extremo, frio, chuva ou seca podem afetar o horário de trabalho exato. Número de horas por semana: 40. Horário de trabalho (início/término): 6h às 14h30.</v>
      </c>
    </row>
    <row r="58" ht="20.25" customHeight="1">
      <c r="A58" s="3" t="s">
        <v>389</v>
      </c>
      <c r="B58" s="3" t="s">
        <v>390</v>
      </c>
      <c r="C58" s="3" t="s">
        <v>391</v>
      </c>
      <c r="D58" s="3" t="s">
        <v>55</v>
      </c>
      <c r="E58" s="4" t="s">
        <v>44</v>
      </c>
      <c r="F58" s="4" t="s">
        <v>20</v>
      </c>
      <c r="G58" s="4" t="s">
        <v>236</v>
      </c>
      <c r="H58" s="10" t="s">
        <v>392</v>
      </c>
      <c r="I58" s="3" t="s">
        <v>393</v>
      </c>
      <c r="J58" s="4">
        <v>19.8</v>
      </c>
      <c r="K58" s="4">
        <v>29.0</v>
      </c>
      <c r="L58" s="3" t="s">
        <v>394</v>
      </c>
      <c r="M58" s="3" t="s">
        <v>395</v>
      </c>
      <c r="N58" s="7" t="str">
        <f>IFERROR(__xludf.DUMMYFUNCTION("GOOGLETRANSLATE(L58, ""en"", ""pt"")"),"Membro da tripulação")</f>
        <v>Membro da tripulação</v>
      </c>
      <c r="O58" s="7" t="str">
        <f>IFERROR(__xludf.DUMMYFUNCTION("IF(M58="""","""",GOOGLETRANSLATE(M58,""en"",""pt""))"),"Realizar a manutenção paisagística ou de terrenos utilizando ferramentas manuais ou elétricas. Cortar grama, aparar/cortar bordas, plantar, colocar grama em placas, capinar, regar, rastelar, varrer folhas; cavar buracos de aproximadamente 60 cm de profund"&amp;"idade e 90 cm de largura com uma pá manual para o plantio de plantas, árvores, arbustos ou sistemas de irrigação; espalhar sementes, fertilizantes e cobertura morta; trabalhar no solo para podar ou aparar árvores, arbustos ou sebes utilizando tesouras de "&amp;"poda, podadores ou motosserras; realizar aeração do solo; instalar/reparar sprinklers, instalar blocos de concreto pré-moldado sem argamassa. Manter os equipamentos em bom funcionamento. Poderá dirigir um caminhão da empresa ou outro veículo para/do local"&amp;" de trabalho. Não é necessário possuir carteira de habilitação; no entanto, funcionários que possuam carteira de habilitação válida poderão ser designados para dirigir uma caminhonete da empresa ou outro veículo não comercial. Não é necessária Carteira Na"&amp;"cional de Habilitação (CNH) categoria D e os funcionários não serão obrigados a operar um veículo comercial motorizado (VCM). O empregador oferecerá 40 horas de trabalho por semana. O horário normal é de segunda a sexta-feira, das 8h às 16h30. O turno inc"&amp;"lui 30 minutos de intervalo não remunerado. O trabalho aos sábados poderá ser exigido conforme a necessidade. Os dias, horários e turnos de trabalho podem variar dependendo das condições climáticas. O empregador poderá aumentar o salário com base na exper"&amp;"iência, nas condições de mercado e/ou oferecer remuneração adicional por desempenho e tempo de serviço. Horas extras poderão estar disponíveis. Um adicional por horas extras será pago quando exigido por lei federal, estadual ou local, incluindo hora e mei"&amp;"a após 40 horas semanais. Geralmente, quando houver horas extras disponíveis, elas serão pagas a US$ 29,70 por hora. O empregador fornecerá transporte diário do local de trabalho principal para todos os locais de trabalho e vice-versa. Classificação do Ca"&amp;"rgo: 37-3011.00 - Trabalhadores de Paisagismo e Manutenção de Jardins. A classificação e descrição do cargo/setor incluem informações gerais sobre a posição, de acordo com o ONET/OES e o Sistema de Classificação Industrial da América do Norte (NAICS). Con"&amp;"sulte as Funções e a Ordem de Serviço para obter mais informações. Requisitos da vaga Experiência necessária: Não Requisitos especiais: Capacidade de levantar 23 kg. Disponibilidade para trabalhar 5 dias por semana, incluindo fins de semana quando necessá"&amp;"rio. O candidato deverá preencher uma ficha de emprego. Uniforme fornecido gratuitamente. Número de horas semanais: 40 Horário de trabalho (início/término): 8h às 16h30")</f>
        <v>Realizar a manutenção paisagística ou de terrenos utilizando ferramentas manuais ou elétricas. Cortar grama, aparar/cortar bordas, plantar, colocar grama em placas, capinar, regar, rastelar, varrer folhas; cavar buracos de aproximadamente 60 cm de profundidade e 90 cm de largura com uma pá manual para o plantio de plantas, árvores, arbustos ou sistemas de irrigação; espalhar sementes, fertilizantes e cobertura morta; trabalhar no solo para podar ou aparar árvores, arbustos ou sebes utilizando tesouras de poda, podadores ou motosserras; realizar aeração do solo; instalar/reparar sprinklers, instalar blocos de concreto pré-moldado sem argamassa. Manter os equipamentos em bom funcionamento. Poderá dirigir um caminhão da empresa ou outro veículo para/do local de trabalho. Não é necessário possuir carteira de habilitação; no entanto, funcionários que possuam carteira de habilitação válida poderão ser designados para dirigir uma caminhonete da empresa ou outro veículo não comercial. Não é necessária Carteira Nacional de Habilitação (CNH) categoria D e os funcionários não serão obrigados a operar um veículo comercial motorizado (VCM). O empregador oferecerá 40 horas de trabalho por semana. O horário normal é de segunda a sexta-feira, das 8h às 16h30. O turno inclui 30 minutos de intervalo não remunerado. O trabalho aos sábados poderá ser exigido conforme a necessidade. Os dias, horários e turnos de trabalho podem variar dependendo das condições climáticas. O empregador poderá aumentar o salário com base na experiência, nas condições de mercado e/ou oferecer remuneração adicional por desempenho e tempo de serviço. Horas extras poderão estar disponíveis. Um adicional por horas extras será pago quando exigido por lei federal, estadual ou local, incluindo hora e meia após 40 horas semanais. Geralmente, quando houver horas extras disponíveis, elas serão pagas a US$ 29,70 por hora. O empregador fornecerá transporte diário do local de trabalho principal para todos os locais de trabalho e vice-versa. Classificação do Cargo: 37-3011.00 - Trabalhadores de Paisagismo e Manutenção de Jardins. A classificação e descrição do cargo/setor incluem informações gerais sobre a posição, de acordo com o ONET/OES e o Sistema de Classificação Industrial da América do Norte (NAICS). Consulte as Funções e a Ordem de Serviço para obter mais informações. Requisitos da vaga Experiência necessária: Não Requisitos especiais: Capacidade de levantar 23 kg. Disponibilidade para trabalhar 5 dias por semana, incluindo fins de semana quando necessário. O candidato deverá preencher uma ficha de emprego. Uniforme fornecido gratuitamente. Número de horas semanais: 40 Horário de trabalho (início/término): 8h às 16h30</v>
      </c>
    </row>
    <row r="59" ht="20.25" customHeight="1">
      <c r="A59" s="8" t="s">
        <v>396</v>
      </c>
      <c r="B59" s="8" t="s">
        <v>397</v>
      </c>
      <c r="C59" s="8" t="s">
        <v>17</v>
      </c>
      <c r="D59" s="8" t="s">
        <v>109</v>
      </c>
      <c r="E59" s="9" t="s">
        <v>19</v>
      </c>
      <c r="F59" s="9" t="s">
        <v>20</v>
      </c>
      <c r="G59" s="9" t="s">
        <v>146</v>
      </c>
      <c r="H59" s="8" t="s">
        <v>398</v>
      </c>
      <c r="I59" s="8"/>
      <c r="J59" s="9">
        <v>18.94</v>
      </c>
      <c r="K59" s="9">
        <v>14.0</v>
      </c>
      <c r="L59" s="8" t="s">
        <v>399</v>
      </c>
      <c r="M59" s="8" t="s">
        <v>400</v>
      </c>
      <c r="N59" s="7" t="str">
        <f>IFERROR(__xludf.DUMMYFUNCTION("GOOGLETRANSLATE(L59, ""en"", ""pt"")"),"Líderes de equipe de paisagismo")</f>
        <v>Líderes de equipe de paisagismo</v>
      </c>
      <c r="O59" s="7" t="str">
        <f>IFERROR(__xludf.DUMMYFUNCTION("IF(M59="""","""",GOOGLETRANSLATE(M59,""en"",""pt""))"),"Paisagismo e manutenção de terrenos utilizando ferramentas manuais ou elétricas. Os trabalhadores geralmente executam uma variedade de tarefas, que podem incluir qualquer combinação das seguintes: colocação de grama, nivelamento, semeadura, corte de grama"&amp;", poda, plantio, irrigação, fertilização, escavação, rastelagem e auxílio na instalação de blocos de concreto pré-moldados sem argamassa. Garantir que as ferramentas e equipamentos sejam transportados e contabilizados com segurança entre os locais de trab"&amp;"alho. Pode ser solicitado que demonstre tarefas a até quatro colegas, mas a função não inclui a supervisão de outros trabalhadores. Classificação da função: 37-3011.00 - Trabalhadores de Paisagismo e Manutenção de Terrenos. A classificação e descrição da "&amp;"função/setor inclui informações gerais sobre o cargo, de acordo com o ONET/OES e o Sistema de Classificação Industrial da América do Norte. Consulte as Funções e a Ordem de Serviço para obter mais informações. Requisitos da função: Experiência necessária:"&amp;" Sim. Meses de experiência necessários: 3. Requisitos especiais: Requer três meses de experiência prévia em paisagismo. Deve ser capaz de levantar/carregar 23 kg, quando necessário. Trabalho aos sábados e domingos, quando necessário. O empregador exige ex"&amp;"ame toxicológico pós-contratação, pago pelo empregador, para trabalhadores estrangeiros e nacionais. Os Líderes de Equipe de Paisagismo que também dirigem veículos da empresa entre os locais de trabalho receberão um adicional de US$ 0,25 por hora (dirigir"&amp;" não é um requisito para todos os trabalhadores da função). O empregador poderá oferecer mais horas de trabalho do que as estipuladas, dependendo do clima, das necessidades da empresa e de outras condições. Calor extremo, frio, chuva ou seca podem afetar "&amp;"o horário de trabalho exato. Número de horas por semana: 40. Horário de trabalho (início/término): 7h30 às 16h.")</f>
        <v>Paisagismo e manutenção de terrenos utilizando ferramentas manuais ou elétricas. Os trabalhadores geralmente executam uma variedade de tarefas, que podem incluir qualquer combinação das seguintes: colocação de grama, nivelamento, semeadura, corte de grama, poda, plantio, irrigação, fertilização, escavação, rastelagem e auxílio na instalação de blocos de concreto pré-moldados sem argamassa. Garantir que as ferramentas e equipamentos sejam transportados e contabilizados com segurança entre os locais de trabalho. Pode ser solicitado que demonstre tarefas a até quatro colegas, mas a função não inclui a supervisão de outros trabalhadores. Classificação da função: 37-3011.00 - Trabalhadores de Paisagismo e Manutenção de Terrenos. A classificação e descrição da função/setor inclui informações gerais sobre o cargo, de acordo com o ONET/OES e o Sistema de Classificação Industrial da América do Norte. Consulte as Funções e a Ordem de Serviço para obter mais informações. Requisitos da função: Experiência necessária: Sim. Meses de experiência necessários: 3. Requisitos especiais: Requer três meses de experiência prévia em paisagismo. Deve ser capaz de levantar/carregar 23 kg, quando necessário. Trabalho aos sábados e domingos, quando necessário. O empregador exige exame toxicológico pós-contratação, pago pelo empregador, para trabalhadores estrangeiros e nacionais. Os Líderes de Equipe de Paisagismo que também dirigem veículos da empresa entre os locais de trabalho receberão um adicional de US$ 0,25 por hora (dirigir não é um requisito para todos os trabalhadores da função). O empregador poderá oferecer mais horas de trabalho do que as estipuladas, dependendo do clima, das necessidades da empresa e de outras condições. Calor extremo, frio, chuva ou seca podem afetar o horário de trabalho exato. Número de horas por semana: 40. Horário de trabalho (início/término): 7h30 às 16h.</v>
      </c>
    </row>
    <row r="60" ht="20.25" customHeight="1">
      <c r="A60" s="3" t="s">
        <v>401</v>
      </c>
      <c r="B60" s="3" t="s">
        <v>402</v>
      </c>
      <c r="C60" s="3" t="s">
        <v>17</v>
      </c>
      <c r="D60" s="3" t="s">
        <v>403</v>
      </c>
      <c r="E60" s="4" t="s">
        <v>44</v>
      </c>
      <c r="F60" s="4" t="s">
        <v>20</v>
      </c>
      <c r="G60" s="4" t="s">
        <v>404</v>
      </c>
      <c r="H60" s="3" t="s">
        <v>405</v>
      </c>
      <c r="I60" s="3"/>
      <c r="J60" s="4">
        <v>18.97</v>
      </c>
      <c r="K60" s="4">
        <v>18.0</v>
      </c>
      <c r="L60" s="3" t="s">
        <v>406</v>
      </c>
      <c r="M60" s="3" t="s">
        <v>407</v>
      </c>
      <c r="N60" s="7" t="str">
        <f>IFERROR(__xludf.DUMMYFUNCTION("GOOGLETRANSLATE(L60, ""en"", ""pt"")"),"Trabalhador")</f>
        <v>Trabalhador</v>
      </c>
      <c r="O60" s="7" t="str">
        <f>IFERROR(__xludf.DUMMYFUNCTION("IF(M60="""","""",GOOGLETRANSLATE(M60,""en"",""pt""))"),"Os funcionários realizarão a limpeza externa de condomínios residenciais privados, removendo manualmente neve, gelo e folhas de calçadas, entradas de garagem, jardins e estacionamentos com pás de neve, sopradores de neve, sopradores de folhas, ancinhos, t"&amp;"rituradores de gelo ou espalhadores de sal; coleta de lixo e detritos; e limpeza após tempestades de outono/inverno, removendo detritos do terreno manualmente. Os trabalhadores realizarão a limpeza de propriedades privadas, incluindo a remoção manual de n"&amp;"eve, gelo e folhas de calçadas, entradas de garagem, jardins e estacionamentos com pás de neve, sopradores de neve, sopradores de folhas, ancinhos, trituradores de gelo ou espalhadores de sal; coleta de lixo e detritos; possível corte de grama no final da"&amp;" temporada; limpeza após tempestades de outono/inverno, incluindo a remoção de detritos do terreno; e poda de inverno de árvores e arbustos dormentes. Limparão e realizarão a manutenção de rotina de equipamentos e ferramentas quando não estiverem em uso. "&amp;"Carregarão e descarregarão materiais. Nível inicial; requer supervisão. Classificação da Função: 37-2011.00 - Zeladores e Faxineiros, exceto Empregadas Domésticas e Faxineiros. A classificação e descrição da função/setor inclui informações gerais sobre o "&amp;"cargo, de acordo com o ONET/OES e o Sistema de Classificação Industrial da América do Norte. Consulte as Funções e a Ordem de Serviço para obter mais informações. Requisitos da Função Experiência Necessária: Não. Requisitos Especiais: Deve ser capaz de le"&amp;"vantar/carregar 23 kg, quando necessário. Os turnos/horários de trabalho variam de acordo com o dia e os dias de trabalho variam de acordo com a semana, incluindo trabalho aos sábados e domingos, quando necessário. Adicional noturno oferecido em caso de n"&amp;"eve. Envolve flexionar, abaixar, levantar e esticar-se com frequência; e pode envolver trabalho em condições climáticas adversas, incluindo chuva e neve. O empregador pode oferecer mais horas de trabalho do que as indicadas, dependendo do clima, das neces"&amp;"sidades da empresa e de outras condições. Calor extremo, frio, chuva ou seca podem afetar o horário de trabalho exato. Número de Horas por Semana: 40. Horário de Trabalho (Início/Término): 7h00 - 16h00.")</f>
        <v>Os funcionários realizarão a limpeza externa de condomínios residenciais privados, removendo manualmente neve, gelo e folhas de calçadas, entradas de garagem, jardins e estacionamentos com pás de neve, sopradores de neve, sopradores de folhas, ancinhos, trituradores de gelo ou espalhadores de sal; coleta de lixo e detritos; e limpeza após tempestades de outono/inverno, removendo detritos do terreno manualmente. Os trabalhadores realizarão a limpeza de propriedades privadas, incluindo a remoção manual de neve, gelo e folhas de calçadas, entradas de garagem, jardins e estacionamentos com pás de neve, sopradores de neve, sopradores de folhas, ancinhos, trituradores de gelo ou espalhadores de sal; coleta de lixo e detritos; possível corte de grama no final da temporada; limpeza após tempestades de outono/inverno, incluindo a remoção de detritos do terreno; e poda de inverno de árvores e arbustos dormentes. Limparão e realizarão a manutenção de rotina de equipamentos e ferramentas quando não estiverem em uso. Carregarão e descarregarão materiais. Nível inicial; requer supervisão. Classificação da Função: 37-2011.00 - Zeladores e Faxineiros, exceto Empregadas Domésticas e Faxineiros. A classificação e descrição da função/setor inclui informações gerais sobre o cargo, de acordo com o ONET/OES e o Sistema de Classificação Industrial da América do Norte. Consulte as Funções e a Ordem de Serviço para obter mais informações. Requisitos da Função Experiência Necessária: Não. Requisitos Especiais: Deve ser capaz de levantar/carregar 23 kg, quando necessário. Os turnos/horários de trabalho variam de acordo com o dia e os dias de trabalho variam de acordo com a semana, incluindo trabalho aos sábados e domingos, quando necessário. Adicional noturno oferecido em caso de neve. Envolve flexionar, abaixar, levantar e esticar-se com frequência; e pode envolver trabalho em condições climáticas adversas, incluindo chuva e neve. O empregador pode oferecer mais horas de trabalho do que as indicadas, dependendo do clima, das necessidades da empresa e de outras condições. Calor extremo, frio, chuva ou seca podem afetar o horário de trabalho exato. Número de Horas por Semana: 40. Horário de Trabalho (Início/Término): 7h00 - 16h00.</v>
      </c>
    </row>
    <row r="61" ht="20.25" customHeight="1">
      <c r="A61" s="8" t="s">
        <v>408</v>
      </c>
      <c r="B61" s="8" t="s">
        <v>409</v>
      </c>
      <c r="C61" s="8" t="s">
        <v>27</v>
      </c>
      <c r="D61" s="8" t="s">
        <v>71</v>
      </c>
      <c r="E61" s="9" t="s">
        <v>19</v>
      </c>
      <c r="F61" s="9" t="s">
        <v>20</v>
      </c>
      <c r="G61" s="9" t="s">
        <v>212</v>
      </c>
      <c r="H61" s="8" t="s">
        <v>410</v>
      </c>
      <c r="I61" s="8" t="s">
        <v>411</v>
      </c>
      <c r="J61" s="9">
        <v>15.63</v>
      </c>
      <c r="K61" s="9">
        <v>10.0</v>
      </c>
      <c r="L61" s="8" t="s">
        <v>412</v>
      </c>
      <c r="M61" s="8" t="s">
        <v>413</v>
      </c>
      <c r="N61" s="7" t="str">
        <f>IFERROR(__xludf.DUMMYFUNCTION("GOOGLETRANSLATE(L61, ""en"", ""pt"")"),"Classificador/Controle de Qualidade")</f>
        <v>Classificador/Controle de Qualidade</v>
      </c>
      <c r="O61" s="7" t="str">
        <f>IFERROR(__xludf.DUMMYFUNCTION("IF(M61="""","""",GOOGLETRANSLATE(M61,""en"",""pt""))"),"As funções podem incluir: Inspecionar remessas de produtos agrícolas recebidas e expedidas, verificando a qualidade, a aparência e a conformidade com a temperatura. Documentar os resultados da inspeção e relatar desvios aos supervisores. Verificar se os r"&amp;"ótulos, embalagens e configurações de paletes atendem às especificações do cliente. Auxiliar na garantia de que os protocolos de segurança alimentar e garantia da qualidade sejam seguidos em toda a instalação. Poderá fornecer feedback à equipe de linha de"&amp;" produção e ajudar a implementar ações corretivas, conforme necessário. Manter registros dos resultados das inspeções e apoiar a conformidade com os padrões do USDA, PACA e do cliente, bem como outras atividades relacionadas à classificação/controle de qu"&amp;"alidade, conforme SOC/OES 45-2041 (onetonline.org). Vários turnos disponíveis: 7h às 16h ou 16h à 1h. Horário padrão/esperado: segunda a sexta, das 7h às 16h ou das 16h à 1h. Oferecemos mais de 40 horas semanais, sem incluir almoço e/ou intervalos. Possib"&amp;"ilidade de trabalho em fins de semana e feriados. Os horários de início e término, a carga horária oferecida e/ou a possibilidade de horas extras podem variar, pois dependem de fatores como necessidades do projeto/cronograma/serviço, condições climáticas "&amp;"e tempo de deslocamento entre os locais de trabalho (se aplicável). Horas extras são possíveis, mas não obrigatórias nem garantidas. A critério exclusivo do empregador: aumentos salariais e/ou bônus podem ser concedidos com base em fatores individuais, co"&amp;"mo desempenho ou habilidades (não garantidos). Classificação da vaga: 45-2041.00 - Classificadores e Selecionadores de Produtos Agrícolas. A classificação e a descrição da vaga/setor incluem informações gerais sobre o cargo, conforme o ONET/OES e o Sistem"&amp;"a de Classificação Industrial da América do Norte (NAICS). Consulte as Funções e a Ordem de Serviço para obter mais informações. Requisitos da vaga: Experiência exigida: Sim. Meses de experiência exigidos: 3. Requisitos especiais: É necessário ter 18 anos"&amp;" ou mais, devido às leis trabalhistas estaduais. É necessário apresentar comprovante de autorização legal para trabalhar nos Estados Unidos. Ambiente de trabalho livre de drogas, álcool e tabaco. Executar atividades físicas, como levantar, equilibrar-se, "&amp;"caminhar, abaixar-se, manusear, posicionar, mover e manipular materiais; usar força estática para exercer força muscular máxima para levantar, empurrar, puxar e carregar objetos de até 18 kg. Todos os candidatos devem ser capazes, dispostos e qualificados"&amp;" para executar o trabalho descrito e devem estar disponíveis durante todo o período especificado. Possível verificação de antecedentes após a contratação, às custas do empregador. O horário de trabalho pode variar de acordo com os picos e vales do turismo"&amp;" ao longo da temporada (+/-), podendo haver períodos de baixa temporada e/ou horas extras. Número de horas por semana: 40. Horário de trabalho (início/término): 7h às 16h.")</f>
        <v>As funções podem incluir: Inspecionar remessas de produtos agrícolas recebidas e expedidas, verificando a qualidade, a aparência e a conformidade com a temperatura. Documentar os resultados da inspeção e relatar desvios aos supervisores. Verificar se os rótulos, embalagens e configurações de paletes atendem às especificações do cliente. Auxiliar na garantia de que os protocolos de segurança alimentar e garantia da qualidade sejam seguidos em toda a instalação. Poderá fornecer feedback à equipe de linha de produção e ajudar a implementar ações corretivas, conforme necessário. Manter registros dos resultados das inspeções e apoiar a conformidade com os padrões do USDA, PACA e do cliente, bem como outras atividades relacionadas à classificação/controle de qualidade, conforme SOC/OES 45-2041 (onetonline.org). Vários turnos disponíveis: 7h às 16h ou 16h à 1h. Horário padrão/esperado: segunda a sexta, das 7h às 16h ou das 16h à 1h. Oferecemos mais de 40 horas semanais, sem incluir almoço e/ou intervalos. Possibilidade de trabalho em fins de semana e feriados. Os horários de início e término, a carga horária oferecida e/ou a possibilidade de horas extras podem variar, pois dependem de fatores como necessidades do projeto/cronograma/serviço, condições climáticas e tempo de deslocamento entre os locais de trabalho (se aplicável). Horas extras são possíveis, mas não obrigatórias nem garantidas. A critério exclusivo do empregador: aumentos salariais e/ou bônus podem ser concedidos com base em fatores individuais, como desempenho ou habilidades (não garantidos). Classificação da vaga: 45-2041.00 - Classificadores e Selecionadores de Produtos Agrícolas. A classificação e a descrição da vaga/setor incluem informações gerais sobre o cargo, conforme o ONET/OES e o Sistema de Classificação Industrial da América do Norte (NAICS). Consulte as Funções e a Ordem de Serviço para obter mais informações. Requisitos da vaga: Experiência exigida: Sim. Meses de experiência exigidos: 3. Requisitos especiais: É necessário ter 18 anos ou mais, devido às leis trabalhistas estaduais. É necessário apresentar comprovante de autorização legal para trabalhar nos Estados Unidos. Ambiente de trabalho livre de drogas, álcool e tabaco. Executar atividades físicas, como levantar, equilibrar-se, caminhar, abaixar-se, manusear, posicionar, mover e manipular materiais; usar força estática para exercer força muscular máxima para levantar, empurrar, puxar e carregar objetos de até 18 kg. Todos os candidatos devem ser capazes, dispostos e qualificados para executar o trabalho descrito e devem estar disponíveis durante todo o período especificado. Possível verificação de antecedentes após a contratação, às custas do empregador. O horário de trabalho pode variar de acordo com os picos e vales do turismo ao longo da temporada (+/-), podendo haver períodos de baixa temporada e/ou horas extras. Número de horas por semana: 40. Horário de trabalho (início/término): 7h às 16h.</v>
      </c>
    </row>
    <row r="62" ht="20.25" customHeight="1">
      <c r="A62" s="3" t="s">
        <v>414</v>
      </c>
      <c r="B62" s="3" t="s">
        <v>415</v>
      </c>
      <c r="C62" s="3" t="s">
        <v>54</v>
      </c>
      <c r="D62" s="3" t="s">
        <v>87</v>
      </c>
      <c r="E62" s="4" t="s">
        <v>44</v>
      </c>
      <c r="F62" s="4" t="s">
        <v>20</v>
      </c>
      <c r="G62" s="4" t="s">
        <v>236</v>
      </c>
      <c r="H62" s="3" t="s">
        <v>416</v>
      </c>
      <c r="I62" s="3" t="s">
        <v>417</v>
      </c>
      <c r="J62" s="4">
        <v>15.88</v>
      </c>
      <c r="K62" s="4">
        <v>20.0</v>
      </c>
      <c r="L62" s="3" t="s">
        <v>149</v>
      </c>
      <c r="M62" s="3" t="s">
        <v>418</v>
      </c>
      <c r="N62" s="7" t="str">
        <f>IFERROR(__xludf.DUMMYFUNCTION("GOOGLETRANSLATE(L62, ""en"", ""pt"")"),"Trabalhador de paisagismo")</f>
        <v>Trabalhador de paisagismo</v>
      </c>
      <c r="O62" s="7" t="str">
        <f>IFERROR(__xludf.DUMMYFUNCTION("IF(M62="""","""",GOOGLETRANSLATE(M62,""en"",""pt""))"),"As funções podem incluir: Cortar/aparar grama usando cortadores de grama manuais ou motorizados. Instalar/manter: sistemas de irrigação, incluindo a inicialização na primavera e a preparação para o inverno no outono. Aparar as bordas de calçadas, canteiro"&amp;"s de flores, etc. Podar arbustos/árvores/cercas vivas para melhorar a forma e o crescimento. Pulverizar gramados, arbustos e árvores. Seguir projetos paisagísticos para: plantar grama, flores, árvores e arbustos. Recolher/remover detritos e outras ativida"&amp;"des relacionadas ao trabalho de paisagista, conforme SOC/OES 37-3011 (onetonline.org). Horário padrão/esperado: Segunda a sexta, das 6h45 às 17h30. Oferecemos mais de 40 horas semanais, sem incluir almoço e/ou intervalos. Possibilidade de trabalho nos fin"&amp;"s de semana e feriados. Os horários de início e término, a carga horária e/ou horas extras podem variar, pois dependem de fatores como projetos/cronograma/necessidades do serviço, clima e tempo de deslocamento entre os locais de trabalho (se aplicável). H"&amp;"oras extras são possíveis, mas não obrigatórias ou garantidas. A critério exclusivo do empregador: possíveis aumentos e/ou bônus com base em fatores individuais, como desempenho no trabalho ou habilidades (não garantidos). Classificação do Cargo: 37-3011."&amp;"00 - Trabalhadores de Paisagismo e Manutenção de Jardins. A classificação e descrição do cargo/setor inclui informações gerais sobre a posição, conforme o ONET/OES e o Sistema de Classificação Industrial da América do Norte. Consulte as Funções e a Ordem "&amp;"de Serviço para obter mais informações. Requisitos do Cargo Experiência Necessária: Não. Requisitos Especiais: É necessário ter 18 anos devido a questões de seguro. É necessário apresentar comprovante de autorização legal para trabalhar nos Estados Unidos"&amp;". Ambiente de trabalho livre de drogas, álcool e tabaco. Executar atividades físicas, como levantar, equilibrar-se, caminhar, abaixar-se, manusear, posicionar, mover e manipular materiais, utilizando força estática para exercer força muscular máxima para "&amp;"levantar, empurrar, puxar e carregar objetos de até 23 kg. Todos os candidatos devem ser capazes, dispostos e qualificados para executar o trabalho descrito e devem estar disponíveis durante todo o período especificado e trabalhar em todas as áreas da vag"&amp;"a. Possível verificação de antecedentes após a contratação, às custas do empregador. O trabalho é realizado ao ar livre, exposto às intempéries. Deve ser capaz de realizar trabalho fisicamente extenuante por longos períodos, ocasionalmente em condições de"&amp;" calor ou frio extremos. Condições climáticas variáveis ​​se aplicam; a carga horária pode sofrer alterações (+/-), com possibilidade de períodos de inatividade e/ou horas extras. Número de horas por semana: 40. Horário de trabalho (início/término): 6h45 "&amp;"às 17h30.")</f>
        <v>As funções podem incluir: Cortar/aparar grama usando cortadores de grama manuais ou motorizados. Instalar/manter: sistemas de irrigação, incluindo a inicialização na primavera e a preparação para o inverno no outono. Aparar as bordas de calçadas, canteiros de flores, etc. Podar arbustos/árvores/cercas vivas para melhorar a forma e o crescimento. Pulverizar gramados, arbustos e árvores. Seguir projetos paisagísticos para: plantar grama, flores, árvores e arbustos. Recolher/remover detritos e outras atividades relacionadas ao trabalho de paisagista, conforme SOC/OES 37-3011 (onetonline.org). Horário padrão/esperado: Segunda a sexta, das 6h45 às 17h30. Oferecemos mais de 40 horas semanais, sem incluir almoço e/ou intervalos. Possibilidade de trabalho nos fins de semana e feriados. Os horários de início e término, a carga horária e/ou horas extras podem variar, pois dependem de fatores como projetos/cronograma/necessidades do serviço, clima e tempo de deslocamento entre os locais de trabalho (se aplicável). Horas extras são possíveis, mas não obrigatórias ou garantidas. A critério exclusivo do empregador: possíveis aumentos e/ou bônus com base em fatores individuais, como desempenho no trabalho ou habilidades (não garantidos). Classificação do Cargo: 37-3011.00 - Trabalhadores de Paisagismo e Manutenção de Jardins. A classificação e descrição do cargo/setor inclui informações gerais sobre a posição, conforme o ONET/OES e o Sistema de Classificação Industrial da América do Norte. Consulte as Funções e a Ordem de Serviço para obter mais informações. Requisitos do Cargo Experiência Necessária: Não. Requisitos Especiais: É necessário ter 18 anos devido a questões de seguro. É necessário apresentar comprovante de autorização legal para trabalhar nos Estados Unidos. Ambiente de trabalho livre de drogas, álcool e tabaco. Executar atividades físicas, como levantar, equilibrar-se, caminhar, abaixar-se, manusear, posicionar, mover e manipular materiais, utilizando força estática para exercer força muscular máxima para levantar, empurrar, puxar e carregar objetos de até 23 kg. Todos os candidatos devem ser capazes, dispostos e qualificados para executar o trabalho descrito e devem estar disponíveis durante todo o período especificado e trabalhar em todas as áreas da vaga. Possível verificação de antecedentes após a contratação, às custas do empregador. O trabalho é realizado ao ar livre, exposto às intempéries. Deve ser capaz de realizar trabalho fisicamente extenuante por longos períodos, ocasionalmente em condições de calor ou frio extremos. Condições climáticas variáveis ​​se aplicam; a carga horária pode sofrer alterações (+/-), com possibilidade de períodos de inatividade e/ou horas extras. Número de horas por semana: 40. Horário de trabalho (início/término): 6h45 às 17h30.</v>
      </c>
    </row>
    <row r="63" ht="20.25" customHeight="1">
      <c r="A63" s="8" t="s">
        <v>419</v>
      </c>
      <c r="B63" s="8" t="s">
        <v>420</v>
      </c>
      <c r="C63" s="8" t="s">
        <v>54</v>
      </c>
      <c r="D63" s="8" t="s">
        <v>55</v>
      </c>
      <c r="E63" s="9" t="s">
        <v>19</v>
      </c>
      <c r="F63" s="9" t="s">
        <v>20</v>
      </c>
      <c r="G63" s="9" t="s">
        <v>421</v>
      </c>
      <c r="H63" s="8" t="s">
        <v>422</v>
      </c>
      <c r="I63" s="8" t="s">
        <v>423</v>
      </c>
      <c r="J63" s="9">
        <v>19.8</v>
      </c>
      <c r="K63" s="9">
        <v>6.0</v>
      </c>
      <c r="L63" s="8" t="s">
        <v>59</v>
      </c>
      <c r="M63" s="8" t="s">
        <v>424</v>
      </c>
      <c r="N63" s="7" t="str">
        <f>IFERROR(__xludf.DUMMYFUNCTION("GOOGLETRANSLATE(L63, ""en"", ""pt"")"),"Trabalhador de paisagismo")</f>
        <v>Trabalhador de paisagismo</v>
      </c>
      <c r="O63" s="7" t="str">
        <f>IFERROR(__xludf.DUMMYFUNCTION("IF(M63="""","""",GOOGLETRANSLATE(M63,""en"",""pt""))"),"As funções podem incluir: Cuidar de propriedades já estabelecidas com equipamentos de manutenção de terrenos: cortar a grama, podar, plantar sementes/bulbos/folhagens/grama, colocar grama em placas, fertilizar. Instalar/ligar/preparar para o inverno: sist"&amp;"emas de irrigação/aspersores. Cavar, rastelar, nivelar e limpar lixo, detritos e o local de trabalho. Instalar, para fins paisagísticos: unidades de alvenaria de concreto segmentada sem argamassa e outras atividades relacionadas a serviços de paisagismo, "&amp;"conforme SOC/OES 37-3011 (onetonline.org). Horário padrão/previsto: Segunda a sexta, das 6h às 17h. Oferecemos mais de 40 horas semanais, sem incluir almoço e/ou intervalos. Possibilidade de trabalho nos fins de semana e feriados. Os horários de início e "&amp;"término, a carga horária oferecida e/ou horas extras podem variar, pois dependem de outros fatores, como necessidades do projeto/cronograma/serviço, clima e tempo de deslocamento entre os locais de trabalho (se aplicável). Horas extras são possíveis, mas "&amp;"não obrigatórias ou garantidas. A critério exclusivo do empregador: possíveis aumentos e/ou bônus com base em fatores individuais, como desempenho ou habilidades (não garantidos). Para trabalhadores que estão se mudando para iniciar o emprego (aqueles que"&amp;" não têm condições razoáveis ​​de retornar à sua residência no mesmo dia) --- OPCIONAL: moradia compartilhada disponível ao trabalhador por um valor mensal de até US$ 500; caso a moradia opcional seja aceita pelo trabalhador, o valor mensal será descontad"&amp;"o do seu salário quinzenalmente. Classificação da vaga: 37-3011.00 - Trabalhadores de Paisagismo e Manutenção de Jardins. A classificação e descrição da vaga/setor incluem informações gerais sobre o cargo, conforme o ONET/OES e o Sistema de Classificação "&amp;"Industrial da América do Norte. Consulte as Funções e a Ordem de Serviço para obter mais informações. Requisitos da vaga: Experiência exigida: Não. Requisitos especiais: É necessário ter 18 anos devido a questões de seguro. É necessário apresentar comprov"&amp;"ante de autorização legal para trabalhar nos Estados Unidos. Ambiente de trabalho livre de drogas, álcool e tabaco. Executar atividades físicas, como levantar, equilibrar-se, caminhar, abaixar-se, manusear, posicionar, mover e manipular materiais, utiliza"&amp;"ndo força estática para exercer força muscular máxima para levantar, empurrar, puxar e carregar objetos de até 23 kg. Todos os candidatos devem ser capazes, dispostos e qualificados para executar o trabalho descrito e devem estar disponíveis durante todo "&amp;"o período especificado e trabalhar em todas as áreas do emprego pretendido. A critério/custo do empregador: o trabalhador poderá ser submetido a testes aleatórios de drogas/álcool durante o emprego: teste positivo/recusa em cumprir o teste = demissão. Pos"&amp;"sível verificação de antecedentes após a contratação, às custas do empregador. O trabalho é realizado ao ar livre, exposto às intempéries; o trabalhador deve ser capaz de realizar trabalho fisicamente extenuante por longas horas, ocasionalmente em calor o"&amp;"u frio extremos. Condições climáticas variáveis ​​se aplicam; a carga horária pode sofrer alterações (+/-), com possibilidade de períodos de inatividade e/ou horas extras. Número de horas por semana: 40. Horário de trabalho (início/término): 6h às 17h.")</f>
        <v>As funções podem incluir: Cuidar de propriedades já estabelecidas com equipamentos de manutenção de terrenos: cortar a grama, podar, plantar sementes/bulbos/folhagens/grama, colocar grama em placas, fertilizar. Instalar/ligar/preparar para o inverno: sistemas de irrigação/aspersores. Cavar, rastelar, nivelar e limpar lixo, detritos e o local de trabalho. Instalar, para fins paisagísticos: unidades de alvenaria de concreto segmentada sem argamassa e outras atividades relacionadas a serviços de paisagismo, conforme SOC/OES 37-3011 (onetonline.org). Horário padrão/previsto: Segunda a sexta, das 6h às 17h. Oferecemos mais de 40 horas semanais, sem incluir almoço e/ou intervalos. Possibilidade de trabalho nos fins de semana e feriados. Os horários de início e término, a carga horária oferecida e/ou horas extras podem variar, pois dependem de outros fatores, como necessidades do projeto/cronograma/serviço, clima e tempo de deslocamento entre os locais de trabalho (se aplicável). Horas extras são possíveis, mas não obrigatórias ou garantidas. A critério exclusivo do empregador: possíveis aumentos e/ou bônus com base em fatores individuais, como desempenho ou habilidades (não garantidos). Para trabalhadores que estão se mudando para iniciar o emprego (aqueles que não têm condições razoáveis ​​de retornar à sua residência no mesmo dia) --- OPCIONAL: moradia compartilhada disponível ao trabalhador por um valor mensal de até US$ 500; caso a moradia opcional seja aceita pelo trabalhador, o valor mensal será descontado do seu salário quinzenalmente. Classificação da vaga: 37-3011.00 - Trabalhadores de Paisagismo e Manutenção de Jardins. A classificação e descrição da vaga/setor incluem informações gerais sobre o cargo, conforme o ONET/OES e o Sistema de Classificação Industrial da América do Norte. Consulte as Funções e a Ordem de Serviço para obter mais informações. Requisitos da vaga: Experiência exigida: Não. Requisitos especiais: É necessário ter 18 anos devido a questões de seguro. É necessário apresentar comprovante de autorização legal para trabalhar nos Estados Unidos. Ambiente de trabalho livre de drogas, álcool e tabaco. Executar atividades físicas, como levantar, equilibrar-se, caminhar, abaixar-se, manusear, posicionar, mover e manipular materiais, utilizando força estática para exercer força muscular máxima para levantar, empurrar, puxar e carregar objetos de até 23 kg. Todos os candidatos devem ser capazes, dispostos e qualificados para executar o trabalho descrito e devem estar disponíveis durante todo o período especificado e trabalhar em todas as áreas do emprego pretendido. A critério/custo do empregador: o trabalhador poderá ser submetido a testes aleatórios de drogas/álcool durante o emprego: teste positivo/recusa em cumprir o teste = demissão. Possível verificação de antecedentes após a contratação, às custas do empregador. O trabalho é realizado ao ar livre, exposto às intempéries; o trabalhador deve ser capaz de realizar trabalho fisicamente extenuante por longas horas, ocasionalmente em calor ou frio extremos. Condições climáticas variáveis ​​se aplicam; a carga horária pode sofrer alterações (+/-), com possibilidade de períodos de inatividade e/ou horas extras. Número de horas por semana: 40. Horário de trabalho (início/término): 6h às 17h.</v>
      </c>
    </row>
    <row r="64" ht="20.25" customHeight="1">
      <c r="A64" s="3" t="s">
        <v>425</v>
      </c>
      <c r="B64" s="3" t="s">
        <v>426</v>
      </c>
      <c r="C64" s="3" t="s">
        <v>169</v>
      </c>
      <c r="D64" s="3" t="s">
        <v>71</v>
      </c>
      <c r="E64" s="4" t="s">
        <v>19</v>
      </c>
      <c r="F64" s="4" t="s">
        <v>20</v>
      </c>
      <c r="G64" s="4" t="s">
        <v>212</v>
      </c>
      <c r="H64" s="3" t="s">
        <v>427</v>
      </c>
      <c r="I64" s="3" t="s">
        <v>428</v>
      </c>
      <c r="J64" s="4">
        <v>19.94</v>
      </c>
      <c r="K64" s="4">
        <v>15.0</v>
      </c>
      <c r="L64" s="3" t="s">
        <v>121</v>
      </c>
      <c r="M64" s="3" t="s">
        <v>429</v>
      </c>
      <c r="N64" s="7" t="str">
        <f>IFERROR(__xludf.DUMMYFUNCTION("GOOGLETRANSLATE(L64, ""en"", ""pt"")"),"Trabalhador braçal")</f>
        <v>Trabalhador braçal</v>
      </c>
      <c r="O64" s="7" t="str">
        <f>IFERROR(__xludf.DUMMYFUNCTION("IF(M64="""","""",GOOGLETRANSLATE(M64,""en"",""pt""))"),"Executar tarefas que envolvam trabalho físico em canteiros de obras. Pode operar ferramentas manuais e elétricas de todos os tipos: martelos pneumáticos, compactadores de solo, betoneiras, pequenos guindastes mecânicos, equipamentos de topografia e mediçã"&amp;"o, e uma variedade de outros equipamentos e instrumentos. Pode limpar e preparar locais, cavar valas, instalar escoras para sustentar as laterais das escavações, montar andaimes e limpar entulhos, detritos e outros materiais residuais. Deve exercer julgam"&amp;"ento independente; pode ser solicitado a demonstrar tarefas a outros funcionários, mas a função não inclui a supervisão de outros trabalhadores. Pode auxiliar outros trabalhadores especializados. Classificação da Função: 47-2061.00 - Auxiliares de Constru"&amp;"ção. A classificação e descrição da função/setor inclui informações gerais sobre a posição, de acordo com o ONET/OES e o Sistema de Classificação Industrial da América do Norte. Consulte as Funções e a Ordem de Serviço para obter mais informações. Requisi"&amp;"tos da Função: Experiência Necessária: Sim. Meses de Experiência Necessários: 3. Requisitos Especiais: Requer três meses de experiência prévia em construção. Deve levantar/carregar 23 kg, quando necessário. Trabalho aos sábados e domingos, quando necessár"&amp;"io. O empregador exige que trabalhadores estrangeiros e nacionais se submetam a testes de drogas pagos pelo empregador antes do início do trabalho e após a contratação, em caso de suspeita de uso ou acidente. A verificação de elegibilidade para emprego (e"&amp;"-Verify) após a contratação também é obrigatória para trabalhadores estrangeiros e nacionais. O empregador pode oferecer uma jornada de trabalho superior à estipulada, dependendo das condições climáticas, das necessidades da empresa e de outros fatores. C"&amp;"alor extremo, frio, chuva ou seca podem afetar o horário de trabalho exato. Número de horas por semana: 45. Horário de trabalho (início/término): 7h às 17h.")</f>
        <v>Executar tarefas que envolvam trabalho físico em canteiros de obras. Pode operar ferramentas manuais e elétricas de todos os tipos: martelos pneumáticos, compactadores de solo, betoneiras, pequenos guindastes mecânicos, equipamentos de topografia e medição, e uma variedade de outros equipamentos e instrumentos. Pode limpar e preparar locais, cavar valas, instalar escoras para sustentar as laterais das escavações, montar andaimes e limpar entulhos, detritos e outros materiais residuais. Deve exercer julgamento independente; pode ser solicitado a demonstrar tarefas a outros funcionários, mas a função não inclui a supervisão de outros trabalhadores. Pode auxiliar outros trabalhadores especializados. Classificação da Função: 47-2061.00 - Auxiliares de Construção. A classificação e descrição da função/setor inclui informações gerais sobre a posição, de acordo com o ONET/OES e o Sistema de Classificação Industrial da América do Norte. Consulte as Funções e a Ordem de Serviço para obter mais informações. Requisitos da Função: Experiência Necessária: Sim. Meses de Experiência Necessários: 3. Requisitos Especiais: Requer três meses de experiência prévia em construção. Deve levantar/carregar 23 kg, quando necessário. Trabalho aos sábados e domingos, quando necessário. O empregador exige que trabalhadores estrangeiros e nacionais se submetam a testes de drogas pagos pelo empregador antes do início do trabalho e após a contratação, em caso de suspeita de uso ou acidente. A verificação de elegibilidade para emprego (e-Verify) após a contratação também é obrigatória para trabalhadores estrangeiros e nacionais. O empregador pode oferecer uma jornada de trabalho superior à estipulada, dependendo das condições climáticas, das necessidades da empresa e de outros fatores. Calor extremo, frio, chuva ou seca podem afetar o horário de trabalho exato. Número de horas por semana: 45. Horário de trabalho (início/término): 7h às 17h.</v>
      </c>
    </row>
    <row r="65" ht="20.25" customHeight="1">
      <c r="A65" s="8" t="s">
        <v>430</v>
      </c>
      <c r="B65" s="8" t="s">
        <v>431</v>
      </c>
      <c r="C65" s="8" t="s">
        <v>93</v>
      </c>
      <c r="D65" s="8" t="s">
        <v>109</v>
      </c>
      <c r="E65" s="9" t="s">
        <v>19</v>
      </c>
      <c r="F65" s="9" t="s">
        <v>20</v>
      </c>
      <c r="G65" s="9" t="s">
        <v>432</v>
      </c>
      <c r="H65" s="8" t="s">
        <v>433</v>
      </c>
      <c r="I65" s="8"/>
      <c r="J65" s="9">
        <v>18.7</v>
      </c>
      <c r="K65" s="9">
        <v>30.0</v>
      </c>
      <c r="L65" s="8" t="s">
        <v>59</v>
      </c>
      <c r="M65" s="8" t="s">
        <v>434</v>
      </c>
      <c r="N65" s="7" t="str">
        <f>IFERROR(__xludf.DUMMYFUNCTION("GOOGLETRANSLATE(L65, ""en"", ""pt"")"),"Trabalhador de paisagismo")</f>
        <v>Trabalhador de paisagismo</v>
      </c>
      <c r="O65" s="7" t="str">
        <f>IFERROR(__xludf.DUMMYFUNCTION("IF(M65="""","""",GOOGLETRANSLATE(M65,""en"",""pt""))"),"Paisagismo e manutenção de terrenos utilizando ferramentas manuais ou elétricas. Os trabalhadores geralmente executam uma variedade de tarefas sem supervisão direta, que podem incluir qualquer combinação das seguintes atividades: colocação de grama, corte"&amp;" de grama, poda, plantio, irrigação, fertilização, escavação, rastelagem e espalhamento de palha. Classificação da função: 37-3011.00 - Trabalhadores de Paisagismo e Manutenção de Terrenos. A classificação e descrição da função/setor incluem informações g"&amp;"erais sobre o cargo, de acordo com o ONET/OES e o Sistema de Classificação Industrial da América do Norte (NAICS). Consulte as Funções e a Ordem de Serviço para obter mais informações. Requisitos da vaga: Experiência exigida: Não. Requisitos especiais: De"&amp;"ve ser capaz de levantar/carregar 23 kg, quando necessário. Trabalho aos sábados, quando necessário. Exame toxicológico pós-contratação obrigatório para trabalhadores estrangeiros e nacionais. O empregador pode oferecer mais horas de trabalho do que as es"&amp;"tipuladas, dependendo do clima, das necessidades da empresa e de outras condições. Calor extremo, frio, chuva ou seca podem afetar o horário de trabalho exato. Número de horas por semana: 40 Horário de trabalho (início/término): 7h30 - 16h30")</f>
        <v>Paisagismo e manutenção de terrenos utilizando ferramentas manuais ou elétricas. Os trabalhadores geralmente executam uma variedade de tarefas sem supervisão direta, que podem incluir qualquer combinação das seguintes atividades: colocação de grama, corte de grama, poda, plantio, irrigação, fertilização, escavação, rastelagem e espalhamento de palha. Classificação da função: 37-3011.00 - Trabalhadores de Paisagismo e Manutenção de Terrenos. A classificação e descrição da função/setor incluem informações gerais sobre o cargo, de acordo com o ONET/OES e o Sistema de Classificação Industrial da América do Norte (NAICS). Consulte as Funções e a Ordem de Serviço para obter mais informações. Requisitos da vaga: Experiência exigida: Não. Requisitos especiais: Deve ser capaz de levantar/carregar 23 kg, quando necessário. Trabalho aos sábados, quando necessário. Exame toxicológico pós-contratação obrigatório para trabalhadores estrangeiros e nacionais. O empregador pode oferecer mais horas de trabalho do que as estipuladas, dependendo do clima, das necessidades da empresa e de outras condições. Calor extremo, frio, chuva ou seca podem afetar o horário de trabalho exato. Número de horas por semana: 40 Horário de trabalho (início/término): 7h30 - 16h30</v>
      </c>
    </row>
    <row r="66" ht="20.25" customHeight="1">
      <c r="A66" s="3" t="s">
        <v>435</v>
      </c>
      <c r="B66" s="3" t="s">
        <v>436</v>
      </c>
      <c r="C66" s="3" t="s">
        <v>27</v>
      </c>
      <c r="D66" s="3" t="s">
        <v>87</v>
      </c>
      <c r="E66" s="4" t="s">
        <v>19</v>
      </c>
      <c r="F66" s="4" t="s">
        <v>20</v>
      </c>
      <c r="G66" s="4" t="s">
        <v>437</v>
      </c>
      <c r="H66" s="3" t="s">
        <v>438</v>
      </c>
      <c r="I66" s="3" t="s">
        <v>439</v>
      </c>
      <c r="J66" s="4">
        <v>15.77</v>
      </c>
      <c r="K66" s="4">
        <v>120.0</v>
      </c>
      <c r="L66" s="3" t="s">
        <v>440</v>
      </c>
      <c r="M66" s="3" t="s">
        <v>441</v>
      </c>
      <c r="N66" s="7" t="str">
        <f>IFERROR(__xludf.DUMMYFUNCTION("GOOGLETRANSLATE(L66, ""en"", ""pt"")"),"Trabalhador de palha de pinheiro")</f>
        <v>Trabalhador de palha de pinheiro</v>
      </c>
      <c r="O66" s="7" t="str">
        <f>IFERROR(__xludf.DUMMYFUNCTION("IF(M66="""","""",GOOGLETRANSLATE(M66,""en"",""pt""))"),"***Resposta à Solicitação de Informações*** As atividades serão realizadas em propriedades privadas de cultivo de palha de pinheiro ou fazendas de pinheiros. ***F.a.2 Original*** As tarefas podem incluir: limpar, recolher ou remover detritos. Aplicar palh"&amp;"a de pinheiro para fins paisagísticos: enriquecer o solo, prevenir doenças em plantas, erosão, perda da camada superficial do solo, crescimento de ervas daninhas e manter uma temperatura constante de proteção durante o inverno. Reunir, enfardar, carregar,"&amp;" aplicar e abrir fardos de palha de pinheiro e outras atividades relacionadas ao Trabalhador de Palha de Pinheiro, conforme SOC/OES 37-3011 (onetonline.org). Classificação da Função: 37-3011.00 - Trabalhadores de Paisagismo e Manutenção de Áreas Verdes. A"&amp;" classificação e descrição da função/setor incluem informações gerais sobre o cargo, de acordo com o ONET/OES e o Sistema de Classificação Industrial da América do Norte. Consulte as Funções e a Ordem de Serviço para obter mais informações. Requisitos da "&amp;"Função Experiência Necessária: Sim Meses de Experiência Necessários: 3 Requisitos Especiais: É necessário ter 18 anos devido ao seguro. É necessário apresentar comprovante de autorização legal para trabalhar nos Estados Unidos. Ambiente de trabalho livre "&amp;"de drogas, álcool e tabaco. Atividades físicas incluem levantar, equilibrar-se, caminhar, agachar-se, manusear, posicionar, mover e manipular materiais, utilizando força estática para exercer força muscular máxima para levantar, empurrar, puxar e carregar"&amp;" objetos de até 23 kg. Todos os candidatos devem ser capazes, dispostos e qualificados para realizar o trabalho descrito e devem estar disponíveis durante todo o período especificado, trabalhando em todas as áreas da empresa. O trabalho é realizado ao ar "&amp;"livre, exposto às intempéries; o candidato deve ser capaz de realizar trabalho fisicamente extenuante por longos períodos, ocasionalmente em calor ou frio extremos. Condições climáticas variáveis ​​se aplicam; a carga horária pode sofrer alterações (+/-),"&amp;" com possibilidade de períodos de inatividade e/ou horas extras. Número de horas por semana: 40. Horário de trabalho (início/término): 7h às 15h30.")</f>
        <v>***Resposta à Solicitação de Informações*** As atividades serão realizadas em propriedades privadas de cultivo de palha de pinheiro ou fazendas de pinheiros. ***F.a.2 Original*** As tarefas podem incluir: limpar, recolher ou remover detritos. Aplicar palha de pinheiro para fins paisagísticos: enriquecer o solo, prevenir doenças em plantas, erosão, perda da camada superficial do solo, crescimento de ervas daninhas e manter uma temperatura constante de proteção durante o inverno. Reunir, enfardar, carregar, aplicar e abrir fardos de palha de pinheiro e outras atividades relacionadas ao Trabalhador de Palha de Pinheiro, conforme SOC/OES 37-3011 (onetonline.org). Classificação da Função: 37-3011.00 - Trabalhadores de Paisagismo e Manutenção de Áreas Verdes. A classificação e descrição da função/setor incluem informações gerais sobre o cargo, de acordo com o ONET/OES e o Sistema de Classificação Industrial da América do Norte. Consulte as Funções e a Ordem de Serviço para obter mais informações. Requisitos da Função Experiência Necessária: Sim Meses de Experiência Necessários: 3 Requisitos Especiais: É necessário ter 18 anos devido ao seguro. É necessário apresentar comprovante de autorização legal para trabalhar nos Estados Unidos. Ambiente de trabalho livre de drogas, álcool e tabaco. Atividades físicas incluem levantar, equilibrar-se, caminhar, agachar-se, manusear, posicionar, mover e manipular materiais, utilizando força estática para exercer força muscular máxima para levantar, empurrar, puxar e carregar objetos de até 23 kg. Todos os candidatos devem ser capazes, dispostos e qualificados para realizar o trabalho descrito e devem estar disponíveis durante todo o período especificado, trabalhando em todas as áreas da empresa. O trabalho é realizado ao ar livre, exposto às intempéries; o candidato deve ser capaz de realizar trabalho fisicamente extenuante por longos períodos, ocasionalmente em calor ou frio extremos. Condições climáticas variáveis ​​se aplicam; a carga horária pode sofrer alterações (+/-), com possibilidade de períodos de inatividade e/ou horas extras. Número de horas por semana: 40. Horário de trabalho (início/término): 7h às 15h30.</v>
      </c>
    </row>
    <row r="67" ht="20.25" customHeight="1">
      <c r="A67" s="3" t="s">
        <v>442</v>
      </c>
      <c r="B67" s="3" t="s">
        <v>443</v>
      </c>
      <c r="C67" s="3" t="s">
        <v>444</v>
      </c>
      <c r="D67" s="3" t="s">
        <v>28</v>
      </c>
      <c r="E67" s="4" t="s">
        <v>19</v>
      </c>
      <c r="F67" s="4" t="s">
        <v>20</v>
      </c>
      <c r="G67" s="4" t="s">
        <v>37</v>
      </c>
      <c r="H67" s="13" t="s">
        <v>445</v>
      </c>
      <c r="I67" s="3" t="s">
        <v>446</v>
      </c>
      <c r="J67" s="4">
        <v>24.39</v>
      </c>
      <c r="K67" s="4">
        <v>20.0</v>
      </c>
      <c r="L67" s="3" t="s">
        <v>447</v>
      </c>
      <c r="M67" s="3" t="s">
        <v>448</v>
      </c>
      <c r="N67" s="7" t="str">
        <f>IFERROR(__xludf.DUMMYFUNCTION("GOOGLETRANSLATE(L67, ""en"", ""pt"")"),"Marinheiro de convés de barco de ostras")</f>
        <v>Marinheiro de convés de barco de ostras</v>
      </c>
      <c r="O67" s="7" t="str">
        <f>IFERROR(__xludf.DUMMYFUNCTION("IF(M67="""","""",GOOGLETRANSLATE(M67,""en"",""pt""))"),"Colher ostras em áreas designadas. Conectar aparelhos e dispositivos a cabos, braços e guindastes. Carregar e descarregar equipamentos e suprimentos. Prender redes e linhas, puxar, selecionar, limpar e descartar ostras. Devolver ostras pequenas ou ilegais"&amp;" à baía. Transplantar ostras, conchas e pedras conforme instruções. Colocar tubos de PVC e marcadores de ostras. Carregar e descarregar sacos de ostras da embarcação para o cais, câmara frigorífica ou caminhões de carga. Auxiliar na fixação e remoção das "&amp;"amarras da embarcação. Lavar o convés, equipamentos, câmara frigorífica e áreas da cabine utilizadas durante as operações de colheita. Realizar manutenção básica, ocasional e não mecânica, como enxaguar equipamentos, remover detritos e manter as áreas de "&amp;"trabalho limpas para garantir condições seguras de colheita. Cumprir todos os procedimentos de segurança da Guarda Costeira dos EUA e os regulamentos do Departamento de Parques e Vida Selvagem da Louisiana. Qualquer manutenção da embarcação ou equipamento"&amp;" se limita estritamente à limpeza básica e tarefas relacionadas à segurança que são inerentes à colheita de ostras e não envolvem reparos mecânicos ou manutenção especializada. Essas tarefas representam no máximo 2% da duração da temporada, caso sejam nec"&amp;"essárias. Salário: O salário base é de US$ 24,39/hora. Um adicional de hora extra de US$ 36,59/hora será pago quando exigido por lei federal, estadual ou local, incluindo hora e meia após 40 horas semanais. O empregador poderá oferecer aumentos/bônus aos "&amp;"funcionários temporários contratados sob esta ordem de serviço, a seu exclusivo critério, com base em fatores individuais como desempenho, habilidades e tempo de serviço. Os salários serão calculados com base em uma semana de trabalho. Os funcionários rec"&amp;"eberão pagamento quinzenalmente. Horário: Os turnos podem variar, mas um dia de trabalho típico é das 7h às 15h, de segunda a sexta-feira. Poderá ser necessário trabalhar em horários estendidos e fins de semana, conforme a necessidade. A carga horária esp"&amp;"erada é de aproximadamente 35 horas semanais. O empregador poderá oferecer mais horas do que o especificado, dependendo das necessidades da empresa e de outras condições. O empregador fornecerá transporte diário de ida e volta entre o local de trabalho/ca"&amp;"is e diversos locais em águas públicas e privadas ao largo da costa da Louisiana. Classificação da vaga: 45-3031.00 - Trabalhadores da Pesca e Caça. A classificação e descrição da vaga/setor incluem informações gerais sobre o cargo, de acordo com o ONET/O"&amp;"ES e o Sistema de Classificação Industrial da América do Norte (NAICS). Consulte as Funções e a Ordem de Serviço para obter mais informações. Requisitos da vaga: Experiência exigida: Não. Requisitos especiais: Capacidade de levantar/carregar 45 kg. Ausênc"&amp;"ia de doenças infecciosas; alergias a frutos do mar podem ser fatais. Número de horas por semana: 35. Horário de trabalho (início/término): 7h às 15h.")</f>
        <v>Colher ostras em áreas designadas. Conectar aparelhos e dispositivos a cabos, braços e guindastes. Carregar e descarregar equipamentos e suprimentos. Prender redes e linhas, puxar, selecionar, limpar e descartar ostras. Devolver ostras pequenas ou ilegais à baía. Transplantar ostras, conchas e pedras conforme instruções. Colocar tubos de PVC e marcadores de ostras. Carregar e descarregar sacos de ostras da embarcação para o cais, câmara frigorífica ou caminhões de carga. Auxiliar na fixação e remoção das amarras da embarcação. Lavar o convés, equipamentos, câmara frigorífica e áreas da cabine utilizadas durante as operações de colheita. Realizar manutenção básica, ocasional e não mecânica, como enxaguar equipamentos, remover detritos e manter as áreas de trabalho limpas para garantir condições seguras de colheita. Cumprir todos os procedimentos de segurança da Guarda Costeira dos EUA e os regulamentos do Departamento de Parques e Vida Selvagem da Louisiana. Qualquer manutenção da embarcação ou equipamento se limita estritamente à limpeza básica e tarefas relacionadas à segurança que são inerentes à colheita de ostras e não envolvem reparos mecânicos ou manutenção especializada. Essas tarefas representam no máximo 2% da duração da temporada, caso sejam necessárias. Salário: O salário base é de US$ 24,39/hora. Um adicional de hora extra de US$ 36,59/hora será pago quando exigido por lei federal, estadual ou local, incluindo hora e meia após 40 horas semanais. O empregador poderá oferecer aumentos/bônus aos funcionários temporários contratados sob esta ordem de serviço, a seu exclusivo critério, com base em fatores individuais como desempenho, habilidades e tempo de serviço. Os salários serão calculados com base em uma semana de trabalho. Os funcionários receberão pagamento quinzenalmente. Horário: Os turnos podem variar, mas um dia de trabalho típico é das 7h às 15h, de segunda a sexta-feira. Poderá ser necessário trabalhar em horários estendidos e fins de semana, conforme a necessidade. A carga horária esperada é de aproximadamente 35 horas semanais. O empregador poderá oferecer mais horas do que o especificado, dependendo das necessidades da empresa e de outras condições. O empregador fornecerá transporte diário de ida e volta entre o local de trabalho/cais e diversos locais em águas públicas e privadas ao largo da costa da Louisiana. Classificação da vaga: 45-3031.00 - Trabalhadores da Pesca e Caça. A classificação e descrição da vaga/setor incluem informações gerais sobre o cargo, de acordo com o ONET/OES e o Sistema de Classificação Industrial da América do Norte (NAICS). Consulte as Funções e a Ordem de Serviço para obter mais informações. Requisitos da vaga: Experiência exigida: Não. Requisitos especiais: Capacidade de levantar/carregar 45 kg. Ausência de doenças infecciosas; alergias a frutos do mar podem ser fatais. Número de horas por semana: 35. Horário de trabalho (início/término): 7h às 15h.</v>
      </c>
    </row>
    <row r="68" ht="20.25" customHeight="1">
      <c r="A68" s="3" t="s">
        <v>449</v>
      </c>
      <c r="B68" s="3" t="s">
        <v>450</v>
      </c>
      <c r="C68" s="3" t="s">
        <v>54</v>
      </c>
      <c r="D68" s="3" t="s">
        <v>79</v>
      </c>
      <c r="E68" s="4" t="s">
        <v>19</v>
      </c>
      <c r="F68" s="4" t="s">
        <v>20</v>
      </c>
      <c r="G68" s="4" t="s">
        <v>72</v>
      </c>
      <c r="H68" s="3" t="s">
        <v>451</v>
      </c>
      <c r="I68" s="3" t="s">
        <v>452</v>
      </c>
      <c r="J68" s="4">
        <v>17.72</v>
      </c>
      <c r="K68" s="4">
        <v>24.0</v>
      </c>
      <c r="L68" s="3" t="s">
        <v>83</v>
      </c>
      <c r="M68" s="3" t="s">
        <v>453</v>
      </c>
      <c r="N68" s="7" t="str">
        <f>IFERROR(__xludf.DUMMYFUNCTION("GOOGLETRANSLATE(L68, ""en"", ""pt"")"),"Trabalhador Florestal")</f>
        <v>Trabalhador Florestal</v>
      </c>
      <c r="O68" s="7" t="str">
        <f>IFERROR(__xludf.DUMMYFUNCTION("IF(M68="""","""",GOOGLETRANSLATE(M68,""en"",""pt""))"),"As funções podem incluir: transportar, imergir e selecionar mudas de árvores, descartando as mudas abaixo do padrão, de acordo com tabelas padrão ou instruções verbais. Plantar: mudas/árvores. Reduzir a vegetação concorrente: podar árvores ou outras veget"&amp;"ações; cortar árvores ou toras. Limpar/descartar arbustos por meio de empilhamento e poda e dispersão. Possibilidade de dirigir ocasionalmente e outras atividades relacionadas a Trabalhador Florestal, conforme SOC/OES 45-4011 (onetonline.org). Horário pad"&amp;"rão/esperado: segunda a sexta, das 6h às 14h. Oferecemos mais de 40 horas semanais, sem incluir almoço e/ou intervalos. Possibilidade de trabalho em fins de semana/feriados. Os horários de início e término, a carga horária oferecida e/ou horas extras pode"&amp;"m variar, pois podem depender de outros fatores, como necessidades do projeto/cronograma/serviço, clima e tempo de deslocamento entre os locais de trabalho (se aplicável). Horas extras são possíveis, mas não obrigatórias ou garantidas. A critério exclusiv"&amp;"o do empregador: possíveis aumentos e/ou bônus com base em fatores individuais, como desempenho ou habilidades (não garantidos). Pagamento por produção: o trabalhador nunca receberá menos do que o Salário Vigente ou o salário mínimo federal/estadual/munic"&amp;"ipal. Moradia compartilhada opcional disponível sem custo para o trabalhador. Classificação da vaga: 45-4011.00 - Trabalhadores Florestais e de Conservação. A classificação e descrição da vaga/setor incluem informações gerais sobre o cargo, de acordo com "&amp;"o ONET/OES e o Sistema de Classificação Industrial da América do Norte (NAICS). Consulte as Funções e a Ordem de Serviço para obter mais informações. Requisitos da vaga: Experiência exigida: Sim. Meses de experiência exigidos: 3. Requisitos especiais: É n"&amp;"ecessário ter 18 anos devido a viagens. É necessário apresentar comprovante de autorização legal para trabalhar nos Estados Unidos. Ambiente de trabalho livre de drogas, álcool e tabaco. É necessário caminhar bastante (até 24 km/dia), além de se abaixar e"&amp;" se curvar carregando uma mochila (até 23 kg) em terrenos acidentados (fora de trilhas). Todos os candidatos devem ser capazes, estar dispostos e qualificados para executar o trabalho descrito e devem estar disponíveis durante todo o período especificado "&amp;"e trabalhar em todas as áreas do emprego pretendido. A critério do empregador/custo: o trabalhador poderá ser submetido a testes aleatórios de drogas/álcool durante o emprego: teste positivo/recusa em cumprir o teste = demissão. Possível verificação de an"&amp;"tecedentes após a contratação, às custas do empregador. O trabalho é realizado ao ar livre, exposto às intempéries; o candidato deve ser capaz de realizar trabalho fisicamente extenuante por longas horas, ocasionalmente em calor ou frio extremos. As condi"&amp;"ções climáticas são variáveis; a carga horária pode sofrer alterações (+/-), podendo haver períodos de inatividade e/ou horas extras. Número de horas por semana: 40. Horário de trabalho (início/término): 6h às 14h.")</f>
        <v>As funções podem incluir: transportar, imergir e selecionar mudas de árvores, descartando as mudas abaixo do padrão, de acordo com tabelas padrão ou instruções verbais. Plantar: mudas/árvores. Reduzir a vegetação concorrente: podar árvores ou outras vegetações; cortar árvores ou toras. Limpar/descartar arbustos por meio de empilhamento e poda e dispersão. Possibilidade de dirigir ocasionalmente e outras atividades relacionadas a Trabalhador Florestal, conforme SOC/OES 45-4011 (onetonline.org). Horário padrão/esperado: segunda a sexta, das 6h às 14h. Oferecemos mais de 40 horas semanais, sem incluir almoço e/ou intervalos. Possibilidade de trabalho em fins de semana/feriados. Os horários de início e término, a carga horária oferecida e/ou horas extras podem variar, pois podem depender de outros fatores, como necessidades do projeto/cronograma/serviço, clima e tempo de deslocamento entre os locais de trabalho (se aplicável). Horas extras são possíveis, mas não obrigatórias ou garantidas. A critério exclusivo do empregador: possíveis aumentos e/ou bônus com base em fatores individuais, como desempenho ou habilidades (não garantidos). Pagamento por produção: o trabalhador nunca receberá menos do que o Salário Vigente ou o salário mínimo federal/estadual/municipal. Moradia compartilhada opcional disponível sem custo para o trabalhador. Classificação da vaga: 45-4011.00 - Trabalhadores Florestais e de Conservação. A classificação e descrição da vaga/setor incluem informações gerais sobre o cargo, de acordo com o ONET/OES e o Sistema de Classificação Industrial da América do Norte (NAICS). Consulte as Funções e a Ordem de Serviço para obter mais informações. Requisitos da vaga: Experiência exigida: Sim. Meses de experiência exigidos: 3. Requisitos especiais: É necessário ter 18 anos devido a viagens. É necessário apresentar comprovante de autorização legal para trabalhar nos Estados Unidos. Ambiente de trabalho livre de drogas, álcool e tabaco. É necessário caminhar bastante (até 24 km/dia), além de se abaixar e se curvar carregando uma mochila (até 23 kg) em terrenos acidentados (fora de trilhas). Todos os candidatos devem ser capazes, estar dispostos e qualificados para executar o trabalho descrito e devem estar disponíveis durante todo o período especificado e trabalhar em todas as áreas do emprego pretendido. A critério do empregador/custo: o trabalhador poderá ser submetido a testes aleatórios de drogas/álcool durante o emprego: teste positivo/recusa em cumprir o teste = demissão. Possível verificação de antecedentes após a contratação, às custas do empregador. O trabalho é realizado ao ar livre, exposto às intempéries; o candidato deve ser capaz de realizar trabalho fisicamente extenuante por longas horas, ocasionalmente em calor ou frio extremos. As condições climáticas são variáveis; a carga horária pode sofrer alterações (+/-), podendo haver períodos de inatividade e/ou horas extras. Número de horas por semana: 40. Horário de trabalho (início/término): 6h às 14h.</v>
      </c>
    </row>
    <row r="69" ht="20.25" customHeight="1">
      <c r="A69" s="8" t="s">
        <v>454</v>
      </c>
      <c r="B69" s="8" t="s">
        <v>455</v>
      </c>
      <c r="C69" s="8" t="s">
        <v>169</v>
      </c>
      <c r="D69" s="8" t="s">
        <v>64</v>
      </c>
      <c r="E69" s="9" t="s">
        <v>19</v>
      </c>
      <c r="F69" s="9" t="s">
        <v>20</v>
      </c>
      <c r="G69" s="9" t="s">
        <v>229</v>
      </c>
      <c r="H69" s="8" t="s">
        <v>456</v>
      </c>
      <c r="I69" s="8" t="s">
        <v>457</v>
      </c>
      <c r="J69" s="9">
        <v>20.17</v>
      </c>
      <c r="K69" s="9">
        <v>40.0</v>
      </c>
      <c r="L69" s="8" t="s">
        <v>262</v>
      </c>
      <c r="M69" s="8" t="s">
        <v>458</v>
      </c>
      <c r="N69" s="7" t="str">
        <f>IFERROR(__xludf.DUMMYFUNCTION("GOOGLETRANSLATE(L69, ""en"", ""pt"")"),"Operário da construção civil")</f>
        <v>Operário da construção civil</v>
      </c>
      <c r="O69" s="7" t="str">
        <f>IFERROR(__xludf.DUMMYFUNCTION("IF(M69="""","""",GOOGLETRANSLATE(M69,""en"",""pt""))"),"Executar tarefas que envolvam trabalho físico em canteiros de obras. Pode operar ferramentas manuais e elétricas de todos os tipos: martelos pneumáticos, compactadores de solo, betoneiras, pequenos guindastes mecânicos, equipamentos de topografia e mediçã"&amp;"o, e uma variedade de outros equipamentos e instrumentos. Pode limpar e preparar locais, cavar valas, instalar escoras para sustentar as laterais das escavações, montar andaimes e limpar entulhos, detritos e outros materiais residuais. Pode auxiliar outro"&amp;"s trabalhadores especializados. Classificação da Função: 47-2061.00 - Auxiliares de Construção. A classificação e descrição da função/setor inclui informações gerais sobre o cargo, de acordo com o ONET/OES e o Sistema de Classificação Industrial da Améric"&amp;"a do Norte (NAICS). Consulte as Funções e a Ordem de Serviço para obter mais informações. Requisitos da Função: Experiência Necessária: Sim. Meses de Experiência Necessários: 6. Requisitos Especiais: Requer seis meses de experiência em construção. Deve se"&amp;"r capaz de levantar/carregar 23 kg, quando necessário. Trabalho aos sábados e domingos, quando necessário. O empregador exige que trabalhadores estrangeiros e nacionais se submetam a testes de drogas pagos pelo empregador antes do início do trabalho e, ap"&amp;"ós a contratação, aleatoriamente, em caso de suspeita de uso e após acidentes. A verificação de antecedentes e a verificação de elegibilidade para emprego (e-Verify) são obrigatórias para trabalhadores estrangeiros e nacionais após a contratação. O empreg"&amp;"ador pode oferecer mais horas de trabalho do que as estipuladas, dependendo do clima, das necessidades da empresa e de outras condições. Calor extremo, frio, chuva ou seca podem afetar o horário de trabalho exato. Número de horas por semana: 40. Horário d"&amp;"e trabalho (início/término): 6h às 14h30.")</f>
        <v>Executar tarefas que envolvam trabalho físico em canteiros de obras. Pode operar ferramentas manuais e elétricas de todos os tipos: martelos pneumáticos, compactadores de solo, betoneiras, pequenos guindastes mecânicos, equipamentos de topografia e medição, e uma variedade de outros equipamentos e instrumentos. Pode limpar e preparar locais, cavar valas, instalar escoras para sustentar as laterais das escavações, montar andaimes e limpar entulhos, detritos e outros materiais residuais. Pode auxiliar outros trabalhadores especializados. Classificação da Função: 47-2061.00 - Auxiliares de Construção. A classificação e descrição da função/setor inclui informações gerais sobre o cargo, de acordo com o ONET/OES e o Sistema de Classificação Industrial da América do Norte (NAICS). Consulte as Funções e a Ordem de Serviço para obter mais informações. Requisitos da Função: Experiência Necessária: Sim. Meses de Experiência Necessários: 6. Requisitos Especiais: Requer seis meses de experiência em construção. Deve ser capaz de levantar/carregar 23 kg, quando necessário. Trabalho aos sábados e domingos, quando necessário. O empregador exige que trabalhadores estrangeiros e nacionais se submetam a testes de drogas pagos pelo empregador antes do início do trabalho e, após a contratação, aleatoriamente, em caso de suspeita de uso e após acidentes. A verificação de antecedentes e a verificação de elegibilidade para emprego (e-Verify) são obrigatórias para trabalhadores estrangeiros e nacionais após a contratação. O empregador pode oferecer mais horas de trabalho do que as estipuladas, dependendo do clima, das necessidades da empresa e de outras condições. Calor extremo, frio, chuva ou seca podem afetar o horário de trabalho exato. Número de horas por semana: 40. Horário de trabalho (início/término): 6h às 14h30.</v>
      </c>
    </row>
    <row r="70" ht="20.25" customHeight="1">
      <c r="A70" s="3" t="s">
        <v>459</v>
      </c>
      <c r="B70" s="3" t="s">
        <v>460</v>
      </c>
      <c r="C70" s="3" t="s">
        <v>116</v>
      </c>
      <c r="D70" s="3" t="s">
        <v>87</v>
      </c>
      <c r="E70" s="4" t="s">
        <v>19</v>
      </c>
      <c r="F70" s="4" t="s">
        <v>20</v>
      </c>
      <c r="G70" s="4" t="s">
        <v>155</v>
      </c>
      <c r="H70" s="3" t="s">
        <v>461</v>
      </c>
      <c r="I70" s="3" t="s">
        <v>462</v>
      </c>
      <c r="J70" s="4">
        <v>17.86</v>
      </c>
      <c r="K70" s="4">
        <v>31.0</v>
      </c>
      <c r="L70" s="3" t="s">
        <v>463</v>
      </c>
      <c r="M70" s="3" t="s">
        <v>464</v>
      </c>
      <c r="N70" s="7" t="str">
        <f>IFERROR(__xludf.DUMMYFUNCTION("GOOGLETRANSLATE(L70, ""en"", ""pt"")"),"Plantador de árvores")</f>
        <v>Plantador de árvores</v>
      </c>
      <c r="O70" s="7" t="str">
        <f>IFERROR(__xludf.DUMMYFUNCTION("IF(M70="""","""",GOOGLETRANSLATE(M70,""en"",""pt""))"),"As funções podem incluir: cavar vários buracos por dia/durante todo o dia usando uma enxada, pá e/ou plantadeira de solo para plantar mudas de árvores sem raízes em J ou U. As responsabilidades do trabalhador incluem fixar as mudas com cuidado e compactá-"&amp;"las ao redor para garantir o enraizamento adequado. Isso é feito para manter o crescimento das mudas. As funções também incluem a redução da vegetação usando pulverizadores costais (com bico aplicador) ou espalhadores, usando uma solução química para elim"&amp;"inar vegetação indesejada para proteger contra doenças e/ou reduzir a competição com outras plantas, além de outras atividades relacionadas ao plantio de árvores, conforme SOC/OES 45-4011 (onetonline.org). Horário padrão/esperado: segunda a sexta, das 8h "&amp;"às 17h. Oferecemos mais de 40 horas semanais, sem incluir almoço e/ou intervalos. Possibilidade de trabalho nos fins de semana e feriados. Os horários de início e término, a carga horária e/ou horas extras podem variar, pois dependem de fatores como proje"&amp;"to/cronograma/necessidades do serviço, condições climáticas e tempo de deslocamento entre os locais de trabalho (se aplicável). Possibilidade de horas extras, mas não obrigatórias nem garantidas. A critério exclusivo do empregador: possíveis aumentos e/ou"&amp;" bônus com base em fatores individuais, como desempenho ou habilidades (não garantidos). Pagamento por produção pode ser aplicado: o trabalhador nunca receberá menos do que o Salário Vigente ou o salário mínimo federal/estadual/municipal. Moradia comparti"&amp;"lhada opcional disponível sem custo para o trabalhador. Classificação da vaga: 45-4011.00 - Trabalhadores Florestais e de Conservação. A classificação e a descrição da vaga/setor incluem informações gerais sobre o cargo, de acordo com o ONET/OES e o Siste"&amp;"ma de Classificação Industrial da América do Norte. Consulte as Funções e a Ordem de Serviço para obter mais informações. Requisitos da vaga: Experiência exigida: Sim. Meses de experiência exigidos: 3. Requisitos especiais: É necessário ter 18 anos devido"&amp;" a viagens. É necessário apresentar comprovante de autorização legal para trabalhar nos Estados Unidos. Ambiente de trabalho livre de drogas, álcool e tabaco. Executar atividades físicas como: levantar, equilibrar-se, caminhar, abaixar-se, manusear, posic"&amp;"ionar, mover e manipular materiais; usar força estática para exercer força muscular máxima para levantar, empurrar, puxar e carregar objetos de até 45 kg (possivelmente por duas pessoas). Todos os candidatos devem ser capazes, dispostos e qualificados par"&amp;"a executar o trabalho descrito e devem estar disponíveis durante todo o período especificado e trabalhar em todas as áreas do emprego pretendido. A critério/custo do empregador: o trabalhador poderá ser submetido a testes aleatórios de drogas/álcool duran"&amp;"te o emprego: teste positivo/recusa em cumprir o teste = demissão. Possível verificação de antecedentes após a contratação, às custas do empregador. O trabalho é realizado ao ar livre, exposto às intempéries; o trabalhador deve ser capaz de realizar traba"&amp;"lho fisicamente extenuante por longas horas, ocasionalmente em calor ou frio extremos. Condições climáticas variáveis ​​se aplicam; o horário pode flutuar (+/-), com possibilidade de tempo de inatividade e/ou horas extras. Número de horas por semana: 40. "&amp;"Horário de trabalho (início/término): 8h às 17h.")</f>
        <v>As funções podem incluir: cavar vários buracos por dia/durante todo o dia usando uma enxada, pá e/ou plantadeira de solo para plantar mudas de árvores sem raízes em J ou U. As responsabilidades do trabalhador incluem fixar as mudas com cuidado e compactá-las ao redor para garantir o enraizamento adequado. Isso é feito para manter o crescimento das mudas. As funções também incluem a redução da vegetação usando pulverizadores costais (com bico aplicador) ou espalhadores, usando uma solução química para eliminar vegetação indesejada para proteger contra doenças e/ou reduzir a competição com outras plantas, além de outras atividades relacionadas ao plantio de árvores, conforme SOC/OES 45-4011 (onetonline.org). Horário padrão/esperado: segunda a sexta, das 8h às 17h. Oferecemos mais de 40 horas semanais, sem incluir almoço e/ou intervalos. Possibilidade de trabalho nos fins de semana e feriados. Os horários de início e término, a carga horária e/ou horas extras podem variar, pois dependem de fatores como projeto/cronograma/necessidades do serviço, condições climáticas e tempo de deslocamento entre os locais de trabalho (se aplicável). Possibilidade de horas extras, mas não obrigatórias nem garantidas. A critério exclusivo do empregador: possíveis aumentos e/ou bônus com base em fatores individuais, como desempenho ou habilidades (não garantidos). Pagamento por produção pode ser aplicado: o trabalhador nunca receberá menos do que o Salário Vigente ou o salário mínimo federal/estadual/municipal. Moradia compartilhada opcional disponível sem custo para o trabalhador. Classificação da vaga: 45-4011.00 - Trabalhadores Florestais e de Conservação. A classificação e a descrição da vaga/setor incluem informações gerais sobre o cargo, de acordo com o ONET/OES e o Sistema de Classificação Industrial da América do Norte. Consulte as Funções e a Ordem de Serviço para obter mais informações. Requisitos da vaga: Experiência exigida: Sim. Meses de experiência exigidos: 3. Requisitos especiais: É necessário ter 18 anos devido a viagens. É necessário apresentar comprovante de autorização legal para trabalhar nos Estados Unidos. Ambiente de trabalho livre de drogas, álcool e tabaco. Executar atividades físicas como: levantar, equilibrar-se, caminhar, abaixar-se, manusear, posicionar, mover e manipular materiais; usar força estática para exercer força muscular máxima para levantar, empurrar, puxar e carregar objetos de até 45 kg (possivelmente por duas pessoas). Todos os candidatos devem ser capazes, dispostos e qualificados para executar o trabalho descrito e devem estar disponíveis durante todo o período especificado e trabalhar em todas as áreas do emprego pretendido. A critério/custo do empregador: o trabalhador poderá ser submetido a testes aleatórios de drogas/álcool durante o emprego: teste positivo/recusa em cumprir o teste = demissão. Possível verificação de antecedentes após a contratação, às custas do empregador. O trabalho é realizado ao ar livre, exposto às intempéries; o trabalhador deve ser capaz de realizar trabalho fisicamente extenuante por longas horas, ocasionalmente em calor ou frio extremos. Condições climáticas variáveis ​​se aplicam; o horário pode flutuar (+/-), com possibilidade de tempo de inatividade e/ou horas extras. Número de horas por semana: 40. Horário de trabalho (início/término): 8h às 17h.</v>
      </c>
    </row>
    <row r="71" ht="20.25" customHeight="1">
      <c r="A71" s="8" t="s">
        <v>465</v>
      </c>
      <c r="B71" s="8" t="s">
        <v>466</v>
      </c>
      <c r="C71" s="8" t="s">
        <v>116</v>
      </c>
      <c r="D71" s="8" t="s">
        <v>18</v>
      </c>
      <c r="E71" s="9" t="s">
        <v>19</v>
      </c>
      <c r="F71" s="9" t="s">
        <v>20</v>
      </c>
      <c r="G71" s="9" t="s">
        <v>467</v>
      </c>
      <c r="H71" s="8" t="s">
        <v>468</v>
      </c>
      <c r="I71" s="8" t="s">
        <v>469</v>
      </c>
      <c r="J71" s="9">
        <v>16.55</v>
      </c>
      <c r="K71" s="9">
        <v>32.0</v>
      </c>
      <c r="L71" s="8" t="s">
        <v>463</v>
      </c>
      <c r="M71" s="8" t="s">
        <v>470</v>
      </c>
      <c r="N71" s="7" t="str">
        <f>IFERROR(__xludf.DUMMYFUNCTION("GOOGLETRANSLATE(L71, ""en"", ""pt"")"),"Plantador de árvores")</f>
        <v>Plantador de árvores</v>
      </c>
      <c r="O71" s="7" t="str">
        <f>IFERROR(__xludf.DUMMYFUNCTION("IF(M71="""","""",GOOGLETRANSLATE(M71,""en"",""pt""))"),"As funções podem incluir: Seguir as instruções e requisitos de segurança ou plantio. Separar, levantar e transportar árvores e mudas, para então selecionar o local e os requisitos ideais para o plantio. Selecionar mudas de árvores, preparar o solo e plant"&amp;"ar as árvores em áreas de reflorestamento, utilizando ferramentas manuais de plantio, como pá, enxada e plantadeira de solo. Preparação do local e redução da vegetação: reduzir a vegetação concorrente e indesejada por meio de poda/corte, desbaste e limpez"&amp;"a. Aplicar herbicida com pulverizador costal ou outro equipamento apropriado. Auxiliar as equipes de levantamento florestal, limpando as linhas de visada, segurando ferramentas de medição ou instalando estacas e outras atividades relacionadas ao plantio d"&amp;"e árvores, conforme SOC/OES 45-4011 (onetonline.org). Horário padrão/esperado: Segunda a sexta, das 6h30 às 17h. Oferecendo 35 horas ou mais por semana; sem incluir almoço e/ou intervalos. O horário pode variar. Possibilidade de trabalho nos fins de seman"&amp;"a/feriados. Os horários de início e término, a carga horária oferecida e/ou a possibilidade de horas extras podem variar, pois dependem de fatores como necessidades do projeto/cronograma/serviço, condições climáticas e tempo de deslocamento entre os locai"&amp;"s de trabalho (se aplicável). Horas extras são possíveis, mas não obrigatórias nem garantidas. A critério exclusivo do empregador: aumentos salariais e/ou bônus podem ser concedidos com base em fatores individuais, como desempenho ou habilidades (não gara"&amp;"ntidos). Pagamento por produção pode ser aplicado: o trabalhador nunca receberá menos do que o Salário Vigente ou o salário mínimo federal/estadual/municipal. Moradia compartilhada opcional disponível sem custo para o trabalhador. Classificação da vaga: 4"&amp;"5-4011.00 - Trabalhadores Florestais e de Conservação. A classificação e a descrição da vaga/setor incluem informações gerais sobre o cargo, de acordo com o ONET/OES e o Sistema de Classificação Industrial da América do Norte. Consulte as Funções e a Orde"&amp;"m de Serviço para obter mais informações. Requisitos da vaga: Experiência exigida: Sim. Meses de experiência exigidos: 3. Requisitos especiais: É necessário ter 18 anos devido a questões de seguro. É necessário apresentar comprovante de autorização legal "&amp;"para trabalhar nos Estados Unidos. Ambiente de trabalho livre de drogas, álcool e tabaco. Executar atividades físicas, como levantar, equilibrar-se, caminhar, abaixar-se, manusear, posicionar, mover e manipular materiais, utilizando força estática para ex"&amp;"ercer força muscular máxima para levantar, empurrar, puxar e carregar objetos de até 23 kg. Todos os candidatos devem ser capazes, dispostos e qualificados para executar o trabalho descrito e devem estar disponíveis durante todo o período especificado e t"&amp;"rabalhar em todas as áreas do emprego pretendido. A critério/custo do empregador: o trabalhador poderá ser submetido a testes aleatórios de drogas/álcool durante o emprego: teste positivo/recusa em cumprir o teste = demissão. Possível verificação de antec"&amp;"edentes após a contratação, às custas do empregador. O trabalho é realizado ao ar livre, exposto às intempéries; o trabalhador deve ser capaz de realizar trabalho fisicamente extenuante por longas horas, ocasionalmente em calor ou frio extremos. Condições"&amp;" climáticas variáveis ​​se aplicam; a carga horária pode sofrer alterações (+/-), com possibilidade de períodos de inatividade e/ou horas extras. Número de horas por semana: 35. Horário de trabalho (início/término): 6h30 às 17h.")</f>
        <v>As funções podem incluir: Seguir as instruções e requisitos de segurança ou plantio. Separar, levantar e transportar árvores e mudas, para então selecionar o local e os requisitos ideais para o plantio. Selecionar mudas de árvores, preparar o solo e plantar as árvores em áreas de reflorestamento, utilizando ferramentas manuais de plantio, como pá, enxada e plantadeira de solo. Preparação do local e redução da vegetação: reduzir a vegetação concorrente e indesejada por meio de poda/corte, desbaste e limpeza. Aplicar herbicida com pulverizador costal ou outro equipamento apropriado. Auxiliar as equipes de levantamento florestal, limpando as linhas de visada, segurando ferramentas de medição ou instalando estacas e outras atividades relacionadas ao plantio de árvores, conforme SOC/OES 45-4011 (onetonline.org). Horário padrão/esperado: Segunda a sexta, das 6h30 às 17h. Oferecendo 35 horas ou mais por semana; sem incluir almoço e/ou intervalos. O horário pode variar. Possibilidade de trabalho nos fins de semana/feriados. Os horários de início e término, a carga horária oferecida e/ou a possibilidade de horas extras podem variar, pois dependem de fatores como necessidades do projeto/cronograma/serviço, condições climáticas e tempo de deslocamento entre os locais de trabalho (se aplicável). Horas extras são possíveis, mas não obrigatórias nem garantidas. A critério exclusivo do empregador: aumentos salariais e/ou bônus podem ser concedidos com base em fatores individuais, como desempenho ou habilidades (não garantidos). Pagamento por produção pode ser aplicado: o trabalhador nunca receberá menos do que o Salário Vigente ou o salário mínimo federal/estadual/municipal. Moradia compartilhada opcional disponível sem custo para o trabalhador. Classificação da vaga: 45-4011.00 - Trabalhadores Florestais e de Conservação. A classificação e a descrição da vaga/setor incluem informações gerais sobre o cargo, de acordo com o ONET/OES e o Sistema de Classificação Industrial da América do Norte. Consulte as Funções e a Ordem de Serviço para obter mais informações. Requisitos da vaga: Experiência exigida: Sim. Meses de experiência exigidos: 3. Requisitos especiais: É necessário ter 18 anos devido a questões de seguro. É necessário apresentar comprovante de autorização legal para trabalhar nos Estados Unidos. Ambiente de trabalho livre de drogas, álcool e tabaco. Executar atividades físicas, como levantar, equilibrar-se, caminhar, abaixar-se, manusear, posicionar, mover e manipular materiais, utilizando força estática para exercer força muscular máxima para levantar, empurrar, puxar e carregar objetos de até 23 kg. Todos os candidatos devem ser capazes, dispostos e qualificados para executar o trabalho descrito e devem estar disponíveis durante todo o período especificado e trabalhar em todas as áreas do emprego pretendido. A critério/custo do empregador: o trabalhador poderá ser submetido a testes aleatórios de drogas/álcool durante o emprego: teste positivo/recusa em cumprir o teste = demissão. Possível verificação de antecedentes após a contratação, às custas do empregador. O trabalho é realizado ao ar livre, exposto às intempéries; o trabalhador deve ser capaz de realizar trabalho fisicamente extenuante por longas horas, ocasionalmente em calor ou frio extremos. Condições climáticas variáveis ​​se aplicam; a carga horária pode sofrer alterações (+/-), com possibilidade de períodos de inatividade e/ou horas extras. Número de horas por semana: 35. Horário de trabalho (início/término): 6h30 às 17h.</v>
      </c>
    </row>
    <row r="72" ht="20.25" customHeight="1">
      <c r="A72" s="3" t="s">
        <v>471</v>
      </c>
      <c r="B72" s="3" t="s">
        <v>472</v>
      </c>
      <c r="C72" s="3" t="s">
        <v>93</v>
      </c>
      <c r="D72" s="3" t="s">
        <v>403</v>
      </c>
      <c r="E72" s="4" t="s">
        <v>19</v>
      </c>
      <c r="F72" s="4" t="s">
        <v>20</v>
      </c>
      <c r="G72" s="4" t="s">
        <v>473</v>
      </c>
      <c r="H72" s="3" t="s">
        <v>474</v>
      </c>
      <c r="I72" s="3" t="s">
        <v>475</v>
      </c>
      <c r="J72" s="4">
        <v>19.86</v>
      </c>
      <c r="K72" s="4">
        <v>5.0</v>
      </c>
      <c r="L72" s="3" t="s">
        <v>406</v>
      </c>
      <c r="M72" s="3" t="s">
        <v>476</v>
      </c>
      <c r="N72" s="7" t="str">
        <f>IFERROR(__xludf.DUMMYFUNCTION("GOOGLETRANSLATE(L72, ""en"", ""pt"")"),"Trabalhador")</f>
        <v>Trabalhador</v>
      </c>
      <c r="O72" s="7" t="str">
        <f>IFERROR(__xludf.DUMMYFUNCTION("IF(M72="""","""",GOOGLETRANSLATE(M72,""en"",""pt""))"),"***Resposta à Solicitação de Informações*** A poda de árvores será realizada no solo, utilizando um aparador de cerca viva. ***Atribuições Originais*** Auxiliar na execução de diversas tarefas de paisagismo para apoiar o desenvolvimento, a instalação e a "&amp;"manutenção de espaços externos. As atribuições incluem cortar a grama; aparar, podar e podar árvores, arbustos e outras plantas; colocar cobertura morta nos canteiros; plantar flores, arbustos e árvores; capinar; fertilizar; e auxiliar na manutenção geral"&amp;" do terreno para garantir condições paisagísticas saudáveis. Outras atribuições incluem auxiliar na instalação de elementos paisagísticos, carregando blocos, espalhando cascalho, varrendo areia para as juntas, colocando pinos em unidades de muros segmenta"&amp;"dos e limpando a área de trabalho. Os trabalhadores utilizam ferramentas manuais e elétricas, como pás, ancinhos, carrinhos de mão, vassouras, marretas, cortadores de grama, roçadeiras e sopradores a gasolina para concluir as tarefas com segurança e efici"&amp;"ência. Classificação da Função: 37-3011.00 - Trabalhadores de Paisagismo e Manutenção de Jardins. A classificação e descrição da função/setor inclui informações gerais sobre o cargo, de acordo com o ONET/OES e o Sistema de Classificação Industrial da Amér"&amp;"ica do Norte (NAICS). Consulte as Funções e a Ordem de Serviço para obter mais informações. Requisitos da Função Experiência Necessária: Não. Requisitos Especiais: Deve ser capaz de levantar/carregar 23 kg, quando necessário. Trabalho aos sábados e doming"&amp;"os, quando necessário. Testes toxicológicos aleatórios do DOT (Departamento de Transportes dos EUA) são obrigatórios para trabalhadores estrangeiros e nacionais após a contratação. Trabalhadores que possuírem carteira de habilitação válida nos EUA poderão"&amp;" dirigir veículos da empresa (dirigir não é um requisito para todos os funcionários da função). O empregador poderá oferecer mais horas de trabalho do que as estipuladas, dependendo do clima, das necessidades da empresa e de outras condições. Calor extrem"&amp;"o, frio, chuva ou seca podem afetar o horário de trabalho exato. Número de Horas por Semana: 40. Horário de Trabalho (Início/Término): 7h00 - 15h30.")</f>
        <v>***Resposta à Solicitação de Informações*** A poda de árvores será realizada no solo, utilizando um aparador de cerca viva. ***Atribuições Originais*** Auxiliar na execução de diversas tarefas de paisagismo para apoiar o desenvolvimento, a instalação e a manutenção de espaços externos. As atribuições incluem cortar a grama; aparar, podar e podar árvores, arbustos e outras plantas; colocar cobertura morta nos canteiros; plantar flores, arbustos e árvores; capinar; fertilizar; e auxiliar na manutenção geral do terreno para garantir condições paisagísticas saudáveis. Outras atribuições incluem auxiliar na instalação de elementos paisagísticos, carregando blocos, espalhando cascalho, varrendo areia para as juntas, colocando pinos em unidades de muros segmentados e limpando a área de trabalho. Os trabalhadores utilizam ferramentas manuais e elétricas, como pás, ancinhos, carrinhos de mão, vassouras, marretas, cortadores de grama, roçadeiras e sopradores a gasolina para concluir as tarefas com segurança e eficiência. Classificação da Função: 37-3011.00 - Trabalhadores de Paisagismo e Manutenção de Jardins. A classificação e descrição da função/setor inclui informações gerais sobre o cargo, de acordo com o ONET/OES e o Sistema de Classificação Industrial da América do Norte (NAICS). Consulte as Funções e a Ordem de Serviço para obter mais informações. Requisitos da Função Experiência Necessária: Não. Requisitos Especiais: Deve ser capaz de levantar/carregar 23 kg, quando necessário. Trabalho aos sábados e domingos, quando necessário. Testes toxicológicos aleatórios do DOT (Departamento de Transportes dos EUA) são obrigatórios para trabalhadores estrangeiros e nacionais após a contratação. Trabalhadores que possuírem carteira de habilitação válida nos EUA poderão dirigir veículos da empresa (dirigir não é um requisito para todos os funcionários da função). O empregador poderá oferecer mais horas de trabalho do que as estipuladas, dependendo do clima, das necessidades da empresa e de outras condições. Calor extremo, frio, chuva ou seca podem afetar o horário de trabalho exato. Número de Horas por Semana: 40. Horário de Trabalho (Início/Término): 7h00 - 15h30.</v>
      </c>
    </row>
    <row r="73" ht="20.25" customHeight="1">
      <c r="A73" s="8" t="s">
        <v>477</v>
      </c>
      <c r="B73" s="8" t="s">
        <v>478</v>
      </c>
      <c r="C73" s="8" t="s">
        <v>325</v>
      </c>
      <c r="D73" s="8" t="s">
        <v>299</v>
      </c>
      <c r="E73" s="9" t="s">
        <v>19</v>
      </c>
      <c r="F73" s="9" t="s">
        <v>20</v>
      </c>
      <c r="G73" s="9" t="s">
        <v>377</v>
      </c>
      <c r="H73" s="8" t="s">
        <v>479</v>
      </c>
      <c r="I73" s="8" t="s">
        <v>480</v>
      </c>
      <c r="J73" s="9">
        <v>17.05</v>
      </c>
      <c r="K73" s="9">
        <v>20.0</v>
      </c>
      <c r="L73" s="8" t="s">
        <v>481</v>
      </c>
      <c r="M73" s="8" t="s">
        <v>482</v>
      </c>
      <c r="N73" s="7" t="str">
        <f>IFERROR(__xludf.DUMMYFUNCTION("GOOGLETRANSLATE(L73, ""en"", ""pt"")"),"Membro da Equipe de Cozinha (cozinheiro, pratos rápidos)")</f>
        <v>Membro da Equipe de Cozinha (cozinheiro, pratos rápidos)</v>
      </c>
      <c r="O73" s="7" t="str">
        <f>IFERROR(__xludf.DUMMYFUNCTION("IF(M73="""","""",GOOGLETRANSLATE(M73,""en"",""pt""))"),"Responsável pelo preparo de alimentos e pela higienização geral da cozinha. Responsável por manter a área de trabalho e de preparo limpa, incluindo, entre outros, a área de lavagem de louça quando não houver um funcionário escalado para lavar louça presen"&amp;"te. Preparação para o cardápio completo do bar, cardápio de catering e eventos especiais. Montagem de pratos individuais, bem como refeições em estilo buffet e pratos individuais para grandes grupos. Deve manter os padrões da empresa em relação à qualidad"&amp;"e e apresentação dos alimentos. Seguir as regras, regulamentos e os valores da empresa (Gentileza, Comunicação, Pontualidade, Atitudes Positivas e Consciência da Saúde Mental Pessoal). Participação em curso de treinamento fornecido pelo Legends Bar &amp; Gril"&amp;"l sobre segurança na cozinha para garantir o mais alto nível de higiene e manipulação de alimentos. O membro da equipe monitorará o estoque, receberá pedidos e fará o rodízio dos produtos. Obrigatório manter a higiene pessoal de acordo com as normas estad"&amp;"uais. O preparo de alimentos inclui: Limpar e higienizar áreas de trabalho, equipamentos, utensílios e pratos. Pesar ou medir ingredientes, como carnes e líquidos. Preparar frutas e vegetais para o cozimento. Cortar carnes, aves e frutos do mar e prepará-"&amp;"los para o cozimento. Misturar ingredientes para saladas. Classificação da vaga: 35-2021.00 - Auxiliares de Cozinha. A classificação e descrição da vaga/setor inclui informações gerais sobre o cargo, conforme o ONET/OES e o Sistema de Classificação Indust"&amp;"rial da América do Norte (NAICS). Consulte as Funções e a Ordem de Serviço para obter mais informações. Requisitos da vaga: Experiência necessária: Não. Número de horas por semana: 56. Horário de trabalho (início/término): 5h às 0h.")</f>
        <v>Responsável pelo preparo de alimentos e pela higienização geral da cozinha. Responsável por manter a área de trabalho e de preparo limpa, incluindo, entre outros, a área de lavagem de louça quando não houver um funcionário escalado para lavar louça presente. Preparação para o cardápio completo do bar, cardápio de catering e eventos especiais. Montagem de pratos individuais, bem como refeições em estilo buffet e pratos individuais para grandes grupos. Deve manter os padrões da empresa em relação à qualidade e apresentação dos alimentos. Seguir as regras, regulamentos e os valores da empresa (Gentileza, Comunicação, Pontualidade, Atitudes Positivas e Consciência da Saúde Mental Pessoal). Participação em curso de treinamento fornecido pelo Legends Bar &amp; Grill sobre segurança na cozinha para garantir o mais alto nível de higiene e manipulação de alimentos. O membro da equipe monitorará o estoque, receberá pedidos e fará o rodízio dos produtos. Obrigatório manter a higiene pessoal de acordo com as normas estaduais. O preparo de alimentos inclui: Limpar e higienizar áreas de trabalho, equipamentos, utensílios e pratos. Pesar ou medir ingredientes, como carnes e líquidos. Preparar frutas e vegetais para o cozimento. Cortar carnes, aves e frutos do mar e prepará-los para o cozimento. Misturar ingredientes para saladas. Classificação da vaga: 35-2021.00 - Auxiliares de Cozinha. A classificação e descrição da vaga/setor inclui informações gerais sobre o cargo, conforme o ONET/OES e o Sistema de Classificação Industrial da América do Norte (NAICS). Consulte as Funções e a Ordem de Serviço para obter mais informações. Requisitos da vaga: Experiência necessária: Não. Número de horas por semana: 56. Horário de trabalho (início/término): 5h às 0h.</v>
      </c>
    </row>
    <row r="74" ht="20.25" customHeight="1">
      <c r="A74" s="3" t="s">
        <v>483</v>
      </c>
      <c r="B74" s="3" t="s">
        <v>196</v>
      </c>
      <c r="C74" s="3" t="s">
        <v>197</v>
      </c>
      <c r="D74" s="3" t="s">
        <v>71</v>
      </c>
      <c r="E74" s="4" t="s">
        <v>19</v>
      </c>
      <c r="F74" s="4" t="s">
        <v>20</v>
      </c>
      <c r="G74" s="4" t="s">
        <v>377</v>
      </c>
      <c r="H74" s="3" t="s">
        <v>199</v>
      </c>
      <c r="I74" s="3" t="s">
        <v>200</v>
      </c>
      <c r="J74" s="4">
        <v>16.01</v>
      </c>
      <c r="K74" s="4">
        <v>4.0</v>
      </c>
      <c r="L74" s="3" t="s">
        <v>484</v>
      </c>
      <c r="M74" s="3" t="s">
        <v>485</v>
      </c>
      <c r="N74" s="7" t="str">
        <f>IFERROR(__xludf.DUMMYFUNCTION("GOOGLETRANSLATE(L74, ""en"", ""pt"")"),"Auxiliares de recreação")</f>
        <v>Auxiliares de recreação</v>
      </c>
      <c r="O74" s="7" t="str">
        <f>IFERROR(__xludf.DUMMYFUNCTION("IF(M74="""","""",GOOGLETRANSLATE(M74,""en"",""pt""))"),"***Resposta à Solicitação de Informações*** O trabalho é realizado em um clube de campo privado com instalações recreativas, incluindo piscina, academia e quadras de tênis, onde os funcionários monitoram as atividades dos sócios, garantem a segurança e fa"&amp;"zem cumprir as regras do local. Os funcionários podem prestar assistência administrativa, verificando cartões de sócio, confirmando reservas, respondendo a perguntas de sócios e fornecendo informações sobre as instalações e serviços do clube. A organizaçã"&amp;"o de mercadorias inclui organizar, estocar e exibir itens de varejo, como toalhas, roupas, acessórios e lanches, nas áreas de lazer. As tarefas de limpeza incluem a limpeza de mesas, balcões, cadeiras, equipamentos de ginástica e áreas comuns, utilizando "&amp;"produtos de limpeza padrão, desinfetantes, esfregões, vassouras, panos e aspiradores de pó. Os funcionários também monitoram as atividades nas instalações e auxiliam os membros conforme necessário para manter um ambiente limpo, seguro e organizado. ***Ori"&amp;"ginal*** MONITORAR AS ATIVIDADES NAS INSTALAÇÕES. PODE PRESTAR ASSISTÊNCIA ADMINISTRATIVA AOS ASSOCIADOS, INCLUINDO VERIFICAÇÃO DE CARTÕES DE ASSOCIADO, CONFIRMAÇÃO DE RESERVAS, ORGANIZAÇÃO DE MERCADORIAS E FORNECIMENTO DE INFORMAÇÕES SOBRE AS INSTALAÇÕES"&amp;", LIMPEZA SIMPLES. Classificação da Função: 37-2012.00 - Empregadas Domésticas e Auxiliares de Limpeza. A classificação e descrição da função/setor inclui informações gerais sobre o cargo, de acordo com o ONET/OES e o Sistema de Classificação Industrial d"&amp;"a América do Norte. Consulte as Funções e a Ordem de Serviço para obter mais informações. Requisitos da Função: Experiência Necessária: Não. Requisitos Especiais: Turnos rotativos entre 7h e 23h. Verificação de antecedentes criminais pré-contratação obrig"&amp;"atória para trabalhadores americanos e trabalhadores com visto H2B. Número de Horas por Semana: 35. Horário de Trabalho (Início/Término): 7h às 23h.")</f>
        <v>***Resposta à Solicitação de Informações*** O trabalho é realizado em um clube de campo privado com instalações recreativas, incluindo piscina, academia e quadras de tênis, onde os funcionários monitoram as atividades dos sócios, garantem a segurança e fazem cumprir as regras do local. Os funcionários podem prestar assistência administrativa, verificando cartões de sócio, confirmando reservas, respondendo a perguntas de sócios e fornecendo informações sobre as instalações e serviços do clube. A organização de mercadorias inclui organizar, estocar e exibir itens de varejo, como toalhas, roupas, acessórios e lanches, nas áreas de lazer. As tarefas de limpeza incluem a limpeza de mesas, balcões, cadeiras, equipamentos de ginástica e áreas comuns, utilizando produtos de limpeza padrão, desinfetantes, esfregões, vassouras, panos e aspiradores de pó. Os funcionários também monitoram as atividades nas instalações e auxiliam os membros conforme necessário para manter um ambiente limpo, seguro e organizado. ***Original*** MONITORAR AS ATIVIDADES NAS INSTALAÇÕES. PODE PRESTAR ASSISTÊNCIA ADMINISTRATIVA AOS ASSOCIADOS, INCLUINDO VERIFICAÇÃO DE CARTÕES DE ASSOCIADO, CONFIRMAÇÃO DE RESERVAS, ORGANIZAÇÃO DE MERCADORIAS E FORNECIMENTO DE INFORMAÇÕES SOBRE AS INSTALAÇÕES, LIMPEZA SIMPLES. Classificação da Função: 37-2012.00 - Empregadas Domésticas e Auxiliares de Limpeza. A classificação e descrição da função/setor inclui informações gerais sobre o cargo, de acordo com o ONET/OES e o Sistema de Classificação Industrial da América do Norte. Consulte as Funções e a Ordem de Serviço para obter mais informações. Requisitos da Função: Experiência Necessária: Não. Requisitos Especiais: Turnos rotativos entre 7h e 23h. Verificação de antecedentes criminais pré-contratação obrigatória para trabalhadores americanos e trabalhadores com visto H2B. Número de Horas por Semana: 35. Horário de Trabalho (Início/Término): 7h às 23h.</v>
      </c>
    </row>
    <row r="75" ht="20.25" customHeight="1">
      <c r="A75" s="8" t="s">
        <v>486</v>
      </c>
      <c r="B75" s="8" t="s">
        <v>196</v>
      </c>
      <c r="C75" s="8" t="s">
        <v>197</v>
      </c>
      <c r="D75" s="8" t="s">
        <v>71</v>
      </c>
      <c r="E75" s="9" t="s">
        <v>19</v>
      </c>
      <c r="F75" s="9" t="s">
        <v>20</v>
      </c>
      <c r="G75" s="9" t="s">
        <v>198</v>
      </c>
      <c r="H75" s="8" t="s">
        <v>199</v>
      </c>
      <c r="I75" s="8" t="s">
        <v>200</v>
      </c>
      <c r="J75" s="9">
        <v>16.01</v>
      </c>
      <c r="K75" s="9">
        <v>2.0</v>
      </c>
      <c r="L75" s="8" t="s">
        <v>177</v>
      </c>
      <c r="M75" s="8" t="s">
        <v>487</v>
      </c>
      <c r="N75" s="7" t="str">
        <f>IFERROR(__xludf.DUMMYFUNCTION("GOOGLETRANSLATE(L75, ""en"", ""pt"")"),"Empregadas domésticas")</f>
        <v>Empregadas domésticas</v>
      </c>
      <c r="O75" s="7" t="str">
        <f>IFERROR(__xludf.DUMMYFUNCTION("IF(M75="""","""",GOOGLETRANSLATE(M75,""en"",""pt""))"),"Arrumar camas, trocar lençóis sujos, limpar banheiros, aspirar e lavar pisos, limpar janelas. Levar o lixo para fora. Lavar, secar e dobrar itens como lençóis, cobertores e fronhas. Classificação da vaga: 37-2012.00 - Empregadas domésticas e auxiliares de"&amp;" limpeza. A classificação e descrição da vaga/setor incluem informações gerais sobre o cargo, de acordo com o ONET/OES e o Sistema de Classificação Industrial da América do Norte. Consulte as atribuições e a ordem de serviço para obter mais informações. R"&amp;"equisitos da vaga: Experiência necessária: Não. Requisitos especiais: Turnos rotativos de segunda a domingo, das 6h às 22h. Verificação de antecedentes criminais pré-contratação obrigatória para trabalhadores americanos e trabalhadores com visto H2B. Núme"&amp;"ro de horas por semana: 40. Horário de trabalho (início/término): 6h às 22h.")</f>
        <v>Arrumar camas, trocar lençóis sujos, limpar banheiros, aspirar e lavar pisos, limpar janelas. Levar o lixo para fora. Lavar, secar e dobrar itens como lençóis, cobertores e fronhas. Classificação da vaga: 37-2012.00 - Empregadas domésticas e auxiliares de limpeza. A classificação e descrição da vaga/setor incluem informações gerais sobre o cargo, de acordo com o ONET/OES e o Sistema de Classificação Industrial da América do Norte. Consulte as atribuições e a ordem de serviço para obter mais informações. Requisitos da vaga: Experiência necessária: Não. Requisitos especiais: Turnos rotativos de segunda a domingo, das 6h às 22h. Verificação de antecedentes criminais pré-contratação obrigatória para trabalhadores americanos e trabalhadores com visto H2B. Número de horas por semana: 40. Horário de trabalho (início/término): 6h às 22h.</v>
      </c>
    </row>
    <row r="76" ht="20.25" customHeight="1">
      <c r="A76" s="3" t="s">
        <v>488</v>
      </c>
      <c r="B76" s="3" t="s">
        <v>196</v>
      </c>
      <c r="C76" s="3" t="s">
        <v>197</v>
      </c>
      <c r="D76" s="3" t="s">
        <v>71</v>
      </c>
      <c r="E76" s="4" t="s">
        <v>44</v>
      </c>
      <c r="F76" s="4" t="s">
        <v>20</v>
      </c>
      <c r="G76" s="4" t="s">
        <v>198</v>
      </c>
      <c r="H76" s="3" t="s">
        <v>199</v>
      </c>
      <c r="I76" s="3" t="s">
        <v>200</v>
      </c>
      <c r="J76" s="4">
        <v>17.3</v>
      </c>
      <c r="K76" s="4">
        <v>7.0</v>
      </c>
      <c r="L76" s="3" t="s">
        <v>489</v>
      </c>
      <c r="M76" s="3" t="s">
        <v>490</v>
      </c>
      <c r="N76" s="7" t="str">
        <f>IFERROR(__xludf.DUMMYFUNCTION("GOOGLETRANSLATE(L76, ""en"", ""pt"")"),"Cozinheiros de linha")</f>
        <v>Cozinheiros de linha</v>
      </c>
      <c r="O76" s="7" t="str">
        <f>IFERROR(__xludf.DUMMYFUNCTION("IF(M76="""","""",GOOGLETRANSLATE(M76,""en"",""pt""))"),"PREPARAR, REFOGAR, GRELHAR E COZINHAR ITENS COMO CARNES, FRUTOS DO MAR, AVES, VEGETAIS, SOPAS E SALADAS. MANTER TODAS AS ÁREAS DE COZIMENTO E COZINHA LIMPAS E HIGIENIZADAS. Classificação do Cargo: 35-2014.00 - Cozinheiros, Restaurante. A classificação e d"&amp;"escrição do cargo/setor incluem informações gerais sobre a posição, de acordo com o ONET/OES e o Sistema de Classificação Industrial da América do Norte. Consulte as Funções e a Ordem de Serviço para obter mais informações. Requisitos do Cargo: Experiênci"&amp;"a Necessária: Não. Requisitos Especiais: TURNOS ROTATIVOS DE SEGUNDA A DOMINGO, DAS 6H ÀS 22H. Verificação de antecedentes criminais pré-contratação obrigatória para trabalhadores americanos e trabalhadores com visto H2B. Número de Horas por Semana: 40. H"&amp;"orário de Trabalho (Início/Término): 6h às 22h.")</f>
        <v>PREPARAR, REFOGAR, GRELHAR E COZINHAR ITENS COMO CARNES, FRUTOS DO MAR, AVES, VEGETAIS, SOPAS E SALADAS. MANTER TODAS AS ÁREAS DE COZIMENTO E COZINHA LIMPAS E HIGIENIZADAS. Classificação do Cargo: 35-2014.00 - Cozinheiros, Restaurante. A classificação e descrição do cargo/setor incluem informações gerais sobre a posição, de acordo com o ONET/OES e o Sistema de Classificação Industrial da América do Norte. Consulte as Funções e a Ordem de Serviço para obter mais informações. Requisitos do Cargo: Experiência Necessária: Não. Requisitos Especiais: TURNOS ROTATIVOS DE SEGUNDA A DOMINGO, DAS 6H ÀS 22H. Verificação de antecedentes criminais pré-contratação obrigatória para trabalhadores americanos e trabalhadores com visto H2B. Número de Horas por Semana: 40. Horário de Trabalho (Início/Término): 6h às 22h.</v>
      </c>
    </row>
    <row r="77" ht="20.25" customHeight="1">
      <c r="A77" s="8" t="s">
        <v>491</v>
      </c>
      <c r="B77" s="8" t="s">
        <v>492</v>
      </c>
      <c r="C77" s="8" t="s">
        <v>125</v>
      </c>
      <c r="D77" s="8" t="s">
        <v>306</v>
      </c>
      <c r="E77" s="9" t="s">
        <v>19</v>
      </c>
      <c r="F77" s="9" t="s">
        <v>20</v>
      </c>
      <c r="G77" s="9" t="s">
        <v>65</v>
      </c>
      <c r="H77" s="8" t="s">
        <v>493</v>
      </c>
      <c r="I77" s="8" t="s">
        <v>494</v>
      </c>
      <c r="J77" s="9">
        <v>22.41</v>
      </c>
      <c r="K77" s="9">
        <v>5.0</v>
      </c>
      <c r="L77" s="8" t="s">
        <v>129</v>
      </c>
      <c r="M77" s="8" t="s">
        <v>495</v>
      </c>
      <c r="N77" s="7" t="str">
        <f>IFERROR(__xludf.DUMMYFUNCTION("GOOGLETRANSLATE(L77, ""en"", ""pt"")"),"Trabalhador de paisagismo e manutenção de jardins")</f>
        <v>Trabalhador de paisagismo e manutenção de jardins</v>
      </c>
      <c r="O77" s="7" t="str">
        <f>IFERROR(__xludf.DUMMYFUNCTION("IF(M77="""","""",GOOGLETRANSLATE(M77,""en"",""pt""))"),"As funções incluem a instalação de árvores, arbustos ou flores durante o período de dormência, seguindo o padrão de design apropriado. Isso inclui descarregar materiais, cavar buracos para o sistema radicular, cobrir os buracos adequadamente e, às vezes, "&amp;"colocar grama em placas, plantar sementes de grama ou conectar a irrigação. Também envolve a remoção de folhas, plantio de sementes e palha, aeração do gramado, plantio de arbustos, escavação, rastelagem e instalação de blocos de concreto pré-moldados sem"&amp;" argamassa. Os trabalhadores podem coletar e remover lixo, regar gramados, árvores e plantas semeadas, além de podar árvores, arbustos ou sebes. Podem operar equipamentos motorizados e dirigir veículos até os locais dos clientes. As tarefas podem incluir "&amp;"colocação de grama em placas, corte de grama, rega de plantas e gramados, transplante de plantas, fertilização, escavação, rastelagem e instalação de aspersores. Os funcionários cavarão valas com no máximo 15 a 30 cm de profundidade e 15 a 30 cm de largur"&amp;"a com pás e ferramentas manuais. Essas valas são usadas para acomodar a tubulação utilizada na instalação de sistemas de irrigação. Toda a poda/aparamento será feita no solo. Os trabalhadores não realizarão nenhuma atividade de poda ou corte acima do níve"&amp;"l do solo. O trabalhador poderá transportar outros trabalhadores de e para os locais de trabalho ocasionalmente, porém esta não será sua principal função. Classificação do Cargo: 37-3011.00 - Trabalhadores de Paisagismo e Manutenção de Jardins. A classifi"&amp;"cação e descrição do cargo/setor inclui informações gerais sobre a posição, de acordo com o ONET/OES e o Sistema de Classificação Industrial da América do Norte (NAICS). Consulte as Funções e a Ordem de Serviço para obter mais informações. Requisitos do C"&amp;"argo Experiência Necessária: Sim Meses de Experiência Necessários: 3 Requisitos Especiais: Deve possuir carteira de habilitação válida. Deve ser capaz de levantar 23 kg. Movimentos repetitivos, empurrar/puxar extensivamente, caminhar extensivamente, agach"&amp;"ar-se frequentemente, exposição a temperaturas extremas, 3 meses de experiência em paisagismo. Exame toxicológico pós-admissão por conta do empregador. De acordo com a legislação estadual de Michigan, Lei 338 de Licença Médica Remunerada, os empregadores "&amp;"são obrigados a fornecer licença médica remunerada aos seus funcionários. A quantidade de licença médica remunerada fornecida pode variar dependendo do porte da empresa. Número de horas por semana: 40 Horário de trabalho (início/término): 7h00 - 16h00")</f>
        <v>As funções incluem a instalação de árvores, arbustos ou flores durante o período de dormência, seguindo o padrão de design apropriado. Isso inclui descarregar materiais, cavar buracos para o sistema radicular, cobrir os buracos adequadamente e, às vezes, colocar grama em placas, plantar sementes de grama ou conectar a irrigação. Também envolve a remoção de folhas, plantio de sementes e palha, aeração do gramado, plantio de arbustos, escavação, rastelagem e instalação de blocos de concreto pré-moldados sem argamassa. Os trabalhadores podem coletar e remover lixo, regar gramados, árvores e plantas semeadas, além de podar árvores, arbustos ou sebes. Podem operar equipamentos motorizados e dirigir veículos até os locais dos clientes. As tarefas podem incluir colocação de grama em placas, corte de grama, rega de plantas e gramados, transplante de plantas, fertilização, escavação, rastelagem e instalação de aspersores. Os funcionários cavarão valas com no máximo 15 a 30 cm de profundidade e 15 a 30 cm de largura com pás e ferramentas manuais. Essas valas são usadas para acomodar a tubulação utilizada na instalação de sistemas de irrigação. Toda a poda/aparamento será feita no solo. Os trabalhadores não realizarão nenhuma atividade de poda ou corte acima do nível do solo. O trabalhador poderá transportar outros trabalhadores de e para os locais de trabalho ocasionalmente, porém esta não será sua principal função. Classificação do Cargo: 37-3011.00 - Trabalhadores de Paisagismo e Manutenção de Jardins. A classificação e descrição do cargo/setor inclui informações gerais sobre a posição, de acordo com o ONET/OES e o Sistema de Classificação Industrial da América do Norte (NAICS). Consulte as Funções e a Ordem de Serviço para obter mais informações. Requisitos do Cargo Experiência Necessária: Sim Meses de Experiência Necessários: 3 Requisitos Especiais: Deve possuir carteira de habilitação válida. Deve ser capaz de levantar 23 kg. Movimentos repetitivos, empurrar/puxar extensivamente, caminhar extensivamente, agachar-se frequentemente, exposição a temperaturas extremas, 3 meses de experiência em paisagismo. Exame toxicológico pós-admissão por conta do empregador. De acordo com a legislação estadual de Michigan, Lei 338 de Licença Médica Remunerada, os empregadores são obrigados a fornecer licença médica remunerada aos seus funcionários. A quantidade de licença médica remunerada fornecida pode variar dependendo do porte da empresa. Número de horas por semana: 40 Horário de trabalho (início/término): 7h00 - 16h00</v>
      </c>
    </row>
    <row r="78" ht="20.25" customHeight="1">
      <c r="A78" s="3" t="s">
        <v>496</v>
      </c>
      <c r="B78" s="3" t="s">
        <v>497</v>
      </c>
      <c r="C78" s="3" t="s">
        <v>101</v>
      </c>
      <c r="D78" s="3" t="s">
        <v>498</v>
      </c>
      <c r="E78" s="4" t="s">
        <v>19</v>
      </c>
      <c r="F78" s="4" t="s">
        <v>20</v>
      </c>
      <c r="G78" s="4" t="s">
        <v>345</v>
      </c>
      <c r="H78" s="3" t="s">
        <v>499</v>
      </c>
      <c r="I78" s="3" t="s">
        <v>500</v>
      </c>
      <c r="J78" s="4">
        <v>20.19</v>
      </c>
      <c r="K78" s="4">
        <v>2.0</v>
      </c>
      <c r="L78" s="3" t="s">
        <v>501</v>
      </c>
      <c r="M78" s="3" t="s">
        <v>502</v>
      </c>
      <c r="N78" s="7" t="str">
        <f>IFERROR(__xludf.DUMMYFUNCTION("GOOGLETRANSLATE(L78, ""en"", ""pt"")"),"Auxiliar de Manutenção")</f>
        <v>Auxiliar de Manutenção</v>
      </c>
      <c r="O78" s="7" t="str">
        <f>IFERROR(__xludf.DUMMYFUNCTION("IF(M78="""","""",GOOGLETRANSLATE(M78,""en"",""pt""))"),"As funções podem incluir: Auxiliar os trabalhadores de instalação, manutenção e reparo na manutenção, substituição de peças e conserto de equipamentos de pesca no gelo. Executar tarefas como fornecer ferramentas, materiais e suprimentos para outros trabal"&amp;"hadores; limpar a área de trabalho, máquinas e ferramentas; e segurar materiais ou ferramentas para outros trabalhadores, além de outras atividades relacionadas à função de Auxiliar de Manutenção, conforme SOC/OES 49-9098 (onetonline.org). Horário padrão/"&amp;"esperado: Segunda a sábado, das 7h às 16h. Oferecemos 48 horas ou mais por semana, sem incluir almoço e/ou intervalos. A escala semanal pode variar de acordo com as necessidades da empresa. Possibilidade de trabalho em fins de semana e feriados. Os horári"&amp;"os de início e término, a carga horária oferecida e/ou horas extras podem variar, pois dependem de fatores como necessidades do projeto/cronograma/serviço, condições climáticas e tempo de deslocamento entre os locais de trabalho (se aplicável). Horas extr"&amp;"as são possíveis, mas não obrigatórias nem garantidas. A critério exclusivo do empregador: aumentos salariais e/ou bônus podem ser concedidos com base em fatores individuais, como desempenho ou habilidades (não garantidos). Alojamento compartilhado opcion"&amp;"al e limitado disponível para o trabalhador (incluindo água, energia e coleta de lixo) sem custo. Classificação da vaga: 49-9098.00 - Ajudantes - Trabalhadores de Instalação, Manutenção e Reparo. A classificação e descrição da vaga/setor incluem informaçõ"&amp;"es gerais sobre o cargo, de acordo com o ONET/OES e o Sistema de Classificação Industrial da América do Norte (NAICS). Consulte as Funções e a Ordem de Serviço para obter mais informações. Requisitos da vaga: Experiência necessária: Não. Requisitos especi"&amp;"ais: É necessário ter 18 anos devido ao uso de equipamentos. É necessário apresentar comprovante de autorização legal para trabalhar nos Estados Unidos. Ambiente de trabalho livre de drogas, álcool e tabaco. Executar atividades físicas, como levantar, equ"&amp;"ilibrar-se, caminhar, abaixar-se, manusear, posicionar, mover e manipular materiais, utilizando força estática para exercer força muscular máxima para levantar, empurrar, puxar e carregar objetos de até 23 kg (50 lbs). Todos os candidatos devem ser capaze"&amp;"s, estar dispostos e qualificados para executar o trabalho descrito e devem estar disponíveis durante todo o período especificado e trabalhar em todas as áreas do emprego pretendido. A critério do empregador/custo: O trabalhador poderá ser submetido a tes"&amp;"tes aleatórios de drogas/álcool durante o emprego: teste positivo/recusa em cumprir o teste = demissão. Possível verificação de antecedentes após a contratação, às custas do empregador. O trabalho é realizado ao ar livre, exposto às intempéries; o candida"&amp;"to deve ser capaz de realizar trabalho fisicamente extenuante por longas horas, ocasionalmente em calor ou frio extremos. As condições climáticas são variáveis; a carga horária pode sofrer alterações (+/-), podendo haver períodos de inatividade e/ou horas"&amp;" extras. Número de horas por semana: 48. Horário de trabalho (início/término): 7h às 16h.")</f>
        <v>As funções podem incluir: Auxiliar os trabalhadores de instalação, manutenção e reparo na manutenção, substituição de peças e conserto de equipamentos de pesca no gelo. Executar tarefas como fornecer ferramentas, materiais e suprimentos para outros trabalhadores; limpar a área de trabalho, máquinas e ferramentas; e segurar materiais ou ferramentas para outros trabalhadores, além de outras atividades relacionadas à função de Auxiliar de Manutenção, conforme SOC/OES 49-9098 (onetonline.org). Horário padrão/esperado: Segunda a sábado, das 7h às 16h. Oferecemos 48 horas ou mais por semana, sem incluir almoço e/ou intervalos. A escala semanal pode variar de acordo com as necessidades da empresa. Possibilidade de trabalho em fins de semana e feriados. Os horários de início e término, a carga horária oferecida e/ou horas extras podem variar, pois dependem de fatores como necessidades do projeto/cronograma/serviço, condições climáticas e tempo de deslocamento entre os locais de trabalho (se aplicável). Horas extras são possíveis, mas não obrigatórias nem garantidas. A critério exclusivo do empregador: aumentos salariais e/ou bônus podem ser concedidos com base em fatores individuais, como desempenho ou habilidades (não garantidos). Alojamento compartilhado opcional e limitado disponível para o trabalhador (incluindo água, energia e coleta de lixo) sem custo. Classificação da vaga: 49-9098.00 - Ajudantes - Trabalhadores de Instalação, Manutenção e Reparo. A classificação e descrição da vaga/setor incluem informações gerais sobre o cargo, de acordo com o ONET/OES e o Sistema de Classificação Industrial da América do Norte (NAICS). Consulte as Funções e a Ordem de Serviço para obter mais informações. Requisitos da vaga: Experiência necessária: Não. Requisitos especiais: É necessário ter 18 anos devido ao uso de equipamentos. É necessário apresentar comprovante de autorização legal para trabalhar nos Estados Unidos. Ambiente de trabalho livre de drogas, álcool e tabaco. Executar atividades físicas, como levantar, equilibrar-se, caminhar, abaixar-se, manusear, posicionar, mover e manipular materiais, utilizando força estática para exercer força muscular máxima para levantar, empurrar, puxar e carregar objetos de até 23 kg (50 lbs). Todos os candidatos devem ser capazes, estar dispostos e qualificados para executar o trabalho descrito e devem estar disponíveis durante todo o período especificado e trabalhar em todas as áreas do emprego pretendido. A critério do empregador/custo: O trabalhador poderá ser submetido a testes aleatórios de drogas/álcool durante o emprego: teste positivo/recusa em cumprir o teste = demissão. Possível verificação de antecedentes após a contratação, às custas do empregador. O trabalho é realizado ao ar livre, exposto às intempéries; o candidato deve ser capaz de realizar trabalho fisicamente extenuante por longas horas, ocasionalmente em calor ou frio extremos. As condições climáticas são variáveis; a carga horária pode sofrer alterações (+/-), podendo haver períodos de inatividade e/ou horas extras. Número de horas por semana: 48. Horário de trabalho (início/término): 7h às 16h.</v>
      </c>
    </row>
    <row r="79" ht="20.25" customHeight="1">
      <c r="A79" s="8" t="s">
        <v>503</v>
      </c>
      <c r="B79" s="8" t="s">
        <v>504</v>
      </c>
      <c r="C79" s="8" t="s">
        <v>63</v>
      </c>
      <c r="D79" s="8" t="s">
        <v>505</v>
      </c>
      <c r="E79" s="9" t="s">
        <v>19</v>
      </c>
      <c r="F79" s="9" t="s">
        <v>20</v>
      </c>
      <c r="G79" s="9" t="s">
        <v>506</v>
      </c>
      <c r="H79" s="14" t="s">
        <v>507</v>
      </c>
      <c r="I79" s="8" t="s">
        <v>508</v>
      </c>
      <c r="J79" s="9">
        <v>19.86</v>
      </c>
      <c r="K79" s="9">
        <v>12.0</v>
      </c>
      <c r="L79" s="8" t="s">
        <v>59</v>
      </c>
      <c r="M79" s="8" t="s">
        <v>509</v>
      </c>
      <c r="N79" s="7" t="str">
        <f>IFERROR(__xludf.DUMMYFUNCTION("GOOGLETRANSLATE(L79, ""en"", ""pt"")"),"Trabalhador de paisagismo")</f>
        <v>Trabalhador de paisagismo</v>
      </c>
      <c r="O79" s="7" t="str">
        <f>IFERROR(__xludf.DUMMYFUNCTION("IF(M79="""","""",GOOGLETRANSLATE(M79,""en"",""pt""))"),"Paisagismo e manutenção de terrenos utilizando ferramentas manuais ou elétricas. Os trabalhadores geralmente executam uma variedade de tarefas, que podem incluir qualquer combinação das seguintes: colocação de grama, corte de grama, poda, plantio, irrigaç"&amp;"ão, fertilização, escavação, rastelagem, cobertura morta e instalação de blocos de concreto pré-moldados sem argamassa. Nível inicial; requer supervisão. Classificação da vaga: 37-3011.00 - Trabalhadores de Paisagismo e Manutenção de Terrenos. A classific"&amp;"ação e descrição da vaga/setor incluem informações gerais sobre o cargo, de acordo com o ONET/OES e o Sistema de Classificação Industrial da América do Norte (NAICS). Consulte as Funções e a Ordem de Serviço para obter mais informações. Requisitos da vaga"&amp;": Experiência necessária: Não. Requisitos especiais: Deve ser capaz de levantar/carregar 23 kg, quando necessário. Trabalho aos sábados, quando necessário. O empregador pode oferecer mais horas de trabalho do que as estipuladas, dependendo do clima, das n"&amp;"ecessidades da empresa e de outras condições. Calor extremo, frio, chuva ou seca podem afetar o horário de trabalho exato. Número de horas por semana: 40 Horário de trabalho (início/término): 6h30 - 15h00")</f>
        <v>Paisagismo e manutenção de terrenos utilizando ferramentas manuais ou elétricas. Os trabalhadores geralmente executam uma variedade de tarefas, que podem incluir qualquer combinação das seguintes: colocação de grama, corte de grama, poda, plantio, irrigação, fertilização, escavação, rastelagem, cobertura morta e instalação de blocos de concreto pré-moldados sem argamassa. Nível inicial; requer supervisão. Classificação da vaga: 37-3011.00 - Trabalhadores de Paisagismo e Manutenção de Terrenos. A classificação e descrição da vaga/setor incluem informações gerais sobre o cargo, de acordo com o ONET/OES e o Sistema de Classificação Industrial da América do Norte (NAICS). Consulte as Funções e a Ordem de Serviço para obter mais informações. Requisitos da vaga: Experiência necessária: Não. Requisitos especiais: Deve ser capaz de levantar/carregar 23 kg, quando necessário. Trabalho aos sábados, quando necessário. O empregador pode oferecer mais horas de trabalho do que as estipuladas, dependendo do clima, das necessidades da empresa e de outras condições. Calor extremo, frio, chuva ou seca podem afetar o horário de trabalho exato. Número de horas por semana: 40 Horário de trabalho (início/término): 6h30 - 15h00</v>
      </c>
    </row>
    <row r="80" ht="20.25" customHeight="1">
      <c r="A80" s="3" t="s">
        <v>510</v>
      </c>
      <c r="B80" s="3" t="s">
        <v>511</v>
      </c>
      <c r="C80" s="3" t="s">
        <v>78</v>
      </c>
      <c r="D80" s="3" t="s">
        <v>403</v>
      </c>
      <c r="E80" s="4" t="s">
        <v>19</v>
      </c>
      <c r="F80" s="4" t="s">
        <v>20</v>
      </c>
      <c r="G80" s="4" t="s">
        <v>512</v>
      </c>
      <c r="H80" s="3" t="s">
        <v>513</v>
      </c>
      <c r="I80" s="3" t="s">
        <v>514</v>
      </c>
      <c r="J80" s="4">
        <v>19.36</v>
      </c>
      <c r="K80" s="4">
        <v>4.0</v>
      </c>
      <c r="L80" s="3" t="s">
        <v>59</v>
      </c>
      <c r="M80" s="3" t="s">
        <v>515</v>
      </c>
      <c r="N80" s="7" t="str">
        <f>IFERROR(__xludf.DUMMYFUNCTION("GOOGLETRANSLATE(L80, ""en"", ""pt"")"),"Trabalhador de paisagismo")</f>
        <v>Trabalhador de paisagismo</v>
      </c>
      <c r="O80" s="7" t="str">
        <f>IFERROR(__xludf.DUMMYFUNCTION("IF(M80="""","""",GOOGLETRANSLATE(M80,""en"",""pt""))"),"As funções podem incluir: Cuidar de gramados já estabelecidos, cortando, aparando, delimitando as bordas, aplicando cobertura morta, aerando, capinando, removendo palha, lixo, folhas e detritos. Seguir projetos paisagísticos planejados para determinar ond"&amp;"e colocar grama em placas, plantar bulbos, flores, folhagens, grama, cobertura vegetal, arbustos e árvores (fixar fios e estacas de suporte). Remover flores murchas, podar ou aparar flores, folhagens, plantas, arbustos e árvores. Manter ou reparar cercas."&amp;" Garantir a manutenção adequada de calçadas, entradas de garagem, estacionamentos, canteiros ou outras estruturas do terreno. Utilizar ferramentas manuais, como pás, ancinhos, tesouras de poda, tesouras de jardinagem e carrinhos de mão. Pode operar veícul"&amp;"os ou equipamentos motorizados, como caminhões de trabalho com pequenos reboques utilitários, cortadores de grama, aparadores, bordadeiras, serras de poda e sopradores de folhas. Limpar o local de trabalho para garantir a segurança e outras atividades rel"&amp;"acionadas ao trabalho de jardineiro, conforme SOC/OES 37-3011 (onetonline.org). Horário padrão/previsto: Segunda a sexta, das 6h45 às 16h. Oferecemos mais de 40 horas semanais, sem incluir almoço e/ou intervalos. Possibilidade de trabalho aos fins de sema"&amp;"na. Os horários de início e término, a carga horária oferecida e/ou a possibilidade de horas extras podem variar, pois dependem de fatores como necessidades do projeto/cronograma/serviço, condições climáticas e tempo de deslocamento entre os locais de tra"&amp;"balho (se aplicável). Horas extras são possíveis, mas não obrigatórias nem garantidas. A critério exclusivo do empregador: aumentos salariais e/ou bônus podem ser concedidos com base em fatores individuais, como desempenho ou habilidades (não garantidos)."&amp;" Classificação da vaga: 37-3011.00 - Trabalhadores de Paisagismo e Manutenção de Jardins. A classificação e a descrição da vaga/setor incluem informações gerais sobre o cargo, conforme o ONET/OES e o Sistema de Classificação Industrial da América do Norte"&amp;" (NAICS). Consulte as atribuições e a ordem de serviço para obter mais informações. Requisitos da vaga: Experiência necessária: Não. Requisitos especiais: É necessário ter 18 anos ou mais devido a questões de seguro. É necessário apresentar comprovante de"&amp;" autorização legal para trabalhar nos Estados Unidos. Ambiente de trabalho livre de drogas, álcool e tabaco. Atividades físicas como levantar, equilibrar-se, caminhar, abaixar-se, manusear, posicionar, mover e manipular materiais, utilizando força estátic"&amp;"a para exercer força muscular máxima para levantar, empurrar, puxar e carregar objetos de até 23 kg. Todos os candidatos devem ser capazes, dispostos e qualificados para realizar o trabalho descrito e devem estar disponíveis durante todo o período especif"&amp;"icado e trabalhar em todas as áreas da empresa. O trabalho é realizado ao ar livre, exposto às intempéries; o candidato deve ser capaz de realizar trabalho fisicamente extenuante por longos períodos, ocasionalmente em calor ou frio extremos. Condições cli"&amp;"máticas variáveis ​​se aplicam; a carga horária pode sofrer alterações (+/-), com possibilidade de períodos de inatividade e/ou horas extras. Número de horas por semana: 40. Horário de trabalho (início/término): 6h45 às 16h.")</f>
        <v>As funções podem incluir: Cuidar de gramados já estabelecidos, cortando, aparando, delimitando as bordas, aplicando cobertura morta, aerando, capinando, removendo palha, lixo, folhas e detritos. Seguir projetos paisagísticos planejados para determinar onde colocar grama em placas, plantar bulbos, flores, folhagens, grama, cobertura vegetal, arbustos e árvores (fixar fios e estacas de suporte). Remover flores murchas, podar ou aparar flores, folhagens, plantas, arbustos e árvores. Manter ou reparar cercas. Garantir a manutenção adequada de calçadas, entradas de garagem, estacionamentos, canteiros ou outras estruturas do terreno. Utilizar ferramentas manuais, como pás, ancinhos, tesouras de poda, tesouras de jardinagem e carrinhos de mão. Pode operar veículos ou equipamentos motorizados, como caminhões de trabalho com pequenos reboques utilitários, cortadores de grama, aparadores, bordadeiras, serras de poda e sopradores de folhas. Limpar o local de trabalho para garantir a segurança e outras atividades relacionadas ao trabalho de jardineiro, conforme SOC/OES 37-3011 (onetonline.org). Horário padrão/previsto: Segunda a sexta, das 6h45 às 16h. Oferecemos mais de 40 horas semanais, sem incluir almoço e/ou intervalos. Possibilidade de trabalho aos fins de semana. Os horários de início e término, a carga horária oferecida e/ou a possibilidade de horas extras podem variar, pois dependem de fatores como necessidades do projeto/cronograma/serviço, condições climáticas e tempo de deslocamento entre os locais de trabalho (se aplicável). Horas extras são possíveis, mas não obrigatórias nem garantidas. A critério exclusivo do empregador: aumentos salariais e/ou bônus podem ser concedidos com base em fatores individuais, como desempenho ou habilidades (não garantidos). Classificação da vaga: 37-3011.00 - Trabalhadores de Paisagismo e Manutenção de Jardins. A classificação e a descrição da vaga/setor incluem informações gerais sobre o cargo, conforme o ONET/OES e o Sistema de Classificação Industrial da América do Norte (NAICS). Consulte as atribuições e a ordem de serviço para obter mais informações. Requisitos da vaga: Experiência necessária: Não. Requisitos especiais: É necessário ter 18 anos ou mais devido a questões de seguro. É necessário apresentar comprovante de autorização legal para trabalhar nos Estados Unidos. Ambiente de trabalho livre de drogas, álcool e tabaco. Atividades físicas como levantar, equilibrar-se, caminhar, abaixar-se, manusear, posicionar, mover e manipular materiais, utilizando força estática para exercer força muscular máxima para levantar, empurrar, puxar e carregar objetos de até 23 kg. Todos os candidatos devem ser capazes, dispostos e qualificados para realizar o trabalho descrito e devem estar disponíveis durante todo o período especificado e trabalhar em todas as áreas da empresa. O trabalho é realizado ao ar livre, exposto às intempéries; o candidato deve ser capaz de realizar trabalho fisicamente extenuante por longos períodos, ocasionalmente em calor ou frio extremos. Condições climáticas variáveis ​​se aplicam; a carga horária pode sofrer alterações (+/-), com possibilidade de períodos de inatividade e/ou horas extras. Número de horas por semana: 40. Horário de trabalho (início/término): 6h45 às 16h.</v>
      </c>
    </row>
    <row r="81" ht="20.25" customHeight="1">
      <c r="A81" s="8" t="s">
        <v>516</v>
      </c>
      <c r="B81" s="8" t="s">
        <v>517</v>
      </c>
      <c r="C81" s="8" t="s">
        <v>125</v>
      </c>
      <c r="D81" s="8" t="s">
        <v>18</v>
      </c>
      <c r="E81" s="9" t="s">
        <v>19</v>
      </c>
      <c r="F81" s="9" t="s">
        <v>20</v>
      </c>
      <c r="G81" s="9" t="s">
        <v>181</v>
      </c>
      <c r="H81" s="8" t="s">
        <v>518</v>
      </c>
      <c r="I81" s="8" t="s">
        <v>519</v>
      </c>
      <c r="J81" s="9">
        <v>20.09</v>
      </c>
      <c r="K81" s="9">
        <v>25.0</v>
      </c>
      <c r="L81" s="8" t="s">
        <v>262</v>
      </c>
      <c r="M81" s="8" t="s">
        <v>520</v>
      </c>
      <c r="N81" s="7" t="str">
        <f>IFERROR(__xludf.DUMMYFUNCTION("GOOGLETRANSLATE(L81, ""en"", ""pt"")"),"Operário da construção civil")</f>
        <v>Operário da construção civil</v>
      </c>
      <c r="O81" s="7" t="str">
        <f>IFERROR(__xludf.DUMMYFUNCTION("IF(M81="""","""",GOOGLETRANSLATE(M81,""en"",""pt""))"),"Executar tarefas que envolvam trabalho físico em canteiros de obras. Operar ferramentas manuais e elétricas de todos os tipos: martelos pneumáticos, compactadores de solo, betoneiras, pequenos guindastes mecânicos, equipamentos de topografia e medição, e "&amp;"uma variedade de outros equipamentos e instrumentos. Realizar a concretagem (sem responsabilidade pelo acabamento) e executar tarefas relacionadas à construção, como limpeza do canteiro de obras, auxílio a outros operários, preparação de terrenos, escavaç"&amp;"ão de valas, instalação de escoras para sustentar as laterais das escavações, montagem de andaimes e limpeza de entulhos, detritos e outros resíduos, além de controlar o tráfego. Operar equipamentos básicos de medição e marcação, incluindo trenas, níveis "&amp;"a laser, miras e linhas de prumo, para auxiliar supervisores e outros funcionários da construção na medição de distâncias, verificação de níveis e demarcação de áreas de trabalho. Auxiliar outros operários na preparação de canteiros de obras; coleta, carr"&amp;"egamento, descarregamento e transporte de ferramentas, materiais e equipamentos; limpeza de áreas de trabalho; e execução de tarefas manuais associadas a projetos de construção. Os trabalhadores podem usar ferramentas manuais comuns e ferramentas elétrica"&amp;"s básicas, incluindo pás, ancinhos, carrinhos de mão, vassouras, furadeiras, compactadores, níveis e instrumentos de medição. Os materiais manuseados podem incluir madeira, fôrmas de concreto, cascalho, areia, cimento, concreto, vergalhões, tubos e outros"&amp;" materiais de construção comuns. Classificação da função: 47-2061.00 - Auxiliares de Construção. A classificação e descrição da função/setor inclui informações gerais sobre o cargo, de acordo com o ONET/OES e o Sistema de Classificação Industrial da Améri"&amp;"ca do Norte (NAICS). Consulte as Funções e a Ordem de Serviço para obter mais informações. Requisitos da vaga: Experiência necessária: Sim. Meses de experiência necessários: 3. Requisitos especiais: Carteira de habilitação válida. Capacidade de levantar 3"&amp;"4 kg, realizar movimentos repetitivos, empurrar/puxar com frequência, caminhar bastante, agachar-se frequentemente, exposição a temperaturas extremas e 3 meses de experiência com concreto. Número de horas por semana: 40. Horário de trabalho (início/términ"&amp;"o): 7h às 16h.")</f>
        <v>Executar tarefas que envolvam trabalho físico em canteiros de obras. Operar ferramentas manuais e elétricas de todos os tipos: martelos pneumáticos, compactadores de solo, betoneiras, pequenos guindastes mecânicos, equipamentos de topografia e medição, e uma variedade de outros equipamentos e instrumentos. Realizar a concretagem (sem responsabilidade pelo acabamento) e executar tarefas relacionadas à construção, como limpeza do canteiro de obras, auxílio a outros operários, preparação de terrenos, escavação de valas, instalação de escoras para sustentar as laterais das escavações, montagem de andaimes e limpeza de entulhos, detritos e outros resíduos, além de controlar o tráfego. Operar equipamentos básicos de medição e marcação, incluindo trenas, níveis a laser, miras e linhas de prumo, para auxiliar supervisores e outros funcionários da construção na medição de distâncias, verificação de níveis e demarcação de áreas de trabalho. Auxiliar outros operários na preparação de canteiros de obras; coleta, carregamento, descarregamento e transporte de ferramentas, materiais e equipamentos; limpeza de áreas de trabalho; e execução de tarefas manuais associadas a projetos de construção. Os trabalhadores podem usar ferramentas manuais comuns e ferramentas elétricas básicas, incluindo pás, ancinhos, carrinhos de mão, vassouras, furadeiras, compactadores, níveis e instrumentos de medição. Os materiais manuseados podem incluir madeira, fôrmas de concreto, cascalho, areia, cimento, concreto, vergalhões, tubos e outros materiais de construção comuns. Classificação da função: 47-2061.00 - Auxiliares de Construção. A classificação e descrição da função/setor inclui informações gerais sobre o cargo, de acordo com o ONET/OES e o Sistema de Classificação Industrial da América do Norte (NAICS). Consulte as Funções e a Ordem de Serviço para obter mais informações. Requisitos da vaga: Experiência necessária: Sim. Meses de experiência necessários: 3. Requisitos especiais: Carteira de habilitação válida. Capacidade de levantar 34 kg, realizar movimentos repetitivos, empurrar/puxar com frequência, caminhar bastante, agachar-se frequentemente, exposição a temperaturas extremas e 3 meses de experiência com concreto. Número de horas por semana: 40. Horário de trabalho (início/término): 7h às 16h.</v>
      </c>
    </row>
    <row r="82" ht="20.25" customHeight="1">
      <c r="A82" s="3" t="s">
        <v>521</v>
      </c>
      <c r="B82" s="3" t="s">
        <v>522</v>
      </c>
      <c r="C82" s="3" t="s">
        <v>523</v>
      </c>
      <c r="D82" s="3" t="s">
        <v>140</v>
      </c>
      <c r="E82" s="4" t="s">
        <v>19</v>
      </c>
      <c r="F82" s="4" t="s">
        <v>20</v>
      </c>
      <c r="G82" s="4" t="s">
        <v>524</v>
      </c>
      <c r="H82" s="3" t="s">
        <v>525</v>
      </c>
      <c r="I82" s="3" t="s">
        <v>526</v>
      </c>
      <c r="J82" s="4">
        <v>14.97</v>
      </c>
      <c r="K82" s="4">
        <v>10.0</v>
      </c>
      <c r="L82" s="3" t="s">
        <v>527</v>
      </c>
      <c r="M82" s="3" t="s">
        <v>528</v>
      </c>
      <c r="N82" s="7" t="str">
        <f>IFERROR(__xludf.DUMMYFUNCTION("GOOGLETRANSLATE(L82, ""en"", ""pt"")"),"máquina de lavar louça")</f>
        <v>máquina de lavar louça</v>
      </c>
      <c r="O82" s="7" t="str">
        <f>IFERROR(__xludf.DUMMYFUNCTION("IF(M82="""","""",GOOGLETRANSLATE(M82,""en"",""pt""))"),"***Resposta à Solicitação de Informações*** 1. Tarefas Específicas, Ferramentas, Equipamentos e Materiais Utilizados A frase “Auxiliar a equipe da cozinha em diversas tarefas” refere-se explicitamente às tarefas rotineiras de apoio necessárias para manter"&amp;" um ambiente de cozinha organizado, higiênico e eficiente. As tarefas específicas, juntamente com as ferramentas, equipamentos e materiais utilizados pelo Auxiliar de Cozinha (Lava-louças), incluem: A. Lavagem de Louças e Limpeza de Equipamentos: Lavar, e"&amp;"nxaguar e higienizar pratos, copos, talheres, panelas, frigideiras e equipamentos de cozinha especializados. Para esta tarefa, são utilizadas máquinas de lavar louça industriais, pias fundas de três compartimentos, escovas de limpeza, esponjas, escorredor"&amp;"es de pratos e produtos químicos sanitizantes/detergentes. B. Higienização da Cozinha e Gerenciamento de Resíduos: Esvaziar e limpar lixeiras, descartar o lixo da cozinha e manter a limpeza geral do piso da cozinha e das áreas de serviço de alimentos. Par"&amp;"a esta tarefa, são utilizados latas de lixo, sacos de lixo resistentes, esfregões, baldes, vassouras e desengordurantes de piso. C. Armazenamento e Organização de Estoque: Receber louças, utensílios e equipamentos de cozinha limpos da área de lavagem e tr"&amp;"ansportá-los com segurança para as zonas de armazenamento designadas ou linhas de preparação da cozinha para auxiliar cozinheiros e chefs. Para esta tarefa, são utilizados carrinhos utilitários com rodinhas, prateleiras de armazenamento e racks organizado"&amp;"res. 2. Esclarecimento sobre Tarefas de Preparo e Cozimento de Alimentos O Empregador esclarece explicitamente que a função de Lavador de Louças não envolve quaisquer tarefas de cozimento, nem requer preparo de alimentos independente ou especializado. A a"&amp;"ssistência prestada à equipe da cozinha é puramente de apoio, de baixa complexidade e de natureza rotineira. Na medida em que um Lavador de Louças interage com alimentos ou auxilia a equipe da cozinha, isso se limita às seguintes tarefas básicas: A. Limpe"&amp;"za e Raspagem: Raspar restos de comida e resíduos de pratos, travessas e recipientes de cozimento sujos em lixeiras antes da lavagem. B. Auxílio Básico: Sob a supervisão direta de cozinheiros, chefs ou gerentes de serviços de alimentação, auxiliar em tare"&amp;"fas básicas e rotineiras de utilidades, como transportar ingredientes a granel do estoque ou câmaras frigoríficas para a área de preparo. Não cortam, temperam, cozinham ou montam pratos. ***Original*** Lavar pratos, utensílios ou equipamentos de cozinha n"&amp;"as áreas de armazenamento. Manter a cozinha limpa e organizada. Auxiliar a equipe da cozinha em diversas tarefas. Classificação do Cargo: 35-9021.00 - Lavadores de Louça. A classificação e descrição do cargo/setor inclui informações gerais sobre a posição"&amp;", de acordo com o ONET/OES e o Sistema de Classificação Industrial da América do Norte. Consulte as Funções e a Ordem de Serviço para obter mais informações. Requisitos do Cargo Experiência Necessária: Não. Requisitos Especiais: NENHUM. Número de Horas po"&amp;"r Semana: 40. Horário de Trabalho (Início/Término): 10:00 - 19:00.")</f>
        <v>***Resposta à Solicitação de Informações*** 1. Tarefas Específicas, Ferramentas, Equipamentos e Materiais Utilizados A frase “Auxiliar a equipe da cozinha em diversas tarefas” refere-se explicitamente às tarefas rotineiras de apoio necessárias para manter um ambiente de cozinha organizado, higiênico e eficiente. As tarefas específicas, juntamente com as ferramentas, equipamentos e materiais utilizados pelo Auxiliar de Cozinha (Lava-louças), incluem: A. Lavagem de Louças e Limpeza de Equipamentos: Lavar, enxaguar e higienizar pratos, copos, talheres, panelas, frigideiras e equipamentos de cozinha especializados. Para esta tarefa, são utilizadas máquinas de lavar louça industriais, pias fundas de três compartimentos, escovas de limpeza, esponjas, escorredores de pratos e produtos químicos sanitizantes/detergentes. B. Higienização da Cozinha e Gerenciamento de Resíduos: Esvaziar e limpar lixeiras, descartar o lixo da cozinha e manter a limpeza geral do piso da cozinha e das áreas de serviço de alimentos. Para esta tarefa, são utilizados latas de lixo, sacos de lixo resistentes, esfregões, baldes, vassouras e desengordurantes de piso. C. Armazenamento e Organização de Estoque: Receber louças, utensílios e equipamentos de cozinha limpos da área de lavagem e transportá-los com segurança para as zonas de armazenamento designadas ou linhas de preparação da cozinha para auxiliar cozinheiros e chefs. Para esta tarefa, são utilizados carrinhos utilitários com rodinhas, prateleiras de armazenamento e racks organizadores. 2. Esclarecimento sobre Tarefas de Preparo e Cozimento de Alimentos O Empregador esclarece explicitamente que a função de Lavador de Louças não envolve quaisquer tarefas de cozimento, nem requer preparo de alimentos independente ou especializado. A assistência prestada à equipe da cozinha é puramente de apoio, de baixa complexidade e de natureza rotineira. Na medida em que um Lavador de Louças interage com alimentos ou auxilia a equipe da cozinha, isso se limita às seguintes tarefas básicas: A. Limpeza e Raspagem: Raspar restos de comida e resíduos de pratos, travessas e recipientes de cozimento sujos em lixeiras antes da lavagem. B. Auxílio Básico: Sob a supervisão direta de cozinheiros, chefs ou gerentes de serviços de alimentação, auxiliar em tarefas básicas e rotineiras de utilidades, como transportar ingredientes a granel do estoque ou câmaras frigoríficas para a área de preparo. Não cortam, temperam, cozinham ou montam pratos. ***Original*** Lavar pratos, utensílios ou equipamentos de cozinha nas áreas de armazenamento. Manter a cozinha limpa e organizada. Auxiliar a equipe da cozinha em diversas tarefas. Classificação do Cargo: 35-9021.00 - Lavadores de Louça. A classificação e descrição do cargo/setor inclui informações gerais sobre a posição, de acordo com o ONET/OES e o Sistema de Classificação Industrial da América do Norte. Consulte as Funções e a Ordem de Serviço para obter mais informações. Requisitos do Cargo Experiência Necessária: Não. Requisitos Especiais: NENHUM. Número de Horas por Semana: 40. Horário de Trabalho (Início/Término): 10:00 - 19:00.</v>
      </c>
    </row>
    <row r="83" ht="20.25" customHeight="1">
      <c r="A83" s="8" t="s">
        <v>529</v>
      </c>
      <c r="B83" s="8" t="s">
        <v>530</v>
      </c>
      <c r="C83" s="8" t="s">
        <v>531</v>
      </c>
      <c r="D83" s="8" t="s">
        <v>532</v>
      </c>
      <c r="E83" s="9" t="s">
        <v>19</v>
      </c>
      <c r="F83" s="9" t="s">
        <v>20</v>
      </c>
      <c r="G83" s="9" t="s">
        <v>146</v>
      </c>
      <c r="H83" s="8" t="s">
        <v>533</v>
      </c>
      <c r="I83" s="8" t="s">
        <v>534</v>
      </c>
      <c r="J83" s="9">
        <v>66.67</v>
      </c>
      <c r="K83" s="9">
        <v>1.0</v>
      </c>
      <c r="L83" s="8" t="s">
        <v>535</v>
      </c>
      <c r="M83" s="8" t="s">
        <v>536</v>
      </c>
      <c r="N83" s="7" t="str">
        <f>IFERROR(__xludf.DUMMYFUNCTION("GOOGLETRANSLATE(L83, ""en"", ""pt"")"),"Operador de Lagar de Azeite")</f>
        <v>Operador de Lagar de Azeite</v>
      </c>
      <c r="O83" s="7" t="str">
        <f>IFERROR(__xludf.DUMMYFUNCTION("IF(M83="""","""",GOOGLETRANSLATE(M83,""en"",""pt""))"),"Participar da moagem de todas as azeitonas para garantir um processamento eficiente e de alta qualidade. Implementar um programa de compostagem eficaz para o tratamento do bagaço de azeitona produzido no lagar. Atuar como responsável pela pesagem de todas"&amp;" as entregas de azeitonas, garantindo registros de peso precisos e em conformidade com as normas. Inspecionar as azeitonas recebidas quanto à qualidade e rejeitar aquelas que não atendem aos padrões de processamento. Monitorar a qualidade do azeite e a pr"&amp;"odução do lagar, garantindo que todos os procedimentos sejam seguidos para produzir azeites extravirgens de alta qualidade. Garantir a conformidade com todos os padrões exigidos pela certificação California Certified Organic Farmers (CCOF). Coordenar e ag"&amp;"endar as entregas de azeitonas para minimizar atrasos e garantir o menor tempo possível entre a colheita e o processamento. O Operador do Lagar supervisiona um funcionário sazonal classificado sob o código SOC 51-9198.00 - Auxiliares de Produção. Este fun"&amp;"cionário ocupa o cargo de Assistente de Operador e executa tarefas de apoio relacionadas à moagem sob a supervisão do Operador do Lagar. As tarefas supervisionadas incluem: Receber azeitonas colhidas de fontes internas e externas; Carregar azeitonas no la"&amp;"gar para processamento; Auxiliar nos processos de compostagem de resíduos de azeitona; Realizar a limpeza e higienização de equipamentos e áreas de trabalho. O Operador de Lagar de Azeite é responsável por atribuir e supervisionar essas tarefas diariament"&amp;"e durante a temporada de produção. Embora a função não envolva contratação ou gestão formal de desempenho, o Operador de Lagar de Azeite supervisiona o trabalho do Operador Auxiliar para garantir que seja concluído com segurança, corretamente e com eficiê"&amp;"ncia durante o período limitado de produção, de outubro a dezembro. Classificação da Função: 51-1011.00 - Supervisores de Primeira Linha de Produção e Operadores. A classificação e descrição da função/setor inclui informações gerais sobre o cargo, de acor"&amp;"do com o ONET/OES e o Sistema de Classificação Industrial da América do Norte. Consulte as Funções e a Ordem de Serviço para obter mais informações. Requisitos da Função: Experiência Necessária: Sim; Meses de Experiência Necessários: 12; Requisitos Especi"&amp;"ais: Mínimo de um ano de experiência prática em produção de azeite. Experiência com equipamentos de moagem de azeite, incluindo moagem do fruto, extração e filtragem do óleo. Excelentes habilidades de comunicação, pensamento crítico e resolução de problem"&amp;"as. Gestão eficaz do tempo, com capacidade de priorizar tarefas e cumprir prazos. Compromisso com a privacidade e confidencialidade em todos os momentos. Carga horária semanal: 37 horas. Horário de trabalho: 7h às 15h.")</f>
        <v>Participar da moagem de todas as azeitonas para garantir um processamento eficiente e de alta qualidade. Implementar um programa de compostagem eficaz para o tratamento do bagaço de azeitona produzido no lagar. Atuar como responsável pela pesagem de todas as entregas de azeitonas, garantindo registros de peso precisos e em conformidade com as normas. Inspecionar as azeitonas recebidas quanto à qualidade e rejeitar aquelas que não atendem aos padrões de processamento. Monitorar a qualidade do azeite e a produção do lagar, garantindo que todos os procedimentos sejam seguidos para produzir azeites extravirgens de alta qualidade. Garantir a conformidade com todos os padrões exigidos pela certificação California Certified Organic Farmers (CCOF). Coordenar e agendar as entregas de azeitonas para minimizar atrasos e garantir o menor tempo possível entre a colheita e o processamento. O Operador do Lagar supervisiona um funcionário sazonal classificado sob o código SOC 51-9198.00 - Auxiliares de Produção. Este funcionário ocupa o cargo de Assistente de Operador e executa tarefas de apoio relacionadas à moagem sob a supervisão do Operador do Lagar. As tarefas supervisionadas incluem: Receber azeitonas colhidas de fontes internas e externas; Carregar azeitonas no lagar para processamento; Auxiliar nos processos de compostagem de resíduos de azeitona; Realizar a limpeza e higienização de equipamentos e áreas de trabalho. O Operador de Lagar de Azeite é responsável por atribuir e supervisionar essas tarefas diariamente durante a temporada de produção. Embora a função não envolva contratação ou gestão formal de desempenho, o Operador de Lagar de Azeite supervisiona o trabalho do Operador Auxiliar para garantir que seja concluído com segurança, corretamente e com eficiência durante o período limitado de produção, de outubro a dezembro. Classificação da Função: 51-1011.00 - Supervisores de Primeira Linha de Produção e Operadores. A classificação e descrição da função/setor inclui informações gerais sobre o cargo, de acordo com o ONET/OES e o Sistema de Classificação Industrial da América do Norte. Consulte as Funções e a Ordem de Serviço para obter mais informações. Requisitos da Função: Experiência Necessária: Sim; Meses de Experiência Necessários: 12; Requisitos Especiais: Mínimo de um ano de experiência prática em produção de azeite. Experiência com equipamentos de moagem de azeite, incluindo moagem do fruto, extração e filtragem do óleo. Excelentes habilidades de comunicação, pensamento crítico e resolução de problemas. Gestão eficaz do tempo, com capacidade de priorizar tarefas e cumprir prazos. Compromisso com a privacidade e confidencialidade em todos os momentos. Carga horária semanal: 37 horas. Horário de trabalho: 7h às 15h.</v>
      </c>
    </row>
    <row r="84" ht="20.25" customHeight="1">
      <c r="A84" s="3" t="s">
        <v>537</v>
      </c>
      <c r="B84" s="3" t="s">
        <v>538</v>
      </c>
      <c r="C84" s="3" t="s">
        <v>139</v>
      </c>
      <c r="D84" s="3" t="s">
        <v>271</v>
      </c>
      <c r="E84" s="4" t="s">
        <v>19</v>
      </c>
      <c r="F84" s="4" t="s">
        <v>20</v>
      </c>
      <c r="G84" s="4" t="s">
        <v>377</v>
      </c>
      <c r="H84" s="3" t="s">
        <v>539</v>
      </c>
      <c r="I84" s="3" t="s">
        <v>540</v>
      </c>
      <c r="J84" s="4">
        <v>20.59</v>
      </c>
      <c r="K84" s="4">
        <v>7.0</v>
      </c>
      <c r="L84" s="3" t="s">
        <v>83</v>
      </c>
      <c r="M84" s="3" t="s">
        <v>541</v>
      </c>
      <c r="N84" s="7" t="str">
        <f>IFERROR(__xludf.DUMMYFUNCTION("GOOGLETRANSLATE(L84, ""en"", ""pt"")"),"Trabalhador Florestal")</f>
        <v>Trabalhador Florestal</v>
      </c>
      <c r="O84" s="7" t="str">
        <f>IFERROR(__xludf.DUMMYFUNCTION("IF(M84="""","""",GOOGLETRANSLATE(M84,""en"",""pt""))"),"As funções podem incluir: Selecionar ou cortar árvores de acordo com a marcação, tamanho, tipo ou qualidade. Identificar árvores doentes ou indesejáveis ​​e removê-las (desbaste, poda) utilizando serras elétricas ou manuais. Arrastar as árvores cortadas d"&amp;"a área de corte e carregá-las em caminhões. Identificar árvores doentes e indesejáveis, bem como árvores que precisarão ser desbastadas nos locais contratados. Cortar todas as árvores marcadas; as árvores adicionais passarão por desbaste pré-comercial e o"&amp;"utras atividades relacionadas ao trabalho florestal, conforme SOC/OES 45-4011 (onetonline.org). Horário padrão/esperado: Segunda a sexta, das 7h às 16h. Oferecemos mais de 40 horas semanais, sem incluir almoço e/ou intervalos. Possibilidade de trabalho em"&amp;" fins de semana e feriados. Os horários de início e término, a carga horária e/ou horas extras podem variar, pois dependem de fatores como projeto/cronograma/necessidades do serviço, condições climáticas e tempo de deslocamento entre os locais de trabalho"&amp;" (se aplicável). Horas extras são possíveis, mas não obrigatórias ou garantidas. A critério exclusivo do empregador: possíveis aumentos e/ou bônus com base em fatores individuais, como desempenho no trabalho ou habilidades (não garantidos). Moradia compar"&amp;"tilhada opcional disponível sem custo para o trabalhador. Classificação do Cargo: 45-4011.00 - Trabalhadores Florestais e de Conservação. A classificação e descrição do cargo/setor incluem informações gerais sobre a posição, de acordo com o ONET/OES e o S"&amp;"istema de Classificação Industrial da América do Norte. Consulte as Funções e a Ordem de Serviço para obter mais informações. Requisitos do Cargo Experiência Necessária: Não. Requisitos Especiais: É necessário ter 18 anos devido a viagens. É necessário ap"&amp;"resentar comprovante de autorização legal para trabalhar nos Estados Unidos. Ambiente de trabalho livre de drogas, álcool e tabaco. Executar atividades físicas, como levantar, equilibrar-se, caminhar, abaixar-se, manusear, posicionar, mover e manipular ma"&amp;"teriais; usar força estática para exercer força muscular máxima para levantar, empurrar, puxar e carregar objetos de até 23 kg. Todos os candidatos devem ser capazes, estar dispostos e qualificados para executar o trabalho descrito e devem estar disponíve"&amp;"is durante todo o período especificado e trabalhar em todas as áreas do emprego pretendido. A critério do empregador/custo: O trabalhador poderá ser submetido a testes aleatórios de drogas/álcool durante o emprego: teste positivo/recusa em cumprir o teste"&amp;" = demissão. Possível verificação de antecedentes após a contratação, às custas do empregador. O trabalho é realizado ao ar livre, exposto às intempéries; o candidato deve ser capaz de realizar trabalho fisicamente extenuante por longas horas, ocasionalme"&amp;"nte em calor ou frio extremos. As condições climáticas são variáveis; a carga horária pode sofrer alterações (+/-), podendo haver períodos de inatividade e/ou horas extras. Número de horas por semana: 40. Horário de trabalho (início/término): 7h às 16h.")</f>
        <v>As funções podem incluir: Selecionar ou cortar árvores de acordo com a marcação, tamanho, tipo ou qualidade. Identificar árvores doentes ou indesejáveis ​​e removê-las (desbaste, poda) utilizando serras elétricas ou manuais. Arrastar as árvores cortadas da área de corte e carregá-las em caminhões. Identificar árvores doentes e indesejáveis, bem como árvores que precisarão ser desbastadas nos locais contratados. Cortar todas as árvores marcadas; as árvores adicionais passarão por desbaste pré-comercial e outras atividades relacionadas ao trabalho florestal, conforme SOC/OES 45-4011 (onetonline.org). Horário padrão/esperado: Segunda a sexta, das 7h às 16h. Oferecemos mais de 40 horas semanais, sem incluir almoço e/ou intervalos. Possibilidade de trabalho em fins de semana e feriados. Os horários de início e término, a carga horária e/ou horas extras podem variar, pois dependem de fatores como projeto/cronograma/necessidades do serviço, condições climáticas e tempo de deslocamento entre os locais de trabalho (se aplicável). Horas extras são possíveis, mas não obrigatórias ou garantidas. A critério exclusivo do empregador: possíveis aumentos e/ou bônus com base em fatores individuais, como desempenho no trabalho ou habilidades (não garantidos). Moradia compartilhada opcional disponível sem custo para o trabalhador. Classificação do Cargo: 45-4011.00 - Trabalhadores Florestais e de Conservação. A classificação e descrição do cargo/setor incluem informações gerais sobre a posição, de acordo com o ONET/OES e o Sistema de Classificação Industrial da América do Norte. Consulte as Funções e a Ordem de Serviço para obter mais informações. Requisitos do Cargo Experiência Necessária: Não. Requisitos Especiais: É necessário ter 18 anos devido a viagens. É necessário apresentar comprovante de autorização legal para trabalhar nos Estados Unidos. Ambiente de trabalho livre de drogas, álcool e tabaco. Executar atividades físicas, como levantar, equilibrar-se, caminhar, abaixar-se, manusear, posicionar, mover e manipular materiais; usar força estática para exercer força muscular máxima para levantar, empurrar, puxar e carregar objetos de até 23 kg. Todos os candidatos devem ser capazes, estar dispostos e qualificados para executar o trabalho descrito e devem estar disponíveis durante todo o período especificado e trabalhar em todas as áreas do emprego pretendido. A critério do empregador/custo: O trabalhador poderá ser submetido a testes aleatórios de drogas/álcool durante o emprego: teste positivo/recusa em cumprir o teste = demissão. Possível verificação de antecedentes após a contratação, às custas do empregador. O trabalho é realizado ao ar livre, exposto às intempéries; o candidato deve ser capaz de realizar trabalho fisicamente extenuante por longas horas, ocasionalmente em calor ou frio extremos. As condições climáticas são variáveis; a carga horária pode sofrer alterações (+/-), podendo haver períodos de inatividade e/ou horas extras. Número de horas por semana: 40. Horário de trabalho (início/término): 7h às 16h.</v>
      </c>
    </row>
    <row r="85" ht="20.25" customHeight="1">
      <c r="A85" s="8" t="s">
        <v>542</v>
      </c>
      <c r="B85" s="8" t="s">
        <v>543</v>
      </c>
      <c r="C85" s="8" t="s">
        <v>63</v>
      </c>
      <c r="D85" s="8" t="s">
        <v>186</v>
      </c>
      <c r="E85" s="9" t="s">
        <v>19</v>
      </c>
      <c r="F85" s="9" t="s">
        <v>20</v>
      </c>
      <c r="G85" s="9" t="s">
        <v>56</v>
      </c>
      <c r="H85" s="14" t="s">
        <v>544</v>
      </c>
      <c r="I85" s="8" t="s">
        <v>545</v>
      </c>
      <c r="J85" s="9">
        <v>18.5</v>
      </c>
      <c r="K85" s="9">
        <v>8.0</v>
      </c>
      <c r="L85" s="8" t="s">
        <v>288</v>
      </c>
      <c r="M85" s="8" t="s">
        <v>546</v>
      </c>
      <c r="N85" s="7" t="str">
        <f>IFERROR(__xludf.DUMMYFUNCTION("GOOGLETRANSLATE(L85, ""en"", ""pt"")"),"Especialista em Manutenção de Jardins")</f>
        <v>Especialista em Manutenção de Jardins</v>
      </c>
      <c r="O85" s="7" t="str">
        <f>IFERROR(__xludf.DUMMYFUNCTION("IF(M85="""","""",GOOGLETRANSLATE(M85,""en"",""pt""))"),"Paisagismo e manutenção de terrenos utilizando ferramentas manuais ou elétricas. Os trabalhadores devem ser capazes de executar uma variedade de tarefas sem supervisão direta, que podem incluir qualquer combinação das seguintes atividades: cortar grama, a"&amp;"parar, plantar, podar, cavar e aplicar cobertura morta. Devem exercer julgamento independente; podem ser solicitados a demonstrar tarefas a outros funcionários, mas a função não inclui a supervisão de outros trabalhadores. Classificação da função: 37-3011"&amp;".00 - Trabalhadores de Paisagismo e Manutenção de Terrenos. A classificação e descrição da função/setor incluem informações gerais sobre o cargo, de acordo com o ONET/OES e o Sistema de Classificação Industrial da América do Norte. Consulte as Funções e a"&amp;" Ordem de Serviço para obter mais informações. Requisitos da função: Experiência exigida: Sim. Meses de experiência exigidos: 3. Requisitos especiais: Deve ser capaz de levantar/carregar 23 kg, quando necessário. Trabalho aos sábados e domingos, quando ne"&amp;"cessário. Testes aleatórios de drogas após a contratação, após acidentes e em caso de suspeita de uso são exigidos para trabalhadores estrangeiros e nacionais. O empregador pode oferecer mais horas de trabalho do que as estipuladas, dependendo do clima, d"&amp;"as necessidades da empresa e de outras condições. Calor extremo, frio, chuva ou seca podem afetar o horário de trabalho exato. Número de horas por semana: 40. Horário de trabalho (início/término): 6h às 14h30.")</f>
        <v>Paisagismo e manutenção de terrenos utilizando ferramentas manuais ou elétricas. Os trabalhadores devem ser capazes de executar uma variedade de tarefas sem supervisão direta, que podem incluir qualquer combinação das seguintes atividades: cortar grama, aparar, plantar, podar, cavar e aplicar cobertura morta. Devem exercer julgamento independente; podem ser solicitados a demonstrar tarefas a outros funcionários, mas a função não inclui a supervisão de outros trabalhadores. Classificação da função: 37-3011.00 - Trabalhadores de Paisagismo e Manutenção de Terrenos. A classificação e descrição da função/setor incluem informações gerais sobre o cargo, de acordo com o ONET/OES e o Sistema de Classificação Industrial da América do Norte. Consulte as Funções e a Ordem de Serviço para obter mais informações. Requisitos da função: Experiência exigida: Sim. Meses de experiência exigidos: 3. Requisitos especiais: Deve ser capaz de levantar/carregar 23 kg, quando necessário. Trabalho aos sábados e domingos, quando necessário. Testes aleatórios de drogas após a contratação, após acidentes e em caso de suspeita de uso são exigidos para trabalhadores estrangeiros e nacionais. O empregador pode oferecer mais horas de trabalho do que as estipuladas, dependendo do clima, das necessidades da empresa e de outras condições. Calor extremo, frio, chuva ou seca podem afetar o horário de trabalho exato. Número de horas por semana: 40. Horário de trabalho (início/término): 6h às 14h30.</v>
      </c>
    </row>
    <row r="86" ht="20.25" customHeight="1">
      <c r="A86" s="3" t="s">
        <v>547</v>
      </c>
      <c r="B86" s="3" t="s">
        <v>548</v>
      </c>
      <c r="C86" s="3" t="s">
        <v>125</v>
      </c>
      <c r="D86" s="3" t="s">
        <v>254</v>
      </c>
      <c r="E86" s="4" t="s">
        <v>44</v>
      </c>
      <c r="F86" s="4" t="s">
        <v>20</v>
      </c>
      <c r="G86" s="4" t="s">
        <v>56</v>
      </c>
      <c r="H86" s="3" t="s">
        <v>549</v>
      </c>
      <c r="I86" s="3" t="s">
        <v>550</v>
      </c>
      <c r="J86" s="4">
        <v>18.1</v>
      </c>
      <c r="K86" s="4">
        <v>15.0</v>
      </c>
      <c r="L86" s="3" t="s">
        <v>129</v>
      </c>
      <c r="M86" s="3" t="s">
        <v>551</v>
      </c>
      <c r="N86" s="7" t="str">
        <f>IFERROR(__xludf.DUMMYFUNCTION("GOOGLETRANSLATE(L86, ""en"", ""pt"")"),"Trabalhador de paisagismo e manutenção de jardins")</f>
        <v>Trabalhador de paisagismo e manutenção de jardins</v>
      </c>
      <c r="O86" s="7" t="str">
        <f>IFERROR(__xludf.DUMMYFUNCTION("IF(M86="""","""",GOOGLETRANSLATE(M86,""en"",""pt""))"),"As funções incluem a instalação de árvores, arbustos ou flores durante o período de dormência, seguindo o padrão de design apropriado. Isso inclui descarregar materiais, cavar buracos para o sistema radicular, cobrir os buracos adequadamente e, às vezes, "&amp;"colocar grama em placas, plantar sementes de grama ou conectar a irrigação. Também envolve a remoção de folhas, plantio de sementes e palha, aeração do gramado, plantio de arbustos, escavação, rastelagem e instalação de blocos de concreto pré-moldados sem"&amp;" argamassa. Os trabalhadores podem coletar e remover lixo, regar gramados, árvores e plantas semeadas, além de podar árvores, arbustos ou sebes. Podem operar equipamentos motorizados e dirigir veículos até os locais dos clientes. As tarefas podem incluir "&amp;"colocação de grama em placas, corte de grama, rega de plantas e gramados, transplante de plantas, fertilização, escavação, rastelagem e instalação de aspersores. Os funcionários cavarão valas com no máximo 15 a 30 cm de profundidade e 15 a 30 cm de largur"&amp;"a com pás e ferramentas manuais. Essas valas são usadas para acomodar a tubulação utilizada na instalação de sistemas de irrigação. Toda a poda/aparamento será feita no solo. Os trabalhadores não realizarão nenhuma atividade de poda ou corte acima do níve"&amp;"l do solo. O trabalhador poderá transportar outros trabalhadores de e para os locais de trabalho ocasionalmente, porém essa não será sua principal função. Os trabalhadores poderão operar equipamentos motorizados de jardinagem, incluindo cortadores de gram"&amp;"a, aparadores de borda, sopradores, roçadeiras, roçadeiras de jardim, pequenos tratores e equipamentos similares. Os trabalhadores poderão dirigir caminhonetes e outros veículos leves da empresa para ir e voltar dos locais de trabalho dos clientes. Os tra"&amp;"balhadores poderão ocasionalmente transportar outros trabalhadores de e para os locais de trabalho; no entanto, o transporte de trabalhadores não é uma função principal. Os trabalhadores também poderão ocasionalmente transportar materiais, ferramentas e e"&amp;"quipamentos de jardinagem de e para os locais de trabalho, incluindo cobertura morta, plantas em vasos, pás, ancinhos, cortadores de grama, sopradores e roçadeiras de jardim. Nenhum material perigoso será transportado pelos trabalhadores. Todos os veículo"&amp;"s e equipamentos operados têm peso bruto total inferior a 26.000 libras (aproximadamente 11.800 kg), incluindo quaisquer reboques acoplados ou materiais transportados. Classificação da Função: 37-3011.00 - Trabalhadores de Paisagismo e Manutenção de Jardi"&amp;"ns. A classificação e descrição da função/setor inclui informações gerais sobre o cargo, de acordo com o ONET/OES e o Sistema de Classificação Industrial da América do Norte (NAICS). Consulte as Funções e a Ordem de Serviço para obter mais informações. Re"&amp;"quisitos da Função Experiência Necessária: Sim Meses de Experiência Necessários: 3 Requisitos Especiais: Capacidade de levantar 23 kg, realizar movimentos repetitivos, empurrar/puxar com frequência, caminhar bastante, agachar-se frequentemente, exposição "&amp;"a temperaturas extremas, 3 meses de experiência em paisagismo, exame toxicológico pós-admissional por conta do empregador. Número de Horas por Semana: 40 Horário de Trabalho (Início/Término): 7h às 16h")</f>
        <v>As funções incluem a instalação de árvores, arbustos ou flores durante o período de dormência, seguindo o padrão de design apropriado. Isso inclui descarregar materiais, cavar buracos para o sistema radicular, cobrir os buracos adequadamente e, às vezes, colocar grama em placas, plantar sementes de grama ou conectar a irrigação. Também envolve a remoção de folhas, plantio de sementes e palha, aeração do gramado, plantio de arbustos, escavação, rastelagem e instalação de blocos de concreto pré-moldados sem argamassa. Os trabalhadores podem coletar e remover lixo, regar gramados, árvores e plantas semeadas, além de podar árvores, arbustos ou sebes. Podem operar equipamentos motorizados e dirigir veículos até os locais dos clientes. As tarefas podem incluir colocação de grama em placas, corte de grama, rega de plantas e gramados, transplante de plantas, fertilização, escavação, rastelagem e instalação de aspersores. Os funcionários cavarão valas com no máximo 15 a 30 cm de profundidade e 15 a 30 cm de largura com pás e ferramentas manuais. Essas valas são usadas para acomodar a tubulação utilizada na instalação de sistemas de irrigação. Toda a poda/aparamento será feita no solo. Os trabalhadores não realizarão nenhuma atividade de poda ou corte acima do nível do solo. O trabalhador poderá transportar outros trabalhadores de e para os locais de trabalho ocasionalmente, porém essa não será sua principal função. Os trabalhadores poderão operar equipamentos motorizados de jardinagem, incluindo cortadores de grama, aparadores de borda, sopradores, roçadeiras, roçadeiras de jardim, pequenos tratores e equipamentos similares. Os trabalhadores poderão dirigir caminhonetes e outros veículos leves da empresa para ir e voltar dos locais de trabalho dos clientes. Os trabalhadores poderão ocasionalmente transportar outros trabalhadores de e para os locais de trabalho; no entanto, o transporte de trabalhadores não é uma função principal. Os trabalhadores também poderão ocasionalmente transportar materiais, ferramentas e equipamentos de jardinagem de e para os locais de trabalho, incluindo cobertura morta, plantas em vasos, pás, ancinhos, cortadores de grama, sopradores e roçadeiras de jardim. Nenhum material perigoso será transportado pelos trabalhadores. Todos os veículos e equipamentos operados têm peso bruto total inferior a 26.000 libras (aproximadamente 11.800 kg), incluindo quaisquer reboques acoplados ou materiais transportados. Classificação da Função: 37-3011.00 - Trabalhadores de Paisagismo e Manutenção de Jardins. A classificação e descrição da função/setor inclui informações gerais sobre o cargo, de acordo com o ONET/OES e o Sistema de Classificação Industrial da América do Norte (NAICS). Consulte as Funções e a Ordem de Serviço para obter mais informações. Requisitos da Função Experiência Necessária: Sim Meses de Experiência Necessários: 3 Requisitos Especiais: Capacidade de levantar 23 kg, realizar movimentos repetitivos, empurrar/puxar com frequência, caminhar bastante, agachar-se frequentemente, exposição a temperaturas extremas, 3 meses de experiência em paisagismo, exame toxicológico pós-admissional por conta do empregador. Número de Horas por Semana: 40 Horário de Trabalho (Início/Término): 7h às 16h</v>
      </c>
    </row>
    <row r="87" ht="20.25" customHeight="1">
      <c r="A87" s="8" t="s">
        <v>552</v>
      </c>
      <c r="B87" s="8" t="s">
        <v>553</v>
      </c>
      <c r="C87" s="8" t="s">
        <v>78</v>
      </c>
      <c r="D87" s="8" t="s">
        <v>140</v>
      </c>
      <c r="E87" s="9" t="s">
        <v>19</v>
      </c>
      <c r="F87" s="9" t="s">
        <v>20</v>
      </c>
      <c r="G87" s="9" t="s">
        <v>377</v>
      </c>
      <c r="H87" s="8" t="s">
        <v>554</v>
      </c>
      <c r="I87" s="8" t="s">
        <v>555</v>
      </c>
      <c r="J87" s="9">
        <v>16.98</v>
      </c>
      <c r="K87" s="9">
        <v>50.0</v>
      </c>
      <c r="L87" s="8" t="s">
        <v>556</v>
      </c>
      <c r="M87" s="8" t="s">
        <v>557</v>
      </c>
      <c r="N87" s="7" t="str">
        <f>IFERROR(__xludf.DUMMYFUNCTION("GOOGLETRANSLATE(L87, ""en"", ""pt"")"),"Manutenção de áreas externas")</f>
        <v>Manutenção de áreas externas</v>
      </c>
      <c r="O87" s="7" t="str">
        <f>IFERROR(__xludf.DUMMYFUNCTION("IF(M87="""","""",GOOGLETRANSLATE(M87,""en"",""pt""))"),"As funções podem incluir: Podar ou aparar árvores. Rastelar e enfardar palha de pinheiro usando uma prensa e carregá-la em reboques. Manter o terreno livre de detritos. Aplicar palha de pinheiro em canteiros de flores. Limpar a vegetação rasteira dos camp"&amp;"os de palha usando facões, serras de poda, sopradores de folhas e motosserras, além de outras atividades relacionadas à manutenção do terreno, conforme SOC/OES 37-3011 (onetonline.org). Horário padrão/esperado: Segunda a sexta, das 8h às 16h30. Oferecemos"&amp;" mais de 40 horas semanais, sem incluir almoço e/ou intervalos. Possibilidade de trabalho nos fins de semana e feriados. Os horários de início e término, a carga horária e/ou horas extras podem variar, pois dependem de fatores como projeto/cronograma/nece"&amp;"ssidades do serviço, condições climáticas e tempo de deslocamento entre os locais de trabalho (se aplicável). Horas extras são possíveis, mas não obrigatórias nem garantidas. A critério exclusivo do empregador: aumentos salariais e/ou bônus podem ser conc"&amp;"edidos com base em fatores individuais, como desempenho ou habilidades (não garantidos). O pagamento por peça produzida pode variar de US$ 1,00 a US$ 1,10 por fardo enfardado com eficiência. Os trabalhadores passarão por um período de treinamento em servi"&amp;"ço (OJT) de 2 semanas, após o qual será estabelecida uma meta de produção diária de 15 fardos por hora. O não cumprimento dessa meta poderá resultar em advertência disciplinar. Os fardos enfardados são contados por hora; a contagem/relato é feita pelo tra"&amp;"balhador e, em seguida, verificada pelo operador da carregadeira. O trabalhador nunca receberá menos do que o Salário Vigente ou o salário mínimo federal/estadual/municipal. Classificação da Função: 37-3011.00 - Trabalhadores de Paisagismo e Manutenção de"&amp;" Áreas Verdes. A classificação e descrição da função/setor incluem informações gerais sobre o cargo, conforme o ONET/OES e o Sistema de Classificação Industrial da América do Norte (NAICS). Consulte as Funções e a Ordem de Serviço para obter mais informaç"&amp;"ões. Requisitos da Função: Experiência Necessária: Não. Requisitos Especiais: É necessário comprovar autorização legal para trabalhar nos Estados Unidos. Ambiente de trabalho livre de drogas, álcool e tabaco. Executar atividades físicas, como levantar, eq"&amp;"uilibrar-se, caminhar, abaixar-se, manusear, posicionar, mover e manipular materiais; usar força estática para exercer força muscular máxima para levantar, empurrar, puxar e carregar objetos de até 23 kg. Todos os candidatos devem ser capazes, dispostos e"&amp;" qualificados para executar o trabalho descrito e devem estar disponíveis durante todo o período especificado e trabalhar em todas as áreas da empresa. O trabalho é realizado ao ar livre, exposto às intempéries; o candidato deve ser capaz de realizar trab"&amp;"alho fisicamente extenuante por longos períodos, ocasionalmente em calor ou frio extremos. As condições climáticas são variáveis; a carga horária pode sofrer alterações (+/-), com possibilidade de períodos de inatividade e/ou horas extras. Número de horas"&amp;" por semana: 40. Horário de trabalho (início/término): 8h às 16h30.")</f>
        <v>As funções podem incluir: Podar ou aparar árvores. Rastelar e enfardar palha de pinheiro usando uma prensa e carregá-la em reboques. Manter o terreno livre de detritos. Aplicar palha de pinheiro em canteiros de flores. Limpar a vegetação rasteira dos campos de palha usando facões, serras de poda, sopradores de folhas e motosserras, além de outras atividades relacionadas à manutenção do terreno, conforme SOC/OES 37-3011 (onetonline.org). Horário padrão/esperado: Segunda a sexta, das 8h às 16h30. Oferecemos mais de 40 horas semanais, sem incluir almoço e/ou intervalos. Possibilidade de trabalho nos fins de semana e feriados. Os horários de início e término, a carga horária e/ou horas extras podem variar, pois dependem de fatores como projeto/cronograma/necessidades do serviço, condições climáticas e tempo de deslocamento entre os locais de trabalho (se aplicável). Horas extras são possíveis, mas não obrigatórias nem garantidas. A critério exclusivo do empregador: aumentos salariais e/ou bônus podem ser concedidos com base em fatores individuais, como desempenho ou habilidades (não garantidos). O pagamento por peça produzida pode variar de US$ 1,00 a US$ 1,10 por fardo enfardado com eficiência. Os trabalhadores passarão por um período de treinamento em serviço (OJT) de 2 semanas, após o qual será estabelecida uma meta de produção diária de 15 fardos por hora. O não cumprimento dessa meta poderá resultar em advertência disciplinar. Os fardos enfardados são contados por hora; a contagem/relato é feita pelo trabalhador e, em seguida, verificada pelo operador da carregadeira. O trabalhador nunca receberá menos do que o Salário Vigente ou o salário mínimo federal/estadual/municipal. Classificação da Função: 37-3011.00 - Trabalhadores de Paisagismo e Manutenção de Áreas Verdes. A classificação e descrição da função/setor incluem informações gerais sobre o cargo, conforme o ONET/OES e o Sistema de Classificação Industrial da América do Norte (NAICS). Consulte as Funções e a Ordem de Serviço para obter mais informações. Requisitos da Função: Experiência Necessária: Não. Requisitos Especiais: É necessário comprovar autorização legal para trabalhar nos Estados Unidos. Ambiente de trabalho livre de drogas, álcool e tabaco. Executar atividades físicas, como levantar, equilibrar-se, caminhar, abaixar-se, manusear, posicionar, mover e manipular materiais; usar força estática para exercer força muscular máxima para levantar, empurrar, puxar e carregar objetos de até 23 kg. Todos os candidatos devem ser capazes, dispostos e qualificados para executar o trabalho descrito e devem estar disponíveis durante todo o período especificado e trabalhar em todas as áreas da empresa. O trabalho é realizado ao ar livre, exposto às intempéries; o candidato deve ser capaz de realizar trabalho fisicamente extenuante por longos períodos, ocasionalmente em calor ou frio extremos. As condições climáticas são variáveis; a carga horária pode sofrer alterações (+/-), com possibilidade de períodos de inatividade e/ou horas extras. Número de horas por semana: 40. Horário de trabalho (início/término): 8h às 16h30.</v>
      </c>
    </row>
    <row r="88" ht="20.25" customHeight="1">
      <c r="A88" s="3" t="s">
        <v>558</v>
      </c>
      <c r="B88" s="3" t="s">
        <v>559</v>
      </c>
      <c r="C88" s="3" t="s">
        <v>63</v>
      </c>
      <c r="D88" s="3" t="s">
        <v>306</v>
      </c>
      <c r="E88" s="4" t="s">
        <v>19</v>
      </c>
      <c r="F88" s="4" t="s">
        <v>20</v>
      </c>
      <c r="G88" s="4" t="s">
        <v>146</v>
      </c>
      <c r="H88" s="3" t="s">
        <v>560</v>
      </c>
      <c r="I88" s="3" t="s">
        <v>561</v>
      </c>
      <c r="J88" s="4">
        <v>19.93</v>
      </c>
      <c r="K88" s="4">
        <v>12.0</v>
      </c>
      <c r="L88" s="3" t="s">
        <v>59</v>
      </c>
      <c r="M88" s="3" t="s">
        <v>562</v>
      </c>
      <c r="N88" s="7" t="str">
        <f>IFERROR(__xludf.DUMMYFUNCTION("GOOGLETRANSLATE(L88, ""en"", ""pt"")"),"Trabalhador de paisagismo")</f>
        <v>Trabalhador de paisagismo</v>
      </c>
      <c r="O88" s="7" t="str">
        <f>IFERROR(__xludf.DUMMYFUNCTION("IF(M88="""","""",GOOGLETRANSLATE(M88,""en"",""pt""))"),"Paisagismo e manutenção de terrenos utilizando ferramentas manuais ou elétricas. Os trabalhadores devem ser capazes de executar uma variedade de tarefas sem supervisão direta, que podem incluir qualquer combinação das seguintes atividades: colocação de gr"&amp;"ama, poda, plantio, rega, fertilização, escavação, rastelagem e instalação de blocos de concreto pré-moldados sem argamassa. Devem exercer julgamento independente; podem ser solicitados a demonstrar tarefas a outros funcionários, mas a função não inclui a"&amp;" supervisão de outros trabalhadores. Classificação da vaga: 37-3011.00 - Trabalhadores de Paisagismo e Manutenção de Terrenos. A classificação e descrição da vaga/setor incluem informações gerais sobre o cargo, de acordo com o ONET/OES e o Sistema de Clas"&amp;"sificação Industrial da América do Norte (NAICS). Consulte as Funções e a Ordem de Serviço para obter mais informações. Requisitos da vaga: Experiência exigida: Sim. Meses de experiência exigidos: 3. Requisitos especiais: Deve ser capaz de levantar/carreg"&amp;"ar 23 kg, quando necessário. Trabalho aos sábados, quando necessário. O empregador pode oferecer mais horas de trabalho do que as estipuladas, dependendo do clima, das necessidades da empresa e de outras condições. Calor extremo, frio, chuva ou seca podem"&amp;" afetar o horário de trabalho exato. Número de horas por semana: 40. Horário de trabalho (início/término): 8h00 - 16h30.")</f>
        <v>Paisagismo e manutenção de terrenos utilizando ferramentas manuais ou elétricas. Os trabalhadores devem ser capazes de executar uma variedade de tarefas sem supervisão direta, que podem incluir qualquer combinação das seguintes atividades: colocação de grama, poda, plantio, rega, fertilização, escavação, rastelagem e instalação de blocos de concreto pré-moldados sem argamassa. Devem exercer julgamento independente; podem ser solicitados a demonstrar tarefas a outros funcionários, mas a função não inclui a supervisão de outros trabalhadores. Classificação da vaga: 37-3011.00 - Trabalhadores de Paisagismo e Manutenção de Terrenos. A classificação e descrição da vaga/setor incluem informações gerais sobre o cargo, de acordo com o ONET/OES e o Sistema de Classificação Industrial da América do Norte (NAICS). Consulte as Funções e a Ordem de Serviço para obter mais informações. Requisitos da vaga: Experiência exigida: Sim. Meses de experiência exigidos: 3. Requisitos especiais: Deve ser capaz de levantar/carregar 23 kg, quando necessário. Trabalho aos sábados, quando necessário. O empregador pode oferecer mais horas de trabalho do que as estipuladas, dependendo do clima, das necessidades da empresa e de outras condições. Calor extremo, frio, chuva ou seca podem afetar o horário de trabalho exato. Número de horas por semana: 40. Horário de trabalho (início/término): 8h00 - 16h30.</v>
      </c>
    </row>
    <row r="89" ht="20.25" customHeight="1">
      <c r="A89" s="8" t="s">
        <v>563</v>
      </c>
      <c r="B89" s="8" t="s">
        <v>564</v>
      </c>
      <c r="C89" s="8" t="s">
        <v>63</v>
      </c>
      <c r="D89" s="8" t="s">
        <v>36</v>
      </c>
      <c r="E89" s="9" t="s">
        <v>19</v>
      </c>
      <c r="F89" s="9" t="s">
        <v>20</v>
      </c>
      <c r="G89" s="9" t="s">
        <v>146</v>
      </c>
      <c r="H89" s="8" t="s">
        <v>565</v>
      </c>
      <c r="I89" s="8" t="s">
        <v>566</v>
      </c>
      <c r="J89" s="9">
        <v>16.92</v>
      </c>
      <c r="K89" s="9">
        <v>15.0</v>
      </c>
      <c r="L89" s="8" t="s">
        <v>567</v>
      </c>
      <c r="M89" s="8" t="s">
        <v>568</v>
      </c>
      <c r="N89" s="7" t="str">
        <f>IFERROR(__xludf.DUMMYFUNCTION("GOOGLETRANSLATE(L89, ""en"", ""pt"")"),"Trabalhador de manutenção de terrenos")</f>
        <v>Trabalhador de manutenção de terrenos</v>
      </c>
      <c r="O89" s="7" t="str">
        <f>IFERROR(__xludf.DUMMYFUNCTION("IF(M89="""","""",GOOGLETRANSLATE(M89,""en"",""pt""))"),"Paisagismo e manutenção de terrenos. Os trabalhadores geralmente executam uma variedade de tarefas, que podem incluir qualquer combinação das seguintes: Operar equipamentos mecanizados, como cortadores de grama, cortadores de grama acoplados a tratores e "&amp;"roçadeiras para cortar grama/limpar mato; aparar/cortar bordas, remover lixo. Carregar/descarregar equipamentos. Diagnosticar/fazer reparos de rotina em equipamentos, conforme necessário. Deve exercer julgamento independente; pode ser solicitado a demonst"&amp;"rar tarefas a outros funcionários, mas a função não inclui a supervisão de outros trabalhadores. Classificação da função: 37-3011.00 - Trabalhadores de Paisagismo e Manutenção de Terrenos. A classificação e descrição da função/setor inclui informações ger"&amp;"ais sobre o cargo, de acordo com o ONET/OES e o Sistema de Classificação Industrial da América do Norte. Consulte as Funções e a Ordem de Serviço para obter mais informações. Requisitos da função: Experiência necessária: Sim. Meses de experiência necessár"&amp;"ios: 3. Requisitos especiais: Deve levantar/carregar 23 kg, quando necessário. Trabalho aos sábados e domingos, quando necessário. Testes aleatórios de drogas após a contratação, após acidentes e em caso de suspeita de uso são obrigatórios para trabalhado"&amp;"res estrangeiros e nacionais. A verificação de elegibilidade para emprego (e-Verify) após a contratação também é obrigatória para trabalhadores estrangeiros e nacionais. O empregador pode oferecer mais horas de trabalho do que as estipuladas, dependendo d"&amp;"o clima, das necessidades da empresa e de outras condições. Calor extremo, frio, chuva ou seca podem afetar o horário de trabalho exato. Número de horas por semana: 40. Horário de trabalho (início/término): 8h às 16h30.")</f>
        <v>Paisagismo e manutenção de terrenos. Os trabalhadores geralmente executam uma variedade de tarefas, que podem incluir qualquer combinação das seguintes: Operar equipamentos mecanizados, como cortadores de grama, cortadores de grama acoplados a tratores e roçadeiras para cortar grama/limpar mato; aparar/cortar bordas, remover lixo. Carregar/descarregar equipamentos. Diagnosticar/fazer reparos de rotina em equipamentos, conforme necessário. Deve exercer julgamento independente; pode ser solicitado a demonstrar tarefas a outros funcionários, mas a função não inclui a supervisão de outros trabalhadores. Classificação da função: 37-3011.00 - Trabalhadores de Paisagismo e Manutenção de Terrenos. A classificação e descrição da função/setor inclui informações gerais sobre o cargo, de acordo com o ONET/OES e o Sistema de Classificação Industrial da América do Norte. Consulte as Funções e a Ordem de Serviço para obter mais informações. Requisitos da função: Experiência necessária: Sim. Meses de experiência necessários: 3. Requisitos especiais: Deve levantar/carregar 23 kg, quando necessário. Trabalho aos sábados e domingos, quando necessário. Testes aleatórios de drogas após a contratação, após acidentes e em caso de suspeita de uso são obrigatórios para trabalhadores estrangeiros e nacionais. A verificação de elegibilidade para emprego (e-Verify) após a contratação também é obrigatória para trabalhadores estrangeiros e nacionais. O empregador pode oferecer mais horas de trabalho do que as estipuladas, dependendo do clima, das necessidades da empresa e de outras condições. Calor extremo, frio, chuva ou seca podem afetar o horário de trabalho exato. Número de horas por semana: 40. Horário de trabalho (início/término): 8h às 16h30.</v>
      </c>
    </row>
    <row r="90" ht="20.25" customHeight="1">
      <c r="A90" s="3" t="s">
        <v>569</v>
      </c>
      <c r="B90" s="3" t="s">
        <v>570</v>
      </c>
      <c r="C90" s="3"/>
      <c r="D90" s="3" t="s">
        <v>284</v>
      </c>
      <c r="E90" s="4" t="s">
        <v>19</v>
      </c>
      <c r="F90" s="4" t="s">
        <v>20</v>
      </c>
      <c r="G90" s="4" t="s">
        <v>146</v>
      </c>
      <c r="H90" s="3" t="s">
        <v>571</v>
      </c>
      <c r="I90" s="3" t="s">
        <v>572</v>
      </c>
      <c r="J90" s="4">
        <v>13.7</v>
      </c>
      <c r="K90" s="4">
        <v>42.0</v>
      </c>
      <c r="L90" s="3" t="s">
        <v>573</v>
      </c>
      <c r="M90" s="3" t="s">
        <v>574</v>
      </c>
      <c r="N90" s="7" t="str">
        <f>IFERROR(__xludf.DUMMYFUNCTION("GOOGLETRANSLATE(L90, ""en"", ""pt"")"),"Limpeza de vegetação na faixa de domínio da concessionária")</f>
        <v>Limpeza de vegetação na faixa de domínio da concessionária</v>
      </c>
      <c r="O90" s="7" t="str">
        <f>IFERROR(__xludf.DUMMYFUNCTION("IF(M90="""","""",GOOGLETRANSLATE(M90,""en"",""pt""))"),"O trabalhador utilizará pulverizadores costais e ferramentas manuais para aplicar herbicida no controle ou limpeza da vegetação em faixas de servidão de concessionárias de serviços públicos, pastagens, áreas de vida selvagem, margens de estradas, áreas in"&amp;"dustriais e outras áreas, carregando até 16 kg de equipamento enquanto caminha até 16 km por dia em terrenos acidentados, frequentemente em condições climáticas adversas (calor intenso, plantas venenosas, insetos e cobras). O trabalhador deverá ser capaz "&amp;"de aplicar 75 litros de mistura para pulverização em um período de oito horas após três semanas de treinamento. O trabalho será realizado em áreas de tamanho variável, de menos de 0,4 hectare a milhares de hectares. As tarefas serão executadas em áreas de"&amp;"terminadas por um itinerário, de acordo com as Normas Florestais [Gal I-97] [FR Doc. E7-12766] [TEGL 27-6] e diversas outras publicações e práticas estabelecidas. Consulte o anexo CDR resposta P-400-13042-521868 14 de novembro de 2013 Classificação do Car"&amp;"go: 37-3011.00 - Trabalhadores de Paisagismo e Manutenção de Áreas Verdes A classificação e descrição do cargo/setor inclui informações gerais sobre a posição, conforme ONET/OES e o Sistema de Classificação Industrial da América do Norte (NAICS). Consulte"&amp;" as Funções e a Ordem de Serviço para obter mais informações. Requisitos do Cargo Experiência Necessária: Não Requisitos Especiais: Os candidatos devem ter 18 anos de idade e disponibilidade para viajar com pernoite por períodos prolongados. As habilidade"&amp;"s necessárias incluem identificação de folhagem, manuseio de herbicidas, procedimentos de segurança e técnicas de aplicação de herbicidas em baixa quantidade, após três semanas de treinamento na empresa. Não é necessário treinamento prévio, mas é obrigató"&amp;"rio participar de um treinamento pago pela empresa no local de início das atividades. A Progressive Solutions mantém um ambiente de trabalho livre de drogas, e os trabalhadores podem ser submetidos a testes de drogas pós-emprego, conforme exigido por cont"&amp;"ratos governamentais. Os estagiários que possuírem carteira de habilitação válida, atenderem a todos os padrões de direção da empresa e forem aprovados no teste de direção da empresa poderão receber horas extras para transportar trabalhadores e/ou materia"&amp;"is. A carga horária semanal pode variar devido às condições climáticas e aos prazos contratuais, sendo necessário trabalhar alguns sábados e domingos. Número de horas por semana: 40. Horário de trabalho (início/término): 7h30 às 15h.")</f>
        <v>O trabalhador utilizará pulverizadores costais e ferramentas manuais para aplicar herbicida no controle ou limpeza da vegetação em faixas de servidão de concessionárias de serviços públicos, pastagens, áreas de vida selvagem, margens de estradas, áreas industriais e outras áreas, carregando até 16 kg de equipamento enquanto caminha até 16 km por dia em terrenos acidentados, frequentemente em condições climáticas adversas (calor intenso, plantas venenosas, insetos e cobras). O trabalhador deverá ser capaz de aplicar 75 litros de mistura para pulverização em um período de oito horas após três semanas de treinamento. O trabalho será realizado em áreas de tamanho variável, de menos de 0,4 hectare a milhares de hectares. As tarefas serão executadas em áreas determinadas por um itinerário, de acordo com as Normas Florestais [Gal I-97] [FR Doc. E7-12766] [TEGL 27-6] e diversas outras publicações e práticas estabelecidas. Consulte o anexo CDR resposta P-400-13042-521868 14 de novembro de 2013 Classificação do Cargo: 37-3011.00 - Trabalhadores de Paisagismo e Manutenção de Áreas Verdes A classificação e descrição do cargo/setor inclui informações gerais sobre a posição, conforme ONET/OES e o Sistema de Classificação Industrial da América do Norte (NAICS). Consulte as Funções e a Ordem de Serviço para obter mais informações. Requisitos do Cargo Experiência Necessária: Não Requisitos Especiais: Os candidatos devem ter 18 anos de idade e disponibilidade para viajar com pernoite por períodos prolongados. As habilidades necessárias incluem identificação de folhagem, manuseio de herbicidas, procedimentos de segurança e técnicas de aplicação de herbicidas em baixa quantidade, após três semanas de treinamento na empresa. Não é necessário treinamento prévio, mas é obrigatório participar de um treinamento pago pela empresa no local de início das atividades. A Progressive Solutions mantém um ambiente de trabalho livre de drogas, e os trabalhadores podem ser submetidos a testes de drogas pós-emprego, conforme exigido por contratos governamentais. Os estagiários que possuírem carteira de habilitação válida, atenderem a todos os padrões de direção da empresa e forem aprovados no teste de direção da empresa poderão receber horas extras para transportar trabalhadores e/ou materiais. A carga horária semanal pode variar devido às condições climáticas e aos prazos contratuais, sendo necessário trabalhar alguns sábados e domingos. Número de horas por semana: 40. Horário de trabalho (início/término): 7h30 às 15h.</v>
      </c>
    </row>
    <row r="91" ht="20.25" customHeight="1">
      <c r="A91" s="8" t="s">
        <v>575</v>
      </c>
      <c r="B91" s="8" t="s">
        <v>576</v>
      </c>
      <c r="C91" s="8" t="s">
        <v>93</v>
      </c>
      <c r="D91" s="8" t="s">
        <v>87</v>
      </c>
      <c r="E91" s="9" t="s">
        <v>44</v>
      </c>
      <c r="F91" s="9" t="s">
        <v>20</v>
      </c>
      <c r="G91" s="9" t="s">
        <v>577</v>
      </c>
      <c r="H91" s="8" t="s">
        <v>578</v>
      </c>
      <c r="I91" s="8"/>
      <c r="J91" s="9">
        <v>15.52</v>
      </c>
      <c r="K91" s="9">
        <v>6.0</v>
      </c>
      <c r="L91" s="8" t="s">
        <v>579</v>
      </c>
      <c r="M91" s="8" t="s">
        <v>580</v>
      </c>
      <c r="N91" s="7" t="str">
        <f>IFERROR(__xludf.DUMMYFUNCTION("GOOGLETRANSLATE(L91, ""en"", ""pt"")"),"Especialista em Desenvolvimento Infantil")</f>
        <v>Especialista em Desenvolvimento Infantil</v>
      </c>
      <c r="O91" s="7" t="str">
        <f>IFERROR(__xludf.DUMMYFUNCTION("IF(M91="""","""",GOOGLETRANSLATE(M91,""en"",""pt""))"),"Prestar cuidados diários a crianças em idade pré-escolar em um programa de desenvolvimento infantil. Conversar e ler para as crianças. Monitorar as crianças quanto a problemas de saúde, comportamento e emocionais e relatar quaisquer preocupações à gerênci"&amp;"a. Comunicar aos pais ou responsáveis ​​das crianças informações sobre como foi o dia da criança, incluindo atividades diárias, comportamentos e problemas relacionados. Preparar e servir o café da manhã, almoço e lanche da tarde fornecidos pela escola. De"&amp;"senvolver uma rotina de limpeza ao longo do dia que mantenha todas as áreas higienizadas e seguras. Realizar tarefas domésticas adicionais, incluindo lavar roupa, lavar louça e trocar lençóis, conforme necessário. Auxiliar os professores na condução das a"&amp;"tividades e tarefas em sala de aula. Os funcionários deverão trocar fraldas e/ou roupas das crianças, caso seja necessário. Classificação do Cargo: 39-9011.00 - Cuidadores Infantis. A classificação e descrição do cargo/setor incluem informações gerais sob"&amp;"re a posição, de acordo com o ONET/OES e o Sistema de Classificação Industrial da América do Norte. Consulte as Funções e a Ordem de Serviço para obter mais informações. Requisitos do Cargo: Experiência Necessária: Não. Requisitos Especiais: Deve ser capa"&amp;"z de levantar/carregar 23 kg, quando necessário. O candidato deve ser capaz de permanecer em pé por longos períodos ao longo do dia, alcançar uma distância de 6 a 9 metros em 15 segundos em caso de emergência, agachar-se até a altura dos olhos de uma cria"&amp;"nça, sentar-se no chão, observar, ver, ouvir e responder às necessidades da criança, além de se comunicar. Exame toxicológico pós-contratação obrigatório para trabalhadores estrangeiros e nacionais em caso de suspeita de uso. Verificação de antecedentes e"&amp;" elegibilidade para emprego (e-Verify) pós-contratação obrigatória para trabalhadores estrangeiros e nacionais. Habilidade para falar inglês básico é desejável. O candidato deve apresentar histórico escolar traduzido para o inglês, comprovando o nível mai"&amp;"s alto de escolaridade concluído; diploma do ensino médio ou equivalente é obrigatório. Avaliação de saúde completa é obrigatória. Após a chegada aos EUA, o candidato deve se cadastrar na agência de emprego local para participar do nosso programa de trein"&amp;"amento em serviço. Este programa oferece suporte constante de um mentor. O empregador pode oferecer uma carga horária maior do que a estipulada, dependendo das condições climáticas, necessidades da empresa e outros fatores. Número de horas por semana: 40."&amp;" Horário de trabalho (início/término): 8h. - 17h00")</f>
        <v>Prestar cuidados diários a crianças em idade pré-escolar em um programa de desenvolvimento infantil. Conversar e ler para as crianças. Monitorar as crianças quanto a problemas de saúde, comportamento e emocionais e relatar quaisquer preocupações à gerência. Comunicar aos pais ou responsáveis ​​das crianças informações sobre como foi o dia da criança, incluindo atividades diárias, comportamentos e problemas relacionados. Preparar e servir o café da manhã, almoço e lanche da tarde fornecidos pela escola. Desenvolver uma rotina de limpeza ao longo do dia que mantenha todas as áreas higienizadas e seguras. Realizar tarefas domésticas adicionais, incluindo lavar roupa, lavar louça e trocar lençóis, conforme necessário. Auxiliar os professores na condução das atividades e tarefas em sala de aula. Os funcionários deverão trocar fraldas e/ou roupas das crianças, caso seja necessário. Classificação do Cargo: 39-9011.00 - Cuidadores Infantis. A classificação e descrição do cargo/setor incluem informações gerais sobre a posição, de acordo com o ONET/OES e o Sistema de Classificação Industrial da América do Norte. Consulte as Funções e a Ordem de Serviço para obter mais informações. Requisitos do Cargo: Experiência Necessária: Não. Requisitos Especiais: Deve ser capaz de levantar/carregar 23 kg, quando necessário. O candidato deve ser capaz de permanecer em pé por longos períodos ao longo do dia, alcançar uma distância de 6 a 9 metros em 15 segundos em caso de emergência, agachar-se até a altura dos olhos de uma criança, sentar-se no chão, observar, ver, ouvir e responder às necessidades da criança, além de se comunicar. Exame toxicológico pós-contratação obrigatório para trabalhadores estrangeiros e nacionais em caso de suspeita de uso. Verificação de antecedentes e elegibilidade para emprego (e-Verify) pós-contratação obrigatória para trabalhadores estrangeiros e nacionais. Habilidade para falar inglês básico é desejável. O candidato deve apresentar histórico escolar traduzido para o inglês, comprovando o nível mais alto de escolaridade concluído; diploma do ensino médio ou equivalente é obrigatório. Avaliação de saúde completa é obrigatória. Após a chegada aos EUA, o candidato deve se cadastrar na agência de emprego local para participar do nosso programa de treinamento em serviço. Este programa oferece suporte constante de um mentor. O empregador pode oferecer uma carga horária maior do que a estipulada, dependendo das condições climáticas, necessidades da empresa e outros fatores. Número de horas por semana: 40. Horário de trabalho (início/término): 8h. - 17h00</v>
      </c>
    </row>
    <row r="92" ht="20.25" customHeight="1">
      <c r="A92" s="3" t="s">
        <v>581</v>
      </c>
      <c r="B92" s="3" t="s">
        <v>582</v>
      </c>
      <c r="C92" s="3" t="s">
        <v>583</v>
      </c>
      <c r="D92" s="3" t="s">
        <v>271</v>
      </c>
      <c r="E92" s="4" t="s">
        <v>19</v>
      </c>
      <c r="F92" s="4" t="s">
        <v>20</v>
      </c>
      <c r="G92" s="4" t="s">
        <v>524</v>
      </c>
      <c r="H92" s="3" t="s">
        <v>584</v>
      </c>
      <c r="I92" s="3" t="s">
        <v>585</v>
      </c>
      <c r="J92" s="4">
        <v>21.5</v>
      </c>
      <c r="K92" s="4">
        <v>21.0</v>
      </c>
      <c r="L92" s="3" t="s">
        <v>586</v>
      </c>
      <c r="M92" s="3" t="s">
        <v>587</v>
      </c>
      <c r="N92" s="7" t="str">
        <f>IFERROR(__xludf.DUMMYFUNCTION("GOOGLETRANSLATE(L92, ""en"", ""pt"")"),"Cozinheiro de linha")</f>
        <v>Cozinheiro de linha</v>
      </c>
      <c r="O92" s="7" t="str">
        <f>IFERROR(__xludf.DUMMYFUNCTION("IF(M92="""","""",GOOGLETRANSLATE(M92,""en"",""pt""))"),"Executar todos os métodos de preparo, controle de porções e decoração de todos os pratos de acordo com os padrões estabelecidos pelo chef executivo; manter altos padrões de qualidade na produção de alimentos para garantir a satisfação dos clientes; inspec"&amp;"ionar e limpar as áreas de preparo de alimentos, como equipamentos e áreas de serviço, para garantir práticas seguras e higiênicas de manipulação de alimentos; preparar, cozinhar e temperar os alimentos de acordo com as receitas; assar, grelhar e cozinhar"&amp;" no vapor carnes, peixes, legumes, pães, sobremesas e outros alimentos; garantir que os alimentos sejam armazenados e cozidos na temperatura correta, regulando a temperatura de fornos, grelhas e assadeiras; e garantir o frescor dos alimentos e ingrediente"&amp;"s, verificando a qualidade, controlando os itens novos e antigos e fazendo o rodízio do estoque. Classificação da vaga: 35-2014.00 - Cozinheiros, Restaurante. A classificação e descrição da vaga/setor incluem informações gerais sobre o cargo, de acordo co"&amp;"m o ONET/OES e o Sistema de Classificação Industrial da América do Norte. Consulte as Funções e a Ordem de Serviço para obter mais informações. Requisitos da vaga Experiência necessária: Sim Meses de experiência necessários: 12 Requisitos especiais: Deve "&amp;"ser capaz de levantar, puxar ou empurrar entre 13 e 23 kg de equipamentos ou lixo. Deve ter disponibilidade para trabalhar em todos os turnos, incluindo fins de semana, noites, madrugadas e feriados. Número de horas por semana: 40 Horário de trabalho (iní"&amp;"cio/término): 8h às 16h")</f>
        <v>Executar todos os métodos de preparo, controle de porções e decoração de todos os pratos de acordo com os padrões estabelecidos pelo chef executivo; manter altos padrões de qualidade na produção de alimentos para garantir a satisfação dos clientes; inspecionar e limpar as áreas de preparo de alimentos, como equipamentos e áreas de serviço, para garantir práticas seguras e higiênicas de manipulação de alimentos; preparar, cozinhar e temperar os alimentos de acordo com as receitas; assar, grelhar e cozinhar no vapor carnes, peixes, legumes, pães, sobremesas e outros alimentos; garantir que os alimentos sejam armazenados e cozidos na temperatura correta, regulando a temperatura de fornos, grelhas e assadeiras; e garantir o frescor dos alimentos e ingredientes, verificando a qualidade, controlando os itens novos e antigos e fazendo o rodízio do estoque. Classificação da vaga: 35-2014.00 - Cozinheiros, Restaurante. A classificação e descrição da vaga/setor incluem informações gerais sobre o cargo, de acordo com o ONET/OES e o Sistema de Classificação Industrial da América do Norte. Consulte as Funções e a Ordem de Serviço para obter mais informações. Requisitos da vaga Experiência necessária: Sim Meses de experiência necessários: 12 Requisitos especiais: Deve ser capaz de levantar, puxar ou empurrar entre 13 e 23 kg de equipamentos ou lixo. Deve ter disponibilidade para trabalhar em todos os turnos, incluindo fins de semana, noites, madrugadas e feriados. Número de horas por semana: 40 Horário de trabalho (início/término): 8h às 16h</v>
      </c>
    </row>
    <row r="93" ht="20.25" customHeight="1">
      <c r="A93" s="8" t="s">
        <v>588</v>
      </c>
      <c r="B93" s="8" t="s">
        <v>589</v>
      </c>
      <c r="C93" s="8" t="s">
        <v>125</v>
      </c>
      <c r="D93" s="8" t="s">
        <v>344</v>
      </c>
      <c r="E93" s="9" t="s">
        <v>19</v>
      </c>
      <c r="F93" s="9" t="s">
        <v>20</v>
      </c>
      <c r="G93" s="9" t="s">
        <v>80</v>
      </c>
      <c r="H93" s="8" t="s">
        <v>590</v>
      </c>
      <c r="I93" s="8" t="s">
        <v>591</v>
      </c>
      <c r="J93" s="9">
        <v>38.78</v>
      </c>
      <c r="K93" s="9">
        <v>9.0</v>
      </c>
      <c r="L93" s="8" t="s">
        <v>592</v>
      </c>
      <c r="M93" s="8" t="s">
        <v>593</v>
      </c>
      <c r="N93" s="7" t="str">
        <f>IFERROR(__xludf.DUMMYFUNCTION("GOOGLETRANSLATE(L93, ""en"", ""pt"")"),"Operários de Produção")</f>
        <v>Operários de Produção</v>
      </c>
      <c r="O93" s="7" t="str">
        <f>IFERROR(__xludf.DUMMYFUNCTION("IF(M93="""","""",GOOGLETRANSLATE(M93,""en"",""pt""))"),"Preparar e carregar caminhões-tanque de açúcar líquido para envio, produzir lotes conforme as instruções do cronograma de produção, incluindo o manuseio de ingredientes em diferentes tamanhos de embalagem, em forma seca e líquida, medir e adicionar os ing"&amp;"redientes ao lote de acordo com as instruções de mistura. Monitorar os lotes utilizando equipamentos analíticos básicos (medidor de pH, termômetro, refratômetro), realizar testes de garantia de qualidade em mercadorias e produtos, organizar o estoque de f"&amp;"orma acessível, manter a qualidade e a conservação dos equipamentos do armazém, incluindo máquinas, e cumprir todas as normas de segurança alimentar, qualidade e segurança do trabalho. Preparar e carregar caminhões-tanque de açúcar líquido para envio, inc"&amp;"luindo a produção de lotes conforme as instruções do cronograma de produção, manuseando materiais e ingredientes em diferentes tamanhos de embalagem, em forma seca e líquida, utilizados na produção e distribuição de açúcar, medindo e adicionando os ingred"&amp;"ientes ao lote de acordo com as instruções de mistura, e monitorando os lotes utilizando equipamentos analíticos básicos, incluindo medidor de pH, termômetro e refratômetro. Outras responsabilidades incluem carregar, descarregar, movimentar e organizar tu"&amp;"bulações, mangueiras, válvulas, bombas, transportadores, materiais de embalagem, componentes estruturais e equipamentos de transferência de açúcar; auxiliar na instalação e montagem de componentes da linha de produção e carregamento. Os trabalhadores util"&amp;"izarão ferramentas manuais, ferramentas elétricas, paleteiras, empilhadeiras, carrinhos, guindastes, instrumentos de medição, equipamentos de embalagem, bombas, esteiras transportadoras, sistemas de tubulação e equipamentos analíticos básicos. A manutençã"&amp;"o da qualidade e conservação dos equipamentos do armazém, incluindo máquinas, consiste em: Os trabalhadores limparão, inspecionarão, monitorarão e realizarão a manutenção operacional básica dos equipamentos de armazém e produção utilizados nas operações d"&amp;"a refinaria de açúcar. As tarefas específicas incluem a limpeza de máquinas e áreas de trabalho; a remoção de resíduos de açúcar, poeira, detritos e materiais de embalagem; a inspeção dos equipamentos para verificar desgaste visível, vazamentos ou problem"&amp;"as operacionais; a verificação dos níveis de fluidos e o relato das necessidades de manutenção aos supervisores; o auxílio na configuração e desligamento rotineiros dos equipamentos; a lubrificação de peças acessíveis das máquinas, conforme instruções; e "&amp;"a garantia de que os equipamentos e as áreas do armazém permaneçam organizados e seguros para as operações. Os trabalhadores podem auxiliar na manutenção de esteiras transportadoras, bombas, paleteiras, empilhadeiras, sistemas de carregamento de tanques, "&amp;"equipamentos de embalagem, misturadores, mangueiras, sistemas de tubulação e outras máquinas de manuseio e armazenamento de açúcar. Os trabalhadores não realizam trabalhos de reparo mecânico, elétrico ou técnico que exijam licença. Ferramentas, equipament"&amp;"os e materiais utilizados incluem vassouras, esfregões, mangueiras, soluções de limpeza, lavadoras de alta pressão, panos, pistolas de graxa, ferramentas manuais como chaves e chaves de fenda, paletes, paleteiras, empilhadeiras, esteiras transportadoras, "&amp;"bombas, equipamentos de carregamento e máquinas de embalagem. Classificação da função: 53-7072.00 - Operadores de Bombas, exceto Bombeadores de Cabeça de Poço. A classificação e descrição da função/setor inclui informações gerais sobre o cargo, de acordo "&amp;"com o ONET/OES e o Sistema de Classificação Industrial da América do Norte (NAICS). Consulte as Funções e a Ordem de Serviço para obter mais informações. Requisitos da função: Experiência necessária: Sim. Meses de experiência necessários: 3. Requisitos es"&amp;"peciais: Experiência na indústria alimentícia é preferencial; experiência na indústria de açúcar ou adoçantes é uma vantagem. Deve demonstrar aptidão mecânica razoável para trabalhar com e compreender equipamentos de processamento. Deve ter assiduidade. O"&amp;" trabalho pode exigir flexão, inclinação, agachamento, ajoelhamento e abaixamento; capacidade de receber informações detalhadas por meio de comunicação verbal e escrita em inglês ou espanhol; capacidade de expressar ou trocar ideias verbalmente em inglês "&amp;"ou espanhol. Capacidade de levantar até 23 kg. É necessário o uso de ambas as mãos. O trabalho é realizado principalmente em ambientes internos, com algumas atividades externas. Requer-se 3 meses de experiência. Número de horas por semana: 40. Horário de "&amp;"trabalho (início/término): 7h às 16h.")</f>
        <v>Preparar e carregar caminhões-tanque de açúcar líquido para envio, produzir lotes conforme as instruções do cronograma de produção, incluindo o manuseio de ingredientes em diferentes tamanhos de embalagem, em forma seca e líquida, medir e adicionar os ingredientes ao lote de acordo com as instruções de mistura. Monitorar os lotes utilizando equipamentos analíticos básicos (medidor de pH, termômetro, refratômetro), realizar testes de garantia de qualidade em mercadorias e produtos, organizar o estoque de forma acessível, manter a qualidade e a conservação dos equipamentos do armazém, incluindo máquinas, e cumprir todas as normas de segurança alimentar, qualidade e segurança do trabalho. Preparar e carregar caminhões-tanque de açúcar líquido para envio, incluindo a produção de lotes conforme as instruções do cronograma de produção, manuseando materiais e ingredientes em diferentes tamanhos de embalagem, em forma seca e líquida, utilizados na produção e distribuição de açúcar, medindo e adicionando os ingredientes ao lote de acordo com as instruções de mistura, e monitorando os lotes utilizando equipamentos analíticos básicos, incluindo medidor de pH, termômetro e refratômetro. Outras responsabilidades incluem carregar, descarregar, movimentar e organizar tubulações, mangueiras, válvulas, bombas, transportadores, materiais de embalagem, componentes estruturais e equipamentos de transferência de açúcar; auxiliar na instalação e montagem de componentes da linha de produção e carregamento. Os trabalhadores utilizarão ferramentas manuais, ferramentas elétricas, paleteiras, empilhadeiras, carrinhos, guindastes, instrumentos de medição, equipamentos de embalagem, bombas, esteiras transportadoras, sistemas de tubulação e equipamentos analíticos básicos. A manutenção da qualidade e conservação dos equipamentos do armazém, incluindo máquinas, consiste em: Os trabalhadores limparão, inspecionarão, monitorarão e realizarão a manutenção operacional básica dos equipamentos de armazém e produção utilizados nas operações da refinaria de açúcar. As tarefas específicas incluem a limpeza de máquinas e áreas de trabalho; a remoção de resíduos de açúcar, poeira, detritos e materiais de embalagem; a inspeção dos equipamentos para verificar desgaste visível, vazamentos ou problemas operacionais; a verificação dos níveis de fluidos e o relato das necessidades de manutenção aos supervisores; o auxílio na configuração e desligamento rotineiros dos equipamentos; a lubrificação de peças acessíveis das máquinas, conforme instruções; e a garantia de que os equipamentos e as áreas do armazém permaneçam organizados e seguros para as operações. Os trabalhadores podem auxiliar na manutenção de esteiras transportadoras, bombas, paleteiras, empilhadeiras, sistemas de carregamento de tanques, equipamentos de embalagem, misturadores, mangueiras, sistemas de tubulação e outras máquinas de manuseio e armazenamento de açúcar. Os trabalhadores não realizam trabalhos de reparo mecânico, elétrico ou técnico que exijam licença. Ferramentas, equipamentos e materiais utilizados incluem vassouras, esfregões, mangueiras, soluções de limpeza, lavadoras de alta pressão, panos, pistolas de graxa, ferramentas manuais como chaves e chaves de fenda, paletes, paleteiras, empilhadeiras, esteiras transportadoras, bombas, equipamentos de carregamento e máquinas de embalagem. Classificação da função: 53-7072.00 - Operadores de Bombas, exceto Bombeadores de Cabeça de Poço. A classificação e descrição da função/setor inclui informações gerais sobre o cargo, de acordo com o ONET/OES e o Sistema de Classificação Industrial da América do Norte (NAICS). Consulte as Funções e a Ordem de Serviço para obter mais informações. Requisitos da função: Experiência necessária: Sim. Meses de experiência necessários: 3. Requisitos especiais: Experiência na indústria alimentícia é preferencial; experiência na indústria de açúcar ou adoçantes é uma vantagem. Deve demonstrar aptidão mecânica razoável para trabalhar com e compreender equipamentos de processamento. Deve ter assiduidade. O trabalho pode exigir flexão, inclinação, agachamento, ajoelhamento e abaixamento; capacidade de receber informações detalhadas por meio de comunicação verbal e escrita em inglês ou espanhol; capacidade de expressar ou trocar ideias verbalmente em inglês ou espanhol. Capacidade de levantar até 23 kg. É necessário o uso de ambas as mãos. O trabalho é realizado principalmente em ambientes internos, com algumas atividades externas. Requer-se 3 meses de experiência. Número de horas por semana: 40. Horário de trabalho (início/término): 7h às 16h.</v>
      </c>
    </row>
    <row r="94" ht="20.25" customHeight="1">
      <c r="A94" s="3" t="s">
        <v>594</v>
      </c>
      <c r="B94" s="3" t="s">
        <v>595</v>
      </c>
      <c r="C94" s="3" t="s">
        <v>169</v>
      </c>
      <c r="D94" s="3" t="s">
        <v>596</v>
      </c>
      <c r="E94" s="4" t="s">
        <v>19</v>
      </c>
      <c r="F94" s="4" t="s">
        <v>20</v>
      </c>
      <c r="G94" s="4" t="s">
        <v>146</v>
      </c>
      <c r="H94" s="3" t="s">
        <v>597</v>
      </c>
      <c r="I94" s="3" t="s">
        <v>598</v>
      </c>
      <c r="J94" s="4">
        <v>20.7</v>
      </c>
      <c r="K94" s="4">
        <v>6.0</v>
      </c>
      <c r="L94" s="3" t="s">
        <v>59</v>
      </c>
      <c r="M94" s="3" t="s">
        <v>599</v>
      </c>
      <c r="N94" s="7" t="str">
        <f>IFERROR(__xludf.DUMMYFUNCTION("GOOGLETRANSLATE(L94, ""en"", ""pt"")"),"Trabalhador de paisagismo")</f>
        <v>Trabalhador de paisagismo</v>
      </c>
      <c r="O94" s="7" t="str">
        <f>IFERROR(__xludf.DUMMYFUNCTION("IF(M94="""","""",GOOGLETRANSLATE(M94,""en"",""pt""))"),"Paisagismo e manutenção de terrenos utilizando ferramentas manuais ou elétricas. Os trabalhadores geralmente executam uma variedade de tarefas, que podem incluir qualquer combinação das seguintes: nivelar/semear/colocar grama, plantar, regar, cavar, raste"&amp;"lar e aplicar cobertura morta. Classificação da função: 37-3011.00 - Trabalhadores de Paisagismo e Manutenção de Terrenos. A classificação e descrição da função/setor inclui informações gerais sobre o cargo, de acordo com o ONET/OES e o Sistema de Classif"&amp;"icação Industrial da América do Norte (NAICS). Consulte as Funções e a Ordem de Serviço para obter mais informações. Requisitos da função: Experiência necessária: Não. Requisitos especiais: Deve ser capaz de levantar/carregar 23 kg, quando necessário. Tra"&amp;"balho aos sábados e domingos, quando necessário. O empregador pode oferecer mais horas de trabalho do que as indicadas, dependendo do clima, das necessidades da empresa e de outras condições. Calor extremo, frio, chuva ou seca podem afetar o horário de tr"&amp;"abalho exato. Número de horas por semana: 40. Horário de trabalho (início/término): 8h00 - 16h30.")</f>
        <v>Paisagismo e manutenção de terrenos utilizando ferramentas manuais ou elétricas. Os trabalhadores geralmente executam uma variedade de tarefas, que podem incluir qualquer combinação das seguintes: nivelar/semear/colocar grama, plantar, regar, cavar, rastelar e aplicar cobertura morta. Classificação da função: 37-3011.00 - Trabalhadores de Paisagismo e Manutenção de Terrenos. A classificação e descrição da função/setor inclui informações gerais sobre o cargo, de acordo com o ONET/OES e o Sistema de Classificação Industrial da América do Norte (NAICS). Consulte as Funções e a Ordem de Serviço para obter mais informações. Requisitos da função: Experiência necessária: Não. Requisitos especiais: Deve ser capaz de levantar/carregar 23 kg, quando necessário. Trabalho aos sábados e domingos, quando necessário. O empregador pode oferecer mais horas de trabalho do que as indicadas, dependendo do clima, das necessidades da empresa e de outras condições. Calor extremo, frio, chuva ou seca podem afetar o horário de trabalho exato. Número de horas por semana: 40. Horário de trabalho (início/término): 8h00 - 16h30.</v>
      </c>
    </row>
    <row r="95" ht="20.25" customHeight="1">
      <c r="A95" s="8" t="s">
        <v>600</v>
      </c>
      <c r="B95" s="8" t="s">
        <v>601</v>
      </c>
      <c r="C95" s="8" t="s">
        <v>169</v>
      </c>
      <c r="D95" s="8" t="s">
        <v>602</v>
      </c>
      <c r="E95" s="9" t="s">
        <v>44</v>
      </c>
      <c r="F95" s="9" t="s">
        <v>20</v>
      </c>
      <c r="G95" s="9" t="s">
        <v>236</v>
      </c>
      <c r="H95" s="8" t="s">
        <v>603</v>
      </c>
      <c r="I95" s="8" t="s">
        <v>604</v>
      </c>
      <c r="J95" s="9">
        <v>24.09</v>
      </c>
      <c r="K95" s="9">
        <v>5.0</v>
      </c>
      <c r="L95" s="8" t="s">
        <v>321</v>
      </c>
      <c r="M95" s="8" t="s">
        <v>605</v>
      </c>
      <c r="N95" s="7" t="str">
        <f>IFERROR(__xludf.DUMMYFUNCTION("GOOGLETRANSLATE(L95, ""en"", ""pt"")"),"Trabalhadores de paisagismo")</f>
        <v>Trabalhadores de paisagismo</v>
      </c>
      <c r="O95" s="7" t="str">
        <f>IFERROR(__xludf.DUMMYFUNCTION("IF(M95="""","""",GOOGLETRANSLATE(M95,""en"",""pt""))"),"Paisagismo e manutenção de terrenos utilizando ferramentas manuais ou elétricas. Os trabalhadores geralmente executam uma variedade de tarefas, que podem incluir qualquer combinação das seguintes: colocação de grama, corte de grama, poda, plantio, rega, f"&amp;"ertilização, escavação e rastelagem; auxílio na instalação de sistemas de irrigação. Nível inicial; requer supervisão. Classificação da vaga: 37-3011.00 - Trabalhadores de Paisagismo e Manutenção de Terrenos. A classificação e descrição da vaga/setor incl"&amp;"uem informações gerais sobre o cargo, de acordo com o ONET/OES e o Sistema de Classificação Industrial da América do Norte (NAICS). Consulte as Funções e a Ordem de Serviço para obter mais informações. Requisitos da vaga: Experiência necessária: Não. Requ"&amp;"isitos especiais: Trabalho aos sábados e domingos, quando necessário. Deve ser capaz de levantar/carregar 23 kg quando necessário. Testes toxicológicos aleatórios após a contratação são obrigatórios para trabalhadores nacionais e estrangeiros. O empregado"&amp;"r pode oferecer mais horas de trabalho do que as estipuladas, dependendo do clima, das necessidades da empresa e de outras condições. Calor extremo, frio, chuva ou seca podem afetar o horário de trabalho exato. Número de horas por semana: 40 Horário de tr"&amp;"abalho (início/término): 6h30 - 15h00")</f>
        <v>Paisagismo e manutenção de terrenos utilizando ferramentas manuais ou elétricas. Os trabalhadores geralmente executam uma variedade de tarefas, que podem incluir qualquer combinação das seguintes: colocação de grama, corte de grama, poda, plantio, rega, fertilização, escavação e rastelagem; auxílio na instalação de sistemas de irrigação. Nível inicial; requer supervisão. Classificação da vaga: 37-3011.00 - Trabalhadores de Paisagismo e Manutenção de Terrenos. A classificação e descrição da vaga/setor incluem informações gerais sobre o cargo, de acordo com o ONET/OES e o Sistema de Classificação Industrial da América do Norte (NAICS). Consulte as Funções e a Ordem de Serviço para obter mais informações. Requisitos da vaga: Experiência necessária: Não. Requisitos especiais: Trabalho aos sábados e domingos, quando necessário. Deve ser capaz de levantar/carregar 23 kg quando necessário. Testes toxicológicos aleatórios após a contratação são obrigatórios para trabalhadores nacionais e estrangeiros. O empregador pode oferecer mais horas de trabalho do que as estipuladas, dependendo do clima, das necessidades da empresa e de outras condições. Calor extremo, frio, chuva ou seca podem afetar o horário de trabalho exato. Número de horas por semana: 40 Horário de trabalho (início/término): 6h30 - 15h00</v>
      </c>
    </row>
    <row r="96" ht="20.25" customHeight="1">
      <c r="A96" s="3" t="s">
        <v>606</v>
      </c>
      <c r="B96" s="3" t="s">
        <v>607</v>
      </c>
      <c r="C96" s="3" t="s">
        <v>125</v>
      </c>
      <c r="D96" s="3" t="s">
        <v>109</v>
      </c>
      <c r="E96" s="4" t="s">
        <v>19</v>
      </c>
      <c r="F96" s="4" t="s">
        <v>20</v>
      </c>
      <c r="G96" s="4" t="s">
        <v>181</v>
      </c>
      <c r="H96" s="3" t="s">
        <v>608</v>
      </c>
      <c r="I96" s="3" t="s">
        <v>609</v>
      </c>
      <c r="J96" s="4">
        <v>25.52</v>
      </c>
      <c r="K96" s="4">
        <v>8.0</v>
      </c>
      <c r="L96" s="3" t="s">
        <v>262</v>
      </c>
      <c r="M96" s="3" t="s">
        <v>610</v>
      </c>
      <c r="N96" s="7" t="str">
        <f>IFERROR(__xludf.DUMMYFUNCTION("GOOGLETRANSLATE(L96, ""en"", ""pt"")"),"Operário da construção civil")</f>
        <v>Operário da construção civil</v>
      </c>
      <c r="O96" s="7" t="str">
        <f>IFERROR(__xludf.DUMMYFUNCTION("IF(M96="""","""",GOOGLETRANSLATE(M96,""en"",""pt""))"),"Executar tarefas que envolvam trabalho braçal em canteiros de obras. Auxiliar na montagem de formas e na preparação do local para a concretagem. Operar ferramentas manuais e elétricas de todos os tipos: martelos pneumáticos, compactadores de solo, betonei"&amp;"ras, serras para concreto, misturadores, vibradores, pequenos guindastes mecânicos, equipamentos de topografia e medição, e uma variedade de outros equipamentos e instrumentos. Limpar e preparar locais, cavar valas, instalar escoras para sustentar as late"&amp;"rais das escavações, montar andaimes e limpar entulhos, detritos e outros resíduos. Auxiliar outros operários e profissionais especializados em diversas tarefas. Seguir as normas de segurança e usar os EPIs adequados. Executar outras tarefas relacionadas "&amp;"ao trabalho braçal, conforme necessário. Auxiliar outros operários na preparação dos locais de trabalho; coletando, carregando, descarregando e transportando ferramentas, materiais e equipamentos; limpando áreas de trabalho; e executando tarefas manuais a"&amp;"ssociadas a projetos de construção. Utilizar ferramentas manuais comuns e ferramentas elétricas básicas, incluindo pás, ancinhos, carrinhos de mão, vassouras, furadeiras, compactadores, níveis e instrumentos de medição. Os materiais manuseados podem inclu"&amp;"ir madeira, fôrmas de concreto, cascalho, areia, cimento, concreto, vergalhões, tubos e outros materiais de construção comuns. Os trabalhadores podem operar equipamentos básicos de medição e marcação, incluindo trenas, níveis a laser, miras de nivelamento"&amp;" e linhas de prumo, para auxiliar supervisores e outros funcionários da construção na medição de distâncias, verificação de níveis e marcação de áreas de trabalho. Classificação da função: 47-2061.00 - Auxiliares de Construção. A classificação e descrição"&amp;" da função/setor inclui informações gerais sobre o cargo, de acordo com o ONET/OES e o Sistema de Classificação Industrial da América do Norte (NAICS). Consulte as Funções e a Ordem de Serviço para obter mais informações. Requisitos da vaga: Experiência e"&amp;"xigida: Sim. Meses de experiência exigidos: 3. Requisitos especiais: Carteira de habilitação válida. Capacidade de levantar e carregar 23 kg. Movimentos repetitivos, empurrar/puxar extensivamente, caminhar extensivamente, agachar-se frequentemente, exposi"&amp;"ção a temperaturas extremas. 3 meses de experiência em construção são necessários. Número de horas por semana: 40. Horário de trabalho (início/término): 7h. - 16:00")</f>
        <v>Executar tarefas que envolvam trabalho braçal em canteiros de obras. Auxiliar na montagem de formas e na preparação do local para a concretagem. Operar ferramentas manuais e elétricas de todos os tipos: martelos pneumáticos, compactadores de solo, betoneiras, serras para concreto, misturadores, vibradores, pequenos guindastes mecânicos, equipamentos de topografia e medição, e uma variedade de outros equipamentos e instrumentos. Limpar e preparar locais, cavar valas, instalar escoras para sustentar as laterais das escavações, montar andaimes e limpar entulhos, detritos e outros resíduos. Auxiliar outros operários e profissionais especializados em diversas tarefas. Seguir as normas de segurança e usar os EPIs adequados. Executar outras tarefas relacionadas ao trabalho braçal, conforme necessário. Auxiliar outros operários na preparação dos locais de trabalho; coletando, carregando, descarregando e transportando ferramentas, materiais e equipamentos; limpando áreas de trabalho; e executando tarefas manuais associadas a projetos de construção. Utilizar ferramentas manuais comuns e ferramentas elétricas básicas, incluindo pás, ancinhos, carrinhos de mão, vassouras, furadeiras, compactadores, níveis e instrumentos de medição. Os materiais manuseados podem incluir madeira, fôrmas de concreto, cascalho, areia, cimento, concreto, vergalhões, tubos e outros materiais de construção comuns. Os trabalhadores podem operar equipamentos básicos de medição e marcação, incluindo trenas, níveis a laser, miras de nivelamento e linhas de prumo, para auxiliar supervisores e outros funcionários da construção na medição de distâncias, verificação de níveis e marcação de áreas de trabalho. Classificação da função: 47-2061.00 - Auxiliares de Construção. A classificação e descrição da função/setor inclui informações gerais sobre o cargo, de acordo com o ONET/OES e o Sistema de Classificação Industrial da América do Norte (NAICS). Consulte as Funções e a Ordem de Serviço para obter mais informações. Requisitos da vaga: Experiência exigida: Sim. Meses de experiência exigidos: 3. Requisitos especiais: Carteira de habilitação válida. Capacidade de levantar e carregar 23 kg. Movimentos repetitivos, empurrar/puxar extensivamente, caminhar extensivamente, agachar-se frequentemente, exposição a temperaturas extremas. 3 meses de experiência em construção são necessários. Número de horas por semana: 40. Horário de trabalho (início/término): 7h. - 16:00</v>
      </c>
    </row>
    <row r="97" ht="20.25" customHeight="1">
      <c r="A97" s="8" t="s">
        <v>611</v>
      </c>
      <c r="B97" s="8" t="s">
        <v>612</v>
      </c>
      <c r="C97" s="8" t="s">
        <v>93</v>
      </c>
      <c r="D97" s="8" t="s">
        <v>186</v>
      </c>
      <c r="E97" s="9" t="s">
        <v>44</v>
      </c>
      <c r="F97" s="9" t="s">
        <v>20</v>
      </c>
      <c r="G97" s="9" t="s">
        <v>369</v>
      </c>
      <c r="H97" s="8" t="s">
        <v>613</v>
      </c>
      <c r="I97" s="8"/>
      <c r="J97" s="9">
        <v>23.15</v>
      </c>
      <c r="K97" s="9">
        <v>25.0</v>
      </c>
      <c r="L97" s="8" t="s">
        <v>614</v>
      </c>
      <c r="M97" s="8" t="s">
        <v>615</v>
      </c>
      <c r="N97" s="7" t="str">
        <f>IFERROR(__xludf.DUMMYFUNCTION("GOOGLETRANSLATE(L97, ""en"", ""pt"")"),"Trabalhador braçal de outono e inverno")</f>
        <v>Trabalhador braçal de outono e inverno</v>
      </c>
      <c r="O97" s="7" t="str">
        <f>IFERROR(__xludf.DUMMYFUNCTION("IF(M97="""","""",GOOGLETRANSLATE(M97,""en"",""pt""))"),"Executar tarefas manuais para apoiar as operações de remoção de neve, preparação para o inverno e atividades relacionadas à prontidão de propriedades comerciais e multifamiliares. As tarefas incluem remoção de neve e gelo, espalhamento de sal/produtos quí"&amp;"micos de degelo em calçadas, ruas, entradas de veículos e estacionamentos. Limpar e realizar a manutenção de rotina de equipamentos de remoção de neve/gelo, reabastecer espalhadores, usar pás, arados e máquinas de remoção de neve. Utilizar pás de neve, an"&amp;"cinhos, arados, sopradores de neve, espalhadores de sal e trituradores de gelo. Limpar e realizar a manutenção de rotina e/ou pequenos reparos em equipamentos e ferramentas de remoção de neve quando não estiverem em uso. Realizar a manutenção e preparação"&amp;" para o inverno em propriedades comerciais e residenciais durante tempestades de outono/inverno. As tarefas incluem a remoção de detritos e obstruções de calçadas, pontos de acesso e áreas de drenagem; carregar e descarregar equipamentos/materiais/suprime"&amp;"ntos; e organizar materiais de degelo. Auxiliar na instalação e reposicionamento de marcadores, cones e sinalização de segurança. Executar tarefas gerais de trabalho braçal em apoio às operações de inverno, incluindo auxiliar profissionais qualificados na"&amp;" preparação do local, limpeza, organização e movimentação de materiais, desobstrução de áreas de trabalho, remoção de detritos, manuseio de ferramentas, fixação de materiais, cobertura de pisos, móveis ou materiais com lonas plásticas, panos de proteção o"&amp;"u coberturas protetoras para evitar o acúmulo de poeira ou detritos, raspar gelo, sujeira, calafetagem antiga ou materiais soltos de superfícies usando quebra-gelos, raspadores manuais, espátulas, escovas de arame ou ferramentas manuais similares e limpar"&amp;" áreas de trabalho. Nível inicial; requer supervisão. Classificação da vaga: 47-2061.00 - Auxiliares de Construção. A classificação e descrição da vaga/setor incluem informações gerais sobre o cargo, de acordo com o ONET/OES e o Sistema de Classificação I"&amp;"ndustrial da América do Norte. Consulte as Funções e a Ordem de Serviço para obter mais informações. Requisitos da vaga: Experiência exigida: Não. Requisitos especiais: Deve ser capaz de levantar/carregar 23 kg, quando necessário. Trabalho aos sábados e d"&amp;"omingos, quando necessário. Exame toxicológico pós-contratação obrigatório para trabalhadores estrangeiros e nacionais. O empregador poderá oferecer uma jornada de trabalho superior à estipulada, dependendo das condições climáticas, das necessidades da em"&amp;"presa e de outros fatores. Calor extremo, frio intenso, chuva ou seca podem afetar o horário de trabalho exato. Número de horas por semana: 40. Horário de trabalho (início/término): 8h00 às 16h30.")</f>
        <v>Executar tarefas manuais para apoiar as operações de remoção de neve, preparação para o inverno e atividades relacionadas à prontidão de propriedades comerciais e multifamiliares. As tarefas incluem remoção de neve e gelo, espalhamento de sal/produtos químicos de degelo em calçadas, ruas, entradas de veículos e estacionamentos. Limpar e realizar a manutenção de rotina de equipamentos de remoção de neve/gelo, reabastecer espalhadores, usar pás, arados e máquinas de remoção de neve. Utilizar pás de neve, ancinhos, arados, sopradores de neve, espalhadores de sal e trituradores de gelo. Limpar e realizar a manutenção de rotina e/ou pequenos reparos em equipamentos e ferramentas de remoção de neve quando não estiverem em uso. Realizar a manutenção e preparação para o inverno em propriedades comerciais e residenciais durante tempestades de outono/inverno. As tarefas incluem a remoção de detritos e obstruções de calçadas, pontos de acesso e áreas de drenagem; carregar e descarregar equipamentos/materiais/suprimentos; e organizar materiais de degelo. Auxiliar na instalação e reposicionamento de marcadores, cones e sinalização de segurança. Executar tarefas gerais de trabalho braçal em apoio às operações de inverno, incluindo auxiliar profissionais qualificados na preparação do local, limpeza, organização e movimentação de materiais, desobstrução de áreas de trabalho, remoção de detritos, manuseio de ferramentas, fixação de materiais, cobertura de pisos, móveis ou materiais com lonas plásticas, panos de proteção ou coberturas protetoras para evitar o acúmulo de poeira ou detritos, raspar gelo, sujeira, calafetagem antiga ou materiais soltos de superfícies usando quebra-gelos, raspadores manuais, espátulas, escovas de arame ou ferramentas manuais similares e limpar áreas de trabalho. Nível inicial; requer supervisão. Classificação da vaga: 47-2061.00 - Auxiliares de Construção. A classificação e descrição da vaga/setor incluem informações gerais sobre o cargo, de acordo com o ONET/OES e o Sistema de Classificação Industrial da América do Norte. Consulte as Funções e a Ordem de Serviço para obter mais informações. Requisitos da vaga: Experiência exigida: Não. Requisitos especiais: Deve ser capaz de levantar/carregar 23 kg, quando necessário. Trabalho aos sábados e domingos, quando necessário. Exame toxicológico pós-contratação obrigatório para trabalhadores estrangeiros e nacionais. O empregador poderá oferecer uma jornada de trabalho superior à estipulada, dependendo das condições climáticas, das necessidades da empresa e de outros fatores. Calor extremo, frio intenso, chuva ou seca podem afetar o horário de trabalho exato. Número de horas por semana: 40. Horário de trabalho (início/término): 8h00 às 16h30.</v>
      </c>
    </row>
    <row r="98" ht="20.25" customHeight="1">
      <c r="A98" s="3" t="s">
        <v>616</v>
      </c>
      <c r="B98" s="3" t="s">
        <v>617</v>
      </c>
      <c r="C98" s="3" t="s">
        <v>169</v>
      </c>
      <c r="D98" s="3" t="s">
        <v>64</v>
      </c>
      <c r="E98" s="4" t="s">
        <v>44</v>
      </c>
      <c r="F98" s="4" t="s">
        <v>20</v>
      </c>
      <c r="G98" s="4" t="s">
        <v>94</v>
      </c>
      <c r="H98" s="3" t="s">
        <v>618</v>
      </c>
      <c r="I98" s="3" t="s">
        <v>619</v>
      </c>
      <c r="J98" s="4">
        <v>24.33</v>
      </c>
      <c r="K98" s="4">
        <v>6.0</v>
      </c>
      <c r="L98" s="3" t="s">
        <v>620</v>
      </c>
      <c r="M98" s="3" t="s">
        <v>621</v>
      </c>
      <c r="N98" s="7" t="str">
        <f>IFERROR(__xludf.DUMMYFUNCTION("GOOGLETRANSLATE(L98, ""en"", ""pt"")"),"Instalador de luzes de Natal")</f>
        <v>Instalador de luzes de Natal</v>
      </c>
      <c r="O98" s="7" t="str">
        <f>IFERROR(__xludf.DUMMYFUNCTION("IF(M98="""","""",GOOGLETRANSLATE(M98,""en"",""pt""))"),"Desembalar, inspecionar e testar decorações de Natal, substituindo-as se necessário. Pendurar decorações em áreas externas, como jardins e edifícios. Realizar manutenção/reparos em decorações quebradas. Remover, inspecionar e embalar decorações para armaz"&amp;"enamento. O trabalho envolve agachar, curvar-se, levantar e esticar-se com frequência, podendo também envolver trabalho em condições climáticas adversas e em altura. Manter o local de trabalho limpo; recolher lixo e detritos conforme necessário. Classific"&amp;"ação da Função: 49-9099.00 - Trabalhadores de Instalação, Manutenção e Reparo, Outros. A classificação e descrição da função/setor inclui informações gerais sobre o cargo, de acordo com o ONET/OES e o Sistema de Classificação Industrial da América do Nort"&amp;"e (NAICS). Consulte as Funções e a Ordem de Serviço para obter mais informações. Requisitos da Função: Experiência Necessária: Não. Requisitos Especiais: Deve ser capaz de levantar/carregar 23 kg, quando necessário. Trabalho aos sábados e domingos, quando"&amp;" necessário. Exame toxicológico pós-contratação obrigatório para trabalhadores estrangeiros e nacionais. O empregador pode oferecer mais horas de trabalho do que as estipuladas, dependendo do clima, das necessidades da empresa e de outras condições. Calor"&amp;" extremo, frio, chuva ou seca podem afetar o horário de trabalho exato. Número de horas por semana: 45 Horário de trabalho (início/término): 7h00 - 17h00")</f>
        <v>Desembalar, inspecionar e testar decorações de Natal, substituindo-as se necessário. Pendurar decorações em áreas externas, como jardins e edifícios. Realizar manutenção/reparos em decorações quebradas. Remover, inspecionar e embalar decorações para armazenamento. O trabalho envolve agachar, curvar-se, levantar e esticar-se com frequência, podendo também envolver trabalho em condições climáticas adversas e em altura. Manter o local de trabalho limpo; recolher lixo e detritos conforme necessário. Classificação da Função: 49-9099.00 - Trabalhadores de Instalação, Manutenção e Reparo, Outros. A classificação e descrição da função/setor inclui informações gerais sobre o cargo, de acordo com o ONET/OES e o Sistema de Classificação Industrial da América do Norte (NAICS). Consulte as Funções e a Ordem de Serviço para obter mais informações. Requisitos da Função: Experiência Necessária: Não. Requisitos Especiais: Deve ser capaz de levantar/carregar 23 kg, quando necessário. Trabalho aos sábados e domingos, quando necessário. Exame toxicológico pós-contratação obrigatório para trabalhadores estrangeiros e nacionais. O empregador pode oferecer mais horas de trabalho do que as estipuladas, dependendo do clima, das necessidades da empresa e de outras condições. Calor extremo, frio, chuva ou seca podem afetar o horário de trabalho exato. Número de horas por semana: 45 Horário de trabalho (início/término): 7h00 - 17h00</v>
      </c>
    </row>
    <row r="99" ht="20.25" customHeight="1">
      <c r="A99" s="8" t="s">
        <v>622</v>
      </c>
      <c r="B99" s="8" t="s">
        <v>623</v>
      </c>
      <c r="C99" s="8" t="s">
        <v>63</v>
      </c>
      <c r="D99" s="8" t="s">
        <v>284</v>
      </c>
      <c r="E99" s="9" t="s">
        <v>19</v>
      </c>
      <c r="F99" s="9" t="s">
        <v>20</v>
      </c>
      <c r="G99" s="9" t="s">
        <v>56</v>
      </c>
      <c r="H99" s="14" t="s">
        <v>544</v>
      </c>
      <c r="I99" s="8" t="s">
        <v>545</v>
      </c>
      <c r="J99" s="9">
        <v>16.01</v>
      </c>
      <c r="K99" s="9">
        <v>12.0</v>
      </c>
      <c r="L99" s="8" t="s">
        <v>288</v>
      </c>
      <c r="M99" s="8" t="s">
        <v>546</v>
      </c>
      <c r="N99" s="7" t="str">
        <f>IFERROR(__xludf.DUMMYFUNCTION("GOOGLETRANSLATE(L99, ""en"", ""pt"")"),"Especialista em Manutenção de Jardins")</f>
        <v>Especialista em Manutenção de Jardins</v>
      </c>
      <c r="O99" s="7" t="str">
        <f>IFERROR(__xludf.DUMMYFUNCTION("IF(M99="""","""",GOOGLETRANSLATE(M99,""en"",""pt""))"),"Paisagismo e manutenção de terrenos utilizando ferramentas manuais ou elétricas. Os trabalhadores devem ser capazes de executar uma variedade de tarefas sem supervisão direta, que podem incluir qualquer combinação das seguintes atividades: cortar grama, a"&amp;"parar, plantar, podar, cavar e aplicar cobertura morta. Devem exercer julgamento independente; podem ser solicitados a demonstrar tarefas a outros funcionários, mas a função não inclui a supervisão de outros trabalhadores. Classificação da função: 37-3011"&amp;".00 - Trabalhadores de Paisagismo e Manutenção de Terrenos. A classificação e descrição da função/setor incluem informações gerais sobre o cargo, de acordo com o ONET/OES e o Sistema de Classificação Industrial da América do Norte. Consulte as Funções e a"&amp;" Ordem de Serviço para obter mais informações. Requisitos da função: Experiência exigida: Sim. Meses de experiência exigidos: 3. Requisitos especiais: Deve ser capaz de levantar/carregar 23 kg, quando necessário. Trabalho aos sábados e domingos, quando ne"&amp;"cessário. Testes aleatórios de drogas após a contratação, após acidentes e em caso de suspeita de uso são exigidos para trabalhadores estrangeiros e nacionais. O empregador pode oferecer mais horas de trabalho do que as estipuladas, dependendo do clima, d"&amp;"as necessidades da empresa e de outras condições. Calor extremo, frio, chuva ou seca podem afetar o horário de trabalho exato. Número de horas por semana: 40. Horário de trabalho (início/término): 6h às 14h30.")</f>
        <v>Paisagismo e manutenção de terrenos utilizando ferramentas manuais ou elétricas. Os trabalhadores devem ser capazes de executar uma variedade de tarefas sem supervisão direta, que podem incluir qualquer combinação das seguintes atividades: cortar grama, aparar, plantar, podar, cavar e aplicar cobertura morta. Devem exercer julgamento independente; podem ser solicitados a demonstrar tarefas a outros funcionários, mas a função não inclui a supervisão de outros trabalhadores. Classificação da função: 37-3011.00 - Trabalhadores de Paisagismo e Manutenção de Terrenos. A classificação e descrição da função/setor incluem informações gerais sobre o cargo, de acordo com o ONET/OES e o Sistema de Classificação Industrial da América do Norte. Consulte as Funções e a Ordem de Serviço para obter mais informações. Requisitos da função: Experiência exigida: Sim. Meses de experiência exigidos: 3. Requisitos especiais: Deve ser capaz de levantar/carregar 23 kg, quando necessário. Trabalho aos sábados e domingos, quando necessário. Testes aleatórios de drogas após a contratação, após acidentes e em caso de suspeita de uso são exigidos para trabalhadores estrangeiros e nacionais. O empregador pode oferecer mais horas de trabalho do que as estipuladas, dependendo do clima, das necessidades da empresa e de outras condições. Calor extremo, frio, chuva ou seca podem afetar o horário de trabalho exato. Número de horas por semana: 40. Horário de trabalho (início/término): 6h às 14h30.</v>
      </c>
    </row>
    <row r="100" ht="20.25" customHeight="1">
      <c r="A100" s="3" t="s">
        <v>624</v>
      </c>
      <c r="B100" s="3" t="s">
        <v>625</v>
      </c>
      <c r="C100" s="3" t="s">
        <v>169</v>
      </c>
      <c r="D100" s="3" t="s">
        <v>186</v>
      </c>
      <c r="E100" s="4" t="s">
        <v>19</v>
      </c>
      <c r="F100" s="4" t="s">
        <v>20</v>
      </c>
      <c r="G100" s="4" t="s">
        <v>626</v>
      </c>
      <c r="H100" s="3" t="s">
        <v>627</v>
      </c>
      <c r="I100" s="3" t="s">
        <v>628</v>
      </c>
      <c r="J100" s="4">
        <v>17.88</v>
      </c>
      <c r="K100" s="4">
        <v>2.0</v>
      </c>
      <c r="L100" s="3" t="s">
        <v>59</v>
      </c>
      <c r="M100" s="3" t="s">
        <v>629</v>
      </c>
      <c r="N100" s="7" t="str">
        <f>IFERROR(__xludf.DUMMYFUNCTION("GOOGLETRANSLATE(L100, ""en"", ""pt"")"),"Trabalhador de paisagismo")</f>
        <v>Trabalhador de paisagismo</v>
      </c>
      <c r="O100" s="7" t="str">
        <f>IFERROR(__xludf.DUMMYFUNCTION("IF(M100="""","""",GOOGLETRANSLATE(M100,""en"",""pt""))"),"Paisagismo e manutenção de terrenos utilizando ferramentas manuais ou elétricas. Os trabalhadores geralmente executam uma variedade de tarefas, que podem incluir qualquer combinação das seguintes: cortar grama, aparar, podar, capinar, aplicar cobertura mo"&amp;"rta, colocar grama em placas, plantar, cavar, rastelar, cuidar da rotação de plantas sazonais, cortar arbustos e mato, limpar detritos e outras tarefas de manutenção de jardins, conforme necessário. Nível inicial; requer supervisão. Classificação da vaga:"&amp;" 37-3011.00 - Trabalhadores de Paisagismo e Manutenção de Terrenos. A classificação e descrição da vaga/setor incluem informações gerais sobre o cargo, de acordo com o ONET/OES e o Sistema de Classificação Industrial da América do Norte (NAICS). Consulte "&amp;"as Funções e a Ordem de Serviço para obter mais informações. Requisitos da vaga: Experiência exigida: Sim. Meses de experiência exigidos: 3. Requisitos especiais: Deve ser capaz de levantar/carregar 23 kg, quando necessário. Trabalho aos sábados e domingo"&amp;"s, quando necessário. O empregador pode oferecer mais horas de trabalho do que as estipuladas, dependendo do clima, das necessidades da empresa e de outras condições. Calor extremo, frio, chuva ou seca podem afetar o horário de trabalho exato. Número de h"&amp;"oras por semana: 42 Horário de trabalho (início/término): 7h00 - 16h00")</f>
        <v>Paisagismo e manutenção de terrenos utilizando ferramentas manuais ou elétricas. Os trabalhadores geralmente executam uma variedade de tarefas, que podem incluir qualquer combinação das seguintes: cortar grama, aparar, podar, capinar, aplicar cobertura morta, colocar grama em placas, plantar, cavar, rastelar, cuidar da rotação de plantas sazonais, cortar arbustos e mato, limpar detritos e outras tarefas de manutenção de jardins, conforme necessário. Nível inicial; requer supervisão. Classificação da vaga: 37-3011.00 - Trabalhadores de Paisagismo e Manutenção de Terrenos. A classificação e descrição da vaga/setor incluem informações gerais sobre o cargo, de acordo com o ONET/OES e o Sistema de Classificação Industrial da América do Norte (NAICS). Consulte as Funções e a Ordem de Serviço para obter mais informações. Requisitos da vaga: Experiência exigida: Sim. Meses de experiência exigidos: 3. Requisitos especiais: Deve ser capaz de levantar/carregar 23 kg, quando necessário. Trabalho aos sábados e domingos, quando necessário. O empregador pode oferecer mais horas de trabalho do que as estipuladas, dependendo do clima, das necessidades da empresa e de outras condições. Calor extremo, frio, chuva ou seca podem afetar o horário de trabalho exato. Número de horas por semana: 42 Horário de trabalho (início/término): 7h00 - 16h00</v>
      </c>
    </row>
    <row r="101" ht="20.25" customHeight="1">
      <c r="A101" s="8" t="s">
        <v>630</v>
      </c>
      <c r="B101" s="8" t="s">
        <v>631</v>
      </c>
      <c r="C101" s="8" t="s">
        <v>125</v>
      </c>
      <c r="D101" s="8" t="s">
        <v>344</v>
      </c>
      <c r="E101" s="9" t="s">
        <v>44</v>
      </c>
      <c r="F101" s="9" t="s">
        <v>20</v>
      </c>
      <c r="G101" s="9" t="s">
        <v>56</v>
      </c>
      <c r="H101" s="8" t="s">
        <v>632</v>
      </c>
      <c r="I101" s="8" t="s">
        <v>633</v>
      </c>
      <c r="J101" s="9">
        <v>21.26</v>
      </c>
      <c r="K101" s="9">
        <v>20.0</v>
      </c>
      <c r="L101" s="8" t="s">
        <v>129</v>
      </c>
      <c r="M101" s="8" t="s">
        <v>634</v>
      </c>
      <c r="N101" s="7" t="str">
        <f>IFERROR(__xludf.DUMMYFUNCTION("GOOGLETRANSLATE(L101, ""en"", ""pt"")"),"Trabalhador de paisagismo e manutenção de jardins")</f>
        <v>Trabalhador de paisagismo e manutenção de jardins</v>
      </c>
      <c r="O101" s="7" t="str">
        <f>IFERROR(__xludf.DUMMYFUNCTION("IF(M101="""","""",GOOGLETRANSLATE(M101,""en"",""pt""))"),"As funções incluem a instalação de árvores, arbustos ou flores durante o período de dormência, seguindo o padrão de design apropriado. Isso inclui descarregar materiais, cavar buracos para o sistema radicular, cobrir os buracos adequadamente e, às vezes, "&amp;"colocar grama em placas, plantar sementes de grama ou conectar a irrigação. Também envolve a remoção de folhas, plantio de sementes e palha, aeração do gramado, plantio de arbustos, escavação, rastelagem e instalação de blocos de concreto pré-moldados sem"&amp;" argamassa. Os trabalhadores podem coletar e remover lixo, regar gramados, árvores e plantas semeadas, além de podar árvores, arbustos ou sebes. Podem operar equipamentos motorizados e dirigir veículos até os locais dos clientes. As tarefas podem incluir "&amp;"colocação de grama em placas, corte de grama, rega de plantas e gramados, transplante de plantas, fertilização, escavação, rastelagem e instalação de aspersores. Os funcionários cavarão valas com no máximo 15 a 30 cm de profundidade e 15 a 30 cm de largur"&amp;"a com pás e ferramentas manuais. Essas valas são usadas para acomodar a tubulação utilizada na instalação de sistemas de irrigação. Toda a poda/aparamento será feita no solo. Os trabalhadores não realizarão nenhuma atividade de poda ou corte acima do níve"&amp;"l do solo. O trabalhador poderá transportar outros trabalhadores de e para os locais de trabalho ocasionalmente, porém essa não será sua principal função. Os trabalhadores poderão operar equipamentos motorizados de jardinagem, incluindo cortadores de gram"&amp;"a, aparadores de borda, sopradores, roçadeiras, roçadeiras de jardim, pequenos tratores e equipamentos similares. Os trabalhadores poderão dirigir caminhonetes e outros veículos leves da empresa para ir e voltar dos locais de trabalho dos clientes. Os tra"&amp;"balhadores poderão ocasionalmente transportar outros trabalhadores de e para os locais de trabalho; no entanto, o transporte de trabalhadores não é uma função principal. Os trabalhadores também poderão ocasionalmente transportar materiais, ferramentas e e"&amp;"quipamentos de jardinagem de e para os locais de trabalho, incluindo cobertura morta, plantas em vasos, pás, ancinhos, cortadores de grama, sopradores e roçadeiras de jardim. Nenhum material perigoso será transportado pelos trabalhadores. Todos os veículo"&amp;"s e equipamentos operados têm peso bruto total inferior a 26.000 libras (aproximadamente 11.800 kg), incluindo quaisquer reboques acoplados ou materiais transportados. Classificação da Função: 37-3011.00 - Trabalhadores de Paisagismo e Manutenção de Jardi"&amp;"ns. A classificação e descrição da função/setor inclui informações gerais sobre o cargo, conforme o ONET/OES e o Sistema de Classificação Industrial da América do Norte (NAICS). Consulte as Funções e a Ordem de Serviço para obter mais informações. Requisi"&amp;"tos da Função Experiência Necessária: Não. Requisitos Especiais: Capacidade de levantar 45 kg, realizar movimentos repetitivos, empurrar/puxar com frequência, caminhar bastante, agachar-se frequentemente e estar exposto a temperaturas extremas. Número de "&amp;"Horas por Semana: 40. Horário de Trabalho (Início/Término): 7h às 16h.")</f>
        <v>As funções incluem a instalação de árvores, arbustos ou flores durante o período de dormência, seguindo o padrão de design apropriado. Isso inclui descarregar materiais, cavar buracos para o sistema radicular, cobrir os buracos adequadamente e, às vezes, colocar grama em placas, plantar sementes de grama ou conectar a irrigação. Também envolve a remoção de folhas, plantio de sementes e palha, aeração do gramado, plantio de arbustos, escavação, rastelagem e instalação de blocos de concreto pré-moldados sem argamassa. Os trabalhadores podem coletar e remover lixo, regar gramados, árvores e plantas semeadas, além de podar árvores, arbustos ou sebes. Podem operar equipamentos motorizados e dirigir veículos até os locais dos clientes. As tarefas podem incluir colocação de grama em placas, corte de grama, rega de plantas e gramados, transplante de plantas, fertilização, escavação, rastelagem e instalação de aspersores. Os funcionários cavarão valas com no máximo 15 a 30 cm de profundidade e 15 a 30 cm de largura com pás e ferramentas manuais. Essas valas são usadas para acomodar a tubulação utilizada na instalação de sistemas de irrigação. Toda a poda/aparamento será feita no solo. Os trabalhadores não realizarão nenhuma atividade de poda ou corte acima do nível do solo. O trabalhador poderá transportar outros trabalhadores de e para os locais de trabalho ocasionalmente, porém essa não será sua principal função. Os trabalhadores poderão operar equipamentos motorizados de jardinagem, incluindo cortadores de grama, aparadores de borda, sopradores, roçadeiras, roçadeiras de jardim, pequenos tratores e equipamentos similares. Os trabalhadores poderão dirigir caminhonetes e outros veículos leves da empresa para ir e voltar dos locais de trabalho dos clientes. Os trabalhadores poderão ocasionalmente transportar outros trabalhadores de e para os locais de trabalho; no entanto, o transporte de trabalhadores não é uma função principal. Os trabalhadores também poderão ocasionalmente transportar materiais, ferramentas e equipamentos de jardinagem de e para os locais de trabalho, incluindo cobertura morta, plantas em vasos, pás, ancinhos, cortadores de grama, sopradores e roçadeiras de jardim. Nenhum material perigoso será transportado pelos trabalhadores. Todos os veículos e equipamentos operados têm peso bruto total inferior a 26.000 libras (aproximadamente 11.800 kg), incluindo quaisquer reboques acoplados ou materiais transportados. Classificação da Função: 37-3011.00 - Trabalhadores de Paisagismo e Manutenção de Jardins. A classificação e descrição da função/setor inclui informações gerais sobre o cargo, conforme o ONET/OES e o Sistema de Classificação Industrial da América do Norte (NAICS). Consulte as Funções e a Ordem de Serviço para obter mais informações. Requisitos da Função Experiência Necessária: Não. Requisitos Especiais: Capacidade de levantar 45 kg, realizar movimentos repetitivos, empurrar/puxar com frequência, caminhar bastante, agachar-se frequentemente e estar exposto a temperaturas extremas. Número de Horas por Semana: 40. Horário de Trabalho (Início/Término): 7h às 16h.</v>
      </c>
    </row>
    <row r="102" ht="20.25" customHeight="1">
      <c r="A102" s="3" t="s">
        <v>635</v>
      </c>
      <c r="B102" s="3" t="s">
        <v>636</v>
      </c>
      <c r="C102" s="3" t="s">
        <v>125</v>
      </c>
      <c r="D102" s="3" t="s">
        <v>51</v>
      </c>
      <c r="E102" s="4" t="s">
        <v>19</v>
      </c>
      <c r="F102" s="4" t="s">
        <v>20</v>
      </c>
      <c r="G102" s="4" t="s">
        <v>307</v>
      </c>
      <c r="H102" s="3" t="s">
        <v>637</v>
      </c>
      <c r="I102" s="3" t="s">
        <v>638</v>
      </c>
      <c r="J102" s="4">
        <v>13.59</v>
      </c>
      <c r="K102" s="4">
        <v>7.0</v>
      </c>
      <c r="L102" s="3" t="s">
        <v>639</v>
      </c>
      <c r="M102" s="3" t="s">
        <v>640</v>
      </c>
      <c r="N102" s="7" t="str">
        <f>IFERROR(__xludf.DUMMYFUNCTION("GOOGLETRANSLATE(L102, ""en"", ""pt"")"),"Atendentes de fast food e balconistas")</f>
        <v>Atendentes de fast food e balconistas</v>
      </c>
      <c r="O102" s="7" t="str">
        <f>IFERROR(__xludf.DUMMYFUNCTION("IF(M102="""","""",GOOGLETRANSLATE(M102,""en"",""pt""))"),"Executar tarefas como anotar pedidos e servir alimentos e bebidas. Atender clientes. Receber pagamentos. Preparar alimentos e bebidas. Aceitar pagamentos de clientes e dar troco quando necessário. Atender clientes em estabelecimentos de alimentação especi"&amp;"alizados em serviço rápido e comida para viagem a preços acessíveis. Anotar e registrar os pedidos dos clientes. Comunicar-se com os clientes sobre pedidos, comentários e reclamações. Servir alimentos, bebidas ou sobremesas aos clientes em locais como bal"&amp;"cões de entrega e carros. Monitorar e solicitar suprimentos ou itens alimentícios e repor conforme necessário para manter o estoque. Realizar tarefas de limpeza, como varrer, passar pano e lavar louça, para manter os equipamentos e instalações higienizado"&amp;"s. Preparar café e chá e encher recipientes com as bebidas solicitadas. Limpar e organizar as áreas de alimentação, serviço e cozinha. Preparar os itens do cardápio diário e cozinhar alimentos e bebidas simples, utilizando as devidas precauções de seguran"&amp;"ça e medidas sanitárias. Preparar e servir bebidas geladas, bebidas lácteas congeladas ou sobremesas, utilizando máquinas de bebidas, milk-shake ou sorvete. Embalar itens do cardápio, como sanduíches, pratos quentes e sobremesas, para servir ou para viage"&amp;"m. Esfregar e polir balcões, banhos-maria e outros equipamentos, além de limpar copos, pratos e equipamentos de bebidas. Adicionar condimentos e guarnições aos pedidos, de acordo com as instruções. Distribuir os alimentos aos garçons. Selecionar os itens "&amp;"alimentícios nas áreas de serviço ou armazenamento e colocá-los em pratos, bandejas ou sacolas para viagem. Verificar e monitorar a temperatura dos alimentos durante o preparo. Os funcionários desempenharão principalmente funções de atendimento no balcão "&amp;"e ao cliente, incluindo receber pedidos, operar caixas registradoras, servir alimentos e bebidas, preparar bebidas, embalar pedidos, reabastecer as áreas de serviço e manter a limpeza. Os funcionários podem realizar tarefas limitadas e ocasionais de prepa"&amp;"ração de alimentos, como montar sanduíches, preparar saladas, aquecer itens pré-preparados, preparar café ou porcionar itens simples do cardápio. Classificação do Cargo: 35-9021.00 - Lavadores de Louça. A classificação e descrição do cargo/setor inclui in"&amp;"formações gerais sobre a posição, de acordo com o ONET/OES e o Sistema de Classificação Industrial da América do Norte. Consulte as Funções e a Ordem de Serviço para obter mais informações. Requisitos da vaga Experiência necessária: Não Requisitos especia"&amp;"is: Capacidade de carregar pelo menos 9 kg, realizar movimentos repetitivos, empurrar/puxar com frequência, permanecer em pé por longos períodos, agachar-se frequentemente e estar exposto a temperaturas extremas. Número de horas por semana: 40 Horário de "&amp;"trabalho (início/término): 7h às 16h")</f>
        <v>Executar tarefas como anotar pedidos e servir alimentos e bebidas. Atender clientes. Receber pagamentos. Preparar alimentos e bebidas. Aceitar pagamentos de clientes e dar troco quando necessário. Atender clientes em estabelecimentos de alimentação especializados em serviço rápido e comida para viagem a preços acessíveis. Anotar e registrar os pedidos dos clientes. Comunicar-se com os clientes sobre pedidos, comentários e reclamações. Servir alimentos, bebidas ou sobremesas aos clientes em locais como balcões de entrega e carros. Monitorar e solicitar suprimentos ou itens alimentícios e repor conforme necessário para manter o estoque. Realizar tarefas de limpeza, como varrer, passar pano e lavar louça, para manter os equipamentos e instalações higienizados. Preparar café e chá e encher recipientes com as bebidas solicitadas. Limpar e organizar as áreas de alimentação, serviço e cozinha. Preparar os itens do cardápio diário e cozinhar alimentos e bebidas simples, utilizando as devidas precauções de segurança e medidas sanitárias. Preparar e servir bebidas geladas, bebidas lácteas congeladas ou sobremesas, utilizando máquinas de bebidas, milk-shake ou sorvete. Embalar itens do cardápio, como sanduíches, pratos quentes e sobremesas, para servir ou para viagem. Esfregar e polir balcões, banhos-maria e outros equipamentos, além de limpar copos, pratos e equipamentos de bebidas. Adicionar condimentos e guarnições aos pedidos, de acordo com as instruções. Distribuir os alimentos aos garçons. Selecionar os itens alimentícios nas áreas de serviço ou armazenamento e colocá-los em pratos, bandejas ou sacolas para viagem. Verificar e monitorar a temperatura dos alimentos durante o preparo. Os funcionários desempenharão principalmente funções de atendimento no balcão e ao cliente, incluindo receber pedidos, operar caixas registradoras, servir alimentos e bebidas, preparar bebidas, embalar pedidos, reabastecer as áreas de serviço e manter a limpeza. Os funcionários podem realizar tarefas limitadas e ocasionais de preparação de alimentos, como montar sanduíches, preparar saladas, aquecer itens pré-preparados, preparar café ou porcionar itens simples do cardápio. Classificação do Cargo: 35-9021.00 - Lavadores de Louça. A classificação e descrição do cargo/setor inclui informações gerais sobre a posição, de acordo com o ONET/OES e o Sistema de Classificação Industrial da América do Norte. Consulte as Funções e a Ordem de Serviço para obter mais informações. Requisitos da vaga Experiência necessária: Não Requisitos especiais: Capacidade de carregar pelo menos 9 kg, realizar movimentos repetitivos, empurrar/puxar com frequência, permanecer em pé por longos períodos, agachar-se frequentemente e estar exposto a temperaturas extremas. Número de horas por semana: 40 Horário de trabalho (início/término): 7h às 16h</v>
      </c>
    </row>
    <row r="103" ht="20.25" customHeight="1">
      <c r="A103" s="8" t="s">
        <v>641</v>
      </c>
      <c r="B103" s="8" t="s">
        <v>642</v>
      </c>
      <c r="C103" s="8" t="s">
        <v>125</v>
      </c>
      <c r="D103" s="8" t="s">
        <v>133</v>
      </c>
      <c r="E103" s="9" t="s">
        <v>19</v>
      </c>
      <c r="F103" s="9" t="s">
        <v>20</v>
      </c>
      <c r="G103" s="9" t="s">
        <v>307</v>
      </c>
      <c r="H103" s="8" t="s">
        <v>643</v>
      </c>
      <c r="I103" s="8" t="s">
        <v>644</v>
      </c>
      <c r="J103" s="9">
        <v>20.27</v>
      </c>
      <c r="K103" s="9">
        <v>14.0</v>
      </c>
      <c r="L103" s="8" t="s">
        <v>129</v>
      </c>
      <c r="M103" s="8" t="s">
        <v>645</v>
      </c>
      <c r="N103" s="7" t="str">
        <f>IFERROR(__xludf.DUMMYFUNCTION("GOOGLETRANSLATE(L103, ""en"", ""pt"")"),"Trabalhador de paisagismo e manutenção de jardins")</f>
        <v>Trabalhador de paisagismo e manutenção de jardins</v>
      </c>
      <c r="O103" s="7" t="str">
        <f>IFERROR(__xludf.DUMMYFUNCTION("IF(M103="""","""",GOOGLETRANSLATE(M103,""en"",""pt""))"),"As funções incluem a instalação de árvores, arbustos ou flores durante o período de dormência, seguindo o padrão de design apropriado. Isso inclui descarregar materiais, cavar buracos para o sistema radicular, cobrir os buracos adequadamente e, às vezes, "&amp;"colocar grama em placas, semear grama ou conectar sistemas de irrigação. Também envolve a remoção de folhas, plantio de sementes e palha, aeração do gramado, plantio de arbustos, escavação, rastelagem e instalação de blocos de concreto pré-moldados sem ar"&amp;"gamassa. Os trabalhadores podem coletar e remover lixo, regar gramados, árvores e plantas semeadas, além de podar árvores, arbustos e cercas vivas. Podem operar equipamentos motorizados e dirigir veículos até os locais dos clientes. As tarefas podem inclu"&amp;"ir a colocação de grama em placas, corte de grama, poda de árvores, arbustos e plantas, rega de plantas e gramados, transplante de plantas, fertilização, escavação, rastelagem e instalação de aspersores. Toda a poda será realizada no solo. Os trabalhadore"&amp;"s não realizarão nenhuma atividade de poda acima do nível do solo. O trabalhador poderá transportar outros trabalhadores de e para os locais de trabalho ocasionalmente, porém essa não será sua função principal. Classificação da Função: 37-3011.00 - Trabal"&amp;"hadores de Paisagismo e Manutenção de Jardins. A classificação e descrição da função/setor inclui informações gerais sobre o cargo, de acordo com o ONET/OES e o Sistema de Classificação Industrial da América do Norte (NAICS). Consulte as Funções e a Ordem"&amp;" de Serviço para obter mais informações. Requisitos da Função Experiência Necessária: Sim Meses de Experiência Necessários: 3 Requisitos Especiais: Capacidade de levantar 23 kg. Experiência mínima de 3 meses. Carteira de habilitação válida. Capacidade par"&amp;"a realizar movimentos repetitivos, empurrar/puxar objetos pesados, caminhar bastante, agachar-se com frequência e exposição a temperaturas extremas. Número de Horas por Semana: 40 Horário de Trabalho (Início/Término): 7h às 16h.")</f>
        <v>As funções incluem a instalação de árvores, arbustos ou flores durante o período de dormência, seguindo o padrão de design apropriado. Isso inclui descarregar materiais, cavar buracos para o sistema radicular, cobrir os buracos adequadamente e, às vezes, colocar grama em placas, semear grama ou conectar sistemas de irrigação. Também envolve a remoção de folhas, plantio de sementes e palha, aeração do gramado, plantio de arbustos, escavação, rastelagem e instalação de blocos de concreto pré-moldados sem argamassa. Os trabalhadores podem coletar e remover lixo, regar gramados, árvores e plantas semeadas, além de podar árvores, arbustos e cercas vivas. Podem operar equipamentos motorizados e dirigir veículos até os locais dos clientes. As tarefas podem incluir a colocação de grama em placas, corte de grama, poda de árvores, arbustos e plantas, rega de plantas e gramados, transplante de plantas, fertilização, escavação, rastelagem e instalação de aspersores. Toda a poda será realizada no solo. Os trabalhadores não realizarão nenhuma atividade de poda acima do nível do solo. O trabalhador poderá transportar outros trabalhadores de e para os locais de trabalho ocasionalmente, porém essa não será sua função principal. Classificação da Função: 37-3011.00 - Trabalhadores de Paisagismo e Manutenção de Jardins. A classificação e descrição da função/setor inclui informações gerais sobre o cargo, de acordo com o ONET/OES e o Sistema de Classificação Industrial da América do Norte (NAICS). Consulte as Funções e a Ordem de Serviço para obter mais informações. Requisitos da Função Experiência Necessária: Sim Meses de Experiência Necessários: 3 Requisitos Especiais: Capacidade de levantar 23 kg. Experiência mínima de 3 meses. Carteira de habilitação válida. Capacidade para realizar movimentos repetitivos, empurrar/puxar objetos pesados, caminhar bastante, agachar-se com frequência e exposição a temperaturas extremas. Número de Horas por Semana: 40 Horário de Trabalho (Início/Término): 7h às 16h.</v>
      </c>
    </row>
    <row r="104" ht="20.25" customHeight="1">
      <c r="A104" s="3" t="s">
        <v>646</v>
      </c>
      <c r="B104" s="3" t="s">
        <v>647</v>
      </c>
      <c r="C104" s="3" t="s">
        <v>63</v>
      </c>
      <c r="D104" s="3" t="s">
        <v>344</v>
      </c>
      <c r="E104" s="4" t="s">
        <v>19</v>
      </c>
      <c r="F104" s="4" t="s">
        <v>20</v>
      </c>
      <c r="G104" s="4" t="s">
        <v>648</v>
      </c>
      <c r="H104" s="3" t="s">
        <v>649</v>
      </c>
      <c r="I104" s="3" t="s">
        <v>650</v>
      </c>
      <c r="J104" s="4">
        <v>18.5</v>
      </c>
      <c r="K104" s="4">
        <v>50.0</v>
      </c>
      <c r="L104" s="3" t="s">
        <v>651</v>
      </c>
      <c r="M104" s="3" t="s">
        <v>652</v>
      </c>
      <c r="N104" s="7" t="str">
        <f>IFERROR(__xludf.DUMMYFUNCTION("GOOGLETRANSLATE(L104, ""en"", ""pt"")"),"Assistente de Encarregado de Manutenção")</f>
        <v>Assistente de Encarregado de Manutenção</v>
      </c>
      <c r="O104" s="7" t="str">
        <f>IFERROR(__xludf.DUMMYFUNCTION("IF(M104="""","""",GOOGLETRANSLATE(M104,""en"",""pt""))"),"Realizar a manutenção paisagística ou de terrenos utilizando ferramentas manuais ou elétricas. Os trabalhadores geralmente executam uma variedade de tarefas, que podem incluir qualquer combinação das seguintes: colocação de grama, plantio, corte de grama,"&amp;" poda, cobertura morta, irrigação, fertilização, escavação, rastelamento, acabamento de bordas, capina, limpeza de detritos e instalação de blocos de concreto pré-moldados sem argamassa. Devem exercer julgamento independente e podem ser solicitados a demo"&amp;"nstrar tarefas a outros funcionários. Auxiliarão na manutenção dos registros de ponto da equipe. Podem dirigir veículos da equipe para transportar trabalhadores e equipamentos de um local de trabalho para outro. A condução de veículos da equipe não exige "&amp;"carteira de habilitação especial. Classificação da função: 37-1012.00 - Supervisores de Primeira Linha de Trabalhadores de Paisagismo, Serviços de Gramado e Manutenção de Terrenos. A classificação e descrição da função/setor inclui informações gerais sobr"&amp;"e o cargo, de acordo com o ONET/OES e o Sistema de Classificação Industrial da América do Norte. Consulte as Funções e a Ordem de Serviço para obter mais informações. Requisitos da Vaga Experiência Necessária: Sim Meses de Experiência Necessários: 3 Requi"&amp;"sitos Especiais: Deve ser capaz de levantar/carregar 23 kg, quando necessário. Trabalho aos sábados e domingos, quando necessário. Teste de drogas pago pelo empregador é obrigatório para trabalhadores estrangeiros e nacionais antes do início do trabalho e"&amp;" após a contratação, em caso de suspeita de uso e após acidente. Verificações de antecedentes após a contratação podem ser exigidas de trabalhadores estrangeiros e nacionais, com base nos requisitos do contrato. Deve possuir ou ser capaz de obter carteira"&amp;" de habilitação americana em até 30 dias após a contratação. Supervisionar até 4 colegas. O empregador pode oferecer mais horas de trabalho do que as estipuladas, dependendo do clima, das necessidades da empresa e de outras condições. Calor extremo, frio,"&amp;" chuva ou seca podem afetar o horário de trabalho exato. Número de Horas por Semana: 35 Horário de Trabalho (Início/Término): 6h30 - 14h00")</f>
        <v>Realizar a manutenção paisagística ou de terrenos utilizando ferramentas manuais ou elétricas. Os trabalhadores geralmente executam uma variedade de tarefas, que podem incluir qualquer combinação das seguintes: colocação de grama, plantio, corte de grama, poda, cobertura morta, irrigação, fertilização, escavação, rastelamento, acabamento de bordas, capina, limpeza de detritos e instalação de blocos de concreto pré-moldados sem argamassa. Devem exercer julgamento independente e podem ser solicitados a demonstrar tarefas a outros funcionários. Auxiliarão na manutenção dos registros de ponto da equipe. Podem dirigir veículos da equipe para transportar trabalhadores e equipamentos de um local de trabalho para outro. A condução de veículos da equipe não exige carteira de habilitação especial. Classificação da função: 37-1012.00 - Supervisores de Primeira Linha de Trabalhadores de Paisagismo, Serviços de Gramado e Manutenção de Terrenos. A classificação e descrição da função/setor inclui informações gerais sobre o cargo, de acordo com o ONET/OES e o Sistema de Classificação Industrial da América do Norte. Consulte as Funções e a Ordem de Serviço para obter mais informações. Requisitos da Vaga Experiência Necessária: Sim Meses de Experiência Necessários: 3 Requisitos Especiais: Deve ser capaz de levantar/carregar 23 kg, quando necessário. Trabalho aos sábados e domingos, quando necessário. Teste de drogas pago pelo empregador é obrigatório para trabalhadores estrangeiros e nacionais antes do início do trabalho e após a contratação, em caso de suspeita de uso e após acidente. Verificações de antecedentes após a contratação podem ser exigidas de trabalhadores estrangeiros e nacionais, com base nos requisitos do contrato. Deve possuir ou ser capaz de obter carteira de habilitação americana em até 30 dias após a contratação. Supervisionar até 4 colegas. O empregador pode oferecer mais horas de trabalho do que as estipuladas, dependendo do clima, das necessidades da empresa e de outras condições. Calor extremo, frio, chuva ou seca podem afetar o horário de trabalho exato. Número de Horas por Semana: 35 Horário de Trabalho (Início/Término): 6h30 - 14h00</v>
      </c>
    </row>
    <row r="105" ht="20.25" customHeight="1">
      <c r="A105" s="8" t="s">
        <v>653</v>
      </c>
      <c r="B105" s="8" t="s">
        <v>647</v>
      </c>
      <c r="C105" s="8" t="s">
        <v>63</v>
      </c>
      <c r="D105" s="8" t="s">
        <v>344</v>
      </c>
      <c r="E105" s="9" t="s">
        <v>44</v>
      </c>
      <c r="F105" s="9" t="s">
        <v>20</v>
      </c>
      <c r="G105" s="9" t="s">
        <v>648</v>
      </c>
      <c r="H105" s="8" t="s">
        <v>649</v>
      </c>
      <c r="I105" s="8" t="s">
        <v>650</v>
      </c>
      <c r="J105" s="9">
        <v>19.5</v>
      </c>
      <c r="K105" s="9">
        <v>65.0</v>
      </c>
      <c r="L105" s="8" t="s">
        <v>654</v>
      </c>
      <c r="M105" s="8" t="s">
        <v>655</v>
      </c>
      <c r="N105" s="7" t="str">
        <f>IFERROR(__xludf.DUMMYFUNCTION("GOOGLETRANSLATE(L105, ""en"", ""pt"")"),"Encarregado de Manutenção")</f>
        <v>Encarregado de Manutenção</v>
      </c>
      <c r="O105" s="7" t="str">
        <f>IFERROR(__xludf.DUMMYFUNCTION("IF(M105="""","""",GOOGLETRANSLATE(M105,""en"",""pt""))"),"Realizar a manutenção paisagística ou de terrenos utilizando ferramentas manuais ou elétricas. Os trabalhadores geralmente executam uma variedade de tarefas, que podem incluir qualquer combinação das seguintes: colocação de grama, plantio, corte de grama,"&amp;" poda, cobertura morta, irrigação, fertilização, escavação, rastelagem, acabamento de bordas, capina, limpeza de detritos e instalação de blocos de concreto pré-moldados sem argamassa. Devem exercer julgamento independente e podem ser solicitados a demons"&amp;"trar tarefas a outros funcionários. Manterão os registros de ponto de sua equipe. Dirigirão os veículos da equipe para transportar trabalhadores e equipamentos de um local de trabalho para outro. A condução do veículo da equipe não exige carteira de habil"&amp;"itação especial. Classificação da função: 37-1012.00 - Supervisores de Primeira Linha de Trabalhadores de Paisagismo, Serviços de Gramado e Manutenção de Terrenos. A classificação e descrição da função/setor inclui informações gerais sobre o cargo, de aco"&amp;"rdo com o ONET/OES e o Sistema de Classificação Industrial da América do Norte. Consulte as Funções e a Ordem de Serviço para obter mais informações. Requisitos da Vaga Experiência Necessária: Sim Meses de Experiência Necessários: 3 Requisitos Especiais: "&amp;"Deve ser capaz de levantar/carregar 23 kg, quando necessário. Trabalho aos sábados e domingos, quando necessário. Teste de drogas pago pelo empregador é obrigatório para trabalhadores estrangeiros e nacionais antes do início do trabalho e após a contrataç"&amp;"ão, em caso de suspeita de uso e após acidente. Verificações de antecedentes após a contratação podem ser exigidas de trabalhadores estrangeiros e nacionais, com base nos requisitos do contrato. Deve possuir ou ser capaz de obter carteira de habilitação a"&amp;"mericana em até 30 dias após a contratação. Supervisionar até 4 colegas. O empregador pode oferecer mais horas de trabalho do que as indicadas, dependendo do clima, das necessidades da empresa e de outras condições. Calor extremo, frio, chuva ou seca pode"&amp;"m afetar o horário de trabalho exato. Número de Horas por Semana: 35 Horário de Trabalho (Início/Término): 6h30 - 14h00")</f>
        <v>Realizar a manutenção paisagística ou de terrenos utilizando ferramentas manuais ou elétricas. Os trabalhadores geralmente executam uma variedade de tarefas, que podem incluir qualquer combinação das seguintes: colocação de grama, plantio, corte de grama, poda, cobertura morta, irrigação, fertilização, escavação, rastelagem, acabamento de bordas, capina, limpeza de detritos e instalação de blocos de concreto pré-moldados sem argamassa. Devem exercer julgamento independente e podem ser solicitados a demonstrar tarefas a outros funcionários. Manterão os registros de ponto de sua equipe. Dirigirão os veículos da equipe para transportar trabalhadores e equipamentos de um local de trabalho para outro. A condução do veículo da equipe não exige carteira de habilitação especial. Classificação da função: 37-1012.00 - Supervisores de Primeira Linha de Trabalhadores de Paisagismo, Serviços de Gramado e Manutenção de Terrenos. A classificação e descrição da função/setor inclui informações gerais sobre o cargo, de acordo com o ONET/OES e o Sistema de Classificação Industrial da América do Norte. Consulte as Funções e a Ordem de Serviço para obter mais informações. Requisitos da Vaga Experiência Necessária: Sim Meses de Experiência Necessários: 3 Requisitos Especiais: Deve ser capaz de levantar/carregar 23 kg, quando necessário. Trabalho aos sábados e domingos, quando necessário. Teste de drogas pago pelo empregador é obrigatório para trabalhadores estrangeiros e nacionais antes do início do trabalho e após a contratação, em caso de suspeita de uso e após acidente. Verificações de antecedentes após a contratação podem ser exigidas de trabalhadores estrangeiros e nacionais, com base nos requisitos do contrato. Deve possuir ou ser capaz de obter carteira de habilitação americana em até 30 dias após a contratação. Supervisionar até 4 colegas. O empregador pode oferecer mais horas de trabalho do que as indicadas, dependendo do clima, das necessidades da empresa e de outras condições. Calor extremo, frio, chuva ou seca podem afetar o horário de trabalho exato. Número de Horas por Semana: 35 Horário de Trabalho (Início/Término): 6h30 - 14h00</v>
      </c>
    </row>
    <row r="106" ht="20.25" customHeight="1">
      <c r="A106" s="3" t="s">
        <v>656</v>
      </c>
      <c r="B106" s="3" t="s">
        <v>657</v>
      </c>
      <c r="C106" s="3" t="s">
        <v>93</v>
      </c>
      <c r="D106" s="3" t="s">
        <v>403</v>
      </c>
      <c r="E106" s="4" t="s">
        <v>19</v>
      </c>
      <c r="F106" s="4" t="s">
        <v>20</v>
      </c>
      <c r="G106" s="4" t="s">
        <v>146</v>
      </c>
      <c r="H106" s="3" t="s">
        <v>658</v>
      </c>
      <c r="I106" s="3"/>
      <c r="J106" s="4">
        <v>19.36</v>
      </c>
      <c r="K106" s="4">
        <v>42.0</v>
      </c>
      <c r="L106" s="3" t="s">
        <v>59</v>
      </c>
      <c r="M106" s="3" t="s">
        <v>659</v>
      </c>
      <c r="N106" s="7" t="str">
        <f>IFERROR(__xludf.DUMMYFUNCTION("GOOGLETRANSLATE(L106, ""en"", ""pt"")"),"Trabalhador de paisagismo")</f>
        <v>Trabalhador de paisagismo</v>
      </c>
      <c r="O106" s="7" t="str">
        <f>IFERROR(__xludf.DUMMYFUNCTION("IF(M106="""","""",GOOGLETRANSLATE(M106,""en"",""pt""))"),"Paisagismo e manutenção de terrenos utilizando ferramentas manuais ou elétricas. Os trabalhadores geralmente executam uma variedade de tarefas, que podem incluir qualquer combinação das seguintes: colocação de grama, corte de grama, poda, plantio, rega, f"&amp;"ertilização, escavação, rastelagem; auxílio na instalação de sprinklers e na instalação de blocos de concreto pré-moldado sem argamassa. Nível inicial: requer supervisão. Classificação da vaga: 37-3011.00 - Trabalhadores de Paisagismo e Manutenção de Terr"&amp;"enos. A classificação e descrição da vaga/setor incluem informações gerais sobre o cargo, de acordo com o ONET/OES e o Sistema de Classificação Industrial da América do Norte (NAICS). Consulte as Funções e a Ordem de Serviço para obter mais informações. R"&amp;"equisitos da vaga: Experiência exigida: Não. Requisitos especiais: Deve ser capaz de levantar/carregar 23 kg, quando necessário. Trabalho aos sábados e domingos, quando necessário. O empregador paga o teste antidrogas aleatório e pós-acidente após a contr"&amp;"atação, obrigatório para trabalhadores estrangeiros e nacionais. Verificação de antecedentes criminais após a contratação, obrigatória para trabalhadores estrangeiros e nacionais. O empregador pode oferecer mais horas de trabalho do que as estipuladas, de"&amp;"pendendo do clima, das necessidades da empresa e de outras condições. Calor extremo, frio, chuva ou seca podem afetar o horário de trabalho exato. Número de horas por semana: 40. Horário de trabalho (início/término): 7h30 às 16h.")</f>
        <v>Paisagismo e manutenção de terrenos utilizando ferramentas manuais ou elétricas. Os trabalhadores geralmente executam uma variedade de tarefas, que podem incluir qualquer combinação das seguintes: colocação de grama, corte de grama, poda, plantio, rega, fertilização, escavação, rastelagem; auxílio na instalação de sprinklers e na instalação de blocos de concreto pré-moldado sem argamassa. Nível inicial: requer supervisão. Classificação da vaga: 37-3011.00 - Trabalhadores de Paisagismo e Manutenção de Terrenos. A classificação e descrição da vaga/setor incluem informações gerais sobre o cargo, de acordo com o ONET/OES e o Sistema de Classificação Industrial da América do Norte (NAICS). Consulte as Funções e a Ordem de Serviço para obter mais informações. Requisitos da vaga: Experiência exigida: Não. Requisitos especiais: Deve ser capaz de levantar/carregar 23 kg, quando necessário. Trabalho aos sábados e domingos, quando necessário. O empregador paga o teste antidrogas aleatório e pós-acidente após a contratação, obrigatório para trabalhadores estrangeiros e nacionais. Verificação de antecedentes criminais após a contratação, obrigatória para trabalhadores estrangeiros e nacionais. O empregador pode oferecer mais horas de trabalho do que as estipuladas, dependendo do clima, das necessidades da empresa e de outras condições. Calor extremo, frio, chuva ou seca podem afetar o horário de trabalho exato. Número de horas por semana: 40. Horário de trabalho (início/término): 7h30 às 16h.</v>
      </c>
    </row>
    <row r="107" ht="20.25" customHeight="1">
      <c r="A107" s="8" t="s">
        <v>660</v>
      </c>
      <c r="B107" s="8" t="s">
        <v>661</v>
      </c>
      <c r="C107" s="8" t="s">
        <v>662</v>
      </c>
      <c r="D107" s="8" t="s">
        <v>663</v>
      </c>
      <c r="E107" s="9" t="s">
        <v>19</v>
      </c>
      <c r="F107" s="9" t="s">
        <v>20</v>
      </c>
      <c r="G107" s="9" t="s">
        <v>80</v>
      </c>
      <c r="H107" s="8" t="s">
        <v>664</v>
      </c>
      <c r="I107" s="8" t="s">
        <v>665</v>
      </c>
      <c r="J107" s="9">
        <v>17.72</v>
      </c>
      <c r="K107" s="9">
        <v>62.0</v>
      </c>
      <c r="L107" s="8" t="s">
        <v>83</v>
      </c>
      <c r="M107" s="8" t="s">
        <v>666</v>
      </c>
      <c r="N107" s="7" t="str">
        <f>IFERROR(__xludf.DUMMYFUNCTION("GOOGLETRANSLATE(L107, ""en"", ""pt"")"),"Trabalhador Florestal")</f>
        <v>Trabalhador Florestal</v>
      </c>
      <c r="O107" s="7" t="str">
        <f>IFERROR(__xludf.DUMMYFUNCTION("IF(M107="""","""",GOOGLETRANSLATE(M107,""en"",""pt""))"),"As funções podem incluir: plantio de árvores, remoção de tocos/desbaste, plantio em vasos, poda manual de árvores, empilhamento manual, desbaste de árvores/TSI (Injeção Seletiva de Árvores), redução de combustível, poda de brotos, levantamento e embalagem"&amp;" de mudas e outras atividades relacionadas a trabalhadores florestais, conforme SOC/OES 45-4011 (onetonline.org). Horário padrão/esperado: segunda a sexta, das 6h às 16h. Oferecemos mais de 40 horas semanais, sem incluir almoço e/ou intervalos. Possibilid"&amp;"ade de trabalho em fins de semana e feriados. Os horários de início e término, a carga horária e/ou horas extras podem variar, pois dependem de fatores como necessidades do projeto/cronograma/serviço, condições climáticas e tempo de deslocamento entre os "&amp;"locais de trabalho (se aplicável). Horas extras são possíveis, mas não obrigatórias ou garantidas. A critério exclusivo do empregador: aumentos salariais e/ou bônus podem ser concedidos com base em fatores individuais, como desempenho ou habilidades (não "&amp;"garantidos). Moradia compartilhada opcional, sem custo para o trabalhador. Classificação da Função: 45-4011.00 - Trabalhadores Florestais e de Conservação. A classificação e descrição da função/setor inclui informações gerais sobre o cargo, de acordo com "&amp;"o ONET/OES e o Sistema de Classificação Industrial da América do Norte. Consulte as Funções e a Ordem de Serviço para obter mais informações. Requisitos da Função: Experiência Necessária: Sim. Meses de Experiência Necessários: 3. Requisitos Especiais: É n"&amp;"ecessário ter 18 anos devido a viagens. É necessário apresentar comprovante de autorização legal para trabalhar nos Estados Unidos. Ambiente de trabalho livre de drogas, álcool e tabaco. O candidato deve caminhar bastante (até 24 km/dia), além de se abaix"&amp;"ar e se curvar carregando uma mochila (até 23 kg) em terrenos acidentados (fora de trilhas). Todos os candidatos devem ser capazes, dispostos e qualificados para executar o trabalho descrito e devem estar disponíveis durante todo o período especificado e "&amp;"trabalhar em todas as áreas de atuação pretendidas. A critério/custo do Empregador: O trabalhador poderá ser submetido a testes aleatórios de drogas/álcool durante o emprego: teste positivo/recusa em cumprir o teste = demissão. O trabalho é realizado ao a"&amp;"r livre, exposto às intempéries. O candidato deve ser capaz de realizar trabalhos fisicamente extenuantes por longos períodos, ocasionalmente em condições de calor ou frio extremos. As condições climáticas são variáveis; a carga horária pode sofrer altera"&amp;"ções (+/-), podendo haver períodos de inatividade e/ou horas extras. Número de horas por semana: 40. Horário de trabalho (início/término): 6h às 16h.")</f>
        <v>As funções podem incluir: plantio de árvores, remoção de tocos/desbaste, plantio em vasos, poda manual de árvores, empilhamento manual, desbaste de árvores/TSI (Injeção Seletiva de Árvores), redução de combustível, poda de brotos, levantamento e embalagem de mudas e outras atividades relacionadas a trabalhadores florestais, conforme SOC/OES 45-4011 (onetonline.org). Horário padrão/esperado: segunda a sexta, das 6h às 16h. Oferecemos mais de 40 horas semanais, sem incluir almoço e/ou intervalos. Possibilidade de trabalho em fins de semana e feriados. Os horários de início e término, a carga horária e/ou horas extras podem variar, pois dependem de fatores como necessidades do projeto/cronograma/serviço, condições climáticas e tempo de deslocamento entre os locais de trabalho (se aplicável). Horas extras são possíveis, mas não obrigatórias ou garantidas. A critério exclusivo do empregador: aumentos salariais e/ou bônus podem ser concedidos com base em fatores individuais, como desempenho ou habilidades (não garantidos). Moradia compartilhada opcional, sem custo para o trabalhador. Classificação da Função: 45-4011.00 - Trabalhadores Florestais e de Conservação. A classificação e descrição da função/setor inclui informações gerais sobre o cargo, de acordo com o ONET/OES e o Sistema de Classificação Industrial da América do Norte. Consulte as Funções e a Ordem de Serviço para obter mais informações. Requisitos da Função: Experiência Necessária: Sim. Meses de Experiência Necessários: 3. Requisitos Especiais: É necessário ter 18 anos devido a viagens. É necessário apresentar comprovante de autorização legal para trabalhar nos Estados Unidos. Ambiente de trabalho livre de drogas, álcool e tabaco. O candidato deve caminhar bastante (até 24 km/dia), além de se abaixar e se curvar carregando uma mochila (até 23 kg) em terrenos acidentados (fora de trilhas). Todos os candidatos devem ser capazes, dispostos e qualificados para executar o trabalho descrito e devem estar disponíveis durante todo o período especificado e trabalhar em todas as áreas de atuação pretendidas. A critério/custo do Empregador: O trabalhador poderá ser submetido a testes aleatórios de drogas/álcool durante o emprego: teste positivo/recusa em cumprir o teste = demissão. O trabalho é realizado ao ar livre, exposto às intempéries. O candidato deve ser capaz de realizar trabalhos fisicamente extenuantes por longos períodos, ocasionalmente em condições de calor ou frio extremos. As condições climáticas são variáveis; a carga horária pode sofrer alterações (+/-), podendo haver períodos de inatividade e/ou horas extras. Número de horas por semana: 40. Horário de trabalho (início/término): 6h às 16h.</v>
      </c>
    </row>
    <row r="108" ht="20.25" customHeight="1">
      <c r="A108" s="3" t="s">
        <v>667</v>
      </c>
      <c r="B108" s="3" t="s">
        <v>668</v>
      </c>
      <c r="C108" s="3" t="s">
        <v>125</v>
      </c>
      <c r="D108" s="3" t="s">
        <v>306</v>
      </c>
      <c r="E108" s="4" t="s">
        <v>19</v>
      </c>
      <c r="F108" s="4" t="s">
        <v>20</v>
      </c>
      <c r="G108" s="4" t="s">
        <v>146</v>
      </c>
      <c r="H108" s="3" t="s">
        <v>669</v>
      </c>
      <c r="I108" s="3" t="s">
        <v>670</v>
      </c>
      <c r="J108" s="4">
        <v>22.41</v>
      </c>
      <c r="K108" s="4">
        <v>20.0</v>
      </c>
      <c r="L108" s="3" t="s">
        <v>129</v>
      </c>
      <c r="M108" s="3" t="s">
        <v>671</v>
      </c>
      <c r="N108" s="7" t="str">
        <f>IFERROR(__xludf.DUMMYFUNCTION("GOOGLETRANSLATE(L108, ""en"", ""pt"")"),"Trabalhador de paisagismo e manutenção de jardins")</f>
        <v>Trabalhador de paisagismo e manutenção de jardins</v>
      </c>
      <c r="O108" s="7" t="str">
        <f>IFERROR(__xludf.DUMMYFUNCTION("IF(M108="""","""",GOOGLETRANSLATE(M108,""en"",""pt""))"),"As funções incluem a instalação de árvores, arbustos ou flores durante o período de dormência, seguindo o padrão de design apropriado. Isso inclui descarregar materiais, cavar buracos para o sistema radicular, cobrir os buracos adequadamente e, às vezes, "&amp;"colocar grama em placas, plantar sementes de grama ou conectar a irrigação. Também envolve a remoção de folhas, plantio de sementes e palha, aeração do gramado, plantio de arbustos, escavação, rastelagem e instalação de blocos de concreto pré-moldados sem"&amp;" argamassa. Os trabalhadores podem coletar e remover lixo, regar gramados, árvores e plantas semeadas, além de podar árvores, arbustos ou sebes. Podem operar equipamentos motorizados e dirigir veículos até os locais dos clientes. As tarefas podem incluir "&amp;"colocação de grama em placas, corte de grama, rega de plantas e gramados, transplante de plantas, fertilização, escavação, rastelagem e instalação de aspersores. Os funcionários cavarão valas com no máximo 15 a 30 cm de profundidade e 15 a 30 cm de largur"&amp;"a com pás e ferramentas manuais. Essas valas são usadas para acomodar a tubulação utilizada na instalação de sistemas de irrigação. Toda a poda/aparamento será feita no solo. Os trabalhadores não realizarão nenhuma atividade de poda ou corte acima do níve"&amp;"l do solo. O trabalhador poderá transportar outros trabalhadores de e para os locais de trabalho ocasionalmente, porém essa não será sua principal função. Classificação da Função: 37-3011.00 - Trabalhadores de Paisagismo e Manutenção de Jardins. A classif"&amp;"icação e descrição da função/setor inclui informações gerais sobre o cargo, de acordo com o ONET/OES e o Sistema de Classificação Industrial da América do Norte (NAICS). Consulte as Funções e a Ordem de Serviço para obter mais informações. Requisitos da F"&amp;"unção Experiência Necessária: Sim Meses de Experiência Necessários: 3 Requisitos Especiais: Necessário ter 3 meses de experiência, ser capaz de levantar 23 kg, realizar movimentos repetitivos, empurrar/puxar com frequência, caminhar bastante, agachar-se f"&amp;"requentemente e estar exposto a temperaturas extremas. De acordo com a legislação estadual de Michigan, Lei 338 de Licença Médica Remunerada, os empregadores são obrigados a fornecer licença médica remunerada aos seus funcionários. A quantidade de licença"&amp;" médica remunerada concedida pode variar dependendo do porte da empresa. Número de horas por semana: 40 Horário de trabalho (início/término): 7h00 - 16h00")</f>
        <v>As funções incluem a instalação de árvores, arbustos ou flores durante o período de dormência, seguindo o padrão de design apropriado. Isso inclui descarregar materiais, cavar buracos para o sistema radicular, cobrir os buracos adequadamente e, às vezes, colocar grama em placas, plantar sementes de grama ou conectar a irrigação. Também envolve a remoção de folhas, plantio de sementes e palha, aeração do gramado, plantio de arbustos, escavação, rastelagem e instalação de blocos de concreto pré-moldados sem argamassa. Os trabalhadores podem coletar e remover lixo, regar gramados, árvores e plantas semeadas, além de podar árvores, arbustos ou sebes. Podem operar equipamentos motorizados e dirigir veículos até os locais dos clientes. As tarefas podem incluir colocação de grama em placas, corte de grama, rega de plantas e gramados, transplante de plantas, fertilização, escavação, rastelagem e instalação de aspersores. Os funcionários cavarão valas com no máximo 15 a 30 cm de profundidade e 15 a 30 cm de largura com pás e ferramentas manuais. Essas valas são usadas para acomodar a tubulação utilizada na instalação de sistemas de irrigação. Toda a poda/aparamento será feita no solo. Os trabalhadores não realizarão nenhuma atividade de poda ou corte acima do nível do solo. O trabalhador poderá transportar outros trabalhadores de e para os locais de trabalho ocasionalmente, porém essa não será sua principal função. Classificação da Função: 37-3011.00 - Trabalhadores de Paisagismo e Manutenção de Jardins. A classificação e descrição da função/setor inclui informações gerais sobre o cargo, de acordo com o ONET/OES e o Sistema de Classificação Industrial da América do Norte (NAICS). Consulte as Funções e a Ordem de Serviço para obter mais informações. Requisitos da Função Experiência Necessária: Sim Meses de Experiência Necessários: 3 Requisitos Especiais: Necessário ter 3 meses de experiência, ser capaz de levantar 23 kg, realizar movimentos repetitivos, empurrar/puxar com frequência, caminhar bastante, agachar-se frequentemente e estar exposto a temperaturas extremas. De acordo com a legislação estadual de Michigan, Lei 338 de Licença Médica Remunerada, os empregadores são obrigados a fornecer licença médica remunerada aos seus funcionários. A quantidade de licença médica remunerada concedida pode variar dependendo do porte da empresa. Número de horas por semana: 40 Horário de trabalho (início/término): 7h00 - 16h00</v>
      </c>
    </row>
    <row r="109" ht="20.25" customHeight="1">
      <c r="A109" s="8" t="s">
        <v>672</v>
      </c>
      <c r="B109" s="8" t="s">
        <v>673</v>
      </c>
      <c r="C109" s="8" t="s">
        <v>125</v>
      </c>
      <c r="D109" s="8" t="s">
        <v>299</v>
      </c>
      <c r="E109" s="9" t="s">
        <v>19</v>
      </c>
      <c r="F109" s="9" t="s">
        <v>20</v>
      </c>
      <c r="G109" s="9" t="s">
        <v>56</v>
      </c>
      <c r="H109" s="8" t="s">
        <v>674</v>
      </c>
      <c r="I109" s="8" t="s">
        <v>675</v>
      </c>
      <c r="J109" s="9">
        <v>22.32</v>
      </c>
      <c r="K109" s="9">
        <v>7.0</v>
      </c>
      <c r="L109" s="8" t="s">
        <v>676</v>
      </c>
      <c r="M109" s="8" t="s">
        <v>677</v>
      </c>
      <c r="N109" s="7" t="str">
        <f>IFERROR(__xludf.DUMMYFUNCTION("GOOGLETRANSLATE(L109, ""en"", ""pt"")"),"Trabalhadores de paisagismo e manutenção de jardins")</f>
        <v>Trabalhadores de paisagismo e manutenção de jardins</v>
      </c>
      <c r="O109" s="7" t="str">
        <f>IFERROR(__xludf.DUMMYFUNCTION("IF(M109="""","""",GOOGLETRANSLATE(M109,""en"",""pt""))"),"As funções incluem a instalação de árvores, arbustos ou flores durante o período de dormência, seguindo o padrão de design apropriado. Isso inclui descarregar materiais, cavar buracos para o sistema radicular, cobrir os buracos adequadamente e, às vezes, "&amp;"colocar grama em placas, plantar sementes de grama ou conectar a irrigação. Também envolve a remoção de folhas, plantio de sementes e palha, aeração do gramado, plantio de arbustos, escavação, rastelagem e instalação de blocos de concreto pré-moldados sem"&amp;" argamassa. Os trabalhadores podem coletar e remover lixo, regar gramados, árvores e plantas semeadas, além de podar árvores, arbustos ou sebes. Podem operar equipamentos motorizados e dirigir veículos até os locais dos clientes. As tarefas podem incluir "&amp;"colocação de grama em placas, corte de grama, rega de plantas e gramados, transplante de plantas, fertilização, escavação, rastelagem e instalação de aspersores. Os funcionários cavarão valas com no máximo 15 a 30 cm de profundidade e 15 a 30 cm de largur"&amp;"a com pás e ferramentas manuais. Essas valas são usadas para acomodar a tubulação utilizada na instalação de sistemas de irrigação. Toda a poda/aparamento será feita no solo. Os trabalhadores não realizarão nenhuma atividade de poda ou corte acima do níve"&amp;"l do solo. O trabalhador poderá transportar outros trabalhadores de e para os locais de trabalho ocasionalmente, porém esta não será sua principal função. Classificação da Função: 37-3011.00 - Trabalhadores de Paisagismo e Manutenção de Jardins. A classif"&amp;"icação e descrição da função/setor inclui informações gerais sobre o cargo, de acordo com o ONET/OES e o Sistema de Classificação Industrial da América do Norte (NAICS). Consulte as Funções e a Ordem de Serviço para obter mais informações. Requisitos da F"&amp;"unção Experiência Necessária: Não. Requisitos Especiais: É OBRIGATÓRIO POSSUIR CARTEIRA DE HABILITAÇÃO VÁLIDA. É OBRIGATÓRIO SER CAPAZ DE LEVANTAR 23 KG, REALIZAR MOVIMENTOS REPETITIVOS, CAMINHAR EXTENSAMENTE, ABAIXAR-SE FREQUENTEMENTE E ESTAR EXPOSTO A T"&amp;"EMPERATURAS EXTREMAS. Número de Horas por Semana: 40. Horário de Trabalho (Início/Término): 7h às 16h.")</f>
        <v>As funções incluem a instalação de árvores, arbustos ou flores durante o período de dormência, seguindo o padrão de design apropriado. Isso inclui descarregar materiais, cavar buracos para o sistema radicular, cobrir os buracos adequadamente e, às vezes, colocar grama em placas, plantar sementes de grama ou conectar a irrigação. Também envolve a remoção de folhas, plantio de sementes e palha, aeração do gramado, plantio de arbustos, escavação, rastelagem e instalação de blocos de concreto pré-moldados sem argamassa. Os trabalhadores podem coletar e remover lixo, regar gramados, árvores e plantas semeadas, além de podar árvores, arbustos ou sebes. Podem operar equipamentos motorizados e dirigir veículos até os locais dos clientes. As tarefas podem incluir colocação de grama em placas, corte de grama, rega de plantas e gramados, transplante de plantas, fertilização, escavação, rastelagem e instalação de aspersores. Os funcionários cavarão valas com no máximo 15 a 30 cm de profundidade e 15 a 30 cm de largura com pás e ferramentas manuais. Essas valas são usadas para acomodar a tubulação utilizada na instalação de sistemas de irrigação. Toda a poda/aparamento será feita no solo. Os trabalhadores não realizarão nenhuma atividade de poda ou corte acima do nível do solo. O trabalhador poderá transportar outros trabalhadores de e para os locais de trabalho ocasionalmente, porém esta não será sua principal função. Classificação da Função: 37-3011.00 - Trabalhadores de Paisagismo e Manutenção de Jardins. A classificação e descrição da função/setor inclui informações gerais sobre o cargo, de acordo com o ONET/OES e o Sistema de Classificação Industrial da América do Norte (NAICS). Consulte as Funções e a Ordem de Serviço para obter mais informações. Requisitos da Função Experiência Necessária: Não. Requisitos Especiais: É OBRIGATÓRIO POSSUIR CARTEIRA DE HABILITAÇÃO VÁLIDA. É OBRIGATÓRIO SER CAPAZ DE LEVANTAR 23 KG, REALIZAR MOVIMENTOS REPETITIVOS, CAMINHAR EXTENSAMENTE, ABAIXAR-SE FREQUENTEMENTE E ESTAR EXPOSTO A TEMPERATURAS EXTREMAS. Número de Horas por Semana: 40. Horário de Trabalho (Início/Término): 7h às 16h.</v>
      </c>
    </row>
    <row r="110" ht="20.25" customHeight="1">
      <c r="A110" s="3" t="s">
        <v>678</v>
      </c>
      <c r="B110" s="3" t="s">
        <v>679</v>
      </c>
      <c r="C110" s="3" t="s">
        <v>17</v>
      </c>
      <c r="D110" s="3" t="s">
        <v>28</v>
      </c>
      <c r="E110" s="4" t="s">
        <v>19</v>
      </c>
      <c r="F110" s="4" t="s">
        <v>20</v>
      </c>
      <c r="G110" s="4" t="s">
        <v>377</v>
      </c>
      <c r="H110" s="3" t="s">
        <v>680</v>
      </c>
      <c r="I110" s="3" t="s">
        <v>681</v>
      </c>
      <c r="J110" s="4">
        <v>18.53</v>
      </c>
      <c r="K110" s="4">
        <v>3.0</v>
      </c>
      <c r="L110" s="3" t="s">
        <v>40</v>
      </c>
      <c r="M110" s="3" t="s">
        <v>682</v>
      </c>
      <c r="N110" s="7" t="str">
        <f>IFERROR(__xludf.DUMMYFUNCTION("GOOGLETRANSLATE(L110, ""en"", ""pt"")"),"Ajudante de Mecânico")</f>
        <v>Ajudante de Mecânico</v>
      </c>
      <c r="O110" s="7" t="str">
        <f>IFERROR(__xludf.DUMMYFUNCTION("IF(M110="""","""",GOOGLETRANSLATE(M110,""en"",""pt""))"),"***Resposta à RFI*** 1. Tipos de Equipamentos Veículos: Caminhonetes/caminhonetes/de serviço/de mecânico/de equipe/de plataforma/basculantes/com garra/de brita/com cesto elevatório, plataformas elevatórias para uso em quintais, reboques, vans e outros veí"&amp;"culos da frota que dão suporte às operações de gestão de vegetação da concessionária. Máquinas/Equipamentos Industriais: Trituradores de madeira, destocadores, plataformas elevatórias para uso em quintais/aéreas, componentes de caminhões com cesto elevató"&amp;"rio, equipamentos hidráulicos, roçadeiras florestais, minicarregadeiras, tratores, compressores, bombas e equipamentos de apoio usados ​​na poda de árvores, gestão de vegetação e operações da frota. Equipamentos Elétricos/Eletrônicos: Iluminação de veícul"&amp;"os/reboques, alarmes de ré, sinalizadores de segurança/luzes estroboscópicas, cabos de bateria, baterias, fusíveis, fiação básica, unidades de câmera/GPS, dispositivos telemáticos e componentes elétricos básicos em veículos/equipamentos da empresa. 2. Dev"&amp;"eres e Ferramentas Tarefas: Fornecer/transportar ferramentas, peças, materiais e suprimentos para mecânicos/trabalhadores de manutenção; Segurar/posicionar/fixar peças durante reparos/manutenção; auxiliar na substituição básica de peças (lâmpadas, bateria"&amp;"s, filtros, palhetas do limpador de para-brisa, pneus, correias, mangueiras, luzes de reboque, fita refletora, itens de rotina); auxiliar na verificação/reabastecimento de fluidos (óleo do motor, líquido de arrefecimento, fluido do lavador de para-brisa, "&amp;"fluido hidráulico, DEF); remover/reinstalar painéis, tampas, proteções, pneus e componentes; auxiliar na manutenção preventiva (lubrificação de pontos de lubrificação, verificação da pressão dos pneus, limpeza dos terminais da bateria, organização de peça"&amp;"s, preparação de equipamentos); movimentar peças/suprimentos; limpar/organizar ferramentas, áreas de manutenção/peças e equipamentos; preparar veículos/equipamentos para inspeção/serviço/reparo. Ferramentas/Materiais: Ferramentas manuais, incluindo... Cha"&amp;"ves, soquetes, catracas, chaves de fenda, alicates, martelos, pistolas de graxa, mangueiras de ar, testadores de bateria, medidores de pressão de pneus, funis, bandejas de drenagem, panos de oficina, vassouras, desengraxantes, materiais de limpeza, lâmpad"&amp;"as de reposição, baterias, filtros, correias, mangueiras, fluidos e suprimentos de manutenção. Auxiliar com macacos, cavaletes, elevadores, carrinhos, macas de transporte e equipamentos de apoio da oficina, conforme instruções. 3. Trabalho com Motores a D"&amp;"iesel: Os veículos/equipamentos da empresa podem conter motores a diesel (caminhões, caminhões com plataforma elevatória, caminhões basculantes, trituradores, equipamentos da frota). O trabalho com motores a diesel se limita a suporte de nível auxiliar so"&amp;"b a supervisão de um mecânico/funcionário de manutenção qualificado (fornecer ferramentas/peças, segurar componentes, limpar áreas/equipamentos, auxiliar na verificação de fluidos, substituir itens básicos de serviço, preparar veículos/equipamentos). Não "&amp;"há funções avançadas de mecânico de motores a diesel. 4. Instalações/Locais de Trabalho: Trabalhar nos pátios da frota da empresa, oficinas de manutenção, filiais, equipamentos. Pátios de armazenamento e locais de trabalho designados. Trabalho de campo em"&amp;" locais de gestão de vegetação de concessionárias de serviços públicos, áreas de preparação, áreas de atendimento ao cliente e locais à beira da estrada/locais de trabalho para suporte/preparação básica. Trabalho estacionário em pátios/oficinas/instalaçõe"&amp;"s de filiais da empresa. O trabalho de campo se limita a apoiar mecânicos/pessoal de frota com tarefas relacionadas à manutenção de veículos/equipamentos da empresa. 5. Tarefas de Limpeza Limpeza = limpeza/organização básica de nível auxiliar relacionada "&amp;"a veículos, equipamentos, ferramentas e áreas de manutenção. Remover sujeira, graxa, detritos, serragem, folhas, lama, resíduos de óleo e acúmulo relacionado ao trabalho de superfícies de equipamentos, ferramentas, pisos, bancadas e áreas de trabalho. Fer"&amp;"ramentas incluem: vassouras, panos de oficina, panos de limpeza, escovas, raspadores, baldes, mangueiras de água, desengraxantes, almofadas absorventes, kits de derramamento, recipientes de lixo, luvas, óculos de segurança e materiais de limpeza. ***Origi"&amp;"nal*** Auxiliar os trabalhadores de instalação, manutenção e reparo na manutenção, substituição de peças e reparo de veículos, máquinas industriais e equipamentos elétricos e eletrônicos. Executar tarefas como fornecer ferramentas, materiais e suprimentos"&amp;" para outros trabalhadores; limpar a área de trabalho, máquinas e ferramentas; e segurar materiais ou ferramentas para outros trabalhadores. Classificação da função: 49-9098.00 - Ajudantes - Trabalhadores de Instalação, Manutenção e Reparo. A classificaçã"&amp;"o e descrição da função/setor inclui informações gerais sobre o cargo, de acordo com o ONET/OES e o Sistema de Classificação Industrial da América do Norte (NAICS). Consulte as Funções e a Ordem de Serviço para obter mais informações. Requisitos da função"&amp;": Experiência necessária: Não. Requisitos especiais: Deve ser capaz de levantar/carregar 23 kg ou mais, quando necessário. Trabalho aos sábados e domingos, quando necessário. Teste de drogas pago pelo empregador é obrigatório para trabalhadores estrangeir"&amp;"os e nacionais antes do início do trabalho e após a contratação, aleatoriamente, em caso de suspeita de uso e após acidente. Verificação de antecedentes e elegibilidade para emprego (e-Verify) após a contratação é obrigatória para trabalhadores estrangeir"&amp;"os e nacionais. Exame físico pago pelo empregador é obrigatório antes do início do trabalho para garantir que o trabalhador possa executar o trabalho com segurança. Viagens ocasionais limitadas e pagamento em dobro podem estar disponíveis em determinadas "&amp;"situações de emergência e feriados, e conforme exigências contratuais específicas da concessionária de serviços públicos. O empregador pode oferecer mais horas de trabalho do que as estipuladas, dependendo do clima, das necessidades da empresa e de outras"&amp;" condições. Calor extremo, frio, chuva ou seca podem afetar o horário de trabalho exato. Número de horas por semana: 35. Horário de trabalho (início/término): 7h às 15h.")</f>
        <v>***Resposta à RFI*** 1. Tipos de Equipamentos Veículos: Caminhonetes/caminhonetes/de serviço/de mecânico/de equipe/de plataforma/basculantes/com garra/de brita/com cesto elevatório, plataformas elevatórias para uso em quintais, reboques, vans e outros veículos da frota que dão suporte às operações de gestão de vegetação da concessionária. Máquinas/Equipamentos Industriais: Trituradores de madeira, destocadores, plataformas elevatórias para uso em quintais/aéreas, componentes de caminhões com cesto elevatório, equipamentos hidráulicos, roçadeiras florestais, minicarregadeiras, tratores, compressores, bombas e equipamentos de apoio usados ​​na poda de árvores, gestão de vegetação e operações da frota. Equipamentos Elétricos/Eletrônicos: Iluminação de veículos/reboques, alarmes de ré, sinalizadores de segurança/luzes estroboscópicas, cabos de bateria, baterias, fusíveis, fiação básica, unidades de câmera/GPS, dispositivos telemáticos e componentes elétricos básicos em veículos/equipamentos da empresa. 2. Deveres e Ferramentas Tarefas: Fornecer/transportar ferramentas, peças, materiais e suprimentos para mecânicos/trabalhadores de manutenção; Segurar/posicionar/fixar peças durante reparos/manutenção; auxiliar na substituição básica de peças (lâmpadas, baterias, filtros, palhetas do limpador de para-brisa, pneus, correias, mangueiras, luzes de reboque, fita refletora, itens de rotina); auxiliar na verificação/reabastecimento de fluidos (óleo do motor, líquido de arrefecimento, fluido do lavador de para-brisa, fluido hidráulico, DEF); remover/reinstalar painéis, tampas, proteções, pneus e componentes; auxiliar na manutenção preventiva (lubrificação de pontos de lubrificação, verificação da pressão dos pneus, limpeza dos terminais da bateria, organização de peças, preparação de equipamentos); movimentar peças/suprimentos; limpar/organizar ferramentas, áreas de manutenção/peças e equipamentos; preparar veículos/equipamentos para inspeção/serviço/reparo. Ferramentas/Materiais: Ferramentas manuais, incluindo... Chaves, soquetes, catracas, chaves de fenda, alicates, martelos, pistolas de graxa, mangueiras de ar, testadores de bateria, medidores de pressão de pneus, funis, bandejas de drenagem, panos de oficina, vassouras, desengraxantes, materiais de limpeza, lâmpadas de reposição, baterias, filtros, correias, mangueiras, fluidos e suprimentos de manutenção. Auxiliar com macacos, cavaletes, elevadores, carrinhos, macas de transporte e equipamentos de apoio da oficina, conforme instruções. 3. Trabalho com Motores a Diesel: Os veículos/equipamentos da empresa podem conter motores a diesel (caminhões, caminhões com plataforma elevatória, caminhões basculantes, trituradores, equipamentos da frota). O trabalho com motores a diesel se limita a suporte de nível auxiliar sob a supervisão de um mecânico/funcionário de manutenção qualificado (fornecer ferramentas/peças, segurar componentes, limpar áreas/equipamentos, auxiliar na verificação de fluidos, substituir itens básicos de serviço, preparar veículos/equipamentos). Não há funções avançadas de mecânico de motores a diesel. 4. Instalações/Locais de Trabalho: Trabalhar nos pátios da frota da empresa, oficinas de manutenção, filiais, equipamentos. Pátios de armazenamento e locais de trabalho designados. Trabalho de campo em locais de gestão de vegetação de concessionárias de serviços públicos, áreas de preparação, áreas de atendimento ao cliente e locais à beira da estrada/locais de trabalho para suporte/preparação básica. Trabalho estacionário em pátios/oficinas/instalações de filiais da empresa. O trabalho de campo se limita a apoiar mecânicos/pessoal de frota com tarefas relacionadas à manutenção de veículos/equipamentos da empresa. 5. Tarefas de Limpeza Limpeza = limpeza/organização básica de nível auxiliar relacionada a veículos, equipamentos, ferramentas e áreas de manutenção. Remover sujeira, graxa, detritos, serragem, folhas, lama, resíduos de óleo e acúmulo relacionado ao trabalho de superfícies de equipamentos, ferramentas, pisos, bancadas e áreas de trabalho. Ferramentas incluem: vassouras, panos de oficina, panos de limpeza, escovas, raspadores, baldes, mangueiras de água, desengraxantes, almofadas absorventes, kits de derramamento, recipientes de lixo, luvas, óculos de segurança e materiais de limpeza. ***Original*** Auxiliar os trabalhadores de instalação, manutenção e reparo na manutenção, substituição de peças e reparo de veículos, máquinas industriais e equipamentos elétricos e eletrônicos. Executar tarefas como fornecer ferramentas, materiais e suprimentos para outros trabalhadores; limpar a área de trabalho, máquinas e ferramentas; e segurar materiais ou ferramentas para outros trabalhadores. Classificação da função: 49-9098.00 - Ajudantes - Trabalhadores de Instalação, Manutenção e Reparo. A classificação e descrição da função/setor inclui informações gerais sobre o cargo, de acordo com o ONET/OES e o Sistema de Classificação Industrial da América do Norte (NAICS). Consulte as Funções e a Ordem de Serviço para obter mais informações. Requisitos da função: Experiência necessária: Não. Requisitos especiais: Deve ser capaz de levantar/carregar 23 kg ou mais, quando necessário. Trabalho aos sábados e domingos, quando necessário. Teste de drogas pago pelo empregador é obrigatório para trabalhadores estrangeiros e nacionais antes do início do trabalho e após a contratação, aleatoriamente, em caso de suspeita de uso e após acidente. Verificação de antecedentes e elegibilidade para emprego (e-Verify) após a contratação é obrigatória para trabalhadores estrangeiros e nacionais. Exame físico pago pelo empregador é obrigatório antes do início do trabalho para garantir que o trabalhador possa executar o trabalho com segurança. Viagens ocasionais limitadas e pagamento em dobro podem estar disponíveis em determinadas situações de emergência e feriados, e conforme exigências contratuais específicas da concessionária de serviços públicos. O empregador pode oferecer mais horas de trabalho do que as estipuladas, dependendo do clima, das necessidades da empresa e de outras condições. Calor extremo, frio, chuva ou seca podem afetar o horário de trabalho exato. Número de horas por semana: 35. Horário de trabalho (início/término): 7h às 15h.</v>
      </c>
    </row>
    <row r="111" ht="20.25" customHeight="1">
      <c r="A111" s="8" t="s">
        <v>683</v>
      </c>
      <c r="B111" s="8" t="s">
        <v>684</v>
      </c>
      <c r="C111" s="8" t="s">
        <v>17</v>
      </c>
      <c r="D111" s="8" t="s">
        <v>64</v>
      </c>
      <c r="E111" s="9" t="s">
        <v>19</v>
      </c>
      <c r="F111" s="9" t="s">
        <v>20</v>
      </c>
      <c r="G111" s="9" t="s">
        <v>377</v>
      </c>
      <c r="H111" s="8" t="s">
        <v>680</v>
      </c>
      <c r="I111" s="8" t="s">
        <v>681</v>
      </c>
      <c r="J111" s="9">
        <v>18.49</v>
      </c>
      <c r="K111" s="9">
        <v>2.0</v>
      </c>
      <c r="L111" s="8" t="s">
        <v>40</v>
      </c>
      <c r="M111" s="8" t="s">
        <v>685</v>
      </c>
      <c r="N111" s="7" t="str">
        <f>IFERROR(__xludf.DUMMYFUNCTION("GOOGLETRANSLATE(L111, ""en"", ""pt"")"),"Ajudante de Mecânico")</f>
        <v>Ajudante de Mecânico</v>
      </c>
      <c r="O111" s="7" t="str">
        <f>IFERROR(__xludf.DUMMYFUNCTION("IF(M111="""","""",GOOGLETRANSLATE(M111,""en"",""pt""))"),"Auxiliar os trabalhadores de instalação, manutenção e reparo na manutenção, substituição de peças e reparo de veículos, máquinas industriais e equipamentos elétricos e eletrônicos. Executar tarefas como fornecer ferramentas, materiais e suprimentos para o"&amp;"utros trabalhadores; limpar a área de trabalho, máquinas e ferramentas; e segurar materiais ou ferramentas para outros trabalhadores. Classificação da vaga: 49-9098.00 - Auxiliares - Trabalhadores de Instalação, Manutenção e Reparo. A classificação e desc"&amp;"rição da vaga/setor inclui informações gerais sobre a posição, de acordo com o ONET/OES e o Sistema de Classificação Industrial da América do Norte (NAICS). Consulte as Funções e a Ordem de Serviço para obter mais informações. Requisitos da vaga: Experiên"&amp;"cia exigida: Não. Requisitos especiais: Deve ser capaz de levantar/carregar 23 kg ou mais, quando necessário. Trabalho aos sábados e domingos, quando necessário. Teste de drogas pago pelo empregador é obrigatório para trabalhadores estrangeiros e nacionai"&amp;"s antes do início do trabalho e após a contratação, aleatoriamente, em caso de suspeita de uso e após acidente. Verificação de antecedentes e elegibilidade para emprego (e-Verify) após a contratação é obrigatória para trabalhadores estrangeiros e nacionai"&amp;"s. É necessário um exame físico pago pelo empregador antes do início do trabalho para garantir que o funcionário possa desempenhar a função com segurança. Viagens ocasionais limitadas e pagamento de hora extra em dobro podem estar disponíveis em determina"&amp;"das situações de emergência e feriados, e conforme exigências contratuais específicas da concessionária de serviços públicos. O empregador pode oferecer mais horas de trabalho do que as estipuladas, dependendo do clima, das necessidades da empresa e de ou"&amp;"tras condições. Calor extremo, frio, chuva ou seca podem afetar o horário de trabalho exato. Número de horas por semana: 35. Horário de trabalho (início/término): 7h às 15h.")</f>
        <v>Auxiliar os trabalhadores de instalação, manutenção e reparo na manutenção, substituição de peças e reparo de veículos, máquinas industriais e equipamentos elétricos e eletrônicos. Executar tarefas como fornecer ferramentas, materiais e suprimentos para outros trabalhadores; limpar a área de trabalho, máquinas e ferramentas; e segurar materiais ou ferramentas para outros trabalhadores. Classificação da vaga: 49-9098.00 - Auxiliares - Trabalhadores de Instalação, Manutenção e Reparo. A classificação e descrição da vaga/setor inclui informações gerais sobre a posição, de acordo com o ONET/OES e o Sistema de Classificação Industrial da América do Norte (NAICS). Consulte as Funções e a Ordem de Serviço para obter mais informações. Requisitos da vaga: Experiência exigida: Não. Requisitos especiais: Deve ser capaz de levantar/carregar 23 kg ou mais, quando necessário. Trabalho aos sábados e domingos, quando necessário. Teste de drogas pago pelo empregador é obrigatório para trabalhadores estrangeiros e nacionais antes do início do trabalho e após a contratação, aleatoriamente, em caso de suspeita de uso e após acidente. Verificação de antecedentes e elegibilidade para emprego (e-Verify) após a contratação é obrigatória para trabalhadores estrangeiros e nacionais. É necessário um exame físico pago pelo empregador antes do início do trabalho para garantir que o funcionário possa desempenhar a função com segurança. Viagens ocasionais limitadas e pagamento de hora extra em dobro podem estar disponíveis em determinadas situações de emergência e feriados, e conforme exigências contratuais específicas da concessionária de serviços públicos. O empregador pode oferecer mais horas de trabalho do que as estipuladas, dependendo do clima, das necessidades da empresa e de outras condições. Calor extremo, frio, chuva ou seca podem afetar o horário de trabalho exato. Número de horas por semana: 35. Horário de trabalho (início/término): 7h às 15h.</v>
      </c>
    </row>
    <row r="112" ht="20.25" customHeight="1">
      <c r="A112" s="3" t="s">
        <v>686</v>
      </c>
      <c r="B112" s="3" t="s">
        <v>687</v>
      </c>
      <c r="C112" s="3" t="s">
        <v>17</v>
      </c>
      <c r="D112" s="3" t="s">
        <v>28</v>
      </c>
      <c r="E112" s="4" t="s">
        <v>19</v>
      </c>
      <c r="F112" s="4" t="s">
        <v>20</v>
      </c>
      <c r="G112" s="4" t="s">
        <v>377</v>
      </c>
      <c r="H112" s="3" t="s">
        <v>680</v>
      </c>
      <c r="I112" s="3" t="s">
        <v>681</v>
      </c>
      <c r="J112" s="4">
        <v>18.53</v>
      </c>
      <c r="K112" s="4">
        <v>3.0</v>
      </c>
      <c r="L112" s="3" t="s">
        <v>40</v>
      </c>
      <c r="M112" s="3" t="s">
        <v>682</v>
      </c>
      <c r="N112" s="7" t="str">
        <f>IFERROR(__xludf.DUMMYFUNCTION("GOOGLETRANSLATE(L112, ""en"", ""pt"")"),"Ajudante de Mecânico")</f>
        <v>Ajudante de Mecânico</v>
      </c>
      <c r="O112" s="7" t="str">
        <f>IFERROR(__xludf.DUMMYFUNCTION("IF(M112="""","""",GOOGLETRANSLATE(M112,""en"",""pt""))"),"***Resposta à RFI*** 1. Tipos de Equipamentos Veículos: Caminhonetes/caminhonetes/de serviço/de mecânico/de equipe/de plataforma/basculantes/com garra/de brita/com cesto elevatório, plataformas elevatórias para uso em quintais, reboques, vans e outros veí"&amp;"culos da frota que dão suporte às operações de gestão de vegetação da concessionária. Máquinas/Equipamentos Industriais: Trituradores de madeira, destocadores, plataformas elevatórias para uso em quintais/aéreas, componentes de caminhões com cesto elevató"&amp;"rio, equipamentos hidráulicos, roçadeiras florestais, minicarregadeiras, tratores, compressores, bombas e equipamentos de apoio usados ​​na poda de árvores, gestão de vegetação e operações da frota. Equipamentos Elétricos/Eletrônicos: Iluminação de veícul"&amp;"os/reboques, alarmes de ré, sinalizadores de segurança/luzes estroboscópicas, cabos de bateria, baterias, fusíveis, fiação básica, unidades de câmera/GPS, dispositivos telemáticos e componentes elétricos básicos em veículos/equipamentos da empresa. 2. Dev"&amp;"eres e Ferramentas Tarefas: Fornecer/transportar ferramentas, peças, materiais e suprimentos para mecânicos/trabalhadores de manutenção; Segurar/posicionar/fixar peças durante reparos/manutenção; auxiliar na substituição básica de peças (lâmpadas, bateria"&amp;"s, filtros, palhetas do limpador de para-brisa, pneus, correias, mangueiras, luzes de reboque, fita refletora, itens de rotina); auxiliar na verificação/reabastecimento de fluidos (óleo do motor, líquido de arrefecimento, fluido do lavador de para-brisa, "&amp;"fluido hidráulico, DEF); remover/reinstalar painéis, tampas, proteções, pneus e componentes; auxiliar na manutenção preventiva (lubrificação de pontos de lubrificação, verificação da pressão dos pneus, limpeza dos terminais da bateria, organização de peça"&amp;"s, preparação de equipamentos); movimentar peças/suprimentos; limpar/organizar ferramentas, áreas de manutenção/peças e equipamentos; preparar veículos/equipamentos para inspeção/serviço/reparo. Ferramentas/Materiais: Ferramentas manuais, incluindo... Cha"&amp;"ves, soquetes, catracas, chaves de fenda, alicates, martelos, pistolas de graxa, mangueiras de ar, testadores de bateria, medidores de pressão de pneus, funis, bandejas de drenagem, panos de oficina, vassouras, desengraxantes, materiais de limpeza, lâmpad"&amp;"as de reposição, baterias, filtros, correias, mangueiras, fluidos e suprimentos de manutenção. Auxiliar com macacos, cavaletes, elevadores, carrinhos, macas de transporte e equipamentos de apoio da oficina, conforme instruções. 3. Trabalho com Motores a D"&amp;"iesel: Os veículos/equipamentos da empresa podem conter motores a diesel (caminhões, caminhões com plataforma elevatória, caminhões basculantes, trituradores, equipamentos da frota). O trabalho com motores a diesel se limita a suporte de nível auxiliar so"&amp;"b a supervisão de um mecânico/funcionário de manutenção qualificado (fornecer ferramentas/peças, segurar componentes, limpar áreas/equipamentos, auxiliar na verificação de fluidos, substituir itens básicos de serviço, preparar veículos/equipamentos). Não "&amp;"há funções avançadas de mecânico de motores a diesel. 4. Instalações/Locais de Trabalho: Trabalhar nos pátios da frota da empresa, oficinas de manutenção, filiais, equipamentos. Pátios de armazenamento e locais de trabalho designados. Trabalho de campo em"&amp;" locais de gestão de vegetação de concessionárias de serviços públicos, áreas de preparação, áreas de atendimento ao cliente e locais à beira da estrada/locais de trabalho para suporte/preparação básica. Trabalho estacionário em pátios/oficinas/instalaçõe"&amp;"s de filiais da empresa. O trabalho de campo se limita a apoiar mecânicos/pessoal de frota com tarefas relacionadas à manutenção de veículos/equipamentos da empresa. 5. Tarefas de Limpeza Limpeza = limpeza/organização básica de nível auxiliar relacionada "&amp;"a veículos, equipamentos, ferramentas e áreas de manutenção. Remover sujeira, graxa, detritos, serragem, folhas, lama, resíduos de óleo e acúmulo relacionado ao trabalho de superfícies de equipamentos, ferramentas, pisos, bancadas e áreas de trabalho. Fer"&amp;"ramentas incluem: vassouras, panos de oficina, panos de limpeza, escovas, raspadores, baldes, mangueiras de água, desengraxantes, almofadas absorventes, kits de derramamento, recipientes de lixo, luvas, óculos de segurança e materiais de limpeza. ***Origi"&amp;"nal*** Auxiliar os trabalhadores de instalação, manutenção e reparo na manutenção, substituição de peças e reparo de veículos, máquinas industriais e equipamentos elétricos e eletrônicos. Executar tarefas como fornecer ferramentas, materiais e suprimentos"&amp;" para outros trabalhadores; limpar a área de trabalho, máquinas e ferramentas; e segurar materiais ou ferramentas para outros trabalhadores. Classificação da função: 49-9098.00 - Ajudantes - Trabalhadores de Instalação, Manutenção e Reparo. A classificaçã"&amp;"o e descrição da função/setor inclui informações gerais sobre o cargo, de acordo com o ONET/OES e o Sistema de Classificação Industrial da América do Norte (NAICS). Consulte as Funções e a Ordem de Serviço para obter mais informações. Requisitos da função"&amp;": Experiência necessária: Não. Requisitos especiais: Deve ser capaz de levantar/carregar 23 kg ou mais, quando necessário. Trabalho aos sábados e domingos, quando necessário. Teste de drogas pago pelo empregador é obrigatório para trabalhadores estrangeir"&amp;"os e nacionais antes do início do trabalho e após a contratação, aleatoriamente, em caso de suspeita de uso e após acidente. Verificação de antecedentes e elegibilidade para emprego (e-Verify) após a contratação é obrigatória para trabalhadores estrangeir"&amp;"os e nacionais. Exame físico pago pelo empregador é obrigatório antes do início do trabalho para garantir que o trabalhador possa executar o trabalho com segurança. Viagens ocasionais limitadas e pagamento em dobro podem estar disponíveis em determinadas "&amp;"situações de emergência e feriados, e conforme exigências contratuais específicas da concessionária de serviços públicos. O empregador pode oferecer mais horas de trabalho do que as estipuladas, dependendo do clima, das necessidades da empresa e de outras"&amp;" condições. Calor extremo, frio, chuva ou seca podem afetar o horário de trabalho exato. Número de horas por semana: 35. Horário de trabalho (início/término): 7h às 15h.")</f>
        <v>***Resposta à RFI*** 1. Tipos de Equipamentos Veículos: Caminhonetes/caminhonetes/de serviço/de mecânico/de equipe/de plataforma/basculantes/com garra/de brita/com cesto elevatório, plataformas elevatórias para uso em quintais, reboques, vans e outros veículos da frota que dão suporte às operações de gestão de vegetação da concessionária. Máquinas/Equipamentos Industriais: Trituradores de madeira, destocadores, plataformas elevatórias para uso em quintais/aéreas, componentes de caminhões com cesto elevatório, equipamentos hidráulicos, roçadeiras florestais, minicarregadeiras, tratores, compressores, bombas e equipamentos de apoio usados ​​na poda de árvores, gestão de vegetação e operações da frota. Equipamentos Elétricos/Eletrônicos: Iluminação de veículos/reboques, alarmes de ré, sinalizadores de segurança/luzes estroboscópicas, cabos de bateria, baterias, fusíveis, fiação básica, unidades de câmera/GPS, dispositivos telemáticos e componentes elétricos básicos em veículos/equipamentos da empresa. 2. Deveres e Ferramentas Tarefas: Fornecer/transportar ferramentas, peças, materiais e suprimentos para mecânicos/trabalhadores de manutenção; Segurar/posicionar/fixar peças durante reparos/manutenção; auxiliar na substituição básica de peças (lâmpadas, baterias, filtros, palhetas do limpador de para-brisa, pneus, correias, mangueiras, luzes de reboque, fita refletora, itens de rotina); auxiliar na verificação/reabastecimento de fluidos (óleo do motor, líquido de arrefecimento, fluido do lavador de para-brisa, fluido hidráulico, DEF); remover/reinstalar painéis, tampas, proteções, pneus e componentes; auxiliar na manutenção preventiva (lubrificação de pontos de lubrificação, verificação da pressão dos pneus, limpeza dos terminais da bateria, organização de peças, preparação de equipamentos); movimentar peças/suprimentos; limpar/organizar ferramentas, áreas de manutenção/peças e equipamentos; preparar veículos/equipamentos para inspeção/serviço/reparo. Ferramentas/Materiais: Ferramentas manuais, incluindo... Chaves, soquetes, catracas, chaves de fenda, alicates, martelos, pistolas de graxa, mangueiras de ar, testadores de bateria, medidores de pressão de pneus, funis, bandejas de drenagem, panos de oficina, vassouras, desengraxantes, materiais de limpeza, lâmpadas de reposição, baterias, filtros, correias, mangueiras, fluidos e suprimentos de manutenção. Auxiliar com macacos, cavaletes, elevadores, carrinhos, macas de transporte e equipamentos de apoio da oficina, conforme instruções. 3. Trabalho com Motores a Diesel: Os veículos/equipamentos da empresa podem conter motores a diesel (caminhões, caminhões com plataforma elevatória, caminhões basculantes, trituradores, equipamentos da frota). O trabalho com motores a diesel se limita a suporte de nível auxiliar sob a supervisão de um mecânico/funcionário de manutenção qualificado (fornecer ferramentas/peças, segurar componentes, limpar áreas/equipamentos, auxiliar na verificação de fluidos, substituir itens básicos de serviço, preparar veículos/equipamentos). Não há funções avançadas de mecânico de motores a diesel. 4. Instalações/Locais de Trabalho: Trabalhar nos pátios da frota da empresa, oficinas de manutenção, filiais, equipamentos. Pátios de armazenamento e locais de trabalho designados. Trabalho de campo em locais de gestão de vegetação de concessionárias de serviços públicos, áreas de preparação, áreas de atendimento ao cliente e locais à beira da estrada/locais de trabalho para suporte/preparação básica. Trabalho estacionário em pátios/oficinas/instalações de filiais da empresa. O trabalho de campo se limita a apoiar mecânicos/pessoal de frota com tarefas relacionadas à manutenção de veículos/equipamentos da empresa. 5. Tarefas de Limpeza Limpeza = limpeza/organização básica de nível auxiliar relacionada a veículos, equipamentos, ferramentas e áreas de manutenção. Remover sujeira, graxa, detritos, serragem, folhas, lama, resíduos de óleo e acúmulo relacionado ao trabalho de superfícies de equipamentos, ferramentas, pisos, bancadas e áreas de trabalho. Ferramentas incluem: vassouras, panos de oficina, panos de limpeza, escovas, raspadores, baldes, mangueiras de água, desengraxantes, almofadas absorventes, kits de derramamento, recipientes de lixo, luvas, óculos de segurança e materiais de limpeza. ***Original*** Auxiliar os trabalhadores de instalação, manutenção e reparo na manutenção, substituição de peças e reparo de veículos, máquinas industriais e equipamentos elétricos e eletrônicos. Executar tarefas como fornecer ferramentas, materiais e suprimentos para outros trabalhadores; limpar a área de trabalho, máquinas e ferramentas; e segurar materiais ou ferramentas para outros trabalhadores. Classificação da função: 49-9098.00 - Ajudantes - Trabalhadores de Instalação, Manutenção e Reparo. A classificação e descrição da função/setor inclui informações gerais sobre o cargo, de acordo com o ONET/OES e o Sistema de Classificação Industrial da América do Norte (NAICS). Consulte as Funções e a Ordem de Serviço para obter mais informações. Requisitos da função: Experiência necessária: Não. Requisitos especiais: Deve ser capaz de levantar/carregar 23 kg ou mais, quando necessário. Trabalho aos sábados e domingos, quando necessário. Teste de drogas pago pelo empregador é obrigatório para trabalhadores estrangeiros e nacionais antes do início do trabalho e após a contratação, aleatoriamente, em caso de suspeita de uso e após acidente. Verificação de antecedentes e elegibilidade para emprego (e-Verify) após a contratação é obrigatória para trabalhadores estrangeiros e nacionais. Exame físico pago pelo empregador é obrigatório antes do início do trabalho para garantir que o trabalhador possa executar o trabalho com segurança. Viagens ocasionais limitadas e pagamento em dobro podem estar disponíveis em determinadas situações de emergência e feriados, e conforme exigências contratuais específicas da concessionária de serviços públicos. O empregador pode oferecer mais horas de trabalho do que as estipuladas, dependendo do clima, das necessidades da empresa e de outras condições. Calor extremo, frio, chuva ou seca podem afetar o horário de trabalho exato. Número de horas por semana: 35. Horário de trabalho (início/término): 7h às 15h.</v>
      </c>
    </row>
    <row r="113" ht="20.25" customHeight="1">
      <c r="A113" s="8" t="s">
        <v>688</v>
      </c>
      <c r="B113" s="8" t="s">
        <v>689</v>
      </c>
      <c r="C113" s="8" t="s">
        <v>17</v>
      </c>
      <c r="D113" s="8" t="s">
        <v>51</v>
      </c>
      <c r="E113" s="9" t="s">
        <v>19</v>
      </c>
      <c r="F113" s="9" t="s">
        <v>20</v>
      </c>
      <c r="G113" s="9" t="s">
        <v>377</v>
      </c>
      <c r="H113" s="8" t="s">
        <v>680</v>
      </c>
      <c r="I113" s="8" t="s">
        <v>681</v>
      </c>
      <c r="J113" s="9">
        <v>17.36</v>
      </c>
      <c r="K113" s="9">
        <v>2.0</v>
      </c>
      <c r="L113" s="8" t="s">
        <v>40</v>
      </c>
      <c r="M113" s="8" t="s">
        <v>685</v>
      </c>
      <c r="N113" s="7" t="str">
        <f>IFERROR(__xludf.DUMMYFUNCTION("GOOGLETRANSLATE(L113, ""en"", ""pt"")"),"Ajudante de Mecânico")</f>
        <v>Ajudante de Mecânico</v>
      </c>
      <c r="O113" s="7" t="str">
        <f>IFERROR(__xludf.DUMMYFUNCTION("IF(M113="""","""",GOOGLETRANSLATE(M113,""en"",""pt""))"),"Auxiliar os trabalhadores de instalação, manutenção e reparo na manutenção, substituição de peças e reparo de veículos, máquinas industriais e equipamentos elétricos e eletrônicos. Executar tarefas como fornecer ferramentas, materiais e suprimentos para o"&amp;"utros trabalhadores; limpar a área de trabalho, máquinas e ferramentas; e segurar materiais ou ferramentas para outros trabalhadores. Classificação da vaga: 49-9098.00 - Auxiliares - Trabalhadores de Instalação, Manutenção e Reparo. A classificação e desc"&amp;"rição da vaga/setor inclui informações gerais sobre a posição, de acordo com o ONET/OES e o Sistema de Classificação Industrial da América do Norte (NAICS). Consulte as Funções e a Ordem de Serviço para obter mais informações. Requisitos da vaga: Experiên"&amp;"cia exigida: Não. Requisitos especiais: Deve ser capaz de levantar/carregar 23 kg ou mais, quando necessário. Trabalho aos sábados e domingos, quando necessário. Teste de drogas pago pelo empregador é obrigatório para trabalhadores estrangeiros e nacionai"&amp;"s antes do início do trabalho e após a contratação, aleatoriamente, em caso de suspeita de uso e após acidente. Verificação de antecedentes e elegibilidade para emprego (e-Verify) após a contratação é obrigatória para trabalhadores estrangeiros e nacionai"&amp;"s. É necessário um exame físico pago pelo empregador antes do início do trabalho para garantir que o funcionário possa desempenhar a função com segurança. Viagens ocasionais limitadas e pagamento de hora extra em dobro podem estar disponíveis em determina"&amp;"das situações de emergência e feriados, e conforme exigências contratuais específicas da concessionária de serviços públicos. O empregador pode oferecer mais horas de trabalho do que as estipuladas, dependendo do clima, das necessidades da empresa e de ou"&amp;"tras condições. Calor extremo, frio, chuva ou seca podem afetar o horário de trabalho exato. Número de horas por semana: 35. Horário de trabalho (início/término): 7h às 15h.")</f>
        <v>Auxiliar os trabalhadores de instalação, manutenção e reparo na manutenção, substituição de peças e reparo de veículos, máquinas industriais e equipamentos elétricos e eletrônicos. Executar tarefas como fornecer ferramentas, materiais e suprimentos para outros trabalhadores; limpar a área de trabalho, máquinas e ferramentas; e segurar materiais ou ferramentas para outros trabalhadores. Classificação da vaga: 49-9098.00 - Auxiliares - Trabalhadores de Instalação, Manutenção e Reparo. A classificação e descrição da vaga/setor inclui informações gerais sobre a posição, de acordo com o ONET/OES e o Sistema de Classificação Industrial da América do Norte (NAICS). Consulte as Funções e a Ordem de Serviço para obter mais informações. Requisitos da vaga: Experiência exigida: Não. Requisitos especiais: Deve ser capaz de levantar/carregar 23 kg ou mais, quando necessário. Trabalho aos sábados e domingos, quando necessário. Teste de drogas pago pelo empregador é obrigatório para trabalhadores estrangeiros e nacionais antes do início do trabalho e após a contratação, aleatoriamente, em caso de suspeita de uso e após acidente. Verificação de antecedentes e elegibilidade para emprego (e-Verify) após a contratação é obrigatória para trabalhadores estrangeiros e nacionais. É necessário um exame físico pago pelo empregador antes do início do trabalho para garantir que o funcionário possa desempenhar a função com segurança. Viagens ocasionais limitadas e pagamento de hora extra em dobro podem estar disponíveis em determinadas situações de emergência e feriados, e conforme exigências contratuais específicas da concessionária de serviços públicos. O empregador pode oferecer mais horas de trabalho do que as estipuladas, dependendo do clima, das necessidades da empresa e de outras condições. Calor extremo, frio, chuva ou seca podem afetar o horário de trabalho exato. Número de horas por semana: 35. Horário de trabalho (início/término): 7h às 15h.</v>
      </c>
    </row>
    <row r="114" ht="20.25" customHeight="1">
      <c r="A114" s="3" t="s">
        <v>690</v>
      </c>
      <c r="B114" s="3" t="s">
        <v>691</v>
      </c>
      <c r="C114" s="3" t="s">
        <v>662</v>
      </c>
      <c r="D114" s="3" t="s">
        <v>55</v>
      </c>
      <c r="E114" s="4" t="s">
        <v>19</v>
      </c>
      <c r="F114" s="4" t="s">
        <v>20</v>
      </c>
      <c r="G114" s="4" t="s">
        <v>146</v>
      </c>
      <c r="H114" s="3" t="s">
        <v>692</v>
      </c>
      <c r="I114" s="3" t="s">
        <v>693</v>
      </c>
      <c r="J114" s="4">
        <v>18.31</v>
      </c>
      <c r="K114" s="4">
        <v>10.0</v>
      </c>
      <c r="L114" s="3" t="s">
        <v>59</v>
      </c>
      <c r="M114" s="3" t="s">
        <v>694</v>
      </c>
      <c r="N114" s="7" t="str">
        <f>IFERROR(__xludf.DUMMYFUNCTION("GOOGLETRANSLATE(L114, ""en"", ""pt"")"),"Trabalhador de paisagismo")</f>
        <v>Trabalhador de paisagismo</v>
      </c>
      <c r="O114" s="7" t="str">
        <f>IFERROR(__xludf.DUMMYFUNCTION("IF(M114="""","""",GOOGLETRANSLATE(M114,""en"",""pt""))"),"As funções podem incluir: limpeza de gramados e jardins, cuidados com propriedades já estabelecidas para prepará-las para o inverno, incluindo corte de grama, poda, acabamento de bordas, cobertura morta, aeração, capina, remoção de folhas caídas, remoção "&amp;"de palha, lixo e detritos. Seguir o projeto paisagístico planejado para plantar ou instalar plantas/flores/folhagens de outono. Podar ou aparar árvores, arbustos ou sebes, utilizando tesouras de poda para prepará-las para o período de dormência. Pulveriza"&amp;"r ou espalhar fertilizante em árvores, arbustos e gramados para prepará-los para o inverno. Preparar o sistema de irrigação para o inverno e outras atividades relacionadas a serviços de paisagismo, conforme SOC/OES 37-3011 (onetonline.org). Horário padrão"&amp;"/esperado: segunda a sexta, das 7h às 17h. Oferecemos mais de 40 horas semanais, sem incluir almoço e/ou intervalos. Possibilidade de trabalho em fins de semana e feriados. Os horários de início e término, a carga horária oferecida e/ou a possibilidade de"&amp;" horas extras podem variar, pois dependem de fatores como necessidades do projeto/cronograma/serviço, condições climáticas e tempo de deslocamento entre os locais de trabalho (se aplicável). Horas extras são possíveis, mas não obrigatórias nem garantidas."&amp;" A critério exclusivo do empregador: aumentos salariais e/ou bônus podem ser concedidos com base em fatores individuais, como desempenho ou habilidades (não garantidos). Classificação da vaga: 37-3011.00 - Trabalhadores de Paisagismo e Manutenção de Áreas"&amp;" Verdes. A classificação e a descrição da vaga/setor incluem informações gerais sobre o cargo, conforme o ONET/OES e o Sistema de Classificação Industrial da América do Norte (NAICS). Consulte as Funções e a Ordem de Serviço para obter mais informações. R"&amp;"equisitos da vaga: Experiência necessária: Não. Requisitos especiais: É necessário comprovar autorização legal para trabalhar nos Estados Unidos. Ambiente de trabalho livre de drogas, álcool e tabaco. Executar atividades físicas, como levantar, equilibrar"&amp;"-se, caminhar, abaixar-se, manusear, posicionar, mover e manipular materiais; usar força estática para exercer força muscular máxima para levantar, empurrar, puxar e carregar objetos de até 23 kg. Todos os candidatos devem ser capazes, estar dispostos e q"&amp;"ualificados para executar o trabalho descrito e devem estar disponíveis durante todo o período especificado e trabalhar em todas as áreas da função pretendida. Possível verificação de antecedentes após a contratação, às custas do empregador. O trabalho é "&amp;"realizado ao ar livre, exposto às intempéries; o candidato deve ser capaz de realizar trabalho fisicamente extenuante por longos períodos, ocasionalmente em calor ou frio extremos. As condições climáticas são variáveis; a carga horária pode sofrer alteraç"&amp;"ões (+/-), podendo haver períodos de inatividade e/ou horas extras. Número de horas por semana: 40. Horário de trabalho (início/término): 7h às 17h.")</f>
        <v>As funções podem incluir: limpeza de gramados e jardins, cuidados com propriedades já estabelecidas para prepará-las para o inverno, incluindo corte de grama, poda, acabamento de bordas, cobertura morta, aeração, capina, remoção de folhas caídas, remoção de palha, lixo e detritos. Seguir o projeto paisagístico planejado para plantar ou instalar plantas/flores/folhagens de outono. Podar ou aparar árvores, arbustos ou sebes, utilizando tesouras de poda para prepará-las para o período de dormência. Pulverizar ou espalhar fertilizante em árvores, arbustos e gramados para prepará-los para o inverno. Preparar o sistema de irrigação para o inverno e outras atividades relacionadas a serviços de paisagismo, conforme SOC/OES 37-3011 (onetonline.org). Horário padrão/esperado: segunda a sexta, das 7h às 17h. Oferecemos mais de 40 horas semanais, sem incluir almoço e/ou intervalos. Possibilidade de trabalho em fins de semana e feriados. Os horários de início e término, a carga horária oferecida e/ou a possibilidade de horas extras podem variar, pois dependem de fatores como necessidades do projeto/cronograma/serviço, condições climáticas e tempo de deslocamento entre os locais de trabalho (se aplicável). Horas extras são possíveis, mas não obrigatórias nem garantidas. A critério exclusivo do empregador: aumentos salariais e/ou bônus podem ser concedidos com base em fatores individuais, como desempenho ou habilidades (não garantidos). Classificação da vaga: 37-3011.00 - Trabalhadores de Paisagismo e Manutenção de Áreas Verdes. A classificação e a descrição da vaga/setor incluem informações gerais sobre o cargo, conforme o ONET/OES e o Sistema de Classificação Industrial da América do Norte (NAICS). Consulte as Funções e a Ordem de Serviço para obter mais informações. Requisitos da vaga: Experiência necessária: Não. Requisitos especiais: É necessário comprovar autorização legal para trabalhar nos Estados Unidos. Ambiente de trabalho livre de drogas, álcool e tabaco. Executar atividades físicas, como levantar, equilibrar-se, caminhar, abaixar-se, manusear, posicionar, mover e manipular materiais; usar força estática para exercer força muscular máxima para levantar, empurrar, puxar e carregar objetos de até 23 kg. Todos os candidatos devem ser capazes, estar dispostos e qualificados para executar o trabalho descrito e devem estar disponíveis durante todo o período especificado e trabalhar em todas as áreas da função pretendida. Possível verificação de antecedentes após a contratação, às custas do empregador. O trabalho é realizado ao ar livre, exposto às intempéries; o candidato deve ser capaz de realizar trabalho fisicamente extenuante por longos períodos, ocasionalmente em calor ou frio extremos. As condições climáticas são variáveis; a carga horária pode sofrer alterações (+/-), podendo haver períodos de inatividade e/ou horas extras. Número de horas por semana: 40. Horário de trabalho (início/término): 7h às 17h.</v>
      </c>
    </row>
    <row r="115" ht="20.25" customHeight="1">
      <c r="A115" s="8" t="s">
        <v>695</v>
      </c>
      <c r="B115" s="8" t="s">
        <v>696</v>
      </c>
      <c r="C115" s="8" t="s">
        <v>363</v>
      </c>
      <c r="D115" s="8" t="s">
        <v>498</v>
      </c>
      <c r="E115" s="9" t="s">
        <v>19</v>
      </c>
      <c r="F115" s="9" t="s">
        <v>20</v>
      </c>
      <c r="G115" s="9" t="s">
        <v>110</v>
      </c>
      <c r="H115" s="8" t="s">
        <v>697</v>
      </c>
      <c r="I115" s="8" t="s">
        <v>698</v>
      </c>
      <c r="J115" s="9">
        <v>30.47</v>
      </c>
      <c r="K115" s="9">
        <v>12.0</v>
      </c>
      <c r="L115" s="8" t="s">
        <v>302</v>
      </c>
      <c r="M115" s="8" t="s">
        <v>699</v>
      </c>
      <c r="N115" s="7" t="str">
        <f>IFERROR(__xludf.DUMMYFUNCTION("GOOGLETRANSLATE(L115, ""en"", ""pt"")"),"Operários da construção civil")</f>
        <v>Operários da construção civil</v>
      </c>
      <c r="O115" s="7" t="str">
        <f>IFERROR(__xludf.DUMMYFUNCTION("IF(M115="""","""",GOOGLETRANSLATE(M115,""en"",""pt""))"),"As funções podem incluir: Os trabalhadores realizarão tarefas braçais em canteiros de obras para dar suporte à operação de equipamentos e às atividades gerais do local. Auxiliarão os operadores de equipamentos, direcionando o movimento das máquinas por me"&amp;"io de sinais manuais padronizados. Carregarão, descarregarão e movimentarão materiais, ferramentas e equipamentos manualmente ou utilizando métodos básicos de movimentação de materiais. As ferramentas utilizadas podem incluir, entre outras, furadeiras DeW"&amp;"alt, esmerilhadeiras, serras manuais e pás. Realizarão manutenção de rotina em ferramentas e equipamentos, incluindo a manutenção de furadeiras DeWalt, esmerilhadeiras, serras manuais e pás, carregando baterias, substituindo discos de esmerilhadeira e gar"&amp;"antindo que as ferramentas sejam mantidas limpas e livres de detritos. Poderão utilizar caminhonetes leves, incluindo os modelos Ford F-150, Chevrolet 2500 e Chevrolet 3500, para transportar trabalhadores, ferramentas e materiais de e para os locais de tr"&amp;"abalho. Limpeza geral do local e outras tarefas manuais conforme necessário para manter um ambiente de trabalho seguro, limpo e organizado, além de outras atividades relacionadas a trabalhadores da construção civil, conforme SOC/OES 47-2031 (onetonline.or"&amp;"g). Horário padrão/esperado: segunda a sexta, das 6h às 18h. Oferecemos mais de 40 horas semanais, sem incluir almoço e/ou intervalos. Possibilidade de trabalho em fins de semana e feriados. Os horários de início e término, a carga horária e/ou horas extr"&amp;"as podem variar, pois dependem de fatores como projeto/cronograma/necessidades do serviço, condições climáticas e tempo de deslocamento entre os locais de trabalho (se aplicável). Horas extras são possíveis, mas não obrigatórias nem garantidas. A critério"&amp;" exclusivo do empregador: possíveis aumentos e/ou bônus com base em fatores individuais, como desempenho ou habilidades (não garantidos). Moradia compartilhada opcional disponível sem custo para o trabalhador. Classificação da Função: 47-2031.00 - Carpint"&amp;"eiros. A classificação e descrição da função/setor inclui informações gerais sobre o cargo, conforme o ONET/OES e o Sistema de Classificação Industrial da América do Norte (NAICS). Consulte as Funções e a Ordem de Serviço para obter mais informações. Requ"&amp;"isitos da Função: Experiência Necessária: Não. Requisitos Especiais: É necessário ter 18 anos devido ao uso de equipamentos. É necessário apresentar comprovante de autorização legal para trabalhar nos Estados Unidos. Ambiente de trabalho livre de drogas, "&amp;"álcool e tabaco. Executar atividades físicas, como levantar, equilibrar-se, caminhar, abaixar-se, manusear, posicionar, mover e manipular materiais, utilizando força estática para exercer força muscular máxima para levantar, empurrar, puxar e carregar obj"&amp;"etos de até 23 kg. Todos os candidatos devem ser capazes, dispostos e qualificados para executar o trabalho descrito e devem estar disponíveis durante todo o período especificado e trabalhar em todas as áreas de atuação pretendidas. O trabalho é realizado"&amp;" ao ar livre, exposto às intempéries; o candidato deve ser capaz de realizar trabalho fisicamente extenuante por longos períodos, ocasionalmente em calor ou frio extremos. Condições climáticas variáveis ​​se aplicam; a carga horária pode sofrer alterações"&amp;" (+/-), com possibilidade de períodos de inatividade e/ou horas extras. Número de horas por semana: 40 Horário de trabalho (início/término): 6h00 - 18h00")</f>
        <v>As funções podem incluir: Os trabalhadores realizarão tarefas braçais em canteiros de obras para dar suporte à operação de equipamentos e às atividades gerais do local. Auxiliarão os operadores de equipamentos, direcionando o movimento das máquinas por meio de sinais manuais padronizados. Carregarão, descarregarão e movimentarão materiais, ferramentas e equipamentos manualmente ou utilizando métodos básicos de movimentação de materiais. As ferramentas utilizadas podem incluir, entre outras, furadeiras DeWalt, esmerilhadeiras, serras manuais e pás. Realizarão manutenção de rotina em ferramentas e equipamentos, incluindo a manutenção de furadeiras DeWalt, esmerilhadeiras, serras manuais e pás, carregando baterias, substituindo discos de esmerilhadeira e garantindo que as ferramentas sejam mantidas limpas e livres de detritos. Poderão utilizar caminhonetes leves, incluindo os modelos Ford F-150, Chevrolet 2500 e Chevrolet 3500, para transportar trabalhadores, ferramentas e materiais de e para os locais de trabalho. Limpeza geral do local e outras tarefas manuais conforme necessário para manter um ambiente de trabalho seguro, limpo e organizado, além de outras atividades relacionadas a trabalhadores da construção civil, conforme SOC/OES 47-2031 (onetonline.org). Horário padrão/esperado: segunda a sexta, das 6h às 18h. Oferecemos mais de 40 horas semanais, sem incluir almoço e/ou intervalos. Possibilidade de trabalho em fins de semana e feriados. Os horários de início e término, a carga horária e/ou horas extras podem variar, pois dependem de fatores como projeto/cronograma/necessidades do serviço, condições climáticas e tempo de deslocamento entre os locais de trabalho (se aplicável). Horas extras são possíveis, mas não obrigatórias nem garantidas. A critério exclusivo do empregador: possíveis aumentos e/ou bônus com base em fatores individuais, como desempenho ou habilidades (não garantidos). Moradia compartilhada opcional disponível sem custo para o trabalhador. Classificação da Função: 47-2031.00 - Carpinteiros. A classificação e descrição da função/setor inclui informações gerais sobre o cargo, conforme o ONET/OES e o Sistema de Classificação Industrial da América do Norte (NAICS). Consulte as Funções e a Ordem de Serviço para obter mais informações. Requisitos da Função: Experiência Necessária: Não. Requisitos Especiais: É necessário ter 18 anos devido ao uso de equipamentos. É necessário apresentar comprovante de autorização legal para trabalhar nos Estados Unidos. Ambiente de trabalho livre de drogas, álcool e tabaco. Executar atividades físicas, como levantar, equilibrar-se, caminhar, abaixar-se, manusear, posicionar, mover e manipular materiais, utilizando força estática para exercer força muscular máxima para levantar, empurrar, puxar e carregar objetos de até 23 kg. Todos os candidatos devem ser capazes, dispostos e qualificados para executar o trabalho descrito e devem estar disponíveis durante todo o período especificado e trabalhar em todas as áreas de atuação pretendidas. O trabalho é realizado ao ar livre, exposto às intempéries; o candidato deve ser capaz de realizar trabalho fisicamente extenuante por longos períodos, ocasionalmente em calor ou frio extremos. Condições climáticas variáveis ​​se aplicam; a carga horária pode sofrer alterações (+/-), com possibilidade de períodos de inatividade e/ou horas extras. Número de horas por semana: 40 Horário de trabalho (início/término): 6h00 - 18h00</v>
      </c>
    </row>
    <row r="116" ht="20.25" customHeight="1">
      <c r="A116" s="3" t="s">
        <v>700</v>
      </c>
      <c r="B116" s="3" t="s">
        <v>436</v>
      </c>
      <c r="C116" s="3" t="s">
        <v>27</v>
      </c>
      <c r="D116" s="3" t="s">
        <v>87</v>
      </c>
      <c r="E116" s="4" t="s">
        <v>19</v>
      </c>
      <c r="F116" s="4" t="s">
        <v>20</v>
      </c>
      <c r="G116" s="4" t="s">
        <v>437</v>
      </c>
      <c r="H116" s="3" t="s">
        <v>438</v>
      </c>
      <c r="I116" s="3" t="s">
        <v>439</v>
      </c>
      <c r="J116" s="4">
        <v>17.49</v>
      </c>
      <c r="K116" s="4">
        <v>120.0</v>
      </c>
      <c r="L116" s="3" t="s">
        <v>83</v>
      </c>
      <c r="M116" s="3" t="s">
        <v>701</v>
      </c>
      <c r="N116" s="7" t="str">
        <f>IFERROR(__xludf.DUMMYFUNCTION("GOOGLETRANSLATE(L116, ""en"", ""pt"")"),"Trabalhador Florestal")</f>
        <v>Trabalhador Florestal</v>
      </c>
      <c r="O116" s="7" t="str">
        <f>IFERROR(__xludf.DUMMYFUNCTION("IF(M116="""","""",GOOGLETRANSLATE(M116,""en"",""pt""))"),"As funções podem incluir: semear; retirar mudas dos canteiros, colocar materiais de sombreamento junto às mudas, colocar redes ou tubos (pequenos tubos de plástico sobre as mudas); fazer cobertura morta (colocar materiais de cobertura morta ao redor das m"&amp;"udas); realizar a poda manual pós-plantio (remover o excesso de vegetação ao redor das mudas); aplicar repelente ou fertilizante nas mudas. Podem incluir: propagação, proteção e manejo de áreas florestais, uso de ferramentas manuais para realizar atividad"&amp;"es como preparação de locais para plantio, desbaste, cuidado com árvores-floresta, redução da vegetação concorrente, remoção de arbustos, plantio de mudas e árvores, coleta de produtos florestais e outras atividades relacionadas ao trabalho florestal, con"&amp;"forme SOC/OES 45-4011 (onetonline.org). Horário padrão/esperado: segunda a sexta, das 7h às 15h30. Oferecemos mais de 40 horas semanais, sem incluir o horário de almoço e/ou intervalos. Possibilidade de trabalho nos fins de semana e feriados. Os horários "&amp;"de início e término, a carga horária oferecida e/ou a possibilidade de horas extras podem variar, pois dependem de fatores como necessidades do projeto/cronograma/serviço, condições climáticas e tempo de deslocamento entre os locais de trabalho (se aplicá"&amp;"vel). Horas extras são possíveis, mas não obrigatórias nem garantidas. A critério exclusivo do empregador: aumentos salariais e/ou bônus podem ser concedidos com base em fatores individuais, como desempenho ou habilidades (não garantidos). Pagamento por p"&amp;"rodução pode ser aplicado: o trabalhador nunca receberá menos do que o Salário Vigente ou o salário mínimo federal/estadual/municipal. Moradia compartilhada opcional disponível sem custo para o trabalhador. Classificação da vaga: 45-4011.00 - Trabalhadore"&amp;"s Florestais e de Conservação. A classificação e a descrição da vaga/setor incluem informações gerais sobre o cargo, de acordo com o ONET/OES e o Sistema de Classificação Industrial da América do Norte. Consulte as Funções e a Ordem de Serviço para obter "&amp;"mais informações. Requisitos da vaga: Experiência exigida: Sim. Meses de experiência exigidos: 3. Requisitos especiais: É necessário ter 18 anos devido a viagens. É necessário apresentar comprovante de autorização legal para trabalhar nos Estados Unidos. "&amp;"Ambiente de trabalho livre de drogas, álcool e tabaco. É necessário caminhar bastante (até 24 km/dia), além de se abaixar e se curvar carregando uma mochila (até 23 kg) em terrenos acidentados (fora de trilhas). Todos os candidatos devem ser capazes, disp"&amp;"ostos e qualificados para realizar o trabalho descrito e devem estar disponíveis durante todo o período especificado e trabalhar em todas as áreas da vaga. O trabalho é realizado ao ar livre, exposto às intempéries; o candidato deve ser capaz de realizar "&amp;"trabalho fisicamente extenuante por longos períodos, ocasionalmente em calor ou frio extremos. As condições climáticas são variáveis; a carga horária pode sofrer alterações, com possibilidade de períodos de inatividade e/ou horas extras. Número de horas p"&amp;"or semana: 40. Horário de trabalho (início/término): 7h às 15h30.")</f>
        <v>As funções podem incluir: semear; retirar mudas dos canteiros, colocar materiais de sombreamento junto às mudas, colocar redes ou tubos (pequenos tubos de plástico sobre as mudas); fazer cobertura morta (colocar materiais de cobertura morta ao redor das mudas); realizar a poda manual pós-plantio (remover o excesso de vegetação ao redor das mudas); aplicar repelente ou fertilizante nas mudas. Podem incluir: propagação, proteção e manejo de áreas florestais, uso de ferramentas manuais para realizar atividades como preparação de locais para plantio, desbaste, cuidado com árvores-floresta, redução da vegetação concorrente, remoção de arbustos, plantio de mudas e árvores, coleta de produtos florestais e outras atividades relacionadas ao trabalho florestal, conforme SOC/OES 45-4011 (onetonline.org). Horário padrão/esperado: segunda a sexta, das 7h às 15h30. Oferecemos mais de 40 horas semanais, sem incluir o horário de almoço e/ou intervalos. Possibilidade de trabalho nos fins de semana e feriados. Os horários de início e término, a carga horária oferecida e/ou a possibilidade de horas extras podem variar, pois dependem de fatores como necessidades do projeto/cronograma/serviço, condições climáticas e tempo de deslocamento entre os locais de trabalho (se aplicável). Horas extras são possíveis, mas não obrigatórias nem garantidas. A critério exclusivo do empregador: aumentos salariais e/ou bônus podem ser concedidos com base em fatores individuais, como desempenho ou habilidades (não garantidos). Pagamento por produção pode ser aplicado: o trabalhador nunca receberá menos do que o Salário Vigente ou o salário mínimo federal/estadual/municipal. Moradia compartilhada opcional disponível sem custo para o trabalhador. Classificação da vaga: 45-4011.00 - Trabalhadores Florestais e de Conservação. A classificação e a descrição da vaga/setor incluem informações gerais sobre o cargo, de acordo com o ONET/OES e o Sistema de Classificação Industrial da América do Norte. Consulte as Funções e a Ordem de Serviço para obter mais informações. Requisitos da vaga: Experiência exigida: Sim. Meses de experiência exigidos: 3. Requisitos especiais: É necessário ter 18 anos devido a viagens. É necessário apresentar comprovante de autorização legal para trabalhar nos Estados Unidos. Ambiente de trabalho livre de drogas, álcool e tabaco. É necessário caminhar bastante (até 24 km/dia), além de se abaixar e se curvar carregando uma mochila (até 23 kg) em terrenos acidentados (fora de trilhas). Todos os candidatos devem ser capazes, dispostos e qualificados para realizar o trabalho descrito e devem estar disponíveis durante todo o período especificado e trabalhar em todas as áreas da vaga. O trabalho é realizado ao ar livre, exposto às intempéries; o candidato deve ser capaz de realizar trabalho fisicamente extenuante por longos períodos, ocasionalmente em calor ou frio extremos. As condições climáticas são variáveis; a carga horária pode sofrer alterações, com possibilidade de períodos de inatividade e/ou horas extras. Número de horas por semana: 40. Horário de trabalho (início/término): 7h às 15h30.</v>
      </c>
    </row>
    <row r="117" ht="20.25" customHeight="1">
      <c r="A117" s="8" t="s">
        <v>702</v>
      </c>
      <c r="B117" s="8" t="s">
        <v>703</v>
      </c>
      <c r="C117" s="8" t="s">
        <v>169</v>
      </c>
      <c r="D117" s="8" t="s">
        <v>64</v>
      </c>
      <c r="E117" s="9" t="s">
        <v>19</v>
      </c>
      <c r="F117" s="9" t="s">
        <v>20</v>
      </c>
      <c r="G117" s="9" t="s">
        <v>229</v>
      </c>
      <c r="H117" s="8" t="s">
        <v>456</v>
      </c>
      <c r="I117" s="8" t="s">
        <v>457</v>
      </c>
      <c r="J117" s="9">
        <v>19.9</v>
      </c>
      <c r="K117" s="9">
        <v>20.0</v>
      </c>
      <c r="L117" s="8" t="s">
        <v>262</v>
      </c>
      <c r="M117" s="8" t="s">
        <v>458</v>
      </c>
      <c r="N117" s="7" t="str">
        <f>IFERROR(__xludf.DUMMYFUNCTION("GOOGLETRANSLATE(L117, ""en"", ""pt"")"),"Operário da construção civil")</f>
        <v>Operário da construção civil</v>
      </c>
      <c r="O117" s="7" t="str">
        <f>IFERROR(__xludf.DUMMYFUNCTION("IF(M117="""","""",GOOGLETRANSLATE(M117,""en"",""pt""))"),"Executar tarefas que envolvam trabalho físico em canteiros de obras. Pode operar ferramentas manuais e elétricas de todos os tipos: martelos pneumáticos, compactadores de solo, betoneiras, pequenos guindastes mecânicos, equipamentos de topografia e mediçã"&amp;"o, e uma variedade de outros equipamentos e instrumentos. Pode limpar e preparar locais, cavar valas, instalar escoras para sustentar as laterais das escavações, montar andaimes e limpar entulhos, detritos e outros materiais residuais. Pode auxiliar outro"&amp;"s trabalhadores especializados. Classificação da Função: 47-2061.00 - Auxiliares de Construção. A classificação e descrição da função/setor inclui informações gerais sobre o cargo, de acordo com o ONET/OES e o Sistema de Classificação Industrial da Améric"&amp;"a do Norte (NAICS). Consulte as Funções e a Ordem de Serviço para obter mais informações. Requisitos da Função: Experiência Necessária: Sim. Meses de Experiência Necessários: 6. Requisitos Especiais: Requer seis meses de experiência em construção. Deve se"&amp;"r capaz de levantar/carregar 23 kg, quando necessário. Trabalho aos sábados e domingos, quando necessário. O empregador exige que trabalhadores estrangeiros e nacionais se submetam a testes de drogas pagos pelo empregador antes do início do trabalho e, ap"&amp;"ós a contratação, aleatoriamente, em caso de suspeita de uso e após acidentes. A verificação de antecedentes e a verificação de elegibilidade para emprego (e-Verify) são obrigatórias para trabalhadores estrangeiros e nacionais após a contratação. O empreg"&amp;"ador pode oferecer mais horas de trabalho do que as estipuladas, dependendo do clima, das necessidades da empresa e de outras condições. Calor extremo, frio, chuva ou seca podem afetar o horário de trabalho exato. Número de horas por semana: 40. Horário d"&amp;"e trabalho (início/término): 6h às 14h30.")</f>
        <v>Executar tarefas que envolvam trabalho físico em canteiros de obras. Pode operar ferramentas manuais e elétricas de todos os tipos: martelos pneumáticos, compactadores de solo, betoneiras, pequenos guindastes mecânicos, equipamentos de topografia e medição, e uma variedade de outros equipamentos e instrumentos. Pode limpar e preparar locais, cavar valas, instalar escoras para sustentar as laterais das escavações, montar andaimes e limpar entulhos, detritos e outros materiais residuais. Pode auxiliar outros trabalhadores especializados. Classificação da Função: 47-2061.00 - Auxiliares de Construção. A classificação e descrição da função/setor inclui informações gerais sobre o cargo, de acordo com o ONET/OES e o Sistema de Classificação Industrial da América do Norte (NAICS). Consulte as Funções e a Ordem de Serviço para obter mais informações. Requisitos da Função: Experiência Necessária: Sim. Meses de Experiência Necessários: 6. Requisitos Especiais: Requer seis meses de experiência em construção. Deve ser capaz de levantar/carregar 23 kg, quando necessário. Trabalho aos sábados e domingos, quando necessário. O empregador exige que trabalhadores estrangeiros e nacionais se submetam a testes de drogas pagos pelo empregador antes do início do trabalho e, após a contratação, aleatoriamente, em caso de suspeita de uso e após acidentes. A verificação de antecedentes e a verificação de elegibilidade para emprego (e-Verify) são obrigatórias para trabalhadores estrangeiros e nacionais após a contratação. O empregador pode oferecer mais horas de trabalho do que as estipuladas, dependendo do clima, das necessidades da empresa e de outras condições. Calor extremo, frio, chuva ou seca podem afetar o horário de trabalho exato. Número de horas por semana: 40. Horário de trabalho (início/término): 6h às 14h30.</v>
      </c>
    </row>
    <row r="118" ht="20.25" customHeight="1">
      <c r="A118" s="3" t="s">
        <v>704</v>
      </c>
      <c r="B118" s="3" t="s">
        <v>705</v>
      </c>
      <c r="C118" s="3" t="s">
        <v>169</v>
      </c>
      <c r="D118" s="3" t="s">
        <v>64</v>
      </c>
      <c r="E118" s="4" t="s">
        <v>19</v>
      </c>
      <c r="F118" s="4" t="s">
        <v>20</v>
      </c>
      <c r="G118" s="4" t="s">
        <v>229</v>
      </c>
      <c r="H118" s="3" t="s">
        <v>456</v>
      </c>
      <c r="I118" s="3" t="s">
        <v>457</v>
      </c>
      <c r="J118" s="4">
        <v>19.44</v>
      </c>
      <c r="K118" s="4">
        <v>7.0</v>
      </c>
      <c r="L118" s="3" t="s">
        <v>262</v>
      </c>
      <c r="M118" s="3" t="s">
        <v>458</v>
      </c>
      <c r="N118" s="7" t="str">
        <f>IFERROR(__xludf.DUMMYFUNCTION("GOOGLETRANSLATE(L118, ""en"", ""pt"")"),"Operário da construção civil")</f>
        <v>Operário da construção civil</v>
      </c>
      <c r="O118" s="7" t="str">
        <f>IFERROR(__xludf.DUMMYFUNCTION("IF(M118="""","""",GOOGLETRANSLATE(M118,""en"",""pt""))"),"Executar tarefas que envolvam trabalho físico em canteiros de obras. Pode operar ferramentas manuais e elétricas de todos os tipos: martelos pneumáticos, compactadores de solo, betoneiras, pequenos guindastes mecânicos, equipamentos de topografia e mediçã"&amp;"o, e uma variedade de outros equipamentos e instrumentos. Pode limpar e preparar locais, cavar valas, instalar escoras para sustentar as laterais das escavações, montar andaimes e limpar entulhos, detritos e outros materiais residuais. Pode auxiliar outro"&amp;"s trabalhadores especializados. Classificação da Função: 47-2061.00 - Auxiliares de Construção. A classificação e descrição da função/setor inclui informações gerais sobre o cargo, de acordo com o ONET/OES e o Sistema de Classificação Industrial da Améric"&amp;"a do Norte (NAICS). Consulte as Funções e a Ordem de Serviço para obter mais informações. Requisitos da Função: Experiência Necessária: Sim. Meses de Experiência Necessários: 6. Requisitos Especiais: Requer seis meses de experiência em construção. Deve se"&amp;"r capaz de levantar/carregar 23 kg, quando necessário. Trabalho aos sábados e domingos, quando necessário. O empregador exige que trabalhadores estrangeiros e nacionais se submetam a testes de drogas pagos pelo empregador antes do início do trabalho e, ap"&amp;"ós a contratação, aleatoriamente, em caso de suspeita de uso e após acidentes. A verificação de antecedentes e a verificação de elegibilidade para emprego (e-Verify) são obrigatórias para trabalhadores estrangeiros e nacionais após a contratação. O empreg"&amp;"ador pode oferecer mais horas de trabalho do que as estipuladas, dependendo do clima, das necessidades da empresa e de outras condições. Calor extremo, frio, chuva ou seca podem afetar o horário de trabalho exato. Número de horas por semana: 40. Horário d"&amp;"e trabalho (início/término): 6h às 14h30.")</f>
        <v>Executar tarefas que envolvam trabalho físico em canteiros de obras. Pode operar ferramentas manuais e elétricas de todos os tipos: martelos pneumáticos, compactadores de solo, betoneiras, pequenos guindastes mecânicos, equipamentos de topografia e medição, e uma variedade de outros equipamentos e instrumentos. Pode limpar e preparar locais, cavar valas, instalar escoras para sustentar as laterais das escavações, montar andaimes e limpar entulhos, detritos e outros materiais residuais. Pode auxiliar outros trabalhadores especializados. Classificação da Função: 47-2061.00 - Auxiliares de Construção. A classificação e descrição da função/setor inclui informações gerais sobre o cargo, de acordo com o ONET/OES e o Sistema de Classificação Industrial da América do Norte (NAICS). Consulte as Funções e a Ordem de Serviço para obter mais informações. Requisitos da Função: Experiência Necessária: Sim. Meses de Experiência Necessários: 6. Requisitos Especiais: Requer seis meses de experiência em construção. Deve ser capaz de levantar/carregar 23 kg, quando necessário. Trabalho aos sábados e domingos, quando necessário. O empregador exige que trabalhadores estrangeiros e nacionais se submetam a testes de drogas pagos pelo empregador antes do início do trabalho e, após a contratação, aleatoriamente, em caso de suspeita de uso e após acidentes. A verificação de antecedentes e a verificação de elegibilidade para emprego (e-Verify) são obrigatórias para trabalhadores estrangeiros e nacionais após a contratação. O empregador pode oferecer mais horas de trabalho do que as estipuladas, dependendo do clima, das necessidades da empresa e de outras condições. Calor extremo, frio, chuva ou seca podem afetar o horário de trabalho exato. Número de horas por semana: 40. Horário de trabalho (início/término): 6h às 14h30.</v>
      </c>
    </row>
    <row r="119" ht="20.25" customHeight="1">
      <c r="A119" s="8" t="s">
        <v>706</v>
      </c>
      <c r="B119" s="8" t="s">
        <v>707</v>
      </c>
      <c r="C119" s="8" t="s">
        <v>708</v>
      </c>
      <c r="D119" s="8" t="s">
        <v>71</v>
      </c>
      <c r="E119" s="9" t="s">
        <v>19</v>
      </c>
      <c r="F119" s="9" t="s">
        <v>20</v>
      </c>
      <c r="G119" s="9" t="s">
        <v>384</v>
      </c>
      <c r="H119" s="8" t="s">
        <v>709</v>
      </c>
      <c r="I119" s="8" t="s">
        <v>710</v>
      </c>
      <c r="J119" s="9">
        <v>19.88</v>
      </c>
      <c r="K119" s="9">
        <v>12.0</v>
      </c>
      <c r="L119" s="8" t="s">
        <v>586</v>
      </c>
      <c r="M119" s="8" t="s">
        <v>711</v>
      </c>
      <c r="N119" s="7" t="str">
        <f>IFERROR(__xludf.DUMMYFUNCTION("GOOGLETRANSLATE(L119, ""en"", ""pt"")"),"Cozinheiro de linha")</f>
        <v>Cozinheiro de linha</v>
      </c>
      <c r="O119" s="7" t="str">
        <f>IFERROR(__xludf.DUMMYFUNCTION("IF(M119="""","""",GOOGLETRANSLATE(M119,""en"",""pt""))"),"Prepara, tempera e cozinha sopas, carnes, legumes, sobremesas e outros itens alimentícios diversos para consumo. Prepara os alimentos de acordo com as receitas e padrões do clube. Opera os equipamentos de cozinha. Notifica os supervisores sobre eventuais "&amp;"faltas inesperadas. Utiliza consistentemente práticas seguras e higiênicas de manipulação de alimentos. Garante que as estações de trabalho e os equipamentos estejam limpos e higienizados. Assegura que os pedidos sejam preparados com a prioridade correta."&amp;" Agiliza o preparo dos alimentos, garantindo que a temperatura esteja dentro dos padrões de segurança alimentar e decorando os pratos de acordo com os padrões do clube e das receitas. Monta os pratos em bandejas e auxilia na entrega dos itens solicitados."&amp;" Obtém e mantém conhecimento de todos os cardápios, incluindo os de comida para viagem. Pode ser necessário realizar tarefas em ambientes externos e em eventos de banquetes. Auxilia nas tarefas de limpeza, incluindo a limpeza da cozinha e a lavagem de pra"&amp;"tos, panelas e outros itens, conforme necessário, para que a cozinha funcione de forma eficiente e sem problemas. Organiza os alimentos e itens da despensa, desmonta caixas e descarta os itens conforme necessário. Mantém comunicação com a equipe de garçon"&amp;"s. Zela pela segurança na área de trabalho. Auxilia na montagem e desmontagem das estações de preparo, mesas de buffet e decorações temáticas. Classificação da Função: 35-2014.00 - Cozinheiros(as), Restaurante. A classificação e descrição da função/setor "&amp;"inclui informações gerais sobre o cargo, de acordo com o ONET/OES e o Sistema de Classificação Industrial da América do Norte (NAICS). Consulte as Funções e a Ordem de Serviço para obter mais informações. Requisitos da Função: Experiência Necessária: Sim."&amp;" Meses de Experiência Necessários: 6. Requisitos Especiais: 6 meses de experiência como cozinheiro(a) de linha ou cozinheiro(a) em um ambiente de alta gastronomia ou de grande movimento, em um restaurante de alto padrão, hotel, resort ou clube privado. Nú"&amp;"mero de Horas por Semana: 35. Horário de Trabalho (Início/Término): 10h às 17h.")</f>
        <v>Prepara, tempera e cozinha sopas, carnes, legumes, sobremesas e outros itens alimentícios diversos para consumo. Prepara os alimentos de acordo com as receitas e padrões do clube. Opera os equipamentos de cozinha. Notifica os supervisores sobre eventuais faltas inesperadas. Utiliza consistentemente práticas seguras e higiênicas de manipulação de alimentos. Garante que as estações de trabalho e os equipamentos estejam limpos e higienizados. Assegura que os pedidos sejam preparados com a prioridade correta. Agiliza o preparo dos alimentos, garantindo que a temperatura esteja dentro dos padrões de segurança alimentar e decorando os pratos de acordo com os padrões do clube e das receitas. Monta os pratos em bandejas e auxilia na entrega dos itens solicitados. Obtém e mantém conhecimento de todos os cardápios, incluindo os de comida para viagem. Pode ser necessário realizar tarefas em ambientes externos e em eventos de banquetes. Auxilia nas tarefas de limpeza, incluindo a limpeza da cozinha e a lavagem de pratos, panelas e outros itens, conforme necessário, para que a cozinha funcione de forma eficiente e sem problemas. Organiza os alimentos e itens da despensa, desmonta caixas e descarta os itens conforme necessário. Mantém comunicação com a equipe de garçons. Zela pela segurança na área de trabalho. Auxilia na montagem e desmontagem das estações de preparo, mesas de buffet e decorações temáticas. Classificação da Função: 35-2014.00 - Cozinheiros(as), Restaurante. A classificação e descrição da função/setor inclui informações gerais sobre o cargo, de acordo com o ONET/OES e o Sistema de Classificação Industrial da América do Norte (NAICS). Consulte as Funções e a Ordem de Serviço para obter mais informações. Requisitos da Função: Experiência Necessária: Sim. Meses de Experiência Necessários: 6. Requisitos Especiais: 6 meses de experiência como cozinheiro(a) de linha ou cozinheiro(a) em um ambiente de alta gastronomia ou de grande movimento, em um restaurante de alto padrão, hotel, resort ou clube privado. Número de Horas por Semana: 35. Horário de Trabalho (Início/Término): 10h às 17h.</v>
      </c>
    </row>
    <row r="120" ht="20.25" customHeight="1">
      <c r="A120" s="3" t="s">
        <v>712</v>
      </c>
      <c r="B120" s="3" t="s">
        <v>713</v>
      </c>
      <c r="C120" s="3" t="s">
        <v>54</v>
      </c>
      <c r="D120" s="3" t="s">
        <v>79</v>
      </c>
      <c r="E120" s="4" t="s">
        <v>19</v>
      </c>
      <c r="F120" s="4" t="s">
        <v>20</v>
      </c>
      <c r="G120" s="4" t="s">
        <v>714</v>
      </c>
      <c r="H120" s="3" t="s">
        <v>715</v>
      </c>
      <c r="I120" s="3" t="s">
        <v>716</v>
      </c>
      <c r="J120" s="4">
        <v>17.68</v>
      </c>
      <c r="K120" s="4">
        <v>40.0</v>
      </c>
      <c r="L120" s="3" t="s">
        <v>83</v>
      </c>
      <c r="M120" s="3" t="s">
        <v>717</v>
      </c>
      <c r="N120" s="7" t="str">
        <f>IFERROR(__xludf.DUMMYFUNCTION("GOOGLETRANSLATE(L120, ""en"", ""pt"")"),"Trabalhador Florestal")</f>
        <v>Trabalhador Florestal</v>
      </c>
      <c r="O120" s="7" t="str">
        <f>IFERROR(__xludf.DUMMYFUNCTION("IF(M120="""","""",GOOGLETRANSLATE(M120,""en"",""pt""))"),"As funções podem incluir: cultivo e transporte de mudas; triagem de mudas de árvores, descartando mudas abaixo do padrão, de acordo com tabelas padrão ou instruções verbais. Plantio: mudas/árvores. Pulverização ou injeção de inseticidas na vegetação para "&amp;"matar insetos ou proteger contra doenças, ou com herbicidas para reduzir a competição com outras plantas; promoção do crescimento. Poda de árvores ou outras vegetações; corte de árvores ou toras; desbaste, poda, empilhamento de resíduos. Sob a direção/sup"&amp;"ervisão de técnicos florestais: auxiliar na limpeza/descarte de vegetação rasteira, empilhamento e abertura de aceiros/construção de barreiras contra incêndio. Possibilidade de dirigir ocasionalmente e outras atividades relacionadas a Trabalhador Floresta"&amp;"l, conforme SOC/OES 45-4011 (onetonline.org). Horário padrão/esperado: segunda a sexta, das 6h às 14h30. Oferecemos mais de 40 horas semanais, sem incluir almoço e/ou intervalos. Possibilidade de trabalho em fins de semana/feriados. Os horários de início "&amp;"e término, a carga horária oferecida e/ou a possibilidade de horas extras podem variar, pois dependem de fatores como necessidades do projeto/cronograma/serviço, condições climáticas e tempo de deslocamento entre os locais de trabalho (se aplicável). Hora"&amp;"s extras são possíveis, mas não obrigatórias nem garantidas. A critério exclusivo do empregador: aumentos salariais e/ou bônus podem ser concedidos com base em fatores individuais, como desempenho ou habilidades (não garantidos). Moradia compartilhada opc"&amp;"ional disponível sem custo para o trabalhador. Classificação da vaga: 45-4011.00 - Trabalhadores Florestais e de Conservação. A classificação e a descrição da vaga/setor incluem informações gerais sobre o cargo, de acordo com o ONET/OES e o Sistema de Cla"&amp;"ssificação Industrial da América do Norte. Consulte as Funções e a Ordem de Serviço para obter mais informações. Requisitos da vaga: Experiência exigida: Sim. Meses de experiência exigidos: 3. Requisitos especiais: *** É NECESSÁRIO TER 3 MESES DE EXPERIÊN"&amp;"CIA COM ROÇADEIRA/MOTOSSERRA. *** É necessário ter 18 anos ou mais devido a viagens. É necessário apresentar comprovante de autorização legal para trabalhar nos Estados Unidos. Ambiente de trabalho livre de drogas, álcool e tabaco. É necessário caminhar b"&amp;"astante (até 24 km/dia), além de se abaixar e se curvar carregando uma mochila (até 23 kg) em terrenos acidentados (fora de trilhas). Todos os candidatos devem ser capazes, dispostos e qualificados para realizar o trabalho descrito e devem estar disponíve"&amp;"is durante todo o período especificado e trabalhar em todas as áreas do emprego pretendido. A critério/custo do empregador: o trabalhador poderá ser submetido a testes aleatórios de drogas/álcool durante o emprego: teste positivo/recusa em cumprir o teste"&amp;" = demissão. Possível verificação de antecedentes após a contratação, às custas do empregador. O trabalho é realizado ao ar livre, exposto às intempéries; o trabalhador deve ser capaz de realizar trabalho fisicamente extenuante por longas horas, ocasional"&amp;"mente em calor ou frio extremos. Condições climáticas variáveis ​​se aplicam; a carga horária pode sofrer alterações (+/-), com possibilidade de tempo ocioso e/ou horas extras. Condenações por crimes relacionados a fraude, roubo ou violência não são permi"&amp;"tidas para esta posição. Número de horas por semana: 40. Horário de trabalho (início/término): 6h. - 14h30")</f>
        <v>As funções podem incluir: cultivo e transporte de mudas; triagem de mudas de árvores, descartando mudas abaixo do padrão, de acordo com tabelas padrão ou instruções verbais. Plantio: mudas/árvores. Pulverização ou injeção de inseticidas na vegetação para matar insetos ou proteger contra doenças, ou com herbicidas para reduzir a competição com outras plantas; promoção do crescimento. Poda de árvores ou outras vegetações; corte de árvores ou toras; desbaste, poda, empilhamento de resíduos. Sob a direção/supervisão de técnicos florestais: auxiliar na limpeza/descarte de vegetação rasteira, empilhamento e abertura de aceiros/construção de barreiras contra incêndio. Possibilidade de dirigir ocasionalmente e outras atividades relacionadas a Trabalhador Florestal, conforme SOC/OES 45-4011 (onetonline.org). Horário padrão/esperado: segunda a sexta, das 6h às 14h30. Oferecemos mais de 40 horas semanais, sem incluir almoço e/ou intervalos. Possibilidade de trabalho em fins de semana/feriados. Os horários de início e término, a carga horária oferecida e/ou a possibilidade de horas extras podem variar, pois dependem de fatores como necessidades do projeto/cronograma/serviço, condições climáticas e tempo de deslocamento entre os locais de trabalho (se aplicável). Horas extras são possíveis, mas não obrigatórias nem garantidas. A critério exclusivo do empregador: aumentos salariais e/ou bônus podem ser concedidos com base em fatores individuais, como desempenho ou habilidades (não garantidos). Moradia compartilhada opcional disponível sem custo para o trabalhador. Classificação da vaga: 45-4011.00 - Trabalhadores Florestais e de Conservação. A classificação e a descrição da vaga/setor incluem informações gerais sobre o cargo, de acordo com o ONET/OES e o Sistema de Classificação Industrial da América do Norte. Consulte as Funções e a Ordem de Serviço para obter mais informações. Requisitos da vaga: Experiência exigida: Sim. Meses de experiência exigidos: 3. Requisitos especiais: *** É NECESSÁRIO TER 3 MESES DE EXPERIÊNCIA COM ROÇADEIRA/MOTOSSERRA. *** É necessário ter 18 anos ou mais devido a viagens. É necessário apresentar comprovante de autorização legal para trabalhar nos Estados Unidos. Ambiente de trabalho livre de drogas, álcool e tabaco. É necessário caminhar bastante (até 24 km/dia), além de se abaixar e se curvar carregando uma mochila (até 23 kg) em terrenos acidentados (fora de trilhas). Todos os candidatos devem ser capazes, dispostos e qualificados para realizar o trabalho descrito e devem estar disponíveis durante todo o período especificado e trabalhar em todas as áreas do emprego pretendido. A critério/custo do empregador: o trabalhador poderá ser submetido a testes aleatórios de drogas/álcool durante o emprego: teste positivo/recusa em cumprir o teste = demissão. Possível verificação de antecedentes após a contratação, às custas do empregador. O trabalho é realizado ao ar livre, exposto às intempéries; o trabalhador deve ser capaz de realizar trabalho fisicamente extenuante por longas horas, ocasionalmente em calor ou frio extremos. Condições climáticas variáveis ​​se aplicam; a carga horária pode sofrer alterações (+/-), com possibilidade de tempo ocioso e/ou horas extras. Condenações por crimes relacionados a fraude, roubo ou violência não são permitidas para esta posição. Número de horas por semana: 40. Horário de trabalho (início/término): 6h. - 14h30</v>
      </c>
    </row>
    <row r="121" ht="20.25" customHeight="1">
      <c r="A121" s="8" t="s">
        <v>718</v>
      </c>
      <c r="B121" s="8" t="s">
        <v>719</v>
      </c>
      <c r="C121" s="8" t="s">
        <v>54</v>
      </c>
      <c r="D121" s="8" t="s">
        <v>79</v>
      </c>
      <c r="E121" s="9" t="s">
        <v>19</v>
      </c>
      <c r="F121" s="9" t="s">
        <v>20</v>
      </c>
      <c r="G121" s="9" t="s">
        <v>56</v>
      </c>
      <c r="H121" s="8" t="s">
        <v>720</v>
      </c>
      <c r="I121" s="8" t="s">
        <v>721</v>
      </c>
      <c r="J121" s="9">
        <v>14.77</v>
      </c>
      <c r="K121" s="9">
        <v>89.0</v>
      </c>
      <c r="L121" s="8" t="s">
        <v>83</v>
      </c>
      <c r="M121" s="8" t="s">
        <v>722</v>
      </c>
      <c r="N121" s="7" t="str">
        <f>IFERROR(__xludf.DUMMYFUNCTION("GOOGLETRANSLATE(L121, ""en"", ""pt"")"),"Trabalhador Florestal")</f>
        <v>Trabalhador Florestal</v>
      </c>
      <c r="O121" s="7" t="str">
        <f>IFERROR(__xludf.DUMMYFUNCTION("IF(M121="""","""",GOOGLETRANSLATE(M121,""en"",""pt""))"),"As funções podem incluir: Cultivo e transporte de mudas; triagem de mudas de árvores, descartando mudas abaixo do padrão, de acordo com tabelas padrão ou instruções verbais. Plantio: mudas/árvores. Pulverização ou injeção de inseticidas na vegetação para "&amp;"matar insetos ou proteger contra doenças, ou com herbicidas para reduzir a competição com outras plantas; promoção do crescimento. Poda de árvores ou outras vegetações; corte de árvores ou toras. SOB A DIREÇÃO DE OFICIAIS DE COMBATE A INCÊNDIOS FLORESTAIS"&amp;" OU TÉCNICOS FLORESTAIS: auxiliar na limpeza/descarte de vegetação rasteira, empilhamento e abertura de aceiros/construção de barreiras contra incêndio. Condução ocasional de veículos e outras atividades relacionadas a Trabalhador Florestal, conforme SOC/"&amp;"OES 45-4011 (onetonline.org). Horário padrão/esperado: Segunda a sexta, das 6h às 14h30. Oferecendo mais de 40 horas semanais, sem incluir almoço e/ou intervalos. Possibilidade de trabalho em fins de semana/feriados. Os horários de início e término, a car"&amp;"ga horária oferecida e/ou a possibilidade de horas extras podem variar, pois dependem de fatores como necessidades do projeto/cronograma/serviço, condições climáticas e tempo de deslocamento entre os locais de trabalho (se aplicável). Horas extras são pos"&amp;"síveis, mas não obrigatórias nem garantidas. A critério exclusivo do empregador: aumentos salariais e/ou bônus podem ser concedidos com base em fatores individuais, como desempenho ou habilidades (não garantidos). Moradia compartilhada opcional disponível"&amp;" sem custo para o trabalhador. Classificação da vaga: 45-4011.00 - Trabalhadores Florestais e de Conservação. A classificação e a descrição da vaga/setor incluem informações gerais sobre o cargo, de acordo com o ONET/OES e o Sistema de Classificação Indus"&amp;"trial da América do Norte. Consulte as Funções e a Ordem de Serviço para obter mais informações. Requisitos da vaga: Experiência necessária: Sim. Meses de experiência necessários: 3. Requisitos especiais: ***É NECESSÁRIO TER 3 MESES DE EXPERIÊNCIA COM ROÇ"&amp;"ADEIRA/MOTOSSERRA.*** A Cutting Edge Forestry Inc. é uma Empregadora de Oportunidades Iguais (EOE, incluindo pessoas com deficiência e veteranos). Condenações por crimes graves relacionados a fraude, roubo ou violência não são permitidas para esta vaga. S"&amp;"omos uma empresa contratada pelo governo federal (EOE, incluindo pessoas com deficiência e veteranos); todos os candidatos/funcionários devem seguir todas as leis, regulamentos, requisitos e normas temporárias de emergência vigentes (incluindo OSHA). Bota"&amp;"s de segurança são obrigatórias e serão fornecidas pelo empregador mediante reembolso: cada funcionário tem direito a um (1) par de botas de segurança por ano civil. O funcionário pode comprar botas de sua escolha e a Cutting Edge reembolsará até US$ 350,"&amp;"00 anualmente (a partir da data da compra) mediante apresentação de um recibo comprobável. É necessário ter 18 anos devido a viagens. É necessário comprovar autorização legal para trabalhar nos Estados Unidos. Ambiente de trabalho livre de drogas, álcool "&amp;"e tabaco. É necessário caminhar bastante (até 24 km/dia), além de se abaixar e se curvar carregando uma mochila (até 23 kg) em terrenos acidentados (fora de trilhas). Todos os candidatos devem ser capazes, estar dispostos e qualificados para executar o tr"&amp;"abalho descrito e devem estar disponíveis durante todo o período especificado e trabalhar em todas as áreas do emprego pretendido. A critério do empregador/custo: O trabalhador poderá ser submetido a testes aleatórios de drogas/álcool durante o emprego: t"&amp;"este positivo/recusa em cumprir o teste = demissão. Possível verificação de antecedentes após a contratação, às custas do empregador. O trabalho é realizado ao ar livre, exposto às intempéries; o candidato deve ser capaz de realizar trabalho fisicamente e"&amp;"xtenuante por longas horas, ocasionalmente em calor ou frio extremos. As condições climáticas são variáveis; a carga horária pode sofrer alterações (+/-), podendo haver períodos de inatividade e/ou horas extras. Número de horas por semana: 40. Horário de "&amp;"trabalho (início/término): 6h00 - 14h30.")</f>
        <v>As funções podem incluir: Cultivo e transporte de mudas; triagem de mudas de árvores, descartando mudas abaixo do padrão, de acordo com tabelas padrão ou instruções verbais. Plantio: mudas/árvores. Pulverização ou injeção de inseticidas na vegetação para matar insetos ou proteger contra doenças, ou com herbicidas para reduzir a competição com outras plantas; promoção do crescimento. Poda de árvores ou outras vegetações; corte de árvores ou toras. SOB A DIREÇÃO DE OFICIAIS DE COMBATE A INCÊNDIOS FLORESTAIS OU TÉCNICOS FLORESTAIS: auxiliar na limpeza/descarte de vegetação rasteira, empilhamento e abertura de aceiros/construção de barreiras contra incêndio. Condução ocasional de veículos e outras atividades relacionadas a Trabalhador Florestal, conforme SOC/OES 45-4011 (onetonline.org). Horário padrão/esperado: Segunda a sexta, das 6h às 14h30. Oferecendo mais de 40 horas semanais, sem incluir almoço e/ou intervalos. Possibilidade de trabalho em fins de semana/feriados. Os horários de início e término, a carga horária oferecida e/ou a possibilidade de horas extras podem variar, pois dependem de fatores como necessidades do projeto/cronograma/serviço, condições climáticas e tempo de deslocamento entre os locais de trabalho (se aplicável). Horas extras são possíveis, mas não obrigatórias nem garantidas. A critério exclusivo do empregador: aumentos salariais e/ou bônus podem ser concedidos com base em fatores individuais, como desempenho ou habilidades (não garantidos). Moradia compartilhada opcional disponível sem custo para o trabalhador. Classificação da vaga: 45-4011.00 - Trabalhadores Florestais e de Conservação. A classificação e a descrição da vaga/setor incluem informações gerais sobre o cargo, de acordo com o ONET/OES e o Sistema de Classificação Industrial da América do Norte. Consulte as Funções e a Ordem de Serviço para obter mais informações. Requisitos da vaga: Experiência necessária: Sim. Meses de experiência necessários: 3. Requisitos especiais: ***É NECESSÁRIO TER 3 MESES DE EXPERIÊNCIA COM ROÇADEIRA/MOTOSSERRA.*** A Cutting Edge Forestry Inc. é uma Empregadora de Oportunidades Iguais (EOE, incluindo pessoas com deficiência e veteranos). Condenações por crimes graves relacionados a fraude, roubo ou violência não são permitidas para esta vaga. Somos uma empresa contratada pelo governo federal (EOE, incluindo pessoas com deficiência e veteranos); todos os candidatos/funcionários devem seguir todas as leis, regulamentos, requisitos e normas temporárias de emergência vigentes (incluindo OSHA). Botas de segurança são obrigatórias e serão fornecidas pelo empregador mediante reembolso: cada funcionário tem direito a um (1) par de botas de segurança por ano civil. O funcionário pode comprar botas de sua escolha e a Cutting Edge reembolsará até US$ 350,00 anualmente (a partir da data da compra) mediante apresentação de um recibo comprobável. É necessário ter 18 anos devido a viagens. É necessário comprovar autorização legal para trabalhar nos Estados Unidos. Ambiente de trabalho livre de drogas, álcool e tabaco. É necessário caminhar bastante (até 24 km/dia), além de se abaixar e se curvar carregando uma mochila (até 23 kg) em terrenos acidentados (fora de trilhas). Todos os candidatos devem ser capazes, estar dispostos e qualificados para executar o trabalho descrito e devem estar disponíveis durante todo o período especificado e trabalhar em todas as áreas do emprego pretendido. A critério do empregador/custo: O trabalhador poderá ser submetido a testes aleatórios de drogas/álcool durante o emprego: teste positivo/recusa em cumprir o teste = demissão. Possível verificação de antecedentes após a contratação, às custas do empregador. O trabalho é realizado ao ar livre, exposto às intempéries; o candidato deve ser capaz de realizar trabalho fisicamente extenuante por longas horas, ocasionalmente em calor ou frio extremos. As condições climáticas são variáveis; a carga horária pode sofrer alterações (+/-), podendo haver períodos de inatividade e/ou horas extras. Número de horas por semana: 40. Horário de trabalho (início/término): 6h00 - 14h30.</v>
      </c>
    </row>
    <row r="122" ht="20.25" customHeight="1">
      <c r="A122" s="3" t="s">
        <v>723</v>
      </c>
      <c r="B122" s="3" t="s">
        <v>724</v>
      </c>
      <c r="C122" s="3" t="s">
        <v>93</v>
      </c>
      <c r="D122" s="3" t="s">
        <v>64</v>
      </c>
      <c r="E122" s="4" t="s">
        <v>19</v>
      </c>
      <c r="F122" s="4" t="s">
        <v>20</v>
      </c>
      <c r="G122" s="4" t="s">
        <v>80</v>
      </c>
      <c r="H122" s="3" t="s">
        <v>725</v>
      </c>
      <c r="I122" s="3"/>
      <c r="J122" s="4">
        <v>18.99</v>
      </c>
      <c r="K122" s="4">
        <v>32.0</v>
      </c>
      <c r="L122" s="3" t="s">
        <v>726</v>
      </c>
      <c r="M122" s="3" t="s">
        <v>727</v>
      </c>
      <c r="N122" s="7" t="str">
        <f>IFERROR(__xludf.DUMMYFUNCTION("GOOGLETRANSLATE(L122, ""en"", ""pt"")"),"Trabalhador Florestal")</f>
        <v>Trabalhador Florestal</v>
      </c>
      <c r="O122" s="7" t="str">
        <f>IFERROR(__xludf.DUMMYFUNCTION("IF(M122="""","""",GOOGLETRANSLATE(M122,""en"",""pt""))"),"Trabalho itinerante de reflorestamento em diversos tipos de terreno. Sob supervisão: Limpar e preparar florestas, áreas florestadas, bosques, pântanos e pastagens para plantio; usar trator de esteiras/trator de esteiras em conjunto com plantadeira para pl"&amp;"antar manualmente e mecanicamente pinheiros-de-folha-longa, pinheiros-de-loblolly ou mudas conforme solicitado. Uma pessoa sentada na plantadeira deve posicionar as árvores (com aproximadamente 30 cm de comprimento) no equipamento no momento apropriado. L"&amp;"impar e manter o equipamento. Após a temporada de plantio: Preparar os canteiros para a próxima temporada de plantio e as aceiros para queimadas controladas. Caminhar ao longo das fileiras de mudas, agachar-se e separar os grupos de mudas do solo solto. J"&amp;"untar os grupos de mudas para soltar a terra e as raízes, e colocar as mudas em bandejas de plantio. Compactar o solo ao redor da planta com o pé e a ferramenta de plantio. Usar motosserra, roçadeira, serras de desbaste motorizadas ou outros equipamentos "&amp;"manuais para preparar o local, desbastando, espaçando e removendo o excesso de árvores e outras vegetações. Selecionar e cortar árvores doentes, fracas ou indesejáveis, de acordo com as marcas, tamanho, espécie e qualidade, usando serra manual ou motoriza"&amp;"da. Pulverizar ou injetar herbicidas em árvores, arbustos e ervas daninhas para combater insetos, pragas e doenças prejudiciais, utilizando pulverizadores manuais ou motorizados ou injetores para árvores. Utilizar um pulverizador costal ou outras ferramen"&amp;"tas manuais para pulverizar ou injetar herbicidas na vegetação, a fim de eliminar insetos, proteger contra doenças e reduzir a competição com outras plantas. Podar os galhos de árvores jovens para evitar o crescimento de nós, utilizando serra manual, serr"&amp;"a elétrica e ferramentas de poda ou outros equipamentos manuais. Classificação da Função: 45-4011.00 - Trabalhadores Florestais e de Conservação. A classificação e descrição da função/setor incluem informações gerais sobre o cargo, de acordo com o ONET/OE"&amp;"S e o Sistema de Classificação Industrial da América do Norte. Consulte as Funções e a Ordem de Serviço para obter mais informações. Requisitos da Função: Experiência Necessária: Sim. Meses de Experiência Necessários: 3. Requisitos Especiais: Requer três "&amp;"meses de experiência em silvicultura, incluindo a operação de trator de esteiras e plantadeira. Deve ser capaz de levantar/carregar 23 kg, quando necessário. Caminhadas frequentes (aproximadamente 24 km por dia) carregando mochila em terrenos acidentados."&amp;" Movimentos repetitivos de agachamento/curvatura. Trabalho aos sábados e domingos, quando necessário. Testes aleatórios de drogas após a contratação são obrigatórios para trabalhadores estrangeiros e nacionais. Verificação de elegibilidade de emprego (e-V"&amp;"erify) após a contratação é obrigatória para trabalhadores estrangeiros e nacionais. Pode ser solicitado que o trabalhador dirija veículos da empresa, caso possua carteira de habilitação válida/autorização FLCE. (Dirigir não é um requisito para todos os t"&amp;"rabalhadores nesta posição.) O empregador pode oferecer mais horas de trabalho do que as estipuladas, dependendo do clima, das necessidades da empresa e de outras condições. Calor extremo, frio, chuva ou seca podem afetar o horário de trabalho exato. Núme"&amp;"ro de horas por semana: 40. Horário de trabalho (início/término): 7h00 - 15h30.")</f>
        <v>Trabalho itinerante de reflorestamento em diversos tipos de terreno. Sob supervisão: Limpar e preparar florestas, áreas florestadas, bosques, pântanos e pastagens para plantio; usar trator de esteiras/trator de esteiras em conjunto com plantadeira para plantar manualmente e mecanicamente pinheiros-de-folha-longa, pinheiros-de-loblolly ou mudas conforme solicitado. Uma pessoa sentada na plantadeira deve posicionar as árvores (com aproximadamente 30 cm de comprimento) no equipamento no momento apropriado. Limpar e manter o equipamento. Após a temporada de plantio: Preparar os canteiros para a próxima temporada de plantio e as aceiros para queimadas controladas. Caminhar ao longo das fileiras de mudas, agachar-se e separar os grupos de mudas do solo solto. Juntar os grupos de mudas para soltar a terra e as raízes, e colocar as mudas em bandejas de plantio. Compactar o solo ao redor da planta com o pé e a ferramenta de plantio. Usar motosserra, roçadeira, serras de desbaste motorizadas ou outros equipamentos manuais para preparar o local, desbastando, espaçando e removendo o excesso de árvores e outras vegetações. Selecionar e cortar árvores doentes, fracas ou indesejáveis, de acordo com as marcas, tamanho, espécie e qualidade, usando serra manual ou motorizada. Pulverizar ou injetar herbicidas em árvores, arbustos e ervas daninhas para combater insetos, pragas e doenças prejudiciais, utilizando pulverizadores manuais ou motorizados ou injetores para árvores. Utilizar um pulverizador costal ou outras ferramentas manuais para pulverizar ou injetar herbicidas na vegetação, a fim de eliminar insetos, proteger contra doenças e reduzir a competição com outras plantas. Podar os galhos de árvores jovens para evitar o crescimento de nós, utilizando serra manual, serra elétrica e ferramentas de poda ou outros equipamentos manuais. Classificação da Função: 45-4011.00 - Trabalhadores Florestais e de Conservação. A classificação e descrição da função/setor incluem informações gerais sobre o cargo, de acordo com o ONET/OES e o Sistema de Classificação Industrial da América do Norte. Consulte as Funções e a Ordem de Serviço para obter mais informações. Requisitos da Função: Experiência Necessária: Sim. Meses de Experiência Necessários: 3. Requisitos Especiais: Requer três meses de experiência em silvicultura, incluindo a operação de trator de esteiras e plantadeira. Deve ser capaz de levantar/carregar 23 kg, quando necessário. Caminhadas frequentes (aproximadamente 24 km por dia) carregando mochila em terrenos acidentados. Movimentos repetitivos de agachamento/curvatura. Trabalho aos sábados e domingos, quando necessário. Testes aleatórios de drogas após a contratação são obrigatórios para trabalhadores estrangeiros e nacionais. Verificação de elegibilidade de emprego (e-Verify) após a contratação é obrigatória para trabalhadores estrangeiros e nacionais. Pode ser solicitado que o trabalhador dirija veículos da empresa, caso possua carteira de habilitação válida/autorização FLCE. (Dirigir não é um requisito para todos os trabalhadores nesta posição.) O empregador pode oferecer mais horas de trabalho do que as estipuladas, dependendo do clima, das necessidades da empresa e de outras condições. Calor extremo, frio, chuva ou seca podem afetar o horário de trabalho exato. Número de horas por semana: 40. Horário de trabalho (início/término): 7h00 - 15h30.</v>
      </c>
    </row>
    <row r="123" ht="20.25" customHeight="1">
      <c r="A123" s="8" t="s">
        <v>728</v>
      </c>
      <c r="B123" s="8" t="s">
        <v>729</v>
      </c>
      <c r="C123" s="8" t="s">
        <v>93</v>
      </c>
      <c r="D123" s="8" t="s">
        <v>71</v>
      </c>
      <c r="E123" s="9" t="s">
        <v>19</v>
      </c>
      <c r="F123" s="9" t="s">
        <v>20</v>
      </c>
      <c r="G123" s="9" t="s">
        <v>146</v>
      </c>
      <c r="H123" s="8" t="s">
        <v>730</v>
      </c>
      <c r="I123" s="8" t="s">
        <v>731</v>
      </c>
      <c r="J123" s="9">
        <v>22.73</v>
      </c>
      <c r="K123" s="9">
        <v>6.0</v>
      </c>
      <c r="L123" s="8" t="s">
        <v>732</v>
      </c>
      <c r="M123" s="8" t="s">
        <v>733</v>
      </c>
      <c r="N123" s="7" t="str">
        <f>IFERROR(__xludf.DUMMYFUNCTION("GOOGLETRANSLATE(L123, ""en"", ""pt"")"),"Instalador de isolamento")</f>
        <v>Instalador de isolamento</v>
      </c>
      <c r="O123" s="7" t="str">
        <f>IFERROR(__xludf.DUMMYFUNCTION("IF(M123="""","""",GOOGLETRANSLATE(M123,""en"",""pt""))"),"Revestir e cobrir estruturas com materiais isolantes. Pode trabalhar com materiais isolantes em manta, rolo ou insuflados. Remover o isolamento antigo seguindo os procedimentos de segurança. Preparar as superfícies para a aplicação do isolamento, aplicand"&amp;"o adesivos com pincel ou espalhando-os, ou fixando pinos metálicos nas superfícies. Medir e cortar o isolamento para revestir as superfícies, utilizando fitas métricas, serras manuais ou tesouras. Revestir e cobrir estruturas com materiais insuflados ou e"&amp;"m rolo para isolar contra frio, calor ou umidade, utilizando serras, facas, grosas, espátulas, sopradores ou outras ferramentas e implementos. Distribuir os materiais isolantes uniformemente em pequenos espaços dentro de pisos, tetos ou paredes, utilizand"&amp;"o sopradores e mangueiras acopladas, ou argamassa de cimento. Acionar controles, botões ou alavancas para ligar os sopradores e regular o fluxo de materiais através dos bicos. Cobrir, selar ou dar acabamento às superfícies isoladas ou orifícios de acesso "&amp;"com capas plásticas, tiras de lona, ​​selantes, fita adesiva, cimento ou massa asfáltica. Carregar e descarregar materiais dos veículos da empresa. O trabalhador deverá utilizar óculos de segurança, colete fluorescente, fita métrica, lâmina, luvas e capac"&amp;"ete. Classificação da Função: 47-2131.00 - Trabalhadores de Isolamento, Piso, Teto e Parede. A classificação e descrição da função/setor inclui informações gerais sobre o cargo, de acordo com o ONET/OES e o Sistema de Classificação Industrial da América d"&amp;"o Norte (NAICS). Consulte as Funções e a Ordem de Serviço para obter mais informações. Requisitos da Função Experiência Necessária: Não. Requisitos Especiais: Deve ser capaz de levantar/carregar 23 kg, quando necessário. Trabalho aos sábados e domingos, q"&amp;"uando necessário. O empregador poderá oferecer mais horas de trabalho do que as estipuladas, dependendo do clima, das necessidades da empresa e de outras condições. Calor extremo, frio, chuva ou seca podem afetar o horário de trabalho exato. Número de Hor"&amp;"as por Semana: 40. Horário de Trabalho (Início/Término): 7h30 - 15h30.")</f>
        <v>Revestir e cobrir estruturas com materiais isolantes. Pode trabalhar com materiais isolantes em manta, rolo ou insuflados. Remover o isolamento antigo seguindo os procedimentos de segurança. Preparar as superfícies para a aplicação do isolamento, aplicando adesivos com pincel ou espalhando-os, ou fixando pinos metálicos nas superfícies. Medir e cortar o isolamento para revestir as superfícies, utilizando fitas métricas, serras manuais ou tesouras. Revestir e cobrir estruturas com materiais insuflados ou em rolo para isolar contra frio, calor ou umidade, utilizando serras, facas, grosas, espátulas, sopradores ou outras ferramentas e implementos. Distribuir os materiais isolantes uniformemente em pequenos espaços dentro de pisos, tetos ou paredes, utilizando sopradores e mangueiras acopladas, ou argamassa de cimento. Acionar controles, botões ou alavancas para ligar os sopradores e regular o fluxo de materiais através dos bicos. Cobrir, selar ou dar acabamento às superfícies isoladas ou orifícios de acesso com capas plásticas, tiras de lona, ​​selantes, fita adesiva, cimento ou massa asfáltica. Carregar e descarregar materiais dos veículos da empresa. O trabalhador deverá utilizar óculos de segurança, colete fluorescente, fita métrica, lâmina, luvas e capacete. Classificação da Função: 47-2131.00 - Trabalhadores de Isolamento, Piso, Teto e Parede. A classificação e descrição da função/setor inclui informações gerais sobre o cargo, de acordo com o ONET/OES e o Sistema de Classificação Industrial da América do Norte (NAICS). Consulte as Funções e a Ordem de Serviço para obter mais informações. Requisitos da Função Experiência Necessária: Não. Requisitos Especiais: Deve ser capaz de levantar/carregar 23 kg, quando necessário. Trabalho aos sábados e domingos, quando necessário. O empregador poderá oferecer mais horas de trabalho do que as estipuladas, dependendo do clima, das necessidades da empresa e de outras condições. Calor extremo, frio, chuva ou seca podem afetar o horário de trabalho exato. Número de Horas por Semana: 40. Horário de Trabalho (Início/Término): 7h30 - 15h30.</v>
      </c>
    </row>
    <row r="124" ht="20.25" customHeight="1">
      <c r="A124" s="3" t="s">
        <v>734</v>
      </c>
      <c r="B124" s="3" t="s">
        <v>735</v>
      </c>
      <c r="C124" s="3" t="s">
        <v>736</v>
      </c>
      <c r="D124" s="3" t="s">
        <v>140</v>
      </c>
      <c r="E124" s="4" t="s">
        <v>19</v>
      </c>
      <c r="F124" s="4" t="s">
        <v>20</v>
      </c>
      <c r="G124" s="4" t="s">
        <v>80</v>
      </c>
      <c r="H124" s="3" t="s">
        <v>737</v>
      </c>
      <c r="I124" s="3" t="s">
        <v>738</v>
      </c>
      <c r="J124" s="4">
        <v>13.59</v>
      </c>
      <c r="K124" s="4">
        <v>7.0</v>
      </c>
      <c r="L124" s="3" t="s">
        <v>354</v>
      </c>
      <c r="M124" s="3" t="s">
        <v>739</v>
      </c>
      <c r="N124" s="7" t="str">
        <f>IFERROR(__xludf.DUMMYFUNCTION("GOOGLETRANSLATE(L124, ""en"", ""pt"")"),"Governanta")</f>
        <v>Governanta</v>
      </c>
      <c r="O124" s="7" t="str">
        <f>IFERROR(__xludf.DUMMYFUNCTION("IF(M124="""","""",GOOGLETRANSLATE(M124,""en"",""pt""))"),"As funções podem incluir: Manter as áreas de armazenamento e carrinhos bem abastecidos, limpos e organizados. Limpar quartos, corredores, saguões, salas de estar, banheiros, elevadores, escadas, vestiários e outras áreas de trabalho, garantindo o cumprime"&amp;"nto das normas de higiene. Tirar o pó e polir móveis e equipamentos. Repor suprimentos, como copos, roupas de cama, materiais de escrita e itens de banheiro. Limpar tapetes, carpetes, móveis estofados e cortinas, utilizando aspiradores de pó e lavadoras d"&amp;"e carpetes, além de outras atividades relacionadas à limpeza, conforme SOC/OES 37-2012 (onetonline.org). Horário padrão/esperado: Segunda a sexta, das 9h às 17h. Oferecemos mais de 40 horas semanais, sem incluir almoço e/ou intervalos. Os dias/horários pr"&amp;"ogramados incluem fins de semana e possível trabalho em feriados. O horário pode variar dependendo da ocupação e dos check-outs. Possibilidade de trabalho em fins de semana e feriados. Os horários de início e término, a carga horária oferecida e/ou a poss"&amp;"ibilidade de horas extras podem variar, pois dependem de fatores como necessidades do projeto/cronograma/serviço, condições climáticas e tempo de deslocamento entre os locais de trabalho (se aplicável). Horas extras são possíveis, mas não obrigatórias nem"&amp;" garantidas. A critério exclusivo do empregador: aumentos salariais e/ou bônus podem ser concedidos com base em fatores individuais, como desempenho ou habilidades (não garantidos). Remuneração adicional pode ser aplicada na forma de pagamento por produçã"&amp;"o (não garantido): o pagamento por produção pode ser aplicado quando o funcionário limpa/conclui/ultrapassa a meta diária de limpeza ou a cota de quartos limpos. A prática padrão ou meta de produção é limpar/concluir 16 quartos por turno de 8 horas. O fun"&amp;"cionário nunca receberá menos do que o salário vigente ou o salário mínimo federal/estadual/municipal. Se o funcionário concluir/limpar quartos adicionais, poderá ser aplicado um pagamento por produção equivalente a 0,5 vezes o seu salário-hora padrão no "&amp;"momento da limpeza; o pagamento por produção não se aplica se o funcionário já estiver fazendo horas extras. Por exemplo, se um trabalhador que recebe US$ 14,00/hora limpar um total de 18 quartos em um turno de 8 horas, ele poderá ganhar US$ 7,00 por quar"&amp;"to, totalizando US$ 14,00. Classificação da função: 37-2012.00 - Empregadas Domésticas e Auxiliares de Limpeza. A classificação e descrição da função/setor inclui informações gerais sobre o cargo, de acordo com o ONET/OES e o Sistema de Classificação Indu"&amp;"strial da América do Norte (NAICS). Consulte as Funções e a Ordem de Serviço para obter mais informações. Requisitos da vaga: Experiência necessária: Não. Requisitos especiais: É necessário comprovar autorização legal para trabalhar nos Estados Unidos. Am"&amp;"biente de trabalho livre de drogas, álcool e tabaco. Executar atividades físicas, como levantar, equilibrar-se, caminhar, abaixar-se, manusear, posicionar, mover e manipular materiais, utilizando força estática para exercer força muscular máxima para leva"&amp;"ntar, empurrar, puxar e carregar objetos de até 18 kg. Todos os candidatos devem ser capazes, dispostos e qualificados para executar o trabalho descrito e devem estar disponíveis durante todo o período especificado e para trabalhar em todas as áreas da em"&amp;"presa. O horário de trabalho pode variar de acordo com os picos e vales do turismo ao longo da temporada (+/-), possíveis períodos de baixa atividade e/ou horas extras. Número de horas por semana: 40. Horário de trabalho (início/término): 9h às 17h.")</f>
        <v>As funções podem incluir: Manter as áreas de armazenamento e carrinhos bem abastecidos, limpos e organizados. Limpar quartos, corredores, saguões, salas de estar, banheiros, elevadores, escadas, vestiários e outras áreas de trabalho, garantindo o cumprimento das normas de higiene. Tirar o pó e polir móveis e equipamentos. Repor suprimentos, como copos, roupas de cama, materiais de escrita e itens de banheiro. Limpar tapetes, carpetes, móveis estofados e cortinas, utilizando aspiradores de pó e lavadoras de carpetes, além de outras atividades relacionadas à limpeza, conforme SOC/OES 37-2012 (onetonline.org). Horário padrão/esperado: Segunda a sexta, das 9h às 17h. Oferecemos mais de 40 horas semanais, sem incluir almoço e/ou intervalos. Os dias/horários programados incluem fins de semana e possível trabalho em feriados. O horário pode variar dependendo da ocupação e dos check-outs. Possibilidade de trabalho em fins de semana e feriados. Os horários de início e término, a carga horária oferecida e/ou a possibilidade de horas extras podem variar, pois dependem de fatores como necessidades do projeto/cronograma/serviço, condições climáticas e tempo de deslocamento entre os locais de trabalho (se aplicável). Horas extras são possíveis, mas não obrigatórias nem garantidas. A critério exclusivo do empregador: aumentos salariais e/ou bônus podem ser concedidos com base em fatores individuais, como desempenho ou habilidades (não garantidos). Remuneração adicional pode ser aplicada na forma de pagamento por produção (não garantido): o pagamento por produção pode ser aplicado quando o funcionário limpa/conclui/ultrapassa a meta diária de limpeza ou a cota de quartos limpos. A prática padrão ou meta de produção é limpar/concluir 16 quartos por turno de 8 horas. O funcionário nunca receberá menos do que o salário vigente ou o salário mínimo federal/estadual/municipal. Se o funcionário concluir/limpar quartos adicionais, poderá ser aplicado um pagamento por produção equivalente a 0,5 vezes o seu salário-hora padrão no momento da limpeza; o pagamento por produção não se aplica se o funcionário já estiver fazendo horas extras. Por exemplo, se um trabalhador que recebe US$ 14,00/hora limpar um total de 18 quartos em um turno de 8 horas, ele poderá ganhar US$ 7,00 por quarto, totalizando US$ 14,00. Classificação da função: 37-2012.00 - Empregadas Domésticas e Auxiliares de Limpeza. A classificação e descrição da função/setor inclui informações gerais sobre o cargo, de acordo com o ONET/OES e o Sistema de Classificação Industrial da América do Norte (NAICS). Consulte as Funções e a Ordem de Serviço para obter mais informações. Requisitos da vaga: Experiência necessária: Não. Requisitos especiais: É necessário comprovar autorização legal para trabalhar nos Estados Unidos. Ambiente de trabalho livre de drogas, álcool e tabaco. Executar atividades físicas, como levantar, equilibrar-se, caminhar, abaixar-se, manusear, posicionar, mover e manipular materiais, utilizando força estática para exercer força muscular máxima para levantar, empurrar, puxar e carregar objetos de até 18 kg. Todos os candidatos devem ser capazes, dispostos e qualificados para executar o trabalho descrito e devem estar disponíveis durante todo o período especificado e para trabalhar em todas as áreas da empresa. O horário de trabalho pode variar de acordo com os picos e vales do turismo ao longo da temporada (+/-), possíveis períodos de baixa atividade e/ou horas extras. Número de horas por semana: 40. Horário de trabalho (início/término): 9h às 17h.</v>
      </c>
    </row>
    <row r="125" ht="20.25" customHeight="1">
      <c r="A125" s="8" t="s">
        <v>740</v>
      </c>
      <c r="B125" s="8" t="s">
        <v>196</v>
      </c>
      <c r="C125" s="8" t="s">
        <v>197</v>
      </c>
      <c r="D125" s="8" t="s">
        <v>71</v>
      </c>
      <c r="E125" s="9" t="s">
        <v>19</v>
      </c>
      <c r="F125" s="9" t="s">
        <v>20</v>
      </c>
      <c r="G125" s="9" t="s">
        <v>198</v>
      </c>
      <c r="H125" s="8" t="s">
        <v>199</v>
      </c>
      <c r="I125" s="8" t="s">
        <v>200</v>
      </c>
      <c r="J125" s="9">
        <v>19.51</v>
      </c>
      <c r="K125" s="9">
        <v>4.0</v>
      </c>
      <c r="L125" s="8" t="s">
        <v>741</v>
      </c>
      <c r="M125" s="8" t="s">
        <v>742</v>
      </c>
      <c r="N125" s="7" t="str">
        <f>IFERROR(__xludf.DUMMYFUNCTION("GOOGLETRANSLATE(L125, ""en"", ""pt"")"),"Bartenders")</f>
        <v>Bartenders</v>
      </c>
      <c r="O125" s="7" t="str">
        <f>IFERROR(__xludf.DUMMYFUNCTION("IF(M125="""","""",GOOGLETRANSLATE(M125,""en"",""pt""))"),"Receber pedidos de bebidas, preparar, decorar e servir bebidas como vinho, coquetéis e cerveja aos clientes. Cortar frutas para os drinks. Manter os bares abastecidos e higienizados. Classificação da vaga: 35-3011.00 - Bartenders. A classificação e descri"&amp;"ção da vaga/setor incluem informações gerais sobre o cargo, de acordo com o ONET/OES e o Sistema de Classificação Industrial da América do Norte. Consulte as Funções e a Ordem de Serviço para obter mais informações. Requisitos da vaga: Experiência necessá"&amp;"ria: Não. Requisitos especiais: Turnos rotativos de segunda a domingo, das 6h às 22h. Verificação de antecedentes criminais pré-contratação obrigatória para trabalhadores americanos e trabalhadores com visto H2B. Número de horas por semana: 40. Horário de"&amp;" trabalho (início/término): 6h às 22h.")</f>
        <v>Receber pedidos de bebidas, preparar, decorar e servir bebidas como vinho, coquetéis e cerveja aos clientes. Cortar frutas para os drinks. Manter os bares abastecidos e higienizados. Classificação da vaga: 35-3011.00 - Bartenders. A classificação e descrição da vaga/setor incluem informações gerais sobre o cargo, de acordo com o ONET/OES e o Sistema de Classificação Industrial da América do Norte. Consulte as Funções e a Ordem de Serviço para obter mais informações. Requisitos da vaga: Experiência necessária: Não. Requisitos especiais: Turnos rotativos de segunda a domingo, das 6h às 22h. Verificação de antecedentes criminais pré-contratação obrigatória para trabalhadores americanos e trabalhadores com visto H2B. Número de horas por semana: 40. Horário de trabalho (início/término): 6h às 22h.</v>
      </c>
    </row>
    <row r="126" ht="20.25" customHeight="1">
      <c r="A126" s="3" t="s">
        <v>743</v>
      </c>
      <c r="B126" s="3" t="s">
        <v>744</v>
      </c>
      <c r="C126" s="3" t="s">
        <v>205</v>
      </c>
      <c r="D126" s="3" t="s">
        <v>64</v>
      </c>
      <c r="E126" s="4" t="s">
        <v>19</v>
      </c>
      <c r="F126" s="4" t="s">
        <v>20</v>
      </c>
      <c r="G126" s="4" t="s">
        <v>80</v>
      </c>
      <c r="H126" s="3" t="s">
        <v>745</v>
      </c>
      <c r="I126" s="3" t="s">
        <v>746</v>
      </c>
      <c r="J126" s="4">
        <v>19.34</v>
      </c>
      <c r="K126" s="4">
        <v>30.0</v>
      </c>
      <c r="L126" s="3" t="s">
        <v>83</v>
      </c>
      <c r="M126" s="3" t="s">
        <v>747</v>
      </c>
      <c r="N126" s="7" t="str">
        <f>IFERROR(__xludf.DUMMYFUNCTION("GOOGLETRANSLATE(L126, ""en"", ""pt"")"),"Trabalhador Florestal")</f>
        <v>Trabalhador Florestal</v>
      </c>
      <c r="O126" s="7" t="str">
        <f>IFERROR(__xludf.DUMMYFUNCTION("IF(M126="""","""",GOOGLETRANSLATE(M126,""en"",""pt""))"),"As funções podem incluir: Plantar pinheiros manualmente ou com máquina. Levantar e transportar feixes de árvores ou galhos. Manter o crescimento de mudas, pulverizar fertilizantes, herbicidas ou inseticidas e/ou podar galhos de árvores. Usar motosserra, r"&amp;"oçadeira ou outros equipamentos manuais para remover o excesso de árvores e vegetação. Limpar e manter os equipamentos. Preparar o local/reduzir a vegetação concorrente por meio de poda, desbaste, limpeza e aplicação de herbicidas/fertilizantes, além de o"&amp;"utras atividades relacionadas ao trabalho florestal, conforme SOC/OES 45-4011 (onetonline.org). Horário padrão/esperado: Segunda a sexta, das 7h às 16h. Oferecemos mais de 40 horas semanais, sem incluir almoço e/ou intervalos. Possibilidade de trabalho em"&amp;" fins de semana e feriados. Os horários de início e término, a carga horária e/ou horas extras podem variar, pois dependem de fatores como projeto/cronograma/necessidades do serviço, condições climáticas e tempo de deslocamento entre os locais de trabalho"&amp;" (se aplicável). Horas extras são possíveis, mas não obrigatórias ou garantidas. A critério exclusivo do empregador: possíveis aumentos e/ou bônus com base em fatores individuais, como desempenho no trabalho ou habilidades (não garantidos). Moradia compar"&amp;"tilhada opcional disponível sem custo para o trabalhador. Classificação do Cargo: 45-4011.00 - Trabalhadores Florestais e de Conservação. A classificação e descrição do cargo/setor incluem informações gerais sobre a posição, de acordo com o ONET/OES e o S"&amp;"istema de Classificação Industrial da América do Norte. Consulte as Funções e a Ordem de Serviço para obter mais informações. Requisitos do Cargo Experiência Necessária: Sim Meses de Experiência Necessários: 3 Requisitos Especiais: É necessário ter 18 ano"&amp;"s devido a viagens. É necessário apresentar comprovante de autorização legal para trabalhar nos Estados Unidos. Ambiente de trabalho livre de drogas, álcool e tabaco. É necessário caminhar bastante (até 24 km/dia), além de se abaixar e se curvar carregand"&amp;"o uma mochila (até 23 kg) em terrenos acidentados (fora de trilhas). Todos os candidatos devem ser capazes, dispostos e qualificados para executar o trabalho descrito e devem estar disponíveis durante todo o período especificado e trabalhar em todas as ár"&amp;"eas de atuação pretendidas. O trabalho é realizado ao ar livre, exposto às intempéries. O candidato deve ser capaz de realizar trabalhos fisicamente extenuantes por longos períodos, ocasionalmente em condições de calor ou frio extremos. As condições climá"&amp;"ticas são variáveis; a carga horária pode sofrer alterações (+/-), podendo haver períodos de inatividade e/ou horas extras. Número de horas por semana: 40. Horário de trabalho (início/término): 7h às 16h.")</f>
        <v>As funções podem incluir: Plantar pinheiros manualmente ou com máquina. Levantar e transportar feixes de árvores ou galhos. Manter o crescimento de mudas, pulverizar fertilizantes, herbicidas ou inseticidas e/ou podar galhos de árvores. Usar motosserra, roçadeira ou outros equipamentos manuais para remover o excesso de árvores e vegetação. Limpar e manter os equipamentos. Preparar o local/reduzir a vegetação concorrente por meio de poda, desbaste, limpeza e aplicação de herbicidas/fertilizantes, além de outras atividades relacionadas ao trabalho florestal, conforme SOC/OES 45-4011 (onetonline.org). Horário padrão/esperado: Segunda a sexta, das 7h às 16h. Oferecemos mais de 40 horas semanais, sem incluir almoço e/ou intervalos. Possibilidade de trabalho em fins de semana e feriados. Os horários de início e término, a carga horária e/ou horas extras podem variar, pois dependem de fatores como projeto/cronograma/necessidades do serviço, condições climáticas e tempo de deslocamento entre os locais de trabalho (se aplicável). Horas extras são possíveis, mas não obrigatórias ou garantidas. A critério exclusivo do empregador: possíveis aumentos e/ou bônus com base em fatores individuais, como desempenho no trabalho ou habilidades (não garantidos). Moradia compartilhada opcional disponível sem custo para o trabalhador. Classificação do Cargo: 45-4011.00 - Trabalhadores Florestais e de Conservação. A classificação e descrição do cargo/setor incluem informações gerais sobre a posição, de acordo com o ONET/OES e o Sistema de Classificação Industrial da América do Norte. Consulte as Funções e a Ordem de Serviço para obter mais informações. Requisitos do Cargo Experiência Necessária: Sim Meses de Experiência Necessários: 3 Requisitos Especiais: É necessário ter 18 anos devido a viagens. É necessário apresentar comprovante de autorização legal para trabalhar nos Estados Unidos. Ambiente de trabalho livre de drogas, álcool e tabaco. É necessário caminhar bastante (até 24 km/dia), além de se abaixar e se curvar carregando uma mochila (até 23 kg) em terrenos acidentados (fora de trilhas). Todos os candidatos devem ser capazes, dispostos e qualificados para executar o trabalho descrito e devem estar disponíveis durante todo o período especificado e trabalhar em todas as áreas de atuação pretendidas. O trabalho é realizado ao ar livre, exposto às intempéries. O candidato deve ser capaz de realizar trabalhos fisicamente extenuantes por longos períodos, ocasionalmente em condições de calor ou frio extremos. As condições climáticas são variáveis; a carga horária pode sofrer alterações (+/-), podendo haver períodos de inatividade e/ou horas extras. Número de horas por semana: 40. Horário de trabalho (início/término): 7h às 16h.</v>
      </c>
    </row>
    <row r="127" ht="20.25" customHeight="1">
      <c r="A127" s="8" t="s">
        <v>748</v>
      </c>
      <c r="B127" s="8" t="s">
        <v>749</v>
      </c>
      <c r="C127" s="8" t="s">
        <v>125</v>
      </c>
      <c r="D127" s="8" t="s">
        <v>18</v>
      </c>
      <c r="E127" s="9" t="s">
        <v>44</v>
      </c>
      <c r="F127" s="9" t="s">
        <v>20</v>
      </c>
      <c r="G127" s="9" t="s">
        <v>146</v>
      </c>
      <c r="H127" s="8" t="s">
        <v>750</v>
      </c>
      <c r="I127" s="8" t="s">
        <v>751</v>
      </c>
      <c r="J127" s="9">
        <v>17.55</v>
      </c>
      <c r="K127" s="9">
        <v>8.0</v>
      </c>
      <c r="L127" s="8" t="s">
        <v>129</v>
      </c>
      <c r="M127" s="8" t="s">
        <v>752</v>
      </c>
      <c r="N127" s="7" t="str">
        <f>IFERROR(__xludf.DUMMYFUNCTION("GOOGLETRANSLATE(L127, ""en"", ""pt"")"),"Trabalhador de paisagismo e manutenção de jardins")</f>
        <v>Trabalhador de paisagismo e manutenção de jardins</v>
      </c>
      <c r="O127" s="7" t="str">
        <f>IFERROR(__xludf.DUMMYFUNCTION("IF(M127="""","""",GOOGLETRANSLATE(M127,""en"",""pt""))"),"As funções incluem o plantio de árvores, arbustos ou flores durante o período de dormência, seguindo o padrão de design apropriado. Isso inclui descarregar materiais, cavar buracos para o sistema radicular, cobrir os buracos adequadamente e, às vezes, col"&amp;"ocar grama em placas, semear grama ou conectar sistemas de irrigação. Também envolve a remoção de folhas, plantio de sementes e palha, aeração do gramado, plantio de arbustos e instalação de blocos de concreto pré-moldados sem argamassa. Os trabalhadores "&amp;"podem coletar e remover lixo, regar gramados, árvores e plantas semeadas, além de podar árvores, arbustos ou cercas vivas. As tarefas podem incluir a colocação de grama em placas, corte de grama, rega de plantas e gramados, transplante de plantas, fertili"&amp;"zação, escavação, rastelagem e instalação de aspersores. Os funcionários cavarão valas com no máximo 15 a 30 cm de profundidade e 15 a 30 cm de largura, utilizando pás e ferramentas manuais. Essas valas são usadas para acomodar a tubulação utilizada na in"&amp;"stalação de sistemas de irrigação. Toda a poda será realizada no solo. Os trabalhadores não realizarão nenhuma atividade de poda acima do nível do solo. Os trabalhadores podem operar equipamentos motorizados de jardinagem, incluindo cortadores de grama, a"&amp;"paradores de borda, sopradores, roçadeiras, roçadeiras de jardim, tratores pequenos e equipamentos similares, além de dirigir veículos até os locais dos clientes. Os trabalhadores podem dirigir caminhonetes e outros veículos leves da empresa para ir e vol"&amp;"tar dos locais de trabalho dos clientes. Ocasionalmente, os trabalhadores podem transportar outros funcionários para os locais de trabalho; no entanto, o transporte de trabalhadores não é uma função principal do cargo. Os trabalhadores também podem ocasio"&amp;"nalmente transportar materiais, ferramentas e equipamentos de jardinagem para os locais de trabalho, incluindo cobertura morta, vasos de plantas, pás, ancinhos, cortadores de grama, sopradores e roçadeiras. Nenhum material perigoso será transportado pelos"&amp;" trabalhadores. Todos os veículos e equipamentos operados têm peso bruto total inferior a 26.000 libras (aproximadamente 11.800 kg), incluindo quaisquer reboques acoplados ou materiais transportados. Classificação do Cargo: 37-3011.00 - Trabalhadores de P"&amp;"aisagismo e Manutenção de Áreas Verdes. A classificação e descrição do cargo/setor inclui informações gerais sobre a posição, de acordo com o ONET/OES e o Sistema de Classificação Industrial da América do Norte (NAICS). Consulte a Descrição das Funções e "&amp;"a Ordem de Serviço para obter mais informações. Requisitos da Vaga Experiência Necessária: Sim Meses de Experiência Necessários: 3 Requisitos Especiais: 3 meses de experiência em paisagismo. O candidato deve ser capaz de levantar 23 kg, realizar movimento"&amp;"s repetitivos, empurrar/puxar objetos com frequência, caminhar bastante, agachar-se frequentemente e estar exposto a temperaturas extremas. Número de Horas por Semana: 40 Horário de Trabalho (Início/Término): 7h às 16h")</f>
        <v>As funções incluem o plantio de árvores, arbustos ou flores durante o período de dormência, seguindo o padrão de design apropriado. Isso inclui descarregar materiais, cavar buracos para o sistema radicular, cobrir os buracos adequadamente e, às vezes, colocar grama em placas, semear grama ou conectar sistemas de irrigação. Também envolve a remoção de folhas, plantio de sementes e palha, aeração do gramado, plantio de arbustos e instalação de blocos de concreto pré-moldados sem argamassa. Os trabalhadores podem coletar e remover lixo, regar gramados, árvores e plantas semeadas, além de podar árvores, arbustos ou cercas vivas. As tarefas podem incluir a colocação de grama em placas, corte de grama, rega de plantas e gramados, transplante de plantas, fertilização, escavação, rastelagem e instalação de aspersores. Os funcionários cavarão valas com no máximo 15 a 30 cm de profundidade e 15 a 30 cm de largura, utilizando pás e ferramentas manuais. Essas valas são usadas para acomodar a tubulação utilizada na instalação de sistemas de irrigação. Toda a poda será realizada no solo. Os trabalhadores não realizarão nenhuma atividade de poda acima do nível do solo. Os trabalhadores podem operar equipamentos motorizados de jardinagem, incluindo cortadores de grama, aparadores de borda, sopradores, roçadeiras, roçadeiras de jardim, tratores pequenos e equipamentos similares, além de dirigir veículos até os locais dos clientes. Os trabalhadores podem dirigir caminhonetes e outros veículos leves da empresa para ir e voltar dos locais de trabalho dos clientes. Ocasionalmente, os trabalhadores podem transportar outros funcionários para os locais de trabalho; no entanto, o transporte de trabalhadores não é uma função principal do cargo. Os trabalhadores também podem ocasionalmente transportar materiais, ferramentas e equipamentos de jardinagem para os locais de trabalho, incluindo cobertura morta, vasos de plantas, pás, ancinhos, cortadores de grama, sopradores e roçadeiras. Nenhum material perigoso será transportado pelos trabalhadores. Todos os veículos e equipamentos operados têm peso bruto total inferior a 26.000 libras (aproximadamente 11.800 kg), incluindo quaisquer reboques acoplados ou materiais transportados. Classificação do Cargo: 37-3011.00 - Trabalhadores de Paisagismo e Manutenção de Áreas Verdes. A classificação e descrição do cargo/setor inclui informações gerais sobre a posição, de acordo com o ONET/OES e o Sistema de Classificação Industrial da América do Norte (NAICS). Consulte a Descrição das Funções e a Ordem de Serviço para obter mais informações. Requisitos da Vaga Experiência Necessária: Sim Meses de Experiência Necessários: 3 Requisitos Especiais: 3 meses de experiência em paisagismo. O candidato deve ser capaz de levantar 23 kg, realizar movimentos repetitivos, empurrar/puxar objetos com frequência, caminhar bastante, agachar-se frequentemente e estar exposto a temperaturas extremas. Número de Horas por Semana: 40 Horário de Trabalho (Início/Término): 7h às 16h</v>
      </c>
    </row>
    <row r="128" ht="20.25" customHeight="1">
      <c r="A128" s="3" t="s">
        <v>753</v>
      </c>
      <c r="B128" s="3" t="s">
        <v>754</v>
      </c>
      <c r="C128" s="3" t="s">
        <v>755</v>
      </c>
      <c r="D128" s="3" t="s">
        <v>64</v>
      </c>
      <c r="E128" s="4" t="s">
        <v>19</v>
      </c>
      <c r="F128" s="4" t="s">
        <v>20</v>
      </c>
      <c r="G128" s="4" t="s">
        <v>377</v>
      </c>
      <c r="H128" s="3" t="s">
        <v>756</v>
      </c>
      <c r="I128" s="3" t="s">
        <v>757</v>
      </c>
      <c r="J128" s="4">
        <v>18.98</v>
      </c>
      <c r="K128" s="4">
        <v>8.0</v>
      </c>
      <c r="L128" s="3" t="s">
        <v>758</v>
      </c>
      <c r="M128" s="3" t="s">
        <v>759</v>
      </c>
      <c r="N128" s="7" t="str">
        <f>IFERROR(__xludf.DUMMYFUNCTION("GOOGLETRANSLATE(L128, ""en"", ""pt"")"),"Auxiliares - Trabalhadores da produção")</f>
        <v>Auxiliares - Trabalhadores da produção</v>
      </c>
      <c r="O128" s="7" t="str">
        <f>IFERROR(__xludf.DUMMYFUNCTION("IF(M128="""","""",GOOGLETRANSLATE(M128,""en"",""pt""))"),"Esta função consiste em tarefas rotineiras de limpeza e higienização manual, realizadas sob supervisão, em uma instalação que embala petiscos para animais de estimação (produto final). O(A) funcionário(a) deverá: • Limpar e higienizar as áreas de produção"&amp;", incluindo pisos, paredes e estações de trabalho, utilizando água, produtos de limpeza aprovados, soluções sanitizantes e desinfetantes. • Limpar e manter as máquinas de embalagem, incluindo as máquinas de selagem e corte utilizadas para embalar petiscos"&amp;" para animais de estimação, removendo poeira e resíduos com escovas e sopradores de ar, e limpando as superfícies com soluções sanitizantes e esterilizantes aprovadas. Lavadoras de alta pressão não são utilizadas nas máquinas; no entanto, pisos e paredes "&amp;"são limpos com mangueiras de água, lavadoras de alta pressão e soluções de limpeza aprovadas ao final de cada dia de trabalho. • Limpar ferramentas e equipamentos manualmente, utilizando escovas, panos e produtos de limpeza ou desengordurantes apropriados"&amp;" para garantir o funcionamento adequado e a conformidade com as normas de segurança e higiene. Os funcionários utilizam equipamentos de proteção individual, incluindo luvas, máscaras faciais e botas antiderrapantes. • Lavar os veículos e unidades de trans"&amp;"porte da empresa (vans de entrega) conforme necessário, utilizando mangueiras de água, lavadoras de alta pressão e produtos de limpeza e desinfecção para manter a prontidão operacional. Não são necessários sistemas de refrigeração. • Limpe e higienize a e"&amp;"mbalagem externa de produtos de petiscos para animais de estimação lacrados, quando aplicável, utilizando luvas e procedimentos sanitários para garantir a conformidade com os padrões de qualidade e higiene. Ferramentas e equipamentos utilizados: esfregões"&amp;", baldes, panos, escovas, sopradores de ar, mangueiras de água, lavadoras de alta pressão (somente para limpeza de pisos e instalações) e soluções de limpeza, sanitização e desinfecção aprovadas. Essas tarefas são rotineiras, não exigem habilidades especi"&amp;"alizadas e são realizadas para manter a higiene básica e as condições de produção seguras, de acordo com as normas para Auxiliares de Produção. Classificação do Cargo: 51-9198.00 - Auxiliares de Produção. A classificação e descrição do cargo/setor incluem"&amp;" informações gerais sobre a posição, conforme o ONET/OES e o Sistema de Classificação Industrial da América do Norte. Consulte as Funções e a Ordem de Serviço para obter mais informações. Requisitos do Cargo Experiência Necessária: Sim Meses de Experiênci"&amp;"a Necessária: 24 Número de Horas por Semana: 40 Horário de Trabalho (Início/Término): 8h às 17h")</f>
        <v>Esta função consiste em tarefas rotineiras de limpeza e higienização manual, realizadas sob supervisão, em uma instalação que embala petiscos para animais de estimação (produto final). O(A) funcionário(a) deverá: • Limpar e higienizar as áreas de produção, incluindo pisos, paredes e estações de trabalho, utilizando água, produtos de limpeza aprovados, soluções sanitizantes e desinfetantes. • Limpar e manter as máquinas de embalagem, incluindo as máquinas de selagem e corte utilizadas para embalar petiscos para animais de estimação, removendo poeira e resíduos com escovas e sopradores de ar, e limpando as superfícies com soluções sanitizantes e esterilizantes aprovadas. Lavadoras de alta pressão não são utilizadas nas máquinas; no entanto, pisos e paredes são limpos com mangueiras de água, lavadoras de alta pressão e soluções de limpeza aprovadas ao final de cada dia de trabalho. • Limpar ferramentas e equipamentos manualmente, utilizando escovas, panos e produtos de limpeza ou desengordurantes apropriados para garantir o funcionamento adequado e a conformidade com as normas de segurança e higiene. Os funcionários utilizam equipamentos de proteção individual, incluindo luvas, máscaras faciais e botas antiderrapantes. • Lavar os veículos e unidades de transporte da empresa (vans de entrega) conforme necessário, utilizando mangueiras de água, lavadoras de alta pressão e produtos de limpeza e desinfecção para manter a prontidão operacional. Não são necessários sistemas de refrigeração. • Limpe e higienize a embalagem externa de produtos de petiscos para animais de estimação lacrados, quando aplicável, utilizando luvas e procedimentos sanitários para garantir a conformidade com os padrões de qualidade e higiene. Ferramentas e equipamentos utilizados: esfregões, baldes, panos, escovas, sopradores de ar, mangueiras de água, lavadoras de alta pressão (somente para limpeza de pisos e instalações) e soluções de limpeza, sanitização e desinfecção aprovadas. Essas tarefas são rotineiras, não exigem habilidades especializadas e são realizadas para manter a higiene básica e as condições de produção seguras, de acordo com as normas para Auxiliares de Produção. Classificação do Cargo: 51-9198.00 - Auxiliares de Produção. A classificação e descrição do cargo/setor incluem informações gerais sobre a posição, conforme o ONET/OES e o Sistema de Classificação Industrial da América do Norte. Consulte as Funções e a Ordem de Serviço para obter mais informações. Requisitos do Cargo Experiência Necessária: Sim Meses de Experiência Necessária: 24 Número de Horas por Semana: 40 Horário de Trabalho (Início/Término): 8h às 17h</v>
      </c>
    </row>
    <row r="129" ht="20.25" customHeight="1">
      <c r="A129" s="8" t="s">
        <v>760</v>
      </c>
      <c r="B129" s="8" t="s">
        <v>497</v>
      </c>
      <c r="C129" s="8" t="s">
        <v>101</v>
      </c>
      <c r="D129" s="8" t="s">
        <v>498</v>
      </c>
      <c r="E129" s="9" t="s">
        <v>19</v>
      </c>
      <c r="F129" s="9" t="s">
        <v>20</v>
      </c>
      <c r="G129" s="9" t="s">
        <v>345</v>
      </c>
      <c r="H129" s="8" t="s">
        <v>499</v>
      </c>
      <c r="I129" s="8" t="s">
        <v>500</v>
      </c>
      <c r="J129" s="9">
        <v>15.57</v>
      </c>
      <c r="K129" s="9">
        <v>2.0</v>
      </c>
      <c r="L129" s="8" t="s">
        <v>761</v>
      </c>
      <c r="M129" s="8" t="s">
        <v>762</v>
      </c>
      <c r="N129" s="7" t="str">
        <f>IFERROR(__xludf.DUMMYFUNCTION("GOOGLETRANSLATE(L129, ""en"", ""pt"")"),"Recepcionista de Motel")</f>
        <v>Recepcionista de Motel</v>
      </c>
      <c r="O129" s="7" t="str">
        <f>IFERROR(__xludf.DUMMYFUNCTION("IF(M129="""","""",GOOGLETRANSLATE(M129,""en"",""pt""))"),"As funções podem incluir: Receber, cadastrar e atribuir quartos aos hóspedes do motel/camping. Entregar as chaves dos quartos e as instruções aos hóspedes. Fazer e confirmar reservas. Verificar a forma de pagamento da hospedagem e confirmar as informações"&amp;" de pagamento do cliente. Revisar as contas e cobranças com os hóspedes durante o processo de check-out. Calcular as contas, receber pagamentos e dar troco aos hóspedes. Atender o telefone e anotar recados. Avisar a equipe de limpeza quando os quartos est"&amp;"iverem prontos para a higienização. Limpar e manter o saguão e as áreas comuns, além de outras atividades relacionadas à recepção do motel, conforme SOC/OES 43-4081 (onetonline.org). Horário padrão/esperado: Segunda a sábado, das 7h às 16h. Oferecemos mai"&amp;"s de 40 horas semanais, sem incluir o horário de almoço e/ou intervalos. A escala semanal pode variar de acordo com as necessidades da empresa. Possibilidade de trabalho nos fins de semana e feriados. Os horários de início e término, a carga horária e/ou "&amp;"horas extras podem variar, pois dependem de fatores como projetos/cronograma/necessidades de serviço, condições climáticas e tempo de deslocamento entre os locais de trabalho (se aplicável). Possibilidade de horas extras, mas não obrigatórias nem garantid"&amp;"as. A critério exclusivo do empregador: possíveis aumentos e/ou bônus com base em fatores individuais, como desempenho ou habilidades (não garantidos). Moradia compartilhada opcional limitada disponível para o trabalhador (incluindo água, energia e coleta"&amp;" de lixo) sem custo. Classificação da vaga: 43-4081.00 - Recepcionistas de Hotel, Motel e Resort. A classificação e descrição da vaga/setor incluem informações gerais sobre o cargo, de acordo com o ONET/OES e o Sistema de Classificação Industrial da Améri"&amp;"ca do Norte. Consulte as Funções e a Ordem de Serviço para obter mais informações. Requisitos da vaga: Experiência necessária: Não. Requisitos especiais: Deve apresentar comprovante de autorização legal para trabalhar nos Estados Unidos. Ambiente de traba"&amp;"lho livre de drogas, álcool e tabaco. Executar atividades físicas, como levantar, equilibrar-se, caminhar, abaixar-se, manusear, posicionar, mover e manipular materiais; usar força estática para exercer força muscular máxima para levantar, empurrar, puxar"&amp;" e carregar objetos de até 13,6 kg (30 lbs). Todos os candidatos devem ser capazes, estar dispostos e qualificados para executar o trabalho descrito e devem estar disponíveis durante todo o período especificado e trabalhar em todas as áreas do emprego pre"&amp;"tendido. A critério do empregador/custo: O trabalhador poderá ser submetido a testes aleatórios de drogas/álcool durante o emprego: teste positivo/recusa em cumprir o teste = demissão. Possível verificação de antecedentes após a contratação, às custas do "&amp;"empregador. O horário de trabalho pode variar de acordo com os picos e vales do turismo ao longo da temporada (+/-), possíveis períodos de baixa temporada e/ou horas extras. Número de horas por semana: 40. Horário de trabalho (início/término): 7h às 16h.")</f>
        <v>As funções podem incluir: Receber, cadastrar e atribuir quartos aos hóspedes do motel/camping. Entregar as chaves dos quartos e as instruções aos hóspedes. Fazer e confirmar reservas. Verificar a forma de pagamento da hospedagem e confirmar as informações de pagamento do cliente. Revisar as contas e cobranças com os hóspedes durante o processo de check-out. Calcular as contas, receber pagamentos e dar troco aos hóspedes. Atender o telefone e anotar recados. Avisar a equipe de limpeza quando os quartos estiverem prontos para a higienização. Limpar e manter o saguão e as áreas comuns, além de outras atividades relacionadas à recepção do motel, conforme SOC/OES 43-4081 (onetonline.org). Horário padrão/esperado: Segunda a sábado, das 7h às 16h. Oferecemos mais de 40 horas semanais, sem incluir o horário de almoço e/ou intervalos. A escala semanal pode variar de acordo com as necessidades da empresa. Possibilidade de trabalho nos fins de semana e feriados. Os horários de início e término, a carga horária e/ou horas extras podem variar, pois dependem de fatores como projetos/cronograma/necessidades de serviço, condições climáticas e tempo de deslocamento entre os locais de trabalho (se aplicável). Possibilidade de horas extras, mas não obrigatórias nem garantidas. A critério exclusivo do empregador: possíveis aumentos e/ou bônus com base em fatores individuais, como desempenho ou habilidades (não garantidos). Moradia compartilhada opcional limitada disponível para o trabalhador (incluindo água, energia e coleta de lixo) sem custo. Classificação da vaga: 43-4081.00 - Recepcionistas de Hotel, Motel e Resort. A classificação e descrição da vaga/setor incluem informações gerais sobre o cargo, de acordo com o ONET/OES e o Sistema de Classificação Industrial da América do Norte. Consulte as Funções e a Ordem de Serviço para obter mais informações. Requisitos da vaga: Experiência necessária: Não. Requisitos especiais: Deve apresentar comprovante de autorização legal para trabalhar nos Estados Unidos. Ambiente de trabalho livre de drogas, álcool e tabaco. Executar atividades físicas, como levantar, equilibrar-se, caminhar, abaixar-se, manusear, posicionar, mover e manipular materiais; usar força estática para exercer força muscular máxima para levantar, empurrar, puxar e carregar objetos de até 13,6 kg (30 lbs). Todos os candidatos devem ser capazes, estar dispostos e qualificados para executar o trabalho descrito e devem estar disponíveis durante todo o período especificado e trabalhar em todas as áreas do emprego pretendido. A critério do empregador/custo: O trabalhador poderá ser submetido a testes aleatórios de drogas/álcool durante o emprego: teste positivo/recusa em cumprir o teste = demissão. Possível verificação de antecedentes após a contratação, às custas do empregador. O horário de trabalho pode variar de acordo com os picos e vales do turismo ao longo da temporada (+/-), possíveis períodos de baixa temporada e/ou horas extras. Número de horas por semana: 40. Horário de trabalho (início/término): 7h às 16h.</v>
      </c>
    </row>
    <row r="130" ht="20.25" customHeight="1">
      <c r="A130" s="3" t="s">
        <v>763</v>
      </c>
      <c r="B130" s="3" t="s">
        <v>764</v>
      </c>
      <c r="C130" s="3" t="s">
        <v>63</v>
      </c>
      <c r="D130" s="3" t="s">
        <v>284</v>
      </c>
      <c r="E130" s="4" t="s">
        <v>44</v>
      </c>
      <c r="F130" s="4" t="s">
        <v>20</v>
      </c>
      <c r="G130" s="4" t="s">
        <v>146</v>
      </c>
      <c r="H130" s="3" t="s">
        <v>765</v>
      </c>
      <c r="I130" s="3"/>
      <c r="J130" s="4">
        <v>15.49</v>
      </c>
      <c r="K130" s="4">
        <v>19.0</v>
      </c>
      <c r="L130" s="3" t="s">
        <v>321</v>
      </c>
      <c r="M130" s="3" t="s">
        <v>766</v>
      </c>
      <c r="N130" s="7" t="str">
        <f>IFERROR(__xludf.DUMMYFUNCTION("GOOGLETRANSLATE(L130, ""en"", ""pt"")"),"Trabalhadores de paisagismo")</f>
        <v>Trabalhadores de paisagismo</v>
      </c>
      <c r="O130" s="7" t="str">
        <f>IFERROR(__xludf.DUMMYFUNCTION("IF(M130="""","""",GOOGLETRANSLATE(M130,""en"",""pt""))"),"Paisagismo e manutenção de terrenos utilizando ferramentas manuais ou elétricas. Os trabalhadores geralmente executam uma variedade de tarefas, que podem incluir qualquer combinação das seguintes: colocação de grama, corte de grama, poda, plantio, rega, f"&amp;"ertilização, escavação, rastelagem, auxílio na instalação de sprinklers e instalação de blocos de concreto pré-moldados sem argamassa. Classificação da vaga: 37-3011.00 - Trabalhadores de Paisagismo e Manutenção de Terrenos. A classificação e descrição da"&amp;" vaga/setor incluem informações gerais sobre o cargo, de acordo com o ONET/OES e o Sistema de Classificação Industrial da América do Norte (NAICS). Consulte as Funções e a Ordem de Serviço para obter mais informações. Requisitos da vaga: Experiência exigi"&amp;"da: Sim. Meses de experiência exigidos: 3. Requisitos especiais: Deve ser capaz de levantar/carregar 23 kg, quando necessário. Trabalho aos sábados, quando necessário. O empregador pode oferecer mais horas de trabalho do que as estipuladas, dependendo do "&amp;"clima, das necessidades da empresa e de outras condições. Calor extremo, frio, chuva ou seca podem afetar o horário de trabalho exato. Número de horas por semana: 40 Horário de trabalho (início/término): 7h00 - 15h00")</f>
        <v>Paisagismo e manutenção de terrenos utilizando ferramentas manuais ou elétricas. Os trabalhadores geralmente executam uma variedade de tarefas, que podem incluir qualquer combinação das seguintes: colocação de grama, corte de grama, poda, plantio, rega, fertilização, escavação, rastelagem, auxílio na instalação de sprinklers e instalação de blocos de concreto pré-moldados sem argamassa. Classificação da vaga: 37-3011.00 - Trabalhadores de Paisagismo e Manutenção de Terrenos. A classificação e descrição da vaga/setor incluem informações gerais sobre o cargo, de acordo com o ONET/OES e o Sistema de Classificação Industrial da América do Norte (NAICS). Consulte as Funções e a Ordem de Serviço para obter mais informações. Requisitos da vaga: Experiência exigida: Sim. Meses de experiência exigidos: 3. Requisitos especiais: Deve ser capaz de levantar/carregar 23 kg, quando necessário. Trabalho aos sábados, quando necessário. O empregador pode oferecer mais horas de trabalho do que as estipuladas, dependendo do clima, das necessidades da empresa e de outras condições. Calor extremo, frio, chuva ou seca podem afetar o horário de trabalho exato. Número de horas por semana: 40 Horário de trabalho (início/término): 7h00 - 15h00</v>
      </c>
    </row>
    <row r="131" ht="20.25" customHeight="1">
      <c r="A131" s="8" t="s">
        <v>767</v>
      </c>
      <c r="B131" s="8" t="s">
        <v>768</v>
      </c>
      <c r="C131" s="8" t="s">
        <v>169</v>
      </c>
      <c r="D131" s="8" t="s">
        <v>532</v>
      </c>
      <c r="E131" s="9" t="s">
        <v>19</v>
      </c>
      <c r="F131" s="9" t="s">
        <v>20</v>
      </c>
      <c r="G131" s="9" t="s">
        <v>769</v>
      </c>
      <c r="H131" s="8" t="s">
        <v>770</v>
      </c>
      <c r="I131" s="8"/>
      <c r="J131" s="9">
        <v>19.22</v>
      </c>
      <c r="K131" s="9">
        <v>30.0</v>
      </c>
      <c r="L131" s="8" t="s">
        <v>771</v>
      </c>
      <c r="M131" s="8" t="s">
        <v>772</v>
      </c>
      <c r="N131" s="7" t="str">
        <f>IFERROR(__xludf.DUMMYFUNCTION("GOOGLETRANSLATE(L131, ""en"", ""pt"")"),"Auxiliar de creche")</f>
        <v>Auxiliar de creche</v>
      </c>
      <c r="O131" s="7" t="str">
        <f>IFERROR(__xludf.DUMMYFUNCTION("IF(M131="""","""",GOOGLETRANSLATE(M131,""en"",""pt""))"),"Auxiliar o(a) Professor(a) Principal na implementação das aulas diárias e atividades de aprendizagem estruturadas, alinhadas com os Fundamentos de Aprendizagem da Educação Infantil da Califórnia e com o currículo acadêmico aprovado pelo CCTR da Just 4 Kid"&amp;"s Preschool. Apoiar a condução de atividades apropriadas ao desenvolvimento em todas as áreas de aprendizagem, incluindo linguagem, matemática básica, exploração científica, artes e artesanato, música, movimento e brincadeiras sociais. Preparar e organiza"&amp;"r materiais de sala de aula, centros de aprendizagem e suprimentos didáticos sob a direção do(a) Professor(a) Principal ou do(a) Diretor(a) da Unidade, para garantir um ambiente de aprendizagem diário estruturado e estimulante. Reforçar as habilidades aca"&amp;"dêmicas e sociais fundamentais apresentadas pelo(a) Professor(a) Principal ou pelo(a) Diretor(a) da Unidade, incluindo reconhecimento de cores, formas, números e letras, higiene pessoal, autorregulação e interação cooperativa com os colegas. Auxiliar na o"&amp;"rganização e limpeza da sala de aula antes, durante e após o horário do programa, de acordo com as normas de saúde, segurança e meio ambiente do Título 5. Supervisionar as crianças de forma atenta e contínua durante todo o horário do programa, incluindo a"&amp;"ulas, transições entre atividades, brincadeiras ao ar livre e períodos de refeições e descanso. Atender às necessidades básicas diárias das crianças, incluindo nutrição, higiene, troca de fraldas (quando aplicável) e rotinas de autocuidado adequadas à ida"&amp;"de. Apoiar o desenvolvimento socioemocional das crianças, modelando comportamentos positivos, apaziguando conflitos e reforçando habilidades sociais sob a orientação do(a) Professor(a) Principal. Manter relacionamentos consistentes e afetuosos com as cria"&amp;"nças matriculadas durante todo o ano letivo, contribuindo para a continuidade do cuidado exigida pelos padrões de qualidade do programa CCTR. Auxiliar o(a) Professor(a) Principal na observação e documentação do progresso do desenvolvimento das crianças, c"&amp;"omportamento diário e participação nas atividades do programa. Comunicar prontamente ao(à) Professor(a) Principal as observações sobre o comportamento da criança, problemas de saúde ou indicadores de desenvolvimento, de acordo com os protocolos estabeleci"&amp;"dos do programa. Auxiliar na manutenção dos registros de frequência necessários. Manter presença ativa e supervisão em todos os ambientes do programa, incluindo salas de aula internas, áreas de recreação externas, transições e quaisquer atividades externa"&amp;"s, para garantir a cobertura ininterrupta da proporção de crianças por adulto. Manter uma Licença de Professor Associado de Desenvolvimento Infantil (CTC) válida e em situação regular durante todo o ano letivo. Cumprir integralmente todas as normas de lic"&amp;"enciamento de creches da Califórnia, os padrões do programa CCTR e as políticas e procedimentos da Just 4 Kids Preschool. Interagir com as famílias matriculadas de forma profissional, respeitosa e acolhedora durante a chegada, a saída e em contatos eventu"&amp;"ais, de acordo com os padrões de envolvimento familiar do Centro. Participar de eventos de envolvimento familiar, comemorações do programa e atividades escolares, conforme orientação do Professor Principal ou do Diretor da Unidade. Direcionar as dúvidas d"&amp;"as famílias sobre o currículo, o progresso da criança ou assuntos do programa ao Professor Principal ou ao Diretor da Unidade, conforme apropriado. Participar das atividades de desenvolvimento profissional obrigatórias, reuniões de equipe e sessões de tre"&amp;"inamento do programa, conforme orientação do Diretor da Unidade. Colaborar com o Professor Principal e os demais membros da equipe para apoiar as metas da sala de aula, as iniciativas do programa e o programa acadêmico em geral. Aceitar e implementar o fe"&amp;"edback e a orientação pedagógica do Professor Principal de forma profissional e construtiva. Classificação da Função: 39-9011.00 - Cuidadores Infantis. A classificação e descrição da função/setor inclui informações gerais sobre o cargo, de acordo com o ON"&amp;"ET/OES e o Sistema de Classificação Industrial da América do Norte (NAICS). Consulte as Funções e a Ordem de Serviço para obter mais informações. Requisitos da Função: Experiência Necessária: Não. Requisitos Especiais: Certificação em primeiros socorros e"&amp;" RCP, aprovação na verificação de antecedentes criminais por abuso infantil, aprovação em exame médico, conclusão do treinamento para relatores de abuso infantil, conclusão do treinamento de saúde e segurança e licença válida de professor associado em des"&amp;"envolvimento infantil (requer 12 créditos universitários em educação/desenvolvimento infantil). Há vários turnos disponíveis: 6h às 15h, 7h15 às 16h15, 8h30 às 17h30, 9h às 18h e 9h30 às 18h30. Os funcionários devem ter disponibilidade para trabalhar em q"&amp;"ualquer um desses turnos, conforme a demanda. Número de horas por semana: 40 Horário de trabalho (início/término): 6h00 - 18h30")</f>
        <v>Auxiliar o(a) Professor(a) Principal na implementação das aulas diárias e atividades de aprendizagem estruturadas, alinhadas com os Fundamentos de Aprendizagem da Educação Infantil da Califórnia e com o currículo acadêmico aprovado pelo CCTR da Just 4 Kids Preschool. Apoiar a condução de atividades apropriadas ao desenvolvimento em todas as áreas de aprendizagem, incluindo linguagem, matemática básica, exploração científica, artes e artesanato, música, movimento e brincadeiras sociais. Preparar e organizar materiais de sala de aula, centros de aprendizagem e suprimentos didáticos sob a direção do(a) Professor(a) Principal ou do(a) Diretor(a) da Unidade, para garantir um ambiente de aprendizagem diário estruturado e estimulante. Reforçar as habilidades acadêmicas e sociais fundamentais apresentadas pelo(a) Professor(a) Principal ou pelo(a) Diretor(a) da Unidade, incluindo reconhecimento de cores, formas, números e letras, higiene pessoal, autorregulação e interação cooperativa com os colegas. Auxiliar na organização e limpeza da sala de aula antes, durante e após o horário do programa, de acordo com as normas de saúde, segurança e meio ambiente do Título 5. Supervisionar as crianças de forma atenta e contínua durante todo o horário do programa, incluindo aulas, transições entre atividades, brincadeiras ao ar livre e períodos de refeições e descanso. Atender às necessidades básicas diárias das crianças, incluindo nutrição, higiene, troca de fraldas (quando aplicável) e rotinas de autocuidado adequadas à idade. Apoiar o desenvolvimento socioemocional das crianças, modelando comportamentos positivos, apaziguando conflitos e reforçando habilidades sociais sob a orientação do(a) Professor(a) Principal. Manter relacionamentos consistentes e afetuosos com as crianças matriculadas durante todo o ano letivo, contribuindo para a continuidade do cuidado exigida pelos padrões de qualidade do programa CCTR. Auxiliar o(a) Professor(a) Principal na observação e documentação do progresso do desenvolvimento das crianças, comportamento diário e participação nas atividades do programa. Comunicar prontamente ao(à) Professor(a) Principal as observações sobre o comportamento da criança, problemas de saúde ou indicadores de desenvolvimento, de acordo com os protocolos estabelecidos do programa. Auxiliar na manutenção dos registros de frequência necessários. Manter presença ativa e supervisão em todos os ambientes do programa, incluindo salas de aula internas, áreas de recreação externas, transições e quaisquer atividades externas, para garantir a cobertura ininterrupta da proporção de crianças por adulto. Manter uma Licença de Professor Associado de Desenvolvimento Infantil (CTC) válida e em situação regular durante todo o ano letivo. Cumprir integralmente todas as normas de licenciamento de creches da Califórnia, os padrões do programa CCTR e as políticas e procedimentos da Just 4 Kids Preschool. Interagir com as famílias matriculadas de forma profissional, respeitosa e acolhedora durante a chegada, a saída e em contatos eventuais, de acordo com os padrões de envolvimento familiar do Centro. Participar de eventos de envolvimento familiar, comemorações do programa e atividades escolares, conforme orientação do Professor Principal ou do Diretor da Unidade. Direcionar as dúvidas das famílias sobre o currículo, o progresso da criança ou assuntos do programa ao Professor Principal ou ao Diretor da Unidade, conforme apropriado. Participar das atividades de desenvolvimento profissional obrigatórias, reuniões de equipe e sessões de treinamento do programa, conforme orientação do Diretor da Unidade. Colaborar com o Professor Principal e os demais membros da equipe para apoiar as metas da sala de aula, as iniciativas do programa e o programa acadêmico em geral. Aceitar e implementar o feedback e a orientação pedagógica do Professor Principal de forma profissional e construtiva. Classificação da Função: 39-9011.00 - Cuidadores Infantis. A classificação e descrição da função/setor inclui informações gerais sobre o cargo, de acordo com o ONET/OES e o Sistema de Classificação Industrial da América do Norte (NAICS). Consulte as Funções e a Ordem de Serviço para obter mais informações. Requisitos da Função: Experiência Necessária: Não. Requisitos Especiais: Certificação em primeiros socorros e RCP, aprovação na verificação de antecedentes criminais por abuso infantil, aprovação em exame médico, conclusão do treinamento para relatores de abuso infantil, conclusão do treinamento de saúde e segurança e licença válida de professor associado em desenvolvimento infantil (requer 12 créditos universitários em educação/desenvolvimento infantil). Há vários turnos disponíveis: 6h às 15h, 7h15 às 16h15, 8h30 às 17h30, 9h às 18h e 9h30 às 18h30. Os funcionários devem ter disponibilidade para trabalhar em qualquer um desses turnos, conforme a demanda. Número de horas por semana: 40 Horário de trabalho (início/término): 6h00 - 18h30</v>
      </c>
    </row>
    <row r="132" ht="20.25" customHeight="1">
      <c r="A132" s="3" t="s">
        <v>773</v>
      </c>
      <c r="B132" s="3" t="s">
        <v>774</v>
      </c>
      <c r="C132" s="3" t="s">
        <v>376</v>
      </c>
      <c r="D132" s="3" t="s">
        <v>28</v>
      </c>
      <c r="E132" s="4" t="s">
        <v>19</v>
      </c>
      <c r="F132" s="4" t="s">
        <v>20</v>
      </c>
      <c r="G132" s="4" t="s">
        <v>94</v>
      </c>
      <c r="H132" s="3" t="s">
        <v>775</v>
      </c>
      <c r="I132" s="3" t="s">
        <v>776</v>
      </c>
      <c r="J132" s="4">
        <v>16.16</v>
      </c>
      <c r="K132" s="4">
        <v>30.0</v>
      </c>
      <c r="L132" s="3" t="s">
        <v>777</v>
      </c>
      <c r="M132" s="3" t="s">
        <v>778</v>
      </c>
      <c r="N132" s="7" t="str">
        <f>IFERROR(__xludf.DUMMYFUNCTION("GOOGLETRANSLATE(L132, ""en"", ""pt"")"),"Operador de evaporador/caldeira de açúcar")</f>
        <v>Operador de evaporador/caldeira de açúcar</v>
      </c>
      <c r="O132" s="7" t="str">
        <f>IFERROR(__xludf.DUMMYFUNCTION("IF(M132="""","""",GOOGLETRANSLATE(M132,""en"",""pt""))"),"Operadores de Evaporador/Caldeiras de Açúcar - 30 vagas temporárias em tempo integral disponíveis em St. Martinville, LA, de 01/10/2026 a 31/01/2027 na LASUCA. Operar vasos de pressão a vapor para concentrar e cozinhar produtos contendo açúcar. Seguir os "&amp;"procedimentos de cozimento para atingir a combinação correta de temperatura e pressão para concentrar e cristalizar o açúcar. 48 horas/semana mais horas extras. As horas extras serão variáveis ​​e não são garantidas. $16,16/hora; $24,24/hora com horas ext"&amp;"ras, com base em uma semana de trabalho. O pagamento será feito quinzenalmente por cheque pelo empregador. A LASUCA fará todos os descontos exigidos por lei no contracheque do trabalhador. Trabalho em turnos: será necessário trabalhar em turnos variados d"&amp;"e 8 e 12 horas. Turnos disponíveis: 00h00-12h00; 12h00-00h00; 04h30-16h30; 16h30-04h30; 06h00-18h00; 18h00-06h00; 08h00-16h00; 16h00-00h00; 00h00-08h00. É necessário ter disponibilidade para trabalhar 7 dias por semana durante todo o período de moagem. Nã"&amp;"o há exigência de escolaridade mínima. Não será oferecido treinamento no local de trabalho. A LASUCA fornecerá aos trabalhadores americanos, no mínimo, os mesmos benefícios, salários e condições de trabalho oferecidos aos trabalhadores com visto H-2B. A L"&amp;"ASUCA fornecerá ao trabalhador, sem custo ou depósito, todas as ferramentas, suprimentos e equipamentos necessários para o desempenho das funções atribuídas. A LASUCA garante oferecer emprego equivalente a pelo menos 3/4 dos dias úteis de cada período de "&amp;"12 semanas do período total de emprego; e, caso a garantia não seja cumprida, o empregador pagará ao trabalhador o que ele teria recebido se o empregador tivesse oferecido o número de dias garantido. O período de 12 semanas começará no primeiro dia útil a"&amp;"pós a chegada do trabalhador ou na primeira data de necessidade contratual anunciada, o que ocorrer por último. Alojamento opcional no local de trabalho estará disponível para cada funcionário temporário sazonal contratado para a função. No entanto, o cus"&amp;"to razoável de alimentação (US$ 141,39 por período de pagamento), alojamento e instalações fornecidas ao funcionário será deduzido do salário do trabalhador (pago a cada duas semanas). Embora não seja obrigatório, o transporte de ida e volta entre o aloja"&amp;"mento e o local de trabalho estará disponível. No entanto, o custo razoável (US$ 26,12 por período de pagamento) do transporte diário até o local de trabalho será deduzido do salário do trabalhador (pago a cada duas semanas). Embora não seja obrigatório, "&amp;"os funcionários podem usufruir de um intervalo para refeição de 60 minutos diariamente. Caso optem por esse intervalo voluntariamente, não receberão remuneração durante esse período. Os uniformes estão disponíveis para compra opcional. Se adquiridos, o va"&amp;"lor do uniforme e o custo da lavagem (US$ 16,90 por período de pagamento) poderão ser descontados do salário do funcionário (pago quinzenalmente). O uso de uniforme não é obrigatório. O funcionário será reembolsado pelas despesas de transporte e alimentaç"&amp;"ão, desde o local de origem até o local de trabalho na LASUCA, seja nos EUA ou no exterior, até o local de trabalho, por meio de cheque emitido pelo empregador, após a conclusão de 50% do período de trabalho coberto pela ordem de serviço ou antes, se for "&amp;"o caso. Isso inclui um mínimo de US$ 16,78 por dia durante o deslocamento, até um máximo de US$ 68,00 por dia, mediante apresentação de comprovantes. Além disso, a LASUCA fornecerá ou pagará o transporte e a subsistência do trabalhador na ida, caso ele co"&amp;"mplete o período de trabalho contratado ou seja dispensado antecipadamente. A LASUCA reembolsará o trabalhador com visto H-2B na primeira semana de trabalho, cobrindo integralmente os custos de visto, processamento de visto, travessia de fronteira e outra"&amp;"s taxas relacionadas, incluindo aquelas exigidas pelo governo. A LASUCA fornecerá ou reembolsará os custos de transporte de ida e volta e a subsistência diária para os trabalhadores americanos correspondentes que não puderem retornar à sua residência no m"&amp;"esmo dia de trabalho. Todos os candidatos (trabalhadores americanos ou com visto H-2B) devem ser aprovados em um teste toxicológico antes da contratação para a vaga oferecida (teste toxicológico pré-admissional obrigatório). É exigido um (1) mês de experi"&amp;"ência profissional na função oferecida em uma usina de açúcar bruto. Salários mais altos podem ser oferecidos a trabalhadores com vasta experiência. Classificação da vaga: 51-3093.00 - Operadores e Auxiliares de Máquinas de Cozimento de Alimentos. A class"&amp;"ificação e descrição da vaga/setor inclui informações gerais sobre o cargo, conforme o ONET/OES e o Sistema de Classificação Industrial da América do Norte (NAICS). Consulte as Funções e a Ordem de Serviço para obter mais informações. Requisitos da vaga: "&amp;"Experiência necessária: Sim. Meses de experiência necessários: 1. Número de horas por semana: 48. Horário de trabalho (início/término): 8h às 16h.")</f>
        <v>Operadores de Evaporador/Caldeiras de Açúcar - 30 vagas temporárias em tempo integral disponíveis em St. Martinville, LA, de 01/10/2026 a 31/01/2027 na LASUCA. Operar vasos de pressão a vapor para concentrar e cozinhar produtos contendo açúcar. Seguir os procedimentos de cozimento para atingir a combinação correta de temperatura e pressão para concentrar e cristalizar o açúcar. 48 horas/semana mais horas extras. As horas extras serão variáveis ​​e não são garantidas. $16,16/hora; $24,24/hora com horas extras, com base em uma semana de trabalho. O pagamento será feito quinzenalmente por cheque pelo empregador. A LASUCA fará todos os descontos exigidos por lei no contracheque do trabalhador. Trabalho em turnos: será necessário trabalhar em turnos variados de 8 e 12 horas. Turnos disponíveis: 00h00-12h00; 12h00-00h00; 04h30-16h30; 16h30-04h30; 06h00-18h00; 18h00-06h00; 08h00-16h00; 16h00-00h00; 00h00-08h00. É necessário ter disponibilidade para trabalhar 7 dias por semana durante todo o período de moagem. Não há exigência de escolaridade mínima. Não será oferecido treinamento no local de trabalho. A LASUCA fornecerá aos trabalhadores americanos, no mínimo, os mesmos benefícios, salários e condições de trabalho oferecidos aos trabalhadores com visto H-2B. A LASUCA fornecerá ao trabalhador, sem custo ou depósito, todas as ferramentas, suprimentos e equipamentos necessários para o desempenho das funções atribuídas. A LASUCA garante oferecer emprego equivalente a pelo menos 3/4 dos dias úteis de cada período de 12 semanas do período total de emprego; e, caso a garantia não seja cumprida, o empregador pagará ao trabalhador o que ele teria recebido se o empregador tivesse oferecido o número de dias garantido. O período de 12 semanas começará no primeiro dia útil após a chegada do trabalhador ou na primeira data de necessidade contratual anunciada, o que ocorrer por último. Alojamento opcional no local de trabalho estará disponível para cada funcionário temporário sazonal contratado para a função. No entanto, o custo razoável de alimentação (US$ 141,39 por período de pagamento), alojamento e instalações fornecidas ao funcionário será deduzido do salário do trabalhador (pago a cada duas semanas). Embora não seja obrigatório, o transporte de ida e volta entre o alojamento e o local de trabalho estará disponível. No entanto, o custo razoável (US$ 26,12 por período de pagamento) do transporte diário até o local de trabalho será deduzido do salário do trabalhador (pago a cada duas semanas). Embora não seja obrigatório, os funcionários podem usufruir de um intervalo para refeição de 60 minutos diariamente. Caso optem por esse intervalo voluntariamente, não receberão remuneração durante esse período. Os uniformes estão disponíveis para compra opcional. Se adquiridos, o valor do uniforme e o custo da lavagem (US$ 16,90 por período de pagamento) poderão ser descontados do salário do funcionário (pago quinzenalmente). O uso de uniforme não é obrigatório. O funcionário será reembolsado pelas despesas de transporte e alimentação, desde o local de origem até o local de trabalho na LASUCA, seja nos EUA ou no exterior, até o local de trabalho, por meio de cheque emitido pelo empregador, após a conclusão de 50% do período de trabalho coberto pela ordem de serviço ou antes, se for o caso. Isso inclui um mínimo de US$ 16,78 por dia durante o deslocamento, até um máximo de US$ 68,00 por dia, mediante apresentação de comprovantes. Além disso, a LASUCA fornecerá ou pagará o transporte e a subsistência do trabalhador na ida, caso ele complete o período de trabalho contratado ou seja dispensado antecipadamente. A LASUCA reembolsará o trabalhador com visto H-2B na primeira semana de trabalho, cobrindo integralmente os custos de visto, processamento de visto, travessia de fronteira e outras taxas relacionadas, incluindo aquelas exigidas pelo governo. A LASUCA fornecerá ou reembolsará os custos de transporte de ida e volta e a subsistência diária para os trabalhadores americanos correspondentes que não puderem retornar à sua residência no mesmo dia de trabalho. Todos os candidatos (trabalhadores americanos ou com visto H-2B) devem ser aprovados em um teste toxicológico antes da contratação para a vaga oferecida (teste toxicológico pré-admissional obrigatório). É exigido um (1) mês de experiência profissional na função oferecida em uma usina de açúcar bruto. Salários mais altos podem ser oferecidos a trabalhadores com vasta experiência. Classificação da vaga: 51-3093.00 - Operadores e Auxiliares de Máquinas de Cozimento de Alimentos. A classificação e descrição da vaga/setor inclui informações gerais sobre o cargo, conforme o ONET/OES e o Sistema de Classificação Industrial da América do Norte (NAICS). Consulte as Funções e a Ordem de Serviço para obter mais informações. Requisitos da vaga: Experiência necessária: Sim. Meses de experiência necessários: 1. Número de horas por semana: 48. Horário de trabalho (início/término): 8h às 16h.</v>
      </c>
    </row>
    <row r="133" ht="20.25" customHeight="1">
      <c r="A133" s="8" t="s">
        <v>779</v>
      </c>
      <c r="B133" s="8" t="s">
        <v>780</v>
      </c>
      <c r="C133" s="8" t="s">
        <v>325</v>
      </c>
      <c r="D133" s="8" t="s">
        <v>64</v>
      </c>
      <c r="E133" s="9" t="s">
        <v>19</v>
      </c>
      <c r="F133" s="9" t="s">
        <v>20</v>
      </c>
      <c r="G133" s="9" t="s">
        <v>212</v>
      </c>
      <c r="H133" s="8" t="s">
        <v>781</v>
      </c>
      <c r="I133" s="8" t="s">
        <v>782</v>
      </c>
      <c r="J133" s="9">
        <v>14.19</v>
      </c>
      <c r="K133" s="9">
        <v>1.0</v>
      </c>
      <c r="L133" s="8" t="s">
        <v>783</v>
      </c>
      <c r="M133" s="8" t="s">
        <v>784</v>
      </c>
      <c r="N133" s="7" t="str">
        <f>IFERROR(__xludf.DUMMYFUNCTION("GOOGLETRANSLATE(L133, ""en"", ""pt"")"),"Babá residente (para crianças pequenas)")</f>
        <v>Babá residente (para crianças pequenas)</v>
      </c>
      <c r="O133" s="7" t="str">
        <f>IFERROR(__xludf.DUMMYFUNCTION("IF(M133="""","""",GOOGLETRANSLATE(M133,""en"",""pt""))"),"Babá residente responsável, carinhosa e proativa para apoiar a família e ajudar a cuidar de crianças pequenas em um ambiente seguro, estruturado e acolhedor. Principais Responsabilidades: • Oferecer cuidados atenciosos e afetuosos às crianças • Preparar a"&amp;"s crianças para a escola (rotinas matinais, refeições, mochilas, etc.) • Acompanhar as crianças com segurança de e para a escola (de bicicleta) • Planejar e participar de atividades apropriadas para a idade (educativas, ao ar livre, criativas) • Manter um"&amp;" ambiente limpo e organizado para as crianças (brinquedos, roupas, quartos) • Preparar refeições e lanches simples e saudáveis ​​para as crianças • Auxiliar nas rotinas noturnas (jantar, banho, hora de dormir quando necessário) • Acompanhar as crianças em"&amp;" eventos religiosos e oportunidades de educação religiosa. Classificação da Vaga: 39-9011.01 - Babás. A classificação e descrição da vaga/setor incluem informações gerais sobre o cargo, conforme o ONET/OES e o Sistema de Classificação Industrial da Améric"&amp;"a do Norte. Consulte as Funções e a Ordem de Serviço para obter mais informações. Requisitos da vaga Experiência necessária: Não Requisitos especiais: Sentir-se confortável e confiante ao andar de bicicleta regularmente (necessário para transporte escolar"&amp;") Não fumante Concordar em morar no local Número de horas por semana: 48 Horário de trabalho (início/término): 7h00 - 19h30")</f>
        <v>Babá residente responsável, carinhosa e proativa para apoiar a família e ajudar a cuidar de crianças pequenas em um ambiente seguro, estruturado e acolhedor. Principais Responsabilidades: • Oferecer cuidados atenciosos e afetuosos às crianças • Preparar as crianças para a escola (rotinas matinais, refeições, mochilas, etc.) • Acompanhar as crianças com segurança de e para a escola (de bicicleta) • Planejar e participar de atividades apropriadas para a idade (educativas, ao ar livre, criativas) • Manter um ambiente limpo e organizado para as crianças (brinquedos, roupas, quartos) • Preparar refeições e lanches simples e saudáveis ​​para as crianças • Auxiliar nas rotinas noturnas (jantar, banho, hora de dormir quando necessário) • Acompanhar as crianças em eventos religiosos e oportunidades de educação religiosa. Classificação da Vaga: 39-9011.01 - Babás. A classificação e descrição da vaga/setor incluem informações gerais sobre o cargo, conforme o ONET/OES e o Sistema de Classificação Industrial da América do Norte. Consulte as Funções e a Ordem de Serviço para obter mais informações. Requisitos da vaga Experiência necessária: Não Requisitos especiais: Sentir-se confortável e confiante ao andar de bicicleta regularmente (necessário para transporte escolar) Não fumante Concordar em morar no local Número de horas por semana: 48 Horário de trabalho (início/término): 7h00 - 19h30</v>
      </c>
    </row>
    <row r="134" ht="20.25" customHeight="1">
      <c r="A134" s="3" t="s">
        <v>785</v>
      </c>
      <c r="B134" s="3" t="s">
        <v>564</v>
      </c>
      <c r="C134" s="3" t="s">
        <v>63</v>
      </c>
      <c r="D134" s="3" t="s">
        <v>36</v>
      </c>
      <c r="E134" s="4" t="s">
        <v>44</v>
      </c>
      <c r="F134" s="4" t="s">
        <v>20</v>
      </c>
      <c r="G134" s="4" t="s">
        <v>146</v>
      </c>
      <c r="H134" s="3" t="s">
        <v>565</v>
      </c>
      <c r="I134" s="3" t="s">
        <v>566</v>
      </c>
      <c r="J134" s="4">
        <v>18.72</v>
      </c>
      <c r="K134" s="4">
        <v>10.0</v>
      </c>
      <c r="L134" s="3" t="s">
        <v>567</v>
      </c>
      <c r="M134" s="3" t="s">
        <v>568</v>
      </c>
      <c r="N134" s="7" t="str">
        <f>IFERROR(__xludf.DUMMYFUNCTION("GOOGLETRANSLATE(L134, ""en"", ""pt"")"),"Trabalhador de manutenção de terrenos")</f>
        <v>Trabalhador de manutenção de terrenos</v>
      </c>
      <c r="O134" s="7" t="str">
        <f>IFERROR(__xludf.DUMMYFUNCTION("IF(M134="""","""",GOOGLETRANSLATE(M134,""en"",""pt""))"),"Paisagismo e manutenção de terrenos. Os trabalhadores geralmente executam uma variedade de tarefas, que podem incluir qualquer combinação das seguintes: Operar equipamentos mecanizados, como cortadores de grama, cortadores de grama acoplados a tratores e "&amp;"roçadeiras para cortar grama/limpar mato; aparar/cortar bordas, remover lixo. Carregar/descarregar equipamentos. Diagnosticar/fazer reparos de rotina em equipamentos, conforme necessário. Deve exercer julgamento independente; pode ser solicitado a demonst"&amp;"rar tarefas a outros funcionários, mas a função não inclui a supervisão de outros trabalhadores. Classificação da função: 37-3011.00 - Trabalhadores de Paisagismo e Manutenção de Terrenos. A classificação e descrição da função/setor inclui informações ger"&amp;"ais sobre o cargo, de acordo com o ONET/OES e o Sistema de Classificação Industrial da América do Norte. Consulte as Funções e a Ordem de Serviço para obter mais informações. Requisitos da função: Experiência necessária: Sim. Meses de experiência necessár"&amp;"ios: 3. Requisitos especiais: Deve levantar/carregar 23 kg, quando necessário. Trabalho aos sábados e domingos, quando necessário. Testes aleatórios de drogas após a contratação, após acidentes e em caso de suspeita de uso são obrigatórios para trabalhado"&amp;"res estrangeiros e nacionais. A verificação de elegibilidade para emprego (e-Verify) após a contratação também é obrigatória para trabalhadores estrangeiros e nacionais. O empregador pode oferecer mais horas de trabalho do que as estipuladas, dependendo d"&amp;"o clima, das necessidades da empresa e de outras condições. Calor extremo, frio, chuva ou seca podem afetar o horário de trabalho exato. Número de horas por semana: 40. Horário de trabalho (início/término): 8h às 16h30.")</f>
        <v>Paisagismo e manutenção de terrenos. Os trabalhadores geralmente executam uma variedade de tarefas, que podem incluir qualquer combinação das seguintes: Operar equipamentos mecanizados, como cortadores de grama, cortadores de grama acoplados a tratores e roçadeiras para cortar grama/limpar mato; aparar/cortar bordas, remover lixo. Carregar/descarregar equipamentos. Diagnosticar/fazer reparos de rotina em equipamentos, conforme necessário. Deve exercer julgamento independente; pode ser solicitado a demonstrar tarefas a outros funcionários, mas a função não inclui a supervisão de outros trabalhadores. Classificação da função: 37-3011.00 - Trabalhadores de Paisagismo e Manutenção de Terrenos. A classificação e descrição da função/setor inclui informações gerais sobre o cargo, de acordo com o ONET/OES e o Sistema de Classificação Industrial da América do Norte. Consulte as Funções e a Ordem de Serviço para obter mais informações. Requisitos da função: Experiência necessária: Sim. Meses de experiência necessários: 3. Requisitos especiais: Deve levantar/carregar 23 kg, quando necessário. Trabalho aos sábados e domingos, quando necessário. Testes aleatórios de drogas após a contratação, após acidentes e em caso de suspeita de uso são obrigatórios para trabalhadores estrangeiros e nacionais. A verificação de elegibilidade para emprego (e-Verify) após a contratação também é obrigatória para trabalhadores estrangeiros e nacionais. O empregador pode oferecer mais horas de trabalho do que as estipuladas, dependendo do clima, das necessidades da empresa e de outras condições. Calor extremo, frio, chuva ou seca podem afetar o horário de trabalho exato. Número de horas por semana: 40. Horário de trabalho (início/término): 8h às 16h30.</v>
      </c>
    </row>
    <row r="135" ht="20.25" customHeight="1">
      <c r="A135" s="8" t="s">
        <v>786</v>
      </c>
      <c r="B135" s="8" t="s">
        <v>787</v>
      </c>
      <c r="C135" s="8" t="s">
        <v>169</v>
      </c>
      <c r="D135" s="8" t="s">
        <v>36</v>
      </c>
      <c r="E135" s="9" t="s">
        <v>19</v>
      </c>
      <c r="F135" s="9" t="s">
        <v>20</v>
      </c>
      <c r="G135" s="9" t="s">
        <v>307</v>
      </c>
      <c r="H135" s="8" t="s">
        <v>788</v>
      </c>
      <c r="I135" s="8"/>
      <c r="J135" s="9">
        <v>29.97</v>
      </c>
      <c r="K135" s="9">
        <v>2.0</v>
      </c>
      <c r="L135" s="8" t="s">
        <v>789</v>
      </c>
      <c r="M135" s="8" t="s">
        <v>790</v>
      </c>
      <c r="N135" s="7" t="str">
        <f>IFERROR(__xludf.DUMMYFUNCTION("GOOGLETRANSLATE(L135, ""en"", ""pt"")"),"Fabricante de terrazzo pré-moldado")</f>
        <v>Fabricante de terrazzo pré-moldado</v>
      </c>
      <c r="O135" s="7" t="str">
        <f>IFERROR(__xludf.DUMMYFUNCTION("IF(M135="""","""",GOOGLETRANSLATE(M135,""en"",""pt""))"),"***Resposta à Solicitação de Informações*** Os trabalhadores deverão operar empilhadeiras. ***Original*** Os trabalhadores serão responsáveis ​​pela produção de terrazzo pré-moldado. A produção envolve a medição e mistura precisas de matérias-primas, incl"&amp;"uindo componentes cimentícios, resinas epóxi e lascas de mármore, de acordo com fórmulas e especificações estabelecidas. Os materiais são medidos utilizando balanças e recipientes calibrados e misturados com equipamentos industriais para garantir consistê"&amp;"ncia e controle de qualidade. O material misturado é então colocado em moldes e compactado com desempenadeiras para garantir a correta incorporação dos agregados. As superfícies são então espalhadas, niveladas e acabadas com ferramentas manuais, como pinc"&amp;"éis e desempenadeiras, por acabadores de superfície treinados. Após a cura, os produtos de terrazzo são processados ​​com máquinas especializadas, incluindo polidoras de linha, serras de ponte e polidoras de leito, bem como ferramentas manuais elétricas e"&amp;" pneumáticas, para atingir o acabamento e a precisão dimensional necessários. Após a conclusão, os produtos acabados são limpos e selados de acordo com as especificações do fabricante, utilizando métodos de aplicação com pincel ou pulverizador. Classifica"&amp;"ção da Função: 47-2053.00 - Trabalhadores e Acabadores de Terrazzo. A classificação e descrição da função/setor inclui informações gerais sobre o cargo, de acordo com o ONET/OES e o Sistema de Classificação Industrial da América do Norte (NAICS). Consulte"&amp;" as Funções e a Ordem de Serviço para obter mais informações. Requisitos da Função Experiência Necessária: Não. Requisitos Especiais: Deve ser capaz de levantar/carregar 23 kg, quando necessário. Trabalho aos sábados e domingos, quando necessário. Teste a"&amp;"ntidrogas pago pelo empregador é obrigatório para trabalhadores estrangeiros e nacionais antes do início do trabalho e após a contratação, de forma aleatória. Operação de empilhadeiras é necessária para a função. Treinamento/certificação para operar empil"&amp;"hadeira, pago pelo empregador, disponível após o início do trabalho. O empregador pode oferecer mais horas de trabalho do que as indicadas, dependendo do clima, das necessidades da empresa e de outras condições. Número de Horas por Semana: 40. Horário de "&amp;"Trabalho (Início/Término): 8h às 17h.")</f>
        <v>***Resposta à Solicitação de Informações*** Os trabalhadores deverão operar empilhadeiras. ***Original*** Os trabalhadores serão responsáveis ​​pela produção de terrazzo pré-moldado. A produção envolve a medição e mistura precisas de matérias-primas, incluindo componentes cimentícios, resinas epóxi e lascas de mármore, de acordo com fórmulas e especificações estabelecidas. Os materiais são medidos utilizando balanças e recipientes calibrados e misturados com equipamentos industriais para garantir consistência e controle de qualidade. O material misturado é então colocado em moldes e compactado com desempenadeiras para garantir a correta incorporação dos agregados. As superfícies são então espalhadas, niveladas e acabadas com ferramentas manuais, como pincéis e desempenadeiras, por acabadores de superfície treinados. Após a cura, os produtos de terrazzo são processados ​​com máquinas especializadas, incluindo polidoras de linha, serras de ponte e polidoras de leito, bem como ferramentas manuais elétricas e pneumáticas, para atingir o acabamento e a precisão dimensional necessários. Após a conclusão, os produtos acabados são limpos e selados de acordo com as especificações do fabricante, utilizando métodos de aplicação com pincel ou pulverizador. Classificação da Função: 47-2053.00 - Trabalhadores e Acabadores de Terrazzo. A classificação e descrição da função/setor inclui informações gerais sobre o cargo, de acordo com o ONET/OES e o Sistema de Classificação Industrial da América do Norte (NAICS). Consulte as Funções e a Ordem de Serviço para obter mais informações. Requisitos da Função Experiência Necessária: Não. Requisitos Especiais: Deve ser capaz de levantar/carregar 23 kg, quando necessário. Trabalho aos sábados e domingos, quando necessário. Teste antidrogas pago pelo empregador é obrigatório para trabalhadores estrangeiros e nacionais antes do início do trabalho e após a contratação, de forma aleatória. Operação de empilhadeiras é necessária para a função. Treinamento/certificação para operar empilhadeira, pago pelo empregador, disponível após o início do trabalho. O empregador pode oferecer mais horas de trabalho do que as indicadas, dependendo do clima, das necessidades da empresa e de outras condições. Número de Horas por Semana: 40. Horário de Trabalho (Início/Término): 8h às 17h.</v>
      </c>
    </row>
    <row r="136" ht="20.25" customHeight="1">
      <c r="A136" s="3" t="s">
        <v>791</v>
      </c>
      <c r="B136" s="3" t="s">
        <v>570</v>
      </c>
      <c r="C136" s="3"/>
      <c r="D136" s="3" t="s">
        <v>284</v>
      </c>
      <c r="E136" s="4" t="s">
        <v>19</v>
      </c>
      <c r="F136" s="4" t="s">
        <v>20</v>
      </c>
      <c r="G136" s="4" t="s">
        <v>146</v>
      </c>
      <c r="H136" s="3" t="s">
        <v>571</v>
      </c>
      <c r="I136" s="3" t="s">
        <v>792</v>
      </c>
      <c r="J136" s="4">
        <v>13.7</v>
      </c>
      <c r="K136" s="4">
        <v>335.0</v>
      </c>
      <c r="L136" s="3" t="s">
        <v>573</v>
      </c>
      <c r="M136" s="3" t="s">
        <v>574</v>
      </c>
      <c r="N136" s="7" t="str">
        <f>IFERROR(__xludf.DUMMYFUNCTION("GOOGLETRANSLATE(L136, ""en"", ""pt"")"),"Limpeza de vegetação na faixa de domínio da concessionária")</f>
        <v>Limpeza de vegetação na faixa de domínio da concessionária</v>
      </c>
      <c r="O136" s="7" t="str">
        <f>IFERROR(__xludf.DUMMYFUNCTION("IF(M136="""","""",GOOGLETRANSLATE(M136,""en"",""pt""))"),"O trabalhador utilizará pulverizadores costais e ferramentas manuais para aplicar herbicida no controle ou limpeza da vegetação em faixas de servidão de concessionárias de serviços públicos, pastagens, áreas de vida selvagem, margens de estradas, áreas in"&amp;"dustriais e outras áreas, carregando até 16 kg de equipamento enquanto caminha até 16 km por dia em terrenos acidentados, frequentemente em condições climáticas adversas (calor intenso, plantas venenosas, insetos e cobras). O trabalhador deverá ser capaz "&amp;"de aplicar 75 litros de mistura para pulverização em um período de oito horas após três semanas de treinamento. O trabalho será realizado em áreas de tamanho variável, de menos de 0,4 hectare a milhares de hectares. As tarefas serão executadas em áreas de"&amp;"terminadas por um itinerário, de acordo com as Normas Florestais [Gal I-97] [FR Doc. E7-12766] [TEGL 27-6] e diversas outras publicações e práticas estabelecidas. Consulte o anexo CDR resposta P-400-13042-521868 14 de novembro de 2013 Classificação do Car"&amp;"go: 37-3011.00 - Trabalhadores de Paisagismo e Manutenção de Áreas Verdes A classificação e descrição do cargo/setor inclui informações gerais sobre a posição, conforme ONET/OES e o Sistema de Classificação Industrial da América do Norte (NAICS). Consulte"&amp;" as Funções e a Ordem de Serviço para obter mais informações. Requisitos do Cargo Experiência Necessária: Não Requisitos Especiais: Os candidatos devem ter 18 anos de idade e disponibilidade para viajar com pernoite por períodos prolongados. As habilidade"&amp;"s necessárias incluem identificação de folhagem, manuseio de herbicidas, procedimentos de segurança e técnicas de aplicação de herbicidas em baixa quantidade, após três semanas de treinamento na empresa. Não é necessário treinamento prévio, mas é obrigató"&amp;"rio participar de um treinamento pago pela empresa no local de início das atividades. A Progressive Solutions mantém um ambiente de trabalho livre de drogas, e os trabalhadores podem ser submetidos a testes de drogas pós-emprego, conforme exigido por cont"&amp;"ratos governamentais. Os estagiários que possuírem carteira de habilitação válida, atenderem a todos os padrões de direção da empresa e forem aprovados no teste de direção da empresa poderão receber horas extras para transportar trabalhadores e/ou materia"&amp;"is. A carga horária semanal pode variar devido às condições climáticas e aos prazos contratuais, sendo necessário trabalhar alguns sábados e domingos. Número de horas por semana: 40. Horário de trabalho (início/término): 7h30 às 15h.")</f>
        <v>O trabalhador utilizará pulverizadores costais e ferramentas manuais para aplicar herbicida no controle ou limpeza da vegetação em faixas de servidão de concessionárias de serviços públicos, pastagens, áreas de vida selvagem, margens de estradas, áreas industriais e outras áreas, carregando até 16 kg de equipamento enquanto caminha até 16 km por dia em terrenos acidentados, frequentemente em condições climáticas adversas (calor intenso, plantas venenosas, insetos e cobras). O trabalhador deverá ser capaz de aplicar 75 litros de mistura para pulverização em um período de oito horas após três semanas de treinamento. O trabalho será realizado em áreas de tamanho variável, de menos de 0,4 hectare a milhares de hectares. As tarefas serão executadas em áreas determinadas por um itinerário, de acordo com as Normas Florestais [Gal I-97] [FR Doc. E7-12766] [TEGL 27-6] e diversas outras publicações e práticas estabelecidas. Consulte o anexo CDR resposta P-400-13042-521868 14 de novembro de 2013 Classificação do Cargo: 37-3011.00 - Trabalhadores de Paisagismo e Manutenção de Áreas Verdes A classificação e descrição do cargo/setor inclui informações gerais sobre a posição, conforme ONET/OES e o Sistema de Classificação Industrial da América do Norte (NAICS). Consulte as Funções e a Ordem de Serviço para obter mais informações. Requisitos do Cargo Experiência Necessária: Não Requisitos Especiais: Os candidatos devem ter 18 anos de idade e disponibilidade para viajar com pernoite por períodos prolongados. As habilidades necessárias incluem identificação de folhagem, manuseio de herbicidas, procedimentos de segurança e técnicas de aplicação de herbicidas em baixa quantidade, após três semanas de treinamento na empresa. Não é necessário treinamento prévio, mas é obrigatório participar de um treinamento pago pela empresa no local de início das atividades. A Progressive Solutions mantém um ambiente de trabalho livre de drogas, e os trabalhadores podem ser submetidos a testes de drogas pós-emprego, conforme exigido por contratos governamentais. Os estagiários que possuírem carteira de habilitação válida, atenderem a todos os padrões de direção da empresa e forem aprovados no teste de direção da empresa poderão receber horas extras para transportar trabalhadores e/ou materiais. A carga horária semanal pode variar devido às condições climáticas e aos prazos contratuais, sendo necessário trabalhar alguns sábados e domingos. Número de horas por semana: 40. Horário de trabalho (início/término): 7h30 às 15h.</v>
      </c>
    </row>
    <row r="137" ht="20.25" customHeight="1">
      <c r="A137" s="8" t="s">
        <v>793</v>
      </c>
      <c r="B137" s="8" t="s">
        <v>794</v>
      </c>
      <c r="C137" s="8" t="s">
        <v>169</v>
      </c>
      <c r="D137" s="8" t="s">
        <v>795</v>
      </c>
      <c r="E137" s="9" t="s">
        <v>19</v>
      </c>
      <c r="F137" s="9" t="s">
        <v>20</v>
      </c>
      <c r="G137" s="9" t="s">
        <v>377</v>
      </c>
      <c r="H137" s="8" t="s">
        <v>796</v>
      </c>
      <c r="I137" s="8"/>
      <c r="J137" s="9">
        <v>22.29</v>
      </c>
      <c r="K137" s="9">
        <v>40.0</v>
      </c>
      <c r="L137" s="8" t="s">
        <v>797</v>
      </c>
      <c r="M137" s="8" t="s">
        <v>798</v>
      </c>
      <c r="N137" s="7" t="str">
        <f>IFERROR(__xludf.DUMMYFUNCTION("GOOGLETRANSLATE(L137, ""en"", ""pt"")"),"Operador de brinquedos de parque de diversões")</f>
        <v>Operador de brinquedos de parque de diversões</v>
      </c>
      <c r="O137" s="7" t="str">
        <f>IFERROR(__xludf.DUMMYFUNCTION("IF(M137="""","""",GOOGLETRANSLATE(M137,""en"",""pt""))"),"Os funcionários podem ser designados para trabalhar em diversas áreas e solicitados a executar todas as tarefas necessárias para trabalhar em barracas de comida móveis, brinquedos e/ou jogos de parque de diversões. Especificamente, os funcionários podem s"&amp;"er solicitados a auxiliar na montagem e desmontagem das barracas de comida móveis, na limpeza das mesmas e dos equipamentos em seu interior, no preparo e/ou serviço de diversos itens alimentícios, desde pipoca e algodão-doce até hambúrgueres, cachorros-qu"&amp;"entes e batatas fritas. Observação: ""cozinhar"" não é um requisito. Por exemplo, um funcionário pode ser solicitado a colocar açúcar na máquina de algodão-doce, enquanto outro pode ser solicitado a colocar grãos de pipoca na máquina de pipoca. Outros fun"&amp;"cionários podem ser solicitados a fritar batatas fritas, enquanto outro pode ser solicitado a aquecer cachorros-quentes ou hambúrgueres. Os funcionários designados para os brinquedos do parque de diversões podem ser solicitados a auxiliar na montagem e de"&amp;"smontagem dos mesmos, bem como a operar os brinquedos, cobrando taxas e/ou ingressos dos clientes e auxiliando-os no embarque e desembarque. Por exemplo, um funcionário pode ficar na entrada de uma atração recolhendo os ingressos dos clientes, enquanto ou"&amp;"tro pode ajudá-los a entrar nos carrinhos ou nas cabines. Os funcionários designados para jogos de parque de diversões podem ser solicitados a auxiliar na montagem e desmontagem dos jogos, bem como a atender os clientes nos jogos, recolhendo taxas e/ou in"&amp;"gressos, dando troco para pagamentos em dinheiro, explicando as regras do jogo aos clientes, auxiliando-os a jogar (como entregar uma bola para arremessar ou um anel para jogar), recolhendo e entregando prêmios aos vencedores. Os funcionários também podem"&amp;" ser designados para trabalhar em plantações de abóboras e/ou locais de venda de árvores de Natal. Classificação do Cargo: 35-2019.00 - Cozinheiros, Outros. A classificação e descrição do cargo/setor inclui informações gerais sobre a posição, de acordo co"&amp;"m o ONET/OES e o Sistema de Classificação Industrial da América do Norte. Consulte as Funções e a Ordem de Serviço para obter mais informações. Requisitos do Cargo: Experiência Necessária: Não. Requisitos Especiais: A semana de trabalho padrão é de 6 dias"&amp;", de terça a domingo. Deverá levantar/carregar até 23 kg (50 lbs), quando necessário. O empregador poderá oferecer uma jornada de trabalho superior à estipulada, dependendo das condições climáticas, das necessidades da empresa e de outros fatores. Calor e"&amp;"xtremo, frio intenso, chuva ou seca podem afetar o horário de trabalho exato. Número de horas por semana: 36. Horário de trabalho (início/término): 15h às 21h.")</f>
        <v>Os funcionários podem ser designados para trabalhar em diversas áreas e solicitados a executar todas as tarefas necessárias para trabalhar em barracas de comida móveis, brinquedos e/ou jogos de parque de diversões. Especificamente, os funcionários podem ser solicitados a auxiliar na montagem e desmontagem das barracas de comida móveis, na limpeza das mesmas e dos equipamentos em seu interior, no preparo e/ou serviço de diversos itens alimentícios, desde pipoca e algodão-doce até hambúrgueres, cachorros-quentes e batatas fritas. Observação: "cozinhar" não é um requisito. Por exemplo, um funcionário pode ser solicitado a colocar açúcar na máquina de algodão-doce, enquanto outro pode ser solicitado a colocar grãos de pipoca na máquina de pipoca. Outros funcionários podem ser solicitados a fritar batatas fritas, enquanto outro pode ser solicitado a aquecer cachorros-quentes ou hambúrgueres. Os funcionários designados para os brinquedos do parque de diversões podem ser solicitados a auxiliar na montagem e desmontagem dos mesmos, bem como a operar os brinquedos, cobrando taxas e/ou ingressos dos clientes e auxiliando-os no embarque e desembarque. Por exemplo, um funcionário pode ficar na entrada de uma atração recolhendo os ingressos dos clientes, enquanto outro pode ajudá-los a entrar nos carrinhos ou nas cabines. Os funcionários designados para jogos de parque de diversões podem ser solicitados a auxiliar na montagem e desmontagem dos jogos, bem como a atender os clientes nos jogos, recolhendo taxas e/ou ingressos, dando troco para pagamentos em dinheiro, explicando as regras do jogo aos clientes, auxiliando-os a jogar (como entregar uma bola para arremessar ou um anel para jogar), recolhendo e entregando prêmios aos vencedores. Os funcionários também podem ser designados para trabalhar em plantações de abóboras e/ou locais de venda de árvores de Natal. Classificação do Cargo: 35-2019.00 - Cozinheiros, Outros. A classificação e descrição do cargo/setor inclui informações gerais sobre a posição, de acordo com o ONET/OES e o Sistema de Classificação Industrial da América do Norte. Consulte as Funções e a Ordem de Serviço para obter mais informações. Requisitos do Cargo: Experiência Necessária: Não. Requisitos Especiais: A semana de trabalho padrão é de 6 dias, de terça a domingo. Deverá levantar/carregar até 23 kg (50 lbs), quando necessário. O empregador poderá oferecer uma jornada de trabalho superior à estipulada, dependendo das condições climáticas, das necessidades da empresa e de outros fatores. Calor extremo, frio intenso, chuva ou seca podem afetar o horário de trabalho exato. Número de horas por semana: 36. Horário de trabalho (início/término): 15h às 21h.</v>
      </c>
    </row>
    <row r="138" ht="20.25" customHeight="1">
      <c r="A138" s="3" t="s">
        <v>799</v>
      </c>
      <c r="B138" s="3" t="s">
        <v>800</v>
      </c>
      <c r="C138" s="3" t="s">
        <v>169</v>
      </c>
      <c r="D138" s="3" t="s">
        <v>284</v>
      </c>
      <c r="E138" s="4" t="s">
        <v>19</v>
      </c>
      <c r="F138" s="4" t="s">
        <v>20</v>
      </c>
      <c r="G138" s="4" t="s">
        <v>801</v>
      </c>
      <c r="H138" s="3" t="s">
        <v>802</v>
      </c>
      <c r="I138" s="3"/>
      <c r="J138" s="4">
        <v>19.34</v>
      </c>
      <c r="K138" s="4">
        <v>85.0</v>
      </c>
      <c r="L138" s="3" t="s">
        <v>803</v>
      </c>
      <c r="M138" s="3" t="s">
        <v>804</v>
      </c>
      <c r="N138" s="7" t="str">
        <f>IFERROR(__xludf.DUMMYFUNCTION("GOOGLETRANSLATE(L138, ""en"", ""pt"")"),"Trabalhadores Florestais e de Conservação")</f>
        <v>Trabalhadores Florestais e de Conservação</v>
      </c>
      <c r="O138" s="7" t="str">
        <f>IFERROR(__xludf.DUMMYFUNCTION("IF(M138="""","""",GOOGLETRANSLATE(M138,""en"",""pt""))"),"Trabalho manual itinerante, incluindo plantio mecânico de mudas de árvores, desbaste pré-comercial, aplicação de herbicidas, poda e manutenção de divisas para reflorestamento e conservação de áreas florestais. Utilização de equipamentos para plantio e des"&amp;"baste de árvores, aplicação de produtos químicos, preparação do terreno para plantio e execução de outros serviços florestais. Operação de trator com pneus ou esteiras. Lubrificação, abastecimento, ajuste e reparos emergenciais dos equipamentos. Trator Jo"&amp;"hn Deere 3105E Cab 2022: 4,10 m de comprimento e 2,44 m de largura, 4.648 kg, 105 cv e trator de esteiras D3-12L 2024, 3,28 m de comprimento e 2,11 m de largura, 9.697 kg, 104 cv. Plantio mecânico com espaçamento predefinido entre as árvores (4,27 m, 6,10"&amp;" m, etc.), e largura da linha. O plantio com pneus é utilizado em áreas abertas onde não há árvores, vegetação densa ou tocos. Defina um ponto de partida para o plantio, mantendo as fileiras retas durante a execução e garantindo a qualidade do plantio. O "&amp;"plantio com tratores de esteira é utilizado para plantar árvores mecanicamente em áreas que não são de campo aberto ou que não foram preparadas previamente. A parte frontal do trator de esteira possui uma lâmina em V que remove terra, vegetação, madeira c"&amp;"aída ou qualquer outro tipo de detrito das áreas de plantio. Inspecione o equipamento para garantir que a máquina esteja em boas condições e segura para operar. Verifique o óleo do motor, o fluido hidráulico, o fluido da transmissão, os pontos de lubrific"&amp;"ação e o líquido de arrefecimento do motor, removendo a tampa com ferramentas manuais, como uma chave inglesa. A inspeção do material rodante e dos pneus consiste em verificar a tensão da esteira e monitorar o desgaste dos roletes, rodas-guia e rodas dent"&amp;"adas; inspecionar a pressão dos pneus com um medidor, verificar se há cortes profundos ou detritos incrustados e garantir que as porcas das rodas estejam apertadas com uma chave inglesa. Verifique os filtros de ar e combustível. Selecione e corte as árvor"&amp;"es de acordo com as marcações ou tamanhos, tipos e qualidades. Identificar árvores doentes ou indesejáveis ​​e removê-las, utilizando motosserras ou serras manuais. Pulverizar a vegetação com herbicidas para reduzir a competição com outras plantas. Desbas"&amp;"tar e espaçar as árvores, utilizando motosserras de desbaste. Demarcar os limites da área. Como atividade secundária, coletar palha de pinheiro, retirar mudas de viveiros, realizar queimadas controladas sob a supervisão de bombeiros florestais ou técnicos"&amp;" florestais e realizar a manutenção da faixa de domínio para acessar as áreas de plantio. Trabalhadores que possuam ou obtenham um certificado MSPA com autorização para dirigir podem transportar outros trabalhadores, realizar contagens e verificações, e r"&amp;"eceber horas extras de trabalho. Ambiente de trabalho livre de drogas. Testes de drogas podem ser realizados durante todo o período de emprego, às custas do empregador. Essas funções envolvem a propagação, proteção e manejo de áreas florestais. Trabalhado"&amp;"res que possuam um Certificado de Empregado de Contratante de Trabalho Agrícola e operem um veículo da empresa inspecionado podem transportar membros da equipe de suas residências até o local de trabalho inicial e entre os locais de trabalho durante o exp"&amp;"ediente, conforme necessário, sob a supervisão do gerente. As tarefas de transporte são acessórias ao trabalho florestal principal que está sendo realizado. ""Contar e verificar"" refere-se à verificação da presença da equipe, contando os trabalhadores an"&amp;"tes da partida, na chegada ao local de trabalho e conforme necessário ao longo do dia de trabalho. Os trabalhadores que possuírem um Certificado FLCE válido poderão receber horas adicionais para o transporte da equipe de suas acomodações até o local de tr"&amp;"abalho inicial antes do início do dia de trabalho, sob supervisão do gerente. Essas funções se limitam às atividades de transporte autorizadas e a qualquer verificação de presença relacionada, necessária para garantir que todos os trabalhadores cheguem em"&amp;" segurança e sejam contabilizados antes do início das operações florestais. O transporte de trabalhadores pode ser realizado utilizando um veículo motorizado padrão com carteira de habilitação categoria D. Classificação da função: 45-4011.00 - Trabalhador"&amp;"es Florestais e de Conservação. A classificação e descrição da função/setor incluem informações gerais sobre o cargo, de acordo com o ONET/OES e o Sistema de Classificação Industrial da América do Norte. Consulte as Funções e a Ordem de Serviço para obter"&amp;" mais informações. Requisitos da função: Experiência exigida: Não. Requisitos especiais: Não são exigidos escolaridade ou experiência. É necessário ter 18 anos ou mais. Requer resistência física. Caminhadas extensas em terrenos acidentados. O trabalho é r"&amp;"ealizado em condições climáticas adversas. Deve levantar e carregar 23 kg. A meta de produção é de 7.500 mudas plantadas mecanicamente por dia de 7,5 horas, após uma semana de treinamento em serviço. O horário e o local de trabalho dependem das condições "&amp;"climáticas. É necessário passar por exames toxicológicos. Trabalho aos sábados e domingos será exigido, quando necessário. O empregador poderá oferecer mais horas de trabalho do que as estipuladas, dependendo do clima, das necessidades da empresa e de out"&amp;"ras circunstâncias. Calor extremo, frio, chuva ou seca podem afetar o horário de trabalho exato. Número de horas por semana: 36. Horário de trabalho (início/término): 8h às 16h.")</f>
        <v>Trabalho manual itinerante, incluindo plantio mecânico de mudas de árvores, desbaste pré-comercial, aplicação de herbicidas, poda e manutenção de divisas para reflorestamento e conservação de áreas florestais. Utilização de equipamentos para plantio e desbaste de árvores, aplicação de produtos químicos, preparação do terreno para plantio e execução de outros serviços florestais. Operação de trator com pneus ou esteiras. Lubrificação, abastecimento, ajuste e reparos emergenciais dos equipamentos. Trator John Deere 3105E Cab 2022: 4,10 m de comprimento e 2,44 m de largura, 4.648 kg, 105 cv e trator de esteiras D3-12L 2024, 3,28 m de comprimento e 2,11 m de largura, 9.697 kg, 104 cv. Plantio mecânico com espaçamento predefinido entre as árvores (4,27 m, 6,10 m, etc.), e largura da linha. O plantio com pneus é utilizado em áreas abertas onde não há árvores, vegetação densa ou tocos. Defina um ponto de partida para o plantio, mantendo as fileiras retas durante a execução e garantindo a qualidade do plantio. O plantio com tratores de esteira é utilizado para plantar árvores mecanicamente em áreas que não são de campo aberto ou que não foram preparadas previamente. A parte frontal do trator de esteira possui uma lâmina em V que remove terra, vegetação, madeira caída ou qualquer outro tipo de detrito das áreas de plantio. Inspecione o equipamento para garantir que a máquina esteja em boas condições e segura para operar. Verifique o óleo do motor, o fluido hidráulico, o fluido da transmissão, os pontos de lubrificação e o líquido de arrefecimento do motor, removendo a tampa com ferramentas manuais, como uma chave inglesa. A inspeção do material rodante e dos pneus consiste em verificar a tensão da esteira e monitorar o desgaste dos roletes, rodas-guia e rodas dentadas; inspecionar a pressão dos pneus com um medidor, verificar se há cortes profundos ou detritos incrustados e garantir que as porcas das rodas estejam apertadas com uma chave inglesa. Verifique os filtros de ar e combustível. Selecione e corte as árvores de acordo com as marcações ou tamanhos, tipos e qualidades. Identificar árvores doentes ou indesejáveis ​​e removê-las, utilizando motosserras ou serras manuais. Pulverizar a vegetação com herbicidas para reduzir a competição com outras plantas. Desbastar e espaçar as árvores, utilizando motosserras de desbaste. Demarcar os limites da área. Como atividade secundária, coletar palha de pinheiro, retirar mudas de viveiros, realizar queimadas controladas sob a supervisão de bombeiros florestais ou técnicos florestais e realizar a manutenção da faixa de domínio para acessar as áreas de plantio. Trabalhadores que possuam ou obtenham um certificado MSPA com autorização para dirigir podem transportar outros trabalhadores, realizar contagens e verificações, e receber horas extras de trabalho. Ambiente de trabalho livre de drogas. Testes de drogas podem ser realizados durante todo o período de emprego, às custas do empregador. Essas funções envolvem a propagação, proteção e manejo de áreas florestais. Trabalhadores que possuam um Certificado de Empregado de Contratante de Trabalho Agrícola e operem um veículo da empresa inspecionado podem transportar membros da equipe de suas residências até o local de trabalho inicial e entre os locais de trabalho durante o expediente, conforme necessário, sob a supervisão do gerente. As tarefas de transporte são acessórias ao trabalho florestal principal que está sendo realizado. "Contar e verificar" refere-se à verificação da presença da equipe, contando os trabalhadores antes da partida, na chegada ao local de trabalho e conforme necessário ao longo do dia de trabalho. Os trabalhadores que possuírem um Certificado FLCE válido poderão receber horas adicionais para o transporte da equipe de suas acomodações até o local de trabalho inicial antes do início do dia de trabalho, sob supervisão do gerente. Essas funções se limitam às atividades de transporte autorizadas e a qualquer verificação de presença relacionada, necessária para garantir que todos os trabalhadores cheguem em segurança e sejam contabilizados antes do início das operações florestais. O transporte de trabalhadores pode ser realizado utilizando um veículo motorizado padrão com carteira de habilitação categoria D. Classificação da função: 45-4011.00 - Trabalhadores Florestais e de Conservação. A classificação e descrição da função/setor incluem informações gerais sobre o cargo, de acordo com o ONET/OES e o Sistema de Classificação Industrial da América do Norte. Consulte as Funções e a Ordem de Serviço para obter mais informações. Requisitos da função: Experiência exigida: Não. Requisitos especiais: Não são exigidos escolaridade ou experiência. É necessário ter 18 anos ou mais. Requer resistência física. Caminhadas extensas em terrenos acidentados. O trabalho é realizado em condições climáticas adversas. Deve levantar e carregar 23 kg. A meta de produção é de 7.500 mudas plantadas mecanicamente por dia de 7,5 horas, após uma semana de treinamento em serviço. O horário e o local de trabalho dependem das condições climáticas. É necessário passar por exames toxicológicos. Trabalho aos sábados e domingos será exigido, quando necessário. O empregador poderá oferecer mais horas de trabalho do que as estipuladas, dependendo do clima, das necessidades da empresa e de outras circunstâncias. Calor extremo, frio, chuva ou seca podem afetar o horário de trabalho exato. Número de horas por semana: 36. Horário de trabalho (início/término): 8h às 16h.</v>
      </c>
    </row>
    <row r="139" ht="20.25" customHeight="1">
      <c r="A139" s="8" t="s">
        <v>805</v>
      </c>
      <c r="B139" s="8" t="s">
        <v>800</v>
      </c>
      <c r="C139" s="8" t="s">
        <v>169</v>
      </c>
      <c r="D139" s="8" t="s">
        <v>284</v>
      </c>
      <c r="E139" s="9" t="s">
        <v>44</v>
      </c>
      <c r="F139" s="9" t="s">
        <v>20</v>
      </c>
      <c r="G139" s="9" t="s">
        <v>806</v>
      </c>
      <c r="H139" s="8" t="s">
        <v>802</v>
      </c>
      <c r="I139" s="8"/>
      <c r="J139" s="9">
        <v>18.99</v>
      </c>
      <c r="K139" s="9">
        <v>155.0</v>
      </c>
      <c r="L139" s="8" t="s">
        <v>334</v>
      </c>
      <c r="M139" s="8" t="s">
        <v>807</v>
      </c>
      <c r="N139" s="7" t="str">
        <f>IFERROR(__xludf.DUMMYFUNCTION("GOOGLETRANSLATE(L139, ""en"", ""pt"")"),"Trabalhadores Florestais")</f>
        <v>Trabalhadores Florestais</v>
      </c>
      <c r="O139" s="7" t="str">
        <f>IFERROR(__xludf.DUMMYFUNCTION("IF(M139="""","""",GOOGLETRANSLATE(M139,""en"",""pt""))"),"Trabalho manual itinerante de plantio manual de mudas de árvores, desbaste pré-comercial, aplicação de herbicidas, poda e manutenção de divisas para reflorestamento e manutenção de áreas florestais. Semear, cultivar e transportar mudas de árvores em sacos"&amp;" próprios para mudas. Plantar mudas de árvores de raiz nua ou em contêineres usando pá, enxada, plantadeira de solo ou enxada mecânica. Cavar buracos em intervalos predeterminados e inserir a muda. Compactar o solo ao redor da planta com o pé e ferramenta"&amp;" de plantio. Selecionar o local ideal para o plantio, considerando espaçamento, tipo de solo e necessidades de sombra. Solo exposto. O trabalhador pode executar apenas parte da função de plantio, como carregar o solo, operar a perfuratriz ou compactar o s"&amp;"olo ao redor da planta. Identificar árvores doentes ou indesejáveis ​​e removê-las, usando serras elétricas ou serras manuais. Usar um pulverizador costal ou outras ferramentas manuais para pulverizar ou injetar inseticidas na vegetação para matar insetos"&amp;" e proteger contra doenças, e herbicidas para reduzir a competição com outras plantas. Desbastar e espaçar as árvores, usando serras de desbaste motorizadas. Demarcar as divisas. Cortar arbustos e outras vegetações, podendo também triturar detritos e remo"&amp;"ver resíduos de áreas de plantio, estradas, aceiros e árvores remanescentes (exceto para trabalhadores que cortam árvores adultas). Podar ou aparar copas e galhos de árvores para controlar o crescimento e aumentar a densidade, e podar galhos de árvores jo"&amp;"vens para evitar o crescimento de nós, utilizando serra manual, motosserra e ferramentas de poda ou outros equipamentos manuais. Atividades secundárias incluem coletar palha de pinheiro, retirar mudas de árvores de canteiros ou fileiras de árvores e coloc"&amp;"á-las em bandejas de campo, separar mudas de árvores na floresta ou no viveiro, remover mudas de árvores das bandejas de campo, descartar mudas de árvores abaixo do padrão, aplicar repelente ou fertilizante em mudas de árvores e conversar com outros traba"&amp;"lhadores para discutir questões como segurança. Essas funções envolvem a propagação, proteção e manejo de áreas florestais. Testes de drogas podem ser realizados durante todo o período de emprego, sem custo para o trabalhador. O empregador pode pagar uma "&amp;"taxa por produção de US$ 30,00 a US$ 35,00 por 1.000 árvores plantadas corretamente, ou o salário vigente na área de emprego pretendida, o que for maior. Classificação da Função: 45-4011.00 - Trabalhadores Florestais e de Conservação. A classificação e de"&amp;"scrição da função/setor inclui informações gerais sobre o cargo, de acordo com o ONET/OES e o Sistema de Classificação Industrial da América do Norte (NAICS). Consulte as Funções e a Ordem de Serviço para obter mais informações. Requisitos da Função Exper"&amp;"iência Necessária: Não. Requisitos Especiais: Não é necessário escolaridade ou experiência prévia. É preciso ter 18 anos ou mais. Requer resistência física. Caminhadas extensas em terrenos acidentados. O trabalho é realizado em condições climáticas advers"&amp;"as. É necessário levantar e carregar 23 kg. Meta de produção de 1875 árvores plantadas corretamente por dia de 7,5 horas após uma semana de treinamento em serviço. O horário e os locais de trabalho dependem das condições climáticas. É necessário passar po"&amp;"r exames toxicológicos. O empregador pode oferecer mais horas de trabalho do que as estipuladas, dependendo do clima, das necessidades da empresa e de outras condições. Calor extremo, frio, chuva ou seca podem afetar o horário de trabalho exato. Número de"&amp;" Horas por Semana: 36. Horário de Trabalho (Início/Término): 8h às 16h.")</f>
        <v>Trabalho manual itinerante de plantio manual de mudas de árvores, desbaste pré-comercial, aplicação de herbicidas, poda e manutenção de divisas para reflorestamento e manutenção de áreas florestais. Semear, cultivar e transportar mudas de árvores em sacos próprios para mudas. Plantar mudas de árvores de raiz nua ou em contêineres usando pá, enxada, plantadeira de solo ou enxada mecânica. Cavar buracos em intervalos predeterminados e inserir a muda. Compactar o solo ao redor da planta com o pé e ferramenta de plantio. Selecionar o local ideal para o plantio, considerando espaçamento, tipo de solo e necessidades de sombra. Solo exposto. O trabalhador pode executar apenas parte da função de plantio, como carregar o solo, operar a perfuratriz ou compactar o solo ao redor da planta. Identificar árvores doentes ou indesejáveis ​​e removê-las, usando serras elétricas ou serras manuais. Usar um pulverizador costal ou outras ferramentas manuais para pulverizar ou injetar inseticidas na vegetação para matar insetos e proteger contra doenças, e herbicidas para reduzir a competição com outras plantas. Desbastar e espaçar as árvores, usando serras de desbaste motorizadas. Demarcar as divisas. Cortar arbustos e outras vegetações, podendo também triturar detritos e remover resíduos de áreas de plantio, estradas, aceiros e árvores remanescentes (exceto para trabalhadores que cortam árvores adultas). Podar ou aparar copas e galhos de árvores para controlar o crescimento e aumentar a densidade, e podar galhos de árvores jovens para evitar o crescimento de nós, utilizando serra manual, motosserra e ferramentas de poda ou outros equipamentos manuais. Atividades secundárias incluem coletar palha de pinheiro, retirar mudas de árvores de canteiros ou fileiras de árvores e colocá-las em bandejas de campo, separar mudas de árvores na floresta ou no viveiro, remover mudas de árvores das bandejas de campo, descartar mudas de árvores abaixo do padrão, aplicar repelente ou fertilizante em mudas de árvores e conversar com outros trabalhadores para discutir questões como segurança. Essas funções envolvem a propagação, proteção e manejo de áreas florestais. Testes de drogas podem ser realizados durante todo o período de emprego, sem custo para o trabalhador. O empregador pode pagar uma taxa por produção de US$ 30,00 a US$ 35,00 por 1.000 árvores plantadas corretamente, ou o salário vigente na área de emprego pretendida, o que for maior. Classificação da Função: 45-4011.00 - Trabalhadores Florestais e de Conservação. A classificação e descrição da função/setor inclui informações gerais sobre o cargo, de acordo com o ONET/OES e o Sistema de Classificação Industrial da América do Norte (NAICS). Consulte as Funções e a Ordem de Serviço para obter mais informações. Requisitos da Função Experiência Necessária: Não. Requisitos Especiais: Não é necessário escolaridade ou experiência prévia. É preciso ter 18 anos ou mais. Requer resistência física. Caminhadas extensas em terrenos acidentados. O trabalho é realizado em condições climáticas adversas. É necessário levantar e carregar 23 kg. Meta de produção de 1875 árvores plantadas corretamente por dia de 7,5 horas após uma semana de treinamento em serviço. O horário e os locais de trabalho dependem das condições climáticas. É necessário passar por exames toxicológicos. O empregador pode oferecer mais horas de trabalho do que as estipuladas, dependendo do clima, das necessidades da empresa e de outras condições. Calor extremo, frio, chuva ou seca podem afetar o horário de trabalho exato. Número de Horas por Semana: 36. Horário de Trabalho (Início/Término): 8h às 16h.</v>
      </c>
    </row>
    <row r="140" ht="20.25" customHeight="1">
      <c r="A140" s="3" t="s">
        <v>808</v>
      </c>
      <c r="B140" s="3" t="s">
        <v>809</v>
      </c>
      <c r="C140" s="3" t="s">
        <v>139</v>
      </c>
      <c r="D140" s="3" t="s">
        <v>51</v>
      </c>
      <c r="E140" s="4" t="s">
        <v>19</v>
      </c>
      <c r="F140" s="4" t="s">
        <v>20</v>
      </c>
      <c r="G140" s="4" t="s">
        <v>369</v>
      </c>
      <c r="H140" s="3" t="s">
        <v>810</v>
      </c>
      <c r="I140" s="3" t="s">
        <v>811</v>
      </c>
      <c r="J140" s="4">
        <v>17.86</v>
      </c>
      <c r="K140" s="4">
        <v>60.0</v>
      </c>
      <c r="L140" s="3" t="s">
        <v>812</v>
      </c>
      <c r="M140" s="3" t="s">
        <v>813</v>
      </c>
      <c r="N140" s="7" t="str">
        <f>IFERROR(__xludf.DUMMYFUNCTION("GOOGLETRANSLATE(L140, ""en"", ""pt"")"),"Trabalhador Florestal Geral")</f>
        <v>Trabalhador Florestal Geral</v>
      </c>
      <c r="O140" s="7" t="str">
        <f>IFERROR(__xludf.DUMMYFUNCTION("IF(M140="""","""",GOOGLETRANSLATE(M140,""en"",""pt""))"),"As funções podem incluir: operar equipamentos florestais, plantar árvores ou outras plantas usando hastes de plantio ou enxadas, aplicar soluções químicas nas plantas para protegê-las contra doenças ou insetos ou para estimular o crescimento usando pulver"&amp;"izadores costais e outras atividades gerais de trabalhador florestal, conforme SOC/OES 45-4011 (onetonline.org). Horário padrão/esperado: segunda a sexta, das 7h30 às 16h30. Oferecemos mais de 40 horas semanais, sem incluir almoço e/ou intervalos. Possibi"&amp;"lidade de trabalho em fins de semana e feriados. Os horários de início e término, a carga horária e/ou horas extras podem variar, pois dependem de fatores como necessidades do projeto/cronograma/serviço, condições climáticas e tempo de deslocamento entre "&amp;"os locais de trabalho (se aplicável). Horas extras são possíveis, mas não obrigatórias nem garantidas. A critério exclusivo do empregador: aumentos salariais e/ou bônus podem ser concedidos com base em fatores individuais, como desempenho ou habilidades ("&amp;"não garantidos). Pagamento por produção pode ser aplicado: o trabalhador nunca receberá menos do que o Salário Vigente ou o salário mínimo federal/estadual/local. Moradia compartilhada opcional disponível sem custo para o trabalhador. Classificação do Car"&amp;"go: 45-4011.00 - Trabalhadores Florestais e de Conservação. A classificação e descrição do cargo/setor incluem informações gerais sobre a posição, de acordo com o ONET/OES e o Sistema de Classificação Industrial da América do Norte. Consulte as Funções e "&amp;"a Ordem de Serviço para obter mais informações. Requisitos do Cargo Experiência Necessária: Não. Requisitos Especiais: Deve ter 18 anos devido a viagens. Deve apresentar comprovante de autorização legal para trabalhar nos Estados Unidos. Zona de trabalho "&amp;"livre de drogas, álcool e tabaco. Deve caminhar bastante (até 24 km/dia), além de se abaixar e se curvar carregando uma mochila (até 18 kg) em terrenos acidentados (fora de trilhas). Todos os candidatos devem ser capazes, dispostos e qualificados para exe"&amp;"cutar o trabalho descrito e devem estar disponíveis durante todo o período especificado e trabalhar em todas as áreas de atuação pretendidas. O trabalho é realizado ao ar livre, exposto às intempéries. O candidato deve ser capaz de realizar trabalhos fisi"&amp;"camente extenuantes por longos períodos, ocasionalmente em condições de calor ou frio extremos. As condições climáticas são variáveis; a carga horária pode sofrer alterações, com possibilidade de períodos de inatividade e/ou horas extras. Número de horas "&amp;"semanais: 40. Horário de trabalho (início/término): 7h30 às 16h30.")</f>
        <v>As funções podem incluir: operar equipamentos florestais, plantar árvores ou outras plantas usando hastes de plantio ou enxadas, aplicar soluções químicas nas plantas para protegê-las contra doenças ou insetos ou para estimular o crescimento usando pulverizadores costais e outras atividades gerais de trabalhador florestal, conforme SOC/OES 45-4011 (onetonline.org). Horário padrão/esperado: segunda a sexta, das 7h30 às 16h30. Oferecemos mais de 40 horas semanais, sem incluir almoço e/ou intervalos. Possibilidade de trabalho em fins de semana e feriados. Os horários de início e término, a carga horária e/ou horas extras podem variar, pois dependem de fatores como necessidades do projeto/cronograma/serviço, condições climáticas e tempo de deslocamento entre os locais de trabalho (se aplicável). Horas extras são possíveis, mas não obrigatórias nem garantidas. A critério exclusivo do empregador: aumentos salariais e/ou bônus podem ser concedidos com base em fatores individuais, como desempenho ou habilidades (não garantidos). Pagamento por produção pode ser aplicado: o trabalhador nunca receberá menos do que o Salário Vigente ou o salário mínimo federal/estadual/local. Moradia compartilhada opcional disponível sem custo para o trabalhador. Classificação do Cargo: 45-4011.00 - Trabalhadores Florestais e de Conservação. A classificação e descrição do cargo/setor incluem informações gerais sobre a posição, de acordo com o ONET/OES e o Sistema de Classificação Industrial da América do Norte. Consulte as Funções e a Ordem de Serviço para obter mais informações. Requisitos do Cargo Experiência Necessária: Não. Requisitos Especiais: Deve ter 18 anos devido a viagens. Deve apresentar comprovante de autorização legal para trabalhar nos Estados Unidos. Zona de trabalho livre de drogas, álcool e tabaco. Deve caminhar bastante (até 24 km/dia), além de se abaixar e se curvar carregando uma mochila (até 18 kg) em terrenos acidentados (fora de trilhas). Todos os candidatos devem ser capazes, dispostos e qualificados para executar o trabalho descrito e devem estar disponíveis durante todo o período especificado e trabalhar em todas as áreas de atuação pretendidas. O trabalho é realizado ao ar livre, exposto às intempéries. O candidato deve ser capaz de realizar trabalhos fisicamente extenuantes por longos períodos, ocasionalmente em condições de calor ou frio extremos. As condições climáticas são variáveis; a carga horária pode sofrer alterações, com possibilidade de períodos de inatividade e/ou horas extras. Número de horas semanais: 40. Horário de trabalho (início/término): 7h30 às 16h30.</v>
      </c>
    </row>
    <row r="141" ht="20.25" customHeight="1">
      <c r="A141" s="8" t="s">
        <v>814</v>
      </c>
      <c r="B141" s="8" t="s">
        <v>815</v>
      </c>
      <c r="C141" s="8" t="s">
        <v>125</v>
      </c>
      <c r="D141" s="8" t="s">
        <v>344</v>
      </c>
      <c r="E141" s="9" t="s">
        <v>44</v>
      </c>
      <c r="F141" s="9" t="s">
        <v>20</v>
      </c>
      <c r="G141" s="9" t="s">
        <v>80</v>
      </c>
      <c r="H141" s="8" t="s">
        <v>816</v>
      </c>
      <c r="I141" s="8" t="s">
        <v>817</v>
      </c>
      <c r="J141" s="9">
        <v>19.19</v>
      </c>
      <c r="K141" s="9">
        <v>10.0</v>
      </c>
      <c r="L141" s="8" t="s">
        <v>818</v>
      </c>
      <c r="M141" s="8" t="s">
        <v>819</v>
      </c>
      <c r="N141" s="7" t="str">
        <f>IFERROR(__xludf.DUMMYFUNCTION("GOOGLETRANSLATE(L141, ""en"", ""pt"")"),"Ajudante/operário de produção")</f>
        <v>Ajudante/operário de produção</v>
      </c>
      <c r="O141" s="7" t="str">
        <f>IFERROR(__xludf.DUMMYFUNCTION("IF(M141="""","""",GOOGLETRANSLATE(M141,""en"",""pt""))"),"Auxiliar os operários na produção de estátuas ornamentais de concreto, incluindo mistura, moldagem, vibração de moldes e remoção das estátuas dos moldes, executando tarefas que exigem menos habilidade. Os auxiliares serão responsáveis ​​por fornecer ou se"&amp;"gurar materiais e ferramentas, além de limpar a área de trabalho e os equipamentos. Eles carregarão matérias-primas (pedra, areia, cimento e água) em uma betoneira rotativa usando baldes, auxiliando os operários qualificados na preparação da mistura de co"&amp;"ncreto dentro da betoneira. Para auxiliar na moldagem, os auxiliares usarão pás manuais para colocar o cimento dentro dos moldes, utilizando uma mesa vibratória. Usarão uma furadeira manual a bateria para remover porcas e parafusos dos moldes, facilitando"&amp;" a remoção das estátuas. Após a remoção da estátua pelos funcionários mais experientes, os auxiliares remontarão os moldes usando as mesmas ferramentas. O trabalho será realizado em uma unidade de produção fixa. Classificação da Função: 51-9195.00 - Molda"&amp;"dores, Modeladores e Fundidores, exceto de Metal e Plástico. A classificação e descrição da função/setor inclui informações gerais sobre o cargo, conforme o ONET/OES e o Sistema de Classificação Industrial da América do Norte (NAICS). Consulte as Funções "&amp;"e a Ordem de Serviço para obter mais informações. Requisitos da Função Experiência Necessária: Não. Requisitos Especiais: Capacidade de levantar 13,6 kg repetidamente e 34 kg ocasionalmente, realizar movimentos repetitivos, empurrar/puxar com frequência, "&amp;"agachar-se frequentemente e caminhar por longos períodos. Número de Horas por Semana: 40. Horário de Trabalho (Início/Término): 7h às 16h.")</f>
        <v>Auxiliar os operários na produção de estátuas ornamentais de concreto, incluindo mistura, moldagem, vibração de moldes e remoção das estátuas dos moldes, executando tarefas que exigem menos habilidade. Os auxiliares serão responsáveis ​​por fornecer ou segurar materiais e ferramentas, além de limpar a área de trabalho e os equipamentos. Eles carregarão matérias-primas (pedra, areia, cimento e água) em uma betoneira rotativa usando baldes, auxiliando os operários qualificados na preparação da mistura de concreto dentro da betoneira. Para auxiliar na moldagem, os auxiliares usarão pás manuais para colocar o cimento dentro dos moldes, utilizando uma mesa vibratória. Usarão uma furadeira manual a bateria para remover porcas e parafusos dos moldes, facilitando a remoção das estátuas. Após a remoção da estátua pelos funcionários mais experientes, os auxiliares remontarão os moldes usando as mesmas ferramentas. O trabalho será realizado em uma unidade de produção fixa. Classificação da Função: 51-9195.00 - Moldadores, Modeladores e Fundidores, exceto de Metal e Plástico. A classificação e descrição da função/setor inclui informações gerais sobre o cargo, conforme o ONET/OES e o Sistema de Classificação Industrial da América do Norte (NAICS). Consulte as Funções e a Ordem de Serviço para obter mais informações. Requisitos da Função Experiência Necessária: Não. Requisitos Especiais: Capacidade de levantar 13,6 kg repetidamente e 34 kg ocasionalmente, realizar movimentos repetitivos, empurrar/puxar com frequência, agachar-se frequentemente e caminhar por longos períodos. Número de Horas por Semana: 40. Horário de Trabalho (Início/Término): 7h às 16h.</v>
      </c>
    </row>
    <row r="142" ht="20.25" customHeight="1">
      <c r="A142" s="3" t="s">
        <v>820</v>
      </c>
      <c r="B142" s="3" t="s">
        <v>821</v>
      </c>
      <c r="C142" s="3" t="s">
        <v>125</v>
      </c>
      <c r="D142" s="3" t="s">
        <v>596</v>
      </c>
      <c r="E142" s="4" t="s">
        <v>44</v>
      </c>
      <c r="F142" s="4" t="s">
        <v>20</v>
      </c>
      <c r="G142" s="4" t="s">
        <v>307</v>
      </c>
      <c r="H142" s="3" t="s">
        <v>822</v>
      </c>
      <c r="I142" s="3" t="s">
        <v>823</v>
      </c>
      <c r="J142" s="4">
        <v>26.41</v>
      </c>
      <c r="K142" s="4">
        <v>12.0</v>
      </c>
      <c r="L142" s="3" t="s">
        <v>824</v>
      </c>
      <c r="M142" s="3" t="s">
        <v>593</v>
      </c>
      <c r="N142" s="7" t="str">
        <f>IFERROR(__xludf.DUMMYFUNCTION("GOOGLETRANSLATE(L142, ""en"", ""pt"")"),"Operário de Produção")</f>
        <v>Operário de Produção</v>
      </c>
      <c r="O142" s="7" t="str">
        <f>IFERROR(__xludf.DUMMYFUNCTION("IF(M142="""","""",GOOGLETRANSLATE(M142,""en"",""pt""))"),"Preparar e carregar caminhões-tanque de açúcar líquido para envio, produzir lotes conforme as instruções do cronograma de produção, incluindo o manuseio de ingredientes em diferentes tamanhos de embalagem, em forma seca e líquida, medir e adicionar os ing"&amp;"redientes ao lote de acordo com as instruções de mistura. Monitorar os lotes utilizando equipamentos analíticos básicos (medidor de pH, termômetro, refratômetro), realizar testes de garantia de qualidade em mercadorias e produtos, organizar o estoque de f"&amp;"orma acessível, manter a qualidade e a conservação dos equipamentos do armazém, incluindo máquinas, e cumprir todas as normas de segurança alimentar, qualidade e segurança do trabalho. Preparar e carregar caminhões-tanque de açúcar líquido para envio, inc"&amp;"luindo a produção de lotes conforme as instruções do cronograma de produção, manuseando materiais e ingredientes em diferentes tamanhos de embalagem, em forma seca e líquida, utilizados na produção e distribuição de açúcar, medindo e adicionando os ingred"&amp;"ientes ao lote de acordo com as instruções de mistura, e monitorando os lotes utilizando equipamentos analíticos básicos, incluindo medidor de pH, termômetro e refratômetro. Outras responsabilidades incluem carregar, descarregar, movimentar e organizar tu"&amp;"bulações, mangueiras, válvulas, bombas, transportadores, materiais de embalagem, componentes estruturais e equipamentos de transferência de açúcar; auxiliar na instalação e montagem de componentes da linha de produção e carregamento. Os trabalhadores util"&amp;"izarão ferramentas manuais, ferramentas elétricas, paleteiras, empilhadeiras, carrinhos, guindastes, instrumentos de medição, equipamentos de embalagem, bombas, esteiras transportadoras, sistemas de tubulação e equipamentos analíticos básicos. A manutençã"&amp;"o da qualidade e conservação dos equipamentos do armazém, incluindo máquinas, consiste em: Os trabalhadores limparão, inspecionarão, monitorarão e realizarão a manutenção operacional básica dos equipamentos de armazém e produção utilizados nas operações d"&amp;"a refinaria de açúcar. As tarefas específicas incluem a limpeza de máquinas e áreas de trabalho; a remoção de resíduos de açúcar, poeira, detritos e materiais de embalagem; a inspeção dos equipamentos para verificar desgaste visível, vazamentos ou problem"&amp;"as operacionais; a verificação dos níveis de fluidos e o relato das necessidades de manutenção aos supervisores; o auxílio na configuração e desligamento rotineiros dos equipamentos; a lubrificação de peças acessíveis das máquinas, conforme instruções; e "&amp;"a garantia de que os equipamentos e as áreas do armazém permaneçam organizados e seguros para as operações. Os trabalhadores podem auxiliar na manutenção de esteiras transportadoras, bombas, paleteiras, empilhadeiras, sistemas de carregamento de tanques, "&amp;"equipamentos de embalagem, misturadores, mangueiras, sistemas de tubulação e outras máquinas de manuseio e armazenamento de açúcar. Os trabalhadores não realizam trabalhos de reparo mecânico, elétrico ou técnico que exijam licença. Ferramentas, equipament"&amp;"os e materiais utilizados incluem vassouras, esfregões, mangueiras, soluções de limpeza, lavadoras de alta pressão, panos, pistolas de graxa, ferramentas manuais como chaves e chaves de fenda, paletes, paleteiras, empilhadeiras, esteiras transportadoras, "&amp;"bombas, equipamentos de carregamento e máquinas de embalagem. Classificação da função: 53-7072.00 - Operadores de Bombas, exceto Bombeadores de Cabeça de Poço. A classificação e descrição da função/setor inclui informações gerais sobre o cargo, de acordo "&amp;"com o ONET/OES e o Sistema de Classificação Industrial da América do Norte (NAICS). Consulte as Funções e a Ordem de Serviço para obter mais informações. Requisitos da função: Experiência necessária: Sim. Meses de experiência necessários: 3. Requisitos es"&amp;"peciais: Experiência na indústria alimentícia é preferencial; experiência na indústria de açúcar ou adoçantes é uma vantagem. Deve demonstrar aptidão mecânica razoável para trabalhar com e compreender equipamentos de processamento. Deve ter assiduidade. O"&amp;" trabalho pode exigir flexão, inclinação, agachamento, ajoelhamento e abaixamento; capacidade de receber informações detalhadas por meio de comunicação verbal e escrita em inglês ou espanhol; capacidade de expressar ou trocar ideias verbalmente em inglês "&amp;"ou espanhol. Capacidade de levantar até 23 kg. É necessário o uso de ambas as mãos. O trabalho é realizado principalmente em ambientes internos, com algumas atividades externas. Requer-se 3 meses de experiência. Número de horas por semana: 40. Horário de "&amp;"trabalho (início/término): 7h às 16h.")</f>
        <v>Preparar e carregar caminhões-tanque de açúcar líquido para envio, produzir lotes conforme as instruções do cronograma de produção, incluindo o manuseio de ingredientes em diferentes tamanhos de embalagem, em forma seca e líquida, medir e adicionar os ingredientes ao lote de acordo com as instruções de mistura. Monitorar os lotes utilizando equipamentos analíticos básicos (medidor de pH, termômetro, refratômetro), realizar testes de garantia de qualidade em mercadorias e produtos, organizar o estoque de forma acessível, manter a qualidade e a conservação dos equipamentos do armazém, incluindo máquinas, e cumprir todas as normas de segurança alimentar, qualidade e segurança do trabalho. Preparar e carregar caminhões-tanque de açúcar líquido para envio, incluindo a produção de lotes conforme as instruções do cronograma de produção, manuseando materiais e ingredientes em diferentes tamanhos de embalagem, em forma seca e líquida, utilizados na produção e distribuição de açúcar, medindo e adicionando os ingredientes ao lote de acordo com as instruções de mistura, e monitorando os lotes utilizando equipamentos analíticos básicos, incluindo medidor de pH, termômetro e refratômetro. Outras responsabilidades incluem carregar, descarregar, movimentar e organizar tubulações, mangueiras, válvulas, bombas, transportadores, materiais de embalagem, componentes estruturais e equipamentos de transferência de açúcar; auxiliar na instalação e montagem de componentes da linha de produção e carregamento. Os trabalhadores utilizarão ferramentas manuais, ferramentas elétricas, paleteiras, empilhadeiras, carrinhos, guindastes, instrumentos de medição, equipamentos de embalagem, bombas, esteiras transportadoras, sistemas de tubulação e equipamentos analíticos básicos. A manutenção da qualidade e conservação dos equipamentos do armazém, incluindo máquinas, consiste em: Os trabalhadores limparão, inspecionarão, monitorarão e realizarão a manutenção operacional básica dos equipamentos de armazém e produção utilizados nas operações da refinaria de açúcar. As tarefas específicas incluem a limpeza de máquinas e áreas de trabalho; a remoção de resíduos de açúcar, poeira, detritos e materiais de embalagem; a inspeção dos equipamentos para verificar desgaste visível, vazamentos ou problemas operacionais; a verificação dos níveis de fluidos e o relato das necessidades de manutenção aos supervisores; o auxílio na configuração e desligamento rotineiros dos equipamentos; a lubrificação de peças acessíveis das máquinas, conforme instruções; e a garantia de que os equipamentos e as áreas do armazém permaneçam organizados e seguros para as operações. Os trabalhadores podem auxiliar na manutenção de esteiras transportadoras, bombas, paleteiras, empilhadeiras, sistemas de carregamento de tanques, equipamentos de embalagem, misturadores, mangueiras, sistemas de tubulação e outras máquinas de manuseio e armazenamento de açúcar. Os trabalhadores não realizam trabalhos de reparo mecânico, elétrico ou técnico que exijam licença. Ferramentas, equipamentos e materiais utilizados incluem vassouras, esfregões, mangueiras, soluções de limpeza, lavadoras de alta pressão, panos, pistolas de graxa, ferramentas manuais como chaves e chaves de fenda, paletes, paleteiras, empilhadeiras, esteiras transportadoras, bombas, equipamentos de carregamento e máquinas de embalagem. Classificação da função: 53-7072.00 - Operadores de Bombas, exceto Bombeadores de Cabeça de Poço. A classificação e descrição da função/setor inclui informações gerais sobre o cargo, de acordo com o ONET/OES e o Sistema de Classificação Industrial da América do Norte (NAICS). Consulte as Funções e a Ordem de Serviço para obter mais informações. Requisitos da função: Experiência necessária: Sim. Meses de experiência necessários: 3. Requisitos especiais: Experiência na indústria alimentícia é preferencial; experiência na indústria de açúcar ou adoçantes é uma vantagem. Deve demonstrar aptidão mecânica razoável para trabalhar com e compreender equipamentos de processamento. Deve ter assiduidade. O trabalho pode exigir flexão, inclinação, agachamento, ajoelhamento e abaixamento; capacidade de receber informações detalhadas por meio de comunicação verbal e escrita em inglês ou espanhol; capacidade de expressar ou trocar ideias verbalmente em inglês ou espanhol. Capacidade de levantar até 23 kg. É necessário o uso de ambas as mãos. O trabalho é realizado principalmente em ambientes internos, com algumas atividades externas. Requer-se 3 meses de experiência. Número de horas por semana: 40. Horário de trabalho (início/término): 7h às 16h.</v>
      </c>
    </row>
    <row r="143" ht="20.25" customHeight="1">
      <c r="A143" s="8" t="s">
        <v>825</v>
      </c>
      <c r="B143" s="8" t="s">
        <v>826</v>
      </c>
      <c r="C143" s="8" t="s">
        <v>169</v>
      </c>
      <c r="D143" s="8" t="s">
        <v>284</v>
      </c>
      <c r="E143" s="9" t="s">
        <v>19</v>
      </c>
      <c r="F143" s="9" t="s">
        <v>20</v>
      </c>
      <c r="G143" s="9" t="s">
        <v>56</v>
      </c>
      <c r="H143" s="8" t="s">
        <v>827</v>
      </c>
      <c r="I143" s="8" t="s">
        <v>828</v>
      </c>
      <c r="J143" s="9">
        <v>15.49</v>
      </c>
      <c r="K143" s="9">
        <v>4.0</v>
      </c>
      <c r="L143" s="8" t="s">
        <v>829</v>
      </c>
      <c r="M143" s="8" t="s">
        <v>830</v>
      </c>
      <c r="N143" s="7" t="str">
        <f>IFERROR(__xludf.DUMMYFUNCTION("GOOGLETRANSLATE(L143, ""en"", ""pt"")"),"Manutenção de Campo de Golfe")</f>
        <v>Manutenção de Campo de Golfe</v>
      </c>
      <c r="O143" s="7" t="str">
        <f>IFERROR(__xludf.DUMMYFUNCTION("IF(M143="""","""",GOOGLETRANSLATE(M143,""en"",""pt""))"),"Manter o campo de golfe em condições de jogo, utilizando ferramentas manuais e elétricas, como roçadeiras, sopradores e cortadores de grama de giro zero. Cortar/rastelar a grama alta, os greens e o fairway. Cavar/rastelar/capinar/cobrir com mulch as áreas"&amp;" circundantes. Conectar mangueiras/sistemas de irrigação. Limpar bunkers/preencher buracos. Pode plantar/podar/regar árvores, arbustos e flores. Nível inicial, requer supervisão. Classificação da vaga: 37-3011.00 - Trabalhadores de Paisagismo e Manutenção"&amp;" de Jardins. A classificação e descrição da vaga/setor inclui informações gerais sobre o cargo, de acordo com o ONET/OES e o Sistema de Classificação Industrial da América do Norte. Consulte as Funções e a Ordem de Serviço para obter mais informações. Req"&amp;"uisitos da vaga: Experiência necessária: Não. Requisitos especiais: Deve ser capaz de levantar/carregar 45 kg, quando necessário. Trabalho aos sábados e domingos, quando necessário. Verificação de antecedentes criminais após a contratação, obrigatória par"&amp;"a trabalhadores estrangeiros e nacionais. Deve possuir ou ser capaz de obter carteira de habilitação americana em até 30 dias após a contratação. O empregador poderá oferecer uma jornada de trabalho superior à estipulada, dependendo das condições climátic"&amp;"as, das necessidades da empresa e de outros fatores. Calor extremo, frio intenso, chuva ou seca podem afetar o horário de trabalho exato. Número de horas por semana: 42. Horário de trabalho (início/término): 6h30 às 15h.")</f>
        <v>Manter o campo de golfe em condições de jogo, utilizando ferramentas manuais e elétricas, como roçadeiras, sopradores e cortadores de grama de giro zero. Cortar/rastelar a grama alta, os greens e o fairway. Cavar/rastelar/capinar/cobrir com mulch as áreas circundantes. Conectar mangueiras/sistemas de irrigação. Limpar bunkers/preencher buracos. Pode plantar/podar/regar árvores, arbustos e flores. Nível inicial, requer supervisão. Classificação da vaga: 37-3011.00 - Trabalhadores de Paisagismo e Manutenção de Jardins. A classificação e descrição da vaga/setor inclui informações gerais sobre o cargo, de acordo com o ONET/OES e o Sistema de Classificação Industrial da América do Norte. Consulte as Funções e a Ordem de Serviço para obter mais informações. Requisitos da vaga: Experiência necessária: Não. Requisitos especiais: Deve ser capaz de levantar/carregar 45 kg, quando necessário. Trabalho aos sábados e domingos, quando necessário. Verificação de antecedentes criminais após a contratação, obrigatória para trabalhadores estrangeiros e nacionais. Deve possuir ou ser capaz de obter carteira de habilitação americana em até 30 dias após a contratação. O empregador poderá oferecer uma jornada de trabalho superior à estipulada, dependendo das condições climáticas, das necessidades da empresa e de outros fatores. Calor extremo, frio intenso, chuva ou seca podem afetar o horário de trabalho exato. Número de horas por semana: 42. Horário de trabalho (início/término): 6h30 às 15h.</v>
      </c>
    </row>
    <row r="144" ht="20.25" customHeight="1">
      <c r="A144" s="3" t="s">
        <v>831</v>
      </c>
      <c r="B144" s="3" t="s">
        <v>832</v>
      </c>
      <c r="C144" s="3" t="s">
        <v>169</v>
      </c>
      <c r="D144" s="3" t="s">
        <v>833</v>
      </c>
      <c r="E144" s="4" t="s">
        <v>44</v>
      </c>
      <c r="F144" s="4" t="s">
        <v>20</v>
      </c>
      <c r="G144" s="4" t="s">
        <v>146</v>
      </c>
      <c r="H144" s="3" t="s">
        <v>834</v>
      </c>
      <c r="I144" s="3" t="s">
        <v>835</v>
      </c>
      <c r="J144" s="4">
        <v>16.74</v>
      </c>
      <c r="K144" s="4">
        <v>4.0</v>
      </c>
      <c r="L144" s="3" t="s">
        <v>836</v>
      </c>
      <c r="M144" s="3" t="s">
        <v>837</v>
      </c>
      <c r="N144" s="7" t="str">
        <f>IFERROR(__xludf.DUMMYFUNCTION("GOOGLETRANSLATE(L144, ""en"", ""pt"")"),"ajudante de encanador")</f>
        <v>ajudante de encanador</v>
      </c>
      <c r="O144" s="7" t="str">
        <f>IFERROR(__xludf.DUMMYFUNCTION("IF(M144="""","""",GOOGLETRANSLATE(M144,""en"",""pt""))"),"Auxiliar o encarregado realizando uma variedade de trabalhos físicos e tarefas básicas de encanamento relacionadas à manutenção de poços artesianos e instalação de bombas. Cavar valas usando pás ou picaretas, limpar a área de trabalho e os equipamentos, l"&amp;"evantar/carregar/segurar/cortar materiais. Classificação da vaga: 47-3015.00 - Ajudantes - Encanadores, Instaladores de Tubulações e Instaladores de Tubulações de Vapor. A classificação e descrição da vaga/setor incluem informações gerais sobre o cargo, d"&amp;"e acordo com o ONET/OES e o Sistema de Classificação Industrial da América do Norte (NAICS). Consulte as Funções e a Ordem de Serviço para obter mais informações. Requisitos da vaga: Experiência exigida: Não. Requisitos especiais: Deve ser capaz de levant"&amp;"ar/carregar 23 kg, quando necessário. Trabalho aos sábados e domingos, quando necessário. Testes toxicológicos pós-contratação, em caso de suspeita de uso e após acidente, são obrigatórios para trabalhadores estrangeiros e nacionais. Carteira de habilitaç"&amp;"ão exigida apenas para trabalhadores estrangeiros e nacionais que dirigem veículos da empresa (dirigir não é um requisito para todos os funcionários da vaga). O empregador poderá oferecer uma jornada de trabalho superior à estipulada, dependendo das condi"&amp;"ções climáticas, das necessidades da empresa e de outros fatores. Calor extremo, frio intenso, chuva ou seca podem afetar o horário de trabalho exato. Número de horas por semana: 40. Horário de trabalho (início/término): 7h30 às 17h.")</f>
        <v>Auxiliar o encarregado realizando uma variedade de trabalhos físicos e tarefas básicas de encanamento relacionadas à manutenção de poços artesianos e instalação de bombas. Cavar valas usando pás ou picaretas, limpar a área de trabalho e os equipamentos, levantar/carregar/segurar/cortar materiais. Classificação da vaga: 47-3015.00 - Ajudantes - Encanadores, Instaladores de Tubulações e Instaladores de Tubulações de Vapor. A classificação e descrição da vaga/setor incluem informações gerais sobre o cargo, de acordo com o ONET/OES e o Sistema de Classificação Industrial da América do Norte (NAICS). Consulte as Funções e a Ordem de Serviço para obter mais informações. Requisitos da vaga: Experiência exigida: Não. Requisitos especiais: Deve ser capaz de levantar/carregar 23 kg, quando necessário. Trabalho aos sábados e domingos, quando necessário. Testes toxicológicos pós-contratação, em caso de suspeita de uso e após acidente, são obrigatórios para trabalhadores estrangeiros e nacionais. Carteira de habilitação exigida apenas para trabalhadores estrangeiros e nacionais que dirigem veículos da empresa (dirigir não é um requisito para todos os funcionários da vaga). O empregador poderá oferecer uma jornada de trabalho superior à estipulada, dependendo das condições climáticas, das necessidades da empresa e de outros fatores. Calor extremo, frio intenso, chuva ou seca podem afetar o horário de trabalho exato. Número de horas por semana: 40. Horário de trabalho (início/término): 7h30 às 17h.</v>
      </c>
    </row>
    <row r="145" ht="20.25" customHeight="1">
      <c r="A145" s="8" t="s">
        <v>838</v>
      </c>
      <c r="B145" s="8" t="s">
        <v>839</v>
      </c>
      <c r="C145" s="8" t="s">
        <v>125</v>
      </c>
      <c r="D145" s="8" t="s">
        <v>306</v>
      </c>
      <c r="E145" s="9" t="s">
        <v>19</v>
      </c>
      <c r="F145" s="9" t="s">
        <v>20</v>
      </c>
      <c r="G145" s="9" t="s">
        <v>56</v>
      </c>
      <c r="H145" s="8" t="s">
        <v>840</v>
      </c>
      <c r="I145" s="8" t="s">
        <v>841</v>
      </c>
      <c r="J145" s="9">
        <v>19.2</v>
      </c>
      <c r="K145" s="9">
        <v>30.0</v>
      </c>
      <c r="L145" s="8" t="s">
        <v>129</v>
      </c>
      <c r="M145" s="8" t="s">
        <v>842</v>
      </c>
      <c r="N145" s="7" t="str">
        <f>IFERROR(__xludf.DUMMYFUNCTION("GOOGLETRANSLATE(L145, ""en"", ""pt"")"),"Trabalhador de paisagismo e manutenção de jardins")</f>
        <v>Trabalhador de paisagismo e manutenção de jardins</v>
      </c>
      <c r="O145" s="7" t="str">
        <f>IFERROR(__xludf.DUMMYFUNCTION("IF(M145="""","""",GOOGLETRANSLATE(M145,""en"",""pt""))"),"As funções incluem a instalação de árvores, arbustos ou flores durante o período de dormência, seguindo o padrão de design apropriado. Isso inclui descarregar materiais, cavar buracos para o sistema radicular, cobrir os buracos adequadamente e, às vezes, "&amp;"colocar grama em placas, plantar sementes de grama ou conectar a irrigação. Também envolve a remoção de folhas, plantio de sementes e palha, aeração do gramado, plantio de arbustos, escavação, rastelagem e instalação de blocos de concreto pré-moldados sem"&amp;" argamassa. Os trabalhadores podem coletar e remover lixo, regar gramados, árvores e plantas semeadas, além de podar árvores, arbustos ou sebes. Podem operar equipamentos motorizados e dirigir veículos até os locais dos clientes. As tarefas podem incluir "&amp;"colocação de grama em placas, corte de grama, rega de plantas e gramados, transplante de plantas, fertilização, escavação, rastelagem e instalação de aspersores. Os funcionários cavarão valas com no máximo 15 a 30 cm de profundidade e 15 a 30 cm de largur"&amp;"a com pás e ferramentas manuais. Essas valas são usadas para acomodar a tubulação utilizada na instalação de sistemas de irrigação. Toda a poda/aparamento será feita no solo. Os trabalhadores não realizarão nenhuma atividade de poda ou corte acima do níve"&amp;"l do solo. O trabalhador poderá transportar outros trabalhadores de e para os locais de trabalho ocasionalmente, porém essa não será sua principal função. Os trabalhadores poderão operar equipamentos motorizados de jardinagem, incluindo cortadores de gram"&amp;"a, aparadores de borda, sopradores, roçadeiras, roçadeiras de jardim, pequenos tratores e equipamentos similares. Os trabalhadores poderão dirigir caminhonetes e outros veículos leves da empresa para ir e voltar dos locais de trabalho dos clientes. Os tra"&amp;"balhadores poderão ocasionalmente transportar outros trabalhadores de e para os locais de trabalho; no entanto, o transporte de trabalhadores não é uma função principal. Os trabalhadores também poderão ocasionalmente transportar materiais, ferramentas e e"&amp;"quipamentos de jardinagem de e para os locais de trabalho, incluindo cobertura morta, plantas em vasos, pás, ancinhos, cortadores de grama, sopradores e roçadeiras de jardim. Nenhum material perigoso será transportado pelos trabalhadores. Todos os veículo"&amp;"s e equipamentos operados têm peso bruto total inferior a 26.000 libras (aproximadamente 11.800 kg), incluindo quaisquer reboques acoplados ou materiais transportados. Classificação da Função: 37-3011.00 - Trabalhadores de Paisagismo e Manutenção de Jardi"&amp;"ns. A classificação e descrição da função/setor inclui informações gerais sobre o cargo, de acordo com o ONET/OES e o Sistema de Classificação Industrial da América do Norte (NAICS). Consulte as Funções e a Ordem de Serviço para obter mais informações. Re"&amp;"quisitos da Função Experiência Necessária: Sim Meses de Experiência Necessários: 3 Requisitos Especiais: Carteira de habilitação válida obrigatória. Capacidade de levantar 23 kg. Movimentos repetitivos, empurrar/puxar com frequência, caminhar bastante, ag"&amp;"achar-se frequentemente, exposição a temperaturas extremas. 3 meses de experiência em paisagismo obrigatórios. Exame toxicológico pós-admissional por conta do empregador. De acordo com a legislação estadual de Michigan, Lei 338 de Licença Médica Remunerad"&amp;"a, os empregadores são obrigados a fornecer licença médica remunerada aos seus funcionários. A quantidade de licença médica remunerada concedida pode variar dependendo do porte da empresa. Número de Horas por Semana: 40 Horário de Trabalho (Início/Término"&amp;"): 7h às 16h.")</f>
        <v>As funções incluem a instalação de árvores, arbustos ou flores durante o período de dormência, seguindo o padrão de design apropriado. Isso inclui descarregar materiais, cavar buracos para o sistema radicular, cobrir os buracos adequadamente e, às vezes, colocar grama em placas, plantar sementes de grama ou conectar a irrigação. Também envolve a remoção de folhas, plantio de sementes e palha, aeração do gramado, plantio de arbustos, escavação, rastelagem e instalação de blocos de concreto pré-moldados sem argamassa. Os trabalhadores podem coletar e remover lixo, regar gramados, árvores e plantas semeadas, além de podar árvores, arbustos ou sebes. Podem operar equipamentos motorizados e dirigir veículos até os locais dos clientes. As tarefas podem incluir colocação de grama em placas, corte de grama, rega de plantas e gramados, transplante de plantas, fertilização, escavação, rastelagem e instalação de aspersores. Os funcionários cavarão valas com no máximo 15 a 30 cm de profundidade e 15 a 30 cm de largura com pás e ferramentas manuais. Essas valas são usadas para acomodar a tubulação utilizada na instalação de sistemas de irrigação. Toda a poda/aparamento será feita no solo. Os trabalhadores não realizarão nenhuma atividade de poda ou corte acima do nível do solo. O trabalhador poderá transportar outros trabalhadores de e para os locais de trabalho ocasionalmente, porém essa não será sua principal função. Os trabalhadores poderão operar equipamentos motorizados de jardinagem, incluindo cortadores de grama, aparadores de borda, sopradores, roçadeiras, roçadeiras de jardim, pequenos tratores e equipamentos similares. Os trabalhadores poderão dirigir caminhonetes e outros veículos leves da empresa para ir e voltar dos locais de trabalho dos clientes. Os trabalhadores poderão ocasionalmente transportar outros trabalhadores de e para os locais de trabalho; no entanto, o transporte de trabalhadores não é uma função principal. Os trabalhadores também poderão ocasionalmente transportar materiais, ferramentas e equipamentos de jardinagem de e para os locais de trabalho, incluindo cobertura morta, plantas em vasos, pás, ancinhos, cortadores de grama, sopradores e roçadeiras de jardim. Nenhum material perigoso será transportado pelos trabalhadores. Todos os veículos e equipamentos operados têm peso bruto total inferior a 26.000 libras (aproximadamente 11.800 kg), incluindo quaisquer reboques acoplados ou materiais transportados. Classificação da Função: 37-3011.00 - Trabalhadores de Paisagismo e Manutenção de Jardins. A classificação e descrição da função/setor inclui informações gerais sobre o cargo, de acordo com o ONET/OES e o Sistema de Classificação Industrial da América do Norte (NAICS). Consulte as Funções e a Ordem de Serviço para obter mais informações. Requisitos da Função Experiência Necessária: Sim Meses de Experiência Necessários: 3 Requisitos Especiais: Carteira de habilitação válida obrigatória. Capacidade de levantar 23 kg. Movimentos repetitivos, empurrar/puxar com frequência, caminhar bastante, agachar-se frequentemente, exposição a temperaturas extremas. 3 meses de experiência em paisagismo obrigatórios. Exame toxicológico pós-admissional por conta do empregador. De acordo com a legislação estadual de Michigan, Lei 338 de Licença Médica Remunerada, os empregadores são obrigados a fornecer licença médica remunerada aos seus funcionários. A quantidade de licença médica remunerada concedida pode variar dependendo do porte da empresa. Número de Horas por Semana: 40 Horário de Trabalho (Início/Término): 7h às 16h.</v>
      </c>
    </row>
    <row r="146" ht="20.25" customHeight="1">
      <c r="A146" s="3" t="s">
        <v>843</v>
      </c>
      <c r="B146" s="3" t="s">
        <v>844</v>
      </c>
      <c r="C146" s="3" t="s">
        <v>125</v>
      </c>
      <c r="D146" s="3" t="s">
        <v>306</v>
      </c>
      <c r="E146" s="4" t="s">
        <v>19</v>
      </c>
      <c r="F146" s="4" t="s">
        <v>20</v>
      </c>
      <c r="G146" s="4" t="s">
        <v>56</v>
      </c>
      <c r="H146" s="3" t="s">
        <v>845</v>
      </c>
      <c r="I146" s="3" t="s">
        <v>846</v>
      </c>
      <c r="J146" s="4">
        <v>26.26</v>
      </c>
      <c r="K146" s="4">
        <v>5.0</v>
      </c>
      <c r="L146" s="3" t="s">
        <v>262</v>
      </c>
      <c r="M146" s="3" t="s">
        <v>847</v>
      </c>
      <c r="N146" s="7" t="str">
        <f>IFERROR(__xludf.DUMMYFUNCTION("GOOGLETRANSLATE(L146, ""en"", ""pt"")"),"Operário da construção civil")</f>
        <v>Operário da construção civil</v>
      </c>
      <c r="O146" s="7" t="str">
        <f>IFERROR(__xludf.DUMMYFUNCTION("IF(M146="""","""",GOOGLETRANSLATE(M146,""en"",""pt""))"),"Executar tarefas que envolvam trabalho físico em canteiros de obras. Auxiliar na montagem de formas e na preparação do local para a concretagem. Operar ferramentas manuais e elétricas de todos os tipos: martelos pneumáticos, compactadores de solo, betonei"&amp;"ras, serras para concreto, misturadores, vibradores, pequenos guindastes mecânicos, equipamentos de topografia e medição, e uma variedade de outros equipamentos e instrumentos. Carregar e descarregar ferramentas, varrer, rastelar, compactar e cavar. Limpa"&amp;"r e preparar locais, cavar valas, instalar escoras para sustentar as laterais das escavações, montar andaimes e limpar entulhos, detritos e outros resíduos. Auxiliar outros operários e profissionais especializados em diversas tarefas. Executar outras tare"&amp;"fas relacionadas ao trabalho braçal, conforme necessário. Auxiliar outros operários na preparação de locais de trabalho; coletando, carregando, descarregando e transportando ferramentas, materiais e equipamentos; limpando áreas de trabalho; e executando t"&amp;"arefas manuais associadas a projetos de construção. Os trabalhadores podem utilizar ferramentas manuais comuns e ferramentas elétricas básicas, incluindo pás, ancinhos, carrinhos de mão, vassouras, furadeiras, compactadores, níveis e instrumentos de mediç"&amp;"ão. Os materiais manuseados podem incluir madeira, fôrmas de concreto, cascalho, areia, cimento, concreto, vergalhões, tubos e outros materiais de construção comuns. Os trabalhadores podem operar equipamentos básicos de medição e marcação, incluindo trena"&amp;"s, níveis a laser, miras de nivelamento e linhas de prumo, para auxiliar supervisores e outros funcionários da construção civil na medição de distâncias, verificação de níveis e marcação de áreas de trabalho. Classificação da Função: 47-2061.00 - Auxiliar"&amp;"es de Construção Civil. A classificação e descrição da função/setor inclui informações gerais sobre o cargo, de acordo com o ONET/OES e o Sistema de Classificação Industrial da América do Norte (NAICS). Consulte as Funções e a Ordem de Serviço para obter "&amp;"mais informações. Requisitos da Função: Experiência Necessária: Não. Requisitos Especiais: Exame toxicológico pós-contratação, custeado pelo empregador. O candidato deve ser capaz de levantar 23 kg, realizar movimentos repetitivos, empurrar/puxar com freq"&amp;"uência, caminhar bastante, agachar-se frequentemente e estar exposto a temperaturas extremas. De acordo com a legislação estadual de Michigan, a Lei 338 sobre Licença Médica Remunerada (Earned Sick Time Act 338), os empregadores são obrigados a conceder l"&amp;"icença médica remunerada aos seus funcionários. A quantidade de dias de licença médica remunerada pode variar dependendo do porte da empresa. Número de horas por semana: 40. Horário de trabalho (início/término): 7h às 16h.")</f>
        <v>Executar tarefas que envolvam trabalho físico em canteiros de obras. Auxiliar na montagem de formas e na preparação do local para a concretagem. Operar ferramentas manuais e elétricas de todos os tipos: martelos pneumáticos, compactadores de solo, betoneiras, serras para concreto, misturadores, vibradores, pequenos guindastes mecânicos, equipamentos de topografia e medição, e uma variedade de outros equipamentos e instrumentos. Carregar e descarregar ferramentas, varrer, rastelar, compactar e cavar. Limpar e preparar locais, cavar valas, instalar escoras para sustentar as laterais das escavações, montar andaimes e limpar entulhos, detritos e outros resíduos. Auxiliar outros operários e profissionais especializados em diversas tarefas. Executar outras tarefas relacionadas ao trabalho braçal, conforme necessário. Auxiliar outros operários na preparação de locais de trabalho; coletando, carregando, descarregando e transportando ferramentas, materiais e equipamentos; limpando áreas de trabalho; e executando tarefas manuais associadas a projetos de construção. Os trabalhadores podem utilizar ferramentas manuais comuns e ferramentas elétricas básicas, incluindo pás, ancinhos, carrinhos de mão, vassouras, furadeiras, compactadores, níveis e instrumentos de medição. Os materiais manuseados podem incluir madeira, fôrmas de concreto, cascalho, areia, cimento, concreto, vergalhões, tubos e outros materiais de construção comuns. Os trabalhadores podem operar equipamentos básicos de medição e marcação, incluindo trenas, níveis a laser, miras de nivelamento e linhas de prumo, para auxiliar supervisores e outros funcionários da construção civil na medição de distâncias, verificação de níveis e marcação de áreas de trabalho. Classificação da Função: 47-2061.00 - Auxiliares de Construção Civil. A classificação e descrição da função/setor inclui informações gerais sobre o cargo, de acordo com o ONET/OES e o Sistema de Classificação Industrial da América do Norte (NAICS). Consulte as Funções e a Ordem de Serviço para obter mais informações. Requisitos da Função: Experiência Necessária: Não. Requisitos Especiais: Exame toxicológico pós-contratação, custeado pelo empregador. O candidato deve ser capaz de levantar 23 kg, realizar movimentos repetitivos, empurrar/puxar com frequência, caminhar bastante, agachar-se frequentemente e estar exposto a temperaturas extremas. De acordo com a legislação estadual de Michigan, a Lei 338 sobre Licença Médica Remunerada (Earned Sick Time Act 338), os empregadores são obrigados a conceder licença médica remunerada aos seus funcionários. A quantidade de dias de licença médica remunerada pode variar dependendo do porte da empresa. Número de horas por semana: 40. Horário de trabalho (início/término): 7h às 16h.</v>
      </c>
    </row>
    <row r="147" ht="20.25" customHeight="1">
      <c r="A147" s="8" t="s">
        <v>848</v>
      </c>
      <c r="B147" s="8" t="s">
        <v>849</v>
      </c>
      <c r="C147" s="8" t="s">
        <v>197</v>
      </c>
      <c r="D147" s="8" t="s">
        <v>71</v>
      </c>
      <c r="E147" s="9" t="s">
        <v>44</v>
      </c>
      <c r="F147" s="9" t="s">
        <v>20</v>
      </c>
      <c r="G147" s="9" t="s">
        <v>404</v>
      </c>
      <c r="H147" s="8" t="s">
        <v>850</v>
      </c>
      <c r="I147" s="8" t="s">
        <v>851</v>
      </c>
      <c r="J147" s="9">
        <v>17.78</v>
      </c>
      <c r="K147" s="9">
        <v>48.0</v>
      </c>
      <c r="L147" s="8" t="s">
        <v>59</v>
      </c>
      <c r="M147" s="8" t="s">
        <v>852</v>
      </c>
      <c r="N147" s="7" t="str">
        <f>IFERROR(__xludf.DUMMYFUNCTION("GOOGLETRANSLATE(L147, ""en"", ""pt"")"),"Trabalhador de paisagismo")</f>
        <v>Trabalhador de paisagismo</v>
      </c>
      <c r="O147" s="7" t="str">
        <f>IFERROR(__xludf.DUMMYFUNCTION("IF(M147="""","""",GOOGLETRANSLATE(M147,""en"",""pt""))"),"Instalação de plantas anuais para as estações de outono e inverno, cobertura morta em propriedades residenciais e comerciais. Rega de plantas anuais. Limpeza de propriedades com vassouras e pás. Classificação do Cargo: 37-3011.00 - Trabalhadores de Paisag"&amp;"ismo e Manutenção de Jardins. A classificação e descrição do cargo/setor inclui informações gerais sobre a posição, de acordo com o ONET/OES e o Sistema de Classificação Industrial da América do Norte. Consulte as Funções e a Ordem de Serviço para obter m"&amp;"ais informações. Requisitos do Cargo: Experiência Necessária: Não. Número de Horas por Semana: 40. Horário de Trabalho (Início/Término): 7h30 - 16h30.")</f>
        <v>Instalação de plantas anuais para as estações de outono e inverno, cobertura morta em propriedades residenciais e comerciais. Rega de plantas anuais. Limpeza de propriedades com vassouras e pás. Classificação do Cargo: 37-3011.00 - Trabalhadores de Paisagismo e Manutenção de Jardins. A classificação e descrição do cargo/setor inclui informações gerais sobre a posição, de acordo com o ONET/OES e o Sistema de Classificação Industrial da América do Norte. Consulte as Funções e a Ordem de Serviço para obter mais informações. Requisitos do Cargo: Experiência Necessária: Não. Número de Horas por Semana: 40. Horário de Trabalho (Início/Término): 7h30 - 16h30.</v>
      </c>
    </row>
    <row r="148" ht="20.25" customHeight="1">
      <c r="A148" s="3" t="s">
        <v>853</v>
      </c>
      <c r="B148" s="3" t="s">
        <v>854</v>
      </c>
      <c r="C148" s="3" t="s">
        <v>78</v>
      </c>
      <c r="D148" s="3" t="s">
        <v>36</v>
      </c>
      <c r="E148" s="4" t="s">
        <v>19</v>
      </c>
      <c r="F148" s="4" t="s">
        <v>20</v>
      </c>
      <c r="G148" s="4" t="s">
        <v>307</v>
      </c>
      <c r="H148" s="3" t="s">
        <v>855</v>
      </c>
      <c r="I148" s="3" t="s">
        <v>856</v>
      </c>
      <c r="J148" s="4">
        <v>17.11</v>
      </c>
      <c r="K148" s="4">
        <v>10.0</v>
      </c>
      <c r="L148" s="3" t="s">
        <v>387</v>
      </c>
      <c r="M148" s="3" t="s">
        <v>857</v>
      </c>
      <c r="N148" s="7" t="str">
        <f>IFERROR(__xludf.DUMMYFUNCTION("GOOGLETRANSLATE(L148, ""en"", ""pt"")"),"Ordem de serviço não disponível")</f>
        <v>Ordem de serviço não disponível</v>
      </c>
      <c r="O148" s="7" t="str">
        <f>IFERROR(__xludf.DUMMYFUNCTION("IF(M148="""","""",GOOGLETRANSLATE(M148,""en"",""pt""))"),"As funções podem incluir: Preparar, temperar e cozinhar pratos como carnes, sopas, sobremesas, saladas, entradas, etc. Os cozinheiros deverão utilizar equipamentos comerciais padrão de cozinha, limpeza e outros utensílios para preparar, armazenar, emprata"&amp;"r e decorar os pratos de acordo com as receitas e padrões de apresentação. Os cozinheiros deverão cumprir todas as normas de segurança alimentar e armazenamento, bem como os códigos de saúde locais e estaduais; e deverão limpar, armazenar e manter a louça"&amp;", os utensílios de cozinha, os equipamentos, as panelas e todas as áreas da cozinha, conforme orientação da gerência, além de outras atividades relacionadas à cozinha, de acordo com a norma SOC/OES 35-2014 (onetonline.org). Vários turnos disponíveis: 6h à"&amp;"s 14h ou 14h às 22h. Horário padrão/esperado: Segunda a sexta, das 6h às 14h ou das 14h às 22h. Oferecemos mais de 35 horas semanais, sem incluir o horário de almoço e/ou intervalos. Os funcionários podem ser solicitados a trabalhar em diversos turnos, in"&amp;"cluindo turno da manhã, turno diurno e turno da noite. A semana de trabalho é de quinta a quarta-feira. A escala semanal pode variar de acordo com as necessidades da empresa, incluindo fins de semana e/ou feriados, conforme necessário. Os turnos incluem o"&amp;"s horários descritos acima, bem como o turno da noite, das 16h às 24h. Possibilidade de trabalho em fins de semana e feriados. Os horários de início e término, as horas oferecidas e/ou horas extras podem variar, pois podem depender de outros fatores, como"&amp;" necessidades de projeto/cronograma/serviço, condições climáticas e tempo de deslocamento entre os locais de trabalho (se aplicável). Horas extras são possíveis, mas não obrigatórias nem garantidas. A critério exclusivo do empregador: possíveis aumentos e"&amp;"/ou bônus com base em fatores individuais, como desempenho ou habilidades (não garantidos). A semana de trabalho da Biltmore é de quinta a quarta-feira; as horas extras são calculadas com base nesse período de pagamento. O salário pode variar dependendo d"&amp;"o adicional noturno. Classificação da vaga: 35-2014.00 - Cozinheiros(as), Restaurante. A classificação e descrição da vaga/setor inclui informações gerais sobre o cargo, de acordo com o ONET/OES e o Sistema de Classificação Industrial da América do Norte "&amp;"(NAICS). Consulte as Funções e a Ordem de Serviço para obter mais informações. Requisitos da vaga: Experiência exigida: Sim. Meses de experiência exigidos: 3. Requisitos especiais: É necessário ter 18 anos ou mais, conforme as leis trabalhistas estaduais."&amp;" É necessário apresentar comprovante de autorização legal para trabalhar nos Estados Unidos. Ambiente de trabalho livre de drogas, álcool e tabaco. Executar atividades físicas, como levantar, equilibrar-se, caminhar, abaixar-se, manusear, posicionar, move"&amp;"r e manipular materiais; usar força estática para exercer força muscular máxima para levantar, empurrar, puxar e carregar objetos de até 23 kg. Todos os candidatos devem ser capazes, dispostos e qualificados para executar o trabalho descrito e devem estar"&amp;" disponíveis durante todo o período especificado. A carga horária pode variar de acordo com os picos e vales do turismo ao longo da temporada (+/-), possíveis períodos de baixa temporada e/ou horas extras. É necessária verificação de antecedentes. Número "&amp;"de horas por semana: 35 Horário de trabalho (início/término): 6h00 - 14h00")</f>
        <v>As funções podem incluir: Preparar, temperar e cozinhar pratos como carnes, sopas, sobremesas, saladas, entradas, etc. Os cozinheiros deverão utilizar equipamentos comerciais padrão de cozinha, limpeza e outros utensílios para preparar, armazenar, empratar e decorar os pratos de acordo com as receitas e padrões de apresentação. Os cozinheiros deverão cumprir todas as normas de segurança alimentar e armazenamento, bem como os códigos de saúde locais e estaduais; e deverão limpar, armazenar e manter a louça, os utensílios de cozinha, os equipamentos, as panelas e todas as áreas da cozinha, conforme orientação da gerência, além de outras atividades relacionadas à cozinha, de acordo com a norma SOC/OES 35-2014 (onetonline.org). Vários turnos disponíveis: 6h às 14h ou 14h às 22h. Horário padrão/esperado: Segunda a sexta, das 6h às 14h ou das 14h às 22h. Oferecemos mais de 35 horas semanais, sem incluir o horário de almoço e/ou intervalos. Os funcionários podem ser solicitados a trabalhar em diversos turnos, incluindo turno da manhã, turno diurno e turno da noite. A semana de trabalho é de quinta a quarta-feira. A escala semanal pode variar de acordo com as necessidades da empresa, incluindo fins de semana e/ou feriados, conforme necessário. Os turnos incluem os horários descritos acima, bem como o turno da noite, das 16h às 24h. Possibilidade de trabalho em fins de semana e feriados. Os horários de início e término, as horas oferecidas e/ou horas extras podem variar, pois podem depender de outros fatores, como necessidades de projeto/cronograma/serviço, condições climáticas e tempo de deslocamento entre os locais de trabalho (se aplicável). Horas extras são possíveis, mas não obrigatórias nem garantidas. A critério exclusivo do empregador: possíveis aumentos e/ou bônus com base em fatores individuais, como desempenho ou habilidades (não garantidos). A semana de trabalho da Biltmore é de quinta a quarta-feira; as horas extras são calculadas com base nesse período de pagamento. O salário pode variar dependendo do adicional noturno. Classificação da vaga: 35-2014.00 - Cozinheiros(as), Restaurante. A classificação e descrição da vaga/setor inclui informações gerais sobre o cargo, de acordo com o ONET/OES e o Sistema de Classificação Industrial da América do Norte (NAICS). Consulte as Funções e a Ordem de Serviço para obter mais informações. Requisitos da vaga: Experiência exigida: Sim. Meses de experiência exigidos: 3. Requisitos especiais: É necessário ter 18 anos ou mais, conforme as leis trabalhistas estaduais. É necessário apresentar comprovante de autorização legal para trabalhar nos Estados Unidos. Ambiente de trabalho livre de drogas, álcool e tabaco. Executar atividades físicas, como levantar, equilibrar-se, caminhar, abaixar-se, manusear, posicionar, mover e manipular materiais; usar força estática para exercer força muscular máxima para levantar, empurrar, puxar e carregar objetos de até 23 kg. Todos os candidatos devem ser capazes, dispostos e qualificados para executar o trabalho descrito e devem estar disponíveis durante todo o período especificado. A carga horária pode variar de acordo com os picos e vales do turismo ao longo da temporada (+/-), possíveis períodos de baixa temporada e/ou horas extras. É necessária verificação de antecedentes. Número de horas por semana: 35 Horário de trabalho (início/término): 6h00 - 14h00</v>
      </c>
    </row>
    <row r="149" ht="20.25" customHeight="1">
      <c r="A149" s="8" t="s">
        <v>858</v>
      </c>
      <c r="B149" s="8" t="s">
        <v>859</v>
      </c>
      <c r="C149" s="8" t="s">
        <v>125</v>
      </c>
      <c r="D149" s="8" t="s">
        <v>306</v>
      </c>
      <c r="E149" s="9" t="s">
        <v>19</v>
      </c>
      <c r="F149" s="9" t="s">
        <v>20</v>
      </c>
      <c r="G149" s="9" t="s">
        <v>860</v>
      </c>
      <c r="H149" s="8" t="s">
        <v>861</v>
      </c>
      <c r="I149" s="8" t="s">
        <v>862</v>
      </c>
      <c r="J149" s="9">
        <v>19.93</v>
      </c>
      <c r="K149" s="9">
        <v>18.0</v>
      </c>
      <c r="L149" s="8" t="s">
        <v>129</v>
      </c>
      <c r="M149" s="8" t="s">
        <v>863</v>
      </c>
      <c r="N149" s="7" t="str">
        <f>IFERROR(__xludf.DUMMYFUNCTION("GOOGLETRANSLATE(L149, ""en"", ""pt"")"),"Trabalhador de paisagismo e manutenção de jardins")</f>
        <v>Trabalhador de paisagismo e manutenção de jardins</v>
      </c>
      <c r="O149" s="7" t="str">
        <f>IFERROR(__xludf.DUMMYFUNCTION("IF(M149="""","""",GOOGLETRANSLATE(M149,""en"",""pt""))"),"As funções incluem a instalação de árvores, arbustos ou flores durante o período de dormência, seguindo o padrão de design apropriado. Isso inclui descarregar materiais, cavar buracos para o sistema radicular, cobrir os buracos adequadamente e, às vezes, "&amp;"colocar grama em placas, plantar sementes de grama ou conectar a irrigação. Também envolve a remoção de folhas, plantio de sementes e palha, aeração do gramado, plantio de arbustos, escavação, rastelagem e instalação de blocos de concreto pré-moldados sem"&amp;" argamassa. Os trabalhadores podem coletar e remover lixo, regar gramados, árvores e plantas semeadas, além de podar árvores, arbustos ou sebes. Podem operar equipamentos motorizados e dirigir veículos até os locais dos clientes. As tarefas podem incluir "&amp;"colocação de grama em placas, corte de grama, rega de plantas e gramados, transplante de plantas, fertilização, escavação, rastelagem e instalação de aspersores. Os funcionários cavarão valas com no máximo 15 a 30 cm de profundidade e 15 a 30 cm de largur"&amp;"a com pás e ferramentas manuais. Essas valas são usadas para acomodar a tubulação utilizada na instalação de sistemas de irrigação. Toda a poda/aparamento será feita no solo. Os trabalhadores não realizarão nenhuma atividade de poda ou corte acima do níve"&amp;"l do solo. O trabalhador poderá transportar outros trabalhadores de e para os locais de trabalho ocasionalmente, porém essa não será sua principal função. Os trabalhadores poderão operar equipamentos motorizados de jardinagem, incluindo cortadores de gram"&amp;"a, aparadores de borda, sopradores, roçadeiras, roçadeiras de jardim, tratores pequenos e equipamentos similares. Os trabalhadores poderão dirigir caminhonetes e veículos leves similares da empresa, de e para os locais de trabalho dos clientes. Os trabalh"&amp;"adores poderão ocasionalmente transportar outros trabalhadores de e para os locais de trabalho; no entanto, o transporte de trabalhadores não é uma função principal. Os trabalhadores também poderão ocasionalmente transportar materiais, ferramentas e equip"&amp;"amentos de jardinagem de e para os locais de trabalho, incluindo cobertura morta, plantas em vasos, pás, ancinhos, cortadores de grama, sopradores e roçadeiras de jardim. Nenhum material perigoso será transportado pelos trabalhadores. Todos os veículos e "&amp;"equipamentos operados têm peso bruto total inferior a 26.000 libras (aproximadamente 11.800 kg), incluindo quaisquer reboques acoplados ou materiais transportados. Classificação da Função: 37-3011.00 - Trabalhadores de Paisagismo e Manutenção de Jardins. "&amp;"A classificação e descrição da função/setor inclui informações gerais sobre o cargo, de acordo com o ONET/OES e o Sistema de Classificação Industrial da América do Norte (NAICS). Consulte as Funções e a Ordem de Serviço para obter mais informações. Requis"&amp;"itos da Função Experiência Necessária: Sim Meses de Experiência Necessários: 3 Requisitos Especiais: Carteira de habilitação válida. Capacidade de levantar 36 kg, realizar movimentos repetitivos, empurrar/puxar com frequência, caminhar bastante, agachar-s"&amp;"e frequentemente e estar exposto a temperaturas extremas. 3 meses de experiência em paisagismo são necessários. De acordo com a legislação estadual de Michigan, Lei 338 de Licença Médica Remunerada, os empregadores são obrigados a fornecer licença médica "&amp;"remunerada aos seus funcionários. A quantidade de licença médica remunerada concedida pode variar dependendo do porte da empresa. Número de Horas por Semana: 40 Horário de Trabalho (Início/Término): 7h às 16h")</f>
        <v>As funções incluem a instalação de árvores, arbustos ou flores durante o período de dormência, seguindo o padrão de design apropriado. Isso inclui descarregar materiais, cavar buracos para o sistema radicular, cobrir os buracos adequadamente e, às vezes, colocar grama em placas, plantar sementes de grama ou conectar a irrigação. Também envolve a remoção de folhas, plantio de sementes e palha, aeração do gramado, plantio de arbustos, escavação, rastelagem e instalação de blocos de concreto pré-moldados sem argamassa. Os trabalhadores podem coletar e remover lixo, regar gramados, árvores e plantas semeadas, além de podar árvores, arbustos ou sebes. Podem operar equipamentos motorizados e dirigir veículos até os locais dos clientes. As tarefas podem incluir colocação de grama em placas, corte de grama, rega de plantas e gramados, transplante de plantas, fertilização, escavação, rastelagem e instalação de aspersores. Os funcionários cavarão valas com no máximo 15 a 30 cm de profundidade e 15 a 30 cm de largura com pás e ferramentas manuais. Essas valas são usadas para acomodar a tubulação utilizada na instalação de sistemas de irrigação. Toda a poda/aparamento será feita no solo. Os trabalhadores não realizarão nenhuma atividade de poda ou corte acima do nível do solo. O trabalhador poderá transportar outros trabalhadores de e para os locais de trabalho ocasionalmente, porém essa não será sua principal função. Os trabalhadores poderão operar equipamentos motorizados de jardinagem, incluindo cortadores de grama, aparadores de borda, sopradores, roçadeiras, roçadeiras de jardim, tratores pequenos e equipamentos similares. Os trabalhadores poderão dirigir caminhonetes e veículos leves similares da empresa, de e para os locais de trabalho dos clientes. Os trabalhadores poderão ocasionalmente transportar outros trabalhadores de e para os locais de trabalho; no entanto, o transporte de trabalhadores não é uma função principal. Os trabalhadores também poderão ocasionalmente transportar materiais, ferramentas e equipamentos de jardinagem de e para os locais de trabalho, incluindo cobertura morta, plantas em vasos, pás, ancinhos, cortadores de grama, sopradores e roçadeiras de jardim. Nenhum material perigoso será transportado pelos trabalhadores. Todos os veículos e equipamentos operados têm peso bruto total inferior a 26.000 libras (aproximadamente 11.800 kg), incluindo quaisquer reboques acoplados ou materiais transportados. Classificação da Função: 37-3011.00 - Trabalhadores de Paisagismo e Manutenção de Jardins. A classificação e descrição da função/setor inclui informações gerais sobre o cargo, de acordo com o ONET/OES e o Sistema de Classificação Industrial da América do Norte (NAICS). Consulte as Funções e a Ordem de Serviço para obter mais informações. Requisitos da Função Experiência Necessária: Sim Meses de Experiência Necessários: 3 Requisitos Especiais: Carteira de habilitação válida. Capacidade de levantar 36 kg, realizar movimentos repetitivos, empurrar/puxar com frequência, caminhar bastante, agachar-se frequentemente e estar exposto a temperaturas extremas. 3 meses de experiência em paisagismo são necessários. De acordo com a legislação estadual de Michigan, Lei 338 de Licença Médica Remunerada, os empregadores são obrigados a fornecer licença médica remunerada aos seus funcionários. A quantidade de licença médica remunerada concedida pode variar dependendo do porte da empresa. Número de Horas por Semana: 40 Horário de Trabalho (Início/Término): 7h às 16h</v>
      </c>
    </row>
    <row r="150" ht="20.25" customHeight="1">
      <c r="A150" s="3" t="s">
        <v>864</v>
      </c>
      <c r="B150" s="3" t="s">
        <v>865</v>
      </c>
      <c r="C150" s="3" t="s">
        <v>125</v>
      </c>
      <c r="D150" s="3" t="s">
        <v>109</v>
      </c>
      <c r="E150" s="4" t="s">
        <v>19</v>
      </c>
      <c r="F150" s="4" t="s">
        <v>20</v>
      </c>
      <c r="G150" s="4" t="s">
        <v>65</v>
      </c>
      <c r="H150" s="3" t="s">
        <v>866</v>
      </c>
      <c r="I150" s="3" t="s">
        <v>867</v>
      </c>
      <c r="J150" s="4">
        <v>18.69</v>
      </c>
      <c r="K150" s="4">
        <v>8.0</v>
      </c>
      <c r="L150" s="3" t="s">
        <v>129</v>
      </c>
      <c r="M150" s="3" t="s">
        <v>868</v>
      </c>
      <c r="N150" s="7" t="str">
        <f>IFERROR(__xludf.DUMMYFUNCTION("GOOGLETRANSLATE(L150, ""en"", ""pt"")"),"Trabalhador de paisagismo e manutenção de jardins")</f>
        <v>Trabalhador de paisagismo e manutenção de jardins</v>
      </c>
      <c r="O150" s="7" t="str">
        <f>IFERROR(__xludf.DUMMYFUNCTION("IF(M150="""","""",GOOGLETRANSLATE(M150,""en"",""pt""))"),"As funções incluem a instalação de árvores, arbustos ou flores durante o período de dormência, seguindo o padrão de design apropriado. Isso inclui descarregar materiais, cavar buracos para o sistema radicular, cobrir os buracos adequadamente e, às vezes, "&amp;"colocar grama em placas, plantar sementes de grama ou conectar a irrigação. Também envolve a remoção de folhas, plantio de sementes e palha, aeração do gramado, plantio de arbustos, escavação, rastelagem e instalação de blocos de concreto pré-moldados sem"&amp;" argamassa. Os trabalhadores podem coletar e remover lixo, regar gramados, árvores e plantas semeadas, além de podar árvores, arbustos ou sebes. Podem operar equipamentos motorizados e dirigir veículos até os locais dos clientes. As tarefas podem incluir "&amp;"colocação de grama em placas, corte de grama, rega de plantas e gramados, transplante de plantas, fertilização, escavação, rastelagem e instalação de aspersores. Os funcionários cavarão valas com no máximo 15 a 30 cm de profundidade e 15 a 30 cm de largur"&amp;"a com pás e ferramentas manuais. Essas valas são usadas para acomodar a tubulação utilizada na instalação de sistemas de irrigação. Toda a poda/aparamento será feita no solo. Os trabalhadores não realizarão nenhuma atividade de poda ou corte acima do níve"&amp;"l do solo. O trabalhador poderá transportar outros trabalhadores de e para os locais de trabalho ocasionalmente, porém essa não será sua principal função. Os trabalhadores poderão operar equipamentos motorizados de jardinagem, incluindo cortadores de gram"&amp;"a, aparadores de borda, sopradores, roçadeiras, roçadeiras de jardim, pequenos tratores e equipamentos similares. Os trabalhadores poderão dirigir caminhonetes e outros veículos leves da empresa para ir e voltar dos locais de trabalho dos clientes. Os tra"&amp;"balhadores poderão ocasionalmente transportar outros trabalhadores de e para os locais de trabalho; no entanto, o transporte de trabalhadores não é uma função principal. Os trabalhadores também poderão ocasionalmente transportar materiais, ferramentas e e"&amp;"quipamentos de jardinagem de e para os locais de trabalho, incluindo cobertura morta, plantas em vasos, pás, ancinhos, cortadores de grama, sopradores e roçadeiras de jardim. Nenhum material perigoso será transportado pelos trabalhadores. Todos os veículo"&amp;"s e equipamentos operados têm peso bruto total inferior a 26.000 libras (aproximadamente 11.800 kg), incluindo quaisquer reboques acoplados ou materiais transportados. Classificação da Função: 37-3011.00 - Trabalhadores de Paisagismo e Manutenção de Áreas"&amp;" Verdes. A classificação e descrição da função/setor inclui informações gerais sobre o cargo, conforme o ONET/OES e o Sistema de Classificação Industrial da América do Norte (NAICS). Consulte as Funções e a Ordem de Serviço para obter mais informações. Re"&amp;"quisitos da Função Experiência Necessária: Sim Meses de Experiência Necessários: 3 Requisitos Especiais: 3 meses de experiência em paisagismo. Exame toxicológico pós-admissão por conta do empregador. Capacidade de levantar 23 kg, realizar movimentos repet"&amp;"itivos, empurrar/puxar objetos, caminhar por longos períodos, agachar-se com frequência e exposição a temperaturas extremas. Número de Horas por Semana: 40 Horário de Trabalho (Início/Término): 7h às 16h")</f>
        <v>As funções incluem a instalação de árvores, arbustos ou flores durante o período de dormência, seguindo o padrão de design apropriado. Isso inclui descarregar materiais, cavar buracos para o sistema radicular, cobrir os buracos adequadamente e, às vezes, colocar grama em placas, plantar sementes de grama ou conectar a irrigação. Também envolve a remoção de folhas, plantio de sementes e palha, aeração do gramado, plantio de arbustos, escavação, rastelagem e instalação de blocos de concreto pré-moldados sem argamassa. Os trabalhadores podem coletar e remover lixo, regar gramados, árvores e plantas semeadas, além de podar árvores, arbustos ou sebes. Podem operar equipamentos motorizados e dirigir veículos até os locais dos clientes. As tarefas podem incluir colocação de grama em placas, corte de grama, rega de plantas e gramados, transplante de plantas, fertilização, escavação, rastelagem e instalação de aspersores. Os funcionários cavarão valas com no máximo 15 a 30 cm de profundidade e 15 a 30 cm de largura com pás e ferramentas manuais. Essas valas são usadas para acomodar a tubulação utilizada na instalação de sistemas de irrigação. Toda a poda/aparamento será feita no solo. Os trabalhadores não realizarão nenhuma atividade de poda ou corte acima do nível do solo. O trabalhador poderá transportar outros trabalhadores de e para os locais de trabalho ocasionalmente, porém essa não será sua principal função. Os trabalhadores poderão operar equipamentos motorizados de jardinagem, incluindo cortadores de grama, aparadores de borda, sopradores, roçadeiras, roçadeiras de jardim, pequenos tratores e equipamentos similares. Os trabalhadores poderão dirigir caminhonetes e outros veículos leves da empresa para ir e voltar dos locais de trabalho dos clientes. Os trabalhadores poderão ocasionalmente transportar outros trabalhadores de e para os locais de trabalho; no entanto, o transporte de trabalhadores não é uma função principal. Os trabalhadores também poderão ocasionalmente transportar materiais, ferramentas e equipamentos de jardinagem de e para os locais de trabalho, incluindo cobertura morta, plantas em vasos, pás, ancinhos, cortadores de grama, sopradores e roçadeiras de jardim. Nenhum material perigoso será transportado pelos trabalhadores. Todos os veículos e equipamentos operados têm peso bruto total inferior a 26.000 libras (aproximadamente 11.800 kg), incluindo quaisquer reboques acoplados ou materiais transportados. Classificação da Função: 37-3011.00 - Trabalhadores de Paisagismo e Manutenção de Áreas Verdes. A classificação e descrição da função/setor inclui informações gerais sobre o cargo, conforme o ONET/OES e o Sistema de Classificação Industrial da América do Norte (NAICS). Consulte as Funções e a Ordem de Serviço para obter mais informações. Requisitos da Função Experiência Necessária: Sim Meses de Experiência Necessários: 3 Requisitos Especiais: 3 meses de experiência em paisagismo. Exame toxicológico pós-admissão por conta do empregador. Capacidade de levantar 23 kg, realizar movimentos repetitivos, empurrar/puxar objetos, caminhar por longos períodos, agachar-se com frequência e exposição a temperaturas extremas. Número de Horas por Semana: 40 Horário de Trabalho (Início/Término): 7h às 16h</v>
      </c>
    </row>
    <row r="151" ht="20.25" customHeight="1">
      <c r="A151" s="8" t="s">
        <v>869</v>
      </c>
      <c r="B151" s="8" t="s">
        <v>870</v>
      </c>
      <c r="C151" s="8" t="s">
        <v>444</v>
      </c>
      <c r="D151" s="8" t="s">
        <v>64</v>
      </c>
      <c r="E151" s="9" t="s">
        <v>44</v>
      </c>
      <c r="F151" s="9" t="s">
        <v>20</v>
      </c>
      <c r="G151" s="9" t="s">
        <v>871</v>
      </c>
      <c r="H151" s="14" t="s">
        <v>872</v>
      </c>
      <c r="I151" s="8" t="s">
        <v>873</v>
      </c>
      <c r="J151" s="9">
        <v>17.18</v>
      </c>
      <c r="K151" s="9">
        <v>35.0</v>
      </c>
      <c r="L151" s="8" t="s">
        <v>447</v>
      </c>
      <c r="M151" s="8" t="s">
        <v>874</v>
      </c>
      <c r="N151" s="7" t="str">
        <f>IFERROR(__xludf.DUMMYFUNCTION("GOOGLETRANSLATE(L151, ""en"", ""pt"")"),"Marinheiro de convés de barco de ostras")</f>
        <v>Marinheiro de convés de barco de ostras</v>
      </c>
      <c r="O151" s="7" t="str">
        <f>IFERROR(__xludf.DUMMYFUNCTION("IF(M151="""","""",GOOGLETRANSLATE(M151,""en"",""pt""))"),"Colher ostras em áreas designadas. Conectar aparelhos e dispositivos a cabos, braços e guindastes. Carregar e descarregar equipamentos e suprimentos. Prender redes e linhas, puxar, selecionar, limpar e descartar ostras. Devolver ostras pequenas ou ilegais"&amp;" à baía. Transplantar ostras, conchas e pedras conforme as instruções. Colocar tubos de PVC e marcadores de ostras. Carregar e descarregar sacos de ostras da embarcação para o cais, câmara frigorífica ou caminhões de carga. Auxiliar na fixação e remoção d"&amp;"as amarras da embarcação. Lavar o convés, equipamentos, câmara frigorífica e áreas da cabine utilizadas durante as operações de colheita. Realizar manutenção básica, ocasional e não mecânica, como enxaguar equipamentos, remover detritos e manter as áreas "&amp;"de trabalho limpas para garantir condições seguras de colheita. Cumprir todos os procedimentos de segurança da Guarda Costeira dos EUA e os regulamentos do Departamento de Parques e Vida Selvagem do Texas. Qualquer manutenção da embarcação ou equipamento "&amp;"se limita estritamente à limpeza básica e tarefas relacionadas à segurança que são inerentes à colheita de ostras e não envolvem reparos mecânicos ou manutenção especializada. Essas tarefas representam no máximo 2% da duração da temporada, caso sejam nece"&amp;"ssárias. Salário: O salário base é de US$ 17,18/hora. Horas extras não são garantidas. No entanto, se houver horas extras, elas serão pagas à taxa de US$ 25,77 por hora, de acordo com as leis federais, estaduais ou locais, incluindo o pagamento de hora e "&amp;"meia para todas as horas trabalhadas acima de 35 horas em uma semana de trabalho. O empregador poderá oferecer aumentos/bônus aos funcionários temporários contratados sob esta ordem de serviço, a seu exclusivo critério, com base em fatores individuais, co"&amp;"mo desempenho, habilidades e tempo de serviço. Os salários serão calculados com base em uma única semana de trabalho. Os funcionários receberão pagamento quinzenalmente. Horário: Os turnos podem variar, mas um dia de trabalho típico pode ser das 7h às 15h"&amp;", de segunda a sexta-feira. Pode ser necessário trabalhar em horários estendidos e fins de semana, conforme a necessidade. A jornada de trabalho esperada é de aproximadamente 35 horas por semana. O empregador poderá oferecer mais horas do que o especifica"&amp;"do, dependendo das necessidades da empresa e de outras condições. O empregador fornecerá transporte diário de ida e volta entre o local de trabalho/cais e vários locais em águas públicas ao largo da costa do Texas. Classificação da vaga: 45-3031.00 - Trab"&amp;"alhadores da Pesca e Caça. A classificação e descrição da vaga/setor incluem informações gerais sobre o cargo, de acordo com o ONET/OES e o Sistema de Classificação Industrial da América do Norte (NAICS). Consulte as Funções e a Ordem de Serviço para obte"&amp;"r mais informações. Requisitos da vaga: Experiência exigida: Não. Requisitos especiais: Capacidade de levantar/carregar até 45 kg. Ausência de doenças infecciosas; alergias a frutos do mar podem ser fatais. Número de horas por semana: 35. Horário de traba"&amp;"lho (início/término): 7h às 15h.")</f>
        <v>Colher ostras em áreas designadas. Conectar aparelhos e dispositivos a cabos, braços e guindastes. Carregar e descarregar equipamentos e suprimentos. Prender redes e linhas, puxar, selecionar, limpar e descartar ostras. Devolver ostras pequenas ou ilegais à baía. Transplantar ostras, conchas e pedras conforme as instruções. Colocar tubos de PVC e marcadores de ostras. Carregar e descarregar sacos de ostras da embarcação para o cais, câmara frigorífica ou caminhões de carga. Auxiliar na fixação e remoção das amarras da embarcação. Lavar o convés, equipamentos, câmara frigorífica e áreas da cabine utilizadas durante as operações de colheita. Realizar manutenção básica, ocasional e não mecânica, como enxaguar equipamentos, remover detritos e manter as áreas de trabalho limpas para garantir condições seguras de colheita. Cumprir todos os procedimentos de segurança da Guarda Costeira dos EUA e os regulamentos do Departamento de Parques e Vida Selvagem do Texas. Qualquer manutenção da embarcação ou equipamento se limita estritamente à limpeza básica e tarefas relacionadas à segurança que são inerentes à colheita de ostras e não envolvem reparos mecânicos ou manutenção especializada. Essas tarefas representam no máximo 2% da duração da temporada, caso sejam necessárias. Salário: O salário base é de US$ 17,18/hora. Horas extras não são garantidas. No entanto, se houver horas extras, elas serão pagas à taxa de US$ 25,77 por hora, de acordo com as leis federais, estaduais ou locais, incluindo o pagamento de hora e meia para todas as horas trabalhadas acima de 35 horas em uma semana de trabalho. O empregador poderá oferecer aumentos/bônus aos funcionários temporários contratados sob esta ordem de serviço, a seu exclusivo critério, com base em fatores individuais, como desempenho, habilidades e tempo de serviço. Os salários serão calculados com base em uma única semana de trabalho. Os funcionários receberão pagamento quinzenalmente. Horário: Os turnos podem variar, mas um dia de trabalho típico pode ser das 7h às 15h, de segunda a sexta-feira. Pode ser necessário trabalhar em horários estendidos e fins de semana, conforme a necessidade. A jornada de trabalho esperada é de aproximadamente 35 horas por semana. O empregador poderá oferecer mais horas do que o especificado, dependendo das necessidades da empresa e de outras condições. O empregador fornecerá transporte diário de ida e volta entre o local de trabalho/cais e vários locais em águas públicas ao largo da costa do Texas. Classificação da vaga: 45-3031.00 - Trabalhadores da Pesca e Caça. A classificação e descrição da vaga/setor incluem informações gerais sobre o cargo, de acordo com o ONET/OES e o Sistema de Classificação Industrial da América do Norte (NAICS). Consulte as Funções e a Ordem de Serviço para obter mais informações. Requisitos da vaga: Experiência exigida: Não. Requisitos especiais: Capacidade de levantar/carregar até 45 kg. Ausência de doenças infecciosas; alergias a frutos do mar podem ser fatais. Número de horas por semana: 35. Horário de trabalho (início/término): 7h às 15h.</v>
      </c>
    </row>
    <row r="152" ht="20.25" customHeight="1">
      <c r="A152" s="3" t="s">
        <v>875</v>
      </c>
      <c r="B152" s="3" t="s">
        <v>876</v>
      </c>
      <c r="C152" s="3" t="s">
        <v>125</v>
      </c>
      <c r="D152" s="3" t="s">
        <v>306</v>
      </c>
      <c r="E152" s="4" t="s">
        <v>19</v>
      </c>
      <c r="F152" s="4" t="s">
        <v>20</v>
      </c>
      <c r="G152" s="4" t="s">
        <v>65</v>
      </c>
      <c r="H152" s="3" t="s">
        <v>877</v>
      </c>
      <c r="I152" s="3" t="s">
        <v>878</v>
      </c>
      <c r="J152" s="4">
        <v>19.93</v>
      </c>
      <c r="K152" s="4">
        <v>12.0</v>
      </c>
      <c r="L152" s="3" t="s">
        <v>129</v>
      </c>
      <c r="M152" s="3" t="s">
        <v>879</v>
      </c>
      <c r="N152" s="7" t="str">
        <f>IFERROR(__xludf.DUMMYFUNCTION("GOOGLETRANSLATE(L152, ""en"", ""pt"")"),"Trabalhador de paisagismo e manutenção de jardins")</f>
        <v>Trabalhador de paisagismo e manutenção de jardins</v>
      </c>
      <c r="O152" s="7" t="str">
        <f>IFERROR(__xludf.DUMMYFUNCTION("IF(M152="""","""",GOOGLETRANSLATE(M152,""en"",""pt""))"),"As funções incluem a instalação de árvores, arbustos ou flores durante o período de dormência, seguindo o padrão de design apropriado. Isso inclui descarregar materiais, cavar buracos para o sistema radicular, cobrir os buracos adequadamente e, às vezes, "&amp;"colocar grama em placas, semear grama ou conectar sistemas de irrigação. Também envolve a remoção de folhas, plantio de sementes e palha, aeração do gramado, plantio de arbustos, escavação, rastelagem e instalação de blocos de concreto pré-moldados sem ar"&amp;"gamassa. Os trabalhadores podem coletar e remover lixo, regar gramados, árvores e plantas semeadas, além de podar árvores, arbustos ou sebes. Podem operar equipamentos motorizados e dirigir veículos até os locais dos clientes. As tarefas podem incluir a c"&amp;"olocação de grama em placas, corte de grama, rega de plantas e gramados, transplante de plantas, fertilização, escavação, rastelagem e instalação de aspersores. Os funcionários cavarão valas com no máximo 15 a 30 cm de profundidade e 15 a 30 cm de largura"&amp;", utilizando pás e ferramentas manuais. Essas valas são usadas para acomodar a tubulação utilizada na instalação de sistemas de irrigação. Toda a poda/aparamento será feita no solo. Os trabalhadores não realizarão nenhuma atividade de poda ou corte acima "&amp;"do nível do solo. O trabalhador poderá transportar outros trabalhadores de e para os locais de trabalho ocasionalmente, porém esta não será sua principal função. Classificação do Cargo: 37-3011.00 - Trabalhadores de Paisagismo e Manutenção de Jardins. A c"&amp;"lassificação e descrição do cargo/setor inclui informações gerais sobre a posição, de acordo com o ONET/OES e o Sistema de Classificação Industrial da América do Norte (NAICS). Consulte as Funções e a Ordem de Serviço para obter mais informações. Requisit"&amp;"os do Cargo Experiência Necessária: Sim Meses de Experiência Necessários: 3 Requisitos Especiais: 3 meses de experiência em paisagismo são necessários. Deve ser capaz de levantar 23 kg, ficar em pé e caminhar por longos períodos, operar equipamentos elétr"&amp;"icos portáteis básicos e tecnologias apropriadas, realizar movimentos repetitivos, empurrar/puxar com frequência, agachar-se frequentemente e estar exposto a temperaturas extremas. De acordo com a legislação estadual de Michigan, Lei 338 de Licença Médica"&amp;" Remunerada, os empregadores são obrigados a fornecer licença médica remunerada aos seus funcionários. A quantidade de licença médica remunerada concedida pode variar dependendo do porte da empresa. Número de horas por semana: 40 Horário de trabalho (iníc"&amp;"io/término): 7h00 - 16h00")</f>
        <v>As funções incluem a instalação de árvores, arbustos ou flores durante o período de dormência, seguindo o padrão de design apropriado. Isso inclui descarregar materiais, cavar buracos para o sistema radicular, cobrir os buracos adequadamente e, às vezes, colocar grama em placas, semear grama ou conectar sistemas de irrigação. Também envolve a remoção de folhas, plantio de sementes e palha, aeração do gramado, plantio de arbustos, escavação, rastelagem e instalação de blocos de concreto pré-moldados sem argamassa. Os trabalhadores podem coletar e remover lixo, regar gramados, árvores e plantas semeadas, além de podar árvores, arbustos ou sebes. Podem operar equipamentos motorizados e dirigir veículos até os locais dos clientes. As tarefas podem incluir a colocação de grama em placas, corte de grama, rega de plantas e gramados, transplante de plantas, fertilização, escavação, rastelagem e instalação de aspersores. Os funcionários cavarão valas com no máximo 15 a 30 cm de profundidade e 15 a 30 cm de largura, utilizando pás e ferramentas manuais. Essas valas são usadas para acomodar a tubulação utilizada na instalação de sistemas de irrigação. Toda a poda/aparamento será feita no solo. Os trabalhadores não realizarão nenhuma atividade de poda ou corte acima do nível do solo. O trabalhador poderá transportar outros trabalhadores de e para os locais de trabalho ocasionalmente, porém esta não será sua principal função. Classificação do Cargo: 37-3011.00 - Trabalhadores de Paisagismo e Manutenção de Jardins. A classificação e descrição do cargo/setor inclui informações gerais sobre a posição, de acordo com o ONET/OES e o Sistema de Classificação Industrial da América do Norte (NAICS). Consulte as Funções e a Ordem de Serviço para obter mais informações. Requisitos do Cargo Experiência Necessária: Sim Meses de Experiência Necessários: 3 Requisitos Especiais: 3 meses de experiência em paisagismo são necessários. Deve ser capaz de levantar 23 kg, ficar em pé e caminhar por longos períodos, operar equipamentos elétricos portáteis básicos e tecnologias apropriadas, realizar movimentos repetitivos, empurrar/puxar com frequência, agachar-se frequentemente e estar exposto a temperaturas extremas. De acordo com a legislação estadual de Michigan, Lei 338 de Licença Médica Remunerada, os empregadores são obrigados a fornecer licença médica remunerada aos seus funcionários. A quantidade de licença médica remunerada concedida pode variar dependendo do porte da empresa. Número de horas por semana: 40 Horário de trabalho (início/término): 7h00 - 16h00</v>
      </c>
    </row>
    <row r="153" ht="20.25" customHeight="1">
      <c r="A153" s="8" t="s">
        <v>880</v>
      </c>
      <c r="B153" s="8" t="s">
        <v>881</v>
      </c>
      <c r="C153" s="8" t="s">
        <v>63</v>
      </c>
      <c r="D153" s="8" t="s">
        <v>133</v>
      </c>
      <c r="E153" s="9" t="s">
        <v>19</v>
      </c>
      <c r="F153" s="9" t="s">
        <v>20</v>
      </c>
      <c r="G153" s="9" t="s">
        <v>648</v>
      </c>
      <c r="H153" s="8" t="s">
        <v>649</v>
      </c>
      <c r="I153" s="8" t="s">
        <v>882</v>
      </c>
      <c r="J153" s="9">
        <v>17.5</v>
      </c>
      <c r="K153" s="9">
        <v>15.0</v>
      </c>
      <c r="L153" s="8" t="s">
        <v>501</v>
      </c>
      <c r="M153" s="8" t="s">
        <v>883</v>
      </c>
      <c r="N153" s="7" t="str">
        <f>IFERROR(__xludf.DUMMYFUNCTION("GOOGLETRANSLATE(L153, ""en"", ""pt"")"),"Auxiliar de Manutenção")</f>
        <v>Auxiliar de Manutenção</v>
      </c>
      <c r="O153" s="7" t="str">
        <f>IFERROR(__xludf.DUMMYFUNCTION("IF(M153="""","""",GOOGLETRANSLATE(M153,""en"",""pt""))"),"Paisagismo e manutenção de terrenos utilizando ferramentas manuais ou elétricas. Os trabalhadores geralmente executam uma variedade de tarefas, que podem incluir qualquer combinação das seguintes: colocação de grama, plantio, corte de grama, poda, cobertu"&amp;"ra morta, irrigação, fertilização, escavação, rastelagem, acabamento de bordas, capina, limpeza de detritos e instalação de blocos de concreto pré-moldados sem argamassa. Nível inicial; requer supervisão. Classificação da vaga: 37-3011.00 - Trabalhadores "&amp;"de Paisagismo e Manutenção de Terrenos. A classificação e descrição da vaga/setor incluem informações gerais sobre o cargo, de acordo com o ONET/OES e o Sistema de Classificação Industrial da América do Norte (NAICS). Consulte as Funções e a Ordem de Serv"&amp;"iço para obter mais informações. Requisitos da vaga: Experiência exigida: Não. Requisitos especiais: Deve ser capaz de levantar/carregar 23 kg, quando necessário. Trabalho aos sábados e domingos, quando necessário. Teste antidrogas pago pelo empregador é "&amp;"obrigatório para trabalhadores estrangeiros e nacionais antes do início do trabalho e após a contratação, em caso de suspeita de uso e após acidente. A verificação de antecedentes após a contratação pode ser exigida de trabalhadores estrangeiros e naciona"&amp;"is, de acordo com os requisitos contratuais. A verificação do histórico de condução após a contratação é exigida apenas de trabalhadores estrangeiros e nacionais que dirigem veículos da empresa (dirigir não é um requisito para todos os funcionários da fun"&amp;"ção). O empregador pode oferecer mais horas de trabalho do que as estipuladas, dependendo do clima, das necessidades da empresa e de outras condições. Calor extremo, frio, chuva ou seca podem afetar o horário de trabalho exato. Número de horas por semana:"&amp;" 35. Horário de trabalho (início/término): 6h30 às 14h.")</f>
        <v>Paisagismo e manutenção de terrenos utilizando ferramentas manuais ou elétricas. Os trabalhadores geralmente executam uma variedade de tarefas, que podem incluir qualquer combinação das seguintes: colocação de grama, plantio, corte de grama, poda, cobertura morta, irrigação, fertilização, escavação, rastelagem, acabamento de bordas, capina, limpeza de detritos e instalação de blocos de concreto pré-moldados sem argamassa. Nível inicial; requer supervisão. Classificação da vaga: 37-3011.00 - Trabalhadores de Paisagismo e Manutenção de Terrenos. A classificação e descrição da vaga/setor incluem informações gerais sobre o cargo, de acordo com o ONET/OES e o Sistema de Classificação Industrial da América do Norte (NAICS). Consulte as Funções e a Ordem de Serviço para obter mais informações. Requisitos da vaga: Experiência exigida: Não. Requisitos especiais: Deve ser capaz de levantar/carregar 23 kg, quando necessário. Trabalho aos sábados e domingos, quando necessário. Teste antidrogas pago pelo empregador é obrigatório para trabalhadores estrangeiros e nacionais antes do início do trabalho e após a contratação, em caso de suspeita de uso e após acidente. A verificação de antecedentes após a contratação pode ser exigida de trabalhadores estrangeiros e nacionais, de acordo com os requisitos contratuais. A verificação do histórico de condução após a contratação é exigida apenas de trabalhadores estrangeiros e nacionais que dirigem veículos da empresa (dirigir não é um requisito para todos os funcionários da função). O empregador pode oferecer mais horas de trabalho do que as estipuladas, dependendo do clima, das necessidades da empresa e de outras condições. Calor extremo, frio, chuva ou seca podem afetar o horário de trabalho exato. Número de horas por semana: 35. Horário de trabalho (início/término): 6h30 às 14h.</v>
      </c>
    </row>
    <row r="154" ht="20.25" customHeight="1">
      <c r="A154" s="3" t="s">
        <v>884</v>
      </c>
      <c r="B154" s="3" t="s">
        <v>885</v>
      </c>
      <c r="C154" s="3" t="s">
        <v>197</v>
      </c>
      <c r="D154" s="3" t="s">
        <v>71</v>
      </c>
      <c r="E154" s="4" t="s">
        <v>44</v>
      </c>
      <c r="F154" s="4" t="s">
        <v>20</v>
      </c>
      <c r="G154" s="4" t="s">
        <v>524</v>
      </c>
      <c r="H154" s="3" t="s">
        <v>886</v>
      </c>
      <c r="I154" s="3" t="s">
        <v>887</v>
      </c>
      <c r="J154" s="4">
        <v>18.71</v>
      </c>
      <c r="K154" s="4">
        <v>6.0</v>
      </c>
      <c r="L154" s="3" t="s">
        <v>201</v>
      </c>
      <c r="M154" s="3" t="s">
        <v>888</v>
      </c>
      <c r="N154" s="7" t="str">
        <f>IFERROR(__xludf.DUMMYFUNCTION("GOOGLETRANSLATE(L154, ""en"", ""pt"")"),"Servidores")</f>
        <v>Servidores</v>
      </c>
      <c r="O154" s="7" t="str">
        <f>IFERROR(__xludf.DUMMYFUNCTION("IF(M154="""","""",GOOGLETRANSLATE(M154,""en"",""pt""))"),"Receber pedidos, levar comida e bebidas aos clientes. Limpar e arrumar as mesas. Receber pagamentos e entregar recibos. Manter todos os postos de trabalho abastecidos. Servir pão, água e café. Receber os clientes. (6) vagas disponíveis. Período: 01/10/202"&amp;"6 a 31/05/2027. Necessário 3 meses de experiência. Turnos rotativos. Dias de trabalho: segunda a domingo. Horário de trabalho: 6h às 22h. Salário: US$ 10 a US$ 16 por hora, mais gorjetas, mas não menos que US$ 18,71 por hora, US$ 28,07 por hora em horas e"&amp;"xtras. Pagamento quinzenal. 35 horas semanais. Alojamento opcional por US$ 150 por semana, com depósito de US$ 350 (US$ 300 após a conclusão do contrato e inspeção do alojamento/US$ 50 não reembolsáveis). Uniformes e refeições durante o turno fornecidos. "&amp;"Local de trabalho: 1500 S. Ocean Blvd., Boca Raton, FL 33432. Trabalho temporário em tempo integral. O salário será calculado com base em uma única semana de trabalho. Poderá ser feito até 10 horas extras, quando disponíveis. Todos os descontos exigidos p"&amp;"or lei serão efetuados no contracheque do trabalhador. O empregador fornecerá ao trabalhador, sem custos, todas as ferramentas, materiais e equipamentos necessários para a execução do trabalho. O trabalhador receberá ou será reembolsado pelas despesas de "&amp;"transporte e alimentação (incluindo o custo razoável de hospedagem, quando necessário, até US$ 110 por noite, mediante apresentação de recibos) no valor de US$ 16,78 por dia durante o deslocamento, até um máximo de US$ 68,00 por dia, mediante apresentação"&amp;" de recibos, desde o local de origem do trabalhador, seja nos EUA ou no exterior, até o local de trabalho, caso o trabalhador complete 50% do período de trabalho abrangido pela ordem de serviço, em conformidade com o 20 CFR 655.20(j)(1)(i), mediante inclu"&amp;"são no contracheque da semana correspondente. O empregador fornecerá ou pagará o custo do transporte de retorno e da subsistência diária do trabalhador, do local de trabalho até o local de onde o trabalhador partiu para trabalhar para o empregador, indepe"&amp;"ndentemente de empregos intermediários, caso o trabalhador complete o período de emprego certificado ou seja demitido do emprego por qualquer motivo pelo empregador antes do término do período, de acordo com o § 655.20(j)(1)(ii); os trabalhadores com vist"&amp;"o H-2B serão reembolsados ​​na primeira semana de trabalho por todos os vistos, processamento de vistos, travessia de fronteira e outras taxas relacionadas, incluindo aquelas exigidas pelo governo (exceto taxas de passaporte). O empregador fornecerá aos t"&amp;"rabalhadores todas as ferramentas, suprimentos e equipamentos necessários para o desempenho do trabalho, sem custo para o trabalhador, de acordo com o 20 CFR 655.20(k). Os candidatos qualificados podem enviar o currículo para Melissa Braden, no endereço 1"&amp;"500 S. Ocean Blvd., Boca Raton, FL 33432, por e-mail para CAFE@ADDISONBOCA.COM ou visitar o centro de empregos local em 4941 Coconut Creek Parkway, Coconut Creek, FL 33063. *Seu depósito de segurança será reembolsado após a conclusão do contrato e a inspe"&amp;"ção da moradia. Se um trabalhador abandonar o emprego sem a permissão do empregador ou abandonar a moradia antes do término do prazo de inscrição por qualquer motivo, exceto rescisão por parte do empregador, o trabalhador perderá todos os depósitos de mor"&amp;"adia, dias de folga remunerada, férias e bônus. Após a rescisão ou demissão, o trabalhador deverá desocupar a moradia imediatamente, a menos que haja acordo com o empregador.* Classificação da vaga: 35-3031.00 - Garçons e Garçonetes. A classificação e a d"&amp;"escrição da vaga/setor incluem informações gerais sobre o cargo, de acordo com o ONET/OES e o Sistema de Classificação Industrial da América do Norte. Consulte as Funções e a Ordem de Serviço para obter mais informações. Requisitos da vaga Experiência nec"&amp;"essária: Sim Meses de experiência necessários: 3 Número de horas por semana: 35 Horário de trabalho (início/término): 6h às 22h")</f>
        <v>Receber pedidos, levar comida e bebidas aos clientes. Limpar e arrumar as mesas. Receber pagamentos e entregar recibos. Manter todos os postos de trabalho abastecidos. Servir pão, água e café. Receber os clientes. (6) vagas disponíveis. Período: 01/10/2026 a 31/05/2027. Necessário 3 meses de experiência. Turnos rotativos. Dias de trabalho: segunda a domingo. Horário de trabalho: 6h às 22h. Salário: US$ 10 a US$ 16 por hora, mais gorjetas, mas não menos que US$ 18,71 por hora, US$ 28,07 por hora em horas extras. Pagamento quinzenal. 35 horas semanais. Alojamento opcional por US$ 150 por semana, com depósito de US$ 350 (US$ 300 após a conclusão do contrato e inspeção do alojamento/US$ 50 não reembolsáveis). Uniformes e refeições durante o turno fornecidos. Local de trabalho: 1500 S. Ocean Blvd., Boca Raton, FL 33432. Trabalho temporário em tempo integral. O salário será calculado com base em uma única semana de trabalho. Poderá ser feito até 10 horas extras, quando disponíveis. Todos os descontos exigidos por lei serão efetuados no contracheque do trabalhador. O empregador fornecerá ao trabalhador, sem custos, todas as ferramentas, materiais e equipamentos necessários para a execução do trabalho. O trabalhador receberá ou será reembolsado pelas despesas de transporte e alimentação (incluindo o custo razoável de hospedagem, quando necessário, até US$ 110 por noite, mediante apresentação de recibos) no valor de US$ 16,78 por dia durante o deslocamento, até um máximo de US$ 68,00 por dia, mediante apresentação de recibos, desde o local de origem do trabalhador, seja nos EUA ou no exterior, até o local de trabalho, caso o trabalhador complete 50% do período de trabalho abrangido pela ordem de serviço, em conformidade com o 20 CFR 655.20(j)(1)(i), mediante inclusão no contracheque da semana correspondente. O empregador fornecerá ou pagará o custo do transporte de retorno e da subsistência diária do trabalhador, do local de trabalho até o local de onde o trabalhador partiu para trabalhar para o empregador, independentemente de empregos intermediários, caso o trabalhador complete o período de emprego certificado ou seja demitido do emprego por qualquer motivo pelo empregador antes do término do período, de acordo com o § 655.20(j)(1)(ii); os trabalhadores com visto H-2B serão reembolsados ​​na primeira semana de trabalho por todos os vistos, processamento de vistos, travessia de fronteira e outras taxas relacionadas, incluindo aquelas exigidas pelo governo (exceto taxas de passaporte). O empregador fornecerá aos trabalhadores todas as ferramentas, suprimentos e equipamentos necessários para o desempenho do trabalho, sem custo para o trabalhador, de acordo com o 20 CFR 655.20(k). Os candidatos qualificados podem enviar o currículo para Melissa Braden, no endereço 1500 S. Ocean Blvd., Boca Raton, FL 33432, por e-mail para CAFE@ADDISONBOCA.COM ou visitar o centro de empregos local em 4941 Coconut Creek Parkway, Coconut Creek, FL 33063. *Seu depósito de segurança será reembolsado após a conclusão do contrato e a inspeção da moradia. Se um trabalhador abandonar o emprego sem a permissão do empregador ou abandonar a moradia antes do término do prazo de inscrição por qualquer motivo, exceto rescisão por parte do empregador, o trabalhador perderá todos os depósitos de moradia, dias de folga remunerada, férias e bônus. Após a rescisão ou demissão, o trabalhador deverá desocupar a moradia imediatamente, a menos que haja acordo com o empregador.* Classificação da vaga: 35-3031.00 - Garçons e Garçonetes. A classificação e a descrição da vaga/setor incluem informações gerais sobre o cargo, de acordo com o ONET/OES e o Sistema de Classificação Industrial da América do Norte. Consulte as Funções e a Ordem de Serviço para obter mais informações. Requisitos da vaga Experiência necessária: Sim Meses de experiência necessários: 3 Número de horas por semana: 35 Horário de trabalho (início/término): 6h às 22h</v>
      </c>
    </row>
    <row r="155" ht="20.25" customHeight="1">
      <c r="A155" s="8" t="s">
        <v>889</v>
      </c>
      <c r="B155" s="8" t="s">
        <v>890</v>
      </c>
      <c r="C155" s="8" t="s">
        <v>17</v>
      </c>
      <c r="D155" s="8" t="s">
        <v>109</v>
      </c>
      <c r="E155" s="9" t="s">
        <v>19</v>
      </c>
      <c r="F155" s="9" t="s">
        <v>20</v>
      </c>
      <c r="G155" s="9" t="s">
        <v>56</v>
      </c>
      <c r="H155" s="8" t="s">
        <v>891</v>
      </c>
      <c r="I155" s="8" t="s">
        <v>892</v>
      </c>
      <c r="J155" s="9">
        <v>18.69</v>
      </c>
      <c r="K155" s="9">
        <v>5.0</v>
      </c>
      <c r="L155" s="8" t="s">
        <v>321</v>
      </c>
      <c r="M155" s="8" t="s">
        <v>893</v>
      </c>
      <c r="N155" s="7" t="str">
        <f>IFERROR(__xludf.DUMMYFUNCTION("GOOGLETRANSLATE(L155, ""en"", ""pt"")"),"Trabalhadores de paisagismo")</f>
        <v>Trabalhadores de paisagismo</v>
      </c>
      <c r="O155" s="7" t="str">
        <f>IFERROR(__xludf.DUMMYFUNCTION("IF(M155="""","""",GOOGLETRANSLATE(M155,""en"",""pt""))"),"Paisagismo e manutenção de terrenos utilizando ferramentas manuais ou elétricas. Os trabalhadores geralmente executam uma variedade de tarefas, que podem incluir qualquer combinação das seguintes: colocação de grama, nivelamento, semeadura, corte de grama"&amp;", poda, plantio, irrigação, fertilização, escavação, rastelagem e auxílio na instalação de blocos de concreto pré-moldados sem argamassa. Nível inicial, requer supervisão. Classificação da vaga: 37-3011.00 - Trabalhadores de Paisagismo e Manutenção de Ter"&amp;"renos. A classificação e descrição da vaga/setor incluem informações gerais sobre o cargo, de acordo com o ONET/OES e o Sistema de Classificação Industrial da América do Norte (NAICS). Consulte as Funções e a Ordem de Serviço para obter mais informações. "&amp;"Requisitos da vaga: Experiência necessária: Não. Requisitos especiais: Deve ser capaz de levantar/carregar 23 kg, quando necessário. Trabalho aos sábados e domingos, quando necessário. O empregador pode oferecer mais horas de trabalho do que as estipulada"&amp;"s, dependendo do clima, das necessidades da empresa e de outras condições. Calor extremo, frio, chuva ou seca podem afetar o horário de trabalho exato. Número de horas por semana: 40 Horário de trabalho (início/término): 7h00 - 15h30")</f>
        <v>Paisagismo e manutenção de terrenos utilizando ferramentas manuais ou elétricas. Os trabalhadores geralmente executam uma variedade de tarefas, que podem incluir qualquer combinação das seguintes: colocação de grama, nivelamento, semeadura, corte de grama, poda, plantio, irrigação, fertilização, escavação, rastelagem e auxílio na instalação de blocos de concreto pré-moldados sem argamassa. Nível inicial, requer supervisão. Classificação da vaga: 37-3011.00 - Trabalhadores de Paisagismo e Manutenção de Terrenos. A classificação e descrição da vaga/setor incluem informações gerais sobre o cargo, de acordo com o ONET/OES e o Sistema de Classificação Industrial da América do Norte (NAICS). Consulte as Funções e a Ordem de Serviço para obter mais informações. Requisitos da vaga: Experiência necessária: Não. Requisitos especiais: Deve ser capaz de levantar/carregar 23 kg, quando necessário. Trabalho aos sábados e domingos, quando necessário. O empregador pode oferecer mais horas de trabalho do que as estipuladas, dependendo do clima, das necessidades da empresa e de outras condições. Calor extremo, frio, chuva ou seca podem afetar o horário de trabalho exato. Número de horas por semana: 40 Horário de trabalho (início/término): 7h00 - 15h30</v>
      </c>
    </row>
    <row r="156" ht="20.25" customHeight="1">
      <c r="A156" s="3" t="s">
        <v>894</v>
      </c>
      <c r="B156" s="3" t="s">
        <v>895</v>
      </c>
      <c r="C156" s="3" t="s">
        <v>17</v>
      </c>
      <c r="D156" s="3" t="s">
        <v>64</v>
      </c>
      <c r="E156" s="4" t="s">
        <v>19</v>
      </c>
      <c r="F156" s="4" t="s">
        <v>20</v>
      </c>
      <c r="G156" s="4" t="s">
        <v>896</v>
      </c>
      <c r="H156" s="3" t="s">
        <v>897</v>
      </c>
      <c r="I156" s="3"/>
      <c r="J156" s="4">
        <v>18.65</v>
      </c>
      <c r="K156" s="4">
        <v>14.0</v>
      </c>
      <c r="L156" s="3" t="s">
        <v>898</v>
      </c>
      <c r="M156" s="3" t="s">
        <v>899</v>
      </c>
      <c r="N156" s="7" t="str">
        <f>IFERROR(__xludf.DUMMYFUNCTION("GOOGLETRANSLATE(L156, ""en"", ""pt"")"),"Instaladores")</f>
        <v>Instaladores</v>
      </c>
      <c r="O156" s="7" t="str">
        <f>IFERROR(__xludf.DUMMYFUNCTION("IF(M156="""","""",GOOGLETRANSLATE(M156,""en"",""pt""))"),"Auxiliar na entrega, montagem/instalação, desmontagem e armazenamento de equipamentos de aluguel para eventos especiais, como tendas, pistas de dança, tapetes, palcos, mesas, cadeiras, utensílios de jantar etc.; carregar e descarregar caminhões; auxiliar "&amp;"em tarefas de armazém, como limpeza de equipamentos de aluguel, organização e inventário. Nível inicial; requer supervisão. Classificação da vaga: 53-7062.00 - Operários e Movimentadores de Carga, Estoque e Materiais. A classificação e descrição da vaga/s"&amp;"etor inclui informações gerais sobre o cargo, de acordo com o ONET/OES e o Sistema de Classificação Industrial da América do Norte. Consulte as Funções e a Ordem de Serviço para obter mais informações. Requisitos da vaga: Experiência necessária: Não. Requ"&amp;"isitos especiais: Deve ser capaz de levantar/carregar até 23 kg, quando necessário, por períodos prolongados. Trabalho aos sábados e domingos, quando necessário. Exame toxicológico pós-contratação, pago pelo empregador, em caso de suspeita de uso e após a"&amp;"cidente, obrigatório para trabalhadores estrangeiros e nacionais. Verificação de elegibilidade para emprego (e-Verify) obrigatória para trabalhadores estrangeiros e nacionais. A verificação do histórico de condução após a contratação é exigida apenas de f"&amp;"uncionários estrangeiros e nacionais que dirigem veículos da empresa (dirigir não é um requisito para todos os funcionários da função), e os funcionários que optarem por obter a carteira de habilitação e dirigir veículos da empresa terão direito a salário"&amp;"s mais altos. O empregador poderá oferecer uma jornada de trabalho superior à estipulada, dependendo das condições climáticas, das necessidades da empresa e de outros fatores. Calor extremo, frio, chuva ou seca podem afetar o horário de trabalho exato. Nú"&amp;"mero de horas por semana: 35. Horário de trabalho (início/término): 8h às 16h.")</f>
        <v>Auxiliar na entrega, montagem/instalação, desmontagem e armazenamento de equipamentos de aluguel para eventos especiais, como tendas, pistas de dança, tapetes, palcos, mesas, cadeiras, utensílios de jantar etc.; carregar e descarregar caminhões; auxiliar em tarefas de armazém, como limpeza de equipamentos de aluguel, organização e inventário. Nível inicial; requer supervisão. Classificação da vaga: 53-7062.00 - Operários e Movimentadores de Carga, Estoque e Materiais. A classificação e descrição da vaga/setor inclui informações gerais sobre o cargo, de acordo com o ONET/OES e o Sistema de Classificação Industrial da América do Norte. Consulte as Funções e a Ordem de Serviço para obter mais informações. Requisitos da vaga: Experiência necessária: Não. Requisitos especiais: Deve ser capaz de levantar/carregar até 23 kg, quando necessário, por períodos prolongados. Trabalho aos sábados e domingos, quando necessário. Exame toxicológico pós-contratação, pago pelo empregador, em caso de suspeita de uso e após acidente, obrigatório para trabalhadores estrangeiros e nacionais. Verificação de elegibilidade para emprego (e-Verify) obrigatória para trabalhadores estrangeiros e nacionais. A verificação do histórico de condução após a contratação é exigida apenas de funcionários estrangeiros e nacionais que dirigem veículos da empresa (dirigir não é um requisito para todos os funcionários da função), e os funcionários que optarem por obter a carteira de habilitação e dirigir veículos da empresa terão direito a salários mais altos. O empregador poderá oferecer uma jornada de trabalho superior à estipulada, dependendo das condições climáticas, das necessidades da empresa e de outros fatores. Calor extremo, frio, chuva ou seca podem afetar o horário de trabalho exato. Número de horas por semana: 35. Horário de trabalho (início/término): 8h às 16h.</v>
      </c>
    </row>
    <row r="157" ht="20.25" customHeight="1">
      <c r="A157" s="8" t="s">
        <v>900</v>
      </c>
      <c r="B157" s="8" t="s">
        <v>901</v>
      </c>
      <c r="C157" s="8" t="s">
        <v>17</v>
      </c>
      <c r="D157" s="8" t="s">
        <v>249</v>
      </c>
      <c r="E157" s="9" t="s">
        <v>19</v>
      </c>
      <c r="F157" s="9" t="s">
        <v>20</v>
      </c>
      <c r="G157" s="9" t="s">
        <v>902</v>
      </c>
      <c r="H157" s="8" t="s">
        <v>903</v>
      </c>
      <c r="I157" s="8"/>
      <c r="J157" s="9">
        <v>18.91</v>
      </c>
      <c r="K157" s="9">
        <v>19.0</v>
      </c>
      <c r="L157" s="8" t="s">
        <v>59</v>
      </c>
      <c r="M157" s="8" t="s">
        <v>904</v>
      </c>
      <c r="N157" s="7" t="str">
        <f>IFERROR(__xludf.DUMMYFUNCTION("GOOGLETRANSLATE(L157, ""en"", ""pt"")"),"Trabalhador de paisagismo")</f>
        <v>Trabalhador de paisagismo</v>
      </c>
      <c r="O157" s="7" t="str">
        <f>IFERROR(__xludf.DUMMYFUNCTION("IF(M157="""","""",GOOGLETRANSLATE(M157,""en"",""pt""))"),"Paisagismo e manutenção de terrenos utilizando ferramentas manuais ou elétricas. Os trabalhadores geralmente executam uma variedade de tarefas, que podem incluir qualquer combinação das seguintes: remoção e limpeza de folhas, cobertura morta, colocação de"&amp;" grama, corte de grama, poda, plantio, rega, fertilização, escavação, rastelagem e auxílio na instalação de blocos de concreto pré-moldados sem argamassa. Nível inicial; requer supervisão. Classificação da vaga: 37-3011.00 - Trabalhadores de Paisagismo e "&amp;"Manutenção de Terrenos. A classificação e descrição da vaga/setor incluem informações gerais sobre o cargo, de acordo com o ONET/OES e o Sistema de Classificação Industrial da América do Norte (NAICS). Consulte as Funções e a Ordem de Serviço para obter m"&amp;"ais informações. Requisitos da vaga: Experiência exigida: Não. Requisitos especiais: Deve ser capaz de levantar/carregar 23 kg, quando necessário. Trabalho aos sábados e domingos, quando necessário. Exame toxicológico pós-admissão e pós-acidente obrigatór"&amp;"io para trabalhadores estrangeiros e nacionais. O empregador pode oferecer mais horas de trabalho do que as estipuladas, dependendo do clima, das necessidades da empresa e de outras condições. Calor extremo, frio, chuva ou seca podem afetar o horário de t"&amp;"rabalho exato. Número de horas por semana: 40. Horário de trabalho (início/término): 7h30 às 16h.")</f>
        <v>Paisagismo e manutenção de terrenos utilizando ferramentas manuais ou elétricas. Os trabalhadores geralmente executam uma variedade de tarefas, que podem incluir qualquer combinação das seguintes: remoção e limpeza de folhas, cobertura morta, colocação de grama, corte de grama, poda, plantio, rega, fertilização, escavação, rastelagem e auxílio na instalação de blocos de concreto pré-moldados sem argamassa. Nível inicial; requer supervisão. Classificação da vaga: 37-3011.00 - Trabalhadores de Paisagismo e Manutenção de Terrenos. A classificação e descrição da vaga/setor incluem informações gerais sobre o cargo, de acordo com o ONET/OES e o Sistema de Classificação Industrial da América do Norte (NAICS). Consulte as Funções e a Ordem de Serviço para obter mais informações. Requisitos da vaga: Experiência exigida: Não. Requisitos especiais: Deve ser capaz de levantar/carregar 23 kg, quando necessário. Trabalho aos sábados e domingos, quando necessário. Exame toxicológico pós-admissão e pós-acidente obrigatório para trabalhadores estrangeiros e nacionais. O empregador pode oferecer mais horas de trabalho do que as estipuladas, dependendo do clima, das necessidades da empresa e de outras condições. Calor extremo, frio, chuva ou seca podem afetar o horário de trabalho exato. Número de horas por semana: 40. Horário de trabalho (início/término): 7h30 às 16h.</v>
      </c>
    </row>
    <row r="158" ht="20.25" customHeight="1">
      <c r="A158" s="3" t="s">
        <v>905</v>
      </c>
      <c r="B158" s="3" t="s">
        <v>906</v>
      </c>
      <c r="C158" s="3" t="s">
        <v>125</v>
      </c>
      <c r="D158" s="3" t="s">
        <v>102</v>
      </c>
      <c r="E158" s="4" t="s">
        <v>19</v>
      </c>
      <c r="F158" s="4" t="s">
        <v>20</v>
      </c>
      <c r="G158" s="4" t="s">
        <v>307</v>
      </c>
      <c r="H158" s="3" t="s">
        <v>637</v>
      </c>
      <c r="I158" s="3" t="s">
        <v>638</v>
      </c>
      <c r="J158" s="4">
        <v>13.08</v>
      </c>
      <c r="K158" s="4">
        <v>40.0</v>
      </c>
      <c r="L158" s="3" t="s">
        <v>907</v>
      </c>
      <c r="M158" s="3" t="s">
        <v>908</v>
      </c>
      <c r="N158" s="7" t="str">
        <f>IFERROR(__xludf.DUMMYFUNCTION("GOOGLETRANSLATE(L158, ""en"", ""pt"")"),"Atendente de Fast Food e Balcão")</f>
        <v>Atendente de Fast Food e Balcão</v>
      </c>
      <c r="O158" s="7" t="str">
        <f>IFERROR(__xludf.DUMMYFUNCTION("IF(M158="""","""",GOOGLETRANSLATE(M158,""en"",""pt""))"),"Executar tarefas como anotar pedidos e servir alimentos e bebidas. Atender clientes. Receber pagamentos. Preparar alimentos e bebidas. Aceitar pagamentos de clientes e dar troco quando necessário. Atender clientes em estabelecimentos de alimentação especi"&amp;"alizados em serviço rápido e comida para viagem a preços acessíveis. Anotar e registrar os pedidos dos clientes. Comunicar-se com os clientes sobre pedidos, comentários e reclamações. Servir alimentos, bebidas ou sobremesas aos clientes em locais como bal"&amp;"cões de entrega e carros. Monitorar e solicitar suprimentos ou itens alimentícios e repor conforme necessário para manter o estoque. Realizar tarefas de limpeza, como varrer, passar pano e lavar louça, para manter os equipamentos e instalações higienizado"&amp;"s. Preparar café e chá e encher recipientes com as bebidas solicitadas. Limpar e organizar as áreas de alimentação, serviço e cozinha. Preparar os itens do cardápio diário e cozinhar alimentos e bebidas simples, utilizando as devidas precauções de seguran"&amp;"ça e medidas sanitárias. Preparar e servir bebidas geladas, bebidas lácteas congeladas ou sobremesas, utilizando máquinas de bebidas, milk-shake ou sorvete. Embalar itens do cardápio, como sanduíches, pratos quentes e sobremesas, para servir ou para viage"&amp;"m. Esfregar e polir balcões, banhos-maria e outros equipamentos, além de limpar copos, pratos e equipamentos de bebidas. Adicionar condimentos e guarnições aos pedidos, de acordo com as instruções. Distribuir os alimentos aos garçons. Selecionar os itens "&amp;"alimentícios nas áreas de serviço ou armazenamento e colocá-los em pratos, bandejas ou sacolas para viagem. Verificar e monitorar a temperatura dos alimentos durante o preparo. Os funcionários desempenharão principalmente funções de atendimento no balcão "&amp;"e ao cliente, incluindo receber pedidos, operar caixas registradoras, servir alimentos e bebidas, preparar bebidas, embalar pedidos, reabastecer as áreas de serviço e manter a limpeza. Os funcionários podem realizar tarefas limitadas e ocasionais de prepa"&amp;"ração de alimentos, como montar sanduíches, preparar saladas, aquecer itens pré-preparados, preparar café ou porcionar itens simples do cardápio. Classificação do Cargo: 35-9021.00 - Lavadores de Louça. A classificação e descrição do cargo/setor inclui in"&amp;"formações gerais sobre a posição, de acordo com o ONET/OES e o Sistema de Classificação Industrial da América do Norte. Consulte as Funções e a Ordem de Serviço para obter mais informações. Requisitos da vaga Experiência necessária: Não Requisitos especia"&amp;"is: Capacidade de levantar e carregar 9 kg, realizar movimentos repetitivos, empurrar/puxar com frequência, permanecer em pé por longos períodos, agachar-se frequentemente e estar exposto a temperaturas extremas. Número de horas por semana: 40 Horário de "&amp;"trabalho (início/término): 7h às 16h")</f>
        <v>Executar tarefas como anotar pedidos e servir alimentos e bebidas. Atender clientes. Receber pagamentos. Preparar alimentos e bebidas. Aceitar pagamentos de clientes e dar troco quando necessário. Atender clientes em estabelecimentos de alimentação especializados em serviço rápido e comida para viagem a preços acessíveis. Anotar e registrar os pedidos dos clientes. Comunicar-se com os clientes sobre pedidos, comentários e reclamações. Servir alimentos, bebidas ou sobremesas aos clientes em locais como balcões de entrega e carros. Monitorar e solicitar suprimentos ou itens alimentícios e repor conforme necessário para manter o estoque. Realizar tarefas de limpeza, como varrer, passar pano e lavar louça, para manter os equipamentos e instalações higienizados. Preparar café e chá e encher recipientes com as bebidas solicitadas. Limpar e organizar as áreas de alimentação, serviço e cozinha. Preparar os itens do cardápio diário e cozinhar alimentos e bebidas simples, utilizando as devidas precauções de segurança e medidas sanitárias. Preparar e servir bebidas geladas, bebidas lácteas congeladas ou sobremesas, utilizando máquinas de bebidas, milk-shake ou sorvete. Embalar itens do cardápio, como sanduíches, pratos quentes e sobremesas, para servir ou para viagem. Esfregar e polir balcões, banhos-maria e outros equipamentos, além de limpar copos, pratos e equipamentos de bebidas. Adicionar condimentos e guarnições aos pedidos, de acordo com as instruções. Distribuir os alimentos aos garçons. Selecionar os itens alimentícios nas áreas de serviço ou armazenamento e colocá-los em pratos, bandejas ou sacolas para viagem. Verificar e monitorar a temperatura dos alimentos durante o preparo. Os funcionários desempenharão principalmente funções de atendimento no balcão e ao cliente, incluindo receber pedidos, operar caixas registradoras, servir alimentos e bebidas, preparar bebidas, embalar pedidos, reabastecer as áreas de serviço e manter a limpeza. Os funcionários podem realizar tarefas limitadas e ocasionais de preparação de alimentos, como montar sanduíches, preparar saladas, aquecer itens pré-preparados, preparar café ou porcionar itens simples do cardápio. Classificação do Cargo: 35-9021.00 - Lavadores de Louça. A classificação e descrição do cargo/setor inclui informações gerais sobre a posição, de acordo com o ONET/OES e o Sistema de Classificação Industrial da América do Norte. Consulte as Funções e a Ordem de Serviço para obter mais informações. Requisitos da vaga Experiência necessária: Não Requisitos especiais: Capacidade de levantar e carregar 9 kg, realizar movimentos repetitivos, empurrar/puxar com frequência, permanecer em pé por longos períodos, agachar-se frequentemente e estar exposto a temperaturas extremas. Número de horas por semana: 40 Horário de trabalho (início/término): 7h às 16h</v>
      </c>
    </row>
    <row r="159" ht="20.25" customHeight="1">
      <c r="A159" s="15" t="s">
        <v>909</v>
      </c>
      <c r="B159" s="15" t="s">
        <v>910</v>
      </c>
      <c r="C159" s="15" t="s">
        <v>169</v>
      </c>
      <c r="D159" s="15" t="s">
        <v>102</v>
      </c>
      <c r="E159" s="16" t="s">
        <v>19</v>
      </c>
      <c r="F159" s="16" t="s">
        <v>20</v>
      </c>
      <c r="G159" s="16" t="s">
        <v>911</v>
      </c>
      <c r="H159" s="17" t="s">
        <v>912</v>
      </c>
      <c r="I159" s="15" t="s">
        <v>913</v>
      </c>
      <c r="J159" s="16">
        <v>20.59</v>
      </c>
      <c r="K159" s="16">
        <v>30.0</v>
      </c>
      <c r="L159" s="15" t="s">
        <v>334</v>
      </c>
      <c r="M159" s="15" t="s">
        <v>914</v>
      </c>
      <c r="N159" s="7" t="str">
        <f>IFERROR(__xludf.DUMMYFUNCTION("GOOGLETRANSLATE(L159, ""en"", ""pt"")"),"Trabalhadores Florestais")</f>
        <v>Trabalhadores Florestais</v>
      </c>
      <c r="O159" s="7" t="str">
        <f>IFERROR(__xludf.DUMMYFUNCTION("IF(M159="""","""",GOOGLETRANSLATE(M159,""en"",""pt""))"),"Trabalho manual itinerante de plantio manual de mudas de árvores, desbaste pré-comercial, aplicação de herbicidas e poda para reflorestamento e manutenção de áreas florestais. Semear, cultivar e transportar mudas em sacos próprios para mudas. Caminhar ao "&amp;"longo das fileiras de mudas, agachar-se e separar os grupos de mudas do solo solto. Juntar os grupos de mudas para soltar a terra e as raízes, e colocar as mudas em bandejas de plantio. Plantar as mudas de árvores em um padrão específico, usando uma enxad"&amp;"a, uma pá de plantio ou um plantador manual. Cavar buracos em intervalos predeterminados e inserir as mudas. Compactar o solo ao redor da planta com o pé e uma ferramenta de plantio. Selecionar o local ideal para o plantio, considerando o espaçamento, o t"&amp;"ipo de solo e a necessidade de sombra. Preparar o solo. Usar uma motosserra, roçadeira, serras de desbaste motorizadas ou outros equipamentos manuais para preparar o local para o plantio, realizando o desbaste, o espaçamento e a remoção do excesso de árvo"&amp;"res e outras vegetações. Selecionar e cortar árvores doentes, fracas ou indesejáveis, de acordo com marcas, tamanho, espécie e qualidade, usando uma serra manual ou motorizada. Cortar arbustos e outras vegetações, podendo também triturar detritos e remove"&amp;"r resíduos de madeira de estradas, aceiros e árvores remanescentes. Pulverizar ou injetar herbicidas em árvores, arbustos e ervas daninhas para combater insetos, pragas e doenças prejudiciais, utilizando pulverizadores manuais ou motorizados, ou ferrament"&amp;"as de injeção para árvores. Utilizar um pulverizador costal ou outras ferramentas manuais para pulverizar ou injetar herbicidas na vegetação, com o objetivo de matar insetos, proteger contra doenças e reduzir a competição com outras plantas. Podar os galh"&amp;"os de árvores jovens para evitar o crescimento de nós, utilizando serra manual, serra elétrica e ferramentas de poda ou outros equipamentos manuais. Essas atividades envolvem a propagação, proteção e manejo de áreas florestais. O empregador pode pagar val"&amp;"ores de US$ 33,00 por 1.000 mudas plantadas, US$ 10,00 por acre fertilizado, US$ 4,50 por acre pulverizado e US$ 20,00 por acre desbastado corretamente, dependendo da localização do local de trabalho, mas nunca inferiores ao salário vigente na área de atu"&amp;"ação pretendida. Classificação da Função: 45-4011.00 - Trabalhadores Florestais e de Conservação. A classificação e descrição da função/setor inclui informações gerais sobre o cargo, de acordo com o ONET/OES e o Sistema de Classificação Industrial da Amér"&amp;"ica do Norte. Consulte as Funções e a Ordem de Serviço para obter mais informações. Requisitos da Função Experiência Necessária: Não. Requisitos Especiais: Não são necessários escolaridade ou experiência. Requer resistência física. Caminhadas extensas em "&amp;"terrenos acidentados. O trabalho é realizado em condições climáticas adversas. Deve ser capaz de levantar e carregar 23 kg. Meta de produção de 1750 árvores plantadas corretamente por dia de 7 horas, após uma semana de treinamento em serviço. O empregador"&amp;" poderá oferecer mais horas de trabalho do que as estipuladas, dependendo do clima, das necessidades da empresa e de outras condições. Calor extremo, frio, chuva ou seca podem afetar o horário de trabalho exato. Número de Horas por Semana: 35. Horário de "&amp;"Trabalho (Início/Término): 8h00 - 15h30.")</f>
        <v>Trabalho manual itinerante de plantio manual de mudas de árvores, desbaste pré-comercial, aplicação de herbicidas e poda para reflorestamento e manutenção de áreas florestais. Semear, cultivar e transportar mudas em sacos próprios para mudas. Caminhar ao longo das fileiras de mudas, agachar-se e separar os grupos de mudas do solo solto. Juntar os grupos de mudas para soltar a terra e as raízes, e colocar as mudas em bandejas de plantio. Plantar as mudas de árvores em um padrão específico, usando uma enxada, uma pá de plantio ou um plantador manual. Cavar buracos em intervalos predeterminados e inserir as mudas. Compactar o solo ao redor da planta com o pé e uma ferramenta de plantio. Selecionar o local ideal para o plantio, considerando o espaçamento, o tipo de solo e a necessidade de sombra. Preparar o solo. Usar uma motosserra, roçadeira, serras de desbaste motorizadas ou outros equipamentos manuais para preparar o local para o plantio, realizando o desbaste, o espaçamento e a remoção do excesso de árvores e outras vegetações. Selecionar e cortar árvores doentes, fracas ou indesejáveis, de acordo com marcas, tamanho, espécie e qualidade, usando uma serra manual ou motorizada. Cortar arbustos e outras vegetações, podendo também triturar detritos e remover resíduos de madeira de estradas, aceiros e árvores remanescentes. Pulverizar ou injetar herbicidas em árvores, arbustos e ervas daninhas para combater insetos, pragas e doenças prejudiciais, utilizando pulverizadores manuais ou motorizados, ou ferramentas de injeção para árvores. Utilizar um pulverizador costal ou outras ferramentas manuais para pulverizar ou injetar herbicidas na vegetação, com o objetivo de matar insetos, proteger contra doenças e reduzir a competição com outras plantas. Podar os galhos de árvores jovens para evitar o crescimento de nós, utilizando serra manual, serra elétrica e ferramentas de poda ou outros equipamentos manuais. Essas atividades envolvem a propagação, proteção e manejo de áreas florestais. O empregador pode pagar valores de US$ 33,00 por 1.000 mudas plantadas, US$ 10,00 por acre fertilizado, US$ 4,50 por acre pulverizado e US$ 20,00 por acre desbastado corretamente, dependendo da localização do local de trabalho, mas nunca inferiores ao salário vigente na área de atuação pretendida. Classificação da Função: 45-4011.00 - Trabalhadores Florestais e de Conservação. A classificação e descrição da função/setor inclui informações gerais sobre o cargo, de acordo com o ONET/OES e o Sistema de Classificação Industrial da América do Norte. Consulte as Funções e a Ordem de Serviço para obter mais informações. Requisitos da Função Experiência Necessária: Não. Requisitos Especiais: Não são necessários escolaridade ou experiência. Requer resistência física. Caminhadas extensas em terrenos acidentados. O trabalho é realizado em condições climáticas adversas. Deve ser capaz de levantar e carregar 23 kg. Meta de produção de 1750 árvores plantadas corretamente por dia de 7 horas, após uma semana de treinamento em serviço. O empregador poderá oferecer mais horas de trabalho do que as estipuladas, dependendo do clima, das necessidades da empresa e de outras condições. Calor extremo, frio, chuva ou seca podem afetar o horário de trabalho exato. Número de Horas por Semana: 35. Horário de Trabalho (Início/Término): 8h00 - 15h30.</v>
      </c>
    </row>
    <row r="160" ht="20.25" customHeight="1">
      <c r="A160" s="3" t="s">
        <v>915</v>
      </c>
      <c r="B160" s="3" t="s">
        <v>916</v>
      </c>
      <c r="C160" s="3" t="s">
        <v>63</v>
      </c>
      <c r="D160" s="3" t="s">
        <v>55</v>
      </c>
      <c r="E160" s="4" t="s">
        <v>19</v>
      </c>
      <c r="F160" s="4" t="s">
        <v>20</v>
      </c>
      <c r="G160" s="4" t="s">
        <v>56</v>
      </c>
      <c r="H160" s="3" t="s">
        <v>917</v>
      </c>
      <c r="I160" s="3" t="s">
        <v>545</v>
      </c>
      <c r="J160" s="4">
        <v>19.8</v>
      </c>
      <c r="K160" s="4">
        <v>9.0</v>
      </c>
      <c r="L160" s="3" t="s">
        <v>288</v>
      </c>
      <c r="M160" s="3" t="s">
        <v>546</v>
      </c>
      <c r="N160" s="7" t="str">
        <f>IFERROR(__xludf.DUMMYFUNCTION("GOOGLETRANSLATE(L160, ""en"", ""pt"")"),"Especialista em Manutenção de Jardins")</f>
        <v>Especialista em Manutenção de Jardins</v>
      </c>
      <c r="O160" s="7" t="str">
        <f>IFERROR(__xludf.DUMMYFUNCTION("IF(M160="""","""",GOOGLETRANSLATE(M160,""en"",""pt""))"),"Paisagismo e manutenção de terrenos utilizando ferramentas manuais ou elétricas. Os trabalhadores devem ser capazes de executar uma variedade de tarefas sem supervisão direta, que podem incluir qualquer combinação das seguintes atividades: cortar grama, a"&amp;"parar, plantar, podar, cavar e aplicar cobertura morta. Devem exercer julgamento independente; podem ser solicitados a demonstrar tarefas a outros funcionários, mas a função não inclui a supervisão de outros trabalhadores. Classificação da função: 37-3011"&amp;".00 - Trabalhadores de Paisagismo e Manutenção de Terrenos. A classificação e descrição da função/setor incluem informações gerais sobre o cargo, de acordo com o ONET/OES e o Sistema de Classificação Industrial da América do Norte. Consulte as Funções e a"&amp;" Ordem de Serviço para obter mais informações. Requisitos da função: Experiência exigida: Sim. Meses de experiência exigidos: 3. Requisitos especiais: Deve ser capaz de levantar/carregar 23 kg, quando necessário. Trabalho aos sábados e domingos, quando ne"&amp;"cessário. Testes aleatórios de drogas após a contratação, após acidentes e em caso de suspeita de uso são exigidos para trabalhadores estrangeiros e nacionais. O empregador pode oferecer mais horas de trabalho do que as estipuladas, dependendo do clima, d"&amp;"as necessidades da empresa e de outras condições. Calor extremo, frio, chuva ou seca podem afetar o horário de trabalho exato. Número de horas por semana: 40. Horário de trabalho (início/término): 6h às 14h30.")</f>
        <v>Paisagismo e manutenção de terrenos utilizando ferramentas manuais ou elétricas. Os trabalhadores devem ser capazes de executar uma variedade de tarefas sem supervisão direta, que podem incluir qualquer combinação das seguintes atividades: cortar grama, aparar, plantar, podar, cavar e aplicar cobertura morta. Devem exercer julgamento independente; podem ser solicitados a demonstrar tarefas a outros funcionários, mas a função não inclui a supervisão de outros trabalhadores. Classificação da função: 37-3011.00 - Trabalhadores de Paisagismo e Manutenção de Terrenos. A classificação e descrição da função/setor incluem informações gerais sobre o cargo, de acordo com o ONET/OES e o Sistema de Classificação Industrial da América do Norte. Consulte as Funções e a Ordem de Serviço para obter mais informações. Requisitos da função: Experiência exigida: Sim. Meses de experiência exigidos: 3. Requisitos especiais: Deve ser capaz de levantar/carregar 23 kg, quando necessário. Trabalho aos sábados e domingos, quando necessário. Testes aleatórios de drogas após a contratação, após acidentes e em caso de suspeita de uso são exigidos para trabalhadores estrangeiros e nacionais. O empregador pode oferecer mais horas de trabalho do que as estipuladas, dependendo do clima, das necessidades da empresa e de outras condições. Calor extremo, frio, chuva ou seca podem afetar o horário de trabalho exato. Número de horas por semana: 40. Horário de trabalho (início/término): 6h às 14h30.</v>
      </c>
    </row>
    <row r="161" ht="20.25" customHeight="1">
      <c r="A161" s="3" t="s">
        <v>918</v>
      </c>
      <c r="B161" s="3" t="s">
        <v>919</v>
      </c>
      <c r="C161" s="3" t="s">
        <v>920</v>
      </c>
      <c r="D161" s="3" t="s">
        <v>64</v>
      </c>
      <c r="E161" s="4" t="s">
        <v>19</v>
      </c>
      <c r="F161" s="4" t="s">
        <v>20</v>
      </c>
      <c r="G161" s="4" t="s">
        <v>369</v>
      </c>
      <c r="H161" s="10" t="s">
        <v>921</v>
      </c>
      <c r="I161" s="3" t="s">
        <v>922</v>
      </c>
      <c r="J161" s="4">
        <v>24.48</v>
      </c>
      <c r="K161" s="4">
        <v>1.0</v>
      </c>
      <c r="L161" s="3" t="s">
        <v>923</v>
      </c>
      <c r="M161" s="3" t="s">
        <v>924</v>
      </c>
      <c r="N161" s="7" t="str">
        <f>IFERROR(__xludf.DUMMYFUNCTION("GOOGLETRANSLATE(L161, ""en"", ""pt"")"),"Iluminação de Natal")</f>
        <v>Iluminação de Natal</v>
      </c>
      <c r="O161" s="7" t="str">
        <f>IFERROR(__xludf.DUMMYFUNCTION("IF(M161="""","""",GOOGLETRANSLATE(M161,""en"",""pt""))"),"Organizar e preparar o estoque de materiais de decoração natalina. Instalar luzes de Natal. Carregar e descarregar materiais e prepará-los para armazenamento. Necessário levantar até 23 kg. Classificação da vaga: 49-9099.00 - Trabalhadores de Instalação, "&amp;"Manutenção e Reparo, Outros. A classificação e descrição da vaga/setor incluem informações gerais sobre o cargo, conforme ONET/OES e o Sistema de Classificação Industrial da América do Norte (NAICS). Consulte as atribuições e a ordem de serviço para obter"&amp;" mais informações. Requisitos da vaga: Experiência necessária: Não. Número de horas por semana: 40. Horário de trabalho (início/término): 7h às 16h.")</f>
        <v>Organizar e preparar o estoque de materiais de decoração natalina. Instalar luzes de Natal. Carregar e descarregar materiais e prepará-los para armazenamento. Necessário levantar até 23 kg. Classificação da vaga: 49-9099.00 - Trabalhadores de Instalação, Manutenção e Reparo, Outros. A classificação e descrição da vaga/setor incluem informações gerais sobre o cargo, conforme ONET/OES e o Sistema de Classificação Industrial da América do Norte (NAICS). Consulte as atribuições e a ordem de serviço para obter mais informações. Requisitos da vaga: Experiência necessária: Não. Número de horas por semana: 40. Horário de trabalho (início/término): 7h às 16h.</v>
      </c>
    </row>
    <row r="162" ht="20.25" customHeight="1">
      <c r="A162" s="3" t="s">
        <v>925</v>
      </c>
      <c r="B162" s="3" t="s">
        <v>926</v>
      </c>
      <c r="C162" s="3" t="s">
        <v>116</v>
      </c>
      <c r="D162" s="3" t="s">
        <v>284</v>
      </c>
      <c r="E162" s="4" t="s">
        <v>19</v>
      </c>
      <c r="F162" s="4" t="s">
        <v>20</v>
      </c>
      <c r="G162" s="4" t="s">
        <v>377</v>
      </c>
      <c r="H162" s="3" t="s">
        <v>927</v>
      </c>
      <c r="I162" s="3" t="s">
        <v>928</v>
      </c>
      <c r="J162" s="4">
        <v>10.95</v>
      </c>
      <c r="K162" s="4">
        <v>8.0</v>
      </c>
      <c r="L162" s="3" t="s">
        <v>929</v>
      </c>
      <c r="M162" s="3" t="s">
        <v>930</v>
      </c>
      <c r="N162" s="7" t="str">
        <f>IFERROR(__xludf.DUMMYFUNCTION("GOOGLETRANSLATE(L162, ""en"", ""pt"")"),"Trabalhadores de preparação de alimentos")</f>
        <v>Trabalhadores de preparação de alimentos</v>
      </c>
      <c r="O162" s="7" t="str">
        <f>IFERROR(__xludf.DUMMYFUNCTION("IF(M162="""","""",GOOGLETRANSLATE(M162,""en"",""pt""))"),"As funções podem incluir: Auxiliar os cozinheiros e a equipe da cozinha em diversas tarefas, conforme necessário, e fornecer aos cozinheiros os itens necessários. Limpar, cortar, fatiar ou moer carnes, aves e frutos do mar para prepará-los para o coziment"&amp;"o ou serviço. Lavar, descascar e cortar diversos alimentos, como frutas e legumes, para prepará-los para o cozimento ou serviço. Misturar ingredientes pesados ​​ou medidos para massas de pizza, palitos de pão, asas de frango, saladas e outros itens do car"&amp;"dápio. Receber e armazenar alimentos, suprimentos, equipamentos e utensílios em recipientes designados, geladeiras, armários e outras áreas de armazenamento. Colocar pratos, copos e talheres na máquina de lavar louça após descartar as sobras em recipiente"&amp;"s de lixo. Aspirar a área de refeições e varrer e passar pano no chão da cozinha. Limpar e higienizar áreas de trabalho, equipamentos, utensílios, pratos ou talheres e outras atividades relacionadas aos Auxiliares de Cozinha, conforme SOC/OES 35-9021 (one"&amp;"tonline.org). Horário padrão/esperado: Segunda a sábado, das 9h às 15h ou das 15h às 22h. Oferecemos 40 horas semanais ou mais, sem incluir o horário de almoço e/ou intervalos. Os funcionários podem trabalhar em diferentes turnos. A escala semanal pode va"&amp;"riar. Turnos de até 8 horas com um intervalo de almoço de 30 minutos são padrão. Possibilidade de trabalho nos fins de semana e feriados. Os horários de início e término, a carga horária oferecida e/ou a possibilidade de horas extras podem variar, pois de"&amp;"pendem de fatores como necessidades do projeto/cronograma/serviço, condições climáticas e tempo de deslocamento entre os locais de trabalho (se aplicável). Horas extras são possíveis, mas não obrigatórias ou garantidas. A critério exclusivo do empregador:"&amp;" aumentos salariais e/ou bônus podem ser concedidos com base em fatores individuais, como desempenho ou habilidades (não garantidos). Classificação da vaga: 35-9021.00 - Lavadores de Louça. A classificação e descrição da vaga/setor incluem informações ger"&amp;"ais sobre o cargo, de acordo com o ONET/OES e o Sistema de Classificação Industrial da América do Norte. Consulte as Funções e a Ordem de Serviço para obter mais informações. Requisitos da vaga: Experiência necessária: Não. Requisitos especiais: É necessá"&amp;"rio ter 18 anos ou mais, devido às leis trabalhistas estaduais. É necessário apresentar comprovante de autorização legal para trabalhar nos Estados Unidos. Ambiente de trabalho livre de drogas, álcool e tabaco. Atividades físicas incluem: levantar, equili"&amp;"brar-se, caminhar, abaixar-se, manusear, posicionar, mover e manipular materiais; usar força estática para exercer força muscular máxima para levantar, empurrar, puxar e carregar objetos de até 18 kg. Todos os candidatos devem ser capazes, dispostos e qua"&amp;"lificados para realizar o trabalho descrito e devem estar disponíveis durante todo o período especificado. A carga horária pode variar de acordo com os picos e vales do turismo ao longo da temporada (+/-), possíveis períodos de inatividade e/ou horas extr"&amp;"as. Número de horas por semana: 40. Horário de trabalho (início/término): 9h às 15h.")</f>
        <v>As funções podem incluir: Auxiliar os cozinheiros e a equipe da cozinha em diversas tarefas, conforme necessário, e fornecer aos cozinheiros os itens necessários. Limpar, cortar, fatiar ou moer carnes, aves e frutos do mar para prepará-los para o cozimento ou serviço. Lavar, descascar e cortar diversos alimentos, como frutas e legumes, para prepará-los para o cozimento ou serviço. Misturar ingredientes pesados ​​ou medidos para massas de pizza, palitos de pão, asas de frango, saladas e outros itens do cardápio. Receber e armazenar alimentos, suprimentos, equipamentos e utensílios em recipientes designados, geladeiras, armários e outras áreas de armazenamento. Colocar pratos, copos e talheres na máquina de lavar louça após descartar as sobras em recipientes de lixo. Aspirar a área de refeições e varrer e passar pano no chão da cozinha. Limpar e higienizar áreas de trabalho, equipamentos, utensílios, pratos ou talheres e outras atividades relacionadas aos Auxiliares de Cozinha, conforme SOC/OES 35-9021 (onetonline.org). Horário padrão/esperado: Segunda a sábado, das 9h às 15h ou das 15h às 22h. Oferecemos 40 horas semanais ou mais, sem incluir o horário de almoço e/ou intervalos. Os funcionários podem trabalhar em diferentes turnos. A escala semanal pode variar. Turnos de até 8 horas com um intervalo de almoço de 30 minutos são padrão. Possibilidade de trabalho nos fins de semana e feriados. Os horários de início e término, a carga horária oferecida e/ou a possibilidade de horas extras podem variar, pois dependem de fatores como necessidades do projeto/cronograma/serviço, condições climáticas e tempo de deslocamento entre os locais de trabalho (se aplicável). Horas extras são possíveis, mas não obrigatórias ou garantidas. A critério exclusivo do empregador: aumentos salariais e/ou bônus podem ser concedidos com base em fatores individuais, como desempenho ou habilidades (não garantidos). Classificação da vaga: 35-9021.00 - Lavadores de Louça. A classificação e descrição da vaga/setor incluem informações gerais sobre o cargo, de acordo com o ONET/OES e o Sistema de Classificação Industrial da América do Norte. Consulte as Funções e a Ordem de Serviço para obter mais informações. Requisitos da vaga: Experiência necessária: Não. Requisitos especiais: É necessário ter 18 anos ou mais, devido às leis trabalhistas estaduais. É necessário apresentar comprovante de autorização legal para trabalhar nos Estados Unidos. Ambiente de trabalho livre de drogas, álcool e tabaco. Atividades físicas incluem: levantar, equilibrar-se, caminhar, abaixar-se, manusear, posicionar, mover e manipular materiais; usar força estática para exercer força muscular máxima para levantar, empurrar, puxar e carregar objetos de até 18 kg. Todos os candidatos devem ser capazes, dispostos e qualificados para realizar o trabalho descrito e devem estar disponíveis durante todo o período especificado. A carga horária pode variar de acordo com os picos e vales do turismo ao longo da temporada (+/-), possíveis períodos de inatividade e/ou horas extras. Número de horas por semana: 40. Horário de trabalho (início/término): 9h às 15h.</v>
      </c>
    </row>
    <row r="163" ht="20.25" customHeight="1">
      <c r="A163" s="8" t="s">
        <v>931</v>
      </c>
      <c r="B163" s="8" t="s">
        <v>932</v>
      </c>
      <c r="C163" s="8" t="s">
        <v>17</v>
      </c>
      <c r="D163" s="8" t="s">
        <v>254</v>
      </c>
      <c r="E163" s="9" t="s">
        <v>19</v>
      </c>
      <c r="F163" s="9" t="s">
        <v>20</v>
      </c>
      <c r="G163" s="9" t="s">
        <v>404</v>
      </c>
      <c r="H163" s="8" t="s">
        <v>933</v>
      </c>
      <c r="I163" s="8"/>
      <c r="J163" s="9">
        <v>18.59</v>
      </c>
      <c r="K163" s="9">
        <v>117.0</v>
      </c>
      <c r="L163" s="8" t="s">
        <v>372</v>
      </c>
      <c r="M163" s="8" t="s">
        <v>934</v>
      </c>
      <c r="N163" s="7" t="str">
        <f>IFERROR(__xludf.DUMMYFUNCTION("GOOGLETRANSLATE(L163, ""en"", ""pt"")"),"Trabalhador braçal para serviços de outono e inverno")</f>
        <v>Trabalhador braçal para serviços de outono e inverno</v>
      </c>
      <c r="O163" s="7" t="str">
        <f>IFERROR(__xludf.DUMMYFUNCTION("IF(M163="""","""",GOOGLETRANSLATE(M163,""en"",""pt""))"),"Os arados utilizados são cortadores de grama manuais com implementos de arado, usados ​​para limpar calçadas e pequenos estacionamentos. Os funcionários manterão a parte externa de edifícios comerciais privados (escritórios, centros comerciais, etc.) e re"&amp;"sidenciais limpa e organizada, removendo neve e folhas de calçadas, entradas de garagem, jardins ou estacionamentos, utilizando pás de neve, sopradores de neve, arados de neve, sopradores de folhas, ancinhos, trituradores de gelo ou espalhadores de sal; r"&amp;"ecolherão e descartarão lixo e detritos manualmente ou com um coletor de lixo; farão a limpeza após tempestades de outono/inverno, incluindo a remoção de detritos do terreno; e a poda de inverno de árvores/arbustos dormentes. Limparão e realizarão a manut"&amp;"enção de rotina de equipamentos e ferramentas quando não estiverem em uso. Classificação do Cargo: 37-3011.00 - Trabalhadores de Paisagismo e Manutenção de Jardins. A classificação e descrição do cargo/setor inclui informações gerais sobre a posição, de a"&amp;"cordo com o ONET/OES e o Sistema de Classificação Industrial da América do Norte. Consulte as Funções e a Ordem de Serviço para obter mais informações. Requisitos da Vaga Experiência Necessária: Não Requisitos Especiais: Deve ser capaz de levantar/carrega"&amp;"r 23 kg, quando necessário. Os turnos/horários de trabalho variam de acordo com o dia e os dias de trabalho variam de acordo com a semana, dependendo da quantidade de neve. Trabalho aos sábados e domingos será necessário, quando aplicável. Testes toxicoló"&amp;"gicos pagos pelo empregador são obrigatórios para trabalhadores estrangeiros e nacionais antes do início do trabalho e após a contratação, aleatoriamente, em caso de suspeita de uso e após acidentes. Verificação de antecedentes e elegibilidade para empreg"&amp;"o (e-Verify) são obrigatórias para trabalhadores estrangeiros e nacionais após a contratação. Verificação do histórico de condução após a contratação é obrigatória apenas para trabalhadores estrangeiros e nacionais que dirigem veículos da empresa (dirigir"&amp;" não é um requisito para todos os funcionários da vaga). O empregador pode oferecer mais horas de trabalho do que as estipuladas, dependendo do clima, das necessidades da empresa e de outras condições. Calor extremo, frio, chuva ou seca podem afetar o hor"&amp;"ário de trabalho exato. Número de Horas por Semana: 40 Horário de Trabalho (Início/Término): 7h30 - 16h00")</f>
        <v>Os arados utilizados são cortadores de grama manuais com implementos de arado, usados ​​para limpar calçadas e pequenos estacionamentos. Os funcionários manterão a parte externa de edifícios comerciais privados (escritórios, centros comerciais, etc.) e residenciais limpa e organizada, removendo neve e folhas de calçadas, entradas de garagem, jardins ou estacionamentos, utilizando pás de neve, sopradores de neve, arados de neve, sopradores de folhas, ancinhos, trituradores de gelo ou espalhadores de sal; recolherão e descartarão lixo e detritos manualmente ou com um coletor de lixo; farão a limpeza após tempestades de outono/inverno, incluindo a remoção de detritos do terreno; e a poda de inverno de árvores/arbustos dormentes. Limparão e realizarão a manutenção de rotina de equipamentos e ferramentas quando não estiverem em uso. Classificação do Cargo: 37-3011.00 - Trabalhadores de Paisagismo e Manutenção de Jardins. A classificação e descrição do cargo/setor inclui informações gerais sobre a posição, de acordo com o ONET/OES e o Sistema de Classificação Industrial da América do Norte. Consulte as Funções e a Ordem de Serviço para obter mais informações. Requisitos da Vaga Experiência Necessária: Não Requisitos Especiais: Deve ser capaz de levantar/carregar 23 kg, quando necessário. Os turnos/horários de trabalho variam de acordo com o dia e os dias de trabalho variam de acordo com a semana, dependendo da quantidade de neve. Trabalho aos sábados e domingos será necessário, quando aplicável. Testes toxicológicos pagos pelo empregador são obrigatórios para trabalhadores estrangeiros e nacionais antes do início do trabalho e após a contratação, aleatoriamente, em caso de suspeita de uso e após acidentes. Verificação de antecedentes e elegibilidade para emprego (e-Verify) são obrigatórias para trabalhadores estrangeiros e nacionais após a contratação. Verificação do histórico de condução após a contratação é obrigatória apenas para trabalhadores estrangeiros e nacionais que dirigem veículos da empresa (dirigir não é um requisito para todos os funcionários da vaga). O empregador pode oferecer mais horas de trabalho do que as estipuladas, dependendo do clima, das necessidades da empresa e de outras condições. Calor extremo, frio, chuva ou seca podem afetar o horário de trabalho exato. Número de Horas por Semana: 40 Horário de Trabalho (Início/Término): 7h30 - 16h00</v>
      </c>
    </row>
    <row r="164" ht="20.25" customHeight="1">
      <c r="A164" s="3" t="s">
        <v>935</v>
      </c>
      <c r="B164" s="3" t="s">
        <v>936</v>
      </c>
      <c r="C164" s="3" t="s">
        <v>63</v>
      </c>
      <c r="D164" s="3" t="s">
        <v>109</v>
      </c>
      <c r="E164" s="4" t="s">
        <v>19</v>
      </c>
      <c r="F164" s="4" t="s">
        <v>20</v>
      </c>
      <c r="G164" s="4" t="s">
        <v>146</v>
      </c>
      <c r="H164" s="3" t="s">
        <v>937</v>
      </c>
      <c r="I164" s="3" t="s">
        <v>938</v>
      </c>
      <c r="J164" s="4">
        <v>18.69</v>
      </c>
      <c r="K164" s="4">
        <v>4.0</v>
      </c>
      <c r="L164" s="3" t="s">
        <v>59</v>
      </c>
      <c r="M164" s="3" t="s">
        <v>939</v>
      </c>
      <c r="N164" s="7" t="str">
        <f>IFERROR(__xludf.DUMMYFUNCTION("GOOGLETRANSLATE(L164, ""en"", ""pt"")"),"Trabalhador de paisagismo")</f>
        <v>Trabalhador de paisagismo</v>
      </c>
      <c r="O164" s="7" t="str">
        <f>IFERROR(__xludf.DUMMYFUNCTION("IF(M164="""","""",GOOGLETRANSLATE(M164,""en"",""pt""))"),"Paisagismo e manutenção de terrenos utilizando ferramentas manuais ou elétricas. Os trabalhadores geralmente executam uma variedade de tarefas, que podem incluir qualquer combinação das seguintes: colocação de grama, corte de grama, poda, plantio, rega, f"&amp;"ertilização, escavação, rastelagem, poda de arbustos e capina. Auxiliam na instalação de sistemas de irrigação e iluminação. Carregam e descarregam equipamentos e materiais de paisagismo; limpam os equipamentos e o local de trabalho após a conclusão do se"&amp;"rviço. Nível inicial, requer supervisão. Classificação da vaga: 37-3011.00 - Trabalhadores de Paisagismo e Manutenção de Terrenos. A classificação e descrição da vaga/setor incluem informações gerais sobre o cargo, de acordo com o ONET/OES e o Sistema de "&amp;"Classificação Industrial da América do Norte (NAICS). Consulte as Funções e a Ordem de Serviço para obter mais informações. Requisitos da vaga: Experiência exigida: Não. Requisitos especiais: Deve ser capaz de levantar/carregar 23 kg, quando necessário. T"&amp;"rabalho aos sábados, quando necessário. Verificação do histórico de condução após a contratação, exigida apenas para trabalhadores estrangeiros e nacionais que dirigem veículos da empresa (dirigir não é um requisito para todos os trabalhadores da vaga). O"&amp;" empregador poderá oferecer uma jornada de trabalho superior à estipulada, dependendo das condições climáticas, das necessidades da empresa e de outros fatores. Calor extremo, frio intenso, chuva ou seca podem afetar o horário de trabalho exato. Número de"&amp;" horas por semana: 40. Horário de trabalho (início/término): 7h às 17h.")</f>
        <v>Paisagismo e manutenção de terrenos utilizando ferramentas manuais ou elétricas. Os trabalhadores geralmente executam uma variedade de tarefas, que podem incluir qualquer combinação das seguintes: colocação de grama, corte de grama, poda, plantio, rega, fertilização, escavação, rastelagem, poda de arbustos e capina. Auxiliam na instalação de sistemas de irrigação e iluminação. Carregam e descarregam equipamentos e materiais de paisagismo; limpam os equipamentos e o local de trabalho após a conclusão do serviço. Nível inicial, requer supervisão. Classificação da vaga: 37-3011.00 - Trabalhadores de Paisagismo e Manutenção de Terrenos. A classificação e descrição da vaga/setor incluem informações gerais sobre o cargo, de acordo com o ONET/OES e o Sistema de Classificação Industrial da América do Norte (NAICS). Consulte as Funções e a Ordem de Serviço para obter mais informações. Requisitos da vaga: Experiência exigida: Não. Requisitos especiais: Deve ser capaz de levantar/carregar 23 kg, quando necessário. Trabalho aos sábados, quando necessário. Verificação do histórico de condução após a contratação, exigida apenas para trabalhadores estrangeiros e nacionais que dirigem veículos da empresa (dirigir não é um requisito para todos os trabalhadores da vaga). O empregador poderá oferecer uma jornada de trabalho superior à estipulada, dependendo das condições climáticas, das necessidades da empresa e de outros fatores. Calor extremo, frio intenso, chuva ou seca podem afetar o horário de trabalho exato. Número de horas por semana: 40. Horário de trabalho (início/término): 7h às 17h.</v>
      </c>
    </row>
    <row r="165" ht="20.25" customHeight="1">
      <c r="A165" s="8" t="s">
        <v>940</v>
      </c>
      <c r="B165" s="8" t="s">
        <v>941</v>
      </c>
      <c r="C165" s="8" t="s">
        <v>27</v>
      </c>
      <c r="D165" s="8" t="s">
        <v>28</v>
      </c>
      <c r="E165" s="9" t="s">
        <v>19</v>
      </c>
      <c r="F165" s="9" t="s">
        <v>20</v>
      </c>
      <c r="G165" s="9" t="s">
        <v>524</v>
      </c>
      <c r="H165" s="8" t="s">
        <v>942</v>
      </c>
      <c r="I165" s="8" t="s">
        <v>943</v>
      </c>
      <c r="J165" s="9">
        <v>17.25</v>
      </c>
      <c r="K165" s="9">
        <v>5.0</v>
      </c>
      <c r="L165" s="8" t="s">
        <v>944</v>
      </c>
      <c r="M165" s="8" t="s">
        <v>945</v>
      </c>
      <c r="N165" s="7" t="str">
        <f>IFERROR(__xludf.DUMMYFUNCTION("GOOGLETRANSLATE(L165, ""en"", ""pt"")"),"Membro da Equipe de Eventos")</f>
        <v>Membro da Equipe de Eventos</v>
      </c>
      <c r="O165" s="7" t="str">
        <f>IFERROR(__xludf.DUMMYFUNCTION("IF(M165="""","""",GOOGLETRANSLATE(M165,""en"",""pt""))"),"As funções podem incluir: Nível inicial; requer supervisão. Seguindo instruções ou orientações: auxiliar na preparação, carregamento, entrega, montagem, limpeza e armazenamento de equipamentos de aluguel para eventos. Manter as áreas de armazenamento de e"&amp;"quipamentos para garantir a proteção do estoque. Transportar ferramentas ou suprimentos dos caminhões e devolvê-los após o uso. Montar e inspecionar equipamentos de aluguel para eventos, como tendas, mesas, cadeiras, pistas de dança e iluminação. Limpar a"&amp;"s áreas de trabalho para garantir a segurança e outras atividades relacionadas à equipe de eventos, conforme SOC/OES 53-7062 (onetonline.org). Horário padrão/esperado: Segunda a domingo, das 7h30 às 16h. Oferecemos mais de 40 horas semanais, sem incluir a"&amp;"lmoço e/ou intervalos. A escala semanal pode variar. Os funcionários podem ser solicitados a trabalhar em horários variados além do expediente padrão, dependendo das necessidades da empresa. Possibilidade de trabalho nos fins de semana e feriados. Os horá"&amp;"rios de início e término, a carga horária e/ou horas extras podem variar, pois dependem de fatores como projeto/cronograma/necessidades do serviço, condições climáticas e tempo de deslocamento entre os locais de trabalho (se aplicável). Possibilidade de h"&amp;"oras extras, mas não obrigatórias nem garantidas. A critério exclusivo do empregador: possíveis aumentos e/ou bônus com base em fatores individuais, como desempenho ou habilidades (não garantidos). Classificação da vaga: 53-7062.00 - Operários e Movimenta"&amp;"dores de Carga, Estoque e Materiais. A classificação e descrição da vaga/setor incluem informações gerais sobre o cargo, de acordo com o ONET/OES e o Sistema de Classificação Industrial da América do Norte (NAICS). Consulte as Funções e a Ordem de Serviço"&amp;" para obter mais informações. Requisitos da vaga: Experiência necessária: Sim. Meses de experiência necessários: 3. Requisitos especiais: É necessário ter 18 anos devido a questões de seguro. É necessário apresentar comprovante de autorização legal para t"&amp;"rabalhar nos Estados Unidos. Ambiente de trabalho livre de drogas, álcool e tabaco. Executar atividades físicas como: levantar, equilibrar-se, caminhar, abaixar-se, manusear, posicionar, mover e manipular materiais; usar força estática para exercer força "&amp;"muscular máxima para levantar, empurrar, puxar e carregar objetos de até 45 kg (possivelmente com a ajuda de outra pessoa). Todos os candidatos devem ser capazes, estar dispostos e qualificados para executar o trabalho descrito e devem estar disponíveis d"&amp;"urante todo o período especificado e trabalhar em todas as áreas da função pretendida. O trabalho é realizado ao ar livre, exposto às intempéries; o candidato deve ser capaz de realizar trabalho fisicamente extenuante por longos períodos, ocasionalmente e"&amp;"m calor ou frio extremos. As condições climáticas são variáveis; a carga horária pode sofrer alterações (+/-), podendo haver períodos de inatividade e/ou horas extras. Número de horas por semana: 56. Horário de trabalho (início/término): 7h30 às 16h.")</f>
        <v>As funções podem incluir: Nível inicial; requer supervisão. Seguindo instruções ou orientações: auxiliar na preparação, carregamento, entrega, montagem, limpeza e armazenamento de equipamentos de aluguel para eventos. Manter as áreas de armazenamento de equipamentos para garantir a proteção do estoque. Transportar ferramentas ou suprimentos dos caminhões e devolvê-los após o uso. Montar e inspecionar equipamentos de aluguel para eventos, como tendas, mesas, cadeiras, pistas de dança e iluminação. Limpar as áreas de trabalho para garantir a segurança e outras atividades relacionadas à equipe de eventos, conforme SOC/OES 53-7062 (onetonline.org). Horário padrão/esperado: Segunda a domingo, das 7h30 às 16h. Oferecemos mais de 40 horas semanais, sem incluir almoço e/ou intervalos. A escala semanal pode variar. Os funcionários podem ser solicitados a trabalhar em horários variados além do expediente padrão, dependendo das necessidades da empresa. Possibilidade de trabalho nos fins de semana e feriados. Os horários de início e término, a carga horária e/ou horas extras podem variar, pois dependem de fatores como projeto/cronograma/necessidades do serviço, condições climáticas e tempo de deslocamento entre os locais de trabalho (se aplicável). Possibilidade de horas extras, mas não obrigatórias nem garantidas. A critério exclusivo do empregador: possíveis aumentos e/ou bônus com base em fatores individuais, como desempenho ou habilidades (não garantidos). Classificação da vaga: 53-7062.00 - Operários e Movimentadores de Carga, Estoque e Materiais. A classificação e descrição da vaga/setor incluem informações gerais sobre o cargo, de acordo com o ONET/OES e o Sistema de Classificação Industrial da América do Norte (NAICS). Consulte as Funções e a Ordem de Serviço para obter mais informações. Requisitos da vaga: Experiência necessária: Sim. Meses de experiência necessários: 3. Requisitos especiais: É necessário ter 18 anos devido a questões de seguro. É necessário apresentar comprovante de autorização legal para trabalhar nos Estados Unidos. Ambiente de trabalho livre de drogas, álcool e tabaco. Executar atividades físicas como: levantar, equilibrar-se, caminhar, abaixar-se, manusear, posicionar, mover e manipular materiais; usar força estática para exercer força muscular máxima para levantar, empurrar, puxar e carregar objetos de até 45 kg (possivelmente com a ajuda de outra pessoa). Todos os candidatos devem ser capazes, estar dispostos e qualificados para executar o trabalho descrito e devem estar disponíveis durante todo o período especificado e trabalhar em todas as áreas da função pretendida. O trabalho é realizado ao ar livre, exposto às intempéries; o candidato deve ser capaz de realizar trabalho fisicamente extenuante por longos períodos, ocasionalmente em calor ou frio extremos. As condições climáticas são variáveis; a carga horária pode sofrer alterações (+/-), podendo haver períodos de inatividade e/ou horas extras. Número de horas por semana: 56. Horário de trabalho (início/término): 7h30 às 16h.</v>
      </c>
    </row>
    <row r="166" ht="20.25" customHeight="1">
      <c r="A166" s="3" t="s">
        <v>946</v>
      </c>
      <c r="B166" s="3" t="s">
        <v>947</v>
      </c>
      <c r="C166" s="3" t="s">
        <v>662</v>
      </c>
      <c r="D166" s="3" t="s">
        <v>140</v>
      </c>
      <c r="E166" s="4" t="s">
        <v>19</v>
      </c>
      <c r="F166" s="4" t="s">
        <v>20</v>
      </c>
      <c r="G166" s="4" t="s">
        <v>155</v>
      </c>
      <c r="H166" s="3" t="s">
        <v>948</v>
      </c>
      <c r="I166" s="3" t="s">
        <v>949</v>
      </c>
      <c r="J166" s="4">
        <v>17.98</v>
      </c>
      <c r="K166" s="4">
        <v>23.0</v>
      </c>
      <c r="L166" s="3" t="s">
        <v>950</v>
      </c>
      <c r="M166" s="3" t="s">
        <v>951</v>
      </c>
      <c r="N166" s="7" t="str">
        <f>IFERROR(__xludf.DUMMYFUNCTION("GOOGLETRANSLATE(L166, ""en"", ""pt"")"),"Plantadores de árvores")</f>
        <v>Plantadores de árvores</v>
      </c>
      <c r="O166" s="7" t="str">
        <f>IFERROR(__xludf.DUMMYFUNCTION("IF(M166="""","""",GOOGLETRANSLATE(M166,""en"",""pt""))"),"As funções podem incluir: Trabalho manual itinerante de plantio e fertilização de mudas de pinheiro para reflorestamento e manutenção de áreas florestais, manualmente ou com máquinas. Os trabalhadores transportarão as mudas e plantarão as árvores manualme"&amp;"nte, utilizando um plantador manual. Também plantarão árvores em plantadeiras mecânicas tracionadas por trator. Este trabalho é realizado em áreas florestais desmatadas, em solo e/ou áreas úmidas. Utilizarão equipamentos para plantio e desbaste de árvores"&amp;", preparação do local para plantio ou execução de outros serviços florestais. Deve-se atentar para o espaçamento, o tipo de solo e as necessidades de sombreamento. O profissional deverá ser capaz de selecionar as mudas, descartando as de qualidade inferio"&amp;"r de acordo com as instruções verbais. Colocará as mudas na cova e compactará o solo ao redor da planta, utilizando o pé e o plantador manual, cobrindo as raízes com terra e compactando o solo solto ao redor das mudas. Realizará desbaste pré-comercial, po"&amp;"da de árvores no solo e roçada. Limpará e fará a manutenção dos equipamentos durante o período do contrato. Deverá ser cordial com os colegas de trabalho e ter uma atitude cooperativa. Deverá respeitar a liderança e ser atento aos detalhes. Deverá conclui"&amp;"r as tarefas de trabalho. Deverá cumprir todos os requisitos e instruções de segurança. Essas funções envolvem a propagação, proteção e manejo de áreas florestais. Os trabalhadores que solicitarem e obtiverem, ou já possuírem, um certificado de registro F"&amp;"LC ou FLCE com autorização para dirigir, emitido pela Divisão de Salários e Horas do Departamento do Trabalho dos EUA (USDOL), durante o período de emprego, poderão transportar outros trabalhadores, realizar contagens e verificações, e poderão receber hor"&amp;"as extras e outras atividades relacionadas ao plantio de árvores, conforme SOC/OES 45-4011 (onetonline.org). Horário padrão/esperado: segunda a sexta, das 7h30 às 16h. Oferecemos mais de 40 horas semanais, sem incluir o horário de almoço e/ou intervalos. "&amp;"Possibilidade de trabalho nos fins de semana e feriados. Os horários de início e término, a carga horária e/ou horas extras podem variar, pois dependem de fatores como necessidades do projeto/cronograma/serviço, condições climáticas e tempo de deslocament"&amp;"o entre os locais de trabalho (se aplicável). Horas extras são possíveis, mas não obrigatórias nem garantidas. A critério exclusivo do empregador: aumentos salariais e/ou bônus podem ser concedidos com base em fatores individuais, como desempenho ou habil"&amp;"idades (não garantidos). Alojamento compartilhado opcional disponível sem custo para o trabalhador. Classificação da vaga: 45-4011.00 - Trabalhadores Florestais e de Conservação. A classificação e descrição da vaga/setor incluem informações gerais sobre o"&amp;" cargo, de acordo com o ONET/OES e o Sistema de Classificação Industrial da América do Norte. Consulte as Funções e a Ordem de Serviço para obter mais informações. Requisitos da vaga: Experiência necessária: Não. Requisitos especiais: É necessário ter 18 "&amp;"anos devido a viagens. É necessário apresentar comprovante de autorização legal para trabalhar nos Estados Unidos. Ambiente de trabalho livre de drogas, álcool e tabaco. Executar atividades físicas como: levantar, equilibrar-se, caminhar, abaixar-se, manu"&amp;"sear, posicionar, mover e manipular materiais; usar força estática para exercer força muscular máxima para levantar, empurrar, puxar e carregar objetos de até 27 kg (possivelmente com a ajuda de outra pessoa). Todos os candidatos devem ser capazes, estar "&amp;"dispostos e qualificados para executar o trabalho descrito e devem estar disponíveis durante todo o período especificado e trabalhar em todas as áreas do emprego pretendido. A critério do empregador/custo: o trabalhador poderá ser submetido a testes aleat"&amp;"órios de drogas/álcool durante o emprego: teste positivo/recusa em cumprir o teste = demissão. Possível verificação de antecedentes após a contratação, às custas do empregador. O trabalho é realizado ao ar livre, exposto às intempéries; o candidato deve s"&amp;"er capaz de realizar trabalho fisicamente extenuante por longos períodos, ocasionalmente em calor ou frio extremos. As condições climáticas são variáveis; a carga horária pode sofrer alterações (+/-), podendo haver períodos de inatividade e/ou horas extra"&amp;"s. Número de horas por semana: 40. Horário de trabalho (início/término): 7h30 às 16h.")</f>
        <v>As funções podem incluir: Trabalho manual itinerante de plantio e fertilização de mudas de pinheiro para reflorestamento e manutenção de áreas florestais, manualmente ou com máquinas. Os trabalhadores transportarão as mudas e plantarão as árvores manualmente, utilizando um plantador manual. Também plantarão árvores em plantadeiras mecânicas tracionadas por trator. Este trabalho é realizado em áreas florestais desmatadas, em solo e/ou áreas úmidas. Utilizarão equipamentos para plantio e desbaste de árvores, preparação do local para plantio ou execução de outros serviços florestais. Deve-se atentar para o espaçamento, o tipo de solo e as necessidades de sombreamento. O profissional deverá ser capaz de selecionar as mudas, descartando as de qualidade inferior de acordo com as instruções verbais. Colocará as mudas na cova e compactará o solo ao redor da planta, utilizando o pé e o plantador manual, cobrindo as raízes com terra e compactando o solo solto ao redor das mudas. Realizará desbaste pré-comercial, poda de árvores no solo e roçada. Limpará e fará a manutenção dos equipamentos durante o período do contrato. Deverá ser cordial com os colegas de trabalho e ter uma atitude cooperativa. Deverá respeitar a liderança e ser atento aos detalhes. Deverá concluir as tarefas de trabalho. Deverá cumprir todos os requisitos e instruções de segurança. Essas funções envolvem a propagação, proteção e manejo de áreas florestais. Os trabalhadores que solicitarem e obtiverem, ou já possuírem, um certificado de registro FLC ou FLCE com autorização para dirigir, emitido pela Divisão de Salários e Horas do Departamento do Trabalho dos EUA (USDOL), durante o período de emprego, poderão transportar outros trabalhadores, realizar contagens e verificações, e poderão receber horas extras e outras atividades relacionadas ao plantio de árvores, conforme SOC/OES 45-4011 (onetonline.org). Horário padrão/esperado: segunda a sexta, das 7h30 às 16h. Oferecemos mais de 40 horas semanais, sem incluir o horário de almoço e/ou intervalos. Possibilidade de trabalho nos fins de semana e feriados. Os horários de início e término, a carga horária e/ou horas extras podem variar, pois dependem de fatores como necessidades do projeto/cronograma/serviço, condições climáticas e tempo de deslocamento entre os locais de trabalho (se aplicável). Horas extras são possíveis, mas não obrigatórias nem garantidas. A critério exclusivo do empregador: aumentos salariais e/ou bônus podem ser concedidos com base em fatores individuais, como desempenho ou habilidades (não garantidos). Alojamento compartilhado opcional disponível sem custo para o trabalhador. Classificação da vaga: 45-4011.00 - Trabalhadores Florestais e de Conservação. A classificação e descrição da vaga/setor incluem informações gerais sobre o cargo, de acordo com o ONET/OES e o Sistema de Classificação Industrial da América do Norte. Consulte as Funções e a Ordem de Serviço para obter mais informações. Requisitos da vaga: Experiência necessária: Não. Requisitos especiais: É necessário ter 18 anos devido a viagens. É necessário apresentar comprovante de autorização legal para trabalhar nos Estados Unidos. Ambiente de trabalho livre de drogas, álcool e tabaco. Executar atividades físicas como: levantar, equilibrar-se, caminhar, abaixar-se, manusear, posicionar, mover e manipular materiais; usar força estática para exercer força muscular máxima para levantar, empurrar, puxar e carregar objetos de até 27 kg (possivelmente com a ajuda de outra pessoa). Todos os candidatos devem ser capazes, estar dispostos e qualificados para executar o trabalho descrito e devem estar disponíveis durante todo o período especificado e trabalhar em todas as áreas do emprego pretendido. A critério do empregador/custo: o trabalhador poderá ser submetido a testes aleatórios de drogas/álcool durante o emprego: teste positivo/recusa em cumprir o teste = demissão. Possível verificação de antecedentes após a contratação, às custas do empregador. O trabalho é realizado ao ar livre, exposto às intempéries; o candidato deve ser capaz de realizar trabalho fisicamente extenuante por longos períodos, ocasionalmente em calor ou frio extremos. As condições climáticas são variáveis; a carga horária pode sofrer alterações (+/-), podendo haver períodos de inatividade e/ou horas extras. Número de horas por semana: 40. Horário de trabalho (início/término): 7h30 às 16h.</v>
      </c>
    </row>
    <row r="167" ht="20.25" customHeight="1">
      <c r="A167" s="8" t="s">
        <v>952</v>
      </c>
      <c r="B167" s="8" t="s">
        <v>953</v>
      </c>
      <c r="C167" s="8" t="s">
        <v>169</v>
      </c>
      <c r="D167" s="8" t="s">
        <v>109</v>
      </c>
      <c r="E167" s="9" t="s">
        <v>44</v>
      </c>
      <c r="F167" s="9" t="s">
        <v>20</v>
      </c>
      <c r="G167" s="9" t="s">
        <v>65</v>
      </c>
      <c r="H167" s="8" t="s">
        <v>954</v>
      </c>
      <c r="I167" s="8" t="s">
        <v>955</v>
      </c>
      <c r="J167" s="9">
        <v>19.86</v>
      </c>
      <c r="K167" s="9">
        <v>9.0</v>
      </c>
      <c r="L167" s="8" t="s">
        <v>171</v>
      </c>
      <c r="M167" s="8" t="s">
        <v>956</v>
      </c>
      <c r="N167" s="7" t="str">
        <f>IFERROR(__xludf.DUMMYFUNCTION("GOOGLETRANSLATE(L167, ""en"", ""pt"")"),"Trabalhador de Preparação do Terreno")</f>
        <v>Trabalhador de Preparação do Terreno</v>
      </c>
      <c r="O167" s="7" t="str">
        <f>IFERROR(__xludf.DUMMYFUNCTION("IF(M167="""","""",GOOGLETRANSLATE(M167,""en"",""pt""))"),"***Resposta à Solicitação de Informações*** Para instalar estacas de marcação de neve, um trabalhador usa apenas um martelo para fixar uma estaca de fibra de vidro de 90 cm (3 pés) para marcar meio-fios, bordas de entradas de garagem e calçadas, hidrantes"&amp;", bueiros e outros obstáculos, a fim de evitar danos causados ​​por equipamentos de remoção de neve e sinalizar o caminho para os operadores durante as operações de remoção de neve. ***Original*** Os trabalhadores realizarão a limpeza de propriedades come"&amp;"rciais e residenciais, incluindo coleta de lixo/detritos; limpeza de folhas caídas e poda de inverno de árvores/arbustos dormentes, como parte da preparação do local antes da temporada de remoção de neve. Conforme incluído no site da ONET para 53-7062 (Tr"&amp;"abalhadores e Movimentação de Carga, Estoque e Materiais, Manual), antes da principal temporada de neve: os trabalhadores auxiliarão na preparação e posicionamento de caminhões que serão estacionados nos locais dos clientes para fácil acesso das equipes. "&amp;"Essas tarefas incluem instalar arados e espalhadores de sal em caminhões, carregar reboques com pás, sopradores de neve, espalhadores, sopradores e sacos de derretimento de gelo, instalar estacas de marcação de neve e ajudar a descarregar/organizar equipa"&amp;"mentos/materiais no local. Os trabalhadores limparão e realizarão a manutenção de rotina de equipamentos e ferramentas quando não estiverem em uso e reabastecerão os materiais. Nível inicial; requer supervisão. Classificação do Cargo: 37-3011.00 - Trabalh"&amp;"adores de Paisagismo e Manutenção de Áreas Verdes. A classificação e descrição do cargo/setor inclui informações gerais sobre a posição, de acordo com o ONET/OES e o Sistema de Classificação Industrial da América do Norte. Consulte as Funções e a Ordem de"&amp;" Serviço para obter mais informações. Requisitos do Cargo Experiência Necessária: Não Requisitos Especiais: Deve levantar/carregar 23 kg, quando necessário. Trabalho aos sábados e domingos, quando necessário. O empregador pode oferecer mais horas de traba"&amp;"lho do que as estipuladas, dependendo do clima, das necessidades da empresa e de outras condições. Calor extremo, frio, chuva ou seca podem afetar o horário de trabalho exato. Número de horas por semana: 40 Horário de trabalho (início/término): 6h30 - 15h"&amp;"30")</f>
        <v>***Resposta à Solicitação de Informações*** Para instalar estacas de marcação de neve, um trabalhador usa apenas um martelo para fixar uma estaca de fibra de vidro de 90 cm (3 pés) para marcar meio-fios, bordas de entradas de garagem e calçadas, hidrantes, bueiros e outros obstáculos, a fim de evitar danos causados ​​por equipamentos de remoção de neve e sinalizar o caminho para os operadores durante as operações de remoção de neve. ***Original*** Os trabalhadores realizarão a limpeza de propriedades comerciais e residenciais, incluindo coleta de lixo/detritos; limpeza de folhas caídas e poda de inverno de árvores/arbustos dormentes, como parte da preparação do local antes da temporada de remoção de neve. Conforme incluído no site da ONET para 53-7062 (Trabalhadores e Movimentação de Carga, Estoque e Materiais, Manual), antes da principal temporada de neve: os trabalhadores auxiliarão na preparação e posicionamento de caminhões que serão estacionados nos locais dos clientes para fácil acesso das equipes. Essas tarefas incluem instalar arados e espalhadores de sal em caminhões, carregar reboques com pás, sopradores de neve, espalhadores, sopradores e sacos de derretimento de gelo, instalar estacas de marcação de neve e ajudar a descarregar/organizar equipamentos/materiais no local. Os trabalhadores limparão e realizarão a manutenção de rotina de equipamentos e ferramentas quando não estiverem em uso e reabastecerão os materiais. Nível inicial; requer supervisão. Classificação do Cargo: 37-3011.00 - Trabalhadores de Paisagismo e Manutenção de Áreas Verdes. A classificação e descrição do cargo/setor inclui informações gerais sobre a posição, de acordo com o ONET/OES e o Sistema de Classificação Industrial da América do Norte. Consulte as Funções e a Ordem de Serviço para obter mais informações. Requisitos do Cargo Experiência Necessária: Não Requisitos Especiais: Deve levantar/carregar 23 kg, quando necessário. Trabalho aos sábados e domingos, quando necessário. O empregador pode oferecer mais horas de trabalho do que as estipuladas, dependendo do clima, das necessidades da empresa e de outras condições. Calor extremo, frio, chuva ou seca podem afetar o horário de trabalho exato. Número de horas por semana: 40 Horário de trabalho (início/término): 6h30 - 15h30</v>
      </c>
    </row>
    <row r="168" ht="20.25" customHeight="1">
      <c r="A168" s="3" t="s">
        <v>957</v>
      </c>
      <c r="B168" s="3" t="s">
        <v>958</v>
      </c>
      <c r="C168" s="3" t="s">
        <v>93</v>
      </c>
      <c r="D168" s="3" t="s">
        <v>71</v>
      </c>
      <c r="E168" s="4" t="s">
        <v>19</v>
      </c>
      <c r="F168" s="4" t="s">
        <v>20</v>
      </c>
      <c r="G168" s="4" t="s">
        <v>377</v>
      </c>
      <c r="H168" s="3" t="s">
        <v>959</v>
      </c>
      <c r="I168" s="3"/>
      <c r="J168" s="4">
        <v>18.89</v>
      </c>
      <c r="K168" s="4">
        <v>6.0</v>
      </c>
      <c r="L168" s="3" t="s">
        <v>208</v>
      </c>
      <c r="M168" s="3" t="s">
        <v>960</v>
      </c>
      <c r="N168" s="7" t="str">
        <f>IFERROR(__xludf.DUMMYFUNCTION("GOOGLETRANSLATE(L168, ""en"", ""pt"")"),"Instalador")</f>
        <v>Instalador</v>
      </c>
      <c r="O168" s="7" t="str">
        <f>IFERROR(__xludf.DUMMYFUNCTION("IF(M168="""","""",GOOGLETRANSLATE(M168,""en"",""pt""))"),"Carregar e descarregar suprimentos de caminhões; transportar, montar, instalar e organizar componentes de eventos, como tendas, palcos, pistas de dança, iluminação, mesas, cadeiras e outros itens de aluguel. Os funcionários também auxiliarão na desmontage"&amp;"m, limpeza e organização de equipamentos, preparação do inventário no depósito, manutenção da limpeza do local de trabalho e cumprimento de todos os procedimentos de segurança. Classificação da vaga: 53-7062.00 - Operários e Movimentadores de Carga, Estoq"&amp;"ue e Materiais. A classificação e descrição da vaga/setor incluem informações gerais sobre o cargo, de acordo com o ONET/OES e o Sistema de Classificação Industrial da América do Norte (NAICS). Consulte as Funções e a Ordem de Serviço para obter mais info"&amp;"rmações. Requisitos da vaga: Experiência necessária: Não. Requisitos especiais: Deve ser capaz de levantar, carregar, empurrar e puxar até 34 kg repetidamente ao longo do dia, por distâncias consideráveis. Deve ser capaz de ficar em pé e ser fisicamente a"&amp;"tivo por longos períodos. Trabalho aos sábados e domingos, quando necessário. Horários alternativos podem ser oferecidos. Deve estar disposto a trabalhar no turno diurno ou noturno, conforme a necessidade. Exame toxicológico pós-contratação obrigatório pa"&amp;"ra trabalhadores estrangeiros e nacionais. Verificação de elegibilidade para emprego (e-Verify) obrigatória para trabalhadores estrangeiros e nacionais. Necessário estar apto a trabalhar ao ar livre em todas as condições climáticas e realizar trabalho fís"&amp;"ico por períodos prolongados. O empregador poderá oferecer uma jornada de trabalho superior à estipulada, dependendo das condições climáticas, necessidades da empresa e outros fatores. Calor extremo, frio, chuva ou seca podem afetar o horário de trabalho "&amp;"exato. Número de horas por semana: 35. Horário de trabalho (início/término): 8h às 16h.")</f>
        <v>Carregar e descarregar suprimentos de caminhões; transportar, montar, instalar e organizar componentes de eventos, como tendas, palcos, pistas de dança, iluminação, mesas, cadeiras e outros itens de aluguel. Os funcionários também auxiliarão na desmontagem, limpeza e organização de equipamentos, preparação do inventário no depósito, manutenção da limpeza do local de trabalho e cumprimento de todos os procedimentos de segurança. Classificação da vaga: 53-7062.00 - Operários e Movimentadores de Carga, Estoque e Materiais. A classificação e descrição da vaga/setor incluem informações gerais sobre o cargo, de acordo com o ONET/OES e o Sistema de Classificação Industrial da América do Norte (NAICS). Consulte as Funções e a Ordem de Serviço para obter mais informações. Requisitos da vaga: Experiência necessária: Não. Requisitos especiais: Deve ser capaz de levantar, carregar, empurrar e puxar até 34 kg repetidamente ao longo do dia, por distâncias consideráveis. Deve ser capaz de ficar em pé e ser fisicamente ativo por longos períodos. Trabalho aos sábados e domingos, quando necessário. Horários alternativos podem ser oferecidos. Deve estar disposto a trabalhar no turno diurno ou noturno, conforme a necessidade. Exame toxicológico pós-contratação obrigatório para trabalhadores estrangeiros e nacionais. Verificação de elegibilidade para emprego (e-Verify) obrigatória para trabalhadores estrangeiros e nacionais. Necessário estar apto a trabalhar ao ar livre em todas as condições climáticas e realizar trabalho físico por períodos prolongados. O empregador poderá oferecer uma jornada de trabalho superior à estipulada, dependendo das condições climáticas, necessidades da empresa e outros fatores. Calor extremo, frio, chuva ou seca podem afetar o horário de trabalho exato. Número de horas por semana: 35. Horário de trabalho (início/término): 8h às 16h.</v>
      </c>
    </row>
    <row r="169" ht="20.25" customHeight="1">
      <c r="A169" s="8" t="s">
        <v>961</v>
      </c>
      <c r="B169" s="8" t="s">
        <v>962</v>
      </c>
      <c r="C169" s="8" t="s">
        <v>963</v>
      </c>
      <c r="D169" s="8" t="s">
        <v>55</v>
      </c>
      <c r="E169" s="9" t="s">
        <v>19</v>
      </c>
      <c r="F169" s="9" t="s">
        <v>20</v>
      </c>
      <c r="G169" s="9" t="s">
        <v>964</v>
      </c>
      <c r="H169" s="8" t="s">
        <v>965</v>
      </c>
      <c r="I169" s="8" t="s">
        <v>966</v>
      </c>
      <c r="J169" s="9">
        <v>20.15</v>
      </c>
      <c r="K169" s="9">
        <v>10.0</v>
      </c>
      <c r="L169" s="8" t="s">
        <v>59</v>
      </c>
      <c r="M169" s="8" t="s">
        <v>967</v>
      </c>
      <c r="N169" s="7" t="str">
        <f>IFERROR(__xludf.DUMMYFUNCTION("GOOGLETRANSLATE(L169, ""en"", ""pt"")"),"Trabalhador de paisagismo")</f>
        <v>Trabalhador de paisagismo</v>
      </c>
      <c r="O169" s="7" t="str">
        <f>IFERROR(__xludf.DUMMYFUNCTION("IF(M169="""","""",GOOGLETRANSLATE(M169,""en"",""pt""))"),"As funções podem incluir: Paisagismo e manutenção de propriedades utilizando ferramentas ou equipamentos. As tarefas podem incluir colocação de grama, corte de grama, poda, plantio, rega, fertilização, escavação, recolhimento e varrição de folhas; semeadu"&amp;"ra, cobertura morta, transporte e espalhamento de terra vegetal, instalação de aspersores e blocos de concreto pré-moldado sem argamassa, e outras atividades relacionadas a serviços de paisagismo, conforme SOC/OES 37-3011 (onetonline.org). Horário padrão/"&amp;"esperado: Segunda a sexta, das 7h30 às 17h. Oferecemos mais de 40 horas semanais, sem incluir almoço e/ou intervalos. Possibilidade de trabalho em fins de semana e feriados. Os horários de início e término, a carga horária e/ou horas extras podem variar, "&amp;"pois dependem de fatores como projetos/cronograma/necessidades do serviço, condições climáticas e tempo de deslocamento entre os locais de trabalho (se aplicável). Horas extras são possíveis, mas não obrigatórias ou garantidas. A critério exclusivo do emp"&amp;"regador: possíveis aumentos e/ou bônus com base em fatores individuais, como desempenho no trabalho ou habilidades (não garantidos). Moradia mobiliada compartilhada opcional disponível para o trabalhador por uma taxa mensal de até US$ 450,00; caso a morad"&amp;"ia opcional seja aceita pelo trabalhador, a taxa mensal de moradia deverá ser paga diretamente ao proprietário. Classificação do Cargo: 37-3011.00 - Trabalhadores de Paisagismo e Manutenção de Jardins. A classificação e descrição do cargo/setor incluem in"&amp;"formações gerais sobre a posição, de acordo com o ONET/OES e o Sistema de Classificação Industrial da América do Norte. Consulte as Funções e a Ordem de Serviço para obter mais informações. Requisitos do Cargo Experiência Necessária: Não. Requisitos Espec"&amp;"iais: Deve apresentar comprovante de autorização legal para trabalhar nos Estados Unidos. Ambiente de trabalho livre de drogas, álcool e tabaco. Executar atividades físicas: como levantar, equilibrar-se, caminhar, abaixar-se, manusear, posicionar, mover e"&amp;" manipular materiais; usar força estática para exercer força muscular máxima para levantar, empurrar, puxar e carregar objetos de até 22,7 kg (50 lbs). Todos os candidatos devem ser capazes, estar dispostos e qualificados para executar o trabalho descrito"&amp;" e devem estar disponíveis durante todo o período especificado e trabalhar em todas as áreas da empresa. O trabalho é realizado ao ar livre, exposto às intempéries; o candidato deve ser capaz de realizar trabalho fisicamente extenuante por longos períodos"&amp;", ocasionalmente em calor ou frio extremos. As condições climáticas são variáveis; a carga horária pode sofrer alterações (+/-), podendo haver períodos de inatividade e/ou horas extras. Número de horas por semana: 40. Horário de trabalho (início/término):"&amp;" 7h30 às 17h.")</f>
        <v>As funções podem incluir: Paisagismo e manutenção de propriedades utilizando ferramentas ou equipamentos. As tarefas podem incluir colocação de grama, corte de grama, poda, plantio, rega, fertilização, escavação, recolhimento e varrição de folhas; semeadura, cobertura morta, transporte e espalhamento de terra vegetal, instalação de aspersores e blocos de concreto pré-moldado sem argamassa, e outras atividades relacionadas a serviços de paisagismo, conforme SOC/OES 37-3011 (onetonline.org). Horário padrão/esperado: Segunda a sexta, das 7h30 às 17h. Oferecemos mais de 40 horas semanais, sem incluir almoço e/ou intervalos. Possibilidade de trabalho em fins de semana e feriados. Os horários de início e término, a carga horária e/ou horas extras podem variar, pois dependem de fatores como projetos/cronograma/necessidades do serviço, condições climáticas e tempo de deslocamento entre os locais de trabalho (se aplicável). Horas extras são possíveis, mas não obrigatórias ou garantidas. A critério exclusivo do empregador: possíveis aumentos e/ou bônus com base em fatores individuais, como desempenho no trabalho ou habilidades (não garantidos). Moradia mobiliada compartilhada opcional disponível para o trabalhador por uma taxa mensal de até US$ 450,00; caso a moradia opcional seja aceita pelo trabalhador, a taxa mensal de moradia deverá ser paga diretamente ao proprietário. Classificação do Cargo: 37-3011.00 - Trabalhadores de Paisagismo e Manutenção de Jardins. A classificação e descrição do cargo/setor incluem informações gerais sobre a posição, de acordo com o ONET/OES e o Sistema de Classificação Industrial da América do Norte. Consulte as Funções e a Ordem de Serviço para obter mais informações. Requisitos do Cargo Experiência Necessária: Não. Requisitos Especiais: Deve apresentar comprovante de autorização legal para trabalhar nos Estados Unidos. Ambiente de trabalho livre de drogas, álcool e tabaco. Executar atividades físicas: como levantar, equilibrar-se, caminhar, abaixar-se, manusear, posicionar, mover e manipular materiais; usar força estática para exercer força muscular máxima para levantar, empurrar, puxar e carregar objetos de até 22,7 kg (50 lbs). Todos os candidatos devem ser capazes, estar dispostos e qualificados para executar o trabalho descrito e devem estar disponíveis durante todo o período especificado e trabalhar em todas as áreas da empresa. O trabalho é realizado ao ar livre, exposto às intempéries; o candidato deve ser capaz de realizar trabalho fisicamente extenuante por longos períodos, ocasionalmente em calor ou frio extremos. As condições climáticas são variáveis; a carga horária pode sofrer alterações (+/-), podendo haver períodos de inatividade e/ou horas extras. Número de horas por semana: 40. Horário de trabalho (início/término): 7h30 às 17h.</v>
      </c>
    </row>
    <row r="170" ht="20.25" customHeight="1">
      <c r="A170" s="3" t="s">
        <v>968</v>
      </c>
      <c r="B170" s="3" t="s">
        <v>969</v>
      </c>
      <c r="C170" s="3" t="s">
        <v>363</v>
      </c>
      <c r="D170" s="3" t="s">
        <v>970</v>
      </c>
      <c r="E170" s="4" t="s">
        <v>19</v>
      </c>
      <c r="F170" s="4" t="s">
        <v>20</v>
      </c>
      <c r="G170" s="4" t="s">
        <v>229</v>
      </c>
      <c r="H170" s="3" t="s">
        <v>971</v>
      </c>
      <c r="I170" s="3" t="s">
        <v>972</v>
      </c>
      <c r="J170" s="4">
        <v>20.15</v>
      </c>
      <c r="K170" s="4">
        <v>15.0</v>
      </c>
      <c r="L170" s="3" t="s">
        <v>59</v>
      </c>
      <c r="M170" s="3" t="s">
        <v>973</v>
      </c>
      <c r="N170" s="7" t="str">
        <f>IFERROR(__xludf.DUMMYFUNCTION("GOOGLETRANSLATE(L170, ""en"", ""pt"")"),"Trabalhador de paisagismo")</f>
        <v>Trabalhador de paisagismo</v>
      </c>
      <c r="O170" s="7" t="str">
        <f>IFERROR(__xludf.DUMMYFUNCTION("IF(M170="""","""",GOOGLETRANSLATE(M170,""en"",""pt""))"),"As funções podem incluir: cortar a grama, aparar as bordas, colocar cobertura morta, aerar, capinar, podar, regar, colocar grama em placas, rastelar, cavar e fazer a manutenção de aspersores. Dirigir veículos e operar equipamentos motorizados, como cortad"&amp;"ores de grama e roçadeiras. Realizar a manutenção preventiva necessária em ferramentas/equipamentos, limpando e inspecionando-os antes que apresentem problemas. Fertilizar, capinar, plantar e remover palha/detritos. Proporcionar a manutenção adequada de á"&amp;"reas ajardinadas existentes, cortando a grama, capinando, podando e realizando outras atividades relacionadas a serviços de paisagismo, conforme SOC/OES 37-3011 (onetonline.org). Horário padrão/esperado: segunda a sexta, das 7h30 às 16h30. Oferecemos mais"&amp;" de 40 horas semanais, sem incluir o horário de almoço e/ou intervalos. Possibilidade de trabalho nos fins de semana e feriados. Os horários de início e término, a carga horária e/ou horas extras podem variar, pois dependem de fatores como projetos/cronog"&amp;"rama/necessidades do serviço, condições climáticas e tempo de deslocamento entre os locais de trabalho (se aplicável). Possibilidade de horas extras, mas não obrigatórias nem garantidas. A critério exclusivo do empregador: possíveis aumentos e/ou bônus co"&amp;"m base em fatores individuais, como desempenho ou habilidades (não garantidos). Classificação da vaga: 37-3011.00 - Trabalhadores de Paisagismo e Manutenção de Áreas Verdes. A classificação e descrição da vaga/setor incluem informações gerais sobre o carg"&amp;"o, conforme o ONET/OES e o Sistema de Classificação Industrial da América do Norte (NAICS). Consulte as Funções e a Ordem de Serviço para obter mais informações. Requisitos da vaga: Experiência exigida: Sim. Meses de experiência exigidos: 3. Requisitos es"&amp;"peciais: É necessário ter 18 anos devido ao uso de equipamentos. É necessário apresentar comprovante de autorização legal para trabalhar nos Estados Unidos. Ambiente de trabalho livre de drogas, álcool e tabaco. Executar atividades físicas como: levantar,"&amp;" equilibrar-se, caminhar, abaixar-se, manusear, posicionar, mover e manipular materiais; usar força estática para exercer força muscular máxima para levantar, empurrar, puxar e carregar objetos de até 27 kg (possivelmente com a ajuda de outra pessoa). Tod"&amp;"os os candidatos devem ser capazes, estar dispostos e qualificados para executar o trabalho descrito e devem estar disponíveis durante todo o período especificado e trabalhar em todas as áreas da empresa. O trabalho é realizado ao ar livre, exposto às int"&amp;"empéries; o candidato deve ser capaz de realizar trabalho fisicamente extenuante por longos períodos, ocasionalmente em calor ou frio extremos. As condições climáticas são variáveis; a carga horária pode sofrer alterações (+/-), podendo haver períodos de "&amp;"inatividade e/ou horas extras. Número de horas por semana: 40. Horário de trabalho (início/término): 7h30 às 16h30.")</f>
        <v>As funções podem incluir: cortar a grama, aparar as bordas, colocar cobertura morta, aerar, capinar, podar, regar, colocar grama em placas, rastelar, cavar e fazer a manutenção de aspersores. Dirigir veículos e operar equipamentos motorizados, como cortadores de grama e roçadeiras. Realizar a manutenção preventiva necessária em ferramentas/equipamentos, limpando e inspecionando-os antes que apresentem problemas. Fertilizar, capinar, plantar e remover palha/detritos. Proporcionar a manutenção adequada de áreas ajardinadas existentes, cortando a grama, capinando, podando e realizando outras atividades relacionadas a serviços de paisagismo, conforme SOC/OES 37-3011 (onetonline.org). Horário padrão/esperado: segunda a sexta, das 7h30 às 16h30. Oferecemos mais de 40 horas semanais, sem incluir o horário de almoço e/ou intervalos. Possibilidade de trabalho nos fins de semana e feriados. Os horários de início e término, a carga horária e/ou horas extras podem variar, pois dependem de fatores como projetos/cronograma/necessidades do serviço, condições climáticas e tempo de deslocamento entre os locais de trabalho (se aplicável). Possibilidade de horas extras, mas não obrigatórias nem garantidas. A critério exclusivo do empregador: possíveis aumentos e/ou bônus com base em fatores individuais, como desempenho ou habilidades (não garantidos). Classificação da vaga: 37-3011.00 - Trabalhadores de Paisagismo e Manutenção de Áreas Verdes. A classificação e descrição da vaga/setor incluem informações gerais sobre o cargo, conforme o ONET/OES e o Sistema de Classificação Industrial da América do Norte (NAICS). Consulte as Funções e a Ordem de Serviço para obter mais informações. Requisitos da vaga: Experiência exigida: Sim. Meses de experiência exigidos: 3. Requisitos especiais: É necessário ter 18 anos devido ao uso de equipamentos. É necessário apresentar comprovante de autorização legal para trabalhar nos Estados Unidos. Ambiente de trabalho livre de drogas, álcool e tabaco. Executar atividades físicas como: levantar, equilibrar-se, caminhar, abaixar-se, manusear, posicionar, mover e manipular materiais; usar força estática para exercer força muscular máxima para levantar, empurrar, puxar e carregar objetos de até 27 kg (possivelmente com a ajuda de outra pessoa). Todos os candidatos devem ser capazes, estar dispostos e qualificados para executar o trabalho descrito e devem estar disponíveis durante todo o período especificado e trabalhar em todas as áreas da empresa. O trabalho é realizado ao ar livre, exposto às intempéries; o candidato deve ser capaz de realizar trabalho fisicamente extenuante por longos períodos, ocasionalmente em calor ou frio extremos. As condições climáticas são variáveis; a carga horária pode sofrer alterações (+/-), podendo haver períodos de inatividade e/ou horas extras. Número de horas por semana: 40. Horário de trabalho (início/término): 7h30 às 16h30.</v>
      </c>
    </row>
    <row r="171" ht="20.25" customHeight="1">
      <c r="A171" s="8" t="s">
        <v>974</v>
      </c>
      <c r="B171" s="8" t="s">
        <v>975</v>
      </c>
      <c r="C171" s="8" t="s">
        <v>169</v>
      </c>
      <c r="D171" s="8" t="s">
        <v>249</v>
      </c>
      <c r="E171" s="9" t="s">
        <v>19</v>
      </c>
      <c r="F171" s="9" t="s">
        <v>20</v>
      </c>
      <c r="G171" s="9" t="s">
        <v>902</v>
      </c>
      <c r="H171" s="8" t="s">
        <v>976</v>
      </c>
      <c r="I171" s="8"/>
      <c r="J171" s="9">
        <v>18.91</v>
      </c>
      <c r="K171" s="9">
        <v>8.0</v>
      </c>
      <c r="L171" s="8" t="s">
        <v>321</v>
      </c>
      <c r="M171" s="8" t="s">
        <v>977</v>
      </c>
      <c r="N171" s="7" t="str">
        <f>IFERROR(__xludf.DUMMYFUNCTION("GOOGLETRANSLATE(L171, ""en"", ""pt"")"),"Trabalhadores de paisagismo")</f>
        <v>Trabalhadores de paisagismo</v>
      </c>
      <c r="O171" s="7" t="str">
        <f>IFERROR(__xludf.DUMMYFUNCTION("IF(M171="""","""",GOOGLETRANSLATE(M171,""en"",""pt""))"),"Paisagismo e manutenção de terrenos utilizando ferramentas manuais ou elétricas. Os trabalhadores geralmente executam uma variedade de tarefas, que podem incluir qualquer combinação das seguintes: capina, plantio, aparar bordas, cortar grama, podar, sopra"&amp;"r, rastelar, transportar/espalhar terra vegetal/cobertura morta. Realizam limpezas sazonais. Limpam galhos e detritos dos canteiros e gramados utilizando rastelos. Removem o mofo da neve dos canteiros e gramados utilizando sopradores de folhas. Cortam ou "&amp;"podam o crescimento morto de plantas perenes utilizando tesouras de poda e lonas. Aparam as bordas dos canteiros e limpam as linhas de borda utilizando roçadeiras. Classificação da Função: 37-3011.00 - Trabalhadores de Paisagismo e Manutenção de Terrenos."&amp;" A classificação e descrição da função/indústria incluem informações gerais sobre o cargo de acordo com o ONET/OES e o Sistema de Classificação Industrial da América do Norte. Consulte as Funções e a Ordem de Serviço para obter mais informações. Requisito"&amp;"s da Função: Experiência Necessária: Sim. Meses de Experiência Necessários: 3. Requisitos Especiais: Requer três meses de experiência prévia em paisagismo. Deverá levantar/carregar até 23 kg (50 lbs), quando necessário. Trabalho aos sábados será exigido, "&amp;"quando necessário. O empregador poderá oferecer uma carga horária superior à estipulada, dependendo das condições climáticas, das necessidades da empresa e de outros fatores. Calor extremo, frio, chuva ou seca podem afetar o horário de trabalho exato. Núm"&amp;"ero de horas por semana: 40. Horário de trabalho (início/término): 8h às 16h.")</f>
        <v>Paisagismo e manutenção de terrenos utilizando ferramentas manuais ou elétricas. Os trabalhadores geralmente executam uma variedade de tarefas, que podem incluir qualquer combinação das seguintes: capina, plantio, aparar bordas, cortar grama, podar, soprar, rastelar, transportar/espalhar terra vegetal/cobertura morta. Realizam limpezas sazonais. Limpam galhos e detritos dos canteiros e gramados utilizando rastelos. Removem o mofo da neve dos canteiros e gramados utilizando sopradores de folhas. Cortam ou podam o crescimento morto de plantas perenes utilizando tesouras de poda e lonas. Aparam as bordas dos canteiros e limpam as linhas de borda utilizando roçadeiras. Classificação da Função: 37-3011.00 - Trabalhadores de Paisagismo e Manutenção de Terrenos. A classificação e descrição da função/indústria incluem informações gerais sobre o cargo de acordo com o ONET/OES e o Sistema de Classificação Industrial da América do Norte. Consulte as Funções e a Ordem de Serviço para obter mais informações. Requisitos da Função: Experiência Necessária: Sim. Meses de Experiência Necessários: 3. Requisitos Especiais: Requer três meses de experiência prévia em paisagismo. Deverá levantar/carregar até 23 kg (50 lbs), quando necessário. Trabalho aos sábados será exigido, quando necessário. O empregador poderá oferecer uma carga horária superior à estipulada, dependendo das condições climáticas, das necessidades da empresa e de outros fatores. Calor extremo, frio, chuva ou seca podem afetar o horário de trabalho exato. Número de horas por semana: 40. Horário de trabalho (início/término): 8h às 16h.</v>
      </c>
    </row>
    <row r="172" ht="20.25" customHeight="1">
      <c r="A172" s="3" t="s">
        <v>978</v>
      </c>
      <c r="B172" s="3" t="s">
        <v>979</v>
      </c>
      <c r="C172" s="3" t="s">
        <v>27</v>
      </c>
      <c r="D172" s="3" t="s">
        <v>249</v>
      </c>
      <c r="E172" s="4" t="s">
        <v>44</v>
      </c>
      <c r="F172" s="4" t="s">
        <v>20</v>
      </c>
      <c r="G172" s="4" t="s">
        <v>404</v>
      </c>
      <c r="H172" s="3" t="s">
        <v>980</v>
      </c>
      <c r="I172" s="3" t="s">
        <v>981</v>
      </c>
      <c r="J172" s="4">
        <v>25.36</v>
      </c>
      <c r="K172" s="4">
        <v>22.0</v>
      </c>
      <c r="L172" s="3" t="s">
        <v>165</v>
      </c>
      <c r="M172" s="3" t="s">
        <v>982</v>
      </c>
      <c r="N172" s="7" t="str">
        <f>IFERROR(__xludf.DUMMYFUNCTION("GOOGLETRANSLATE(L172, ""en"", ""pt"")"),"Trabalhador de remoção de neve")</f>
        <v>Trabalhador de remoção de neve</v>
      </c>
      <c r="O172" s="7" t="str">
        <f>IFERROR(__xludf.DUMMYFUNCTION("IF(M172="""","""",GOOGLETRANSLATE(M172,""en"",""pt""))"),"As funções podem incluir: realizar manutenção de neve/gelo em áreas comerciais e residenciais, incluindo limpeza após tempestades de inverno, coleta de lixo/detritos, remoção de neve/gelo e poda de inverno de árvores/arbustos dormentes. Demarcar proprieda"&amp;"des para que os operadores de máquinas de remoção de neve saibam onde arar. Utilizar ferramentas manuais e equipamentos como picadores de gelo, pás e sopradores. Espalhar sal/produtos químicos para degelo em calçadas, entradas de garagem e estacionamentos"&amp;". Trabalhadores com carteira de habilitação válida nos EUA podem operar uma caminhonete com tração nas quatro rodas e implemento de arado frontal (dirigir não é um requisito para todos os trabalhadores da função). Limpar e realizar manutenção de rotina e/"&amp;"ou pequenos reparos em equipamentos e ferramentas quando não estiverem em uso, além de outras atividades relacionadas à remoção de neve, conforme SOC/OES 47-4051 (onetonline.org). Horário padrão/esperado: segunda a sexta, das 7h às 15h30. Oferecemos mais "&amp;"de 35 horas semanais, sem incluir almoço e/ou intervalos. Possibilidade de trabalho nos fins de semana e feriados. Os horários de início e término, a carga horária oferecida e/ou a possibilidade de horas extras podem variar, pois dependem de fatores como "&amp;"necessidades do projeto/cronograma/serviço, condições climáticas e tempo de deslocamento entre os locais de trabalho (se aplicável). Horas extras são possíveis, mas não obrigatórias nem garantidas. A critério exclusivo do empregador: aumentos salariais e/"&amp;"ou bônus podem ser concedidos com base em fatores individuais, como desempenho ou habilidades (não garantidos). Classificação da vaga: 47-4051.00 - Trabalhadores de Manutenção de Rodovias. A classificação e a descrição da vaga/setor incluem informações ge"&amp;"rais sobre o cargo, conforme o ONET/OES e o Sistema de Classificação Industrial da América do Norte (NAICS). Consulte as Funções e a Ordem de Serviço para obter mais informações. Requisitos da vaga: Experiência exigida: Não. Requisitos especiais: É necess"&amp;"ário ter 18 anos ou mais devido a questões de seguro. É necessário apresentar comprovante de autorização legal para trabalhar nos Estados Unidos. Ambiente de trabalho livre de drogas, álcool e tabaco. Executar atividades físicas, como levantar, equilibrar"&amp;"-se, caminhar, abaixar-se, manusear, posicionar, mover e manipular materiais; usar força estática para exercer força muscular máxima para levantar, empurrar, puxar e carregar objetos de até 23 kg. Todos os candidatos devem ser capazes, estar dispostos e q"&amp;"ualificados para executar o trabalho descrito e devem estar disponíveis durante todo o período especificado e trabalhar em todas as áreas do emprego pretendido. A critério do empregador/custo: o trabalhador poderá ser submetido a testes aleatórios de drog"&amp;"as/álcool durante o emprego: teste positivo/recusa em cumprir o teste = demissão. Possível verificação de antecedentes após a contratação, às custas do empregador. O trabalho é realizado ao ar livre, exposto às intempéries; o candidato deve ser capaz de r"&amp;"ealizar trabalho fisicamente extenuante por longos períodos, ocasionalmente em calor ou frio extremos. As condições climáticas são variáveis; a carga horária pode sofrer alterações (+/-), podendo haver períodos de inatividade e/ou horas extras. Número de "&amp;"horas por semana: 35. Horário de trabalho (início/término): 7h00 - 15h30.")</f>
        <v>As funções podem incluir: realizar manutenção de neve/gelo em áreas comerciais e residenciais, incluindo limpeza após tempestades de inverno, coleta de lixo/detritos, remoção de neve/gelo e poda de inverno de árvores/arbustos dormentes. Demarcar propriedades para que os operadores de máquinas de remoção de neve saibam onde arar. Utilizar ferramentas manuais e equipamentos como picadores de gelo, pás e sopradores. Espalhar sal/produtos químicos para degelo em calçadas, entradas de garagem e estacionamentos. Trabalhadores com carteira de habilitação válida nos EUA podem operar uma caminhonete com tração nas quatro rodas e implemento de arado frontal (dirigir não é um requisito para todos os trabalhadores da função). Limpar e realizar manutenção de rotina e/ou pequenos reparos em equipamentos e ferramentas quando não estiverem em uso, além de outras atividades relacionadas à remoção de neve, conforme SOC/OES 47-4051 (onetonline.org). Horário padrão/esperado: segunda a sexta, das 7h às 15h30. Oferecemos mais de 35 horas semanais, sem incluir almoço e/ou intervalos. Possibilidade de trabalho nos fins de semana e feriados. Os horários de início e término, a carga horária oferecida e/ou a possibilidade de horas extras podem variar, pois dependem de fatores como necessidades do projeto/cronograma/serviço, condições climáticas e tempo de deslocamento entre os locais de trabalho (se aplicável). Horas extras são possíveis, mas não obrigatórias nem garantidas. A critério exclusivo do empregador: aumentos salariais e/ou bônus podem ser concedidos com base em fatores individuais, como desempenho ou habilidades (não garantidos). Classificação da vaga: 47-4051.00 - Trabalhadores de Manutenção de Rodovias. A classificação e a descrição da vaga/setor incluem informações gerais sobre o cargo, conforme o ONET/OES e o Sistema de Classificação Industrial da América do Norte (NAICS). Consulte as Funções e a Ordem de Serviço para obter mais informações. Requisitos da vaga: Experiência exigida: Não. Requisitos especiais: É necessário ter 18 anos ou mais devido a questões de seguro. É necessário apresentar comprovante de autorização legal para trabalhar nos Estados Unidos. Ambiente de trabalho livre de drogas, álcool e tabaco. Executar atividades físicas, como levantar, equilibrar-se, caminhar, abaixar-se, manusear, posicionar, mover e manipular materiais; usar força estática para exercer força muscular máxima para levantar, empurrar, puxar e carregar objetos de até 23 kg. Todos os candidatos devem ser capazes, estar dispostos e qualificados para executar o trabalho descrito e devem estar disponíveis durante todo o período especificado e trabalhar em todas as áreas do emprego pretendido. A critério do empregador/custo: o trabalhador poderá ser submetido a testes aleatórios de drogas/álcool durante o emprego: teste positivo/recusa em cumprir o teste = demissão. Possível verificação de antecedentes após a contratação, às custas do empregador. O trabalho é realizado ao ar livre, exposto às intempéries; o candidato deve ser capaz de realizar trabalho fisicamente extenuante por longos períodos, ocasionalmente em calor ou frio extremos. As condições climáticas são variáveis; a carga horária pode sofrer alterações (+/-), podendo haver períodos de inatividade e/ou horas extras. Número de horas por semana: 35. Horário de trabalho (início/término): 7h00 - 15h30.</v>
      </c>
    </row>
    <row r="173" ht="20.25" customHeight="1">
      <c r="A173" s="8" t="s">
        <v>983</v>
      </c>
      <c r="B173" s="8" t="s">
        <v>984</v>
      </c>
      <c r="C173" s="8" t="s">
        <v>985</v>
      </c>
      <c r="D173" s="8" t="s">
        <v>71</v>
      </c>
      <c r="E173" s="9" t="s">
        <v>19</v>
      </c>
      <c r="F173" s="9" t="s">
        <v>20</v>
      </c>
      <c r="G173" s="9" t="s">
        <v>377</v>
      </c>
      <c r="H173" s="8" t="s">
        <v>986</v>
      </c>
      <c r="I173" s="8" t="s">
        <v>987</v>
      </c>
      <c r="J173" s="9">
        <v>30.46</v>
      </c>
      <c r="K173" s="9">
        <v>1.0</v>
      </c>
      <c r="L173" s="8" t="s">
        <v>988</v>
      </c>
      <c r="M173" s="8" t="s">
        <v>989</v>
      </c>
      <c r="N173" s="7" t="str">
        <f>IFERROR(__xludf.DUMMYFUNCTION("GOOGLETRANSLATE(L173, ""en"", ""pt"")"),"Técnico de Reparo de Equipamentos")</f>
        <v>Técnico de Reparo de Equipamentos</v>
      </c>
      <c r="O173" s="7" t="str">
        <f>IFERROR(__xludf.DUMMYFUNCTION("IF(M173="""","""",GOOGLETRANSLATE(M173,""en"",""pt""))"),"1. Manutenção e Reparo de Máquinas: Diagnosticar, solucionar problemas e reparar máquinas de calhas Ironman, guilhotinas de tração frontal e outros equipamentos de perfilagem e corte. Realizar manutenção de rotina, incluindo lubrificação, alinhamento e ca"&amp;"libração das máquinas. Substituir ou reparar peças desgastadas, como rolamentos, rolos, motores, correias e lâminas de corte. Realizar diagnósticos elétricos e mecânicos para solucionar problemas de desempenho das máquinas. Manter e reparar os sistemas pn"&amp;"eumáticos e hidráulicos associados às máquinas de perfilagem. 2. Programa de Manutenção Preventiva: Desenvolver e implementar um cronograma de manutenção preventiva para máquinas de perfilagem, incluindo máquinas de calhas Ironman, para minimizar quebras."&amp;" Inspecionar regularmente as guilhotinas de tração frontal para garantir operações de corte precisas. Manter registros de serviço e relatórios de todas as manutenções e reparos realizados. 3. Configuração e Calibração de Máquinas: Auxiliar na configuração"&amp;" de máquinas de perfilagem para diferentes perfis de calhas e condutores. Calibrar as máquinas de calhas Ironman para garantir a formação suave e precisa das calhas. Ajustar e manter a guilhotina de tração frontal para cortes limpos e precisos. Treinar os"&amp;" operadores no uso e manutenção adequados dos equipamentos para prolongar a vida útil e melhorar a eficiência. 4. Segurança e Conformidade: Garantir que todas as máquinas, incluindo as máquinas de corte de calhas Ironman e as guilhotinas de tração frontal"&amp;", operem em conformidade com as normas de segurança da OSHA e da empresa. Realizar inspeções de segurança e recomendar as modificações necessárias para prevenir riscos no local de trabalho. Implementar os procedimentos de bloqueio/etiquetagem (LOTO) ao re"&amp;"alizar a manutenção. 5. Reparos de Emergência e Suporte à Produção: Responder rapidamente às avarias das máquinas de corte de calhas Ironman e das guilhotinas de tração frontal para minimizar o tempo de inatividade na produção. Trabalhar em estreita colab"&amp;"oração com os gerentes de produção e operadores para solucionar problemas em tempo real. Coordenar com fornecedores externos ou prestadores de serviços para reparos complexos quando necessário. Classificação do Cargo: 49-9041.00 - Mecânico de Máquinas Ind"&amp;"ustriais. A classificação e descrição do cargo/setor incluem informações gerais sobre a posição, de acordo com o ONET/OES e o Sistema de Classificação Industrial da América do Norte. Consulte as Funções e a Ordem de Serviço para obter mais informações. Re"&amp;"quisitos da Vaga Experiência Necessária: Sim Meses de Experiência Necessários: 24 Requisitos Especiais: Habilidades Técnicas: Sólido conhecimento de sistemas mecânicos, hidráulicos, pneumáticos e elétricos. Capacidade de ler e interpretar desenhos mecânic"&amp;"os, esquemas e manuais de serviço. Proficiência no uso de ferramentas manuais, ferramentas elétricas e equipamentos de diagnóstico. Habilidades em soldagem e fabricação são um diferencial. Requisitos Físicos: Capacidade de levantar até 23 kg e trabalhar e"&amp;"m um ambiente fisicamente exigente. Confortável para trabalhar em uma oficina com exposição a ruído, poeira e máquinas pesadas. Capacidade de ficar em pé, ajoelhar e trabalhar em espaços confinados, conforme necessário. Número de Horas por Semana: 45 Horá"&amp;"rio de Trabalho (Início/Término): 8h às 17h")</f>
        <v>1. Manutenção e Reparo de Máquinas: Diagnosticar, solucionar problemas e reparar máquinas de calhas Ironman, guilhotinas de tração frontal e outros equipamentos de perfilagem e corte. Realizar manutenção de rotina, incluindo lubrificação, alinhamento e calibração das máquinas. Substituir ou reparar peças desgastadas, como rolamentos, rolos, motores, correias e lâminas de corte. Realizar diagnósticos elétricos e mecânicos para solucionar problemas de desempenho das máquinas. Manter e reparar os sistemas pneumáticos e hidráulicos associados às máquinas de perfilagem. 2. Programa de Manutenção Preventiva: Desenvolver e implementar um cronograma de manutenção preventiva para máquinas de perfilagem, incluindo máquinas de calhas Ironman, para minimizar quebras. Inspecionar regularmente as guilhotinas de tração frontal para garantir operações de corte precisas. Manter registros de serviço e relatórios de todas as manutenções e reparos realizados. 3. Configuração e Calibração de Máquinas: Auxiliar na configuração de máquinas de perfilagem para diferentes perfis de calhas e condutores. Calibrar as máquinas de calhas Ironman para garantir a formação suave e precisa das calhas. Ajustar e manter a guilhotina de tração frontal para cortes limpos e precisos. Treinar os operadores no uso e manutenção adequados dos equipamentos para prolongar a vida útil e melhorar a eficiência. 4. Segurança e Conformidade: Garantir que todas as máquinas, incluindo as máquinas de corte de calhas Ironman e as guilhotinas de tração frontal, operem em conformidade com as normas de segurança da OSHA e da empresa. Realizar inspeções de segurança e recomendar as modificações necessárias para prevenir riscos no local de trabalho. Implementar os procedimentos de bloqueio/etiquetagem (LOTO) ao realizar a manutenção. 5. Reparos de Emergência e Suporte à Produção: Responder rapidamente às avarias das máquinas de corte de calhas Ironman e das guilhotinas de tração frontal para minimizar o tempo de inatividade na produção. Trabalhar em estreita colaboração com os gerentes de produção e operadores para solucionar problemas em tempo real. Coordenar com fornecedores externos ou prestadores de serviços para reparos complexos quando necessário. Classificação do Cargo: 49-9041.00 - Mecânico de Máquinas Industriais. A classificação e descrição do cargo/setor incluem informações gerais sobre a posição, de acordo com o ONET/OES e o Sistema de Classificação Industrial da América do Norte. Consulte as Funções e a Ordem de Serviço para obter mais informações. Requisitos da Vaga Experiência Necessária: Sim Meses de Experiência Necessários: 24 Requisitos Especiais: Habilidades Técnicas: Sólido conhecimento de sistemas mecânicos, hidráulicos, pneumáticos e elétricos. Capacidade de ler e interpretar desenhos mecânicos, esquemas e manuais de serviço. Proficiência no uso de ferramentas manuais, ferramentas elétricas e equipamentos de diagnóstico. Habilidades em soldagem e fabricação são um diferencial. Requisitos Físicos: Capacidade de levantar até 23 kg e trabalhar em um ambiente fisicamente exigente. Confortável para trabalhar em uma oficina com exposição a ruído, poeira e máquinas pesadas. Capacidade de ficar em pé, ajoelhar e trabalhar em espaços confinados, conforme necessário. Número de Horas por Semana: 45 Horário de Trabalho (Início/Término): 8h às 17h</v>
      </c>
    </row>
    <row r="174" ht="20.25" customHeight="1">
      <c r="A174" s="3" t="s">
        <v>990</v>
      </c>
      <c r="B174" s="3" t="s">
        <v>991</v>
      </c>
      <c r="C174" s="3" t="s">
        <v>116</v>
      </c>
      <c r="D174" s="3" t="s">
        <v>992</v>
      </c>
      <c r="E174" s="4" t="s">
        <v>19</v>
      </c>
      <c r="F174" s="4" t="s">
        <v>20</v>
      </c>
      <c r="G174" s="4" t="s">
        <v>993</v>
      </c>
      <c r="H174" s="3" t="s">
        <v>994</v>
      </c>
      <c r="I174" s="3" t="s">
        <v>995</v>
      </c>
      <c r="J174" s="4">
        <v>28.14</v>
      </c>
      <c r="K174" s="4">
        <v>21.0</v>
      </c>
      <c r="L174" s="3" t="s">
        <v>996</v>
      </c>
      <c r="M174" s="3" t="s">
        <v>997</v>
      </c>
      <c r="N174" s="7" t="str">
        <f>IFERROR(__xludf.DUMMYFUNCTION("GOOGLETRANSLATE(L174, ""en"", ""pt"")"),"Instalador/decorador")</f>
        <v>Instalador/decorador</v>
      </c>
      <c r="O174" s="7" t="str">
        <f>IFERROR(__xludf.DUMMYFUNCTION("IF(M174="""","""",GOOGLETRANSLATE(M174,""en"",""pt""))"),"As funções podem incluir: Sob supervisão, instalar e remover luzes de Natal eletrônicas portáteis externas em residências, jardins e estabelecimentos comerciais. Carregar, descarregar e posicionar escadas e andaimes. Sob supervisão, montar andaimes e inst"&amp;"alar luzes de Natal utilizando suportes, ganchos e braçadeiras. Sob supervisão, decorar arbustos e instalar luzes de chão, caminhos e calçadas. Sob supervisão, buscar, preparar, montar, desmontar, limpar e armazenar suprimentos, ferramentas e equipamentos"&amp;" para luzes de Natal no depósito. Sob supervisão, carregar e descarregar suprimentos, ferramentas e equipamentos em veículos de trabalho e outras atividades relacionadas à instalação/decoração, conforme SOC/OES 49-9099 (onetonline.org). Horário padrão/esp"&amp;"erado: Segunda a sexta, das 8h às 16h. Oferecemos mais de 40 horas semanais, sem incluir almoço e/ou intervalos. Possibilidade de trabalho em fins de semana e feriados. Os horários de início e término, a carga horária oferecida e/ou a possibilidade de hor"&amp;"as extras podem variar, pois dependem de fatores como necessidades do projeto/cronograma/serviço, condições climáticas e tempo de deslocamento entre os locais de trabalho (se aplicável). Horas extras são possíveis, mas não obrigatórias nem garantidas. A c"&amp;"ritério exclusivo do empregador: aumentos salariais e/ou bônus podem ser concedidos com base em fatores individuais, como desempenho ou habilidades (não garantidos). Classificação da vaga: 49-9099.00 - Trabalhadores de Instalação, Manutenção e Reparo, Out"&amp;"ros. A classificação e a descrição da vaga/setor incluem informações gerais sobre o cargo, conforme o ONET/OES e o Sistema de Classificação Industrial da América do Norte (NAICS). Consulte as Funções e a Ordem de Serviço para obter mais informações. Requi"&amp;"sitos da vaga: Experiência necessária: Não. Requisitos especiais: É necessário comprovar autorização legal para trabalhar nos Estados Unidos. Ambiente de trabalho livre de drogas, álcool e tabaco. Executar atividades físicas, como levantar, equilibrar-se,"&amp;" caminhar, abaixar-se, manusear, posicionar, mover e manipular materiais; usar força estática para exercer força muscular máxima para levantar, empurrar, puxar e carregar objetos de até 18 kg. Todos os candidatos devem ser capazes, estar dispostos e quali"&amp;"ficados para executar o trabalho descrito e devem estar disponíveis durante todo o período especificado e trabalhar em todas as áreas da função pretendida. O trabalho é realizado ao ar livre, exposto às intempéries; o candidato deve ser capaz de realizar "&amp;"trabalho fisicamente extenuante por longos períodos, ocasionalmente em calor ou frio extremos. As condições climáticas são variáveis; a carga horária pode sofrer alterações (+/-), podendo haver períodos de inatividade e/ou horas extras. Número de horas po"&amp;"r semana: 40. Horário de trabalho (início/término): 8h às 16h.")</f>
        <v>As funções podem incluir: Sob supervisão, instalar e remover luzes de Natal eletrônicas portáteis externas em residências, jardins e estabelecimentos comerciais. Carregar, descarregar e posicionar escadas e andaimes. Sob supervisão, montar andaimes e instalar luzes de Natal utilizando suportes, ganchos e braçadeiras. Sob supervisão, decorar arbustos e instalar luzes de chão, caminhos e calçadas. Sob supervisão, buscar, preparar, montar, desmontar, limpar e armazenar suprimentos, ferramentas e equipamentos para luzes de Natal no depósito. Sob supervisão, carregar e descarregar suprimentos, ferramentas e equipamentos em veículos de trabalho e outras atividades relacionadas à instalação/decoração, conforme SOC/OES 49-9099 (onetonline.org). Horário padrão/esperado: Segunda a sexta, das 8h às 16h. Oferecemos mais de 40 horas semanais, sem incluir almoço e/ou intervalos. Possibilidade de trabalho em fins de semana e feriados. Os horários de início e término, a carga horária oferecida e/ou a possibilidade de horas extras podem variar, pois dependem de fatores como necessidades do projeto/cronograma/serviço, condições climáticas e tempo de deslocamento entre os locais de trabalho (se aplicável). Horas extras são possíveis, mas não obrigatórias nem garantidas. A critério exclusivo do empregador: aumentos salariais e/ou bônus podem ser concedidos com base em fatores individuais, como desempenho ou habilidades (não garantidos). Classificação da vaga: 49-9099.00 - Trabalhadores de Instalação, Manutenção e Reparo, Outros. A classificação e a descrição da vaga/setor incluem informações gerais sobre o cargo, conforme o ONET/OES e o Sistema de Classificação Industrial da América do Norte (NAICS). Consulte as Funções e a Ordem de Serviço para obter mais informações. Requisitos da vaga: Experiência necessária: Não. Requisitos especiais: É necessário comprovar autorização legal para trabalhar nos Estados Unidos. Ambiente de trabalho livre de drogas, álcool e tabaco. Executar atividades físicas, como levantar, equilibrar-se, caminhar, abaixar-se, manusear, posicionar, mover e manipular materiais; usar força estática para exercer força muscular máxima para levantar, empurrar, puxar e carregar objetos de até 18 kg. Todos os candidatos devem ser capazes, estar dispostos e qualificados para executar o trabalho descrito e devem estar disponíveis durante todo o período especificado e trabalhar em todas as áreas da função pretendida. O trabalho é realizado ao ar livre, exposto às intempéries; o candidato deve ser capaz de realizar trabalho fisicamente extenuante por longos períodos, ocasionalmente em calor ou frio extremos. As condições climáticas são variáveis; a carga horária pode sofrer alterações (+/-), podendo haver períodos de inatividade e/ou horas extras. Número de horas por semana: 40. Horário de trabalho (início/término): 8h às 16h.</v>
      </c>
    </row>
    <row r="175" ht="20.25" customHeight="1">
      <c r="A175" s="8" t="s">
        <v>998</v>
      </c>
      <c r="B175" s="8" t="s">
        <v>999</v>
      </c>
      <c r="C175" s="8" t="s">
        <v>1000</v>
      </c>
      <c r="D175" s="8" t="s">
        <v>133</v>
      </c>
      <c r="E175" s="9" t="s">
        <v>19</v>
      </c>
      <c r="F175" s="9" t="s">
        <v>20</v>
      </c>
      <c r="G175" s="9" t="s">
        <v>146</v>
      </c>
      <c r="H175" s="8" t="s">
        <v>1001</v>
      </c>
      <c r="I175" s="8" t="s">
        <v>1002</v>
      </c>
      <c r="J175" s="9">
        <v>32.92</v>
      </c>
      <c r="K175" s="9">
        <v>22.0</v>
      </c>
      <c r="L175" s="8" t="s">
        <v>1003</v>
      </c>
      <c r="M175" s="8" t="s">
        <v>1004</v>
      </c>
      <c r="N175" s="7" t="str">
        <f>IFERROR(__xludf.DUMMYFUNCTION("GOOGLETRANSLATE(L175, ""en"", ""pt"")"),"Acabadores de concreto")</f>
        <v>Acabadores de concreto</v>
      </c>
      <c r="O175" s="7" t="str">
        <f>IFERROR(__xludf.DUMMYFUNCTION("IF(M175="""","""",GOOGLETRANSLATE(M175,""en"",""pt""))"),"Preparar o canteiro de obras onde o concreto será despejado, orientando os operários a posicionar os materiais no local, medir as fôrmas, verificar o nivelamento e confirmar o layout correto das fôrmas. Posicionar e alinhar com segurança as fôrmas de made"&amp;"ira e metal que conterão o concreto. Espalhar, nivelar e alisar o concreto usando rastelos, réguas de nivelamento manuais ou motorizadas, alisadoras mecânicas, pás ou ferramentas manuais. Desmontar as fôrmas e cortar o concreto com serras para concreto. L"&amp;"impar o canteiro de obras. Classificação da Função: 47-2051.00 - Pedreiros e Acabadores de Concreto. A classificação e descrição da função/setor incluem informações gerais sobre o cargo, de acordo com o ONET/OES e o Sistema de Classificação Industrial da "&amp;"América do Norte (NAICS). Consulte as Funções e a Ordem de Serviço para obter mais informações. Requisitos da Função: Experiência Necessária: Sim. Meses de Experiência Necessários: 36. Requisitos Especiais: Trabalho em alguns fins de semana. Capacidade de"&amp;" levantar e carregar 34 kg por 45 metros. Capacidade de suportar temperaturas extremas. Disponibilidade para viagens a locais de trabalho dentro da área de atuação pretendida. Número de horas por semana: 40 Horário de trabalho (início/término): 7h00 - 17h"&amp;"00")</f>
        <v>Preparar o canteiro de obras onde o concreto será despejado, orientando os operários a posicionar os materiais no local, medir as fôrmas, verificar o nivelamento e confirmar o layout correto das fôrmas. Posicionar e alinhar com segurança as fôrmas de madeira e metal que conterão o concreto. Espalhar, nivelar e alisar o concreto usando rastelos, réguas de nivelamento manuais ou motorizadas, alisadoras mecânicas, pás ou ferramentas manuais. Desmontar as fôrmas e cortar o concreto com serras para concreto. Limpar o canteiro de obras. Classificação da Função: 47-2051.00 - Pedreiros e Acabadores de Concreto. A classificação e descrição da função/setor incluem informações gerais sobre o cargo, de acordo com o ONET/OES e o Sistema de Classificação Industrial da América do Norte (NAICS). Consulte as Funções e a Ordem de Serviço para obter mais informações. Requisitos da Função: Experiência Necessária: Sim. Meses de Experiência Necessários: 36. Requisitos Especiais: Trabalho em alguns fins de semana. Capacidade de levantar e carregar 34 kg por 45 metros. Capacidade de suportar temperaturas extremas. Disponibilidade para viagens a locais de trabalho dentro da área de atuação pretendida. Número de horas por semana: 40 Horário de trabalho (início/término): 7h00 - 17h00</v>
      </c>
    </row>
    <row r="176" ht="20.25" customHeight="1">
      <c r="A176" s="3" t="s">
        <v>1005</v>
      </c>
      <c r="B176" s="3" t="s">
        <v>1006</v>
      </c>
      <c r="C176" s="3" t="s">
        <v>93</v>
      </c>
      <c r="D176" s="3" t="s">
        <v>186</v>
      </c>
      <c r="E176" s="4" t="s">
        <v>19</v>
      </c>
      <c r="F176" s="4" t="s">
        <v>20</v>
      </c>
      <c r="G176" s="4" t="s">
        <v>1007</v>
      </c>
      <c r="H176" s="3" t="s">
        <v>1008</v>
      </c>
      <c r="I176" s="3" t="s">
        <v>1009</v>
      </c>
      <c r="J176" s="4">
        <v>19.76</v>
      </c>
      <c r="K176" s="4">
        <v>60.0</v>
      </c>
      <c r="L176" s="3" t="s">
        <v>262</v>
      </c>
      <c r="M176" s="3" t="s">
        <v>1010</v>
      </c>
      <c r="N176" s="7" t="str">
        <f>IFERROR(__xludf.DUMMYFUNCTION("GOOGLETRANSLATE(L176, ""en"", ""pt"")"),"Operário da construção civil")</f>
        <v>Operário da construção civil</v>
      </c>
      <c r="O176" s="7" t="str">
        <f>IFERROR(__xludf.DUMMYFUNCTION("IF(M176="""","""",GOOGLETRANSLATE(M176,""en"",""pt""))"),"Executar tarefas que envolvam trabalho físico em canteiros de obras, auxiliando outros trabalhadores especializados com o uso de ferramentas manuais de todos os tipos, incluindo trenas, furadeiras, serras e martelos. Classificação da função: 47-2061.00 - "&amp;"Auxiliares de Construção. A classificação e descrição da função/setor inclui informações gerais sobre o cargo, de acordo com o ONET/OES e o Sistema de Classificação Industrial da América do Norte (NAICS). Consulte as Funções e a Ordem de Serviço para obte"&amp;"r mais informações. Requisitos da vaga: Experiência exigida: Não. Requisitos especiais: Deve ser capaz de levantar/carregar 23 kg, quando necessário. Trabalho aos sábados e domingos, quando necessário. Testes toxicológicos aleatórios e pós-acidente, pagos"&amp;" pelo empregador, são obrigatórios para trabalhadores estrangeiros e nacionais. O empregador pode oferecer mais horas de trabalho do que as estipuladas, dependendo do clima, das necessidades da empresa e de outras condições. Calor extremo, frio, chuva ou "&amp;"seca podem afetar o horário de trabalho exato. Número de horas por semana: 40. Horário de trabalho (início/término): 7h às 16h.")</f>
        <v>Executar tarefas que envolvam trabalho físico em canteiros de obras, auxiliando outros trabalhadores especializados com o uso de ferramentas manuais de todos os tipos, incluindo trenas, furadeiras, serras e martelos. Classificação da função: 47-2061.00 - Auxiliares de Construção. A classificação e descrição da função/setor inclui informações gerais sobre o cargo, de acordo com o ONET/OES e o Sistema de Classificação Industrial da América do Norte (NAICS). Consulte as Funções e a Ordem de Serviço para obter mais informações. Requisitos da vaga: Experiência exigida: Não. Requisitos especiais: Deve ser capaz de levantar/carregar 23 kg, quando necessário. Trabalho aos sábados e domingos, quando necessário. Testes toxicológicos aleatórios e pós-acidente, pagos pelo empregador, são obrigatórios para trabalhadores estrangeiros e nacionais. O empregador pode oferecer mais horas de trabalho do que as estipuladas, dependendo do clima, das necessidades da empresa e de outras condições. Calor extremo, frio, chuva ou seca podem afetar o horário de trabalho exato. Número de horas por semana: 40. Horário de trabalho (início/término): 7h às 16h.</v>
      </c>
    </row>
    <row r="177" ht="20.25" customHeight="1">
      <c r="A177" s="8" t="s">
        <v>1011</v>
      </c>
      <c r="B177" s="8" t="s">
        <v>1012</v>
      </c>
      <c r="C177" s="8" t="s">
        <v>169</v>
      </c>
      <c r="D177" s="8" t="s">
        <v>992</v>
      </c>
      <c r="E177" s="9" t="s">
        <v>19</v>
      </c>
      <c r="F177" s="9" t="s">
        <v>20</v>
      </c>
      <c r="G177" s="9" t="s">
        <v>181</v>
      </c>
      <c r="H177" s="8" t="s">
        <v>1013</v>
      </c>
      <c r="I177" s="8" t="s">
        <v>1014</v>
      </c>
      <c r="J177" s="9">
        <v>20.49</v>
      </c>
      <c r="K177" s="9">
        <v>6.0</v>
      </c>
      <c r="L177" s="8" t="s">
        <v>1015</v>
      </c>
      <c r="M177" s="8" t="s">
        <v>1016</v>
      </c>
      <c r="N177" s="7" t="str">
        <f>IFERROR(__xludf.DUMMYFUNCTION("GOOGLETRANSLATE(L177, ""en"", ""pt"")"),"Auxiliar de viveiro júnior")</f>
        <v>Auxiliar de viveiro júnior</v>
      </c>
      <c r="O177" s="7" t="str">
        <f>IFERROR(__xludf.DUMMYFUNCTION("IF(M177="""","""",GOOGLETRANSLATE(M177,""en"",""pt""))"),"Executar tarefas no centro de jardinagem, incluindo: manutenção de plantas/estoque de viveiro (por exemplo, etiquetar pedidos, reespaçar, reembalar, cobrir/descobrir, etc.) e áreas de venda. Podar, cortar amarras, regar manualmente, irrigar e capinar plan"&amp;"tas; preparar árvores e arbustos para o transplante, amarrando ou envolvendo as raízes conforme necessário; fixar com barbante; encher/levantar vasos com terra e material vegetal; colocar sinalização. Limpar ferramentas/equipamentos e manter o espaço de t"&amp;"rabalho, incluindo galpões e áreas de armazenamento. Todo o trabalho é realizado no viveiro/área de venda. A maioria dos produtos vegetais não é cultivada pelo empregador. Classificação da função: 45-2092.00 - Trabalhadores rurais e operários, cultivo, vi"&amp;"veiro e estufa. A classificação e descrição da função/indústria inclui informações gerais sobre o cargo, de acordo com o ONET/OES e o Sistema de Classificação Industrial da América do Norte. Consulte as Funções e a Ordem de Serviço para obter mais informa"&amp;"ções. Requisitos da vaga Experiência necessária: Sim Meses de experiência necessários: 3 Requisitos especiais: Requer três meses de experiência prévia. Deve ser capaz de levantar/carregar 18 kg, quando necessário. Trabalho aos sábados e domingos, quando n"&amp;"ecessário. O empregador poderá oferecer mais horas de trabalho do que as indicadas, dependendo do clima, das necessidades da empresa e de outras condições. Calor extremo, frio, chuva ou seca podem afetar o horário de trabalho exato. Número de horas por se"&amp;"mana: 45 Horário de trabalho (início/término): 7h00 - 16h45")</f>
        <v>Executar tarefas no centro de jardinagem, incluindo: manutenção de plantas/estoque de viveiro (por exemplo, etiquetar pedidos, reespaçar, reembalar, cobrir/descobrir, etc.) e áreas de venda. Podar, cortar amarras, regar manualmente, irrigar e capinar plantas; preparar árvores e arbustos para o transplante, amarrando ou envolvendo as raízes conforme necessário; fixar com barbante; encher/levantar vasos com terra e material vegetal; colocar sinalização. Limpar ferramentas/equipamentos e manter o espaço de trabalho, incluindo galpões e áreas de armazenamento. Todo o trabalho é realizado no viveiro/área de venda. A maioria dos produtos vegetais não é cultivada pelo empregador. Classificação da função: 45-2092.00 - Trabalhadores rurais e operários, cultivo, viveiro e estufa. A classificação e descrição da função/indústria inclui informações gerais sobre o cargo, de acordo com o ONET/OES e o Sistema de Classificação Industrial da América do Norte. Consulte as Funções e a Ordem de Serviço para obter mais informações. Requisitos da vaga Experiência necessária: Sim Meses de experiência necessários: 3 Requisitos especiais: Requer três meses de experiência prévia. Deve ser capaz de levantar/carregar 18 kg, quando necessário. Trabalho aos sábados e domingos, quando necessário. O empregador poderá oferecer mais horas de trabalho do que as indicadas, dependendo do clima, das necessidades da empresa e de outras condições. Calor extremo, frio, chuva ou seca podem afetar o horário de trabalho exato. Número de horas por semana: 45 Horário de trabalho (início/término): 7h00 - 16h45</v>
      </c>
    </row>
    <row r="178" ht="20.25" customHeight="1">
      <c r="A178" s="3" t="s">
        <v>1017</v>
      </c>
      <c r="B178" s="3" t="s">
        <v>1018</v>
      </c>
      <c r="C178" s="3" t="s">
        <v>169</v>
      </c>
      <c r="D178" s="3" t="s">
        <v>109</v>
      </c>
      <c r="E178" s="4" t="s">
        <v>44</v>
      </c>
      <c r="F178" s="4" t="s">
        <v>20</v>
      </c>
      <c r="G178" s="4" t="s">
        <v>229</v>
      </c>
      <c r="H178" s="3" t="s">
        <v>1019</v>
      </c>
      <c r="I178" s="3" t="s">
        <v>1020</v>
      </c>
      <c r="J178" s="4">
        <v>18.69</v>
      </c>
      <c r="K178" s="4">
        <v>8.0</v>
      </c>
      <c r="L178" s="3" t="s">
        <v>1021</v>
      </c>
      <c r="M178" s="3" t="s">
        <v>1022</v>
      </c>
      <c r="N178" s="7" t="str">
        <f>IFERROR(__xludf.DUMMYFUNCTION("GOOGLETRANSLATE(L178, ""en"", ""pt"")"),"Paisagista")</f>
        <v>Paisagista</v>
      </c>
      <c r="O178" s="7" t="str">
        <f>IFERROR(__xludf.DUMMYFUNCTION("IF(M178="""","""",GOOGLETRANSLATE(M178,""en"",""pt""))"),"Serviços de paisagismo e jardinagem: aparar bordas, colocar cobertura morta, plantar árvores, limpar o local de trabalho, plantar, manter a grama e outras plantas, capinar, regar, cortar e podar plantas. Classificação da vaga: 37-3011.00 - Trabalhadores d"&amp;"e paisagismo e jardinagem. A classificação e descrição da vaga/setor inclui informações gerais sobre o cargo, de acordo com o ONET/OES e o Sistema de Classificação Industrial da América do Norte (NAICS). Consulte as Funções e a Ordem de Serviço para obter"&amp;" mais informações. Requisitos da vaga: Experiência necessária: Não. Requisitos especiais: Deve ser capaz de levantar/carregar 23 kg, quando necessário. Trabalho aos sábados e domingos, quando necessário. O empregador pode oferecer mais horas de trabalho d"&amp;"o que as estipuladas, dependendo do clima, das necessidades da empresa e de outras condições. Calor extremo, frio, chuva ou seca podem afetar o horário de trabalho exato. Número de horas por semana: 40. Horário de trabalho (início/término): 8h às 16h30.")</f>
        <v>Serviços de paisagismo e jardinagem: aparar bordas, colocar cobertura morta, plantar árvores, limpar o local de trabalho, plantar, manter a grama e outras plantas, capinar, regar, cortar e podar plantas. Classificação da vaga: 37-3011.00 - Trabalhadores de paisagismo e jardinagem. A classificação e descrição da vaga/setor inclui informações gerais sobre o cargo, de acordo com o ONET/OES e o Sistema de Classificação Industrial da América do Norte (NAICS). Consulte as Funções e a Ordem de Serviço para obter mais informações. Requisitos da vaga: Experiência necessária: Não. Requisitos especiais: Deve ser capaz de levantar/carregar 23 kg, quando necessário. Trabalho aos sábados e domingos, quando necessário. O empregador pode oferecer mais horas de trabalho do que as estipuladas, dependendo do clima, das necessidades da empresa e de outras condições. Calor extremo, frio, chuva ou seca podem afetar o horário de trabalho exato. Número de horas por semana: 40. Horário de trabalho (início/término): 8h às 16h30.</v>
      </c>
    </row>
    <row r="179" ht="20.25" customHeight="1">
      <c r="A179" s="8" t="s">
        <v>1023</v>
      </c>
      <c r="B179" s="8" t="s">
        <v>1024</v>
      </c>
      <c r="C179" s="8" t="s">
        <v>169</v>
      </c>
      <c r="D179" s="8" t="s">
        <v>970</v>
      </c>
      <c r="E179" s="9" t="s">
        <v>19</v>
      </c>
      <c r="F179" s="9" t="s">
        <v>20</v>
      </c>
      <c r="G179" s="9" t="s">
        <v>307</v>
      </c>
      <c r="H179" s="8" t="s">
        <v>1025</v>
      </c>
      <c r="I179" s="8"/>
      <c r="J179" s="9">
        <v>20.48</v>
      </c>
      <c r="K179" s="9">
        <v>5.0</v>
      </c>
      <c r="L179" s="8" t="s">
        <v>1026</v>
      </c>
      <c r="M179" s="8" t="s">
        <v>1027</v>
      </c>
      <c r="N179" s="7" t="str">
        <f>IFERROR(__xludf.DUMMYFUNCTION("GOOGLETRANSLATE(L179, ""en"", ""pt"")"),"Trabalhador de silo de grãos")</f>
        <v>Trabalhador de silo de grãos</v>
      </c>
      <c r="O179" s="7" t="str">
        <f>IFERROR(__xludf.DUMMYFUNCTION("IF(M179="""","""",GOOGLETRANSLATE(M179,""en"",""pt""))"),"**RFI** 1. Trabalhamos com milho, trigo, soja e sorgo. As tarefas de limpeza envolvem principalmente varrer os grãos soltos para os silos, garantindo um ambiente de trabalho limpo. Isso será feito com vassouras. 2. Os trabalhadores deverão auxiliar na lub"&amp;"rificação das engrenagens das máquinas e realizar pequenos reparos, se necessário. Os trabalhadores usarão pistolas de graxa e ferramentas manuais, como chaves de fenda e martelos. As máquinas incluem esteiras transportadoras de grãos (sistemas de esteira"&amp;"s verticais). Se algum componente da esteira falhar, os trabalhadores auxiliarão nos reparos. **Original** Os trabalhadores são os principais responsáveis ​​pelo carregamento e descarregamento de produtos dos caminhões e pela limpeza do local de trabalho."&amp;" Ocasionalmente, podem ser solicitados a realizar pequenas manutenções/reparos em componentes mecânicos, como substituição de correias, lubrificação de máquinas, etc. Classificação do Cargo: 53-7062.00 - Operários e Movimentadores de Carga, Estoque e Mate"&amp;"riais. A classificação e descrição do cargo/setor incluem informações gerais sobre a posição, de acordo com o ONET/OES e o Sistema de Classificação Industrial da América do Norte. Consulte as Funções e a Ordem de Serviço para obter mais informações. Requi"&amp;"sitos da Vaga Experiência Necessária: Não Requisitos Especiais: Deve ser capaz de levantar/carregar 23 kg, quando necessário. Trabalho aos sábados e domingos, quando necessário. Exame toxicológico pago pelo empregador é obrigatório para trabalhadores estr"&amp;"angeiros e nacionais antes do início do trabalho e após a contratação, em caso de suspeita de uso e após acidente. Deve possuir ou ser capaz de obter carteira de habilitação americana em até 30 dias após a contratação. O empregador pode oferecer mais hora"&amp;"s de trabalho do que as estipuladas, dependendo do clima, das necessidades da empresa e de outras condições. Calor extremo, frio, chuva ou seca podem afetar o horário de trabalho exato. Número de Horas por Semana: 45 Horário de Trabalho (Início/Término): "&amp;"8h às 17h")</f>
        <v>**RFI** 1. Trabalhamos com milho, trigo, soja e sorgo. As tarefas de limpeza envolvem principalmente varrer os grãos soltos para os silos, garantindo um ambiente de trabalho limpo. Isso será feito com vassouras. 2. Os trabalhadores deverão auxiliar na lubrificação das engrenagens das máquinas e realizar pequenos reparos, se necessário. Os trabalhadores usarão pistolas de graxa e ferramentas manuais, como chaves de fenda e martelos. As máquinas incluem esteiras transportadoras de grãos (sistemas de esteiras verticais). Se algum componente da esteira falhar, os trabalhadores auxiliarão nos reparos. **Original** Os trabalhadores são os principais responsáveis ​​pelo carregamento e descarregamento de produtos dos caminhões e pela limpeza do local de trabalho. Ocasionalmente, podem ser solicitados a realizar pequenas manutenções/reparos em componentes mecânicos, como substituição de correias, lubrificação de máquinas, etc. Classificação do Cargo: 53-7062.00 - Operários e Movimentadores de Carga, Estoque e Materiais. A classificação e descrição do cargo/setor incluem informações gerais sobre a posição, de acordo com o ONET/OES e o Sistema de Classificação Industrial da América do Norte. Consulte as Funções e a Ordem de Serviço para obter mais informações. Requisitos da Vaga Experiência Necessária: Não Requisitos Especiais: Deve ser capaz de levantar/carregar 23 kg, quando necessário. Trabalho aos sábados e domingos, quando necessário. Exame toxicológico pago pelo empregador é obrigatório para trabalhadores estrangeiros e nacionais antes do início do trabalho e após a contratação, em caso de suspeita de uso e após acidente. Deve possuir ou ser capaz de obter carteira de habilitação americana em até 30 dias após a contratação. O empregador pode oferecer mais horas de trabalho do que as estipuladas, dependendo do clima, das necessidades da empresa e de outras condições. Calor extremo, frio, chuva ou seca podem afetar o horário de trabalho exato. Número de Horas por Semana: 45 Horário de Trabalho (Início/Término): 8h às 17h</v>
      </c>
    </row>
    <row r="180" ht="20.25" customHeight="1">
      <c r="A180" s="8" t="s">
        <v>1028</v>
      </c>
      <c r="B180" s="8" t="s">
        <v>1029</v>
      </c>
      <c r="C180" s="8" t="s">
        <v>1030</v>
      </c>
      <c r="D180" s="8" t="s">
        <v>1031</v>
      </c>
      <c r="E180" s="9" t="s">
        <v>19</v>
      </c>
      <c r="F180" s="9" t="s">
        <v>20</v>
      </c>
      <c r="G180" s="9" t="s">
        <v>155</v>
      </c>
      <c r="H180" s="12" t="s">
        <v>1032</v>
      </c>
      <c r="I180" s="8" t="s">
        <v>1033</v>
      </c>
      <c r="J180" s="9">
        <v>24.09</v>
      </c>
      <c r="K180" s="9">
        <v>10.0</v>
      </c>
      <c r="L180" s="8" t="s">
        <v>1034</v>
      </c>
      <c r="M180" s="8" t="s">
        <v>1035</v>
      </c>
      <c r="N180" s="7" t="str">
        <f>IFERROR(__xludf.DUMMYFUNCTION("GOOGLETRANSLATE(L180, ""en"", ""pt"")"),"Remoção de neve")</f>
        <v>Remoção de neve</v>
      </c>
      <c r="O180" s="7" t="str">
        <f>IFERROR(__xludf.DUMMYFUNCTION("IF(M180="""","""",GOOGLETRANSLATE(M180,""en"",""pt""))"),"Limpar calçadas, decks e entradas de garagem de neve usando pás, sopradores, empurradores e raspadores/picadores de gelo. Cortar, aparar, regar e aparar gramados; rastelar e soprar folhas; arrancar e cortar ervas daninhas, podar e transportar terra vegeta"&amp;"l e cobertura morta. Envolve carregar e descarregar ferramentas, suprimentos e equipamentos com peso de até 23 kg. Envolve trabalhar ao ar livre em todos os tipos de clima. Envolve ficar em pé, sentado ou caminhando por longos períodos. Envolve agachar-se"&amp;" ou curvar-se com frequência. Envolve movimentos repetitivos. Benefícios de saúde opcionais, se escolhidos, o valor depende dos benefícios escolhidos, o empregador pagará 50%; feriados remunerados e folgas remuneradas. Uniformes fornecidos sem custo. Poss"&amp;"ibilidade de aumento salarial com base no desempenho, bônus, horas extras e trabalho aos sábados, conforme necessário. Transporte fornecido para vários locais de trabalho a partir da localização central em Wilmington, MA. 30 minutos de intervalos não remu"&amp;"nerados ao longo do dia. O horário diário pode variar entre os horários de início e término listados, dependendo do clima ou das tarefas atribuídas. Classificação da função: 37-3011.00 - Trabalhadores de paisagismo e manutenção de áreas verdes. A classifi"&amp;"cação e descrição da função/setor inclui informações gerais sobre o cargo, conforme o ONET/OES e o Sistema de Classificação Industrial da América do Norte (NAICS). Consulte as atribuições e a ordem de serviço para obter mais informações. Requisitos da vag"&amp;"a: Experiência necessária: Não. Número de horas por semana: 40. Horário de trabalho (início/término): 6h30 às 16h.")</f>
        <v>Limpar calçadas, decks e entradas de garagem de neve usando pás, sopradores, empurradores e raspadores/picadores de gelo. Cortar, aparar, regar e aparar gramados; rastelar e soprar folhas; arrancar e cortar ervas daninhas, podar e transportar terra vegetal e cobertura morta. Envolve carregar e descarregar ferramentas, suprimentos e equipamentos com peso de até 23 kg. Envolve trabalhar ao ar livre em todos os tipos de clima. Envolve ficar em pé, sentado ou caminhando por longos períodos. Envolve agachar-se ou curvar-se com frequência. Envolve movimentos repetitivos. Benefícios de saúde opcionais, se escolhidos, o valor depende dos benefícios escolhidos, o empregador pagará 50%; feriados remunerados e folgas remuneradas. Uniformes fornecidos sem custo. Possibilidade de aumento salarial com base no desempenho, bônus, horas extras e trabalho aos sábados, conforme necessário. Transporte fornecido para vários locais de trabalho a partir da localização central em Wilmington, MA. 30 minutos de intervalos não remunerados ao longo do dia. O horário diário pode variar entre os horários de início e término listados, dependendo do clima ou das tarefas atribuídas. Classificação da função: 37-3011.00 - Trabalhadores de paisagismo e manutenção de áreas verdes. A classificação e descrição da função/setor inclui informações gerais sobre o cargo, conforme o ONET/OES e o Sistema de Classificação Industrial da América do Norte (NAICS). Consulte as atribuições e a ordem de serviço para obter mais informações. Requisitos da vaga: Experiência necessária: Não. Número de horas por semana: 40. Horário de trabalho (início/término): 6h30 às 16h.</v>
      </c>
    </row>
    <row r="181" ht="20.25" customHeight="1">
      <c r="A181" s="8" t="s">
        <v>1036</v>
      </c>
      <c r="B181" s="8" t="s">
        <v>1037</v>
      </c>
      <c r="C181" s="8" t="s">
        <v>116</v>
      </c>
      <c r="D181" s="8" t="s">
        <v>833</v>
      </c>
      <c r="E181" s="9" t="s">
        <v>19</v>
      </c>
      <c r="F181" s="9" t="s">
        <v>20</v>
      </c>
      <c r="G181" s="9" t="s">
        <v>1038</v>
      </c>
      <c r="H181" s="8" t="s">
        <v>1039</v>
      </c>
      <c r="I181" s="8" t="s">
        <v>1040</v>
      </c>
      <c r="J181" s="9">
        <v>15.07</v>
      </c>
      <c r="K181" s="9">
        <v>7.0</v>
      </c>
      <c r="L181" s="8" t="s">
        <v>354</v>
      </c>
      <c r="M181" s="8" t="s">
        <v>1041</v>
      </c>
      <c r="N181" s="7" t="str">
        <f>IFERROR(__xludf.DUMMYFUNCTION("GOOGLETRANSLATE(L181, ""en"", ""pt"")"),"Governanta")</f>
        <v>Governanta</v>
      </c>
      <c r="O181" s="7" t="str">
        <f>IFERROR(__xludf.DUMMYFUNCTION("IF(M181="""","""",GOOGLETRANSLATE(M181,""en"",""pt""))"),"As funções podem incluir: cuidar e inspecionar quartos, corredores, saguões, banheiros e outras áreas de trabalho, garantindo a limpeza, arrumando camas, varrendo, passando pano, aspirando, tirando pó, esfregando e polindo. Esvaziar lixeiras e outros loca"&amp;"is de descarte. Manter as áreas de armazenamento, carrinhos e quartos de hóspedes bem abastecidos com os produtos e suprimentos adequados. Reportar danos, furtos, objetos encontrados, problemas de manutenção e riscos à segurança aos supervisores. Lidar co"&amp;"m solicitações e reclamações de hóspedes de maneira profissional e outras atividades relacionadas à limpeza, conforme SOC/OES 37-2012 (onetonline.org). Horário padrão/esperado: segunda a sexta, das 8h às 17h. Oferecemos mais de 40 horas semanais, sem incl"&amp;"uir almoço e/ou intervalos. Possibilidade de trabalho nos fins de semana e feriados. Os horários de início e término, a carga horária e/ou horas extras podem variar, pois dependem de fatores como projetos/cronograma/necessidades de serviço, condições clim"&amp;"áticas e tempo de deslocamento entre os locais de trabalho (se aplicável). Possibilidade de horas extras, mas não obrigatórias nem garantidas. A critério exclusivo do empregador: possíveis aumentos e/ou bônus com base em fatores individuais, como desempen"&amp;"ho ou habilidades (não garantidos). Classificação da vaga: 37-2012.00 - Empregadas Domésticas e Auxiliares de Limpeza. A classificação e descrição da vaga/setor incluem informações gerais sobre o cargo, conforme o ONET/OES e o Sistema de Classificação Ind"&amp;"ustrial da América do Norte. Consulte as Funções e a Ordem de Serviço para obter mais informações. Requisitos da vaga: Experiência exigida: Não. Requisitos especiais: É necessário comprovar autorização legal para trabalhar nos Estados Unidos. Ambiente de "&amp;"trabalho livre de drogas, álcool e tabaco. Executar atividades físicas, como levantar, equilibrar-se, caminhar, abaixar-se, manusear, posicionar, mover e manipular materiais, utilizando força estática para exercer força muscular máxima para levantar, empu"&amp;"rrar, puxar e carregar objetos de até 23 kg. Todos os candidatos devem ser capazes, estar dispostos e qualificados para executar o trabalho descrito e devem ter disponibilidade para todo o período especificado. O horário de trabalho pode variar de acordo "&amp;"com os picos e vales do turismo ao longo da temporada (+/-), possíveis períodos de baixa atividade e/ou horas extras. Número de horas por semana: 40. Horário de trabalho (início/término): 8h às 17h.")</f>
        <v>As funções podem incluir: cuidar e inspecionar quartos, corredores, saguões, banheiros e outras áreas de trabalho, garantindo a limpeza, arrumando camas, varrendo, passando pano, aspirando, tirando pó, esfregando e polindo. Esvaziar lixeiras e outros locais de descarte. Manter as áreas de armazenamento, carrinhos e quartos de hóspedes bem abastecidos com os produtos e suprimentos adequados. Reportar danos, furtos, objetos encontrados, problemas de manutenção e riscos à segurança aos supervisores. Lidar com solicitações e reclamações de hóspedes de maneira profissional e outras atividades relacionadas à limpeza, conforme SOC/OES 37-2012 (onetonline.org). Horário padrão/esperado: segunda a sexta, das 8h às 17h. Oferecemos mais de 40 horas semanais, sem incluir almoço e/ou intervalos. Possibilidade de trabalho nos fins de semana e feriados. Os horários de início e término, a carga horária e/ou horas extras podem variar, pois dependem de fatores como projetos/cronograma/necessidades de serviço, condições climáticas e tempo de deslocamento entre os locais de trabalho (se aplicável). Possibilidade de horas extras, mas não obrigatórias nem garantidas. A critério exclusivo do empregador: possíveis aumentos e/ou bônus com base em fatores individuais, como desempenho ou habilidades (não garantidos). Classificação da vaga: 37-2012.00 - Empregadas Domésticas e Auxiliares de Limpeza. A classificação e descrição da vaga/setor incluem informações gerais sobre o cargo, conforme o ONET/OES e o Sistema de Classificação Industrial da América do Norte. Consulte as Funções e a Ordem de Serviço para obter mais informações. Requisitos da vaga: Experiência exigida: Não. Requisitos especiais: É necessário comprovar autorização legal para trabalhar nos Estados Unidos. Ambiente de trabalho livre de drogas, álcool e tabaco. Executar atividades físicas, como levantar, equilibrar-se, caminhar, abaixar-se, manusear, posicionar, mover e manipular materiais, utilizando força estática para exercer força muscular máxima para levantar, empurrar, puxar e carregar objetos de até 23 kg. Todos os candidatos devem ser capazes, estar dispostos e qualificados para executar o trabalho descrito e devem ter disponibilidade para todo o período especificado. O horário de trabalho pode variar de acordo com os picos e vales do turismo ao longo da temporada (+/-), possíveis períodos de baixa atividade e/ou horas extras. Número de horas por semana: 40. Horário de trabalho (início/término): 8h às 17h.</v>
      </c>
    </row>
    <row r="182" ht="20.25" customHeight="1">
      <c r="A182" s="3" t="s">
        <v>1042</v>
      </c>
      <c r="B182" s="3" t="s">
        <v>1043</v>
      </c>
      <c r="C182" s="3" t="s">
        <v>755</v>
      </c>
      <c r="D182" s="3" t="s">
        <v>64</v>
      </c>
      <c r="E182" s="4" t="s">
        <v>44</v>
      </c>
      <c r="F182" s="4" t="s">
        <v>20</v>
      </c>
      <c r="G182" s="4" t="s">
        <v>377</v>
      </c>
      <c r="H182" s="3" t="s">
        <v>1044</v>
      </c>
      <c r="I182" s="3" t="s">
        <v>1045</v>
      </c>
      <c r="J182" s="4">
        <v>12.0</v>
      </c>
      <c r="K182" s="4">
        <v>40.0</v>
      </c>
      <c r="L182" s="3" t="s">
        <v>1046</v>
      </c>
      <c r="M182" s="3" t="s">
        <v>1047</v>
      </c>
      <c r="N182" s="7" t="str">
        <f>IFERROR(__xludf.DUMMYFUNCTION("GOOGLETRANSLATE(L182, ""en"", ""pt"")"),"Empacotadores e embaladores")</f>
        <v>Empacotadores e embaladores</v>
      </c>
      <c r="O182" s="7" t="str">
        <f>IFERROR(__xludf.DUMMYFUNCTION("IF(M182="""","""",GOOGLETRANSLATE(M182,""en"",""pt""))"),"1. Embalar recipientes, materiais ou produtos de acordo com os padrões de qualidade estabelecidos, incluindo especificações de tamanho, cor e condição. 2. Medir, pesar e contar produtos e materiais para garantir a precisão e a conformidade com os requisit"&amp;"os do pedido. 3. Registrar informações sobre produtos, embalagens e pedidos em formulários designados e sistemas de rastreamento. 4. Selar recipientes e embalagens utilizando métodos apropriados para garantir a integridade do produto e o manuseio seguro. "&amp;"5. Montar e preparar caixas, engradados e recipientes para embalagem e envio. 6. Separar, movimentar e organizar produtos, materiais e recipientes dentro da área de trabalho para otimizar as operações de embalagem. 7. Etiquetar e marcar recipientes, rótul"&amp;"os e produtos de acordo com os requisitos da empresa e as normas regulamentares. 8. Manter a limpeza das áreas de trabalho, recipientes e materiais em conformidade com as normas de segurança e higiene. 9. Remover produtos acabados ou defeituosos das linha"&amp;"s de produção e colocá-los em áreas designadas para distribuição ou controle de qualidade. 10. Encher recipientes com produtos ou materiais utilizando equipamentos e procedimentos apropriados. 11. Carregar materiais e produtos embalados em equipamentos de"&amp;" processamento ou embalagem como parte do fluxo de trabalho de produção. Classificação da Função: 53-7064.00 - Embaladores e Empacotadores Manuais. A classificação e descrição da função/setor inclui informações gerais sobre o cargo, de acordo com o ONET/O"&amp;"ES e o Sistema de Classificação Industrial da América do Norte (NAICS). Consulte as Funções e a Ordem de Serviço para obter mais informações. Requisitos da Função Experiência Necessária: Sim Meses de Experiência Necessária: 12 Requisitos Especiais: Não sã"&amp;"o necessários formação acadêmica, licença, certificação ou experiência prévia. Os funcionários devem ser capazes de levantar até 23 kg, ficar em pé, se curvar e realizar movimentos repetitivos por longos períodos. Devem ser capazes de seguir os procedimen"&amp;"tos de segurança e as instruções do empregador ao embalar, separar, etiquetar, organizar e preparar os produtos para envio. Número de Horas por Semana: 40 Horário de Trabalho (Início/Término): 8h às 17h")</f>
        <v>1. Embalar recipientes, materiais ou produtos de acordo com os padrões de qualidade estabelecidos, incluindo especificações de tamanho, cor e condição. 2. Medir, pesar e contar produtos e materiais para garantir a precisão e a conformidade com os requisitos do pedido. 3. Registrar informações sobre produtos, embalagens e pedidos em formulários designados e sistemas de rastreamento. 4. Selar recipientes e embalagens utilizando métodos apropriados para garantir a integridade do produto e o manuseio seguro. 5. Montar e preparar caixas, engradados e recipientes para embalagem e envio. 6. Separar, movimentar e organizar produtos, materiais e recipientes dentro da área de trabalho para otimizar as operações de embalagem. 7. Etiquetar e marcar recipientes, rótulos e produtos de acordo com os requisitos da empresa e as normas regulamentares. 8. Manter a limpeza das áreas de trabalho, recipientes e materiais em conformidade com as normas de segurança e higiene. 9. Remover produtos acabados ou defeituosos das linhas de produção e colocá-los em áreas designadas para distribuição ou controle de qualidade. 10. Encher recipientes com produtos ou materiais utilizando equipamentos e procedimentos apropriados. 11. Carregar materiais e produtos embalados em equipamentos de processamento ou embalagem como parte do fluxo de trabalho de produção. Classificação da Função: 53-7064.00 - Embaladores e Empacotadores Manuais. A classificação e descrição da função/setor inclui informações gerais sobre o cargo, de acordo com o ONET/OES e o Sistema de Classificação Industrial da América do Norte (NAICS). Consulte as Funções e a Ordem de Serviço para obter mais informações. Requisitos da Função Experiência Necessária: Sim Meses de Experiência Necessária: 12 Requisitos Especiais: Não são necessários formação acadêmica, licença, certificação ou experiência prévia. Os funcionários devem ser capazes de levantar até 23 kg, ficar em pé, se curvar e realizar movimentos repetitivos por longos períodos. Devem ser capazes de seguir os procedimentos de segurança e as instruções do empregador ao embalar, separar, etiquetar, organizar e preparar os produtos para envio. Número de Horas por Semana: 40 Horário de Trabalho (Início/Término): 8h às 17h</v>
      </c>
    </row>
    <row r="183" ht="20.25" customHeight="1">
      <c r="A183" s="8" t="s">
        <v>1048</v>
      </c>
      <c r="B183" s="8" t="s">
        <v>1049</v>
      </c>
      <c r="C183" s="8" t="s">
        <v>1050</v>
      </c>
      <c r="D183" s="8" t="s">
        <v>1051</v>
      </c>
      <c r="E183" s="9" t="s">
        <v>44</v>
      </c>
      <c r="F183" s="9" t="s">
        <v>20</v>
      </c>
      <c r="G183" s="9" t="s">
        <v>377</v>
      </c>
      <c r="H183" s="8" t="s">
        <v>1052</v>
      </c>
      <c r="I183" s="8" t="s">
        <v>1053</v>
      </c>
      <c r="J183" s="9">
        <v>19.83</v>
      </c>
      <c r="K183" s="9">
        <v>100.0</v>
      </c>
      <c r="L183" s="8" t="s">
        <v>1054</v>
      </c>
      <c r="M183" s="8" t="s">
        <v>1055</v>
      </c>
      <c r="N183" s="7" t="str">
        <f>IFERROR(__xludf.DUMMYFUNCTION("GOOGLETRANSLATE(L183, ""en"", ""pt"")"),"Trabalhador Florestal e de Conservação")</f>
        <v>Trabalhador Florestal e de Conservação</v>
      </c>
      <c r="O183" s="7" t="str">
        <f>IFERROR(__xludf.DUMMYFUNCTION("IF(M183="""","""",GOOGLETRANSLATE(M183,""en"",""pt""))"),"O plantio comercial de árvores será realizado em terrenos íngremes, com inclinação de 40% a 50%, utilizando uma pá de plantio. O funcionário deverá limpar o solo, cavar um buraco, posicionar corretamente a muda no buraco, evitando que a raiz fique em form"&amp;"ato de ""J"", cobrir as raízes com terra e compactar o solo ao redor da muda recém-plantada. O funcionário deverá carregar um saco de plantio contendo as mudas, cujo peso total é de aproximadamente 23 a 27 kg, dependendo do tamanho das mudas, para cima e "&amp;"para baixo do terreno íngreme, em áreas montanhosas remotas. Desbaste pré-comercial: o corte de árvores indesejáveis ​​e doentes, a pulverização da vegetação para eliminar o sub-bosque indesejado e o corte/empilhamento de galhos da madeira comercial serão"&amp;" realizados para promover o crescimento da madeira existente. Os galhos cortados e a vegetação rasteira serão empilhados de maneira prescrita para descarte futuro. O desbaste será realizado com o uso de motosserra. Os funcionários deverão realizar a manut"&amp;"enção da motosserra, afiar a corrente no local, manter os níveis corretos de fluido e desmontar a motosserra adequadamente para limpeza. O peso combinado da motosserra, combustível e óleo é de aproximadamente 13,6 kg (30 libras) e deve ser transportado em"&amp;" terrenos difíceis, com inclinações que variam de 40% a 50%. O funcionário deve demonstrar capacidade de trabalhar de forma segura e eficaz. O acesso a essas áreas remotas é feito por meio de estradas florestais abandonadas, sem nome ou numeração, que rec"&amp;"ebem manutenção. Classificação da função: 45-4011.00 - Trabalhadores Florestais e de Conservação. A classificação e descrição da função/setor inclui informações gerais sobre o cargo, conforme o ONET/OES e o Sistema de Classificação Industrial da América d"&amp;"o Norte. Consulte as atribuições e a ordem de serviço para obter mais informações. Requisitos da vaga Experiência necessária: Sim Meses de experiência necessários: 3 Requisitos especiais: F.A.5 HORAS EXTRAS OCASIONAIS. Quaisquer horas trabalhadas acima de"&amp;" 40 em uma semana de trabalho serão pagas com um adicional de 50% sobre o valor da hora normal do município onde o trabalho for realizado. F.A.9: É NECESSÁRIA EXPERIÊNCIA DE 3 MESES EM PLANTIO COMERCIAL DE ÁRVORES E/OU DESBASTE PRÉ-COMERCIAL DE ÁRVORES. F"&amp;".A.11: REQUISITOS ESPECIAIS: O FUNCIONÁRIO DEVE SER CAPAZ DE PLANTAR CORRETAMENTE O SEGUINTE NÚMERO DE ÁRVORES EM UM TURNO DIURNO DE 2 HORAS ATÉ O FINAL DA 1ª SEMANA: 10 MUDAS; 2ª SEMANA: 900 MUDAS; 3ª SEMANA: 1.000 MUDAS. Número de horas por semana: 48. "&amp;"Horário de trabalho (início/término): 7h00 - 15h30.")</f>
        <v>O plantio comercial de árvores será realizado em terrenos íngremes, com inclinação de 40% a 50%, utilizando uma pá de plantio. O funcionário deverá limpar o solo, cavar um buraco, posicionar corretamente a muda no buraco, evitando que a raiz fique em formato de "J", cobrir as raízes com terra e compactar o solo ao redor da muda recém-plantada. O funcionário deverá carregar um saco de plantio contendo as mudas, cujo peso total é de aproximadamente 23 a 27 kg, dependendo do tamanho das mudas, para cima e para baixo do terreno íngreme, em áreas montanhosas remotas. Desbaste pré-comercial: o corte de árvores indesejáveis ​​e doentes, a pulverização da vegetação para eliminar o sub-bosque indesejado e o corte/empilhamento de galhos da madeira comercial serão realizados para promover o crescimento da madeira existente. Os galhos cortados e a vegetação rasteira serão empilhados de maneira prescrita para descarte futuro. O desbaste será realizado com o uso de motosserra. Os funcionários deverão realizar a manutenção da motosserra, afiar a corrente no local, manter os níveis corretos de fluido e desmontar a motosserra adequadamente para limpeza. O peso combinado da motosserra, combustível e óleo é de aproximadamente 13,6 kg (30 libras) e deve ser transportado em terrenos difíceis, com inclinações que variam de 40% a 50%. O funcionário deve demonstrar capacidade de trabalhar de forma segura e eficaz. O acesso a essas áreas remotas é feito por meio de estradas florestais abandonadas, sem nome ou numeração, que recebem manutenção. Classificação da função: 45-4011.00 - Trabalhadores Florestais e de Conservação. A classificação e descrição da função/setor inclui informações gerais sobre o cargo, conforme o ONET/OES e o Sistema de Classificação Industrial da América do Norte. Consulte as atribuições e a ordem de serviço para obter mais informações. Requisitos da vaga Experiência necessária: Sim Meses de experiência necessários: 3 Requisitos especiais: F.A.5 HORAS EXTRAS OCASIONAIS. Quaisquer horas trabalhadas acima de 40 em uma semana de trabalho serão pagas com um adicional de 50% sobre o valor da hora normal do município onde o trabalho for realizado. F.A.9: É NECESSÁRIA EXPERIÊNCIA DE 3 MESES EM PLANTIO COMERCIAL DE ÁRVORES E/OU DESBASTE PRÉ-COMERCIAL DE ÁRVORES. F.A.11: REQUISITOS ESPECIAIS: O FUNCIONÁRIO DEVE SER CAPAZ DE PLANTAR CORRETAMENTE O SEGUINTE NÚMERO DE ÁRVORES EM UM TURNO DIURNO DE 2 HORAS ATÉ O FINAL DA 1ª SEMANA: 10 MUDAS; 2ª SEMANA: 900 MUDAS; 3ª SEMANA: 1.000 MUDAS. Número de horas por semana: 48. Horário de trabalho (início/término): 7h00 - 15h30.</v>
      </c>
    </row>
    <row r="184" ht="20.25" customHeight="1">
      <c r="A184" s="3" t="s">
        <v>1056</v>
      </c>
      <c r="B184" s="3" t="s">
        <v>1057</v>
      </c>
      <c r="C184" s="3" t="s">
        <v>197</v>
      </c>
      <c r="D184" s="3" t="s">
        <v>596</v>
      </c>
      <c r="E184" s="4" t="s">
        <v>19</v>
      </c>
      <c r="F184" s="4" t="s">
        <v>20</v>
      </c>
      <c r="G184" s="4" t="s">
        <v>1058</v>
      </c>
      <c r="H184" s="3" t="s">
        <v>1059</v>
      </c>
      <c r="I184" s="3" t="s">
        <v>1060</v>
      </c>
      <c r="J184" s="4">
        <v>22.08</v>
      </c>
      <c r="K184" s="4">
        <v>35.0</v>
      </c>
      <c r="L184" s="3" t="s">
        <v>1061</v>
      </c>
      <c r="M184" s="3" t="s">
        <v>1062</v>
      </c>
      <c r="N184" s="7" t="str">
        <f>IFERROR(__xludf.DUMMYFUNCTION("GOOGLETRANSLATE(L184, ""en"", ""pt"")"),"Auxiliar de Creche")</f>
        <v>Auxiliar de Creche</v>
      </c>
      <c r="O184" s="7" t="str">
        <f>IFERROR(__xludf.DUMMYFUNCTION("IF(M184="""","""",GOOGLETRANSLATE(M184,""en"",""pt""))"),"Monta arranjos de plantas utilizando ramos de coníferas e decorações artificiais: Corta os ramos de coníferas no comprimento desejado, utilizando tesouras de poda, e os separa por tamanho e cor. Monta os ramos para obter uma aparência uniforme. Fixa as de"&amp;"corações especificadas, por exemplo, azevinho, frutos artificiais, bolas de vidro e fitas. Classificação da Função: 27-1023.00 - Designers Florais. A classificação e descrição da função/setor inclui informações gerais sobre o cargo, de acordo com o ONET/O"&amp;"ES e o Sistema de Classificação Industrial da América do Norte. Consulte as Funções e a Ordem de Serviço para obter mais informações. Requisitos da Função: Experiência Necessária: Não. Requisitos Especiais: HORÁRIO E TURNOS ROTATIVOS DE SEGUNDA A DOMINGO,"&amp;" DAS 8H ÀS 16H. PODE INCLUIR TRABALHO AOS FINS DE SEMANA E FERIADOS. Número de Horas por Semana: 40. Horário de Trabalho (Início/Término): 8h às 16h.")</f>
        <v>Monta arranjos de plantas utilizando ramos de coníferas e decorações artificiais: Corta os ramos de coníferas no comprimento desejado, utilizando tesouras de poda, e os separa por tamanho e cor. Monta os ramos para obter uma aparência uniforme. Fixa as decorações especificadas, por exemplo, azevinho, frutos artificiais, bolas de vidro e fitas. Classificação da Função: 27-1023.00 - Designers Florais. A classificação e descrição da função/setor inclui informações gerais sobre o cargo, de acordo com o ONET/OES e o Sistema de Classificação Industrial da América do Norte. Consulte as Funções e a Ordem de Serviço para obter mais informações. Requisitos da Função: Experiência Necessária: Não. Requisitos Especiais: HORÁRIO E TURNOS ROTATIVOS DE SEGUNDA A DOMINGO, DAS 8H ÀS 16H. PODE INCLUIR TRABALHO AOS FINS DE SEMANA E FERIADOS. Número de Horas por Semana: 40. Horário de Trabalho (Início/Término): 8h às 16h.</v>
      </c>
    </row>
    <row r="185" ht="20.25" customHeight="1">
      <c r="A185" s="8" t="s">
        <v>1063</v>
      </c>
      <c r="B185" s="8" t="s">
        <v>1064</v>
      </c>
      <c r="C185" s="8" t="s">
        <v>125</v>
      </c>
      <c r="D185" s="8" t="s">
        <v>344</v>
      </c>
      <c r="E185" s="9" t="s">
        <v>44</v>
      </c>
      <c r="F185" s="9" t="s">
        <v>20</v>
      </c>
      <c r="G185" s="9" t="s">
        <v>1065</v>
      </c>
      <c r="H185" s="8" t="s">
        <v>1066</v>
      </c>
      <c r="I185" s="8" t="s">
        <v>1067</v>
      </c>
      <c r="J185" s="9">
        <v>21.26</v>
      </c>
      <c r="K185" s="9">
        <v>10.0</v>
      </c>
      <c r="L185" s="8" t="s">
        <v>129</v>
      </c>
      <c r="M185" s="8" t="s">
        <v>1068</v>
      </c>
      <c r="N185" s="7" t="str">
        <f>IFERROR(__xludf.DUMMYFUNCTION("GOOGLETRANSLATE(L185, ""en"", ""pt"")"),"Trabalhador de paisagismo e manutenção de jardins")</f>
        <v>Trabalhador de paisagismo e manutenção de jardins</v>
      </c>
      <c r="O185" s="7" t="str">
        <f>IFERROR(__xludf.DUMMYFUNCTION("IF(M185="""","""",GOOGLETRANSLATE(M185,""en"",""pt""))"),"As funções incluem a instalação de árvores, arbustos ou flores durante o período de dormência, seguindo o padrão de design apropriado. Isso inclui descarregar materiais, cavar buracos para o sistema radicular, cobrir os buracos adequadamente e, às vezes, "&amp;"colocar grama em placas, plantar sementes de grama ou conectar a irrigação. Também envolve a remoção de folhas, plantio de sementes e palha, aeração do gramado, plantio de arbustos, escavação, rastelagem e instalação de blocos de concreto pré-moldados sem"&amp;" argamassa. Os trabalhadores podem coletar e remover lixo, regar gramados, árvores e plantas semeadas, além de podar árvores, arbustos ou sebes. Podem operar equipamentos motorizados e dirigir veículos até os locais dos clientes. As tarefas podem incluir "&amp;"colocação de grama em placas, corte de grama, rega de plantas e gramados, transplante de plantas, fertilização, escavação, rastelagem e instalação de aspersores. Os funcionários cavarão valas com no máximo 15 a 30 cm de profundidade e 15 a 30 cm de largur"&amp;"a com pás e ferramentas manuais. Essas valas são usadas para acomodar a tubulação utilizada na instalação de sistemas de irrigação. Toda a poda/aparamento será feita no solo. Os trabalhadores não realizarão nenhuma atividade de poda ou corte acima do níve"&amp;"l do solo. O trabalhador poderá transportar outros trabalhadores de e para os locais de trabalho ocasionalmente, porém essa não será sua principal função. Os trabalhadores poderão operar equipamentos motorizados de jardinagem, incluindo cortadores de gram"&amp;"a, aparadores de borda, sopradores, roçadeiras, roçadeiras de jardim, pequenos tratores e equipamentos similares. Os trabalhadores poderão dirigir caminhonetes e outros veículos leves da empresa para ir e voltar dos locais de trabalho dos clientes. Os tra"&amp;"balhadores poderão ocasionalmente transportar outros trabalhadores de e para os locais de trabalho; no entanto, o transporte de trabalhadores não é uma função principal. Os trabalhadores também poderão ocasionalmente transportar materiais, ferramentas e e"&amp;"quipamentos de jardinagem de e para os locais de trabalho, incluindo cobertura morta, plantas em vasos, pás, ancinhos, cortadores de grama, sopradores e roçadeiras de jardim. Nenhum material perigoso será transportado pelos trabalhadores. Todos os veículo"&amp;"s e equipamentos operados têm peso bruto total inferior a 26.000 libras (aproximadamente 11.800 kg), incluindo quaisquer reboques acoplados ou materiais transportados. Classificação da Função: 37-3011.00 - Trabalhadores de Paisagismo e Manutenção de Jardi"&amp;"ns. A classificação e descrição da função/setor inclui informações gerais sobre o cargo, de acordo com o ONET/OES e o Sistema de Classificação Industrial da América do Norte (NAICS). Consulte as Funções e a Ordem de Serviço para obter mais informações. Re"&amp;"quisitos da Função: Experiência Necessária: Não. Requisitos Especiais: Exame toxicológico pós-admissão, custeado pelo empregador. Capacidade de levantar 23 kg, realizar movimentos repetitivos, empurrar/puxar com frequência, caminhar bastante, agachar-se f"&amp;"requentemente e estar exposto a temperaturas extremas. Número de Horas por Semana: 40. Horário de Trabalho (Início/Término): 7h às 16h.")</f>
        <v>As funções incluem a instalação de árvores, arbustos ou flores durante o período de dormência, seguindo o padrão de design apropriado. Isso inclui descarregar materiais, cavar buracos para o sistema radicular, cobrir os buracos adequadamente e, às vezes, colocar grama em placas, plantar sementes de grama ou conectar a irrigação. Também envolve a remoção de folhas, plantio de sementes e palha, aeração do gramado, plantio de arbustos, escavação, rastelagem e instalação de blocos de concreto pré-moldados sem argamassa. Os trabalhadores podem coletar e remover lixo, regar gramados, árvores e plantas semeadas, além de podar árvores, arbustos ou sebes. Podem operar equipamentos motorizados e dirigir veículos até os locais dos clientes. As tarefas podem incluir colocação de grama em placas, corte de grama, rega de plantas e gramados, transplante de plantas, fertilização, escavação, rastelagem e instalação de aspersores. Os funcionários cavarão valas com no máximo 15 a 30 cm de profundidade e 15 a 30 cm de largura com pás e ferramentas manuais. Essas valas são usadas para acomodar a tubulação utilizada na instalação de sistemas de irrigação. Toda a poda/aparamento será feita no solo. Os trabalhadores não realizarão nenhuma atividade de poda ou corte acima do nível do solo. O trabalhador poderá transportar outros trabalhadores de e para os locais de trabalho ocasionalmente, porém essa não será sua principal função. Os trabalhadores poderão operar equipamentos motorizados de jardinagem, incluindo cortadores de grama, aparadores de borda, sopradores, roçadeiras, roçadeiras de jardim, pequenos tratores e equipamentos similares. Os trabalhadores poderão dirigir caminhonetes e outros veículos leves da empresa para ir e voltar dos locais de trabalho dos clientes. Os trabalhadores poderão ocasionalmente transportar outros trabalhadores de e para os locais de trabalho; no entanto, o transporte de trabalhadores não é uma função principal. Os trabalhadores também poderão ocasionalmente transportar materiais, ferramentas e equipamentos de jardinagem de e para os locais de trabalho, incluindo cobertura morta, plantas em vasos, pás, ancinhos, cortadores de grama, sopradores e roçadeiras de jardim. Nenhum material perigoso será transportado pelos trabalhadores. Todos os veículos e equipamentos operados têm peso bruto total inferior a 26.000 libras (aproximadamente 11.800 kg), incluindo quaisquer reboques acoplados ou materiais transportados. Classificação da Função: 37-3011.00 - Trabalhadores de Paisagismo e Manutenção de Jardins. A classificação e descrição da função/setor inclui informações gerais sobre o cargo, de acordo com o ONET/OES e o Sistema de Classificação Industrial da América do Norte (NAICS). Consulte as Funções e a Ordem de Serviço para obter mais informações. Requisitos da Função: Experiência Necessária: Não. Requisitos Especiais: Exame toxicológico pós-admissão, custeado pelo empregador. Capacidade de levantar 23 kg, realizar movimentos repetitivos, empurrar/puxar com frequência, caminhar bastante, agachar-se frequentemente e estar exposto a temperaturas extremas. Número de Horas por Semana: 40. Horário de Trabalho (Início/Término): 7h às 16h.</v>
      </c>
    </row>
    <row r="186" ht="20.25" customHeight="1">
      <c r="A186" s="3" t="s">
        <v>1069</v>
      </c>
      <c r="B186" s="3" t="s">
        <v>1070</v>
      </c>
      <c r="C186" s="3" t="s">
        <v>125</v>
      </c>
      <c r="D186" s="3" t="s">
        <v>109</v>
      </c>
      <c r="E186" s="4" t="s">
        <v>44</v>
      </c>
      <c r="F186" s="4" t="s">
        <v>20</v>
      </c>
      <c r="G186" s="4" t="s">
        <v>146</v>
      </c>
      <c r="H186" s="3" t="s">
        <v>1071</v>
      </c>
      <c r="I186" s="3" t="s">
        <v>1072</v>
      </c>
      <c r="J186" s="4">
        <v>18.69</v>
      </c>
      <c r="K186" s="4">
        <v>10.0</v>
      </c>
      <c r="L186" s="3" t="s">
        <v>1073</v>
      </c>
      <c r="M186" s="3" t="s">
        <v>1074</v>
      </c>
      <c r="N186" s="7" t="str">
        <f>IFERROR(__xludf.DUMMYFUNCTION("GOOGLETRANSLATE(L186, ""en"", ""pt"")"),"Trabalhador de paisagismo e manutenção de jardins")</f>
        <v>Trabalhador de paisagismo e manutenção de jardins</v>
      </c>
      <c r="O186" s="7" t="str">
        <f>IFERROR(__xludf.DUMMYFUNCTION("IF(M186="""","""",GOOGLETRANSLATE(M186,""en"",""pt""))"),"As funções incluem a instalação de árvores, arbustos ou flores durante o período de dormência, seguindo o padrão de design apropriado. Isso inclui descarregar materiais, cavar buracos para o sistema radicular, cobrir os buracos adequadamente e, às vezes, "&amp;"colocar grama em placas, plantar sementes de grama ou conectar a irrigação. Também envolve a remoção de folhas, plantio de sementes e palha, aeração do gramado, plantio de arbustos, escavação, rastelagem e instalação de blocos de concreto pré-moldados sem"&amp;" argamassa. Os trabalhadores podem coletar e remover lixo, regar gramados, árvores e plantas semeadas, além de podar árvores, arbustos ou sebes. Podem operar equipamentos motorizados e dirigir veículos até os locais dos clientes. As tarefas podem incluir "&amp;"colocação de grama em placas, corte de grama, rega de plantas e gramados, transplante de plantas, fertilização, escavação, rastelagem e instalação de aspersores. Os funcionários cavarão valas com no máximo 15 a 30 cm de profundidade e 15 a 30 cm de largur"&amp;"a com pás e ferramentas manuais. Essas valas são usadas para acomodar a tubulação utilizada na instalação de sistemas de irrigação. Toda a poda/aparamento será feita no solo. Os trabalhadores não realizarão nenhuma atividade de poda ou corte acima do níve"&amp;"l do solo. O trabalhador poderá transportar outros trabalhadores de e para os locais de trabalho ocasionalmente, porém essa não será sua principal função. Os trabalhadores poderão operar equipamentos motorizados de jardinagem, incluindo cortadores de gram"&amp;"a, aparadores de borda, sopradores, roçadeiras, roçadeiras de jardim, tratores pequenos e equipamentos similares. Os trabalhadores poderão dirigir veículos da empresa, incluindo Ford F250, Ford F350, Ford F600 e GMC Yukon, de e para os locais de trabalho "&amp;"dos clientes. Os trabalhadores poderão ocasionalmente transportar outros trabalhadores de e para os locais de trabalho; no entanto, o transporte de trabalhadores não é uma função principal. Os trabalhadores também poderão ocasionalmente transportar materi"&amp;"ais, ferramentas e equipamentos de jardinagem de e para os locais de trabalho, incluindo cobertura morta, vasos de plantas, pás, ancinhos, cortadores de grama, sopradores e roçadeiras de jardim. Nenhum material perigoso será transportado pelos trabalhador"&amp;"es. Todos os veículos e equipamentos operados têm peso bruto total inferior a 26.000 libras (11.793 kg), incluindo quaisquer reboques acoplados ou materiais transportados. Classificação da função: 37-3011.00 - Trabalhadores de Paisagismo e Manutenção de Á"&amp;"reas Verdes. A classificação e descrição da função/setor incluem informações gerais sobre o cargo, de acordo com o ONET/OES e o Sistema de Classificação Industrial da América do Norte (NAICS). Consulte as Funções e a Ordem de Serviço para obter mais infor"&amp;"mações. Requisitos da função: Experiência necessária: Não. Requisitos especiais: Capacidade de levantar 80 libras (36 kg), realizar movimentos repetitivos, empurrar/puxar com frequência, caminhar bastante, agachar-se frequentemente e estar exposto a tempe"&amp;"raturas extremas. Número de horas por semana: 40. Horário de trabalho (início/término): 7h às 16h.")</f>
        <v>As funções incluem a instalação de árvores, arbustos ou flores durante o período de dormência, seguindo o padrão de design apropriado. Isso inclui descarregar materiais, cavar buracos para o sistema radicular, cobrir os buracos adequadamente e, às vezes, colocar grama em placas, plantar sementes de grama ou conectar a irrigação. Também envolve a remoção de folhas, plantio de sementes e palha, aeração do gramado, plantio de arbustos, escavação, rastelagem e instalação de blocos de concreto pré-moldados sem argamassa. Os trabalhadores podem coletar e remover lixo, regar gramados, árvores e plantas semeadas, além de podar árvores, arbustos ou sebes. Podem operar equipamentos motorizados e dirigir veículos até os locais dos clientes. As tarefas podem incluir colocação de grama em placas, corte de grama, rega de plantas e gramados, transplante de plantas, fertilização, escavação, rastelagem e instalação de aspersores. Os funcionários cavarão valas com no máximo 15 a 30 cm de profundidade e 15 a 30 cm de largura com pás e ferramentas manuais. Essas valas são usadas para acomodar a tubulação utilizada na instalação de sistemas de irrigação. Toda a poda/aparamento será feita no solo. Os trabalhadores não realizarão nenhuma atividade de poda ou corte acima do nível do solo. O trabalhador poderá transportar outros trabalhadores de e para os locais de trabalho ocasionalmente, porém essa não será sua principal função. Os trabalhadores poderão operar equipamentos motorizados de jardinagem, incluindo cortadores de grama, aparadores de borda, sopradores, roçadeiras, roçadeiras de jardim, tratores pequenos e equipamentos similares. Os trabalhadores poderão dirigir veículos da empresa, incluindo Ford F250, Ford F350, Ford F600 e GMC Yukon, de e para os locais de trabalho dos clientes. Os trabalhadores poderão ocasionalmente transportar outros trabalhadores de e para os locais de trabalho; no entanto, o transporte de trabalhadores não é uma função principal. Os trabalhadores também poderão ocasionalmente transportar materiais, ferramentas e equipamentos de jardinagem de e para os locais de trabalho, incluindo cobertura morta, vasos de plantas, pás, ancinhos, cortadores de grama, sopradores e roçadeiras de jardim. Nenhum material perigoso será transportado pelos trabalhadores. Todos os veículos e equipamentos operados têm peso bruto total inferior a 26.000 libras (11.793 kg), incluindo quaisquer reboques acoplados ou materiais transportados. Classificação da função: 37-3011.00 - Trabalhadores de Paisagismo e Manutenção de Áreas Verdes. A classificação e descrição da função/setor incluem informações gerais sobre o cargo, de acordo com o ONET/OES e o Sistema de Classificação Industrial da América do Norte (NAICS). Consulte as Funções e a Ordem de Serviço para obter mais informações. Requisitos da função: Experiência necessária: Não. Requisitos especiais: Capacidade de levantar 80 libras (36 kg), realizar movimentos repetitivos, empurrar/puxar com frequência, caminhar bastante, agachar-se frequentemente e estar exposto a temperaturas extremas. Número de horas por semana: 40. Horário de trabalho (início/término): 7h às 16h.</v>
      </c>
    </row>
    <row r="187" ht="20.25" customHeight="1">
      <c r="A187" s="8" t="s">
        <v>1075</v>
      </c>
      <c r="B187" s="8" t="s">
        <v>1076</v>
      </c>
      <c r="C187" s="8" t="s">
        <v>125</v>
      </c>
      <c r="D187" s="8" t="s">
        <v>254</v>
      </c>
      <c r="E187" s="9" t="s">
        <v>19</v>
      </c>
      <c r="F187" s="9" t="s">
        <v>20</v>
      </c>
      <c r="G187" s="9" t="s">
        <v>307</v>
      </c>
      <c r="H187" s="8" t="s">
        <v>1077</v>
      </c>
      <c r="I187" s="8" t="s">
        <v>1078</v>
      </c>
      <c r="J187" s="9">
        <v>18.54</v>
      </c>
      <c r="K187" s="9">
        <v>23.0</v>
      </c>
      <c r="L187" s="8" t="s">
        <v>129</v>
      </c>
      <c r="M187" s="8" t="s">
        <v>1079</v>
      </c>
      <c r="N187" s="7" t="str">
        <f>IFERROR(__xludf.DUMMYFUNCTION("GOOGLETRANSLATE(L187, ""en"", ""pt"")"),"Trabalhador de paisagismo e manutenção de jardins")</f>
        <v>Trabalhador de paisagismo e manutenção de jardins</v>
      </c>
      <c r="O187" s="7" t="str">
        <f>IFERROR(__xludf.DUMMYFUNCTION("IF(M187="""","""",GOOGLETRANSLATE(M187,""en"",""pt""))"),"As funções incluem a instalação de árvores, arbustos ou flores durante o período de dormência, seguindo o padrão de design apropriado. Isso inclui descarregar materiais, cavar buracos para o sistema radicular, cobrir os buracos adequadamente e, às vezes, "&amp;"colocar grama em placas, plantar sementes de grama ou conectar a irrigação. Também envolve a remoção de folhas, plantio de sementes e palha, aeração do gramado, plantio de arbustos, escavação, rastelagem e instalação de blocos de concreto pré-moldados sem"&amp;" argamassa. Os trabalhadores podem coletar e remover lixo, regar gramados, árvores e plantas semeadas, além de podar árvores, arbustos ou sebes. Podem operar equipamentos motorizados e dirigir veículos até os locais dos clientes. As tarefas podem incluir "&amp;"colocação de grama em placas, corte de grama, rega de plantas e gramados, transplante de plantas, fertilização, escavação, rastelagem e instalação de aspersores. Os funcionários cavarão valas com no máximo 15 a 30 cm de profundidade e 15 a 30 cm de largur"&amp;"a com pás e ferramentas manuais. Essas valas são usadas para acomodar a tubulação utilizada na instalação de sistemas de irrigação. Toda a poda/aparamento será feita no solo. Os trabalhadores não realizarão nenhuma atividade de poda ou corte acima do níve"&amp;"l do solo. O trabalhador poderá transportar outros trabalhadores de e para os locais de trabalho ocasionalmente, porém essa não será sua principal função. Os trabalhadores poderão operar equipamentos motorizados de jardinagem, incluindo cortadores de gram"&amp;"a, aparadores de borda, sopradores, roçadeiras, roçadeiras de jardim, pequenos tratores e equipamentos similares. Os trabalhadores poderão dirigir caminhonetes e outros veículos leves da empresa para ir e voltar dos locais de trabalho dos clientes. Os tra"&amp;"balhadores poderão ocasionalmente transportar outros trabalhadores de e para os locais de trabalho; no entanto, o transporte de trabalhadores não é uma função principal. Os trabalhadores também poderão ocasionalmente transportar materiais, ferramentas e e"&amp;"quipamentos de jardinagem de e para os locais de trabalho, incluindo cobertura morta, plantas em vasos, pás, ancinhos, cortadores de grama, sopradores e roçadeiras de jardim. Nenhum material perigoso será transportado pelos trabalhadores. Todos os veículo"&amp;"s e equipamentos operados têm peso bruto total inferior a 26.000 libras (aproximadamente 11.800 kg), incluindo quaisquer reboques acoplados ou materiais transportados. Classificação da Função: 37-3011.00 - Trabalhadores de Paisagismo e Manutenção de Jardi"&amp;"ns. A classificação e descrição da função/setor inclui informações gerais sobre o cargo, de acordo com o ONET/OES e o Sistema de Classificação Industrial da América do Norte (NAICS). Consulte as Funções e a Ordem de Serviço para obter mais informações. Re"&amp;"quisitos da Função Experiência Necessária: Sim Meses de Experiência Necessários: 3 Requisitos Especiais: Capacidade de levantar 23 kg, realizar movimentos repetitivos, empurrar/puxar com frequência, caminhar bastante, agachar-se frequentemente, exposição "&amp;"a temperaturas extremas, 3 meses de experiência exigidos, exame toxicológico pós-admissão por conta do empregador. Número de Horas por Semana: 40 Horário de Trabalho (Início/Término): 7h às 16h")</f>
        <v>As funções incluem a instalação de árvores, arbustos ou flores durante o período de dormência, seguindo o padrão de design apropriado. Isso inclui descarregar materiais, cavar buracos para o sistema radicular, cobrir os buracos adequadamente e, às vezes, colocar grama em placas, plantar sementes de grama ou conectar a irrigação. Também envolve a remoção de folhas, plantio de sementes e palha, aeração do gramado, plantio de arbustos, escavação, rastelagem e instalação de blocos de concreto pré-moldados sem argamassa. Os trabalhadores podem coletar e remover lixo, regar gramados, árvores e plantas semeadas, além de podar árvores, arbustos ou sebes. Podem operar equipamentos motorizados e dirigir veículos até os locais dos clientes. As tarefas podem incluir colocação de grama em placas, corte de grama, rega de plantas e gramados, transplante de plantas, fertilização, escavação, rastelagem e instalação de aspersores. Os funcionários cavarão valas com no máximo 15 a 30 cm de profundidade e 15 a 30 cm de largura com pás e ferramentas manuais. Essas valas são usadas para acomodar a tubulação utilizada na instalação de sistemas de irrigação. Toda a poda/aparamento será feita no solo. Os trabalhadores não realizarão nenhuma atividade de poda ou corte acima do nível do solo. O trabalhador poderá transportar outros trabalhadores de e para os locais de trabalho ocasionalmente, porém essa não será sua principal função. Os trabalhadores poderão operar equipamentos motorizados de jardinagem, incluindo cortadores de grama, aparadores de borda, sopradores, roçadeiras, roçadeiras de jardim, pequenos tratores e equipamentos similares. Os trabalhadores poderão dirigir caminhonetes e outros veículos leves da empresa para ir e voltar dos locais de trabalho dos clientes. Os trabalhadores poderão ocasionalmente transportar outros trabalhadores de e para os locais de trabalho; no entanto, o transporte de trabalhadores não é uma função principal. Os trabalhadores também poderão ocasionalmente transportar materiais, ferramentas e equipamentos de jardinagem de e para os locais de trabalho, incluindo cobertura morta, plantas em vasos, pás, ancinhos, cortadores de grama, sopradores e roçadeiras de jardim. Nenhum material perigoso será transportado pelos trabalhadores. Todos os veículos e equipamentos operados têm peso bruto total inferior a 26.000 libras (aproximadamente 11.800 kg), incluindo quaisquer reboques acoplados ou materiais transportados. Classificação da Função: 37-3011.00 - Trabalhadores de Paisagismo e Manutenção de Jardins. A classificação e descrição da função/setor inclui informações gerais sobre o cargo, de acordo com o ONET/OES e o Sistema de Classificação Industrial da América do Norte (NAICS). Consulte as Funções e a Ordem de Serviço para obter mais informações. Requisitos da Função Experiência Necessária: Sim Meses de Experiência Necessários: 3 Requisitos Especiais: Capacidade de levantar 23 kg, realizar movimentos repetitivos, empurrar/puxar com frequência, caminhar bastante, agachar-se frequentemente, exposição a temperaturas extremas, 3 meses de experiência exigidos, exame toxicológico pós-admissão por conta do empregador. Número de Horas por Semana: 40 Horário de Trabalho (Início/Término): 7h às 16h</v>
      </c>
    </row>
    <row r="188" ht="20.25" customHeight="1">
      <c r="A188" s="3" t="s">
        <v>1080</v>
      </c>
      <c r="B188" s="3" t="s">
        <v>1081</v>
      </c>
      <c r="C188" s="3" t="s">
        <v>169</v>
      </c>
      <c r="D188" s="3" t="s">
        <v>87</v>
      </c>
      <c r="E188" s="4" t="s">
        <v>44</v>
      </c>
      <c r="F188" s="4" t="s">
        <v>20</v>
      </c>
      <c r="G188" s="4" t="s">
        <v>437</v>
      </c>
      <c r="H188" s="3" t="s">
        <v>1082</v>
      </c>
      <c r="I188" s="3"/>
      <c r="J188" s="4">
        <v>18.5</v>
      </c>
      <c r="K188" s="4">
        <v>8.0</v>
      </c>
      <c r="L188" s="3" t="s">
        <v>1083</v>
      </c>
      <c r="M188" s="3" t="s">
        <v>1084</v>
      </c>
      <c r="N188" s="7" t="str">
        <f>IFERROR(__xludf.DUMMYFUNCTION("GOOGLETRANSLATE(L188, ""en"", ""pt"")"),"Enfardadeira de palha de pinheiro")</f>
        <v>Enfardadeira de palha de pinheiro</v>
      </c>
      <c r="O188" s="7" t="str">
        <f>IFERROR(__xludf.DUMMYFUNCTION("IF(M188="""","""",GOOGLETRANSLATE(M188,""en"",""pt""))"),"Enfardar, compactar e carregar manualmente fardos de palha de pinheiro em reboque. Utilizar ferramentas manuais como ancinhos e enxadas. Essas tarefas serão realizadas em propriedade florestal, especificamente em áreas arborizadas onde os pinheiros natura"&amp;"lmente perdem suas agulhas. Aumentos salariais e/ou bônus podem ser oferecidos a critério do empregador, com base em fatores individuais como desempenho, habilidade e tempo de serviço. Classificação da vaga: 45-4011.00 - Trabalhadores Florestais e de Cons"&amp;"ervação. A classificação e descrição da vaga/setor incluem informações gerais sobre o cargo, de acordo com o ONET/OES e o Sistema de Classificação Industrial da América do Norte. Consulte as Funções e a Ordem de Serviço para obter mais informações. Requis"&amp;"itos da vaga: Experiência necessária: Não. Requisitos especiais: Deve ser capaz de levantar/carregar 23 kg, quando necessário. Trabalho aos sábados e domingos, quando necessário. O empregador pode oferecer mais horas de trabalho do que as estipuladas, dep"&amp;"endendo do clima, das necessidades da empresa e de outras condições. Calor extremo, frio, chuva ou seca podem afetar o horário de trabalho exato. Número de horas por semana: 50 Horário de trabalho (início/término): 7h00 - 18h00")</f>
        <v>Enfardar, compactar e carregar manualmente fardos de palha de pinheiro em reboque. Utilizar ferramentas manuais como ancinhos e enxadas. Essas tarefas serão realizadas em propriedade florestal, especificamente em áreas arborizadas onde os pinheiros naturalmente perdem suas agulhas. Aumentos salariais e/ou bônus podem ser oferecidos a critério do empregador, com base em fatores individuais como desempenho, habilidade e tempo de serviço. Classificação da vaga: 45-4011.00 - Trabalhadores Florestais e de Conservação. A classificação e descrição da vaga/setor incluem informações gerais sobre o cargo, de acordo com o ONET/OES e o Sistema de Classificação Industrial da América do Norte. Consulte as Funções e a Ordem de Serviço para obter mais informações. Requisitos da vaga: Experiência necessária: Não. Requisitos especiais: Deve ser capaz de levantar/carregar 23 kg, quando necessário. Trabalho aos sábados e domingos, quando necessário. O empregador pode oferecer mais horas de trabalho do que as estipuladas, dependendo do clima, das necessidades da empresa e de outras condições. Calor extremo, frio, chuva ou seca podem afetar o horário de trabalho exato. Número de horas por semana: 50 Horário de trabalho (início/término): 7h00 - 18h00</v>
      </c>
    </row>
    <row r="189" ht="20.25" customHeight="1">
      <c r="A189" s="8" t="s">
        <v>1085</v>
      </c>
      <c r="B189" s="8" t="s">
        <v>1086</v>
      </c>
      <c r="C189" s="8" t="s">
        <v>169</v>
      </c>
      <c r="D189" s="8" t="s">
        <v>102</v>
      </c>
      <c r="E189" s="9" t="s">
        <v>19</v>
      </c>
      <c r="F189" s="9" t="s">
        <v>20</v>
      </c>
      <c r="G189" s="9" t="s">
        <v>155</v>
      </c>
      <c r="H189" s="8" t="s">
        <v>1087</v>
      </c>
      <c r="I189" s="8" t="s">
        <v>1088</v>
      </c>
      <c r="J189" s="9">
        <v>18.99</v>
      </c>
      <c r="K189" s="9">
        <v>150.0</v>
      </c>
      <c r="L189" s="8" t="s">
        <v>334</v>
      </c>
      <c r="M189" s="8" t="s">
        <v>1089</v>
      </c>
      <c r="N189" s="7" t="str">
        <f>IFERROR(__xludf.DUMMYFUNCTION("GOOGLETRANSLATE(L189, ""en"", ""pt"")"),"Trabalhadores Florestais")</f>
        <v>Trabalhadores Florestais</v>
      </c>
      <c r="O189" s="7" t="str">
        <f>IFERROR(__xludf.DUMMYFUNCTION("IF(M189="""","""",GOOGLETRANSLATE(M189,""en"",""pt""))"),"Trabalho manual itinerante de plantio de mudas de árvores para reflorestamento e manutenção de áreas florestais. Planta mudas de árvores de raiz nua ou em contêineres usando pá, enxada, plantadeira manual, enxada rotativa ou perfurador motorizado. Transpo"&amp;"rta as árvores em sacos próprios para mudas. Seleciona o local ideal para o plantio, considerando o espaçamento, o tipo de solo e a sombra necessários. Compacta o solo ao redor da muda com o pé ou com uma ferramenta de plantio. Como atividades secundárias"&amp;", realiza o desbaste de árvores usando motosserra, roçadeira ou outras ferramentas manuais para remover o excesso de árvores e vegetação; determina quais árvores jovens devem ser deixadas para crescimento acelerado, considerando o espaçamento, a espécie, "&amp;"o tamanho, a ausência de doenças ou outros defeitos e o possível dano às árvores restantes; corta arbustos e vegetação; pode triturar detritos e remover resíduos de estradas, aceiros e árvores restantes (exceto para trabalhadores que cortam árvores adulta"&amp;"s); aplica repelente ou fertilizante nas mudas; semeia sementes; transporta mudas do viveiro; descarta mudas de qualidade inferior; e conversa com outros trabalhadores para discutir questões como segurança. Trabalhadores que solicitarem e obtiverem um Cer"&amp;"tificado de Registro de Trabalhador Florestal (FLC) ou um Certificado de Registro de Funcionário FLC com autorização para dirigir, emitido pela Divisão de Salários e Horas do Departamento do Trabalho dos EUA (USDOL), durante o período de emprego, poderão "&amp;"transportar outros trabalhadores, realizar contagens e verificações, e poderão receber horas extras de trabalho. Essas funções envolvem a propagação, proteção e manejo de áreas florestais. Ambiente de trabalho livre de drogas. Testes toxicológicos poderão"&amp;" ser realizados durante todo o período de emprego, sem custo para o trabalhador. Classificação da Função: 45-4011.00 - Trabalhadores Florestais e de Conservação. A classificação e descrição da função/setor incluem informações gerais sobre o cargo, de acor"&amp;"do com o ONET/OES e o Sistema de Classificação Industrial da América do Norte (NAICS). Consulte as Funções e a Ordem de Serviço para obter mais informações. Requisitos da Função: Experiência Necessária: Não. Requisitos Especiais: Não são exigidos escolari"&amp;"dade ou experiência. É necessário ter 18 anos ou mais. Requer resistência física. Caminhadas extensas em terrenos acidentados. O trabalho é realizado em condições climáticas adversas. É necessário levantar e carregar 23 kg. Meta de produção de 2.000 árvor"&amp;"es plantadas corretamente por dia de 8 horas, após uma semana de treinamento em serviço. O horário e os locais de trabalho dependem das condições climáticas. É necessário passar por exames toxicológicos. É necessário viajar durante a noite. O empregador p"&amp;"oderá oferecer uma jornada de trabalho superior à estipulada, dependendo das condições climáticas, das necessidades da empresa e de outros fatores. Calor extremo, frio intenso, chuva ou seca podem afetar o horário de trabalho exato. Número de horas por se"&amp;"mana: 48. Horário de trabalho (início/término): 8h às 17h.")</f>
        <v>Trabalho manual itinerante de plantio de mudas de árvores para reflorestamento e manutenção de áreas florestais. Planta mudas de árvores de raiz nua ou em contêineres usando pá, enxada, plantadeira manual, enxada rotativa ou perfurador motorizado. Transporta as árvores em sacos próprios para mudas. Seleciona o local ideal para o plantio, considerando o espaçamento, o tipo de solo e a sombra necessários. Compacta o solo ao redor da muda com o pé ou com uma ferramenta de plantio. Como atividades secundárias, realiza o desbaste de árvores usando motosserra, roçadeira ou outras ferramentas manuais para remover o excesso de árvores e vegetação; determina quais árvores jovens devem ser deixadas para crescimento acelerado, considerando o espaçamento, a espécie, o tamanho, a ausência de doenças ou outros defeitos e o possível dano às árvores restantes; corta arbustos e vegetação; pode triturar detritos e remover resíduos de estradas, aceiros e árvores restantes (exceto para trabalhadores que cortam árvores adultas); aplica repelente ou fertilizante nas mudas; semeia sementes; transporta mudas do viveiro; descarta mudas de qualidade inferior; e conversa com outros trabalhadores para discutir questões como segurança. Trabalhadores que solicitarem e obtiverem um Certificado de Registro de Trabalhador Florestal (FLC) ou um Certificado de Registro de Funcionário FLC com autorização para dirigir, emitido pela Divisão de Salários e Horas do Departamento do Trabalho dos EUA (USDOL), durante o período de emprego, poderão transportar outros trabalhadores, realizar contagens e verificações, e poderão receber horas extras de trabalho. Essas funções envolvem a propagação, proteção e manejo de áreas florestais. Ambiente de trabalho livre de drogas. Testes toxicológicos poderão ser realizados durante todo o período de emprego, sem custo para o trabalhador. Classificação da Função: 45-4011.00 - Trabalhadores Florestais e de Conservação. A classificação e descrição da função/setor incluem informações gerais sobre o cargo, de acordo com o ONET/OES e o Sistema de Classificação Industrial da América do Norte (NAICS). Consulte as Funções e a Ordem de Serviço para obter mais informações. Requisitos da Função: Experiência Necessária: Não. Requisitos Especiais: Não são exigidos escolaridade ou experiência. É necessário ter 18 anos ou mais. Requer resistência física. Caminhadas extensas em terrenos acidentados. O trabalho é realizado em condições climáticas adversas. É necessário levantar e carregar 23 kg. Meta de produção de 2.000 árvores plantadas corretamente por dia de 8 horas, após uma semana de treinamento em serviço. O horário e os locais de trabalho dependem das condições climáticas. É necessário passar por exames toxicológicos. É necessário viajar durante a noite. O empregador poderá oferecer uma jornada de trabalho superior à estipulada, dependendo das condições climáticas, das necessidades da empresa e de outros fatores. Calor extremo, frio intenso, chuva ou seca podem afetar o horário de trabalho exato. Número de horas por semana: 48. Horário de trabalho (início/término): 8h às 17h.</v>
      </c>
    </row>
    <row r="190" ht="20.25" customHeight="1">
      <c r="A190" s="3" t="s">
        <v>1090</v>
      </c>
      <c r="B190" s="3" t="s">
        <v>1086</v>
      </c>
      <c r="C190" s="3" t="s">
        <v>169</v>
      </c>
      <c r="D190" s="3" t="s">
        <v>102</v>
      </c>
      <c r="E190" s="4" t="s">
        <v>44</v>
      </c>
      <c r="F190" s="4" t="s">
        <v>20</v>
      </c>
      <c r="G190" s="4" t="s">
        <v>29</v>
      </c>
      <c r="H190" s="3" t="s">
        <v>1087</v>
      </c>
      <c r="I190" s="3" t="s">
        <v>1088</v>
      </c>
      <c r="J190" s="4">
        <v>18.82</v>
      </c>
      <c r="K190" s="4">
        <v>150.0</v>
      </c>
      <c r="L190" s="3" t="s">
        <v>1091</v>
      </c>
      <c r="M190" s="3" t="s">
        <v>1092</v>
      </c>
      <c r="N190" s="7" t="str">
        <f>IFERROR(__xludf.DUMMYFUNCTION("GOOGLETRANSLATE(L190, ""en"", ""pt"")"),"Plantadores mecânicos de árvores")</f>
        <v>Plantadores mecânicos de árvores</v>
      </c>
      <c r="O190" s="7" t="str">
        <f>IFERROR(__xludf.DUMMYFUNCTION("IF(M190="""","""",GOOGLETRANSLATE(M190,""en"",""pt""))"),"Trabalho manual itinerante com máquinas, incluindo plantio, desbaste de mudas, aplicação de inseticidas e herbicidas, remoção de arbustos e vegetação, e arrancamento de mudas para reflorestamento e manutenção de áreas florestais. Utilizar equipamentos par"&amp;"a plantar e desbastar árvores, espalhar ou pulverizar produtos químicos, preparar o local para plantio ou realizar outros serviços florestais. Operar tratores de pneus ou esteiras, ou outros equipamentos motorizados pesados, como motoniveladoras, pás carr"&amp;"egadeiras ou retroescavadeiras. Lubrificar, abastecer, ajustar e realizar reparos emergenciais nos equipamentos. Semear, cultivar e transportar mudas em sacos e descartar mudas de qualidade inferior. Utilizar motosserra, roçadeira ou outros equipamentos m"&amp;"anuais para remover o excesso de árvores e vegetação. Determinar quais árvores jovens devem ser deixadas para crescimento acelerado, considerando espaçamento, espécie, tamanho, ausência de doenças ou outros defeitos e possíveis danos às árvores restantes."&amp;" Combater insetos, pragas e doenças prejudiciais às árvores. Utilizar pulverizador costal ou outras ferramentas manuais para pulverizar ou injetar inseticidas na vegetação para matar insetos e proteger contra doenças, e herbicidas para reduzir a vegetação"&amp;" concorrente. Pode triturar detritos e remover resíduos de madeira de estradas, aceiros e árvores remanescentes. Exclui trabalhadores que cortam árvores adultas. Pode plantar mudas de árvores manualmente, seguindo um padrão específico, utilizando enxada, "&amp;"plantadeira ou plantadeira de solo em caso de falha mecânica. Consultar outros trabalhadores para discutir questões como segurança. Trabalhadores que solicitarem e obtiverem um Certificado de Registro de Trabalhador Florestal (FLC) ou um certificado de re"&amp;"gistro de funcionário FLC com autorização para dirigir, emitido pela Divisão de Salários e Horas do Departamento do Trabalho dos EUA (USDOL), durante o período de emprego, podem transportar trabalhadores, contar e verificar, e podem receber horas de traba"&amp;"lho adicionais. Esses trabalhos envolvem a propagação, proteção e manejo de áreas florestais. Ambiente de trabalho livre de drogas. Testes de drogas podem ser realizados durante todo o período de emprego, sem custo para o trabalhador. Classificação do Tra"&amp;"balho: 45-4011.00 - Trabalhadores Florestais e de Conservação. A classificação e descrição do trabalho/setor inclui informações gerais sobre a posição, provenientes do ONET/OES e do Sistema de Classificação Industrial da América do Norte. Consulte a Descr"&amp;"ição das Funções e a Ordem de Serviço para obter mais informações. Requisitos da Vaga Experiência Necessária: Não Requisitos Especiais: Não é necessário ter formação ou experiência. É preciso ter 18 anos ou mais. É preciso ser capaz de levantar e carregar"&amp;" até 23 kg. O trabalho é realizado ao ar livre, em temperaturas extremas e condições climáticas adversas. Requer resistência física. Caminhadas frequentes em terrenos acidentados. Meta de produção de 8.000 mudas plantadas mecanicamente por dia de 8 horas "&amp;"após uma semana de treinamento em serviço. O horário e os locais de trabalho dependem das condições climáticas. É necessário passar por exames toxicológicos. Viagens com pernoite são necessárias. O empregador pode oferecer mais horas de trabalho do que o "&amp;"estipulado, dependendo do clima, das necessidades da empresa e de outras condições. Calor extremo, frio, chuva ou seca podem afetar o horário de trabalho exato. Número de Horas por Semana: 48 Horário de Trabalho (Início/Término): 8h às 17h")</f>
        <v>Trabalho manual itinerante com máquinas, incluindo plantio, desbaste de mudas, aplicação de inseticidas e herbicidas, remoção de arbustos e vegetação, e arrancamento de mudas para reflorestamento e manutenção de áreas florestais. Utilizar equipamentos para plantar e desbastar árvores, espalhar ou pulverizar produtos químicos, preparar o local para plantio ou realizar outros serviços florestais. Operar tratores de pneus ou esteiras, ou outros equipamentos motorizados pesados, como motoniveladoras, pás carregadeiras ou retroescavadeiras. Lubrificar, abastecer, ajustar e realizar reparos emergenciais nos equipamentos. Semear, cultivar e transportar mudas em sacos e descartar mudas de qualidade inferior. Utilizar motosserra, roçadeira ou outros equipamentos manuais para remover o excesso de árvores e vegetação. Determinar quais árvores jovens devem ser deixadas para crescimento acelerado, considerando espaçamento, espécie, tamanho, ausência de doenças ou outros defeitos e possíveis danos às árvores restantes. Combater insetos, pragas e doenças prejudiciais às árvores. Utilizar pulverizador costal ou outras ferramentas manuais para pulverizar ou injetar inseticidas na vegetação para matar insetos e proteger contra doenças, e herbicidas para reduzir a vegetação concorrente. Pode triturar detritos e remover resíduos de madeira de estradas, aceiros e árvores remanescentes. Exclui trabalhadores que cortam árvores adultas. Pode plantar mudas de árvores manualmente, seguindo um padrão específico, utilizando enxada, plantadeira ou plantadeira de solo em caso de falha mecânica. Consultar outros trabalhadores para discutir questões como segurança. Trabalhadores que solicitarem e obtiverem um Certificado de Registro de Trabalhador Florestal (FLC) ou um certificado de registro de funcionário FLC com autorização para dirigir, emitido pela Divisão de Salários e Horas do Departamento do Trabalho dos EUA (USDOL), durante o período de emprego, podem transportar trabalhadores, contar e verificar, e podem receber horas de trabalho adicionais. Esses trabalhos envolvem a propagação, proteção e manejo de áreas florestais. Ambiente de trabalho livre de drogas. Testes de drogas podem ser realizados durante todo o período de emprego, sem custo para o trabalhador. Classificação do Trabalho: 45-4011.00 - Trabalhadores Florestais e de Conservação. A classificação e descrição do trabalho/setor inclui informações gerais sobre a posição, provenientes do ONET/OES e do Sistema de Classificação Industrial da América do Norte. Consulte a Descrição das Funções e a Ordem de Serviço para obter mais informações. Requisitos da Vaga Experiência Necessária: Não Requisitos Especiais: Não é necessário ter formação ou experiência. É preciso ter 18 anos ou mais. É preciso ser capaz de levantar e carregar até 23 kg. O trabalho é realizado ao ar livre, em temperaturas extremas e condições climáticas adversas. Requer resistência física. Caminhadas frequentes em terrenos acidentados. Meta de produção de 8.000 mudas plantadas mecanicamente por dia de 8 horas após uma semana de treinamento em serviço. O horário e os locais de trabalho dependem das condições climáticas. É necessário passar por exames toxicológicos. Viagens com pernoite são necessárias. O empregador pode oferecer mais horas de trabalho do que o estipulado, dependendo do clima, das necessidades da empresa e de outras condições. Calor extremo, frio, chuva ou seca podem afetar o horário de trabalho exato. Número de Horas por Semana: 48 Horário de Trabalho (Início/Término): 8h às 17h</v>
      </c>
    </row>
    <row r="191" ht="20.25" customHeight="1">
      <c r="A191" s="8" t="s">
        <v>1093</v>
      </c>
      <c r="B191" s="8" t="s">
        <v>570</v>
      </c>
      <c r="C191" s="8"/>
      <c r="D191" s="8" t="s">
        <v>18</v>
      </c>
      <c r="E191" s="9" t="s">
        <v>44</v>
      </c>
      <c r="F191" s="9" t="s">
        <v>20</v>
      </c>
      <c r="G191" s="9" t="s">
        <v>146</v>
      </c>
      <c r="H191" s="8" t="s">
        <v>571</v>
      </c>
      <c r="I191" s="8" t="s">
        <v>1094</v>
      </c>
      <c r="J191" s="9">
        <v>13.79</v>
      </c>
      <c r="K191" s="9">
        <v>450.0</v>
      </c>
      <c r="L191" s="8" t="s">
        <v>573</v>
      </c>
      <c r="M191" s="8" t="s">
        <v>574</v>
      </c>
      <c r="N191" s="7" t="str">
        <f>IFERROR(__xludf.DUMMYFUNCTION("GOOGLETRANSLATE(L191, ""en"", ""pt"")"),"Limpeza de vegetação na faixa de domínio da concessionária")</f>
        <v>Limpeza de vegetação na faixa de domínio da concessionária</v>
      </c>
      <c r="O191" s="7" t="str">
        <f>IFERROR(__xludf.DUMMYFUNCTION("IF(M191="""","""",GOOGLETRANSLATE(M191,""en"",""pt""))"),"O trabalhador utilizará pulverizadores costais e ferramentas manuais para aplicar herbicida no controle ou limpeza da vegetação em faixas de servidão de concessionárias de serviços públicos, pastagens, áreas de vida selvagem, margens de estradas, áreas in"&amp;"dustriais e outras áreas, carregando até 16 kg de equipamento enquanto caminha até 16 km por dia em terrenos acidentados, frequentemente em condições climáticas adversas (calor intenso, plantas venenosas, insetos e cobras). O trabalhador deverá ser capaz "&amp;"de aplicar 75 litros de mistura para pulverização em um período de oito horas após três semanas de treinamento. O trabalho será realizado em áreas de tamanho variável, de menos de 0,4 hectare a milhares de hectares. As tarefas serão executadas em áreas de"&amp;"terminadas por um itinerário, de acordo com as Normas Florestais [Gal I-97] [FR Doc. E7-12766] [TEGL 27-6] e diversas outras publicações e práticas estabelecidas. Consulte o anexo CDR resposta P-400-13042-521868 14 de novembro de 2013 Classificação do Car"&amp;"go: 37-3011.00 - Trabalhadores de Paisagismo e Manutenção de Áreas Verdes A classificação e descrição do cargo/setor inclui informações gerais sobre a posição, conforme ONET/OES e o Sistema de Classificação Industrial da América do Norte (NAICS). Consulte"&amp;" as Funções e a Ordem de Serviço para obter mais informações. Requisitos do Cargo Experiência Necessária: Não Requisitos Especiais: Os candidatos devem ter 18 anos de idade e disponibilidade para viajar com pernoite por períodos prolongados. As habilidade"&amp;"s necessárias incluem identificação de folhagem, manuseio de herbicidas, procedimentos de segurança e técnicas de aplicação de herbicidas em baixa quantidade, após três semanas de treinamento na empresa. Não é necessário treinamento prévio, mas é obrigató"&amp;"rio participar de um treinamento pago pela empresa no local de início das atividades. A Progressive Solutions mantém um ambiente de trabalho livre de drogas, e os trabalhadores podem ser submetidos a testes de drogas pós-emprego, conforme exigido por cont"&amp;"ratos governamentais. Os estagiários que possuírem carteira de habilitação válida, atenderem a todos os padrões de direção da empresa e forem aprovados no teste de direção da empresa poderão receber horas extras para transportar trabalhadores e/ou materia"&amp;"is. A carga horária semanal pode variar devido às condições climáticas e aos prazos contratuais, sendo necessário trabalhar alguns sábados e domingos. Número de horas por semana: 40. Horário de trabalho (início/término): 7h30 às 15h.")</f>
        <v>O trabalhador utilizará pulverizadores costais e ferramentas manuais para aplicar herbicida no controle ou limpeza da vegetação em faixas de servidão de concessionárias de serviços públicos, pastagens, áreas de vida selvagem, margens de estradas, áreas industriais e outras áreas, carregando até 16 kg de equipamento enquanto caminha até 16 km por dia em terrenos acidentados, frequentemente em condições climáticas adversas (calor intenso, plantas venenosas, insetos e cobras). O trabalhador deverá ser capaz de aplicar 75 litros de mistura para pulverização em um período de oito horas após três semanas de treinamento. O trabalho será realizado em áreas de tamanho variável, de menos de 0,4 hectare a milhares de hectares. As tarefas serão executadas em áreas determinadas por um itinerário, de acordo com as Normas Florestais [Gal I-97] [FR Doc. E7-12766] [TEGL 27-6] e diversas outras publicações e práticas estabelecidas. Consulte o anexo CDR resposta P-400-13042-521868 14 de novembro de 2013 Classificação do Cargo: 37-3011.00 - Trabalhadores de Paisagismo e Manutenção de Áreas Verdes A classificação e descrição do cargo/setor inclui informações gerais sobre a posição, conforme ONET/OES e o Sistema de Classificação Industrial da América do Norte (NAICS). Consulte as Funções e a Ordem de Serviço para obter mais informações. Requisitos do Cargo Experiência Necessária: Não Requisitos Especiais: Os candidatos devem ter 18 anos de idade e disponibilidade para viajar com pernoite por períodos prolongados. As habilidades necessárias incluem identificação de folhagem, manuseio de herbicidas, procedimentos de segurança e técnicas de aplicação de herbicidas em baixa quantidade, após três semanas de treinamento na empresa. Não é necessário treinamento prévio, mas é obrigatório participar de um treinamento pago pela empresa no local de início das atividades. A Progressive Solutions mantém um ambiente de trabalho livre de drogas, e os trabalhadores podem ser submetidos a testes de drogas pós-emprego, conforme exigido por contratos governamentais. Os estagiários que possuírem carteira de habilitação válida, atenderem a todos os padrões de direção da empresa e forem aprovados no teste de direção da empresa poderão receber horas extras para transportar trabalhadores e/ou materiais. A carga horária semanal pode variar devido às condições climáticas e aos prazos contratuais, sendo necessário trabalhar alguns sábados e domingos. Número de horas por semana: 40. Horário de trabalho (início/término): 7h30 às 15h.</v>
      </c>
    </row>
    <row r="192" ht="20.25" customHeight="1">
      <c r="A192" s="3" t="s">
        <v>1095</v>
      </c>
      <c r="B192" s="3" t="s">
        <v>1096</v>
      </c>
      <c r="C192" s="3" t="s">
        <v>93</v>
      </c>
      <c r="D192" s="3" t="s">
        <v>64</v>
      </c>
      <c r="E192" s="4" t="s">
        <v>19</v>
      </c>
      <c r="F192" s="4" t="s">
        <v>20</v>
      </c>
      <c r="G192" s="4" t="s">
        <v>377</v>
      </c>
      <c r="H192" s="3" t="s">
        <v>1097</v>
      </c>
      <c r="I192" s="3" t="s">
        <v>1098</v>
      </c>
      <c r="J192" s="4">
        <v>15.55</v>
      </c>
      <c r="K192" s="4">
        <v>13.0</v>
      </c>
      <c r="L192" s="3" t="s">
        <v>1099</v>
      </c>
      <c r="M192" s="3" t="s">
        <v>1100</v>
      </c>
      <c r="N192" s="7" t="str">
        <f>IFERROR(__xludf.DUMMYFUNCTION("GOOGLETRANSLATE(L192, ""en"", ""pt"")"),"Empacotador manual")</f>
        <v>Empacotador manual</v>
      </c>
      <c r="O192" s="7" t="str">
        <f>IFERROR(__xludf.DUMMYFUNCTION("IF(M192="""","""",GOOGLETRANSLATE(M192,""en"",""pt""))"),"Os trabalhadores geralmente executam uma variedade de tarefas relacionadas ao empacotamento manual e/ou reembalagem de frutas secas, vegetais e/ou grãos, de grandes sacos de atacado para embalagens individuais menores. Obtêm, movimentam e separam produtos"&amp;", materiais, recipientes e pedidos. Montam, forram e acolchoam caixas de papelão, engradados e recipientes. Limpam recipientes, materiais, suprimentos ou áreas de trabalho. Colocam ou despejam produtos ou materiais em recipientes, usando ferramentas e equ"&amp;"ipamentos manuais, ou enchem recipientes por meio de bicos ou calhas. Etiquetam e contam recipientes/embalagens. Registra informações sobre produtos, embalagens e pedidos em formulários e registros específicos. É necessário ter conhecimento básico de leit"&amp;"ura em espanhol ou inglês. Classificação da vaga: 53-7064.00 - Embaladores e empacotadores manuais. A classificação e descrição da vaga/setor inclui informações gerais sobre o cargo, de acordo com o ONET/OES e o Sistema de Classificação Industrial da Amér"&amp;"ica do Norte. Consulte as Funções e a Ordem de Serviço para obter mais informações. Requisitos da vaga: Experiência necessária: Sim. Meses de experiência necessários: 3. Requisitos especiais: Requer três meses de experiência como embalador manual. Deverá "&amp;"levantar/carregar até 23 kg (50 lbs), quando necessário. O empregador poderá oferecer uma jornada de trabalho superior à estipulada, dependendo das condições climáticas, das necessidades da empresa e de outros fatores. Número de horas semanais: 40. Horári"&amp;"o de trabalho (início/término): 15h00 - 23h30.")</f>
        <v>Os trabalhadores geralmente executam uma variedade de tarefas relacionadas ao empacotamento manual e/ou reembalagem de frutas secas, vegetais e/ou grãos, de grandes sacos de atacado para embalagens individuais menores. Obtêm, movimentam e separam produtos, materiais, recipientes e pedidos. Montam, forram e acolchoam caixas de papelão, engradados e recipientes. Limpam recipientes, materiais, suprimentos ou áreas de trabalho. Colocam ou despejam produtos ou materiais em recipientes, usando ferramentas e equipamentos manuais, ou enchem recipientes por meio de bicos ou calhas. Etiquetam e contam recipientes/embalagens. Registra informações sobre produtos, embalagens e pedidos em formulários e registros específicos. É necessário ter conhecimento básico de leitura em espanhol ou inglês. Classificação da vaga: 53-7064.00 - Embaladores e empacotadores manuais. A classificação e descrição da vaga/setor inclui informações gerais sobre o cargo, de acordo com o ONET/OES e o Sistema de Classificação Industrial da América do Norte. Consulte as Funções e a Ordem de Serviço para obter mais informações. Requisitos da vaga: Experiência necessária: Sim. Meses de experiência necessários: 3. Requisitos especiais: Requer três meses de experiência como embalador manual. Deverá levantar/carregar até 23 kg (50 lbs), quando necessário. O empregador poderá oferecer uma jornada de trabalho superior à estipulada, dependendo das condições climáticas, das necessidades da empresa e de outros fatores. Número de horas semanais: 40. Horário de trabalho (início/término): 15h00 - 23h30.</v>
      </c>
    </row>
    <row r="193" ht="20.25" customHeight="1">
      <c r="A193" s="8" t="s">
        <v>1101</v>
      </c>
      <c r="B193" s="8" t="s">
        <v>1102</v>
      </c>
      <c r="C193" s="8" t="s">
        <v>63</v>
      </c>
      <c r="D193" s="8" t="s">
        <v>1103</v>
      </c>
      <c r="E193" s="9" t="s">
        <v>19</v>
      </c>
      <c r="F193" s="9" t="s">
        <v>20</v>
      </c>
      <c r="G193" s="9" t="s">
        <v>377</v>
      </c>
      <c r="H193" s="8" t="s">
        <v>1104</v>
      </c>
      <c r="I193" s="8" t="s">
        <v>1105</v>
      </c>
      <c r="J193" s="9">
        <v>21.21</v>
      </c>
      <c r="K193" s="9">
        <v>6.0</v>
      </c>
      <c r="L193" s="8" t="s">
        <v>1106</v>
      </c>
      <c r="M193" s="8" t="s">
        <v>1107</v>
      </c>
      <c r="N193" s="7" t="str">
        <f>IFERROR(__xludf.DUMMYFUNCTION("GOOGLETRANSLATE(L193, ""en"", ""pt"")"),"Ajudantes, Operários de Produção")</f>
        <v>Ajudantes, Operários de Produção</v>
      </c>
      <c r="O193" s="7" t="str">
        <f>IFERROR(__xludf.DUMMYFUNCTION("IF(M193="""","""",GOOGLETRANSLATE(M193,""en"",""pt""))"),"A Mountain Valley Stone, Inc. produz diversos produtos de pedra a partir da pedra que extrai de suas pedreiras. Os funcionários auxiliarão os operadores de máquinas utilizando ferramentas de produção para preparar a pedra para a produção, movimentação e a"&amp;"cabamento de produtos de pedra bruta e acabada. As tarefas específicas incluem: carregar pedaços de pedra em um sistema de esteira transportadora; a esteira então moverá a pedra para baixo de uma guilhotina; o funcionário pressionará um botão ou puxará um"&amp;"a alavanca na guilhotina, que abaixará a peça fina e plana de metal com borda chanfrada para produzir o produto de pedra acabado; a esteira transportadora levará a pedra até o final da esteira, onde outro funcionário descarregará a pedra, inspecionará e a"&amp;" colocará em paletes para venda. Levantar/carregar produtos manualmente. Contar/empilhar/separar materiais em paletes para embalagem e envio. Limpar e manter a área de trabalho. Nível inicial; requer supervisão. Os funcionários passarão por um período de "&amp;"treinamento que abrange as funções no local de trabalho e os requisitos de conformidade da MSHA (Administração de Segurança e Saúde em Minas). Os funcionários devem seguir todos os padrões de segurança da empresa e manter a conformidade com os regulamento"&amp;"s do local de trabalho. Uma atitude positiva e a disposição para trabalhar em equipe são requisitos essenciais. Classificação da Função: 51-9195.03 - Cortadores e Escultores de Pedra, Manufatura. A classificação e descrição da função/indústria inclui info"&amp;"rmações gerais sobre o cargo, de acordo com o ONET/OES e o Sistema de Classificação Industrial da América do Norte (NAICS). Consulte as Funções e a Ordem de Serviço para obter mais informações. Requisitos da Função Experiência Necessária: Não. Requisitos "&amp;"Especiais: Deve ser capaz de levantar/carregar 36 kg (80 lbs), quando necessário. O empregador exige teste antidrogas para trabalhadores estrangeiros e nacionais antes do início do trabalho, bem como testes aleatórios após a contratação e após acidentes. "&amp;"O empregador pode oferecer mais horas de trabalho do que as indicadas, dependendo do clima, das necessidades da empresa e de outras condições. Calor extremo, frio, chuva ou seca podem afetar o horário de trabalho exato. Número de Horas por Semana: 40. Hor"&amp;"ário de Trabalho (Início/Término): 7h30 - 16h30.")</f>
        <v>A Mountain Valley Stone, Inc. produz diversos produtos de pedra a partir da pedra que extrai de suas pedreiras. Os funcionários auxiliarão os operadores de máquinas utilizando ferramentas de produção para preparar a pedra para a produção, movimentação e acabamento de produtos de pedra bruta e acabada. As tarefas específicas incluem: carregar pedaços de pedra em um sistema de esteira transportadora; a esteira então moverá a pedra para baixo de uma guilhotina; o funcionário pressionará um botão ou puxará uma alavanca na guilhotina, que abaixará a peça fina e plana de metal com borda chanfrada para produzir o produto de pedra acabado; a esteira transportadora levará a pedra até o final da esteira, onde outro funcionário descarregará a pedra, inspecionará e a colocará em paletes para venda. Levantar/carregar produtos manualmente. Contar/empilhar/separar materiais em paletes para embalagem e envio. Limpar e manter a área de trabalho. Nível inicial; requer supervisão. Os funcionários passarão por um período de treinamento que abrange as funções no local de trabalho e os requisitos de conformidade da MSHA (Administração de Segurança e Saúde em Minas). Os funcionários devem seguir todos os padrões de segurança da empresa e manter a conformidade com os regulamentos do local de trabalho. Uma atitude positiva e a disposição para trabalhar em equipe são requisitos essenciais. Classificação da Função: 51-9195.03 - Cortadores e Escultores de Pedra, Manufatura. A classificação e descrição da função/indústria inclui informações gerais sobre o cargo, de acordo com o ONET/OES e o Sistema de Classificação Industrial da América do Norte (NAICS). Consulte as Funções e a Ordem de Serviço para obter mais informações. Requisitos da Função Experiência Necessária: Não. Requisitos Especiais: Deve ser capaz de levantar/carregar 36 kg (80 lbs), quando necessário. O empregador exige teste antidrogas para trabalhadores estrangeiros e nacionais antes do início do trabalho, bem como testes aleatórios após a contratação e após acidentes. O empregador pode oferecer mais horas de trabalho do que as indicadas, dependendo do clima, das necessidades da empresa e de outras condições. Calor extremo, frio, chuva ou seca podem afetar o horário de trabalho exato. Número de Horas por Semana: 40. Horário de Trabalho (Início/Término): 7h30 - 16h30.</v>
      </c>
    </row>
    <row r="194" ht="20.25" customHeight="1">
      <c r="A194" s="3" t="s">
        <v>1108</v>
      </c>
      <c r="B194" s="3" t="s">
        <v>1109</v>
      </c>
      <c r="C194" s="3" t="s">
        <v>125</v>
      </c>
      <c r="D194" s="3" t="s">
        <v>18</v>
      </c>
      <c r="E194" s="4" t="s">
        <v>44</v>
      </c>
      <c r="F194" s="4" t="s">
        <v>20</v>
      </c>
      <c r="G194" s="4" t="s">
        <v>236</v>
      </c>
      <c r="H194" s="3" t="s">
        <v>1110</v>
      </c>
      <c r="I194" s="3" t="s">
        <v>1111</v>
      </c>
      <c r="J194" s="4">
        <v>19.47</v>
      </c>
      <c r="K194" s="4">
        <v>8.0</v>
      </c>
      <c r="L194" s="3" t="s">
        <v>1112</v>
      </c>
      <c r="M194" s="3" t="s">
        <v>1113</v>
      </c>
      <c r="N194" s="7" t="str">
        <f>IFERROR(__xludf.DUMMYFUNCTION("GOOGLETRANSLATE(L194, ""en"", ""pt"")"),"Técnico de Manutenção de Gramados")</f>
        <v>Técnico de Manutenção de Gramados</v>
      </c>
      <c r="O194" s="7" t="str">
        <f>IFERROR(__xludf.DUMMYFUNCTION("IF(M194="""","""",GOOGLETRANSLATE(M194,""en"",""pt""))"),"As funções incluem colocação de grama em rolo, corte de grama, poda de árvores, arbustos e plantas, plantio de plantas, árvores e arbustos, rega de plantas e gramados, transplante de plantas, fertilização, escavação, rastelagem, instalação de sistemas de "&amp;"irrigação, instalação de iluminação externa e instalação de blocos de concreto pré-moldado sem argamassa. Os trabalhadores podem coletar e remover lixo, operar equipamentos motorizados e dirigir veículos da empresa até os locais dos clientes. Todos os veí"&amp;"culos a serem conduzidos são caminhonetes da empresa, com capacidade de Peso Bruto Total (PBT) inferior a 11.793 kg (26.000 lbs). Os equipamentos motorizados utilizados incluem cortadores de grama, roçadeiras e aparadores. Toda a poda será realizada no so"&amp;"lo. Os trabalhadores não realizarão nenhuma atividade de poda acima do nível do solo. O trabalhador poderá transportar outros trabalhadores de e para os locais de trabalho ocasionalmente, porém essa não será sua função principal. As funções de irrigação i"&amp;"ncluem a instalação de sistemas de irrigação para regar gramados, árvores ou plantas, a coleta e remoção de lixo, a escavação e o preenchimento de valas com ferramentas manuais e o corte de tubos no comprimento desejado, também com ferramentas manuais. Ut"&amp;"ilizam-se métodos de irrigação para ajustar o consumo de água e evitar desperdícios. Realizam-se a manutenção dos sistemas de irrigação, incluindo a preparação para o inverno e a inicialização na primavera. Classificação da Função: 37-3011.00 - Trabalhado"&amp;"res de Paisagismo e Manutenção de Jardins. A classificação e descrição da função/setor incluem informações gerais sobre o cargo, de acordo com o ONET/OES e o Sistema de Classificação Industrial da América do Norte (NAICS). Consulte as Funções e a Ordem de"&amp;" Serviço para obter mais informações. Requisitos da Função: Experiência Necessária: Sim. Meses de Experiência Necessários: 3. Requisitos Especiais: capacidade de levantar 23 kg. Movimentos repetitivos, empurrar/puxar objetos, caminhar bastante, agachar-se"&amp;" com frequência, exposição a temperaturas extremas, carteira de habilitação obrigatória, 3 meses de experiência obrigatórios. Número de Horas por Semana: 40. Horário de Trabalho (Início/Término): 7h. - 16:00")</f>
        <v>As funções incluem colocação de grama em rolo, corte de grama, poda de árvores, arbustos e plantas, plantio de plantas, árvores e arbustos, rega de plantas e gramados, transplante de plantas, fertilização, escavação, rastelagem, instalação de sistemas de irrigação, instalação de iluminação externa e instalação de blocos de concreto pré-moldado sem argamassa. Os trabalhadores podem coletar e remover lixo, operar equipamentos motorizados e dirigir veículos da empresa até os locais dos clientes. Todos os veículos a serem conduzidos são caminhonetes da empresa, com capacidade de Peso Bruto Total (PBT) inferior a 11.793 kg (26.000 lbs). Os equipamentos motorizados utilizados incluem cortadores de grama, roçadeiras e aparadores. Toda a poda será realizada no solo. Os trabalhadores não realizarão nenhuma atividade de poda acima do nível do solo. O trabalhador poderá transportar outros trabalhadores de e para os locais de trabalho ocasionalmente, porém essa não será sua função principal. As funções de irrigação incluem a instalação de sistemas de irrigação para regar gramados, árvores ou plantas, a coleta e remoção de lixo, a escavação e o preenchimento de valas com ferramentas manuais e o corte de tubos no comprimento desejado, também com ferramentas manuais. Utilizam-se métodos de irrigação para ajustar o consumo de água e evitar desperdícios. Realizam-se a manutenção dos sistemas de irrigação, incluindo a preparação para o inverno e a inicialização na primavera. Classificação da Função: 37-3011.00 - Trabalhadores de Paisagismo e Manutenção de Jardins. A classificação e descrição da função/setor incluem informações gerais sobre o cargo, de acordo com o ONET/OES e o Sistema de Classificação Industrial da América do Norte (NAICS). Consulte as Funções e a Ordem de Serviço para obter mais informações. Requisitos da Função: Experiência Necessária: Sim. Meses de Experiência Necessários: 3. Requisitos Especiais: capacidade de levantar 23 kg. Movimentos repetitivos, empurrar/puxar objetos, caminhar bastante, agachar-se com frequência, exposição a temperaturas extremas, carteira de habilitação obrigatória, 3 meses de experiência obrigatórios. Número de Horas por Semana: 40. Horário de Trabalho (Início/Término): 7h. - 16:00</v>
      </c>
    </row>
    <row r="195" ht="20.25" customHeight="1">
      <c r="A195" s="8" t="s">
        <v>1114</v>
      </c>
      <c r="B195" s="8" t="s">
        <v>1115</v>
      </c>
      <c r="C195" s="8" t="s">
        <v>78</v>
      </c>
      <c r="D195" s="8" t="s">
        <v>102</v>
      </c>
      <c r="E195" s="9" t="s">
        <v>19</v>
      </c>
      <c r="F195" s="9" t="s">
        <v>20</v>
      </c>
      <c r="G195" s="9" t="s">
        <v>377</v>
      </c>
      <c r="H195" s="8" t="s">
        <v>1116</v>
      </c>
      <c r="I195" s="8" t="s">
        <v>1117</v>
      </c>
      <c r="J195" s="9">
        <v>12.39</v>
      </c>
      <c r="K195" s="9">
        <v>9.0</v>
      </c>
      <c r="L195" s="8" t="s">
        <v>105</v>
      </c>
      <c r="M195" s="8" t="s">
        <v>1118</v>
      </c>
      <c r="N195" s="7" t="str">
        <f>IFERROR(__xludf.DUMMYFUNCTION("GOOGLETRANSLATE(L195, ""en"", ""pt"")"),"Abridores de Ostras")</f>
        <v>Abridores de Ostras</v>
      </c>
      <c r="O195" s="7" t="str">
        <f>IFERROR(__xludf.DUMMYFUNCTION("IF(M195="""","""",GOOGLETRANSLATE(M195,""en"",""pt""))"),"As funções podem incluir: A falta ou atraso na entrega de frutos do mar no cais pode resultar em atrasos/paralisação. Um breve período de treinamento em serviço ensinará aos novos contratados as habilidades necessárias: usar facas ou outros equipamentos. "&amp;"Possíveis tarefas: cortar e aparar. Sentar e abrir ostras (para o nosso restaurante) em um balde usando faca e espátula; pesar as ostras e outras atividades relacionadas à abertura de ostras, conforme SOC/OES 51-3022 (onetonline.org). Horário padrão/esper"&amp;"ado: Segunda a sexta, das 6h às 14h. Oferecemos mais de 35 horas por semana, sem incluir almoço e/ou intervalos. Possibilidade de trabalho nos fins de semana e feriados. Os horários de início e término, a carga horária e/ou horas extras podem variar, pois"&amp;" dependem de outros fatores, como necessidades do projeto/cronograma/serviço, clima e tempo de deslocamento entre os locais de trabalho (se aplicável). Horas extras são possíveis, mas não obrigatórias ou garantidas. A critério exclusivo do empregador: pos"&amp;"síveis aumentos e/ou bônus com base em fatores individuais, como desempenho no trabalho ou habilidades (não garantidos). Moradia compartilhada opcional disponível sem custo para o trabalhador. Classificação do Cargo: 51-3022.00 - Cortadores e Aparadores d"&amp;"e Carne, Aves e Peixes. A classificação e descrição do cargo/setor incluem informações gerais sobre a posição, de acordo com o ONET/OES e o Sistema de Classificação Industrial da América do Norte. Consulte as Funções e a Ordem de Serviço para obter mais i"&amp;"nformações. Requisitos do Cargo Experiência Necessária: Não. Requisitos Especiais: É necessário ter 18 anos devido ao seguro. É necessário apresentar comprovante de autorização legal para trabalhar nos Estados Unidos. Ambiente de trabalho livre de drogas,"&amp;" álcool e tabaco. Executar atividades físicas, como levantar, equilibrar-se, caminhar, abaixar-se, manusear, posicionar, mover e manipular materiais, utilizando força estática para exercer força muscular máxima para levantar, empurrar, puxar e carregar ob"&amp;"jetos de até 23 kg. Todos os candidatos devem ser capazes, dispostos e qualificados para executar o trabalho descrito e devem estar disponíveis durante todo o período especificado. A entrega e a disponibilidade de frutos do mar provenientes da pesca podem"&amp;" resultar em eventuais interrupções devido às condições climáticas. Número de horas por semana: 35. Horário de trabalho (início/término): 6h às 14h.")</f>
        <v>As funções podem incluir: A falta ou atraso na entrega de frutos do mar no cais pode resultar em atrasos/paralisação. Um breve período de treinamento em serviço ensinará aos novos contratados as habilidades necessárias: usar facas ou outros equipamentos. Possíveis tarefas: cortar e aparar. Sentar e abrir ostras (para o nosso restaurante) em um balde usando faca e espátula; pesar as ostras e outras atividades relacionadas à abertura de ostras, conforme SOC/OES 51-3022 (onetonline.org). Horário padrão/esperado: Segunda a sexta, das 6h às 14h. Oferecemos mais de 35 horas por semana, sem incluir almoço e/ou intervalos. Possibilidade de trabalho nos fins de semana e feriados. Os horários de início e término, a carga horária e/ou horas extras podem variar, pois dependem de outros fatores, como necessidades do projeto/cronograma/serviço, clima e tempo de deslocamento entre os locais de trabalho (se aplicável). Horas extras são possíveis, mas não obrigatórias ou garantidas. A critério exclusivo do empregador: possíveis aumentos e/ou bônus com base em fatores individuais, como desempenho no trabalho ou habilidades (não garantidos). Moradia compartilhada opcional disponível sem custo para o trabalhador. Classificação do Cargo: 51-3022.00 - Cortadores e Aparadores de Carne, Aves e Peixes. A classificação e descrição do cargo/setor incluem informações gerais sobre a posição, de acordo com o ONET/OES e o Sistema de Classificação Industrial da América do Norte. Consulte as Funções e a Ordem de Serviço para obter mais informações. Requisitos do Cargo Experiência Necessária: Não. Requisitos Especiais: É necessário ter 18 anos devido ao seguro. É necessário apresentar comprovante de autorização legal para trabalhar nos Estados Unidos. Ambiente de trabalho livre de drogas, álcool e tabaco. Executar atividades físicas, como levantar, equilibrar-se, caminhar, abaixar-se, manusear, posicionar, mover e manipular materiais, utilizando força estática para exercer força muscular máxima para levantar, empurrar, puxar e carregar objetos de até 23 kg. Todos os candidatos devem ser capazes, dispostos e qualificados para executar o trabalho descrito e devem estar disponíveis durante todo o período especificado. A entrega e a disponibilidade de frutos do mar provenientes da pesca podem resultar em eventuais interrupções devido às condições climáticas. Número de horas por semana: 35. Horário de trabalho (início/término): 6h às 14h.</v>
      </c>
    </row>
    <row r="196" ht="20.25" customHeight="1">
      <c r="A196" s="3" t="s">
        <v>1119</v>
      </c>
      <c r="B196" s="3" t="s">
        <v>1120</v>
      </c>
      <c r="C196" s="3" t="s">
        <v>125</v>
      </c>
      <c r="D196" s="3" t="s">
        <v>18</v>
      </c>
      <c r="E196" s="4" t="s">
        <v>19</v>
      </c>
      <c r="F196" s="4" t="s">
        <v>20</v>
      </c>
      <c r="G196" s="4" t="s">
        <v>307</v>
      </c>
      <c r="H196" s="3" t="s">
        <v>1121</v>
      </c>
      <c r="I196" s="3" t="s">
        <v>1122</v>
      </c>
      <c r="J196" s="4">
        <v>20.09</v>
      </c>
      <c r="K196" s="4">
        <v>7.0</v>
      </c>
      <c r="L196" s="3" t="s">
        <v>262</v>
      </c>
      <c r="M196" s="3" t="s">
        <v>1123</v>
      </c>
      <c r="N196" s="7" t="str">
        <f>IFERROR(__xludf.DUMMYFUNCTION("GOOGLETRANSLATE(L196, ""en"", ""pt"")"),"Operário da construção civil")</f>
        <v>Operário da construção civil</v>
      </c>
      <c r="O196" s="7" t="str">
        <f>IFERROR(__xludf.DUMMYFUNCTION("IF(M196="""","""",GOOGLETRANSLATE(M196,""en"",""pt""))"),"Executar tarefas que envolvam trabalho físico em canteiros de obras. Operar ferramentas manuais e elétricas de todos os tipos: martelos pneumáticos, compactadores de solo, betoneiras, pequenos guindastes mecânicos, equipamentos de topografia e medição, e "&amp;"uma variedade de outros equipamentos e instrumentos. Limpar e preparar locais, cavar valas, instalar escoras para sustentar as laterais das escavações, montar andaimes e limpar entulhos, detritos e outros resíduos. Auxiliar outros trabalhadores especializ"&amp;"ados. Os trabalhadores podem auxiliar outros trabalhadores especializados na preparação dos locais de trabalho; coletando, carregando, descarregando e transportando ferramentas, materiais e equipamentos; limpando áreas de trabalho; e executando tarefas ma"&amp;"nuais associadas a projetos de construção. Utilizar ferramentas manuais comuns e ferramentas elétricas básicas, incluindo pás, ancinhos, carrinhos de mão, vassouras, furadeiras, compactadores, níveis e instrumentos de medição. Os materiais manuseados pode"&amp;"m incluir madeira, fôrmas de concreto, cascalho, areia, cimento, concreto, vergalhões, tubos e outros materiais de construção comuns. Classificação da Função: 47-2061.00 - Auxiliares de Construção Civil. A classificação e descrição da função/setor inclui "&amp;"informações gerais sobre o cargo, conforme o ONET/OES e o Sistema de Classificação Industrial da América do Norte (NAICS). Consulte as Funções e a Ordem de Serviço para obter mais informações. Requisitos da Função: Experiência Necessária: Não. Requisitos "&amp;"Especiais: Capacidade de levantar 34 kg, realizar movimentos repetitivos, empurrar/puxar com frequência, caminhar bastante, agachar-se frequentemente e estar exposto a temperaturas extremas. Número de Horas por Semana: 40. Horário de Trabalho (Início/Térm"&amp;"ino): 7h às 16h.")</f>
        <v>Executar tarefas que envolvam trabalho físico em canteiros de obras. Operar ferramentas manuais e elétricas de todos os tipos: martelos pneumáticos, compactadores de solo, betoneiras, pequenos guindastes mecânicos, equipamentos de topografia e medição, e uma variedade de outros equipamentos e instrumentos. Limpar e preparar locais, cavar valas, instalar escoras para sustentar as laterais das escavações, montar andaimes e limpar entulhos, detritos e outros resíduos. Auxiliar outros trabalhadores especializados. Os trabalhadores podem auxiliar outros trabalhadores especializados na preparação dos locais de trabalho; coletando, carregando, descarregando e transportando ferramentas, materiais e equipamentos; limpando áreas de trabalho; e executando tarefas manuais associadas a projetos de construção. Utilizar ferramentas manuais comuns e ferramentas elétricas básicas, incluindo pás, ancinhos, carrinhos de mão, vassouras, furadeiras, compactadores, níveis e instrumentos de medição. Os materiais manuseados podem incluir madeira, fôrmas de concreto, cascalho, areia, cimento, concreto, vergalhões, tubos e outros materiais de construção comuns. Classificação da Função: 47-2061.00 - Auxiliares de Construção Civil. A classificação e descrição da função/setor inclui informações gerais sobre o cargo, conforme o ONET/OES e o Sistema de Classificação Industrial da América do Norte (NAICS). Consulte as Funções e a Ordem de Serviço para obter mais informações. Requisitos da Função: Experiência Necessária: Não. Requisitos Especiais: Capacidade de levantar 34 kg, realizar movimentos repetitivos, empurrar/puxar com frequência, caminhar bastante, agachar-se frequentemente e estar exposto a temperaturas extremas. Número de Horas por Semana: 40. Horário de Trabalho (Início/Término): 7h às 16h.</v>
      </c>
    </row>
    <row r="197" ht="20.25" customHeight="1">
      <c r="A197" s="8" t="s">
        <v>1124</v>
      </c>
      <c r="B197" s="8" t="s">
        <v>1125</v>
      </c>
      <c r="C197" s="8" t="s">
        <v>125</v>
      </c>
      <c r="D197" s="8" t="s">
        <v>55</v>
      </c>
      <c r="E197" s="9" t="s">
        <v>19</v>
      </c>
      <c r="F197" s="9" t="s">
        <v>20</v>
      </c>
      <c r="G197" s="9" t="s">
        <v>146</v>
      </c>
      <c r="H197" s="8" t="s">
        <v>1126</v>
      </c>
      <c r="I197" s="8" t="s">
        <v>1127</v>
      </c>
      <c r="J197" s="9">
        <v>18.31</v>
      </c>
      <c r="K197" s="9">
        <v>6.0</v>
      </c>
      <c r="L197" s="8" t="s">
        <v>129</v>
      </c>
      <c r="M197" s="8" t="s">
        <v>1128</v>
      </c>
      <c r="N197" s="7" t="str">
        <f>IFERROR(__xludf.DUMMYFUNCTION("GOOGLETRANSLATE(L197, ""en"", ""pt"")"),"Trabalhador de paisagismo e manutenção de jardins")</f>
        <v>Trabalhador de paisagismo e manutenção de jardins</v>
      </c>
      <c r="O197" s="7" t="str">
        <f>IFERROR(__xludf.DUMMYFUNCTION("IF(M197="""","""",GOOGLETRANSLATE(M197,""en"",""pt""))"),"As funções incluem a instalação de árvores, arbustos ou flores durante o período de dormência, seguindo o padrão de design apropriado. Isso inclui descarregar materiais, cavar buracos para o sistema radicular, cobrir os buracos adequadamente e, às vezes, "&amp;"colocar grama em placas, plantar sementes de grama ou conectar a irrigação. Também envolve a remoção de folhas, plantio de sementes e palha, aeração do gramado, plantio de arbustos, escavação, rastelagem e instalação de blocos de concreto pré-moldados sem"&amp;" argamassa. Os trabalhadores podem coletar e remover lixo, regar gramados, árvores e plantas semeadas, além de podar árvores, arbustos ou sebes. Podem operar equipamentos motorizados e dirigir veículos até os locais dos clientes. As tarefas podem incluir "&amp;"colocação de grama em placas, corte de grama, rega de plantas e gramados, transplante de plantas, fertilização, escavação, rastelagem e instalação de aspersores. Os funcionários cavarão valas com no máximo 15 a 30 cm de profundidade e 15 a 30 cm de largur"&amp;"a com pás e ferramentas manuais. Essas valas são usadas para acomodar a tubulação utilizada na instalação de sistemas de irrigação. Toda a poda/aparamento será feita no solo. Os trabalhadores não realizarão nenhuma atividade de poda ou corte acima do níve"&amp;"l do solo. O trabalhador poderá transportar outros trabalhadores de e para os locais de trabalho ocasionalmente, porém essa não será sua principal função. Os trabalhadores poderão operar equipamentos motorizados de jardinagem, incluindo cortadores de gram"&amp;"a, aparadores de borda, sopradores, roçadeiras, roçadeiras de jardim, pequenos tratores e equipamentos similares. Os trabalhadores poderão dirigir caminhonetes e outros veículos leves da empresa para ir e voltar dos locais de trabalho dos clientes. Os tra"&amp;"balhadores poderão ocasionalmente transportar outros trabalhadores de e para os locais de trabalho; no entanto, o transporte de trabalhadores não é uma função principal. Os trabalhadores também poderão ocasionalmente transportar materiais, ferramentas e e"&amp;"quipamentos de jardinagem de e para os locais de trabalho, incluindo cobertura morta, plantas em vasos, pás, ancinhos, cortadores de grama, sopradores e roçadeiras de jardim. Nenhum material perigoso será transportado pelos trabalhadores. Todos os veículo"&amp;"s e equipamentos operados têm peso bruto total inferior a 26.000 libras (aproximadamente 11.800 kg), incluindo quaisquer reboques acoplados ou materiais transportados. Classificação da Função: 37-3011.00 - Trabalhadores de Paisagismo e Manutenção de Jardi"&amp;"ns. A classificação e descrição da função/setor inclui informações gerais sobre o cargo, de acordo com o ONET/OES e o Sistema de Classificação Industrial da América do Norte (NAICS). Consulte as Funções e a Ordem de Serviço para obter mais informações. Re"&amp;"quisitos da Função Experiência Necessária: Não. Requisitos Especiais: Capacidade de levantar 23 kg, realizar movimentos repetitivos, empurrar/puxar com frequência, caminhar bastante, agachar-se frequentemente e estar exposto a temperaturas extremas. Carte"&amp;"ira de habilitação válida é obrigatória. Número de Horas por Semana: 40. Horário de Trabalho (Início/Término): 7h às 16h.")</f>
        <v>As funções incluem a instalação de árvores, arbustos ou flores durante o período de dormência, seguindo o padrão de design apropriado. Isso inclui descarregar materiais, cavar buracos para o sistema radicular, cobrir os buracos adequadamente e, às vezes, colocar grama em placas, plantar sementes de grama ou conectar a irrigação. Também envolve a remoção de folhas, plantio de sementes e palha, aeração do gramado, plantio de arbustos, escavação, rastelagem e instalação de blocos de concreto pré-moldados sem argamassa. Os trabalhadores podem coletar e remover lixo, regar gramados, árvores e plantas semeadas, além de podar árvores, arbustos ou sebes. Podem operar equipamentos motorizados e dirigir veículos até os locais dos clientes. As tarefas podem incluir colocação de grama em placas, corte de grama, rega de plantas e gramados, transplante de plantas, fertilização, escavação, rastelagem e instalação de aspersores. Os funcionários cavarão valas com no máximo 15 a 30 cm de profundidade e 15 a 30 cm de largura com pás e ferramentas manuais. Essas valas são usadas para acomodar a tubulação utilizada na instalação de sistemas de irrigação. Toda a poda/aparamento será feita no solo. Os trabalhadores não realizarão nenhuma atividade de poda ou corte acima do nível do solo. O trabalhador poderá transportar outros trabalhadores de e para os locais de trabalho ocasionalmente, porém essa não será sua principal função. Os trabalhadores poderão operar equipamentos motorizados de jardinagem, incluindo cortadores de grama, aparadores de borda, sopradores, roçadeiras, roçadeiras de jardim, pequenos tratores e equipamentos similares. Os trabalhadores poderão dirigir caminhonetes e outros veículos leves da empresa para ir e voltar dos locais de trabalho dos clientes. Os trabalhadores poderão ocasionalmente transportar outros trabalhadores de e para os locais de trabalho; no entanto, o transporte de trabalhadores não é uma função principal. Os trabalhadores também poderão ocasionalmente transportar materiais, ferramentas e equipamentos de jardinagem de e para os locais de trabalho, incluindo cobertura morta, plantas em vasos, pás, ancinhos, cortadores de grama, sopradores e roçadeiras de jardim. Nenhum material perigoso será transportado pelos trabalhadores. Todos os veículos e equipamentos operados têm peso bruto total inferior a 26.000 libras (aproximadamente 11.800 kg), incluindo quaisquer reboques acoplados ou materiais transportados. Classificação da Função: 37-3011.00 - Trabalhadores de Paisagismo e Manutenção de Jardins. A classificação e descrição da função/setor inclui informações gerais sobre o cargo, de acordo com o ONET/OES e o Sistema de Classificação Industrial da América do Norte (NAICS). Consulte as Funções e a Ordem de Serviço para obter mais informações. Requisitos da Função Experiência Necessária: Não. Requisitos Especiais: Capacidade de levantar 23 kg, realizar movimentos repetitivos, empurrar/puxar com frequência, caminhar bastante, agachar-se frequentemente e estar exposto a temperaturas extremas. Carteira de habilitação válida é obrigatória. Número de Horas por Semana: 40. Horário de Trabalho (Início/Término): 7h às 16h.</v>
      </c>
    </row>
    <row r="198" ht="20.25" customHeight="1">
      <c r="A198" s="3" t="s">
        <v>1129</v>
      </c>
      <c r="B198" s="3" t="s">
        <v>1130</v>
      </c>
      <c r="C198" s="3" t="s">
        <v>1131</v>
      </c>
      <c r="D198" s="3" t="s">
        <v>1132</v>
      </c>
      <c r="E198" s="4" t="s">
        <v>19</v>
      </c>
      <c r="F198" s="4" t="s">
        <v>20</v>
      </c>
      <c r="G198" s="4" t="s">
        <v>118</v>
      </c>
      <c r="H198" s="3" t="s">
        <v>1133</v>
      </c>
      <c r="I198" s="3" t="s">
        <v>1134</v>
      </c>
      <c r="J198" s="4">
        <v>12.87</v>
      </c>
      <c r="K198" s="4">
        <v>4.0</v>
      </c>
      <c r="L198" s="3" t="s">
        <v>354</v>
      </c>
      <c r="M198" s="3" t="s">
        <v>1135</v>
      </c>
      <c r="N198" s="7" t="str">
        <f>IFERROR(__xludf.DUMMYFUNCTION("GOOGLETRANSLATE(L198, ""en"", ""pt"")"),"Governanta")</f>
        <v>Governanta</v>
      </c>
      <c r="O198" s="7" t="str">
        <f>IFERROR(__xludf.DUMMYFUNCTION("IF(M198="""","""",GOOGLETRANSLATE(M198,""en"",""pt""))"),"As funções incluem, mas não se limitam a: trocar toda a roupa de cama e toalhas dos quartos de hóspedes, limpar cozinhas e banheiros, tirar o pó, varrer, aspirar e lavar o chão, e repor todos os itens de cortesia para os hóspedes que chegam. Limpar e orga"&amp;"nizar as áreas comuns e lavar a roupa de cama e toalhas sujas. Classificação da vaga: 37-2012.00 - Camareiras e Auxiliares de Limpeza. A classificação e descrição da vaga/setor inclui informações gerais sobre o cargo, de acordo com o ONET/OES e o Sistema "&amp;"de Classificação Industrial da América do Norte. Consulte a Descrição das Funções e a Ordem de Serviço para obter mais informações. Requisitos da vaga: Experiência exigida: Não. Requisitos especiais: Deve ser capaz de levantar/carregar 23 kg, quando neces"&amp;"sário. Trabalho aos sábados e domingos, quando necessário. Teste antidrogas pós-admissional obrigatório para todos os funcionários, nacionais e estrangeiros, de forma aleatória e em caso de acidente. Número de horas por semana: 35. Horário de trabalho (in"&amp;"ício/término): 10h às 17h.")</f>
        <v>As funções incluem, mas não se limitam a: trocar toda a roupa de cama e toalhas dos quartos de hóspedes, limpar cozinhas e banheiros, tirar o pó, varrer, aspirar e lavar o chão, e repor todos os itens de cortesia para os hóspedes que chegam. Limpar e organizar as áreas comuns e lavar a roupa de cama e toalhas sujas. Classificação da vaga: 37-2012.00 - Camareiras e Auxiliares de Limpeza. A classificação e descrição da vaga/setor inclui informações gerais sobre o cargo, de acordo com o ONET/OES e o Sistema de Classificação Industrial da América do Norte. Consulte a Descrição das Funções e a Ordem de Serviço para obter mais informações. Requisitos da vaga: Experiência exigida: Não. Requisitos especiais: Deve ser capaz de levantar/carregar 23 kg, quando necessário. Trabalho aos sábados e domingos, quando necessário. Teste antidrogas pós-admissional obrigatório para todos os funcionários, nacionais e estrangeiros, de forma aleatória e em caso de acidente. Número de horas por semana: 35. Horário de trabalho (início/término): 10h às 17h.</v>
      </c>
    </row>
    <row r="199" ht="20.25" customHeight="1">
      <c r="A199" s="8" t="s">
        <v>1136</v>
      </c>
      <c r="B199" s="8" t="s">
        <v>1137</v>
      </c>
      <c r="C199" s="8" t="s">
        <v>78</v>
      </c>
      <c r="D199" s="8" t="s">
        <v>79</v>
      </c>
      <c r="E199" s="9" t="s">
        <v>19</v>
      </c>
      <c r="F199" s="9" t="s">
        <v>20</v>
      </c>
      <c r="G199" s="9" t="s">
        <v>377</v>
      </c>
      <c r="H199" s="8" t="s">
        <v>1138</v>
      </c>
      <c r="I199" s="8" t="s">
        <v>1139</v>
      </c>
      <c r="J199" s="9">
        <v>20.59</v>
      </c>
      <c r="K199" s="9">
        <v>50.0</v>
      </c>
      <c r="L199" s="8" t="s">
        <v>1140</v>
      </c>
      <c r="M199" s="8" t="s">
        <v>1141</v>
      </c>
      <c r="N199" s="7" t="str">
        <f>IFERROR(__xludf.DUMMYFUNCTION("GOOGLETRANSLATE(L199, ""en"", ""pt"")"),"Trabalhadores Florestais")</f>
        <v>Trabalhadores Florestais</v>
      </c>
      <c r="O199" s="7" t="str">
        <f>IFERROR(__xludf.DUMMYFUNCTION("IF(M199="""","""",GOOGLETRANSLATE(M199,""en"",""pt""))"),"As funções podem incluir: sob supervisão, realizar trabalhos manuais necessários para a manutenção e proteção de áreas florestais e florestas; plantar mudas para reflorestamento, capturar animais, plantar árvores, marcar árvores, cavar covas para mudas, c"&amp;"ompactar o solo ao redor das mudas com ferramenta de plantio e garantir a manutenção protetora das mudas por meio de pulverização/limpeza/desbaste/corte da vegetação circundante. Executar outras tarefas, incluindo trabalho com serra para corte de vegetaçã"&amp;"o rasteira em áreas pré-comerciais. SOB A DIREÇÃO DE OFICIAIS DE COMBATE A INCÊNDIOS OU TÉCNICOS FLORESTAIS: descarte de vegetação rasteira e abertura de aceiros/construção de barreiras contra incêndio e outras atividades relacionadas a trabalhadores flor"&amp;"estais, conforme SOC/OES 45-4011 (onetonline.org). Horário padrão/esperado: segunda a sexta, das 7h às 14h. Oferecendo 35 horas ou mais por semana; sem incluir almoço e/ou intervalos. Possibilidade de trabalho em fins de semana/feriados. Os horários de in"&amp;"ício e término, a carga horária oferecida e/ou a possibilidade de horas extras podem variar, pois dependem de fatores como necessidades do projeto/cronograma/serviço, condições climáticas e tempo de deslocamento entre os locais de trabalho (se aplicável)."&amp;" Horas extras são possíveis, mas não obrigatórias nem garantidas. A critério exclusivo do empregador: aumentos salariais e/ou bônus podem ser concedidos com base em fatores individuais, como desempenho ou habilidades (não garantidos). Moradia compartilhad"&amp;"a opcional disponível sem custo para o trabalhador. Classificação da vaga: 45-4011.00 - Trabalhadores Florestais e de Conservação. A classificação e a descrição da vaga/setor incluem informações gerais sobre o cargo, conforme o ONET/OES e o Sistema de Cla"&amp;"ssificação Industrial da América do Norte. Consulte as Funções e a Ordem de Serviço para obter mais informações. Requisitos da vaga: Experiência exigida: Sim. Meses de experiência exigidos: 3. Requisitos especiais: É necessário ter 18 anos devido a contra"&amp;"tos governamentais. É necessário comprovar autorização legal para trabalhar nos Estados Unidos. Ambiente de trabalho livre de drogas, álcool e tabaco. É necessário caminhar bastante (até 24 km/dia), além de se abaixar e se curvar carregando uma mochila (a"&amp;"té 23 kg) em terrenos acidentados (fora de trilhas). Todos os candidatos devem ser capazes, dispostos e qualificados para realizar o trabalho descrito e devem estar disponíveis durante todo o período especificado e trabalhar em todas as áreas da vaga. O t"&amp;"rabalho é realizado ao ar livre, exposto às intempéries; o candidato deve ser capaz de realizar trabalho fisicamente extenuante por longos períodos, ocasionalmente em calor ou frio extremos. As condições climáticas são variáveis; a carga horária pode sofr"&amp;"er alterações, com possibilidade de períodos de inatividade e/ou horas extras. Número de horas por semana: 35. Horário de trabalho (início/término): 7h às 14h.")</f>
        <v>As funções podem incluir: sob supervisão, realizar trabalhos manuais necessários para a manutenção e proteção de áreas florestais e florestas; plantar mudas para reflorestamento, capturar animais, plantar árvores, marcar árvores, cavar covas para mudas, compactar o solo ao redor das mudas com ferramenta de plantio e garantir a manutenção protetora das mudas por meio de pulverização/limpeza/desbaste/corte da vegetação circundante. Executar outras tarefas, incluindo trabalho com serra para corte de vegetação rasteira em áreas pré-comerciais. SOB A DIREÇÃO DE OFICIAIS DE COMBATE A INCÊNDIOS OU TÉCNICOS FLORESTAIS: descarte de vegetação rasteira e abertura de aceiros/construção de barreiras contra incêndio e outras atividades relacionadas a trabalhadores florestais, conforme SOC/OES 45-4011 (onetonline.org). Horário padrão/esperado: segunda a sexta, das 7h às 14h. Oferecendo 35 horas ou mais por semana; sem incluir almoço e/ou intervalos. Possibilidade de trabalho em fins de semana/feriados. Os horários de início e término, a carga horária oferecida e/ou a possibilidade de horas extras podem variar, pois dependem de fatores como necessidades do projeto/cronograma/serviço, condições climáticas e tempo de deslocamento entre os locais de trabalho (se aplicável). Horas extras são possíveis, mas não obrigatórias nem garantidas. A critério exclusivo do empregador: aumentos salariais e/ou bônus podem ser concedidos com base em fatores individuais, como desempenho ou habilidades (não garantidos). Moradia compartilhada opcional disponível sem custo para o trabalhador. Classificação da vaga: 45-4011.00 - Trabalhadores Florestais e de Conservação. A classificação e a descrição da vaga/setor incluem informações gerais sobre o cargo, conforme o ONET/OES e o Sistema de Classificação Industrial da América do Norte. Consulte as Funções e a Ordem de Serviço para obter mais informações. Requisitos da vaga: Experiência exigida: Sim. Meses de experiência exigidos: 3. Requisitos especiais: É necessário ter 18 anos devido a contratos governamentais. É necessário comprovar autorização legal para trabalhar nos Estados Unidos. Ambiente de trabalho livre de drogas, álcool e tabaco. É necessário caminhar bastante (até 24 km/dia), além de se abaixar e se curvar carregando uma mochila (até 23 kg) em terrenos acidentados (fora de trilhas). Todos os candidatos devem ser capazes, dispostos e qualificados para realizar o trabalho descrito e devem estar disponíveis durante todo o período especificado e trabalhar em todas as áreas da vaga. O trabalho é realizado ao ar livre, exposto às intempéries; o candidato deve ser capaz de realizar trabalho fisicamente extenuante por longos períodos, ocasionalmente em calor ou frio extremos. As condições climáticas são variáveis; a carga horária pode sofrer alterações, com possibilidade de períodos de inatividade e/ou horas extras. Número de horas por semana: 35. Horário de trabalho (início/término): 7h às 14h.</v>
      </c>
    </row>
    <row r="200" ht="20.25" customHeight="1">
      <c r="A200" s="3" t="s">
        <v>1142</v>
      </c>
      <c r="B200" s="3" t="s">
        <v>1143</v>
      </c>
      <c r="C200" s="3" t="s">
        <v>125</v>
      </c>
      <c r="D200" s="3" t="s">
        <v>344</v>
      </c>
      <c r="E200" s="4" t="s">
        <v>19</v>
      </c>
      <c r="F200" s="4" t="s">
        <v>20</v>
      </c>
      <c r="G200" s="4" t="s">
        <v>1058</v>
      </c>
      <c r="H200" s="3" t="s">
        <v>1144</v>
      </c>
      <c r="I200" s="3" t="s">
        <v>1145</v>
      </c>
      <c r="J200" s="4">
        <v>21.6</v>
      </c>
      <c r="K200" s="4">
        <v>15.0</v>
      </c>
      <c r="L200" s="3" t="s">
        <v>1146</v>
      </c>
      <c r="M200" s="3" t="s">
        <v>1147</v>
      </c>
      <c r="N200" s="7" t="str">
        <f>IFERROR(__xludf.DUMMYFUNCTION("GOOGLETRANSLATE(L200, ""en"", ""pt"")"),"Operador/amarrador")</f>
        <v>Operador/amarrador</v>
      </c>
      <c r="O200" s="7" t="str">
        <f>IFERROR(__xludf.DUMMYFUNCTION("IF(M200="""","""",GOOGLETRANSLATE(M200,""en"",""pt""))"),"Operar ou supervisionar máquinas para preparar produtos industriais ou de consumo para armazenamento ou expedição. Operar e monitorar o equipamento de cintagem, bem como a colocação e contagem das etiquetas de amarração. Realizar ajustes, reparos e manute"&amp;"nção de rotina no equipamento de cintagem. Identificar todos os produtos e suas especificações de embalagem, incluindo padrões de cintagem, requisitos de embalagem de madeira, folhas intermediárias e folhas superiores. Garantir a qualidade e a integridade"&amp;" de todos os pacotes cintados. Realizar a verificação final de controle de qualidade antes que o produto saia da fábrica. Anexar as etiquetas de amarração adequadas. O funcionário realiza ajustes, reparos e manutenção de rotina no equipamento de cintagem "&amp;"usado para fixar produtos para manuseio, armazenamento ou expedição. As tarefas específicas incluem: Monitorar as máquinas de cintar durante a operação para garantir o alinhamento, a tensão e a selagem adequados da fita; ajustar as configurações da máquin"&amp;"a, como tensão da fita, comprimento de alimentação e controles de aquecimento/selagem, com base no tamanho do produto e nos requisitos de embalagem; desobstruir equipamentos presos e remover materiais de cintar mal alimentados, torcidos ou quebrados; subs"&amp;"tituir componentes consumíveis, como bobinas de cintar, guias, cortadores e cabeçotes de selagem; inspecionar as máquinas antes, durante e após a operação para identificar desgaste, desalinhamento ou mau funcionamento; realizar manutenção preventiva de ro"&amp;"tina, incluindo limpeza de detritos, lubrificação de peças móveis e aperto de parafusos; usar ferramentas manuais básicas, como paquímetros, chaves, alicates, chaves de fenda e ferramentas de ajuste para realizar pequenos reparos; auxiliar na manutenção d"&amp;"a operação contínua do equipamento, fazendo ajustes em tempo real; relatar aos supervisores as falhas do equipamento que exigem reparo avançado; manter registros simples de produção e manutenção. As ferramentas e equipamentos que os trabalhadores utilizar"&amp;"ão são máquinas de cintar automáticas ou semiautomáticas Signode e Stonepack, materiais de cintagem (fitas de plástico ou aço, fivelas, lacres), ferramentas manuais básicas (chaves, chaves de fenda, alicates, cortadores), materiais de limpeza e lubrifican"&amp;"tes, equipamentos de proteção individual (luvas, óculos de segurança). Classificação da função: 51-9111.00 - Operadores e Auxiliares de Máquinas de Embalagem e Enchimento. A classificação e descrição da função/setor inclui informações gerais sobre o cargo"&amp;", de acordo com o ONET/OES e o Sistema de Classificação Industrial da América do Norte (NAICS). Consulte as Funções e a Ordem de Serviço para obter mais informações. Requisitos da função: Experiência necessária: Não. Requisitos especiais: Deve ser capaz d"&amp;"e levantar e alcançar 23 kg. Requer a capacidade de realizar trabalhos com as mãos e/ou braços em movimentos repetitivos acima e abaixo do nível do ombro, empurrar/puxar extensivamente, ficar em pé por longos períodos e agachar-se com frequência. Número d"&amp;"e horas por semana: 40. Horário de trabalho (início/término): 7h. - 16:00")</f>
        <v>Operar ou supervisionar máquinas para preparar produtos industriais ou de consumo para armazenamento ou expedição. Operar e monitorar o equipamento de cintagem, bem como a colocação e contagem das etiquetas de amarração. Realizar ajustes, reparos e manutenção de rotina no equipamento de cintagem. Identificar todos os produtos e suas especificações de embalagem, incluindo padrões de cintagem, requisitos de embalagem de madeira, folhas intermediárias e folhas superiores. Garantir a qualidade e a integridade de todos os pacotes cintados. Realizar a verificação final de controle de qualidade antes que o produto saia da fábrica. Anexar as etiquetas de amarração adequadas. O funcionário realiza ajustes, reparos e manutenção de rotina no equipamento de cintagem usado para fixar produtos para manuseio, armazenamento ou expedição. As tarefas específicas incluem: Monitorar as máquinas de cintar durante a operação para garantir o alinhamento, a tensão e a selagem adequados da fita; ajustar as configurações da máquina, como tensão da fita, comprimento de alimentação e controles de aquecimento/selagem, com base no tamanho do produto e nos requisitos de embalagem; desobstruir equipamentos presos e remover materiais de cintar mal alimentados, torcidos ou quebrados; substituir componentes consumíveis, como bobinas de cintar, guias, cortadores e cabeçotes de selagem; inspecionar as máquinas antes, durante e após a operação para identificar desgaste, desalinhamento ou mau funcionamento; realizar manutenção preventiva de rotina, incluindo limpeza de detritos, lubrificação de peças móveis e aperto de parafusos; usar ferramentas manuais básicas, como paquímetros, chaves, alicates, chaves de fenda e ferramentas de ajuste para realizar pequenos reparos; auxiliar na manutenção da operação contínua do equipamento, fazendo ajustes em tempo real; relatar aos supervisores as falhas do equipamento que exigem reparo avançado; manter registros simples de produção e manutenção. As ferramentas e equipamentos que os trabalhadores utilizarão são máquinas de cintar automáticas ou semiautomáticas Signode e Stonepack, materiais de cintagem (fitas de plástico ou aço, fivelas, lacres), ferramentas manuais básicas (chaves, chaves de fenda, alicates, cortadores), materiais de limpeza e lubrificantes, equipamentos de proteção individual (luvas, óculos de segurança). Classificação da função: 51-9111.00 - Operadores e Auxiliares de Máquinas de Embalagem e Enchimento. A classificação e descrição da função/setor inclui informações gerais sobre o cargo, de acordo com o ONET/OES e o Sistema de Classificação Industrial da América do Norte (NAICS). Consulte as Funções e a Ordem de Serviço para obter mais informações. Requisitos da função: Experiência necessária: Não. Requisitos especiais: Deve ser capaz de levantar e alcançar 23 kg. Requer a capacidade de realizar trabalhos com as mãos e/ou braços em movimentos repetitivos acima e abaixo do nível do ombro, empurrar/puxar extensivamente, ficar em pé por longos períodos e agachar-se com frequência. Número de horas por semana: 40. Horário de trabalho (início/término): 7h. - 16:00</v>
      </c>
    </row>
    <row r="201" ht="20.25" customHeight="1">
      <c r="A201" s="8" t="s">
        <v>1148</v>
      </c>
      <c r="B201" s="8" t="s">
        <v>1149</v>
      </c>
      <c r="C201" s="8" t="s">
        <v>78</v>
      </c>
      <c r="D201" s="8" t="s">
        <v>79</v>
      </c>
      <c r="E201" s="9" t="s">
        <v>19</v>
      </c>
      <c r="F201" s="9" t="s">
        <v>20</v>
      </c>
      <c r="G201" s="9" t="s">
        <v>437</v>
      </c>
      <c r="H201" s="8" t="s">
        <v>1150</v>
      </c>
      <c r="I201" s="8" t="s">
        <v>1151</v>
      </c>
      <c r="J201" s="9">
        <v>20.59</v>
      </c>
      <c r="K201" s="9">
        <v>30.0</v>
      </c>
      <c r="L201" s="8" t="s">
        <v>83</v>
      </c>
      <c r="M201" s="8" t="s">
        <v>1152</v>
      </c>
      <c r="N201" s="7" t="str">
        <f>IFERROR(__xludf.DUMMYFUNCTION("GOOGLETRANSLATE(L201, ""en"", ""pt"")"),"Trabalhador Florestal")</f>
        <v>Trabalhador Florestal</v>
      </c>
      <c r="O201" s="7" t="str">
        <f>IFERROR(__xludf.DUMMYFUNCTION("IF(M201="""","""",GOOGLETRANSLATE(M201,""en"",""pt""))"),"As funções podem incluir: sob supervisão, realizar trabalhos manuais necessários para a manutenção e proteção de áreas florestais; plantar mudas para reflorestamento, capturar árvores, marcar árvores, cavar covas para mudas, compactar o solo ao redor das "&amp;"mudas com ferramenta de plantio e garantir a manutenção protetora das mudas por meio de pulverização, limpeza e desbaste da vegetação circundante. Executar outras tarefas, incluindo o trabalho de corte de vegetação rasteira com motosserra antes do plantio"&amp;" comercial. SOB A DIREÇÃO DE OFICIAIS DE COMBATE A INCÊNDIOS OU TÉCNICOS FLORESTAIS: redução de combustível para prevenção de incêndios por meio de limpeza, descarte e empilhamento de vegetação rasteira. Escavação e construção de aceiros e outras atividad"&amp;"es relacionadas a trabalhadores florestais, conforme SOC/OES 45-4011 (onetonline.org). Horário padrão/esperado: segunda a sexta, das 7h às 15h. Oferecendo mais de 40 horas semanais, sem incluir almoço e/ou intervalos. Possibilidade de trabalho em fins de "&amp;"semana e feriados. Os horários de início e término, a carga horária oferecida e/ou a possibilidade de horas extras podem variar, pois dependem de fatores como necessidades do projeto/cronograma/serviço, condições climáticas e tempo de deslocamento entre o"&amp;"s locais de trabalho (se aplicável). Horas extras são possíveis, mas não obrigatórias nem garantidas. A critério exclusivo do empregador: aumentos salariais e/ou bônus podem ser concedidos com base em fatores individuais, como desempenho ou habilidades (n"&amp;"ão garantidos). Moradia compartilhada opcional disponível sem custo para o trabalhador. Classificação da vaga: 45-4011.00 - Trabalhadores Florestais e de Conservação. A classificação e a descrição da vaga/setor incluem informações gerais sobre o cargo, de"&amp;" acordo com o ONET/OES e o Sistema de Classificação Industrial da América do Norte (NAICS). Consulte as Funções e a Ordem de Serviço para obter mais informações. Requisitos da vaga: Experiência exigida: Sim. Meses de experiência exigidos: 3. Requisitos es"&amp;"peciais: É necessário ter 18 anos ou mais, conforme as leis trabalhistas estaduais. É necessário apresentar comprovante de autorização legal para trabalhar nos Estados Unidos. Ambiente de trabalho livre de drogas, álcool e tabaco. O candidato deve caminha"&amp;"r bastante (até 24 km/dia), além de se abaixar e se curvar carregando uma mochila (até 23 kg) em terrenos acidentados (fora de trilhas). Todos os candidatos devem ser capazes, dispostos e qualificados para realizar o trabalho descrito e devem estar dispon"&amp;"íveis durante todo o período especificado e trabalhar em todas as áreas da vaga. A critério do empregador e devido ao custo, o trabalhador poderá ser submetido a testes aleatórios de drogas/álcool durante o emprego: teste positivo/recusa em cumprir o test"&amp;"e resultará em demissão. O trabalho é realizado ao ar livre, exposto às intempéries; o candidato deve ser capaz de realizar trabalho fisicamente extenuante por longos períodos, ocasionalmente em calor ou frio extremos. As condições climáticas são variávei"&amp;"s; a carga horária pode sofrer alterações, com possibilidade de períodos de inatividade e/ou horas extras. Número de horas por semana: 40. Horário de trabalho (início/término): 7h às 15h.")</f>
        <v>As funções podem incluir: sob supervisão, realizar trabalhos manuais necessários para a manutenção e proteção de áreas florestais; plantar mudas para reflorestamento, capturar árvores, marcar árvores, cavar covas para mudas, compactar o solo ao redor das mudas com ferramenta de plantio e garantir a manutenção protetora das mudas por meio de pulverização, limpeza e desbaste da vegetação circundante. Executar outras tarefas, incluindo o trabalho de corte de vegetação rasteira com motosserra antes do plantio comercial. SOB A DIREÇÃO DE OFICIAIS DE COMBATE A INCÊNDIOS OU TÉCNICOS FLORESTAIS: redução de combustível para prevenção de incêndios por meio de limpeza, descarte e empilhamento de vegetação rasteira. Escavação e construção de aceiros e outras atividades relacionadas a trabalhadores florestais, conforme SOC/OES 45-4011 (onetonline.org). Horário padrão/esperado: segunda a sexta, das 7h às 15h. Oferecendo mais de 40 horas semanais, sem incluir almoço e/ou intervalos. Possibilidade de trabalho em fins de semana e feriados. Os horários de início e término, a carga horária oferecida e/ou a possibilidade de horas extras podem variar, pois dependem de fatores como necessidades do projeto/cronograma/serviço, condições climáticas e tempo de deslocamento entre os locais de trabalho (se aplicável). Horas extras são possíveis, mas não obrigatórias nem garantidas. A critério exclusivo do empregador: aumentos salariais e/ou bônus podem ser concedidos com base em fatores individuais, como desempenho ou habilidades (não garantidos). Moradia compartilhada opcional disponível sem custo para o trabalhador. Classificação da vaga: 45-4011.00 - Trabalhadores Florestais e de Conservação. A classificação e a descrição da vaga/setor incluem informações gerais sobre o cargo, de acordo com o ONET/OES e o Sistema de Classificação Industrial da América do Norte (NAICS). Consulte as Funções e a Ordem de Serviço para obter mais informações. Requisitos da vaga: Experiência exigida: Sim. Meses de experiência exigidos: 3. Requisitos especiais: É necessário ter 18 anos ou mais, conforme as leis trabalhistas estaduais. É necessário apresentar comprovante de autorização legal para trabalhar nos Estados Unidos. Ambiente de trabalho livre de drogas, álcool e tabaco. O candidato deve caminhar bastante (até 24 km/dia), além de se abaixar e se curvar carregando uma mochila (até 23 kg) em terrenos acidentados (fora de trilhas). Todos os candidatos devem ser capazes, dispostos e qualificados para realizar o trabalho descrito e devem estar disponíveis durante todo o período especificado e trabalhar em todas as áreas da vaga. A critério do empregador e devido ao custo, o trabalhador poderá ser submetido a testes aleatórios de drogas/álcool durante o emprego: teste positivo/recusa em cumprir o teste resultará em demissão. O trabalho é realizado ao ar livre, exposto às intempéries; o candidato deve ser capaz de realizar trabalho fisicamente extenuante por longos períodos, ocasionalmente em calor ou frio extremos. As condições climáticas são variáveis; a carga horária pode sofrer alterações, com possibilidade de períodos de inatividade e/ou horas extras. Número de horas por semana: 40. Horário de trabalho (início/término): 7h às 15h.</v>
      </c>
    </row>
    <row r="202" ht="20.25" customHeight="1">
      <c r="A202" s="3" t="s">
        <v>1153</v>
      </c>
      <c r="B202" s="3" t="s">
        <v>1154</v>
      </c>
      <c r="C202" s="3" t="s">
        <v>391</v>
      </c>
      <c r="D202" s="3" t="s">
        <v>271</v>
      </c>
      <c r="E202" s="4" t="s">
        <v>44</v>
      </c>
      <c r="F202" s="4" t="s">
        <v>20</v>
      </c>
      <c r="G202" s="4" t="s">
        <v>155</v>
      </c>
      <c r="H202" s="10" t="s">
        <v>1155</v>
      </c>
      <c r="I202" s="3" t="s">
        <v>1156</v>
      </c>
      <c r="J202" s="4">
        <v>12.97</v>
      </c>
      <c r="K202" s="4">
        <v>350.0</v>
      </c>
      <c r="L202" s="3" t="s">
        <v>1157</v>
      </c>
      <c r="M202" s="3" t="s">
        <v>1158</v>
      </c>
      <c r="N202" s="7" t="str">
        <f>IFERROR(__xludf.DUMMYFUNCTION("GOOGLETRANSLATE(L202, ""en"", ""pt"")"),"Trabalhador do Carnaval")</f>
        <v>Trabalhador do Carnaval</v>
      </c>
      <c r="O202" s="7" t="str">
        <f>IFERROR(__xludf.DUMMYFUNCTION("IF(M202="""","""",GOOGLETRANSLATE(M202,""en"",""pt""))"),"Executar diversas tarefas de atendimento em instalações de diversão ou recreação. Vender e cobrar ingressos/taxas, auxiliar os clientes, operar/atender barracas, brinquedos e jogos, vender e preparar alimentos. Alimentos simples, típicos de parques de div"&amp;"ersões, são preparados utilizando itens pré-congelados e pré-embalados que são cozidos/aquecidos e montados, como cachorro-quente, salsicha e linguiça. Utilizando as devidas precauções de segurança e medidas sanitárias, operar equipamentos de cozinha de g"&amp;"rande porte, como grelhas, fritadeiras, chapas ou fogões elétricos. Lavar, cortar e preparar os alimentos destinados ao cozimento utilizando facas ou fatiadores. Seguindo instruções simples e específicas: Montar e desmontar a barraca, o que consiste em ab"&amp;"rir e fechar os toldos. Não são necessárias ferramentas. Repor alimentos, produtos de papel ou brindes conforme necessário. Utilizando produtos de limpeza básicos e seguindo as devidas precauções de segurança e medidas sanitárias, garantir que todos os it"&amp;"ens sejam limpos e armazenados de maneira segura para o transporte. Verificar se algum equipamento de serviço de alimentação não está funcionando corretamente e informar à equipe de manutenção para reparo ou substituição. Por exemplo, observar danos nos c"&amp;"abos elétricos e relatar problemas conforme necessário. Auxiliar os clientes a entrar nas atrações, informando-os sobre a necessidade de apertar o cinto de segurança, a barra ou outros dispositivos de segurança. Garantir a segurança em todos os momentos. "&amp;"Operar o painel de controle para iniciar e parar a atração. Participar dos jogos, explicando as regras, auxiliando na brincadeira (como entregar uma bola para o cliente arremessar ou um anel para lançar), recolhendo e entregando os prêmios aos vencedores."&amp;" Horários, escalas e dias de trabalho variam – Exemplo de turno: das 10h às 19h, com 1 hora de intervalo não remunerado; 35 a 48 horas semanais, podendo haver necessidade ou disponibilidade de horas extras, incluindo fins de semana e feriados. As necessid"&amp;"ades de trabalho (ou seja, horário, dias, escala, local e funções) variam. As necessidades de trabalho estão sujeitas às práticas do setor e não são garantidas por dia, semana, horário, local ou trabalhador, por exemplo, em casos de cancelamentos por chuv"&amp;"a, breves períodos sem eventos programados, datas e horários de eventos definidos em acordo com o patrocinador e sujeitos a alterações (com base em condições climáticas adversas, horário de funcionamento, dia da semana, público, tamanho do evento, calendá"&amp;"rio escolar, quantidade de equipamentos em operação, equipe, etc.) e cancelamentos imprevistos. Em caso de eventos simultâneos aprovados, as necessidades de trabalho podem exigir ajustes na escala dos trabalhadores. A remuneração varia de acordo com a loc"&amp;"alização de cada local de trabalho, de US$ 12,97 a US$ 17,81 por hora. Não se espera que haja horas extras, mas, caso ocorram trabalhos que exijam horas extras, estas serão pagas de acordo com as leis federais, estaduais e locais aplicáveis. Os salários p"&amp;"odem aumentar por desempenho/tempo de serviço ou devido a mudanças nas condições de mercado. O pagamento é semanal, sendo utilizada uma única semana de trabalho para o cálculo dos salários. É necessário viajar e o deslocamento é fornecido para trabalhar n"&amp;"os seguintes condados: Maricopa, AZ; Harris, TX; Miami-Dade, FL e Bergen, NJ. Deslocamento para todos os eventos conforme itinerário. O funcionário deve se deslocar de casa, do local de trabalho anterior até o próximo. Transporte opcional para os locais d"&amp;"e trabalho será fornecido sem custo para o funcionário. O trabalho é realizado ao ar livre, em todas as condições climáticas. O empregador fornecerá aos funcionários, sem custo, todas as ferramentas, suprimentos, equipamentos e uniforme necessários para o"&amp;" desempenho da função. Classificação da vaga: 39-3091.00 - Atendentes de Parques de Diversões e Recreação. A classificação e descrição da vaga/setor incluem informações gerais sobre o cargo, de acordo com o ONET/OES e o Sistema de Classificação Industrial"&amp;" da América do Norte (NAICS). Consulte as Funções e a Ordem de Serviço para obter mais informações. Requisitos da vaga: Experiência exigida: Não. Requisitos especiais: A vaga exige que o candidato seja qualificado, esteja pronto, disposto, apto e disponív"&amp;"el para trabalhar durante todo o período de emprego nos locais de trabalho designados, mesmo em condições climáticas adversas; para firmar e cumprir contratos de trabalho; para seguir as normas do local de trabalho; e para atender aos padrões de desempenh"&amp;"o da função. Deve cumprir os requisitos de apresentação pessoal e o código de vestimenta. Sujeito a demissão por justa causa. Deve estar disposto a trabalhar até 7 dias por semana. É obrigatório exame toxicológico pós-admissional/pós-lesão ou incidente e "&amp;"em casos de suspeita razoável, com o custo pago pelo empregador e aplicado igualmente a todos os trabalhadores, americanos e estrangeiros/com visto H2B. Os candidatos devem cooperar e preencher a ficha de inscrição e participar da entrevista com sincerida"&amp;"de. Número de horas por semana: 40. Horário de trabalho (início/término): 10h às 19h.")</f>
        <v>Executar diversas tarefas de atendimento em instalações de diversão ou recreação. Vender e cobrar ingressos/taxas, auxiliar os clientes, operar/atender barracas, brinquedos e jogos, vender e preparar alimentos. Alimentos simples, típicos de parques de diversões, são preparados utilizando itens pré-congelados e pré-embalados que são cozidos/aquecidos e montados, como cachorro-quente, salsicha e linguiça. Utilizando as devidas precauções de segurança e medidas sanitárias, operar equipamentos de cozinha de grande porte, como grelhas, fritadeiras, chapas ou fogões elétricos. Lavar, cortar e preparar os alimentos destinados ao cozimento utilizando facas ou fatiadores. Seguindo instruções simples e específicas: Montar e desmontar a barraca, o que consiste em abrir e fechar os toldos. Não são necessárias ferramentas. Repor alimentos, produtos de papel ou brindes conforme necessário. Utilizando produtos de limpeza básicos e seguindo as devidas precauções de segurança e medidas sanitárias, garantir que todos os itens sejam limpos e armazenados de maneira segura para o transporte. Verificar se algum equipamento de serviço de alimentação não está funcionando corretamente e informar à equipe de manutenção para reparo ou substituição. Por exemplo, observar danos nos cabos elétricos e relatar problemas conforme necessário. Auxiliar os clientes a entrar nas atrações, informando-os sobre a necessidade de apertar o cinto de segurança, a barra ou outros dispositivos de segurança. Garantir a segurança em todos os momentos. Operar o painel de controle para iniciar e parar a atração. Participar dos jogos, explicando as regras, auxiliando na brincadeira (como entregar uma bola para o cliente arremessar ou um anel para lançar), recolhendo e entregando os prêmios aos vencedores. Horários, escalas e dias de trabalho variam – Exemplo de turno: das 10h às 19h, com 1 hora de intervalo não remunerado; 35 a 48 horas semanais, podendo haver necessidade ou disponibilidade de horas extras, incluindo fins de semana e feriados. As necessidades de trabalho (ou seja, horário, dias, escala, local e funções) variam. As necessidades de trabalho estão sujeitas às práticas do setor e não são garantidas por dia, semana, horário, local ou trabalhador, por exemplo, em casos de cancelamentos por chuva, breves períodos sem eventos programados, datas e horários de eventos definidos em acordo com o patrocinador e sujeitos a alterações (com base em condições climáticas adversas, horário de funcionamento, dia da semana, público, tamanho do evento, calendário escolar, quantidade de equipamentos em operação, equipe, etc.) e cancelamentos imprevistos. Em caso de eventos simultâneos aprovados, as necessidades de trabalho podem exigir ajustes na escala dos trabalhadores. A remuneração varia de acordo com a localização de cada local de trabalho, de US$ 12,97 a US$ 17,81 por hora. Não se espera que haja horas extras, mas, caso ocorram trabalhos que exijam horas extras, estas serão pagas de acordo com as leis federais, estaduais e locais aplicáveis. Os salários podem aumentar por desempenho/tempo de serviço ou devido a mudanças nas condições de mercado. O pagamento é semanal, sendo utilizada uma única semana de trabalho para o cálculo dos salários. É necessário viajar e o deslocamento é fornecido para trabalhar nos seguintes condados: Maricopa, AZ; Harris, TX; Miami-Dade, FL e Bergen, NJ. Deslocamento para todos os eventos conforme itinerário. O funcionário deve se deslocar de casa, do local de trabalho anterior até o próximo. Transporte opcional para os locais de trabalho será fornecido sem custo para o funcionário. O trabalho é realizado ao ar livre, em todas as condições climáticas. O empregador fornecerá aos funcionários, sem custo, todas as ferramentas, suprimentos, equipamentos e uniforme necessários para o desempenho da função. Classificação da vaga: 39-3091.00 - Atendentes de Parques de Diversões e Recreação. A classificação e descrição da vaga/setor incluem informações gerais sobre o cargo, de acordo com o ONET/OES e o Sistema de Classificação Industrial da América do Norte (NAICS). Consulte as Funções e a Ordem de Serviço para obter mais informações. Requisitos da vaga: Experiência exigida: Não. Requisitos especiais: A vaga exige que o candidato seja qualificado, esteja pronto, disposto, apto e disponível para trabalhar durante todo o período de emprego nos locais de trabalho designados, mesmo em condições climáticas adversas; para firmar e cumprir contratos de trabalho; para seguir as normas do local de trabalho; e para atender aos padrões de desempenho da função. Deve cumprir os requisitos de apresentação pessoal e o código de vestimenta. Sujeito a demissão por justa causa. Deve estar disposto a trabalhar até 7 dias por semana. É obrigatório exame toxicológico pós-admissional/pós-lesão ou incidente e em casos de suspeita razoável, com o custo pago pelo empregador e aplicado igualmente a todos os trabalhadores, americanos e estrangeiros/com visto H2B. Os candidatos devem cooperar e preencher a ficha de inscrição e participar da entrevista com sinceridade. Número de horas por semana: 40. Horário de trabalho (início/término): 10h às 19h.</v>
      </c>
    </row>
    <row r="203" ht="20.25" customHeight="1">
      <c r="A203" s="8" t="s">
        <v>1159</v>
      </c>
      <c r="B203" s="8" t="s">
        <v>1160</v>
      </c>
      <c r="C203" s="8" t="s">
        <v>169</v>
      </c>
      <c r="D203" s="8" t="s">
        <v>249</v>
      </c>
      <c r="E203" s="9" t="s">
        <v>44</v>
      </c>
      <c r="F203" s="9" t="s">
        <v>20</v>
      </c>
      <c r="G203" s="9" t="s">
        <v>56</v>
      </c>
      <c r="H203" s="8" t="s">
        <v>1161</v>
      </c>
      <c r="I203" s="8" t="s">
        <v>1162</v>
      </c>
      <c r="J203" s="9">
        <v>19.22</v>
      </c>
      <c r="K203" s="9">
        <v>15.0</v>
      </c>
      <c r="L203" s="8" t="s">
        <v>1163</v>
      </c>
      <c r="M203" s="8" t="s">
        <v>1164</v>
      </c>
      <c r="N203" s="7" t="str">
        <f>IFERROR(__xludf.DUMMYFUNCTION("GOOGLETRANSLATE(L203, ""en"", ""pt"")"),"Operário; Paisagismo e Manutenção de Jardins")</f>
        <v>Operário; Paisagismo e Manutenção de Jardins</v>
      </c>
      <c r="O203" s="7" t="str">
        <f>IFERROR(__xludf.DUMMYFUNCTION("IF(M203="""","""",GOOGLETRANSLATE(M203,""en"",""pt""))"),"Paisagismo e manutenção de terrenos utilizando ferramentas manuais ou elétricas. Os trabalhadores geralmente executam uma variedade de tarefas, que podem incluir qualquer combinação das seguintes: colocação de grama, corte de grama, poda, plantio, rega, f"&amp;"ertilização, escavação, rastelagem, instalação de aspersores e instalação de blocos de concreto pré-moldados sem argamassa. Classificação da função: 37-3011.00 - Trabalhadores de Paisagismo e Manutenção de Terrenos. A classificação e descrição da função/s"&amp;"etor incluem informações gerais sobre o cargo, de acordo com o ONET/OES e o Sistema de Classificação Industrial da América do Norte (NAICS). Consulte as Funções e a Ordem de Serviço para obter mais informações. Requisitos da função: Experiência necessária"&amp;": Não. Requisitos especiais: Deve ser capaz de levantar/carregar 23 kg, quando necessário. Trabalho aos sábados e domingos, quando necessário. Exame toxicológico pós-admissão e pós-acidente obrigatório para trabalhadores estrangeiros e nacionais. Carteira"&amp;" de habilitação preferencial, mas não obrigatória. Os trabalhadores que obtiverem carteira de habilitação poderão ser solicitados a dirigir. O empregador poderá oferecer mais horas de trabalho do que as estipuladas, dependendo do clima, das necessidades d"&amp;"a empresa e de outras condições. Calor extremo, frio, chuva ou seca podem afetar o horário de trabalho exato. Número de horas por semana: 41. Horário de trabalho (início/término): 7h30 às 16h30.")</f>
        <v>Paisagismo e manutenção de terrenos utilizando ferramentas manuais ou elétricas. Os trabalhadores geralmente executam uma variedade de tarefas, que podem incluir qualquer combinação das seguintes: colocação de grama, corte de grama, poda, plantio, rega, fertilização, escavação, rastelagem, instalação de aspersores e instalação de blocos de concreto pré-moldados sem argamassa. Classificação da função: 37-3011.00 - Trabalhadores de Paisagismo e Manutenção de Terrenos. A classificação e descrição da função/setor incluem informações gerais sobre o cargo, de acordo com o ONET/OES e o Sistema de Classificação Industrial da América do Norte (NAICS). Consulte as Funções e a Ordem de Serviço para obter mais informações. Requisitos da função: Experiência necessária: Não. Requisitos especiais: Deve ser capaz de levantar/carregar 23 kg, quando necessário. Trabalho aos sábados e domingos, quando necessário. Exame toxicológico pós-admissão e pós-acidente obrigatório para trabalhadores estrangeiros e nacionais. Carteira de habilitação preferencial, mas não obrigatória. Os trabalhadores que obtiverem carteira de habilitação poderão ser solicitados a dirigir. O empregador poderá oferecer mais horas de trabalho do que as estipuladas, dependendo do clima, das necessidades da empresa e de outras condições. Calor extremo, frio, chuva ou seca podem afetar o horário de trabalho exato. Número de horas por semana: 41. Horário de trabalho (início/término): 7h30 às 16h30.</v>
      </c>
    </row>
    <row r="204" ht="20.25" customHeight="1">
      <c r="A204" s="3" t="s">
        <v>1165</v>
      </c>
      <c r="B204" s="3" t="s">
        <v>1166</v>
      </c>
      <c r="C204" s="3" t="s">
        <v>93</v>
      </c>
      <c r="D204" s="3" t="s">
        <v>109</v>
      </c>
      <c r="E204" s="4" t="s">
        <v>19</v>
      </c>
      <c r="F204" s="4" t="s">
        <v>20</v>
      </c>
      <c r="G204" s="4" t="s">
        <v>902</v>
      </c>
      <c r="H204" s="3" t="s">
        <v>1167</v>
      </c>
      <c r="I204" s="3" t="s">
        <v>1168</v>
      </c>
      <c r="J204" s="4">
        <v>19.86</v>
      </c>
      <c r="K204" s="4">
        <v>35.0</v>
      </c>
      <c r="L204" s="3" t="s">
        <v>59</v>
      </c>
      <c r="M204" s="3" t="s">
        <v>1169</v>
      </c>
      <c r="N204" s="7" t="str">
        <f>IFERROR(__xludf.DUMMYFUNCTION("GOOGLETRANSLATE(L204, ""en"", ""pt"")"),"Trabalhador de paisagismo")</f>
        <v>Trabalhador de paisagismo</v>
      </c>
      <c r="O204" s="7" t="str">
        <f>IFERROR(__xludf.DUMMYFUNCTION("IF(M204="""","""",GOOGLETRANSLATE(M204,""en"",""pt""))"),"Paisagismo e manutenção de terrenos utilizando ferramentas manuais ou elétricas. Os trabalhadores geralmente executam uma variedade de tarefas, que podem incluir qualquer combinação das seguintes: colocação de grama, corte de grama, poda, plantio, rega, f"&amp;"ertilização, escavação e rastelagem. Nível inicial; requer supervisão. Classificação da vaga: 37-3011.00 - Trabalhadores de Paisagismo e Manutenção de Terrenos. A classificação e descrição da vaga/setor incluem informações gerais sobre o cargo, de acordo "&amp;"com o ONET/OES e o Sistema de Classificação Industrial da América do Norte (NAICS). Consulte as Funções e a Ordem de Serviço para obter mais informações. Requisitos da vaga: Experiência exigida: Não. Requisitos especiais: Deve ser capaz de levantar/carreg"&amp;"ar 23 kg, quando necessário. Testes aleatórios de drogas após a contratação são obrigatórios para trabalhadores estrangeiros e nacionais. A verificação de elegibilidade para emprego (e-Verify) após a contratação pode ser exigida para trabalhadores estrang"&amp;"eiros e nacionais, com base nos requisitos do contrato. O empregador pode oferecer mais horas de trabalho do que as estipuladas, dependendo do clima, das necessidades da empresa e de outras condições. Calor extremo, frio, chuva ou seca podem afetar o horá"&amp;"rio de trabalho exato. Número de horas por semana: 40 Horário de trabalho (início/término): 6h30 - 15h00")</f>
        <v>Paisagismo e manutenção de terrenos utilizando ferramentas manuais ou elétricas. Os trabalhadores geralmente executam uma variedade de tarefas, que podem incluir qualquer combinação das seguintes: colocação de grama, corte de grama, poda, plantio, rega, fertilização, escavação e rastelagem. Nível inicial; requer supervisão. Classificação da vaga: 37-3011.00 - Trabalhadores de Paisagismo e Manutenção de Terrenos. A classificação e descrição da vaga/setor incluem informações gerais sobre o cargo, de acordo com o ONET/OES e o Sistema de Classificação Industrial da América do Norte (NAICS). Consulte as Funções e a Ordem de Serviço para obter mais informações. Requisitos da vaga: Experiência exigida: Não. Requisitos especiais: Deve ser capaz de levantar/carregar 23 kg, quando necessário. Testes aleatórios de drogas após a contratação são obrigatórios para trabalhadores estrangeiros e nacionais. A verificação de elegibilidade para emprego (e-Verify) após a contratação pode ser exigida para trabalhadores estrangeiros e nacionais, com base nos requisitos do contrato. O empregador pode oferecer mais horas de trabalho do que as estipuladas, dependendo do clima, das necessidades da empresa e de outras condições. Calor extremo, frio, chuva ou seca podem afetar o horário de trabalho exato. Número de horas por semana: 40 Horário de trabalho (início/término): 6h30 - 15h00</v>
      </c>
    </row>
    <row r="205" ht="20.25" customHeight="1">
      <c r="A205" s="8" t="s">
        <v>1170</v>
      </c>
      <c r="B205" s="8" t="s">
        <v>1171</v>
      </c>
      <c r="C205" s="8" t="s">
        <v>63</v>
      </c>
      <c r="D205" s="8" t="s">
        <v>1172</v>
      </c>
      <c r="E205" s="9" t="s">
        <v>19</v>
      </c>
      <c r="F205" s="9" t="s">
        <v>20</v>
      </c>
      <c r="G205" s="9" t="s">
        <v>56</v>
      </c>
      <c r="H205" s="8" t="s">
        <v>1173</v>
      </c>
      <c r="I205" s="8" t="s">
        <v>1174</v>
      </c>
      <c r="J205" s="9">
        <v>21.36</v>
      </c>
      <c r="K205" s="9">
        <v>15.0</v>
      </c>
      <c r="L205" s="8" t="s">
        <v>321</v>
      </c>
      <c r="M205" s="8" t="s">
        <v>1175</v>
      </c>
      <c r="N205" s="7" t="str">
        <f>IFERROR(__xludf.DUMMYFUNCTION("GOOGLETRANSLATE(L205, ""en"", ""pt"")"),"Trabalhadores de paisagismo")</f>
        <v>Trabalhadores de paisagismo</v>
      </c>
      <c r="O205" s="7" t="str">
        <f>IFERROR(__xludf.DUMMYFUNCTION("IF(M205="""","""",GOOGLETRANSLATE(M205,""en"",""pt""))"),"Paisagismo e manutenção de terrenos utilizando ferramentas manuais ou elétricas. Os trabalhadores geralmente executam uma variedade de tarefas, que podem incluir qualquer combinação das seguintes: colocação de grama, cobertura morta, corte de grama, poda,"&amp;" plantio, rega, fertilização, escavação, rastelamento, remoção de lixo/detritos e instalação de blocos de concreto pré-moldado sem argamassa. Manutenção/reparo de ferramentas/equipamentos conforme necessário. Nível inicial; requer supervisão. Classificaçã"&amp;"o da vaga: 37-3011.00 - Trabalhadores de Paisagismo e Manutenção de Terrenos. A classificação e descrição da vaga/setor incluem informações gerais sobre o cargo, de acordo com o ONET/OES e o Sistema de Classificação Industrial da América do Norte (NAICS)."&amp;" Consulte as Funções e a Ordem de Serviço para obter mais informações. Requisitos da vaga: Experiência exigida: Não. Requisitos especiais: Deve ser capaz de levantar/carregar 23 kg, quando necessário. Trabalho aos sábados e domingos, quando necessário. Te"&amp;"ste antidrogas pago pelo empregador é obrigatório para trabalhadores estrangeiros e nacionais antes do início do trabalho e após a contratação, em caso de suspeita de uso e após acidente. A verificação de antecedentes após a contratação pode ser exigida d"&amp;"e trabalhadores estrangeiros e nacionais, de acordo com os requisitos contratuais. A verificação do histórico de condução após a contratação é exigida apenas de trabalhadores estrangeiros e nacionais que dirigem veículos da empresa (dirigir não é um requi"&amp;"sito para todos os funcionários da função). O empregador pode oferecer mais horas de trabalho do que as estipuladas, dependendo do clima, das necessidades da empresa e de outras condições. Calor extremo, frio, chuva ou seca podem afetar o horário de traba"&amp;"lho exato. Número de horas por semana: 40. Horário de trabalho (início/término): 7h às 16h.")</f>
        <v>Paisagismo e manutenção de terrenos utilizando ferramentas manuais ou elétricas. Os trabalhadores geralmente executam uma variedade de tarefas, que podem incluir qualquer combinação das seguintes: colocação de grama, cobertura morta, corte de grama, poda, plantio, rega, fertilização, escavação, rastelamento, remoção de lixo/detritos e instalação de blocos de concreto pré-moldado sem argamassa. Manutenção/reparo de ferramentas/equipamentos conforme necessário. Nível inicial; requer supervisão. Classificação da vaga: 37-3011.00 - Trabalhadores de Paisagismo e Manutenção de Terrenos. A classificação e descrição da vaga/setor incluem informações gerais sobre o cargo, de acordo com o ONET/OES e o Sistema de Classificação Industrial da América do Norte (NAICS). Consulte as Funções e a Ordem de Serviço para obter mais informações. Requisitos da vaga: Experiência exigida: Não. Requisitos especiais: Deve ser capaz de levantar/carregar 23 kg, quando necessário. Trabalho aos sábados e domingos, quando necessário. Teste antidrogas pago pelo empregador é obrigatório para trabalhadores estrangeiros e nacionais antes do início do trabalho e após a contratação, em caso de suspeita de uso e após acidente. A verificação de antecedentes após a contratação pode ser exigida de trabalhadores estrangeiros e nacionais, de acordo com os requisitos contratuais. A verificação do histórico de condução após a contratação é exigida apenas de trabalhadores estrangeiros e nacionais que dirigem veículos da empresa (dirigir não é um requisito para todos os funcionários da função). O empregador pode oferecer mais horas de trabalho do que as estipuladas, dependendo do clima, das necessidades da empresa e de outras condições. Calor extremo, frio, chuva ou seca podem afetar o horário de trabalho exato. Número de horas por semana: 40. Horário de trabalho (início/término): 7h às 16h.</v>
      </c>
    </row>
    <row r="206" ht="20.25" customHeight="1">
      <c r="A206" s="3" t="s">
        <v>1176</v>
      </c>
      <c r="B206" s="3" t="s">
        <v>1177</v>
      </c>
      <c r="C206" s="3" t="s">
        <v>63</v>
      </c>
      <c r="D206" s="3" t="s">
        <v>992</v>
      </c>
      <c r="E206" s="4" t="s">
        <v>19</v>
      </c>
      <c r="F206" s="4" t="s">
        <v>20</v>
      </c>
      <c r="G206" s="4" t="s">
        <v>56</v>
      </c>
      <c r="H206" s="3" t="s">
        <v>1178</v>
      </c>
      <c r="I206" s="3" t="s">
        <v>1179</v>
      </c>
      <c r="J206" s="4">
        <v>21.91</v>
      </c>
      <c r="K206" s="4">
        <v>10.0</v>
      </c>
      <c r="L206" s="3" t="s">
        <v>321</v>
      </c>
      <c r="M206" s="3" t="s">
        <v>1175</v>
      </c>
      <c r="N206" s="7" t="str">
        <f>IFERROR(__xludf.DUMMYFUNCTION("GOOGLETRANSLATE(L206, ""en"", ""pt"")"),"Trabalhadores de paisagismo")</f>
        <v>Trabalhadores de paisagismo</v>
      </c>
      <c r="O206" s="7" t="str">
        <f>IFERROR(__xludf.DUMMYFUNCTION("IF(M206="""","""",GOOGLETRANSLATE(M206,""en"",""pt""))"),"Paisagismo e manutenção de terrenos utilizando ferramentas manuais ou elétricas. Os trabalhadores geralmente executam uma variedade de tarefas, que podem incluir qualquer combinação das seguintes: colocação de grama, cobertura morta, corte de grama, poda,"&amp;" plantio, rega, fertilização, escavação, rastelamento, remoção de lixo/detritos e instalação de blocos de concreto pré-moldado sem argamassa. Manutenção/reparo de ferramentas/equipamentos conforme necessário. Nível inicial; requer supervisão. Classificaçã"&amp;"o da vaga: 37-3011.00 - Trabalhadores de Paisagismo e Manutenção de Terrenos. A classificação e descrição da vaga/setor incluem informações gerais sobre o cargo, de acordo com o ONET/OES e o Sistema de Classificação Industrial da América do Norte (NAICS)."&amp;" Consulte as Funções e a Ordem de Serviço para obter mais informações. Requisitos da vaga: Experiência exigida: Não. Requisitos especiais: Deve ser capaz de levantar/carregar 23 kg, quando necessário. Trabalho aos sábados e domingos, quando necessário. Te"&amp;"ste antidrogas pago pelo empregador é obrigatório para trabalhadores estrangeiros e nacionais antes do início do trabalho e após a contratação, em caso de suspeita de uso e após acidente. A verificação de antecedentes após a contratação pode ser exigida d"&amp;"e trabalhadores estrangeiros e nacionais, de acordo com os requisitos contratuais. A verificação do histórico de condução após a contratação é exigida apenas de trabalhadores estrangeiros e nacionais que dirigem veículos da empresa (dirigir não é um requi"&amp;"sito para todos os funcionários da função). O empregador pode oferecer mais horas de trabalho do que as estipuladas, dependendo do clima, das necessidades da empresa e de outras condições. Calor extremo, frio, chuva ou seca podem afetar o horário de traba"&amp;"lho exato. Número de horas por semana: 40. Horário de trabalho (início/término): 7h às 16h.")</f>
        <v>Paisagismo e manutenção de terrenos utilizando ferramentas manuais ou elétricas. Os trabalhadores geralmente executam uma variedade de tarefas, que podem incluir qualquer combinação das seguintes: colocação de grama, cobertura morta, corte de grama, poda, plantio, rega, fertilização, escavação, rastelamento, remoção de lixo/detritos e instalação de blocos de concreto pré-moldado sem argamassa. Manutenção/reparo de ferramentas/equipamentos conforme necessário. Nível inicial; requer supervisão. Classificação da vaga: 37-3011.00 - Trabalhadores de Paisagismo e Manutenção de Terrenos. A classificação e descrição da vaga/setor incluem informações gerais sobre o cargo, de acordo com o ONET/OES e o Sistema de Classificação Industrial da América do Norte (NAICS). Consulte as Funções e a Ordem de Serviço para obter mais informações. Requisitos da vaga: Experiência exigida: Não. Requisitos especiais: Deve ser capaz de levantar/carregar 23 kg, quando necessário. Trabalho aos sábados e domingos, quando necessário. Teste antidrogas pago pelo empregador é obrigatório para trabalhadores estrangeiros e nacionais antes do início do trabalho e após a contratação, em caso de suspeita de uso e após acidente. A verificação de antecedentes após a contratação pode ser exigida de trabalhadores estrangeiros e nacionais, de acordo com os requisitos contratuais. A verificação do histórico de condução após a contratação é exigida apenas de trabalhadores estrangeiros e nacionais que dirigem veículos da empresa (dirigir não é um requisito para todos os funcionários da função). O empregador pode oferecer mais horas de trabalho do que as estipuladas, dependendo do clima, das necessidades da empresa e de outras condições. Calor extremo, frio, chuva ou seca podem afetar o horário de trabalho exato. Número de horas por semana: 40. Horário de trabalho (início/término): 7h às 16h.</v>
      </c>
    </row>
    <row r="207" ht="20.25" customHeight="1">
      <c r="A207" s="8" t="s">
        <v>1180</v>
      </c>
      <c r="B207" s="8" t="s">
        <v>1181</v>
      </c>
      <c r="C207" s="8" t="s">
        <v>17</v>
      </c>
      <c r="D207" s="8" t="s">
        <v>109</v>
      </c>
      <c r="E207" s="9" t="s">
        <v>44</v>
      </c>
      <c r="F207" s="9" t="s">
        <v>20</v>
      </c>
      <c r="G207" s="9" t="s">
        <v>56</v>
      </c>
      <c r="H207" s="8" t="s">
        <v>1182</v>
      </c>
      <c r="I207" s="8"/>
      <c r="J207" s="9">
        <v>18.69</v>
      </c>
      <c r="K207" s="9">
        <v>12.0</v>
      </c>
      <c r="L207" s="8" t="s">
        <v>321</v>
      </c>
      <c r="M207" s="8" t="s">
        <v>1183</v>
      </c>
      <c r="N207" s="7" t="str">
        <f>IFERROR(__xludf.DUMMYFUNCTION("GOOGLETRANSLATE(L207, ""en"", ""pt"")"),"Trabalhadores de paisagismo")</f>
        <v>Trabalhadores de paisagismo</v>
      </c>
      <c r="O207" s="7" t="str">
        <f>IFERROR(__xludf.DUMMYFUNCTION("IF(M207="""","""",GOOGLETRANSLATE(M207,""en"",""pt""))"),"Paisagismo e manutenção de terrenos utilizando ferramentas manuais ou elétricas. Os trabalhadores geralmente executam uma variedade de tarefas, que podem incluir qualquer combinação das seguintes: colocação de grama, nivelamento, semeadura, corte de grama"&amp;", poda, plantio, irrigação, fertilização, escavação, rastelagem e auxílio na instalação de blocos de concreto pré-moldados sem argamassa. Nível inicial, requer supervisão. Classificação da vaga: 37-3011.00 - Trabalhadores de Paisagismo e Manutenção de Ter"&amp;"renos. A classificação e descrição da vaga/setor incluem informações gerais sobre o cargo, de acordo com o ONET/OES e o Sistema de Classificação Industrial da América do Norte (NAICS). Consulte as Funções e a Ordem de Serviço para obter mais informações. "&amp;"Requisitos da vaga: Experiência necessária: Não. Requisitos especiais: Deve ser capaz de levantar/carregar 23 kg, quando necessário. Trabalho aos sábados e domingos, quando necessário. O empregador pode oferecer mais horas de trabalho do que as estipulada"&amp;"s, dependendo do clima, das necessidades da empresa e de outras condições. Calor extremo, frio, chuva ou seca podem afetar o horário de trabalho exato. Número de horas por semana: 40 Horário de trabalho (início/término): 7h30 - 16h00")</f>
        <v>Paisagismo e manutenção de terrenos utilizando ferramentas manuais ou elétricas. Os trabalhadores geralmente executam uma variedade de tarefas, que podem incluir qualquer combinação das seguintes: colocação de grama, nivelamento, semeadura, corte de grama, poda, plantio, irrigação, fertilização, escavação, rastelagem e auxílio na instalação de blocos de concreto pré-moldados sem argamassa. Nível inicial, requer supervisão. Classificação da vaga: 37-3011.00 - Trabalhadores de Paisagismo e Manutenção de Terrenos. A classificação e descrição da vaga/setor incluem informações gerais sobre o cargo, de acordo com o ONET/OES e o Sistema de Classificação Industrial da América do Norte (NAICS). Consulte as Funções e a Ordem de Serviço para obter mais informações. Requisitos da vaga: Experiência necessária: Não. Requisitos especiais: Deve ser capaz de levantar/carregar 23 kg, quando necessário. Trabalho aos sábados e domingos, quando necessário. O empregador pode oferecer mais horas de trabalho do que as estipuladas, dependendo do clima, das necessidades da empresa e de outras condições. Calor extremo, frio, chuva ou seca podem afetar o horário de trabalho exato. Número de horas por semana: 40 Horário de trabalho (início/término): 7h30 - 16h00</v>
      </c>
    </row>
    <row r="208" ht="20.25" customHeight="1">
      <c r="A208" s="3" t="s">
        <v>1184</v>
      </c>
      <c r="B208" s="3" t="s">
        <v>1185</v>
      </c>
      <c r="C208" s="3" t="s">
        <v>17</v>
      </c>
      <c r="D208" s="3" t="s">
        <v>403</v>
      </c>
      <c r="E208" s="4" t="s">
        <v>19</v>
      </c>
      <c r="F208" s="4" t="s">
        <v>20</v>
      </c>
      <c r="G208" s="4" t="s">
        <v>860</v>
      </c>
      <c r="H208" s="3" t="s">
        <v>1186</v>
      </c>
      <c r="I208" s="3"/>
      <c r="J208" s="4">
        <v>20.84</v>
      </c>
      <c r="K208" s="4">
        <v>15.0</v>
      </c>
      <c r="L208" s="3" t="s">
        <v>59</v>
      </c>
      <c r="M208" s="3" t="s">
        <v>1187</v>
      </c>
      <c r="N208" s="7" t="str">
        <f>IFERROR(__xludf.DUMMYFUNCTION("GOOGLETRANSLATE(L208, ""en"", ""pt"")"),"Trabalhador de paisagismo")</f>
        <v>Trabalhador de paisagismo</v>
      </c>
      <c r="O208" s="7" t="str">
        <f>IFERROR(__xludf.DUMMYFUNCTION("IF(M208="""","""",GOOGLETRANSLATE(M208,""en"",""pt""))"),"Paisagismo e manutenção de terrenos utilizando ferramentas manuais ou elétricas. Os trabalhadores geralmente executam uma variedade de tarefas, que podem incluir qualquer combinação das seguintes: colocação de grama, corte de grama, poda, plantio, rega, f"&amp;"ertilização, escavação e rastelagem. Nível inicial; requer supervisão. Classificação da vaga: 37-3011.00 - Trabalhadores de Paisagismo e Manutenção de Terrenos. A classificação e descrição da vaga/setor incluem informações gerais sobre o cargo, de acordo "&amp;"com o ONET/OES e o Sistema de Classificação Industrial da América do Norte. Consulte as Funções e a Ordem de Serviço para obter mais informações. Requisitos da vaga: Experiência exigida: Não. Requisitos especiais: Deve ser capaz de levantar/carregar 23 kg"&amp;", quando necessário. Exame toxicológico pago pelo empregador é obrigatório para trabalhadores estrangeiros e nacionais antes do início do trabalho. O empregador pode oferecer mais horas de trabalho do que as estipuladas, dependendo do clima, das necessida"&amp;"des da empresa e de outras condições. Calor extremo, frio, chuva ou seca podem afetar o horário de trabalho exato. Número de horas por semana: 40. Horário de trabalho (início/término): 7h. - 15h30")</f>
        <v>Paisagismo e manutenção de terrenos utilizando ferramentas manuais ou elétricas. Os trabalhadores geralmente executam uma variedade de tarefas, que podem incluir qualquer combinação das seguintes: colocação de grama, corte de grama, poda, plantio, rega, fertilização, escavação e rastelagem. Nível inicial; requer supervisão. Classificação da vaga: 37-3011.00 - Trabalhadores de Paisagismo e Manutenção de Terrenos. A classificação e descrição da vaga/setor incluem informações gerais sobre o cargo, de acordo com o ONET/OES e o Sistema de Classificação Industrial da América do Norte. Consulte as Funções e a Ordem de Serviço para obter mais informações. Requisitos da vaga: Experiência exigida: Não. Requisitos especiais: Deve ser capaz de levantar/carregar 23 kg, quando necessário. Exame toxicológico pago pelo empregador é obrigatório para trabalhadores estrangeiros e nacionais antes do início do trabalho. O empregador pode oferecer mais horas de trabalho do que as estipuladas, dependendo do clima, das necessidades da empresa e de outras condições. Calor extremo, frio, chuva ou seca podem afetar o horário de trabalho exato. Número de horas por semana: 40. Horário de trabalho (início/término): 7h. - 15h30</v>
      </c>
    </row>
    <row r="209" ht="20.25" customHeight="1">
      <c r="A209" s="8" t="s">
        <v>1188</v>
      </c>
      <c r="B209" s="8" t="s">
        <v>1189</v>
      </c>
      <c r="C209" s="8" t="s">
        <v>93</v>
      </c>
      <c r="D209" s="8" t="s">
        <v>1190</v>
      </c>
      <c r="E209" s="9" t="s">
        <v>44</v>
      </c>
      <c r="F209" s="9" t="s">
        <v>20</v>
      </c>
      <c r="G209" s="9" t="s">
        <v>1191</v>
      </c>
      <c r="H209" s="8" t="s">
        <v>1192</v>
      </c>
      <c r="I209" s="8"/>
      <c r="J209" s="9">
        <v>23.74</v>
      </c>
      <c r="K209" s="9">
        <v>2.0</v>
      </c>
      <c r="L209" s="8" t="s">
        <v>1193</v>
      </c>
      <c r="M209" s="8" t="s">
        <v>1194</v>
      </c>
      <c r="N209" s="7" t="str">
        <f>IFERROR(__xludf.DUMMYFUNCTION("GOOGLETRANSLATE(L209, ""en"", ""pt"")"),"Atendente de Mercado")</f>
        <v>Atendente de Mercado</v>
      </c>
      <c r="O209" s="7" t="str">
        <f>IFERROR(__xludf.DUMMYFUNCTION("IF(M209="""","""",GOOGLETRANSLATE(M209,""en"",""pt""))"),"***Resposta à Solicitação de Informações*** Os trabalhadores auxiliarão na coleta de produtos e suprimentos para o mercado agrícola. As tarefas incluem carregar, descarregar, movimentar e estocar produtos agrícolas, flores, plantas, alimentos e outras mer"&amp;"cadorias vendidas no mercado. Os trabalhadores se deslocarão até fazendas, fornecedores, atacadistas e empresas locais na área de atuação pretendida para coletar produtos e trazê-los de volta ao mercado agrícola para venda. As ferramentas e equipamentos u"&amp;"tilizados podem incluir caminhonetes, vans de carga pequenas, carrinhos de mão, carrinhos, plataformas rolantes, etiquetas de preço, planilhas de inventário, caixas de armazenamento, cestos de exposição, engradados para produtos agrícolas, caixas e pratel"&amp;"eiras usadas para organizar e estocar os produtos no mercado agrícola. Os trabalhadores poderão dirigir uma caminhonete Ford F-150 ou uma van de carga Chevy Express para transportar produtos agrícolas, flores, plantas, alimentos, produtos locais e outras "&amp;"mercadorias compradas de fazendas, fornecedores, atacadistas e empresas locais na área de atuação pretendida, de volta ao mercado agrícola. Os funcionários também podem transportar caixas de produtos, cestos de exposição, recipientes de armazenamento, pra"&amp;"teleiras, placas e mesas utilizadas nas operações do mercado agrícola. O transporte de passageiros não faz parte das atribuições do trabalho. ***Original*** Os funcionários montarão e desmontarão as exposições de produtos e mesas de plantio; abastecerão o"&amp;" estoque de frutas, verduras, flores, ervas e outros produtos; supervisionarão a fertilização e irrigação da estufa de varejo; e construirão e manterão as exposições de plantas e produtos em todo o mercado e estufa. Os funcionários manterão a limpeza das "&amp;"áreas do mercado, corredores, bancadas da estufa e espaços de trabalho; auxiliarão nas entregas, incluindo a coleta de pedidos e o descarregamento de remessas; e receberão, armazenarão e reabastecerão produtos. As funções também incluem encomendar produto"&amp;"s, organizar as áreas de trabalho da estufa de varejo e manter-se atualizados sobre os produtos. Os funcionários operarão caixas registradoras e máquinas de cartão de crédito, manusearão com precisão moeda americana e operarão caixas registradoras em even"&amp;"tos e mercados em vários locais. Os funcionários participarão de diversas feiras agrícolas e representarão a empresa de maneira profissional ao vender produtos agrícolas e relacionados. Classificação da Função: 53-3033.00 - Motoristas de Caminhão Leve. A "&amp;"classificação e descrição da função/setor inclui informações gerais sobre o cargo, de acordo com o ONET/OES e o Sistema de Classificação Industrial da América do Norte (NAICS). Consulte as Funções e a Ordem de Serviço para obter mais informações. Requisit"&amp;"os da Função: Experiência Necessária: Sim. Meses de Experiência Necessários: 3. Requisitos Especiais: Requer três meses de experiência no varejo. Os candidatos devem ser capazes de levantar e carregar 1840 kg repetidamente e permanecer em pé por longos pe"&amp;"ríodos. Os candidatos devem ser capazes de trabalhar com eficiência em um ambiente dinâmico, mantendo organização, uma atitude positiva e um comportamento amigável. Os candidatos devem gostar de interagir com clientes e ser capazes de trabalhar efetivamen"&amp;"te em equipe. A função exige alfabetização básica em inglês, habilidades básicas de matemática e conhecimento da moeda americana. O horário de trabalho inclui 8,5 horas às segundas e quartas-feiras, das 8h às 15h, 6,5 horas às terças-feiras, das 8h às 16h"&amp;", 7,5 horas às sextas-feiras, das 8h às 18h, e 9,5 horas aos sábados e domingos. Os candidatos devem possuir ou ser capazes de obter uma carteira de habilitação válida nos EUA em até 30 dias após a contratação. O empregador poderá oferecer mais horas de t"&amp;"rabalho do que as estipuladas, dependendo das condições climáticas, das necessidades da empresa e de outras circunstâncias. Calor extremo, frio, chuva ou seca podem afetar o horário de trabalho exato. Número de horas por semana: 50. Horário de trabalho (i"&amp;"nício/término): 9h às 18h.")</f>
        <v>***Resposta à Solicitação de Informações*** Os trabalhadores auxiliarão na coleta de produtos e suprimentos para o mercado agrícola. As tarefas incluem carregar, descarregar, movimentar e estocar produtos agrícolas, flores, plantas, alimentos e outras mercadorias vendidas no mercado. Os trabalhadores se deslocarão até fazendas, fornecedores, atacadistas e empresas locais na área de atuação pretendida para coletar produtos e trazê-los de volta ao mercado agrícola para venda. As ferramentas e equipamentos utilizados podem incluir caminhonetes, vans de carga pequenas, carrinhos de mão, carrinhos, plataformas rolantes, etiquetas de preço, planilhas de inventário, caixas de armazenamento, cestos de exposição, engradados para produtos agrícolas, caixas e prateleiras usadas para organizar e estocar os produtos no mercado agrícola. Os trabalhadores poderão dirigir uma caminhonete Ford F-150 ou uma van de carga Chevy Express para transportar produtos agrícolas, flores, plantas, alimentos, produtos locais e outras mercadorias compradas de fazendas, fornecedores, atacadistas e empresas locais na área de atuação pretendida, de volta ao mercado agrícola. Os funcionários também podem transportar caixas de produtos, cestos de exposição, recipientes de armazenamento, prateleiras, placas e mesas utilizadas nas operações do mercado agrícola. O transporte de passageiros não faz parte das atribuições do trabalho. ***Original*** Os funcionários montarão e desmontarão as exposições de produtos e mesas de plantio; abastecerão o estoque de frutas, verduras, flores, ervas e outros produtos; supervisionarão a fertilização e irrigação da estufa de varejo; e construirão e manterão as exposições de plantas e produtos em todo o mercado e estufa. Os funcionários manterão a limpeza das áreas do mercado, corredores, bancadas da estufa e espaços de trabalho; auxiliarão nas entregas, incluindo a coleta de pedidos e o descarregamento de remessas; e receberão, armazenarão e reabastecerão produtos. As funções também incluem encomendar produtos, organizar as áreas de trabalho da estufa de varejo e manter-se atualizados sobre os produtos. Os funcionários operarão caixas registradoras e máquinas de cartão de crédito, manusearão com precisão moeda americana e operarão caixas registradoras em eventos e mercados em vários locais. Os funcionários participarão de diversas feiras agrícolas e representarão a empresa de maneira profissional ao vender produtos agrícolas e relacionados. Classificação da Função: 53-3033.00 - Motoristas de Caminhão Leve. A classificação e descrição da função/setor inclui informações gerais sobre o cargo, de acordo com o ONET/OES e o Sistema de Classificação Industrial da América do Norte (NAICS). Consulte as Funções e a Ordem de Serviço para obter mais informações. Requisitos da Função: Experiência Necessária: Sim. Meses de Experiência Necessários: 3. Requisitos Especiais: Requer três meses de experiência no varejo. Os candidatos devem ser capazes de levantar e carregar 1840 kg repetidamente e permanecer em pé por longos períodos. Os candidatos devem ser capazes de trabalhar com eficiência em um ambiente dinâmico, mantendo organização, uma atitude positiva e um comportamento amigável. Os candidatos devem gostar de interagir com clientes e ser capazes de trabalhar efetivamente em equipe. A função exige alfabetização básica em inglês, habilidades básicas de matemática e conhecimento da moeda americana. O horário de trabalho inclui 8,5 horas às segundas e quartas-feiras, das 8h às 15h, 6,5 horas às terças-feiras, das 8h às 16h, 7,5 horas às sextas-feiras, das 8h às 18h, e 9,5 horas aos sábados e domingos. Os candidatos devem possuir ou ser capazes de obter uma carteira de habilitação válida nos EUA em até 30 dias após a contratação. O empregador poderá oferecer mais horas de trabalho do que as estipuladas, dependendo das condições climáticas, das necessidades da empresa e de outras circunstâncias. Calor extremo, frio, chuva ou seca podem afetar o horário de trabalho exato. Número de horas por semana: 50. Horário de trabalho (início/término): 9h às 18h.</v>
      </c>
    </row>
    <row r="210" ht="20.25" customHeight="1">
      <c r="A210" s="3" t="s">
        <v>1195</v>
      </c>
      <c r="B210" s="3" t="s">
        <v>1196</v>
      </c>
      <c r="C210" s="3" t="s">
        <v>93</v>
      </c>
      <c r="D210" s="3" t="s">
        <v>1197</v>
      </c>
      <c r="E210" s="4" t="s">
        <v>19</v>
      </c>
      <c r="F210" s="4" t="s">
        <v>20</v>
      </c>
      <c r="G210" s="4" t="s">
        <v>37</v>
      </c>
      <c r="H210" s="3" t="s">
        <v>1198</v>
      </c>
      <c r="I210" s="3" t="s">
        <v>1199</v>
      </c>
      <c r="J210" s="4">
        <v>25.95</v>
      </c>
      <c r="K210" s="4">
        <v>4.0</v>
      </c>
      <c r="L210" s="3" t="s">
        <v>1200</v>
      </c>
      <c r="M210" s="3" t="s">
        <v>1201</v>
      </c>
      <c r="N210" s="7" t="str">
        <f>IFERROR(__xludf.DUMMYFUNCTION("GOOGLETRANSLATE(L210, ""en"", ""pt"")"),"Mecânico")</f>
        <v>Mecânico</v>
      </c>
      <c r="O210" s="7" t="str">
        <f>IFERROR(__xludf.DUMMYFUNCTION("IF(M210="""","""",GOOGLETRANSLATE(M210,""en"",""pt""))"),"Reparar e manter uma frota de caminhões e reboques refrigerados. Executar tarefas como reparar, revestir, substituir e ajustar freios; inspecionar veículos em busca de danos e registrar as constatações para que os reparos necessários possam ser feitos; su"&amp;"bstituir tetos, painéis laterais, capôs, carenagens laterais e travessas de reboques/caminhões; aplicar primer e pintar as superfícies reparadas conforme necessário; substituir/fazer manutenção de pneus e iluminação. Classificação da vaga: 49-3031.00 - Me"&amp;"cânicos de Ônibus e Caminhões e Especialistas em Motores a Diesel. A classificação e descrição da vaga/setor incluem informações gerais sobre o cargo, de acordo com o ONET/OES e o Sistema de Classificação Industrial da América do Norte (NAICS). Consulte a"&amp;"s Funções e a Ordem de Serviço para obter mais informações. Requisitos da vaga: Experiência necessária: Sim. Meses de experiência necessários: 12. Requisitos especiais: Requer doze meses de experiência como mecânico. Deve ser capaz de levantar/carregar 23"&amp;" kg, quando necessário. Trabalho aos sábados, quando necessário. O empregador pode oferecer mais horas de trabalho do que as estipuladas, dependendo do clima, das necessidades da empresa e de outras condições. Calor extremo, frio, chuva ou seca podem afet"&amp;"ar o horário de trabalho exato. Número de horas por semana: 40 Horário de trabalho (início/término): 8h00 - 17h00")</f>
        <v>Reparar e manter uma frota de caminhões e reboques refrigerados. Executar tarefas como reparar, revestir, substituir e ajustar freios; inspecionar veículos em busca de danos e registrar as constatações para que os reparos necessários possam ser feitos; substituir tetos, painéis laterais, capôs, carenagens laterais e travessas de reboques/caminhões; aplicar primer e pintar as superfícies reparadas conforme necessário; substituir/fazer manutenção de pneus e iluminação. Classificação da vaga: 49-3031.00 - Mecânicos de Ônibus e Caminhões e Especialistas em Motores a Diesel. A classificação e descrição da vaga/setor incluem informações gerais sobre o cargo, de acordo com o ONET/OES e o Sistema de Classificação Industrial da América do Norte (NAICS). Consulte as Funções e a Ordem de Serviço para obter mais informações. Requisitos da vaga: Experiência necessária: Sim. Meses de experiência necessários: 12. Requisitos especiais: Requer doze meses de experiência como mecânico. Deve ser capaz de levantar/carregar 23 kg, quando necessário. Trabalho aos sábados, quando necessário. O empregador pode oferecer mais horas de trabalho do que as estipuladas, dependendo do clima, das necessidades da empresa e de outras condições. Calor extremo, frio, chuva ou seca podem afetar o horário de trabalho exato. Número de horas por semana: 40 Horário de trabalho (início/término): 8h00 - 17h00</v>
      </c>
    </row>
    <row r="211" ht="20.25" customHeight="1">
      <c r="A211" s="8" t="s">
        <v>1202</v>
      </c>
      <c r="B211" s="8" t="s">
        <v>1203</v>
      </c>
      <c r="C211" s="8" t="s">
        <v>93</v>
      </c>
      <c r="D211" s="8" t="s">
        <v>71</v>
      </c>
      <c r="E211" s="9" t="s">
        <v>19</v>
      </c>
      <c r="F211" s="9" t="s">
        <v>20</v>
      </c>
      <c r="G211" s="9" t="s">
        <v>1204</v>
      </c>
      <c r="H211" s="8" t="s">
        <v>1205</v>
      </c>
      <c r="I211" s="8"/>
      <c r="J211" s="9">
        <v>15.54</v>
      </c>
      <c r="K211" s="9">
        <v>3.0</v>
      </c>
      <c r="L211" s="8" t="s">
        <v>1206</v>
      </c>
      <c r="M211" s="8" t="s">
        <v>1207</v>
      </c>
      <c r="N211" s="7" t="str">
        <f>IFERROR(__xludf.DUMMYFUNCTION("GOOGLETRANSLATE(L211, ""en"", ""pt"")"),"Servidor")</f>
        <v>Servidor</v>
      </c>
      <c r="O211" s="7" t="str">
        <f>IFERROR(__xludf.DUMMYFUNCTION("IF(M211="""","""",GOOGLETRANSLATE(M211,""en"",""pt""))"),"***2ª resposta à RFI*** As funções de atendimento são desempenhadas como parte de um serviço ao cliente em um modelo de balcão, e não em mesas. Os clientes fazem seus pedidos e recebem um número de pedido. Assim que a comida é preparada pela cozinha, o fu"&amp;"ncionário usa um sistema de alto-falantes para anunciar o número do pedido, coloca a comida em uma bandeja e a posiciona em um balcão localizado fora de uma janela de atendimento designada. Os clientes então retiram seus pedidos desse balcão. Em nenhum mo"&amp;"mento os funcionários entregam comida diretamente às mesas ou realizam o serviço de mesa tradicional. Um fogão elétrico será usado para cozinhar frango, que será utilizado em sanduíches e saladas pré-preparados. Um aquecedor elétrico de bancada será usado"&amp;" para aquecer carnes pré-preparadas. Uma sanduicheira será usada para prensar sanduíches pré-preparados. Um aquecedor de salsichas será usado para aquecer salsichas pré-preparadas. ***1ª resposta à RFI*** Os funcionários limparão os banheiros usando um pr"&amp;"oduto de limpeza multiuso para limpar bancadas e espelhos. Usando uma escova e um produto de limpeza para vaso sanitário, os funcionários esfregarão o vaso sanitário com a escova. Os funcionários usarão uma vassoura para varrer o chão. Os funcionários usa"&amp;"rão um balde e um produto de limpeza para limpar o chão do banheiro. Após a entrega dos suprimentos alimentares, o funcionário pegará os suprimentos necessários do nosso depósito de alimentos secos e do nosso depósito refrigerado e os organizará em seu es"&amp;"paço de trabalho para usá-los adequadamente para atender os clientes. A informação de que funcionários que conseguirem obter uma carteira de habilitação válida nos EUA poderão dirigir veículos da empresa foi incluída erroneamente nos requisitos da vaga, p"&amp;"orém, não se aplica à posição e às funções do cargo. Os funcionários não serão solicitados nem autorizados a dirigir qualquer veículo da empresa. ***Original*** Os funcionários realizarão uma variedade de tarefas na cozinha e no atendimento, incluindo, en"&amp;"tre outras: lavar e processar frutas/verduras, usar liquidificadores para fazer milk-shakes e servir comida aos clientes. Os funcionários auxiliarão no preparo e na montagem de itens de almoço. As tarefas incluem cortar/picar frutas/verduras, cortar carne"&amp;" e montar itens de almoço pré-embalados para venda. Os funcionários poderão ser solicitados a auxiliar no preparo e na embalagem de molhos, geleias e compotas caseiras para venda individual. Os funcionários também realizarão tarefas de limpeza, como lavar"&amp;" louça, limpar banheiros e receber e organizar suprimentos. O atendimento ao cliente é realizado em um modelo de serviço de balcão, e não em mesas. Os clientes fazem seus pedidos e recebem um número de pedido. Assim que a comida estiver preparada, o funci"&amp;"onário usa um sistema de alto-falantes para anunciar o número do pedido, coloca a comida em uma bandeja e a posiciona em um balcão localizado fora da janela de atendimento designada. Os clientes, então, retiram seus pedidos desse balcão. Em nenhum momento"&amp;" os funcionários entregam comida diretamente às mesas ou realizam o serviço de mesa tradicional. Nível inicial, supervisão necessária. Classificação do Cargo: 35-2015.00 - Cozinheiros, Lanches Rápidos. A classificação e descrição do cargo/setor incluem in"&amp;"formações gerais sobre a posição, de acordo com o ONET/OES e o Sistema de Classificação Industrial da América do Norte (NAICS). Consulte as Funções e a Ordem de Serviço para obter mais informações. Requisitos do Cargo: Experiência Necessária: Não. Requisi"&amp;"tos Especiais: Deve ser capaz de levantar/carregar 23 kg, quando necessário. Trabalho aos sábados, quando necessário. Teste antidrogas pós-contratação obrigatório para funcionários estrangeiros e nacionais em caso de suspeita de uso. A vaga exige a capaci"&amp;"dade de ler um cardápio e um pedido em inglês, além de conseguir anunciar os números dos pedidos em inglês. O empregador poderá oferecer uma carga horária maior do que a estipulada, dependendo das condições climáticas, das necessidades da empresa e de out"&amp;"ros fatores. Calor extremo, frio intenso, chuva ou seca podem afetar o horário de trabalho exato. Número de horas por semana: 35. Horário de trabalho (início/término): 8h30 às 16h.")</f>
        <v>***2ª resposta à RFI*** As funções de atendimento são desempenhadas como parte de um serviço ao cliente em um modelo de balcão, e não em mesas. Os clientes fazem seus pedidos e recebem um número de pedido. Assim que a comida é preparada pela cozinha, o funcionário usa um sistema de alto-falantes para anunciar o número do pedido, coloca a comida em uma bandeja e a posiciona em um balcão localizado fora de uma janela de atendimento designada. Os clientes então retiram seus pedidos desse balcão. Em nenhum momento os funcionários entregam comida diretamente às mesas ou realizam o serviço de mesa tradicional. Um fogão elétrico será usado para cozinhar frango, que será utilizado em sanduíches e saladas pré-preparados. Um aquecedor elétrico de bancada será usado para aquecer carnes pré-preparadas. Uma sanduicheira será usada para prensar sanduíches pré-preparados. Um aquecedor de salsichas será usado para aquecer salsichas pré-preparadas. ***1ª resposta à RFI*** Os funcionários limparão os banheiros usando um produto de limpeza multiuso para limpar bancadas e espelhos. Usando uma escova e um produto de limpeza para vaso sanitário, os funcionários esfregarão o vaso sanitário com a escova. Os funcionários usarão uma vassoura para varrer o chão. Os funcionários usarão um balde e um produto de limpeza para limpar o chão do banheiro. Após a entrega dos suprimentos alimentares, o funcionário pegará os suprimentos necessários do nosso depósito de alimentos secos e do nosso depósito refrigerado e os organizará em seu espaço de trabalho para usá-los adequadamente para atender os clientes. A informação de que funcionários que conseguirem obter uma carteira de habilitação válida nos EUA poderão dirigir veículos da empresa foi incluída erroneamente nos requisitos da vaga, porém, não se aplica à posição e às funções do cargo. Os funcionários não serão solicitados nem autorizados a dirigir qualquer veículo da empresa. ***Original*** Os funcionários realizarão uma variedade de tarefas na cozinha e no atendimento, incluindo, entre outras: lavar e processar frutas/verduras, usar liquidificadores para fazer milk-shakes e servir comida aos clientes. Os funcionários auxiliarão no preparo e na montagem de itens de almoço. As tarefas incluem cortar/picar frutas/verduras, cortar carne e montar itens de almoço pré-embalados para venda. Os funcionários poderão ser solicitados a auxiliar no preparo e na embalagem de molhos, geleias e compotas caseiras para venda individual. Os funcionários também realizarão tarefas de limpeza, como lavar louça, limpar banheiros e receber e organizar suprimentos. O atendimento ao cliente é realizado em um modelo de serviço de balcão, e não em mesas. Os clientes fazem seus pedidos e recebem um número de pedido. Assim que a comida estiver preparada, o funcionário usa um sistema de alto-falantes para anunciar o número do pedido, coloca a comida em uma bandeja e a posiciona em um balcão localizado fora da janela de atendimento designada. Os clientes, então, retiram seus pedidos desse balcão. Em nenhum momento os funcionários entregam comida diretamente às mesas ou realizam o serviço de mesa tradicional. Nível inicial, supervisão necessária. Classificação do Cargo: 35-2015.00 - Cozinheiros, Lanches Rápidos. A classificação e descrição do cargo/setor incluem informações gerais sobre a posição, de acordo com o ONET/OES e o Sistema de Classificação Industrial da América do Norte (NAICS). Consulte as Funções e a Ordem de Serviço para obter mais informações. Requisitos do Cargo: Experiência Necessária: Não. Requisitos Especiais: Deve ser capaz de levantar/carregar 23 kg, quando necessário. Trabalho aos sábados, quando necessário. Teste antidrogas pós-contratação obrigatório para funcionários estrangeiros e nacionais em caso de suspeita de uso. A vaga exige a capacidade de ler um cardápio e um pedido em inglês, além de conseguir anunciar os números dos pedidos em inglês. O empregador poderá oferecer uma carga horária maior do que a estipulada, dependendo das condições climáticas, das necessidades da empresa e de outros fatores. Calor extremo, frio intenso, chuva ou seca podem afetar o horário de trabalho exato. Número de horas por semana: 35. Horário de trabalho (início/término): 8h30 às 16h.</v>
      </c>
    </row>
    <row r="212" ht="20.25" customHeight="1">
      <c r="A212" s="3" t="s">
        <v>1208</v>
      </c>
      <c r="B212" s="3" t="s">
        <v>1209</v>
      </c>
      <c r="C212" s="3" t="s">
        <v>662</v>
      </c>
      <c r="D212" s="3" t="s">
        <v>79</v>
      </c>
      <c r="E212" s="4" t="s">
        <v>19</v>
      </c>
      <c r="F212" s="4" t="s">
        <v>20</v>
      </c>
      <c r="G212" s="4" t="s">
        <v>80</v>
      </c>
      <c r="H212" s="3" t="s">
        <v>1210</v>
      </c>
      <c r="I212" s="3" t="s">
        <v>1211</v>
      </c>
      <c r="J212" s="4">
        <v>19.83</v>
      </c>
      <c r="K212" s="4">
        <v>50.0</v>
      </c>
      <c r="L212" s="3" t="s">
        <v>83</v>
      </c>
      <c r="M212" s="3" t="s">
        <v>1212</v>
      </c>
      <c r="N212" s="7" t="str">
        <f>IFERROR(__xludf.DUMMYFUNCTION("GOOGLETRANSLATE(L212, ""en"", ""pt"")"),"Trabalhador Florestal")</f>
        <v>Trabalhador Florestal</v>
      </c>
      <c r="O212" s="7" t="str">
        <f>IFERROR(__xludf.DUMMYFUNCTION("IF(M212="""","""",GOOGLETRANSLATE(M212,""en"",""pt""))"),"As funções podem incluir: Manutenção/desenvolvimento de áreas florestais: plantio manual de mudas/árvores. Cavar buracos, plantar mudas, fixá-las compactando o solo e acompanhar seu crescimento. Reduzir a vegetação concorrente: pulverizar/injetar herbicid"&amp;"as e podar árvores ou outras vegetações por meio de limpeza/descarte de galhos, empilhamento e poda, além de outras atividades relacionadas ao trabalho florestal, conforme SOC/OES 45-4011 (onetonline.org). Horário padrão/esperado: Segunda a sexta, das 7h "&amp;"às 15h30. Oferecemos mais de 40 horas semanais, sem incluir almoço e/ou intervalos. Possibilidade de trabalho em fins de semana e feriados. Os horários de início e término, a carga horária e/ou horas extras podem variar, pois dependem de fatores como nece"&amp;"ssidades do projeto/cronograma/serviço, condições climáticas e tempo de deslocamento entre os locais de trabalho (se aplicável). Horas extras são possíveis, mas não obrigatórias nem garantidas. A critério exclusivo do empregador: possíveis aumentos e/ou b"&amp;"ônus com base em fatores individuais, como desempenho no trabalho ou habilidades (não garantidos). Moradia compartilhada opcional disponível sem custo para o trabalhador. Classificação do Cargo: 45-4011.00 - Trabalhadores Florestais e de Conservação. A cl"&amp;"assificação e descrição do cargo/setor incluem informações gerais sobre a posição, de acordo com o ONET/OES e o Sistema de Classificação Industrial da América do Norte. Consulte as Funções e a Ordem de Serviço para obter mais informações. Requisitos do Ca"&amp;"rgo Experiência Necessária: Não. Requisitos Especiais: É necessário ter 18 anos devido a viagens. É necessário apresentar comprovante de autorização legal para trabalhar nos Estados Unidos. Ambiente de trabalho livre de drogas, álcool e tabaco. É necessár"&amp;"io caminhar bastante (até 24 km/dia), além de se abaixar e se curvar carregando uma mochila (até 36 kg) em terrenos acidentados (fora de trilhas). Todos os candidatos devem ser capazes, dispostos e qualificados para executar o trabalho descrito e devem es"&amp;"tar disponíveis durante todo o período especificado e trabalhar em todas as áreas de atuação pretendidas. O trabalho é realizado ao ar livre, exposto às intempéries. O candidato deve ser capaz de realizar trabalhos fisicamente extenuantes por longos perío"&amp;"dos, ocasionalmente em condições de calor ou frio extremos. As condições climáticas são variáveis; a carga horária pode sofrer alterações (+/-), podendo haver períodos de inatividade e/ou horas extras. Número de horas por semana: 40. Horário de trabalho ("&amp;"início/término): 7h às 15h30.")</f>
        <v>As funções podem incluir: Manutenção/desenvolvimento de áreas florestais: plantio manual de mudas/árvores. Cavar buracos, plantar mudas, fixá-las compactando o solo e acompanhar seu crescimento. Reduzir a vegetação concorrente: pulverizar/injetar herbicidas e podar árvores ou outras vegetações por meio de limpeza/descarte de galhos, empilhamento e poda, além de outras atividades relacionadas ao trabalho florestal, conforme SOC/OES 45-4011 (onetonline.org). Horário padrão/esperado: Segunda a sexta, das 7h às 15h30. Oferecemos mais de 40 horas semanais, sem incluir almoço e/ou intervalos. Possibilidade de trabalho em fins de semana e feriados. Os horários de início e término, a carga horária e/ou horas extras podem variar, pois dependem de fatores como necessidades do projeto/cronograma/serviço, condições climáticas e tempo de deslocamento entre os locais de trabalho (se aplicável). Horas extras são possíveis, mas não obrigatórias nem garantidas. A critério exclusivo do empregador: possíveis aumentos e/ou bônus com base em fatores individuais, como desempenho no trabalho ou habilidades (não garantidos). Moradia compartilhada opcional disponível sem custo para o trabalhador. Classificação do Cargo: 45-4011.00 - Trabalhadores Florestais e de Conservação. A classificação e descrição do cargo/setor incluem informações gerais sobre a posição, de acordo com o ONET/OES e o Sistema de Classificação Industrial da América do Norte. Consulte as Funções e a Ordem de Serviço para obter mais informações. Requisitos do Cargo Experiência Necessária: Não. Requisitos Especiais: É necessário ter 18 anos devido a viagens. É necessário apresentar comprovante de autorização legal para trabalhar nos Estados Unidos. Ambiente de trabalho livre de drogas, álcool e tabaco. É necessário caminhar bastante (até 24 km/dia), além de se abaixar e se curvar carregando uma mochila (até 36 kg) em terrenos acidentados (fora de trilhas). Todos os candidatos devem ser capazes, dispostos e qualificados para executar o trabalho descrito e devem estar disponíveis durante todo o período especificado e trabalhar em todas as áreas de atuação pretendidas. O trabalho é realizado ao ar livre, exposto às intempéries. O candidato deve ser capaz de realizar trabalhos fisicamente extenuantes por longos períodos, ocasionalmente em condições de calor ou frio extremos. As condições climáticas são variáveis; a carga horária pode sofrer alterações (+/-), podendo haver períodos de inatividade e/ou horas extras. Número de horas por semana: 40. Horário de trabalho (início/término): 7h às 15h30.</v>
      </c>
    </row>
    <row r="213" ht="20.25" customHeight="1">
      <c r="A213" s="8" t="s">
        <v>1213</v>
      </c>
      <c r="B213" s="8" t="s">
        <v>999</v>
      </c>
      <c r="C213" s="8" t="s">
        <v>1000</v>
      </c>
      <c r="D213" s="8" t="s">
        <v>133</v>
      </c>
      <c r="E213" s="9" t="s">
        <v>44</v>
      </c>
      <c r="F213" s="9" t="s">
        <v>20</v>
      </c>
      <c r="G213" s="9" t="s">
        <v>146</v>
      </c>
      <c r="H213" s="8" t="s">
        <v>1001</v>
      </c>
      <c r="I213" s="8" t="s">
        <v>1002</v>
      </c>
      <c r="J213" s="9">
        <v>26.93</v>
      </c>
      <c r="K213" s="9">
        <v>38.0</v>
      </c>
      <c r="L213" s="8" t="s">
        <v>302</v>
      </c>
      <c r="M213" s="8" t="s">
        <v>1214</v>
      </c>
      <c r="N213" s="7" t="str">
        <f>IFERROR(__xludf.DUMMYFUNCTION("GOOGLETRANSLATE(L213, ""en"", ""pt"")"),"Operários da construção civil")</f>
        <v>Operários da construção civil</v>
      </c>
      <c r="O213" s="7" t="str">
        <f>IFERROR(__xludf.DUMMYFUNCTION("IF(M213="""","""",GOOGLETRANSLATE(M213,""en"",""pt""))"),"Executar tarefas menores que envolvam trabalho braçal em canteiro de obras de concreto. Preparar o local para a concretagem, carregando e descarregando materiais, utilizando linhas de referência, cortando madeira com serra circular, utilizando marreta par"&amp;"a cravar estacas no solo, cavando e nivelando a terra com pás, picaretas e compactadores de solo. Sob supervisão, levantar, carregar, fixar, remover, lubrificar e posicionar fôrmas de concreto de madeira e metal utilizando ferramentas manuais e elétricas "&amp;"simples. Auxiliar na concretagem utilizando carrinhos de mão, rastelos de concreto, pás e vibrador de concreto manual. Limpar resíduos e selar juntas. Classificação da Função: 47-2061.00 - Auxiliares de Construção. A classificação e descrição da função/se"&amp;"tor incluem informações gerais sobre o cargo, conforme ONET/OES e o Sistema de Classificação Industrial da América do Norte (NAICS). Consulte as Funções e a Ordem de Serviço para obter mais informações. Requisitos da Função: Experiência Necessária: Sim. M"&amp;"eses de Experiência Necessários: 3. Requisitos Especiais: Trabalho em alguns fins de semana. Necessário suportar temperaturas extremas. Deve ser capaz de levantar e carregar 34 kg por 45 metros. Deslocamentos para locais de trabalho dentro da área de atua"&amp;"ção pretendida. Número de horas por semana: 40. Horário de trabalho (início/término): 7h às 17h.")</f>
        <v>Executar tarefas menores que envolvam trabalho braçal em canteiro de obras de concreto. Preparar o local para a concretagem, carregando e descarregando materiais, utilizando linhas de referência, cortando madeira com serra circular, utilizando marreta para cravar estacas no solo, cavando e nivelando a terra com pás, picaretas e compactadores de solo. Sob supervisão, levantar, carregar, fixar, remover, lubrificar e posicionar fôrmas de concreto de madeira e metal utilizando ferramentas manuais e elétricas simples. Auxiliar na concretagem utilizando carrinhos de mão, rastelos de concreto, pás e vibrador de concreto manual. Limpar resíduos e selar juntas. Classificação da Função: 47-2061.00 - Auxiliares de Construção. A classificação e descrição da função/setor incluem informações gerais sobre o cargo, conforme ONET/OES e o Sistema de Classificação Industrial da América do Norte (NAICS). Consulte as Funções e a Ordem de Serviço para obter mais informações. Requisitos da Função: Experiência Necessária: Sim. Meses de Experiência Necessários: 3. Requisitos Especiais: Trabalho em alguns fins de semana. Necessário suportar temperaturas extremas. Deve ser capaz de levantar e carregar 34 kg por 45 metros. Deslocamentos para locais de trabalho dentro da área de atuação pretendida. Número de horas por semana: 40. Horário de trabalho (início/término): 7h às 17h.</v>
      </c>
    </row>
    <row r="214" ht="20.25" customHeight="1">
      <c r="A214" s="3" t="s">
        <v>1215</v>
      </c>
      <c r="B214" s="3" t="s">
        <v>1216</v>
      </c>
      <c r="C214" s="3" t="s">
        <v>169</v>
      </c>
      <c r="D214" s="3" t="s">
        <v>186</v>
      </c>
      <c r="E214" s="4" t="s">
        <v>19</v>
      </c>
      <c r="F214" s="4" t="s">
        <v>20</v>
      </c>
      <c r="G214" s="4" t="s">
        <v>72</v>
      </c>
      <c r="H214" s="3" t="s">
        <v>1217</v>
      </c>
      <c r="I214" s="3" t="s">
        <v>1218</v>
      </c>
      <c r="J214" s="4">
        <v>17.39</v>
      </c>
      <c r="K214" s="4">
        <v>15.0</v>
      </c>
      <c r="L214" s="3" t="s">
        <v>32</v>
      </c>
      <c r="M214" s="3" t="s">
        <v>1219</v>
      </c>
      <c r="N214" s="7" t="str">
        <f>IFERROR(__xludf.DUMMYFUNCTION("GOOGLETRANSLATE(L214, ""en"", ""pt"")"),"Processador de Ostras")</f>
        <v>Processador de Ostras</v>
      </c>
      <c r="O214" s="7" t="str">
        <f>IFERROR(__xludf.DUMMYFUNCTION("IF(M214="""","""",GOOGLETRANSLATE(M214,""en"",""pt""))"),"Executar trabalho manual de abertura de ostras, utilizando uma faca para abrir delicadamente as ostras vivas. Lavar o lodo e a sujeira das ostras frescas. Inserir a lâmina, aplicando força moderada e vibração, se necessário, na dobradiça entre as duas val"&amp;"vas. Girar a lâmina até ouvir um leve estalo. Deslizar a lâmina para cima para cortar o músculo adutor que mantém a concha fechada, separando a carne da concha. Inspecionar as ostras e remover ostras mortas, com cascas soltas, insensíveis ou com carne sec"&amp;"a, pegajosa ou com mau cheiro. A carne será congelada, enlatada, embalada ou descartada conforme necessário. Limpar e higienizar as áreas de trabalho, aventais e facas. Essas funções envolvem o processamento, preparo e limpeza rotineiros de ostras. Ambien"&amp;"te de trabalho livre de drogas. Testes toxicológicos pós-acidente serão realizados às custas do empregador. Classificação da Função: 51-3022.00 - Cortadores e Aparadores de Carne, Aves e Peixes. A classificação e descrição da função/setor inclui informaçõ"&amp;"es gerais sobre o cargo, de acordo com o ONET/OES e o Sistema de Classificação Industrial da América do Norte (NAICS). Consulte as Funções e a Ordem de Serviço para obter mais informações. Requisitos da Função Experiência Necessária: Não. Requisitos Espec"&amp;"iais: Trabalho aos sábados e domingos, quando necessário. Exame toxicológico obrigatório para funcionários estrangeiros e nacionais após a contratação, em caso de suspeita de uso. Capacidade de levantar/carregar 23 kg (50 lbs), quando necessário. Possuir "&amp;"ou ser capaz de obter carteira de habilitação americana em até 30 dias após a contratação. Número de Horas por Semana: 40. Horário de Trabalho (Início/Término): 8h às 17h.")</f>
        <v>Executar trabalho manual de abertura de ostras, utilizando uma faca para abrir delicadamente as ostras vivas. Lavar o lodo e a sujeira das ostras frescas. Inserir a lâmina, aplicando força moderada e vibração, se necessário, na dobradiça entre as duas valvas. Girar a lâmina até ouvir um leve estalo. Deslizar a lâmina para cima para cortar o músculo adutor que mantém a concha fechada, separando a carne da concha. Inspecionar as ostras e remover ostras mortas, com cascas soltas, insensíveis ou com carne seca, pegajosa ou com mau cheiro. A carne será congelada, enlatada, embalada ou descartada conforme necessário. Limpar e higienizar as áreas de trabalho, aventais e facas. Essas funções envolvem o processamento, preparo e limpeza rotineiros de ostras. Ambiente de trabalho livre de drogas. Testes toxicológicos pós-acidente serão realizados às custas do empregador. Classificação da Função: 51-3022.00 - Cortadores e Aparadores de Carne, Aves e Peixes. A classificação e descrição da função/setor inclui informações gerais sobre o cargo, de acordo com o ONET/OES e o Sistema de Classificação Industrial da América do Norte (NAICS). Consulte as Funções e a Ordem de Serviço para obter mais informações. Requisitos da Função Experiência Necessária: Não. Requisitos Especiais: Trabalho aos sábados e domingos, quando necessário. Exame toxicológico obrigatório para funcionários estrangeiros e nacionais após a contratação, em caso de suspeita de uso. Capacidade de levantar/carregar 23 kg (50 lbs), quando necessário. Possuir ou ser capaz de obter carteira de habilitação americana em até 30 dias após a contratação. Número de Horas por Semana: 40. Horário de Trabalho (Início/Término): 8h às 17h.</v>
      </c>
    </row>
    <row r="215" ht="20.25" customHeight="1">
      <c r="A215" s="8" t="s">
        <v>1220</v>
      </c>
      <c r="B215" s="8" t="s">
        <v>1221</v>
      </c>
      <c r="C215" s="8" t="s">
        <v>17</v>
      </c>
      <c r="D215" s="8" t="s">
        <v>1132</v>
      </c>
      <c r="E215" s="9" t="s">
        <v>19</v>
      </c>
      <c r="F215" s="9" t="s">
        <v>20</v>
      </c>
      <c r="G215" s="9" t="s">
        <v>1222</v>
      </c>
      <c r="H215" s="8" t="s">
        <v>1223</v>
      </c>
      <c r="I215" s="8" t="s">
        <v>1224</v>
      </c>
      <c r="J215" s="9">
        <v>15.6</v>
      </c>
      <c r="K215" s="9">
        <v>3.0</v>
      </c>
      <c r="L215" s="8" t="s">
        <v>1225</v>
      </c>
      <c r="M215" s="8" t="s">
        <v>1226</v>
      </c>
      <c r="N215" s="7" t="str">
        <f>IFERROR(__xludf.DUMMYFUNCTION("GOOGLETRANSLATE(L215, ""en"", ""pt"")"),"Técnico de Serviços de Inverno")</f>
        <v>Técnico de Serviços de Inverno</v>
      </c>
      <c r="O215" s="7" t="str">
        <f>IFERROR(__xludf.DUMMYFUNCTION("IF(M215="""","""",GOOGLETRANSLATE(M215,""en"",""pt""))"),"Os funcionários manterão a parte externa de edifícios comerciais privados (escritórios, centros comerciais) e residenciais limpa e organizada, removendo neve de calçadas, entradas de garagem ou estacionamentos com o uso de sopradores de neve, sopradores d"&amp;"e folhas, ancinhos, trituradores de gelo ou espalhadores de sal; recolherão e descartarão lixo e detritos manualmente ou com um coletor de lixo. Os trabalhadores realizarão a limpeza de propriedades privadas, incluindo a remoção manual de neve/gelo/folhas"&amp;" de calçadas, entradas de garagem, jardins ou estacionamentos usando pás de neve, sopradores de neve, sopradores de folhas, ancinhos, trituradores de gelo ou espalhadores de sal; coleta de lixo/detritos; limpeza após tempestades de outono/inverno, incluin"&amp;"do a remoção de detritos do terreno; e poda de inverno de árvores/arbustos dormentes. Limparão e realizarão a manutenção de rotina de equipamentos e ferramentas quando não estiverem em uso. Nível inicial; requer supervisão. Classificação da Função: 37-301"&amp;"1.00 - Trabalhadores de Paisagismo e Manutenção de Jardins. A classificação e descrição da função/setor inclui informações gerais sobre o cargo, de acordo com o ONET/OES e o Sistema de Classificação Industrial da América do Norte (NAICS). Consulte as Funç"&amp;"ões e a Ordem de Serviço para obter mais informações. Requisitos da Função: Experiência Necessária: Não. Requisitos Especiais: Deve ser capaz de levantar/carregar 23 kg (50 lbs), quando necessário. A semana de trabalho padrão é de 4 dias, de segunda a qui"&amp;"nta-feira. Os turnos/horários de trabalho variam de acordo com o dia e os dias de trabalho variam de acordo com a semana, incluindo sexta-feira, sábado e domingo, quando necessário. O empregador exige teste antidrogas pago pelo empregador para todos os no"&amp;"vos funcionários, estrangeiros e nacionais, antes do início do trabalho e após a contratação, em caso de suspeita de uso e após acidente. A verificação de antecedentes criminais após a contratação é obrigatória para funcionários estrangeiros e nacionais. "&amp;"O empregador pode oferecer mais horas de trabalho do que as estipuladas, dependendo do clima, das necessidades da empresa e de outras condições. Calor extremo, frio, chuva ou seca podem afetar o horário de trabalho exato. Número de horas por semana: 40 Ho"&amp;"rário de trabalho (início/término): 8h00 - 19h00")</f>
        <v>Os funcionários manterão a parte externa de edifícios comerciais privados (escritórios, centros comerciais) e residenciais limpa e organizada, removendo neve de calçadas, entradas de garagem ou estacionamentos com o uso de sopradores de neve, sopradores de folhas, ancinhos, trituradores de gelo ou espalhadores de sal; recolherão e descartarão lixo e detritos manualmente ou com um coletor de lixo. Os trabalhadores realizarão a limpeza de propriedades privadas, incluindo a remoção manual de neve/gelo/folhas de calçadas, entradas de garagem, jardins ou estacionamentos usando pás de neve, sopradores de neve, sopradores de folhas, ancinhos, trituradores de gelo ou espalhadores de sal; coleta de lixo/detritos; limpeza após tempestades de outono/inverno, incluindo a remoção de detritos do terreno; e poda de inverno de árvores/arbustos dormentes. Limparão e realizarão a manutenção de rotina de equipamentos e ferramentas quando não estiverem em uso. Nível inicial; requer supervisão. Classificação da Função: 37-3011.00 - Trabalhadores de Paisagismo e Manutenção de Jardins. A classificação e descrição da função/setor inclui informações gerais sobre o cargo, de acordo com o ONET/OES e o Sistema de Classificação Industrial da América do Norte (NAICS). Consulte as Funções e a Ordem de Serviço para obter mais informações. Requisitos da Função: Experiência Necessária: Não. Requisitos Especiais: Deve ser capaz de levantar/carregar 23 kg (50 lbs), quando necessário. A semana de trabalho padrão é de 4 dias, de segunda a quinta-feira. Os turnos/horários de trabalho variam de acordo com o dia e os dias de trabalho variam de acordo com a semana, incluindo sexta-feira, sábado e domingo, quando necessário. O empregador exige teste antidrogas pago pelo empregador para todos os novos funcionários, estrangeiros e nacionais, antes do início do trabalho e após a contratação, em caso de suspeita de uso e após acidente. A verificação de antecedentes criminais após a contratação é obrigatória para funcionários estrangeiros e nacionais. O empregador pode oferecer mais horas de trabalho do que as estipuladas, dependendo do clima, das necessidades da empresa e de outras condições. Calor extremo, frio, chuva ou seca podem afetar o horário de trabalho exato. Número de horas por semana: 40 Horário de trabalho (início/término): 8h00 - 19h00</v>
      </c>
    </row>
    <row r="216" ht="20.25" customHeight="1">
      <c r="A216" s="3" t="s">
        <v>1227</v>
      </c>
      <c r="B216" s="3" t="s">
        <v>1228</v>
      </c>
      <c r="C216" s="3" t="s">
        <v>27</v>
      </c>
      <c r="D216" s="3" t="s">
        <v>249</v>
      </c>
      <c r="E216" s="4" t="s">
        <v>19</v>
      </c>
      <c r="F216" s="4" t="s">
        <v>20</v>
      </c>
      <c r="G216" s="4" t="s">
        <v>404</v>
      </c>
      <c r="H216" s="3" t="s">
        <v>1229</v>
      </c>
      <c r="I216" s="3" t="s">
        <v>1230</v>
      </c>
      <c r="J216" s="4">
        <v>25.36</v>
      </c>
      <c r="K216" s="4">
        <v>10.0</v>
      </c>
      <c r="L216" s="3" t="s">
        <v>165</v>
      </c>
      <c r="M216" s="3" t="s">
        <v>982</v>
      </c>
      <c r="N216" s="7" t="str">
        <f>IFERROR(__xludf.DUMMYFUNCTION("GOOGLETRANSLATE(L216, ""en"", ""pt"")"),"Trabalhador de remoção de neve")</f>
        <v>Trabalhador de remoção de neve</v>
      </c>
      <c r="O216" s="7" t="str">
        <f>IFERROR(__xludf.DUMMYFUNCTION("IF(M216="""","""",GOOGLETRANSLATE(M216,""en"",""pt""))"),"As funções podem incluir: realizar manutenção de neve/gelo em áreas comerciais e residenciais, incluindo limpeza após tempestades de inverno, coleta de lixo/detritos, remoção de neve/gelo e poda de inverno de árvores/arbustos dormentes. Demarcar proprieda"&amp;"des para que os operadores de máquinas de remoção de neve saibam onde arar. Utilizar ferramentas manuais e equipamentos como picadores de gelo, pás e sopradores. Espalhar sal/produtos químicos para degelo em calçadas, entradas de garagem e estacionamentos"&amp;". Trabalhadores com carteira de habilitação válida nos EUA podem operar uma caminhonete com tração nas quatro rodas e implemento de arado frontal (dirigir não é um requisito para todos os trabalhadores da função). Limpar e realizar manutenção de rotina e/"&amp;"ou pequenos reparos em equipamentos e ferramentas quando não estiverem em uso, além de outras atividades relacionadas à remoção de neve, conforme SOC/OES 47-4051 (onetonline.org). Horário padrão/esperado: segunda a sexta, das 7h às 15h30. Oferecemos mais "&amp;"de 35 horas semanais, sem incluir almoço e/ou intervalos. Possibilidade de trabalho nos fins de semana e feriados. Os horários de início e término, a carga horária oferecida e/ou a possibilidade de horas extras podem variar, pois dependem de fatores como "&amp;"necessidades do projeto/cronograma/serviço, condições climáticas e tempo de deslocamento entre os locais de trabalho (se aplicável). Horas extras são possíveis, mas não obrigatórias nem garantidas. A critério exclusivo do empregador: aumentos salariais e/"&amp;"ou bônus podem ser concedidos com base em fatores individuais, como desempenho ou habilidades (não garantidos). Classificação da vaga: 47-4051.00 - Trabalhadores de Manutenção de Rodovias. A classificação e a descrição da vaga/setor incluem informações ge"&amp;"rais sobre o cargo, conforme o ONET/OES e o Sistema de Classificação Industrial da América do Norte (NAICS). Consulte as Funções e a Ordem de Serviço para obter mais informações. Requisitos da vaga: Experiência exigida: Não. Requisitos especiais: É necess"&amp;"ário ter 18 anos ou mais devido a questões de seguro. É necessário apresentar comprovante de autorização legal para trabalhar nos Estados Unidos. Ambiente de trabalho livre de drogas, álcool e tabaco. Executar atividades físicas, como levantar, equilibrar"&amp;"-se, caminhar, abaixar-se, manusear, posicionar, mover e manipular materiais; usar força estática para exercer força muscular máxima para levantar, empurrar, puxar e carregar objetos de até 23 kg. Todos os candidatos devem ser capazes, estar dispostos e q"&amp;"ualificados para executar o trabalho descrito e devem estar disponíveis durante todo o período especificado e trabalhar em todas as áreas do emprego pretendido. A critério do empregador/custo: o trabalhador poderá ser submetido a testes aleatórios de drog"&amp;"as/álcool durante o emprego: teste positivo/recusa em cumprir o teste = demissão. Possível verificação de antecedentes após a contratação, às custas do empregador. O trabalho é realizado ao ar livre, exposto às intempéries; o candidato deve ser capaz de r"&amp;"ealizar trabalho fisicamente extenuante por longos períodos, ocasionalmente em calor ou frio extremos. As condições climáticas são variáveis; a carga horária pode sofrer alterações (+/-), podendo haver períodos de inatividade e/ou horas extras. Número de "&amp;"horas por semana: 35. Horário de trabalho (início/término): 7h00 - 15h30.")</f>
        <v>As funções podem incluir: realizar manutenção de neve/gelo em áreas comerciais e residenciais, incluindo limpeza após tempestades de inverno, coleta de lixo/detritos, remoção de neve/gelo e poda de inverno de árvores/arbustos dormentes. Demarcar propriedades para que os operadores de máquinas de remoção de neve saibam onde arar. Utilizar ferramentas manuais e equipamentos como picadores de gelo, pás e sopradores. Espalhar sal/produtos químicos para degelo em calçadas, entradas de garagem e estacionamentos. Trabalhadores com carteira de habilitação válida nos EUA podem operar uma caminhonete com tração nas quatro rodas e implemento de arado frontal (dirigir não é um requisito para todos os trabalhadores da função). Limpar e realizar manutenção de rotina e/ou pequenos reparos em equipamentos e ferramentas quando não estiverem em uso, além de outras atividades relacionadas à remoção de neve, conforme SOC/OES 47-4051 (onetonline.org). Horário padrão/esperado: segunda a sexta, das 7h às 15h30. Oferecemos mais de 35 horas semanais, sem incluir almoço e/ou intervalos. Possibilidade de trabalho nos fins de semana e feriados. Os horários de início e término, a carga horária oferecida e/ou a possibilidade de horas extras podem variar, pois dependem de fatores como necessidades do projeto/cronograma/serviço, condições climáticas e tempo de deslocamento entre os locais de trabalho (se aplicável). Horas extras são possíveis, mas não obrigatórias nem garantidas. A critério exclusivo do empregador: aumentos salariais e/ou bônus podem ser concedidos com base em fatores individuais, como desempenho ou habilidades (não garantidos). Classificação da vaga: 47-4051.00 - Trabalhadores de Manutenção de Rodovias. A classificação e a descrição da vaga/setor incluem informações gerais sobre o cargo, conforme o ONET/OES e o Sistema de Classificação Industrial da América do Norte (NAICS). Consulte as Funções e a Ordem de Serviço para obter mais informações. Requisitos da vaga: Experiência exigida: Não. Requisitos especiais: É necessário ter 18 anos ou mais devido a questões de seguro. É necessário apresentar comprovante de autorização legal para trabalhar nos Estados Unidos. Ambiente de trabalho livre de drogas, álcool e tabaco. Executar atividades físicas, como levantar, equilibrar-se, caminhar, abaixar-se, manusear, posicionar, mover e manipular materiais; usar força estática para exercer força muscular máxima para levantar, empurrar, puxar e carregar objetos de até 23 kg. Todos os candidatos devem ser capazes, estar dispostos e qualificados para executar o trabalho descrito e devem estar disponíveis durante todo o período especificado e trabalhar em todas as áreas do emprego pretendido. A critério do empregador/custo: o trabalhador poderá ser submetido a testes aleatórios de drogas/álcool durante o emprego: teste positivo/recusa em cumprir o teste = demissão. Possível verificação de antecedentes após a contratação, às custas do empregador. O trabalho é realizado ao ar livre, exposto às intempéries; o candidato deve ser capaz de realizar trabalho fisicamente extenuante por longos períodos, ocasionalmente em calor ou frio extremos. As condições climáticas são variáveis; a carga horária pode sofrer alterações (+/-), podendo haver períodos de inatividade e/ou horas extras. Número de horas por semana: 35. Horário de trabalho (início/término): 7h00 - 15h30.</v>
      </c>
    </row>
    <row r="217" ht="20.25" customHeight="1">
      <c r="A217" s="8" t="s">
        <v>1231</v>
      </c>
      <c r="B217" s="8" t="s">
        <v>1232</v>
      </c>
      <c r="C217" s="8" t="s">
        <v>93</v>
      </c>
      <c r="D217" s="8" t="s">
        <v>284</v>
      </c>
      <c r="E217" s="9" t="s">
        <v>19</v>
      </c>
      <c r="F217" s="9" t="s">
        <v>20</v>
      </c>
      <c r="G217" s="9" t="s">
        <v>524</v>
      </c>
      <c r="H217" s="8" t="s">
        <v>1233</v>
      </c>
      <c r="I217" s="8" t="s">
        <v>1234</v>
      </c>
      <c r="J217" s="9">
        <v>17.4</v>
      </c>
      <c r="K217" s="9">
        <v>4.0</v>
      </c>
      <c r="L217" s="8" t="s">
        <v>1235</v>
      </c>
      <c r="M217" s="8" t="s">
        <v>1236</v>
      </c>
      <c r="N217" s="7" t="str">
        <f>IFERROR(__xludf.DUMMYFUNCTION("GOOGLETRANSLATE(L217, ""en"", ""pt"")"),"Auxiliar de Armazém e Movimentador de Materiais")</f>
        <v>Auxiliar de Armazém e Movimentador de Materiais</v>
      </c>
      <c r="O217" s="7" t="str">
        <f>IFERROR(__xludf.DUMMYFUNCTION("IF(M217="""","""",GOOGLETRANSLATE(M217,""en"",""pt""))"),"Limpar, organizar e manter o estoque de produtos frescos. Mover os produtos conforme necessário para garantir a rotação adequada das flores em todas as câmaras frigoríficas e locais de armazenamento. Separar e organizar as flores para a sala de design, ma"&amp;"ntendo as áreas de trabalho abastecidas. Cortar e processar as flores nos dias de entrega; rotacionar os produtos em todas as câmaras frigoríficas conforme necessário. Manter as áreas de trabalho seguras e limpas, esvaziando o lixo (duas vezes ao dia), va"&amp;"rrendo o chão e limpando derramamentos/detritos conforme necessário. Preparar os carrinhos de recebimento e as áreas de armazenamento antes das entregas de flores. Auxiliar no descarregamento manual de caminhões de estoque e suprimentos; mover e armazenar"&amp;" o estoque nos locais corretos. Apoiar as operações de fim de ano, movendo, organizando e preparando o estoque sazonal. Entregar o estoque de fim de ano nos locais de trabalho dos clientes e auxiliar no transporte de produtos, ferramentas e suprimentos pa"&amp;"ra as instalações. Auxiliar na limpeza dos locais de trabalho após o fim do ano, removendo detritos e itens soltos conforme necessário. Apoiar as operações, movendo, organizando e preparando o estoque e as plantas para paisagismo. Entregar o estoque de pa"&amp;"isagismo nos locais de trabalho dos clientes conforme necessário. Manter as instalações da estufa (interior e exterior) limpas, mantendo as áreas livres de detritos e devolvendo os recipientes, suprimentos e ferramentas ao armazenamento adequado. Classifi"&amp;"cação da Função: 53-7062.00 - Operários e Movimentadores de Carga, Estoque e Materiais. A classificação e descrição da função/setor inclui informações gerais sobre o cargo, de acordo com o ONET/OES e o Sistema de Classificação Industrial da América do Nor"&amp;"te (NAICS). Consulte as Funções e a Ordem de Serviço para obter mais informações. Requisitos da Função Experiência Necessária: Não. Requisitos Especiais: Deve ser capaz de levantar/carregar 23 kg, quando necessário. Trabalho aos sábados e domingos, quando"&amp;" necessário. Exame toxicológico pago pelo empregador é obrigatório para trabalhadores estrangeiros e nacionais antes do início do trabalho e após a contratação, em caso de acidente. Carteira de habilitação é exigida apenas para trabalhadores estrangeiros "&amp;"e nacionais que dirigem veículos da empresa (dirigir não é um requisito para todos os funcionários da função). O empregador pode oferecer mais horas de trabalho do que as indicadas, dependendo do clima, das necessidades da empresa e de outras condições. C"&amp;"alor extremo, frio, chuva ou seca podem afetar o horário de trabalho exato. Número de Horas por Semana: 40. Horário de Trabalho (Início/Término): 8h00 - 16h30.")</f>
        <v>Limpar, organizar e manter o estoque de produtos frescos. Mover os produtos conforme necessário para garantir a rotação adequada das flores em todas as câmaras frigoríficas e locais de armazenamento. Separar e organizar as flores para a sala de design, mantendo as áreas de trabalho abastecidas. Cortar e processar as flores nos dias de entrega; rotacionar os produtos em todas as câmaras frigoríficas conforme necessário. Manter as áreas de trabalho seguras e limpas, esvaziando o lixo (duas vezes ao dia), varrendo o chão e limpando derramamentos/detritos conforme necessário. Preparar os carrinhos de recebimento e as áreas de armazenamento antes das entregas de flores. Auxiliar no descarregamento manual de caminhões de estoque e suprimentos; mover e armazenar o estoque nos locais corretos. Apoiar as operações de fim de ano, movendo, organizando e preparando o estoque sazonal. Entregar o estoque de fim de ano nos locais de trabalho dos clientes e auxiliar no transporte de produtos, ferramentas e suprimentos para as instalações. Auxiliar na limpeza dos locais de trabalho após o fim do ano, removendo detritos e itens soltos conforme necessário. Apoiar as operações, movendo, organizando e preparando o estoque e as plantas para paisagismo. Entregar o estoque de paisagismo nos locais de trabalho dos clientes conforme necessário. Manter as instalações da estufa (interior e exterior) limpas, mantendo as áreas livres de detritos e devolvendo os recipientes, suprimentos e ferramentas ao armazenamento adequado. Classificação da Função: 53-7062.00 - Operários e Movimentadores de Carga, Estoque e Materiais. A classificação e descrição da função/setor inclui informações gerais sobre o cargo, de acordo com o ONET/OES e o Sistema de Classificação Industrial da América do Norte (NAICS). Consulte as Funções e a Ordem de Serviço para obter mais informações. Requisitos da Função Experiência Necessária: Não. Requisitos Especiais: Deve ser capaz de levantar/carregar 23 kg, quando necessário. Trabalho aos sábados e domingos, quando necessário. Exame toxicológico pago pelo empregador é obrigatório para trabalhadores estrangeiros e nacionais antes do início do trabalho e após a contratação, em caso de acidente. Carteira de habilitação é exigida apenas para trabalhadores estrangeiros e nacionais que dirigem veículos da empresa (dirigir não é um requisito para todos os funcionários da função). O empregador pode oferecer mais horas de trabalho do que as indicadas, dependendo do clima, das necessidades da empresa e de outras condições. Calor extremo, frio, chuva ou seca podem afetar o horário de trabalho exato. Número de Horas por Semana: 40. Horário de Trabalho (Início/Término): 8h00 - 16h30.</v>
      </c>
    </row>
    <row r="218" ht="20.25" customHeight="1">
      <c r="A218" s="3" t="s">
        <v>1237</v>
      </c>
      <c r="B218" s="3" t="s">
        <v>1238</v>
      </c>
      <c r="C218" s="3" t="s">
        <v>125</v>
      </c>
      <c r="D218" s="3" t="s">
        <v>254</v>
      </c>
      <c r="E218" s="4" t="s">
        <v>19</v>
      </c>
      <c r="F218" s="4" t="s">
        <v>20</v>
      </c>
      <c r="G218" s="4" t="s">
        <v>236</v>
      </c>
      <c r="H218" s="3" t="s">
        <v>1239</v>
      </c>
      <c r="I218" s="3" t="s">
        <v>1240</v>
      </c>
      <c r="J218" s="4">
        <v>15.75</v>
      </c>
      <c r="K218" s="4">
        <v>9.0</v>
      </c>
      <c r="L218" s="3" t="s">
        <v>129</v>
      </c>
      <c r="M218" s="3" t="s">
        <v>1241</v>
      </c>
      <c r="N218" s="7" t="str">
        <f>IFERROR(__xludf.DUMMYFUNCTION("GOOGLETRANSLATE(L218, ""en"", ""pt"")"),"Trabalhador de paisagismo e manutenção de jardins")</f>
        <v>Trabalhador de paisagismo e manutenção de jardins</v>
      </c>
      <c r="O218" s="7" t="str">
        <f>IFERROR(__xludf.DUMMYFUNCTION("IF(M218="""","""",GOOGLETRANSLATE(M218,""en"",""pt""))"),"As funções incluem a instalação de árvores, arbustos ou flores durante o período de dormência, seguindo o padrão de design apropriado. Isso inclui descarregar materiais, cavar buracos para o sistema radicular, cobrir os buracos adequadamente e, às vezes, "&amp;"colocar grama em placas, plantar sementes de grama ou conectar a irrigação. Também envolve a remoção de folhas, plantio de sementes e palha, aeração do gramado, plantio de arbustos, escavação, rastelagem e instalação de blocos de concreto pré-moldados sem"&amp;" argamassa. Os trabalhadores podem coletar e remover lixo, regar gramados, árvores e plantas semeadas, além de podar árvores, arbustos ou sebes. Podem operar equipamentos motorizados e dirigir veículos até os locais dos clientes. As tarefas podem incluir "&amp;"colocação de grama em placas, corte de grama, rega de plantas e gramados, transplante de plantas, fertilização, escavação, rastelagem e instalação de aspersores. Os funcionários cavarão valas com no máximo 15 a 30 cm de profundidade e 15 a 30 cm de largur"&amp;"a com pás e ferramentas manuais. Essas valas são usadas para acomodar a tubulação utilizada na instalação de sistemas de irrigação. Toda a poda/aparamento será feita no solo. Os trabalhadores não realizarão nenhuma atividade de poda ou corte acima do níve"&amp;"l do solo. O trabalhador poderá transportar outros trabalhadores de e para os locais de trabalho ocasionalmente, porém esta não será sua principal função. Classificação da Função: 37-3011.00 - Trabalhadores de Paisagismo e Manutenção de Jardins. A classif"&amp;"icação e descrição da função/setor inclui informações gerais sobre o cargo, de acordo com o ONET/OES e o Sistema de Classificação Industrial da América do Norte (NAICS). Consulte as Funções e a Ordem de Serviço para obter mais informações. Requisitos da F"&amp;"unção Experiência Necessária: Sim Meses de Experiência Necessários: 3 Requisitos Especiais: 3 meses de experiência em paisagismo. Deve ser capaz de levantar 23 kg, realizar movimentos repetitivos, empurrar/puxar com frequência, caminhar bastante, agachar-"&amp;"se frequentemente e estar exposto a temperaturas extremas. Número de Horas por Semana: 40 Horário de Trabalho (Início/Término): 7h às 16h.")</f>
        <v>As funções incluem a instalação de árvores, arbustos ou flores durante o período de dormência, seguindo o padrão de design apropriado. Isso inclui descarregar materiais, cavar buracos para o sistema radicular, cobrir os buracos adequadamente e, às vezes, colocar grama em placas, plantar sementes de grama ou conectar a irrigação. Também envolve a remoção de folhas, plantio de sementes e palha, aeração do gramado, plantio de arbustos, escavação, rastelagem e instalação de blocos de concreto pré-moldados sem argamassa. Os trabalhadores podem coletar e remover lixo, regar gramados, árvores e plantas semeadas, além de podar árvores, arbustos ou sebes. Podem operar equipamentos motorizados e dirigir veículos até os locais dos clientes. As tarefas podem incluir colocação de grama em placas, corte de grama, rega de plantas e gramados, transplante de plantas, fertilização, escavação, rastelagem e instalação de aspersores. Os funcionários cavarão valas com no máximo 15 a 30 cm de profundidade e 15 a 30 cm de largura com pás e ferramentas manuais. Essas valas são usadas para acomodar a tubulação utilizada na instalação de sistemas de irrigação. Toda a poda/aparamento será feita no solo. Os trabalhadores não realizarão nenhuma atividade de poda ou corte acima do nível do solo. O trabalhador poderá transportar outros trabalhadores de e para os locais de trabalho ocasionalmente, porém esta não será sua principal função. Classificação da Função: 37-3011.00 - Trabalhadores de Paisagismo e Manutenção de Jardins. A classificação e descrição da função/setor inclui informações gerais sobre o cargo, de acordo com o ONET/OES e o Sistema de Classificação Industrial da América do Norte (NAICS). Consulte as Funções e a Ordem de Serviço para obter mais informações. Requisitos da Função Experiência Necessária: Sim Meses de Experiência Necessários: 3 Requisitos Especiais: 3 meses de experiência em paisagismo. Deve ser capaz de levantar 23 kg, realizar movimentos repetitivos, empurrar/puxar com frequência, caminhar bastante, agachar-se frequentemente e estar exposto a temperaturas extremas. Número de Horas por Semana: 40 Horário de Trabalho (Início/Término): 7h às 16h.</v>
      </c>
    </row>
    <row r="219" ht="20.25" customHeight="1">
      <c r="A219" s="8" t="s">
        <v>1242</v>
      </c>
      <c r="B219" s="8" t="s">
        <v>1243</v>
      </c>
      <c r="C219" s="8" t="s">
        <v>169</v>
      </c>
      <c r="D219" s="8" t="s">
        <v>140</v>
      </c>
      <c r="E219" s="9" t="s">
        <v>44</v>
      </c>
      <c r="F219" s="9" t="s">
        <v>20</v>
      </c>
      <c r="G219" s="9" t="s">
        <v>384</v>
      </c>
      <c r="H219" s="8" t="s">
        <v>1244</v>
      </c>
      <c r="I219" s="8"/>
      <c r="J219" s="9">
        <v>15.51</v>
      </c>
      <c r="K219" s="9">
        <v>20.0</v>
      </c>
      <c r="L219" s="8" t="s">
        <v>1245</v>
      </c>
      <c r="M219" s="8" t="s">
        <v>1246</v>
      </c>
      <c r="N219" s="7" t="str">
        <f>IFERROR(__xludf.DUMMYFUNCTION("GOOGLETRANSLATE(L219, ""en"", ""pt"")"),"Operário de Produção")</f>
        <v>Operário de Produção</v>
      </c>
      <c r="O219" s="7" t="str">
        <f>IFERROR(__xludf.DUMMYFUNCTION("IF(M219="""","""",GOOGLETRANSLATE(M219,""en"",""pt""))"),"Os funcionários geralmente executam uma variedade de tarefas em uma unidade de produção, que podem incluir: enchimento de sacos com fertilizantes ou pesticidas, ou segurando o saco no lugar sob o bico/calha enquanto o produto o enche; etiquetagem e selage"&amp;"m de sacos usando uma seladora a ar quente que aquece o saco para selá-lo sem a necessidade de fechos/materiais adicionais; e embalagem de sacos em caixas ou empilhamento de sacos em paletes. Manter a área de trabalho e os equipamentos limpos. Nível inici"&amp;"al; requer supervisão. Classificação do Cargo: 53-7064.00 - Embaladores e Acondicionadores Manuais. A classificação e descrição do cargo/setor incluem informações gerais sobre a posição, de acordo com o ONET/OES e o Sistema de Classificação Industrial da "&amp;"América do Norte. Consulte as Funções e a Ordem de Serviço para obter mais informações. Requisitos do Cargo: Experiência Necessária: Não. Requisitos Especiais: Deve levantar/carregar 23 kg, quando necessário. Trabalho aos sábados e domingos, quando necess"&amp;"ário. Teste de drogas pago pelo empregador é obrigatório para trabalhadores estrangeiros e nacionais antes do início do trabalho e após a contratação, aleatoriamente e após acidentes. É obrigatória a verificação de antecedentes e de elegibilidade para emp"&amp;"rego (e-Verify) após a contratação de trabalhadores estrangeiros e nacionais. Treinamento de segurança obrigatório para todos os novos contratados, estrangeiros e nacionais. Somos uma empresa que oferece igualdade de oportunidades de emprego e todos os ca"&amp;"ndidatos qualificados serão considerados para a vaga, independentemente de raça, cor, religião, sexo, nacionalidade, deficiência, condição de veterano protegido, orientação sexual, identidade de gênero ou qualquer outra característica protegida por lei. O"&amp;" empregador poderá oferecer uma jornada de trabalho superior à estipulada, dependendo das condições climáticas, das necessidades da empresa e de outros fatores. Calor extremo, frio, chuva ou seca podem afetar o horário de trabalho exato. Número de horas p"&amp;"or semana: 40. Horário de trabalho (início/término): 7h às 16h.")</f>
        <v>Os funcionários geralmente executam uma variedade de tarefas em uma unidade de produção, que podem incluir: enchimento de sacos com fertilizantes ou pesticidas, ou segurando o saco no lugar sob o bico/calha enquanto o produto o enche; etiquetagem e selagem de sacos usando uma seladora a ar quente que aquece o saco para selá-lo sem a necessidade de fechos/materiais adicionais; e embalagem de sacos em caixas ou empilhamento de sacos em paletes. Manter a área de trabalho e os equipamentos limpos. Nível inicial; requer supervisão. Classificação do Cargo: 53-7064.00 - Embaladores e Acondicionadores Manuais. A classificação e descrição do cargo/setor incluem informações gerais sobre a posição, de acordo com o ONET/OES e o Sistema de Classificação Industrial da América do Norte. Consulte as Funções e a Ordem de Serviço para obter mais informações. Requisitos do Cargo: Experiência Necessária: Não. Requisitos Especiais: Deve levantar/carregar 23 kg, quando necessário. Trabalho aos sábados e domingos, quando necessário. Teste de drogas pago pelo empregador é obrigatório para trabalhadores estrangeiros e nacionais antes do início do trabalho e após a contratação, aleatoriamente e após acidentes. É obrigatória a verificação de antecedentes e de elegibilidade para emprego (e-Verify) após a contratação de trabalhadores estrangeiros e nacionais. Treinamento de segurança obrigatório para todos os novos contratados, estrangeiros e nacionais. Somos uma empresa que oferece igualdade de oportunidades de emprego e todos os candidatos qualificados serão considerados para a vaga, independentemente de raça, cor, religião, sexo, nacionalidade, deficiência, condição de veterano protegido, orientação sexual, identidade de gênero ou qualquer outra característica protegida por lei. O empregador poderá oferecer uma jornada de trabalho superior à estipulada, dependendo das condições climáticas, das necessidades da empresa e de outros fatores. Calor extremo, frio, chuva ou seca podem afetar o horário de trabalho exato. Número de horas por semana: 40. Horário de trabalho (início/término): 7h às 16h.</v>
      </c>
    </row>
    <row r="220" ht="20.25" customHeight="1">
      <c r="A220" s="3" t="s">
        <v>1247</v>
      </c>
      <c r="B220" s="3" t="s">
        <v>1248</v>
      </c>
      <c r="C220" s="3" t="s">
        <v>17</v>
      </c>
      <c r="D220" s="3" t="s">
        <v>51</v>
      </c>
      <c r="E220" s="4" t="s">
        <v>44</v>
      </c>
      <c r="F220" s="4" t="s">
        <v>20</v>
      </c>
      <c r="G220" s="4" t="s">
        <v>56</v>
      </c>
      <c r="H220" s="3" t="s">
        <v>1249</v>
      </c>
      <c r="I220" s="3" t="s">
        <v>1250</v>
      </c>
      <c r="J220" s="4">
        <v>16.34</v>
      </c>
      <c r="K220" s="4">
        <v>11.0</v>
      </c>
      <c r="L220" s="3" t="s">
        <v>321</v>
      </c>
      <c r="M220" s="3" t="s">
        <v>1251</v>
      </c>
      <c r="N220" s="7" t="str">
        <f>IFERROR(__xludf.DUMMYFUNCTION("GOOGLETRANSLATE(L220, ""en"", ""pt"")"),"Trabalhadores de paisagismo")</f>
        <v>Trabalhadores de paisagismo</v>
      </c>
      <c r="O220" s="7" t="str">
        <f>IFERROR(__xludf.DUMMYFUNCTION("IF(M220="""","""",GOOGLETRANSLATE(M220,""en"",""pt""))"),"Paisagismo e manutenção de terrenos utilizando ferramentas manuais ou elétricas. Os trabalhadores geralmente executam uma variedade de tarefas, que podem incluir qualquer combinação das seguintes: colocação de grama, corte de grama, aparar a grama, fazer "&amp;"bordas, plantar, regar, fertilizar, cavar, colocar cobertura morta, rastelar, aplicar pesticidas com pulverizador e auxiliar na instalação de sistemas de drenagem e irrigação. Classificação da vaga: 37-3011.00 - Trabalhadores de Paisagismo e Manutenção de"&amp;" Terrenos. A classificação e descrição da vaga/setor incluem informações gerais sobre o cargo, de acordo com o ONET/OES e o Sistema de Classificação Industrial da América do Norte (NAICS). Consulte as Funções e a Ordem de Serviço para obter mais informaçõ"&amp;"es. Requisitos da vaga: Experiência exigida: Não. Requisitos especiais: Deve ser capaz de levantar/carregar 23 kg, quando necessário. Trabalho aos sábados e domingos, quando necessário. Teste antidrogas pago pelo empregador é obrigatório para trabalhadore"&amp;"s estrangeiros e nacionais antes do início do trabalho e após a contratação, em caso de suspeita de uso. Verificação de antecedentes e elegibilidade para emprego (e-Verify) após a contratação é obrigatória para trabalhadores estrangeiros e nacionais. O em"&amp;"pregador poderá oferecer uma jornada de trabalho superior à estipulada, dependendo das condições climáticas, das necessidades da empresa e de outros fatores. Calor extremo, frio intenso, chuva ou seca podem afetar o horário de trabalho exato. Número de ho"&amp;"ras por semana: 40. Horário de trabalho (início/término): 7h às 15h30.")</f>
        <v>Paisagismo e manutenção de terrenos utilizando ferramentas manuais ou elétricas. Os trabalhadores geralmente executam uma variedade de tarefas, que podem incluir qualquer combinação das seguintes: colocação de grama, corte de grama, aparar a grama, fazer bordas, plantar, regar, fertilizar, cavar, colocar cobertura morta, rastelar, aplicar pesticidas com pulverizador e auxiliar na instalação de sistemas de drenagem e irrigação. Classificação da vaga: 37-3011.00 - Trabalhadores de Paisagismo e Manutenção de Terrenos. A classificação e descrição da vaga/setor incluem informações gerais sobre o cargo, de acordo com o ONET/OES e o Sistema de Classificação Industrial da América do Norte (NAICS). Consulte as Funções e a Ordem de Serviço para obter mais informações. Requisitos da vaga: Experiência exigida: Não. Requisitos especiais: Deve ser capaz de levantar/carregar 23 kg, quando necessário. Trabalho aos sábados e domingos, quando necessário. Teste antidrogas pago pelo empregador é obrigatório para trabalhadores estrangeiros e nacionais antes do início do trabalho e após a contratação, em caso de suspeita de uso. Verificação de antecedentes e elegibilidade para emprego (e-Verify) após a contratação é obrigatória para trabalhadores estrangeiros e nacionais. O empregador poderá oferecer uma jornada de trabalho superior à estipulada, dependendo das condições climáticas, das necessidades da empresa e de outros fatores. Calor extremo, frio intenso, chuva ou seca podem afetar o horário de trabalho exato. Número de horas por semana: 40. Horário de trabalho (início/término): 7h às 15h30.</v>
      </c>
    </row>
    <row r="221" ht="20.25" customHeight="1">
      <c r="A221" s="8" t="s">
        <v>1252</v>
      </c>
      <c r="B221" s="8" t="s">
        <v>1253</v>
      </c>
      <c r="C221" s="8" t="s">
        <v>363</v>
      </c>
      <c r="D221" s="8" t="s">
        <v>87</v>
      </c>
      <c r="E221" s="9" t="s">
        <v>19</v>
      </c>
      <c r="F221" s="9" t="s">
        <v>20</v>
      </c>
      <c r="G221" s="9" t="s">
        <v>236</v>
      </c>
      <c r="H221" s="8" t="s">
        <v>1254</v>
      </c>
      <c r="I221" s="8" t="s">
        <v>1255</v>
      </c>
      <c r="J221" s="9">
        <v>18.21</v>
      </c>
      <c r="K221" s="9">
        <v>34.0</v>
      </c>
      <c r="L221" s="8" t="s">
        <v>1256</v>
      </c>
      <c r="M221" s="8" t="s">
        <v>1257</v>
      </c>
      <c r="N221" s="7" t="str">
        <f>IFERROR(__xludf.DUMMYFUNCTION("GOOGLETRANSLATE(L221, ""en"", ""pt"")"),"Operário, Paisagismo e Irrigação")</f>
        <v>Operário, Paisagismo e Irrigação</v>
      </c>
      <c r="O221" s="7" t="str">
        <f>IFERROR(__xludf.DUMMYFUNCTION("IF(M221="""","""",GOOGLETRANSLATE(M221,""en"",""pt""))"),"As funções podem incluir: Manutenção de gramados/propriedades utilizando ferramentas/equipamentos manuais ou elétricos. Atividades: colocar grama, cortar, aparar, plantar, regar, fertilizar, cavar, rastelar, auxiliar na instalação de irrigação, aplicar co"&amp;"bertura morta, podar arbustos, capinar, aerar, remover e eliminar palha morta. Realizar a manutenção adequada de calçadas, entradas de veículos, estacionamentos, fontes, floreiras, cemitérios ou outras estruturas do terreno, além de outras atividades rela"&amp;"cionadas a serviços gerais, paisagismo e irrigação, conforme SOC/OES 37-3011 (onetonline.org). Horário padrão/esperado: Segunda a sexta, das 7h30 às 17h30. Oferecemos mais de 40 horas semanais, sem incluir almoço e/ou intervalos. Possibilidade de trabalho"&amp;" em fins de semana e feriados. Os horários de início e término, a carga horária oferecida e/ou a possibilidade de horas extras podem variar, pois dependem de fatores como necessidades do projeto/cronograma/serviço, condições climáticas e tempo de deslocam"&amp;"ento entre os locais de trabalho (se aplicável). Horas extras são possíveis, mas não obrigatórias nem garantidas. A critério exclusivo do empregador: aumentos salariais e/ou bônus podem ser concedidos com base em fatores individuais, como desempenho ou ha"&amp;"bilidades (não garantidos). Classificação da vaga: 37-3011.00 - Trabalhadores de Paisagismo e Manutenção de Áreas Verdes. A classificação e a descrição da vaga/setor incluem informações gerais sobre o cargo, conforme o ONET/OES e o Sistema de Classificaçã"&amp;"o Industrial da América do Norte (NAICS). Consulte as Funções e a Ordem de Serviço para obter mais informações. Requisitos da vaga: Experiência exigida: Não. Requisitos especiais: É necessário ter 18 anos ou mais, devido às leis trabalhistas estaduais. É "&amp;"necessário apresentar comprovante de autorização legal para trabalhar nos Estados Unidos. Ambiente de trabalho livre de drogas, álcool e tabaco. Executar atividades físicas, como levantar, equilibrar-se, caminhar, abaixar-se, manusear, posicionar, mover e"&amp;" manipular materiais; usar força estática para exercer força muscular máxima para levantar, empurrar, puxar e carregar objetos de até 23 kg. Todos os candidatos devem ser capazes, dispostos e qualificados para executar o trabalho descrito e devem estar di"&amp;"sponíveis durante todo o período especificado e trabalhar em todas as áreas da empresa. O trabalho é realizado ao ar livre, exposto às intempéries; o candidato deve ser capaz de realizar trabalho fisicamente extenuante por longos períodos, ocasionalmente "&amp;"em calor ou frio extremos. As condições climáticas são variáveis; a carga horária pode sofrer alterações (+/-), com possibilidade de períodos de inatividade e/ou horas extras. Número de horas por semana: 40. Horário de trabalho (início/término): 7h30 às 1"&amp;"7h30.")</f>
        <v>As funções podem incluir: Manutenção de gramados/propriedades utilizando ferramentas/equipamentos manuais ou elétricos. Atividades: colocar grama, cortar, aparar, plantar, regar, fertilizar, cavar, rastelar, auxiliar na instalação de irrigação, aplicar cobertura morta, podar arbustos, capinar, aerar, remover e eliminar palha morta. Realizar a manutenção adequada de calçadas, entradas de veículos, estacionamentos, fontes, floreiras, cemitérios ou outras estruturas do terreno, além de outras atividades relacionadas a serviços gerais, paisagismo e irrigação, conforme SOC/OES 37-3011 (onetonline.org). Horário padrão/esperado: Segunda a sexta, das 7h30 às 17h30. Oferecemos mais de 40 horas semanais, sem incluir almoço e/ou intervalos. Possibilidade de trabalho em fins de semana e feriados. Os horários de início e término, a carga horária oferecida e/ou a possibilidade de horas extras podem variar, pois dependem de fatores como necessidades do projeto/cronograma/serviço, condições climáticas e tempo de deslocamento entre os locais de trabalho (se aplicável). Horas extras são possíveis, mas não obrigatórias nem garantidas. A critério exclusivo do empregador: aumentos salariais e/ou bônus podem ser concedidos com base em fatores individuais, como desempenho ou habilidades (não garantidos). Classificação da vaga: 37-3011.00 - Trabalhadores de Paisagismo e Manutenção de Áreas Verdes. A classificação e a descrição da vaga/setor incluem informações gerais sobre o cargo, conforme o ONET/OES e o Sistema de Classificação Industrial da América do Norte (NAICS). Consulte as Funções e a Ordem de Serviço para obter mais informações. Requisitos da vaga: Experiência exigida: Não. Requisitos especiais: É necessário ter 18 anos ou mais, devido às leis trabalhistas estaduais. É necessário apresentar comprovante de autorização legal para trabalhar nos Estados Unidos. Ambiente de trabalho livre de drogas, álcool e tabaco. Executar atividades físicas, como levantar, equilibrar-se, caminhar, abaixar-se, manusear, posicionar, mover e manipular materiais; usar força estática para exercer força muscular máxima para levantar, empurrar, puxar e carregar objetos de até 23 kg. Todos os candidatos devem ser capazes, dispostos e qualificados para executar o trabalho descrito e devem estar disponíveis durante todo o período especificado e trabalhar em todas as áreas da empresa. O trabalho é realizado ao ar livre, exposto às intempéries; o candidato deve ser capaz de realizar trabalho fisicamente extenuante por longos períodos, ocasionalmente em calor ou frio extremos. As condições climáticas são variáveis; a carga horária pode sofrer alterações (+/-), com possibilidade de períodos de inatividade e/ou horas extras. Número de horas por semana: 40. Horário de trabalho (início/término): 7h30 às 17h30.</v>
      </c>
    </row>
    <row r="222" ht="20.25" customHeight="1">
      <c r="A222" s="3" t="s">
        <v>1258</v>
      </c>
      <c r="B222" s="3" t="s">
        <v>1259</v>
      </c>
      <c r="C222" s="3" t="s">
        <v>169</v>
      </c>
      <c r="D222" s="3" t="s">
        <v>970</v>
      </c>
      <c r="E222" s="4" t="s">
        <v>19</v>
      </c>
      <c r="F222" s="4" t="s">
        <v>20</v>
      </c>
      <c r="G222" s="4" t="s">
        <v>1260</v>
      </c>
      <c r="H222" s="3" t="s">
        <v>1261</v>
      </c>
      <c r="I222" s="3" t="s">
        <v>1262</v>
      </c>
      <c r="J222" s="4">
        <v>22.99</v>
      </c>
      <c r="K222" s="4">
        <v>24.0</v>
      </c>
      <c r="L222" s="3" t="s">
        <v>1263</v>
      </c>
      <c r="M222" s="3" t="s">
        <v>1264</v>
      </c>
      <c r="N222" s="7" t="str">
        <f>IFERROR(__xludf.DUMMYFUNCTION("GOOGLETRANSLATE(L222, ""en"", ""pt"")"),"Trabalhador de paisagismo/aparador/podador")</f>
        <v>Trabalhador de paisagismo/aparador/podador</v>
      </c>
      <c r="O222" s="7" t="str">
        <f>IFERROR(__xludf.DUMMYFUNCTION("IF(M222="""","""",GOOGLETRANSLATE(M222,""en"",""pt""))"),"Função combinada que inclui paisagismo, manutenção de árvores e poda de árvores acima do solo. As tarefas de paisagismo podem incluir qualquer combinação das seguintes atividades: cultivo de gramados ou jardins, plantio, escavação, irrigação, corte de gra"&amp;"ma, poda e fertilização de plantas e gramados, cobertura morta, rastelagem, semeadura, colocação de grama em placas, pulverização, capina e abertura/preenchimento de valas rasas para sistemas de irrigação. Utilizar ferramentas manuais e elétricas, como ap"&amp;"aradores de grama, sopradores e cortadores de grama, para paisagismo e manutenção do terreno. Auxiliar na instalação e manutenção de sprinklers (utilizar pá para cavar valas com aproximadamente 15 cm de largura e 30 cm de profundidade, após a instalação d"&amp;"as tubulações). Carregar/descarregar/mover árvores, arbustos e materiais de paisagismo; remover detritos; manter, limpar e reparar equipamentos/ferramentas quando não estiverem em uso. Utilizando técnicas sofisticadas de escalada e içamento, o profissiona"&amp;"l cortará galhos mortos ou em excesso de árvores ou arbustos para manter a faixa de domínio de estradas, calçadas ou serviços públicos, ou para melhorar a aparência, a saúde e o valor da árvore. Podará ou tratará árvores ou arbustos utilizando serras manu"&amp;"ais, tesouras de poda manuais, tesouras de poda elétricas e podadores motorizados. Trabalhará na copa das árvores, podendo utilizar plataformas elevatórias montadas em caminhões. Poderá auxiliar na poda/corte de árvores, limpando os detritos do solo com u"&amp;"m triturador de madeira e uma motosserra. O trabalho geralmente é concluído durante o período especificado para os trabalhadores solicitados. Classificação da Função: 37-3013.00 - Podadores e Podadores de Árvores. A classificação e descrição da função/ind"&amp;"ústria inclui informações gerais sobre o cargo, de acordo com o ONET/OES e o Sistema de Classificação Industrial da América do Norte. Consulte as Funções e a Ordem de Serviço para obter mais informações. Requisitos da Função: Experiência Necessária: Não. "&amp;"Requisitos Especiais: Deve ser capaz de levantar/carregar 23 kg, quando necessário. Trabalho aos sábados e domingos, quando necessário. Após a contratação, em caso de suspeita de uso de drogas, e após acidentes, são obrigatórios testes toxicológicos para "&amp;"trabalhadores estrangeiros e nacionais. Verificações adicionais de antecedentes e testes toxicológicos são obrigatórias para todos os novos trabalhadores estrangeiros e nacionais que dirigem veículos da empresa (dirigir não é um requisito para todos os fu"&amp;"ncionários da função). Verificações de antecedentes também podem ser exigidas para trabalhadores estrangeiros e nacionais, conforme estipulado em contrato. O empregador pode oferecer uma jornada de trabalho superior à estipulada, dependendo das condições "&amp;"climáticas, necessidades da empresa e outros fatores. Calor extremo, frio intenso, chuva ou seca podem afetar o horário de trabalho exato. Número de horas por semana: 35. Horário de trabalho (início/término): 7h30 às 15h15.")</f>
        <v>Função combinada que inclui paisagismo, manutenção de árvores e poda de árvores acima do solo. As tarefas de paisagismo podem incluir qualquer combinação das seguintes atividades: cultivo de gramados ou jardins, plantio, escavação, irrigação, corte de grama, poda e fertilização de plantas e gramados, cobertura morta, rastelagem, semeadura, colocação de grama em placas, pulverização, capina e abertura/preenchimento de valas rasas para sistemas de irrigação. Utilizar ferramentas manuais e elétricas, como aparadores de grama, sopradores e cortadores de grama, para paisagismo e manutenção do terreno. Auxiliar na instalação e manutenção de sprinklers (utilizar pá para cavar valas com aproximadamente 15 cm de largura e 30 cm de profundidade, após a instalação das tubulações). Carregar/descarregar/mover árvores, arbustos e materiais de paisagismo; remover detritos; manter, limpar e reparar equipamentos/ferramentas quando não estiverem em uso. Utilizando técnicas sofisticadas de escalada e içamento, o profissional cortará galhos mortos ou em excesso de árvores ou arbustos para manter a faixa de domínio de estradas, calçadas ou serviços públicos, ou para melhorar a aparência, a saúde e o valor da árvore. Podará ou tratará árvores ou arbustos utilizando serras manuais, tesouras de poda manuais, tesouras de poda elétricas e podadores motorizados. Trabalhará na copa das árvores, podendo utilizar plataformas elevatórias montadas em caminhões. Poderá auxiliar na poda/corte de árvores, limpando os detritos do solo com um triturador de madeira e uma motosserra. O trabalho geralmente é concluído durante o período especificado para os trabalhadores solicitados. Classificação da Função: 37-3013.00 - Podadores e Podadores de Árvores. A classificação e descrição da função/indústria inclui informações gerais sobre o cargo, de acordo com o ONET/OES e o Sistema de Classificação Industrial da América do Norte. Consulte as Funções e a Ordem de Serviço para obter mais informações. Requisitos da Função: Experiência Necessária: Não. Requisitos Especiais: Deve ser capaz de levantar/carregar 23 kg, quando necessário. Trabalho aos sábados e domingos, quando necessário. Após a contratação, em caso de suspeita de uso de drogas, e após acidentes, são obrigatórios testes toxicológicos para trabalhadores estrangeiros e nacionais. Verificações adicionais de antecedentes e testes toxicológicos são obrigatórias para todos os novos trabalhadores estrangeiros e nacionais que dirigem veículos da empresa (dirigir não é um requisito para todos os funcionários da função). Verificações de antecedentes também podem ser exigidas para trabalhadores estrangeiros e nacionais, conforme estipulado em contrato. O empregador pode oferecer uma jornada de trabalho superior à estipulada, dependendo das condições climáticas, necessidades da empresa e outros fatores. Calor extremo, frio intenso, chuva ou seca podem afetar o horário de trabalho exato. Número de horas por semana: 35. Horário de trabalho (início/término): 7h30 às 15h15.</v>
      </c>
    </row>
    <row r="223" ht="20.25" customHeight="1">
      <c r="A223" s="8" t="s">
        <v>1265</v>
      </c>
      <c r="B223" s="8" t="s">
        <v>1259</v>
      </c>
      <c r="C223" s="8" t="s">
        <v>169</v>
      </c>
      <c r="D223" s="8" t="s">
        <v>970</v>
      </c>
      <c r="E223" s="9" t="s">
        <v>44</v>
      </c>
      <c r="F223" s="9" t="s">
        <v>20</v>
      </c>
      <c r="G223" s="9" t="s">
        <v>1260</v>
      </c>
      <c r="H223" s="8" t="s">
        <v>1261</v>
      </c>
      <c r="I223" s="8" t="s">
        <v>1262</v>
      </c>
      <c r="J223" s="9">
        <v>20.15</v>
      </c>
      <c r="K223" s="9">
        <v>26.0</v>
      </c>
      <c r="L223" s="8" t="s">
        <v>59</v>
      </c>
      <c r="M223" s="8" t="s">
        <v>1266</v>
      </c>
      <c r="N223" s="7" t="str">
        <f>IFERROR(__xludf.DUMMYFUNCTION("GOOGLETRANSLATE(L223, ""en"", ""pt"")"),"Trabalhador de paisagismo")</f>
        <v>Trabalhador de paisagismo</v>
      </c>
      <c r="O223" s="7" t="str">
        <f>IFERROR(__xludf.DUMMYFUNCTION("IF(M223="""","""",GOOGLETRANSLATE(M223,""en"",""pt""))"),"Fornecer mão de obra para serviços de paisagismo, que podem incluir qualquer combinação das seguintes atividades: cultivo de gramados ou jardins, plantio, escavação, irrigação, corte de grama, poda, adubação de plantas e gramados, cobertura morta, rastela"&amp;"gem, semeadura, colocação de grama em placas, pulverização, capina e abertura/preenchimento de valas rasas para sistemas de irrigação. Utilizar ferramentas manuais e elétricas, como aparadores de grama, sopradores e cortadores de grama, para paisagismo e "&amp;"manutenção do terreno. Auxiliar na instalação e manutenção de aspersores (utilizar pá para cavar valas com aproximadamente 15 cm de largura e 30 cm de profundidade, após a instalação das tubulações). Carregar/descarregar/mover árvores, arbustos e materiai"&amp;"s de paisagismo; remover detritos; manter, limpar e reparar equipamentos/ferramentas quando não estiverem em uso. O trabalho geralmente é concluído durante o período de tempo especificado para os trabalhadores solicitados. Classificação da Função: 37-3011"&amp;".00 - Trabalhadores de Paisagismo e Manutenção de Jardins. A classificação e descrição da função/setor inclui informações gerais sobre o cargo, de acordo com o ONET/OES e o Sistema de Classificação Industrial da América do Norte (NAICS). Consulte as Funçõ"&amp;"es e a Ordem de Serviço para obter mais informações. Requisitos da Função Experiência Necessária: Não. Requisitos Especiais: Deve ser capaz de levantar/carregar 23 kg, quando necessário. Trabalho aos sábados e domingos, quando necessário. Testes toxicológ"&amp;"icos pós-contratação, em caso de suspeita de uso e após acidentes, são obrigatórios para trabalhadores estrangeiros e nacionais. Verificação de antecedentes e testes toxicológicos adicionais são obrigatórios para todos os novos trabalhadores estrangeiros "&amp;"e nacionais que dirigem veículos da empresa (dirigir não é um requisito para todos os funcionários da função). Verificações de antecedentes pós-contratação também podem ser exigidas de trabalhadores estrangeiros e nacionais, com base nos requisitos contra"&amp;"tuais. O empregador pode oferecer mais horas de trabalho do que as estipuladas, dependendo do clima, das necessidades da empresa e de outras condições. Calor extremo, frio, chuva ou seca podem afetar o horário de trabalho exato. Número de horas por semana"&amp;": 35 Horário de trabalho (início/término): 7h30 - 15h15")</f>
        <v>Fornecer mão de obra para serviços de paisagismo, que podem incluir qualquer combinação das seguintes atividades: cultivo de gramados ou jardins, plantio, escavação, irrigação, corte de grama, poda, adubação de plantas e gramados, cobertura morta, rastelagem, semeadura, colocação de grama em placas, pulverização, capina e abertura/preenchimento de valas rasas para sistemas de irrigação. Utilizar ferramentas manuais e elétricas, como aparadores de grama, sopradores e cortadores de grama, para paisagismo e manutenção do terreno. Auxiliar na instalação e manutenção de aspersores (utilizar pá para cavar valas com aproximadamente 15 cm de largura e 30 cm de profundidade, após a instalação das tubulações). Carregar/descarregar/mover árvores, arbustos e materiais de paisagismo; remover detritos; manter, limpar e reparar equipamentos/ferramentas quando não estiverem em uso. O trabalho geralmente é concluído durante o período de tempo especificado para os trabalhadores solicitados. Classificação da Função: 37-3011.00 - Trabalhadores de Paisagismo e Manutenção de Jardins. A classificação e descrição da função/setor inclui informações gerais sobre o cargo, de acordo com o ONET/OES e o Sistema de Classificação Industrial da América do Norte (NAICS). Consulte as Funções e a Ordem de Serviço para obter mais informações. Requisitos da Função Experiência Necessária: Não. Requisitos Especiais: Deve ser capaz de levantar/carregar 23 kg, quando necessário. Trabalho aos sábados e domingos, quando necessário. Testes toxicológicos pós-contratação, em caso de suspeita de uso e após acidentes, são obrigatórios para trabalhadores estrangeiros e nacionais. Verificação de antecedentes e testes toxicológicos adicionais são obrigatórios para todos os novos trabalhadores estrangeiros e nacionais que dirigem veículos da empresa (dirigir não é um requisito para todos os funcionários da função). Verificações de antecedentes pós-contratação também podem ser exigidas de trabalhadores estrangeiros e nacionais, com base nos requisitos contratuais. O empregador pode oferecer mais horas de trabalho do que as estipuladas, dependendo do clima, das necessidades da empresa e de outras condições. Calor extremo, frio, chuva ou seca podem afetar o horário de trabalho exato. Número de horas por semana: 35 Horário de trabalho (início/término): 7h30 - 15h15</v>
      </c>
    </row>
    <row r="224" ht="20.25" customHeight="1">
      <c r="A224" s="3" t="s">
        <v>1267</v>
      </c>
      <c r="B224" s="3" t="s">
        <v>1268</v>
      </c>
      <c r="C224" s="3" t="s">
        <v>125</v>
      </c>
      <c r="D224" s="3" t="s">
        <v>71</v>
      </c>
      <c r="E224" s="4" t="s">
        <v>19</v>
      </c>
      <c r="F224" s="4" t="s">
        <v>20</v>
      </c>
      <c r="G224" s="4" t="s">
        <v>1269</v>
      </c>
      <c r="H224" s="3" t="s">
        <v>1270</v>
      </c>
      <c r="I224" s="3" t="s">
        <v>1271</v>
      </c>
      <c r="J224" s="4">
        <v>16.82</v>
      </c>
      <c r="K224" s="4">
        <v>9.0</v>
      </c>
      <c r="L224" s="3" t="s">
        <v>129</v>
      </c>
      <c r="M224" s="3" t="s">
        <v>1272</v>
      </c>
      <c r="N224" s="7" t="str">
        <f>IFERROR(__xludf.DUMMYFUNCTION("GOOGLETRANSLATE(L224, ""en"", ""pt"")"),"Trabalhador de paisagismo e manutenção de jardins")</f>
        <v>Trabalhador de paisagismo e manutenção de jardins</v>
      </c>
      <c r="O224" s="7" t="str">
        <f>IFERROR(__xludf.DUMMYFUNCTION("IF(M224="""","""",GOOGLETRANSLATE(M224,""en"",""pt""))"),"As funções incluem a instalação de árvores, arbustos ou flores durante o período de dormência, seguindo o padrão de design apropriado. Isso inclui descarregar materiais, cavar buracos para o sistema radicular, cobrir os buracos adequadamente e, às vezes, "&amp;"colocar grama em placas, plantar sementes de grama ou conectar a irrigação. Também envolve a remoção de folhas, plantio de sementes e palha, aeração do gramado, plantio de arbustos, escavação, rastelagem e instalação de blocos de concreto pré-moldados sem"&amp;" argamassa. Os trabalhadores podem coletar e remover lixo, regar gramados, árvores e plantas semeadas, além de podar árvores, arbustos ou sebes. Podem operar equipamentos motorizados e dirigir veículos até os locais dos clientes. As tarefas podem incluir "&amp;"colocação de grama em placas, corte de grama, rega de plantas e gramados, transplante de plantas, fertilização, escavação, rastelagem e instalação de aspersores. Os funcionários cavarão valas com no máximo 15 a 30 cm de profundidade e 15 a 30 cm de largur"&amp;"a com pás e ferramentas manuais. Essas valas são usadas para acomodar a tubulação utilizada na instalação de sistemas de irrigação. Toda a poda/aparamento será feita no solo. Os trabalhadores não realizarão nenhuma atividade de poda ou corte acima do níve"&amp;"l do solo. O trabalhador poderá transportar outros trabalhadores de e para os locais de trabalho ocasionalmente, porém essa não será sua principal função. Os trabalhadores poderão operar equipamentos motorizados de jardinagem, incluindo cortadores de gram"&amp;"a, aparadores de borda, sopradores, roçadeiras, roçadeiras de jardim, tratores pequenos e equipamentos similares. Os trabalhadores poderão dirigir veículos da empresa, incluindo Ford F450, Chevrolet Silverado 1500 e 2500, de e para os locais de trabalho d"&amp;"os clientes. Os trabalhadores poderão ocasionalmente transportar outros trabalhadores de e para os locais de trabalho; no entanto, o transporte de trabalhadores não é uma função principal. Os trabalhadores também poderão ocasionalmente transportar materia"&amp;"is, ferramentas e equipamentos de jardinagem de e para os locais de trabalho, incluindo cobertura morta, plantas em vasos, pás, ancinhos, cortadores de grama, sopradores e roçadeiras de jardim. Nenhum material perigoso será transportado pelos trabalhadore"&amp;"s. Todos os veículos e equipamentos operados têm peso bruto total inferior a 26.000 libras (aproximadamente 11.793 kg), incluindo quaisquer reboques acoplados ou materiais transportados. Classificação da Função: 37-3011.00 - Trabalhadores de Paisagismo e "&amp;"Manutenção de Jardins. A classificação e descrição da função/setor inclui informações gerais sobre o cargo, conforme o ONET/OES e o Sistema de Classificação Industrial da América do Norte (NAICS). Consulte as Funções e a Ordem de Serviço para obter mais i"&amp;"nformações. Requisitos da Função Experiência Necessária: Não. Requisitos Especiais: Carteira de habilitação válida. Capacidade de levantar 18 kg, realizar movimentos repetitivos, empurrar/puxar objetos com frequência, caminhar bastante, agachar-se frequen"&amp;"temente e estar exposto a temperaturas extremas. Número de Horas por Semana: 40. Horário de Trabalho (Início/Término): 7h às 16h.")</f>
        <v>As funções incluem a instalação de árvores, arbustos ou flores durante o período de dormência, seguindo o padrão de design apropriado. Isso inclui descarregar materiais, cavar buracos para o sistema radicular, cobrir os buracos adequadamente e, às vezes, colocar grama em placas, plantar sementes de grama ou conectar a irrigação. Também envolve a remoção de folhas, plantio de sementes e palha, aeração do gramado, plantio de arbustos, escavação, rastelagem e instalação de blocos de concreto pré-moldados sem argamassa. Os trabalhadores podem coletar e remover lixo, regar gramados, árvores e plantas semeadas, além de podar árvores, arbustos ou sebes. Podem operar equipamentos motorizados e dirigir veículos até os locais dos clientes. As tarefas podem incluir colocação de grama em placas, corte de grama, rega de plantas e gramados, transplante de plantas, fertilização, escavação, rastelagem e instalação de aspersores. Os funcionários cavarão valas com no máximo 15 a 30 cm de profundidade e 15 a 30 cm de largura com pás e ferramentas manuais. Essas valas são usadas para acomodar a tubulação utilizada na instalação de sistemas de irrigação. Toda a poda/aparamento será feita no solo. Os trabalhadores não realizarão nenhuma atividade de poda ou corte acima do nível do solo. O trabalhador poderá transportar outros trabalhadores de e para os locais de trabalho ocasionalmente, porém essa não será sua principal função. Os trabalhadores poderão operar equipamentos motorizados de jardinagem, incluindo cortadores de grama, aparadores de borda, sopradores, roçadeiras, roçadeiras de jardim, tratores pequenos e equipamentos similares. Os trabalhadores poderão dirigir veículos da empresa, incluindo Ford F450, Chevrolet Silverado 1500 e 2500, de e para os locais de trabalho dos clientes. Os trabalhadores poderão ocasionalmente transportar outros trabalhadores de e para os locais de trabalho; no entanto, o transporte de trabalhadores não é uma função principal. Os trabalhadores também poderão ocasionalmente transportar materiais, ferramentas e equipamentos de jardinagem de e para os locais de trabalho, incluindo cobertura morta, plantas em vasos, pás, ancinhos, cortadores de grama, sopradores e roçadeiras de jardim. Nenhum material perigoso será transportado pelos trabalhadores. Todos os veículos e equipamentos operados têm peso bruto total inferior a 26.000 libras (aproximadamente 11.793 kg), incluindo quaisquer reboques acoplados ou materiais transportados. Classificação da Função: 37-3011.00 - Trabalhadores de Paisagismo e Manutenção de Jardins. A classificação e descrição da função/setor inclui informações gerais sobre o cargo, conforme o ONET/OES e o Sistema de Classificação Industrial da América do Norte (NAICS). Consulte as Funções e a Ordem de Serviço para obter mais informações. Requisitos da Função Experiência Necessária: Não. Requisitos Especiais: Carteira de habilitação válida. Capacidade de levantar 18 kg, realizar movimentos repetitivos, empurrar/puxar objetos com frequência, caminhar bastante, agachar-se frequentemente e estar exposto a temperaturas extremas. Número de Horas por Semana: 40. Horário de Trabalho (Início/Término): 7h às 16h.</v>
      </c>
    </row>
    <row r="225" ht="20.25" customHeight="1">
      <c r="A225" s="8" t="s">
        <v>1273</v>
      </c>
      <c r="B225" s="8" t="s">
        <v>1274</v>
      </c>
      <c r="C225" s="8" t="s">
        <v>125</v>
      </c>
      <c r="D225" s="8" t="s">
        <v>140</v>
      </c>
      <c r="E225" s="9" t="s">
        <v>44</v>
      </c>
      <c r="F225" s="9" t="s">
        <v>20</v>
      </c>
      <c r="G225" s="9" t="s">
        <v>307</v>
      </c>
      <c r="H225" s="8" t="s">
        <v>1275</v>
      </c>
      <c r="I225" s="8" t="s">
        <v>1276</v>
      </c>
      <c r="J225" s="9">
        <v>18.84</v>
      </c>
      <c r="K225" s="9">
        <v>15.0</v>
      </c>
      <c r="L225" s="8" t="s">
        <v>129</v>
      </c>
      <c r="M225" s="8" t="s">
        <v>1277</v>
      </c>
      <c r="N225" s="7" t="str">
        <f>IFERROR(__xludf.DUMMYFUNCTION("GOOGLETRANSLATE(L225, ""en"", ""pt"")"),"Trabalhador de paisagismo e manutenção de jardins")</f>
        <v>Trabalhador de paisagismo e manutenção de jardins</v>
      </c>
      <c r="O225" s="7" t="str">
        <f>IFERROR(__xludf.DUMMYFUNCTION("IF(M225="""","""",GOOGLETRANSLATE(M225,""en"",""pt""))"),"As funções incluem a instalação de árvores, arbustos ou flores durante o período de dormência, seguindo o padrão de design apropriado. Isso inclui descarregar materiais, cavar buracos para o sistema radicular, cobrir os buracos adequadamente e, às vezes, "&amp;"colocar grama em placas, plantar sementes de grama ou conectar a irrigação. Também envolve a remoção de folhas, plantio de sementes e palha, aeração do gramado, plantio de arbustos, escavação, rastelagem e instalação de blocos de concreto pré-moldados sem"&amp;" argamassa. Os trabalhadores podem coletar e remover lixo, regar gramados, árvores e plantas semeadas, além de podar árvores, arbustos ou sebes. Podem operar equipamentos motorizados e dirigir veículos até os locais dos clientes. As tarefas podem incluir "&amp;"colocação de grama em placas, corte de grama, rega de plantas e gramados, transplante de plantas, fertilização, escavação, rastelagem e instalação de aspersores. Os funcionários cavarão valas com no máximo 15 a 30 cm de profundidade e 15 a 30 cm de largur"&amp;"a com pás e ferramentas manuais. Essas valas são usadas para acomodar a tubulação utilizada na instalação de sistemas de irrigação. Toda a poda/aparamento será feita no solo. Os trabalhadores não realizarão nenhuma atividade de poda ou corte acima do níve"&amp;"l do solo. O trabalhador poderá transportar outros trabalhadores de e para os locais de trabalho ocasionalmente, porém essa não será sua principal função. Classificação da função: 37-3011.00 - Trabalhadores de Paisagismo e Manutenção de Jardins. A classif"&amp;"icação e descrição da função/setor inclui informações gerais sobre o cargo, de acordo com o ONET/OES e o Sistema de Classificação Industrial da América do Norte (NAICS). Consulte as Funções e a Ordem de Serviço para obter mais informações. Requisitos da f"&amp;"unção: Experiência necessária: Não. Requisitos especiais: Deve ser capaz de levantar 14 kg, realizar movimentos repetitivos, empurrar/puxar com frequência, caminhar bastante, agachar-se frequentemente e estar exposto a temperaturas extremas. Número de hor"&amp;"as por semana: 40. Horário de trabalho (início/término): 7h às 16h.")</f>
        <v>As funções incluem a instalação de árvores, arbustos ou flores durante o período de dormência, seguindo o padrão de design apropriado. Isso inclui descarregar materiais, cavar buracos para o sistema radicular, cobrir os buracos adequadamente e, às vezes, colocar grama em placas, plantar sementes de grama ou conectar a irrigação. Também envolve a remoção de folhas, plantio de sementes e palha, aeração do gramado, plantio de arbustos, escavação, rastelagem e instalação de blocos de concreto pré-moldados sem argamassa. Os trabalhadores podem coletar e remover lixo, regar gramados, árvores e plantas semeadas, além de podar árvores, arbustos ou sebes. Podem operar equipamentos motorizados e dirigir veículos até os locais dos clientes. As tarefas podem incluir colocação de grama em placas, corte de grama, rega de plantas e gramados, transplante de plantas, fertilização, escavação, rastelagem e instalação de aspersores. Os funcionários cavarão valas com no máximo 15 a 30 cm de profundidade e 15 a 30 cm de largura com pás e ferramentas manuais. Essas valas são usadas para acomodar a tubulação utilizada na instalação de sistemas de irrigação. Toda a poda/aparamento será feita no solo. Os trabalhadores não realizarão nenhuma atividade de poda ou corte acima do nível do solo. O trabalhador poderá transportar outros trabalhadores de e para os locais de trabalho ocasionalmente, porém essa não será sua principal função. Classificação da função: 37-3011.00 - Trabalhadores de Paisagismo e Manutenção de Jardins. A classificação e descrição da função/setor inclui informações gerais sobre o cargo, de acordo com o ONET/OES e o Sistema de Classificação Industrial da América do Norte (NAICS). Consulte as Funções e a Ordem de Serviço para obter mais informações. Requisitos da função: Experiência necessária: Não. Requisitos especiais: Deve ser capaz de levantar 14 kg, realizar movimentos repetitivos, empurrar/puxar com frequência, caminhar bastante, agachar-se frequentemente e estar exposto a temperaturas extremas. Número de horas por semana: 40. Horário de trabalho (início/término): 7h às 16h.</v>
      </c>
    </row>
    <row r="226" ht="20.25" customHeight="1">
      <c r="A226" s="3" t="s">
        <v>1278</v>
      </c>
      <c r="B226" s="3" t="s">
        <v>1279</v>
      </c>
      <c r="C226" s="3" t="s">
        <v>27</v>
      </c>
      <c r="D226" s="3" t="s">
        <v>64</v>
      </c>
      <c r="E226" s="4" t="s">
        <v>44</v>
      </c>
      <c r="F226" s="4" t="s">
        <v>20</v>
      </c>
      <c r="G226" s="4" t="s">
        <v>1280</v>
      </c>
      <c r="H226" s="3" t="s">
        <v>1281</v>
      </c>
      <c r="I226" s="3" t="s">
        <v>1282</v>
      </c>
      <c r="J226" s="4">
        <v>18.99</v>
      </c>
      <c r="K226" s="4">
        <v>145.0</v>
      </c>
      <c r="L226" s="3" t="s">
        <v>83</v>
      </c>
      <c r="M226" s="3" t="s">
        <v>1283</v>
      </c>
      <c r="N226" s="7" t="str">
        <f>IFERROR(__xludf.DUMMYFUNCTION("GOOGLETRANSLATE(L226, ""en"", ""pt"")"),"Trabalhador Florestal")</f>
        <v>Trabalhador Florestal</v>
      </c>
      <c r="O226" s="7" t="str">
        <f>IFERROR(__xludf.DUMMYFUNCTION("IF(M226="""","""",GOOGLETRANSLATE(M226,""en"",""pt""))"),"As funções podem incluir: Manutenção e desenvolvimento de áreas florestais: Plantar pinheiros e mudas manualmente ou com máquina. Selecionar, levantar e transportar árvores e mudas, escolhendo o local ideal para o plantio, considerando as necessidades de "&amp;"sombra e solo. Preparação do terreno: reduzir a vegetação concorrente por meio de poda, desbaste, limpeza, empilhamento de resíduos e aplicação de herbicidas, além de outras atividades relacionadas à função de Trabalhador Florestal, conforme SOC/OES 45-40"&amp;"11 (onetonline.org). Horário padrão/esperado: Segunda a sexta, das 7h às 15h30. Oferecemos mais de 40 horas semanais, sem incluir almoço e/ou intervalos. Possibilidade de trabalho em fins de semana e feriados. Os horários de início e término, a carga horá"&amp;"ria e/ou horas extras podem variar, dependendo de fatores como projetos/cronograma/necessidades do serviço, condições climáticas e tempo de deslocamento entre os locais de trabalho (se aplicável). Horas extras são possíveis, mas não obrigatórias nem garan"&amp;"tidas. A critério exclusivo do empregador: aumentos salariais e/ou bônus podem ser concedidos com base em fatores individuais, como desempenho ou habilidades (não garantidos). Alojamento compartilhado opcional disponível sem custo para o trabalhador. Clas"&amp;"sificação do Cargo: 45-4011.00 - Trabalhadores Florestais e de Conservação. A classificação e descrição do cargo/setor inclui informações gerais sobre a posição, de acordo com o ONET/OES e o Sistema de Classificação Industrial da América do Norte. Consult"&amp;"e as Funções e a Ordem de Serviço para obter mais informações. Requisitos do Cargo Experiência Necessária: Não. Requisitos Especiais: É necessário ter 18 anos devido a viagens. É necessário apresentar comprovante de autorização legal para trabalhar nos Es"&amp;"tados Unidos. Ambiente de trabalho livre de drogas, álcool e tabaco. É necessário caminhar bastante (até 24 km/dia), além de se abaixar e se curvar carregando uma mochila (até 23 kg) em terrenos acidentados (fora de trilhas). Todos os candidatos devem ser"&amp;" capazes, dispostos e qualificados para executar o trabalho descrito e devem estar disponíveis durante todo o período especificado e trabalhar em todas as áreas de atuação pretendidas. O trabalho é realizado ao ar livre, exposto às intempéries; o candidat"&amp;"o deve ser capaz de realizar trabalho fisicamente extenuante por longos períodos, ocasionalmente em calor ou frio extremos. Condições climáticas variáveis ​​se aplicam. O horário de trabalho pode variar (+/-), podendo haver períodos de inatividade e/ou ho"&amp;"ras extras. Número de horas por semana: 40. Horário de trabalho (início/término): 7h00 - 15h30.")</f>
        <v>As funções podem incluir: Manutenção e desenvolvimento de áreas florestais: Plantar pinheiros e mudas manualmente ou com máquina. Selecionar, levantar e transportar árvores e mudas, escolhendo o local ideal para o plantio, considerando as necessidades de sombra e solo. Preparação do terreno: reduzir a vegetação concorrente por meio de poda, desbaste, limpeza, empilhamento de resíduos e aplicação de herbicidas, além de outras atividades relacionadas à função de Trabalhador Florestal, conforme SOC/OES 45-4011 (onetonline.org). Horário padrão/esperado: Segunda a sexta, das 7h às 15h30. Oferecemos mais de 40 horas semanais, sem incluir almoço e/ou intervalos. Possibilidade de trabalho em fins de semana e feriados. Os horários de início e término, a carga horária e/ou horas extras podem variar, dependendo de fatores como projetos/cronograma/necessidades do serviço, condições climáticas e tempo de deslocamento entre os locais de trabalho (se aplicável). Horas extras são possíveis, mas não obrigatórias nem garantidas. A critério exclusivo do empregador: aumentos salariais e/ou bônus podem ser concedidos com base em fatores individuais, como desempenho ou habilidades (não garantidos). Alojamento compartilhado opcional disponível sem custo para o trabalhador. Classificação do Cargo: 45-4011.00 - Trabalhadores Florestais e de Conservação. A classificação e descrição do cargo/setor inclui informações gerais sobre a posição, de acordo com o ONET/OES e o Sistema de Classificação Industrial da América do Norte. Consulte as Funções e a Ordem de Serviço para obter mais informações. Requisitos do Cargo Experiência Necessária: Não. Requisitos Especiais: É necessário ter 18 anos devido a viagens. É necessário apresentar comprovante de autorização legal para trabalhar nos Estados Unidos. Ambiente de trabalho livre de drogas, álcool e tabaco. É necessário caminhar bastante (até 24 km/dia), além de se abaixar e se curvar carregando uma mochila (até 23 kg) em terrenos acidentados (fora de trilhas). Todos os candidatos devem ser capazes, dispostos e qualificados para executar o trabalho descrito e devem estar disponíveis durante todo o período especificado e trabalhar em todas as áreas de atuação pretendidas. O trabalho é realizado ao ar livre, exposto às intempéries; o candidato deve ser capaz de realizar trabalho fisicamente extenuante por longos períodos, ocasionalmente em calor ou frio extremos. Condições climáticas variáveis ​​se aplicam. O horário de trabalho pode variar (+/-), podendo haver períodos de inatividade e/ou horas extras. Número de horas por semana: 40. Horário de trabalho (início/término): 7h00 - 15h30.</v>
      </c>
    </row>
    <row r="227" ht="20.25" customHeight="1">
      <c r="A227" s="8" t="s">
        <v>1284</v>
      </c>
      <c r="B227" s="8" t="s">
        <v>1285</v>
      </c>
      <c r="C227" s="8" t="s">
        <v>125</v>
      </c>
      <c r="D227" s="8" t="s">
        <v>55</v>
      </c>
      <c r="E227" s="9" t="s">
        <v>44</v>
      </c>
      <c r="F227" s="9" t="s">
        <v>20</v>
      </c>
      <c r="G227" s="9" t="s">
        <v>1286</v>
      </c>
      <c r="H227" s="8" t="s">
        <v>1287</v>
      </c>
      <c r="I227" s="8" t="s">
        <v>1288</v>
      </c>
      <c r="J227" s="9">
        <v>20.15</v>
      </c>
      <c r="K227" s="9">
        <v>24.0</v>
      </c>
      <c r="L227" s="8" t="s">
        <v>321</v>
      </c>
      <c r="M227" s="8" t="s">
        <v>1289</v>
      </c>
      <c r="N227" s="7" t="str">
        <f>IFERROR(__xludf.DUMMYFUNCTION("GOOGLETRANSLATE(L227, ""en"", ""pt"")"),"Trabalhadores de paisagismo")</f>
        <v>Trabalhadores de paisagismo</v>
      </c>
      <c r="O227" s="7" t="str">
        <f>IFERROR(__xludf.DUMMYFUNCTION("IF(M227="""","""",GOOGLETRANSLATE(M227,""en"",""pt""))"),"As funções incluem colocação de grama em rolo, corte de grama, poda de árvores, arbustos e plantas, plantio de plantas, árvores e arbustos, rega de plantas e gramados, transplante de plantas, fertilização, escavação, rastelagem, instalação de aspersores e"&amp;" instalação de blocos de concreto pré-moldado sem argamassa. Os trabalhadores podem coletar e remover lixo, operar equipamentos motorizados e dirigir veículos da empresa até os locais dos clientes. Todos os veículos a serem conduzidos são caminhonetes da "&amp;"empresa. A capacidade de Peso Bruto Total (PBT) do veículo a ser conduzido para o desempenho das funções é inferior a 11.793 kg (26.000 lbs). Os equipamentos motorizados utilizados incluem cortadores de grama, roçadeiras e aparadores. Toda a poda será rea"&amp;"lizada no solo. Os trabalhadores não realizarão nenhuma atividade de poda acima do nível do solo. O trabalhador poderá transportar outros trabalhadores de e para os locais de trabalho ocasionalmente, porém essa não será sua função principal. Os trabalhado"&amp;"res podem ocasionalmente transportar materiais, ferramentas e equipamentos de paisagismo de e para os locais de trabalho, incluindo cobertura morta, plantas em vasos, pás, ancinhos, cortadores de grama, sopradores, aparadores, roçadeiras, pequenos tratore"&amp;"s e equipamentos similares de paisagismo. Nenhum material perigoso será transportado pelos trabalhadores. Todos os veículos e equipamentos operados têm peso bruto total inferior a 26.000 libras (aproximadamente 11.800 kg), incluindo quaisquer reboques aco"&amp;"plados ou materiais transportados. Classificação do Cargo: 37-3011.00 - Trabalhadores de Paisagismo e Manutenção de Áreas Verdes. A classificação e descrição do cargo/setor inclui informações gerais sobre a posição, de acordo com o ONET/OES e o Sistema de"&amp;" Classificação Industrial da América do Norte (NAICS). Consulte as Funções e a Ordem de Serviço para obter mais informações. Requisitos do Cargo Experiência Necessária: Sim Meses de Experiência Necessários: 3 Requisitos Especiais: Deve ser capaz de levant"&amp;"ar 23 kg; movimentos repetitivos, empurrar/puxar extensivamente, caminhar extensivamente, agachar-se frequentemente, exposição a temperaturas extremas, 3 meses de experiência exigidos. Número de horas por semana: 40 Horário de trabalho (início/término): 7"&amp;"h00 - 16h00")</f>
        <v>As funções incluem colocação de grama em rolo, corte de grama, poda de árvores, arbustos e plantas, plantio de plantas, árvores e arbustos, rega de plantas e gramados, transplante de plantas, fertilização, escavação, rastelagem, instalação de aspersores e instalação de blocos de concreto pré-moldado sem argamassa. Os trabalhadores podem coletar e remover lixo, operar equipamentos motorizados e dirigir veículos da empresa até os locais dos clientes. Todos os veículos a serem conduzidos são caminhonetes da empresa. A capacidade de Peso Bruto Total (PBT) do veículo a ser conduzido para o desempenho das funções é inferior a 11.793 kg (26.000 lbs). Os equipamentos motorizados utilizados incluem cortadores de grama, roçadeiras e aparadores. Toda a poda será realizada no solo. Os trabalhadores não realizarão nenhuma atividade de poda acima do nível do solo. O trabalhador poderá transportar outros trabalhadores de e para os locais de trabalho ocasionalmente, porém essa não será sua função principal. Os trabalhadores podem ocasionalmente transportar materiais, ferramentas e equipamentos de paisagismo de e para os locais de trabalho, incluindo cobertura morta, plantas em vasos, pás, ancinhos, cortadores de grama, sopradores, aparadores, roçadeiras, pequenos tratores e equipamentos similares de paisagismo. Nenhum material perigoso será transportado pelos trabalhadores. Todos os veículos e equipamentos operados têm peso bruto total inferior a 26.000 libras (aproximadamente 11.800 kg), incluindo quaisquer reboques acoplados ou materiais transportados. Classificação do Cargo: 37-3011.00 - Trabalhadores de Paisagismo e Manutenção de Áreas Verdes. A classificação e descrição do cargo/setor inclui informações gerais sobre a posição, de acordo com o ONET/OES e o Sistema de Classificação Industrial da América do Norte (NAICS). Consulte as Funções e a Ordem de Serviço para obter mais informações. Requisitos do Cargo Experiência Necessária: Sim Meses de Experiência Necessários: 3 Requisitos Especiais: Deve ser capaz de levantar 23 kg; movimentos repetitivos, empurrar/puxar extensivamente, caminhar extensivamente, agachar-se frequentemente, exposição a temperaturas extremas, 3 meses de experiência exigidos. Número de horas por semana: 40 Horário de trabalho (início/término): 7h00 - 16h00</v>
      </c>
    </row>
    <row r="228" ht="20.25" customHeight="1">
      <c r="A228" s="3" t="s">
        <v>1290</v>
      </c>
      <c r="B228" s="3" t="s">
        <v>1291</v>
      </c>
      <c r="C228" s="3" t="s">
        <v>376</v>
      </c>
      <c r="D228" s="3" t="s">
        <v>28</v>
      </c>
      <c r="E228" s="4" t="s">
        <v>19</v>
      </c>
      <c r="F228" s="4" t="s">
        <v>20</v>
      </c>
      <c r="G228" s="4" t="s">
        <v>377</v>
      </c>
      <c r="H228" s="3" t="s">
        <v>1292</v>
      </c>
      <c r="I228" s="3" t="s">
        <v>1293</v>
      </c>
      <c r="J228" s="4">
        <v>15.44</v>
      </c>
      <c r="K228" s="4">
        <v>12.0</v>
      </c>
      <c r="L228" s="3" t="s">
        <v>380</v>
      </c>
      <c r="M228" s="3" t="s">
        <v>1294</v>
      </c>
      <c r="N228" s="7" t="str">
        <f>IFERROR(__xludf.DUMMYFUNCTION("GOOGLETRANSLATE(L228, ""en"", ""pt"")"),"Auxiliares de manutenção")</f>
        <v>Auxiliares de manutenção</v>
      </c>
      <c r="O228" s="7" t="str">
        <f>IFERROR(__xludf.DUMMYFUNCTION("IF(M228="""","""",GOOGLETRANSLATE(M228,""en"",""pt""))"),"Auxiliar de Manutenção - Auxilia na realização de reparos, instalações e manutenção em diversas máquinas utilizadas no processamento de açúcar durante a safra da Louisiana. Fornece ferramentas aos trabalhadores. Mantém as áreas de trabalho e os equipament"&amp;"os de processamento de açúcar limpos. Auxilia na calibração das máquinas. Doze (12) vagas temporárias em tempo integral; disponibilidade para trabalhar 7 dias por semana, em turnos variados de 12 horas (12h-00h; 00h-12h); $15,44/hora; $23,16/hora; 84 hora"&amp;"s semanais durante a safra, 40 horas semanais após a safra até o término do contrato, horas extras pagas após 48 horas durante a safra e após 40 horas após a safra; as horas extras serão variáveis ​​e não são garantidas; o trabalhador terá 30 minutos de i"&amp;"ntervalo para almoço remunerado durante o expediente; o trabalho começará em 01/10/2026 e terminará em 30/06/2027. É necessário um mínimo de 3 meses de experiência na função oferecida. Não há exigência mínima de escolaridade. Não será oferecido treinament"&amp;"o no local de trabalho. Uma única semana de trabalho será utilizada para o cálculo dos salários devidos. Os salários serão pagos quinzenalmente. Alojamento opcional no local de trabalho será oferecido gratuitamente aos trabalhadores contratados para esta "&amp;"vaga temporária sazonal. Todos os impostos locais, estaduais e federais serão deduzidos do salário do funcionário, conforme exigido por lei. O empregador garante oferecer trabalho por um número de horas equivalente a pelo menos três quartos dos dias úteis"&amp;" em cada período de 12 semanas do período total de emprego. O período de 12 semanas terá início no primeiro dia útil após a chegada do trabalhador ou na data contratual de necessidade anunciada, o que ocorrer por último. Quando aplicável, o transporte diá"&amp;"rio de ida e volta para o local de trabalho será fornecido pelo empregador. O trabalhador será reembolsado pelas despesas de transporte e subsistência do local de origem, seja nos EUA ou no exterior, até o local de trabalho, por meio de cheque emitido pel"&amp;"o empregador, após a conclusão de 50% do período de emprego coberto pela ordem de serviço ou antes, se for o caso. Isso inclui pelo menos US$ 16,78 por dia durante a viagem, até um máximo de US$ 68,00 por dia, mediante apresentação de recibos. Além disso,"&amp;" o empregador fornecerá ou pagará o transporte e a subsistência do trabalhador na ida, caso este complete o período da ordem de serviço ou seja dispensado antecipadamente. O empregador reembolsará o trabalhador com visto H-2B na primeira semana de trabalh"&amp;"o pelo custo total de todos os vistos, processamento de vistos, travessia de fronteira e outras taxas relacionadas, incluindo as exigidas pelo governo. O empregador fornecerá ou reembolsará os custos de transporte de ida e volta e a subsistência diária pa"&amp;"ra os trabalhadores americanos correspondentes que não puderem retornar à sua residência no mesmo dia de trabalho. A vaga é oferecida pela M.A. Patout &amp; Son, Ltd., localizada em 3512 J. Patout Burns Rd., Jeanerette, LA 70544, na Paróquia de Iberia, Louisi"&amp;"ana. O empregador fornecerá aos trabalhadores, sem custo algum, todas as ferramentas, suprimentos e equipamentos necessários para a execução do trabalho. Favor enviar currículos ou entrar em contato com o Sr. Luis Acevedo na M.A. Patout &amp; Son, LLC, 3512 J"&amp;". Patout Burns Rd., Jeanerette, LA 70544. Tel.: 337-276-4592. E-mail: lacevedo@mapatout.com. Os candidatos podem obter informações sobre a vaga ou enviar currículos/candidaturas diretamente para o Iberia American Job Center, 609 Ember Drive, New Iberia, L"&amp;"A 70560; Tel.: 337-347-9537; E-mail: info@acadianaworkforce.org; referência: código da vaga: 1641085. Classificação da vaga: 49-9098.00 - Ajudantes - Trabalhadores de Instalação, Manutenção e Reparo. A classificação e descrição da vaga/setor incluem infor"&amp;"mações gerais sobre o cargo, de acordo com o ONET/OES e o Sistema de Classificação Industrial da América do Norte. Consulte as Funções e a Ordem de Serviço para obter mais informações. Requisitos da vaga Experiência necessária: Sim Meses de experiência ne"&amp;"cessários: 3 Número de horas por semana: 84 Horário de trabalho (início/término): 12:00 - 00:00")</f>
        <v>Auxiliar de Manutenção - Auxilia na realização de reparos, instalações e manutenção em diversas máquinas utilizadas no processamento de açúcar durante a safra da Louisiana. Fornece ferramentas aos trabalhadores. Mantém as áreas de trabalho e os equipamentos de processamento de açúcar limpos. Auxilia na calibração das máquinas. Doze (12) vagas temporárias em tempo integral; disponibilidade para trabalhar 7 dias por semana, em turnos variados de 12 horas (12h-00h; 00h-12h); $15,44/hora; $23,16/hora; 84 horas semanais durante a safra, 40 horas semanais após a safra até o término do contrato, horas extras pagas após 48 horas durante a safra e após 40 horas após a safra; as horas extras serão variáveis ​​e não são garantidas; o trabalhador terá 30 minutos de intervalo para almoço remunerado durante o expediente; o trabalho começará em 01/10/2026 e terminará em 30/06/2027. É necessário um mínimo de 3 meses de experiência na função oferecida. Não há exigência mínima de escolaridade. Não será oferecido treinamento no local de trabalho. Uma única semana de trabalho será utilizada para o cálculo dos salários devidos. Os salários serão pagos quinzenalmente. Alojamento opcional no local de trabalho será oferecido gratuitamente aos trabalhadores contratados para esta vaga temporária sazonal. Todos os impostos locais, estaduais e federais serão deduzidos do salário do funcionário, conforme exigido por lei. O empregador garante oferecer trabalho por um número de horas equivalente a pelo menos três quartos dos dias úteis em cada período de 12 semanas do período total de emprego. O período de 12 semanas terá início no primeiro dia útil após a chegada do trabalhador ou na data contratual de necessidade anunciada, o que ocorrer por último. Quando aplicável, o transporte diário de ida e volta para o local de trabalho será fornecido pelo empregador. O trabalhador será reembolsado pelas despesas de transporte e subsistência do local de origem, seja nos EUA ou no exterior, até o local de trabalho, por meio de cheque emitido pelo empregador, após a conclusão de 50% do período de emprego coberto pela ordem de serviço ou antes, se for o caso. Isso inclui pelo menos US$ 16,78 por dia durante a viagem, até um máximo de US$ 68,00 por dia, mediante apresentação de recibos. Além disso, o empregador fornecerá ou pagará o transporte e a subsistência do trabalhador na ida, caso este complete o período da ordem de serviço ou seja dispensado antecipadamente. O empregador reembolsará o trabalhador com visto H-2B na primeira semana de trabalho pelo custo total de todos os vistos, processamento de vistos, travessia de fronteira e outras taxas relacionadas, incluindo as exigidas pelo governo. O empregador fornecerá ou reembolsará os custos de transporte de ida e volta e a subsistência diária para os trabalhadores americanos correspondentes que não puderem retornar à sua residência no mesmo dia de trabalho. A vaga é oferecida pela M.A. Patout &amp; Son, Ltd., localizada em 3512 J. Patout Burns Rd., Jeanerette, LA 70544, na Paróquia de Iberia, Louisiana. O empregador fornecerá aos trabalhadores, sem custo algum, todas as ferramentas, suprimentos e equipamentos necessários para a execução do trabalho. Favor enviar currículos ou entrar em contato com o Sr. Luis Acevedo na M.A. Patout &amp; Son, LLC, 3512 J. Patout Burns Rd., Jeanerette, LA 70544. Tel.: 337-276-4592. E-mail: lacevedo@mapatout.com. Os candidatos podem obter informações sobre a vaga ou enviar currículos/candidaturas diretamente para o Iberia American Job Center, 609 Ember Drive, New Iberia, LA 70560; Tel.: 337-347-9537; E-mail: info@acadianaworkforce.org; referência: código da vaga: 1641085. Classificação da vaga: 49-9098.00 - Ajudantes - Trabalhadores de Instalação, Manutenção e Reparo. A classificação e descrição da vaga/setor incluem informações gerais sobre o cargo, de acordo com o ONET/OES e o Sistema de Classificação Industrial da América do Norte. Consulte as Funções e a Ordem de Serviço para obter mais informações. Requisitos da vaga Experiência necessária: Sim Meses de experiência necessários: 3 Número de horas por semana: 84 Horário de trabalho (início/término): 12:00 - 00:00</v>
      </c>
    </row>
    <row r="229" ht="20.25" customHeight="1">
      <c r="A229" s="8" t="s">
        <v>1295</v>
      </c>
      <c r="B229" s="8" t="s">
        <v>1296</v>
      </c>
      <c r="C229" s="8" t="s">
        <v>125</v>
      </c>
      <c r="D229" s="8" t="s">
        <v>1297</v>
      </c>
      <c r="E229" s="9" t="s">
        <v>44</v>
      </c>
      <c r="F229" s="9" t="s">
        <v>20</v>
      </c>
      <c r="G229" s="9" t="s">
        <v>506</v>
      </c>
      <c r="H229" s="8" t="s">
        <v>1298</v>
      </c>
      <c r="I229" s="8" t="s">
        <v>1299</v>
      </c>
      <c r="J229" s="9">
        <v>18.88</v>
      </c>
      <c r="K229" s="9">
        <v>6.0</v>
      </c>
      <c r="L229" s="8" t="s">
        <v>129</v>
      </c>
      <c r="M229" s="8" t="s">
        <v>1300</v>
      </c>
      <c r="N229" s="7" t="str">
        <f>IFERROR(__xludf.DUMMYFUNCTION("GOOGLETRANSLATE(L229, ""en"", ""pt"")"),"Trabalhador de paisagismo e manutenção de jardins")</f>
        <v>Trabalhador de paisagismo e manutenção de jardins</v>
      </c>
      <c r="O229" s="7" t="str">
        <f>IFERROR(__xludf.DUMMYFUNCTION("IF(M229="""","""",GOOGLETRANSLATE(M229,""en"",""pt""))"),"As funções incluem a instalação de árvores, arbustos ou flores durante o período de dormência, seguindo o padrão de design apropriado. Isso inclui descarregar materiais, cavar buracos para o sistema radicular, cobrir os buracos adequadamente e, às vezes, "&amp;"colocar grama em placas, plantar sementes de grama ou conectar a irrigação. Também envolve a remoção de folhas, plantio de sementes e palha, aeração do gramado, plantio de arbustos, escavação, rastelagem e instalação de blocos de concreto pré-moldados sem"&amp;" argamassa. Os trabalhadores podem coletar e remover lixo, regar gramados, árvores e plantas semeadas, além de podar árvores, arbustos ou sebes. Podem operar equipamentos motorizados e dirigir veículos até os locais dos clientes. As tarefas podem incluir "&amp;"colocação de grama em placas, corte de grama, rega de plantas e gramados, transplante de plantas, fertilização, escavação, rastelagem e instalação de aspersores. Os funcionários cavarão valas com no máximo 15 a 30 cm de profundidade e 15 a 30 cm de largur"&amp;"a com pás e ferramentas manuais. Essas valas são usadas para acomodar a tubulação utilizada na instalação de sistemas de irrigação. Toda a poda/aparamento será feita no solo. Os trabalhadores não realizarão nenhuma atividade de poda ou corte acima do níve"&amp;"l do solo. O trabalhador poderá transportar outros trabalhadores de e para os locais de trabalho ocasionalmente, porém essa não será sua principal função. Os trabalhadores poderão operar equipamentos motorizados de jardinagem, incluindo cortadores de gram"&amp;"a, aparadores de borda, sopradores, roçadeiras, aparadores de grama, pequenos tratores e equipamentos similares, e poderão operar máquinas Bobcat a pé. Os trabalhadores poderão dirigir veículos da empresa, incluindo uma caminhonete Ford, de e para os loca"&amp;"is de trabalho dos clientes. Os trabalhadores poderão ocasionalmente transportar outros trabalhadores de e para os locais de trabalho e para supermercados; no entanto, o transporte de trabalhadores não é uma função principal. Os trabalhadores também poder"&amp;"ão ocasionalmente transportar materiais, ferramentas e equipamentos de jardinagem de e para os locais de trabalho, incluindo cobertura morta, plantas em vasos, pás, ancinhos, cortadores de grama, sopradores e aparadores de grama. Nenhum material perigoso "&amp;"será transportado pelos trabalhadores. Todos os veículos e equipamentos operados têm peso bruto total inferior a 26.000 libras (aproximadamente 11.800 kg), incluindo quaisquer reboques acoplados ou materiais transportados. Classificação da Função: 37-3011"&amp;".00 - Trabalhadores de Paisagismo e Manutenção de Jardins. A classificação e descrição da função/setor inclui informações gerais sobre o cargo, de acordo com o ONET/OES e o Sistema de Classificação Industrial da América do Norte (NAICS). Consulte as Funçõ"&amp;"es e a Ordem de Serviço para obter mais informações. Requisitos da Função Experiência Necessária: Não. Requisitos Especiais: Capacidade de levantar 23 kg, realizar movimentos repetitivos, empurrar/puxar com frequência, caminhar bastante, agachar-se freque"&amp;"ntemente e estar exposto a temperaturas extremas. Número de Horas por Semana: 40. Horário de Trabalho (Início/Término): 7h às 16h.")</f>
        <v>As funções incluem a instalação de árvores, arbustos ou flores durante o período de dormência, seguindo o padrão de design apropriado. Isso inclui descarregar materiais, cavar buracos para o sistema radicular, cobrir os buracos adequadamente e, às vezes, colocar grama em placas, plantar sementes de grama ou conectar a irrigação. Também envolve a remoção de folhas, plantio de sementes e palha, aeração do gramado, plantio de arbustos, escavação, rastelagem e instalação de blocos de concreto pré-moldados sem argamassa. Os trabalhadores podem coletar e remover lixo, regar gramados, árvores e plantas semeadas, além de podar árvores, arbustos ou sebes. Podem operar equipamentos motorizados e dirigir veículos até os locais dos clientes. As tarefas podem incluir colocação de grama em placas, corte de grama, rega de plantas e gramados, transplante de plantas, fertilização, escavação, rastelagem e instalação de aspersores. Os funcionários cavarão valas com no máximo 15 a 30 cm de profundidade e 15 a 30 cm de largura com pás e ferramentas manuais. Essas valas são usadas para acomodar a tubulação utilizada na instalação de sistemas de irrigação. Toda a poda/aparamento será feita no solo. Os trabalhadores não realizarão nenhuma atividade de poda ou corte acima do nível do solo. O trabalhador poderá transportar outros trabalhadores de e para os locais de trabalho ocasionalmente, porém essa não será sua principal função. Os trabalhadores poderão operar equipamentos motorizados de jardinagem, incluindo cortadores de grama, aparadores de borda, sopradores, roçadeiras, aparadores de grama, pequenos tratores e equipamentos similares, e poderão operar máquinas Bobcat a pé. Os trabalhadores poderão dirigir veículos da empresa, incluindo uma caminhonete Ford, de e para os locais de trabalho dos clientes. Os trabalhadores poderão ocasionalmente transportar outros trabalhadores de e para os locais de trabalho e para supermercados; no entanto, o transporte de trabalhadores não é uma função principal. Os trabalhadores também poderão ocasionalmente transportar materiais, ferramentas e equipamentos de jardinagem de e para os locais de trabalho, incluindo cobertura morta, plantas em vasos, pás, ancinhos, cortadores de grama, sopradores e aparadores de grama. Nenhum material perigoso será transportado pelos trabalhadores. Todos os veículos e equipamentos operados têm peso bruto total inferior a 26.000 libras (aproximadamente 11.800 kg), incluindo quaisquer reboques acoplados ou materiais transportados. Classificação da Função: 37-3011.00 - Trabalhadores de Paisagismo e Manutenção de Jardins. A classificação e descrição da função/setor inclui informações gerais sobre o cargo, de acordo com o ONET/OES e o Sistema de Classificação Industrial da América do Norte (NAICS). Consulte as Funções e a Ordem de Serviço para obter mais informações. Requisitos da Função Experiência Necessária: Não. Requisitos Especiais: Capacidade de levantar 23 kg, realizar movimentos repetitivos, empurrar/puxar com frequência, caminhar bastante, agachar-se frequentemente e estar exposto a temperaturas extremas. Número de Horas por Semana: 40. Horário de Trabalho (Início/Término): 7h às 16h.</v>
      </c>
    </row>
    <row r="230" ht="20.25" customHeight="1">
      <c r="A230" s="3" t="s">
        <v>1301</v>
      </c>
      <c r="B230" s="3" t="s">
        <v>1302</v>
      </c>
      <c r="C230" s="3" t="s">
        <v>125</v>
      </c>
      <c r="D230" s="3" t="s">
        <v>18</v>
      </c>
      <c r="E230" s="4" t="s">
        <v>19</v>
      </c>
      <c r="F230" s="4" t="s">
        <v>20</v>
      </c>
      <c r="G230" s="4" t="s">
        <v>146</v>
      </c>
      <c r="H230" s="3" t="s">
        <v>1303</v>
      </c>
      <c r="I230" s="3" t="s">
        <v>1304</v>
      </c>
      <c r="J230" s="4">
        <v>19.47</v>
      </c>
      <c r="K230" s="4">
        <v>28.0</v>
      </c>
      <c r="L230" s="3" t="s">
        <v>129</v>
      </c>
      <c r="M230" s="3" t="s">
        <v>1305</v>
      </c>
      <c r="N230" s="7" t="str">
        <f>IFERROR(__xludf.DUMMYFUNCTION("GOOGLETRANSLATE(L230, ""en"", ""pt"")"),"Trabalhador de paisagismo e manutenção de jardins")</f>
        <v>Trabalhador de paisagismo e manutenção de jardins</v>
      </c>
      <c r="O230" s="7" t="str">
        <f>IFERROR(__xludf.DUMMYFUNCTION("IF(M230="""","""",GOOGLETRANSLATE(M230,""en"",""pt""))"),"As funções incluem a instalação de árvores, arbustos ou flores durante o período de dormência, seguindo o padrão de design apropriado. Isso inclui descarregar materiais, cavar buracos para o sistema radicular, cobrir os buracos adequadamente e, às vezes, "&amp;"colocar grama em placas, plantar sementes de grama ou conectar a irrigação. Também envolve a remoção de folhas, plantio de sementes e palha, aeração do gramado, plantio de arbustos, escavação, rastelagem e instalação de blocos de concreto pré-moldados sem"&amp;" argamassa. Os trabalhadores podem coletar e remover lixo, regar gramados, árvores e plantas semeadas, além de podar árvores, arbustos ou sebes. Podem operar equipamentos motorizados e dirigir veículos até os locais dos clientes. As tarefas podem incluir "&amp;"colocação de grama em placas, corte de grama, rega de plantas e gramados, transplante de plantas, fertilização, escavação, rastelagem e instalação de aspersores. Os funcionários cavarão valas com no máximo 15 a 30 cm de profundidade e 15 a 30 cm de largur"&amp;"a com pás e ferramentas manuais. Essas valas são usadas para acomodar a tubulação utilizada na instalação de sistemas de irrigação. Toda a poda/aparamento será feita no solo. Os trabalhadores não realizarão nenhuma atividade de poda ou corte acima do níve"&amp;"l do solo. O trabalhador poderá transportar outros trabalhadores de e para os locais de trabalho ocasionalmente, porém essa não será sua principal função. Os trabalhadores poderão operar equipamentos motorizados de jardinagem, incluindo cortadores de gram"&amp;"a, aparadores de borda, sopradores, roçadeiras, roçadeiras de jardim, pequenos tratores e equipamentos similares. Os trabalhadores poderão dirigir caminhonetes e veículos leves similares da empresa de e para os locais de trabalho dos clientes. Os trabalha"&amp;"dores poderão ocasionalmente transportar outros trabalhadores de e para os locais de trabalho; no entanto, o transporte de trabalhadores não é uma função principal. Os trabalhadores também poderão ocasionalmente transportar materiais, ferramentas e equipa"&amp;"mentos de jardinagem de e para os locais de trabalho, incluindo cobertura morta, plantas em vasos, pás, ancinhos, cortadores de grama, sopradores e roçadeiras de jardim. Nenhum material perigoso será transportado pelos trabalhadores. Todos os veículos e e"&amp;"quipamentos operados têm peso bruto total inferior a 26.000 libras (aproximadamente 11.800 kg), incluindo quaisquer reboques acoplados ou materiais transportados. Classificação da Função: 37-3011.00 - Trabalhadores de Paisagismo e Manutenção de Jardins. A"&amp;" classificação e descrição da função/setor inclui informações gerais sobre o cargo, de acordo com o ONET/OES e o Sistema de Classificação Industrial da América do Norte (NAICS). Consulte as Funções e a Ordem de Serviço para obter mais informações. Requisi"&amp;"tos da Função: Experiência Necessária: Sim. Meses de Experiência Necessários: 3. Requisitos Especiais: Carteira de habilitação válida é obrigatória. O candidato deve ser capaz de levantar 23 kg, realizar movimentos repetitivos, empurrar/puxar com frequênc"&amp;"ia, caminhar bastante, agachar-se frequentemente e estar exposto a temperaturas extremas. Experiência de 3 meses em paisagismo é obrigatória. Exame toxicológico pós-admissional por conta do empregador. Número de Horas por Semana: 40. Horário de Trabalho ("&amp;"Início/Término): 7h às 16h.")</f>
        <v>As funções incluem a instalação de árvores, arbustos ou flores durante o período de dormência, seguindo o padrão de design apropriado. Isso inclui descarregar materiais, cavar buracos para o sistema radicular, cobrir os buracos adequadamente e, às vezes, colocar grama em placas, plantar sementes de grama ou conectar a irrigação. Também envolve a remoção de folhas, plantio de sementes e palha, aeração do gramado, plantio de arbustos, escavação, rastelagem e instalação de blocos de concreto pré-moldados sem argamassa. Os trabalhadores podem coletar e remover lixo, regar gramados, árvores e plantas semeadas, além de podar árvores, arbustos ou sebes. Podem operar equipamentos motorizados e dirigir veículos até os locais dos clientes. As tarefas podem incluir colocação de grama em placas, corte de grama, rega de plantas e gramados, transplante de plantas, fertilização, escavação, rastelagem e instalação de aspersores. Os funcionários cavarão valas com no máximo 15 a 30 cm de profundidade e 15 a 30 cm de largura com pás e ferramentas manuais. Essas valas são usadas para acomodar a tubulação utilizada na instalação de sistemas de irrigação. Toda a poda/aparamento será feita no solo. Os trabalhadores não realizarão nenhuma atividade de poda ou corte acima do nível do solo. O trabalhador poderá transportar outros trabalhadores de e para os locais de trabalho ocasionalmente, porém essa não será sua principal função. Os trabalhadores poderão operar equipamentos motorizados de jardinagem, incluindo cortadores de grama, aparadores de borda, sopradores, roçadeiras, roçadeiras de jardim, pequenos tratores e equipamentos similares. Os trabalhadores poderão dirigir caminhonetes e veículos leves similares da empresa de e para os locais de trabalho dos clientes. Os trabalhadores poderão ocasionalmente transportar outros trabalhadores de e para os locais de trabalho; no entanto, o transporte de trabalhadores não é uma função principal. Os trabalhadores também poderão ocasionalmente transportar materiais, ferramentas e equipamentos de jardinagem de e para os locais de trabalho, incluindo cobertura morta, plantas em vasos, pás, ancinhos, cortadores de grama, sopradores e roçadeiras de jardim. Nenhum material perigoso será transportado pelos trabalhadores. Todos os veículos e equipamentos operados têm peso bruto total inferior a 26.000 libras (aproximadamente 11.800 kg), incluindo quaisquer reboques acoplados ou materiais transportados. Classificação da Função: 37-3011.00 - Trabalhadores de Paisagismo e Manutenção de Jardins. A classificação e descrição da função/setor inclui informações gerais sobre o cargo, de acordo com o ONET/OES e o Sistema de Classificação Industrial da América do Norte (NAICS). Consulte as Funções e a Ordem de Serviço para obter mais informações. Requisitos da Função: Experiência Necessária: Sim. Meses de Experiência Necessários: 3. Requisitos Especiais: Carteira de habilitação válida é obrigatória. O candidato deve ser capaz de levantar 23 kg, realizar movimentos repetitivos, empurrar/puxar com frequência, caminhar bastante, agachar-se frequentemente e estar exposto a temperaturas extremas. Experiência de 3 meses em paisagismo é obrigatória. Exame toxicológico pós-admissional por conta do empregador. Número de Horas por Semana: 40. Horário de Trabalho (Início/Término): 7h às 16h.</v>
      </c>
    </row>
    <row r="231" ht="20.25" customHeight="1">
      <c r="A231" s="8" t="s">
        <v>1306</v>
      </c>
      <c r="B231" s="8" t="s">
        <v>1307</v>
      </c>
      <c r="C231" s="8" t="s">
        <v>169</v>
      </c>
      <c r="D231" s="8" t="s">
        <v>249</v>
      </c>
      <c r="E231" s="9" t="s">
        <v>19</v>
      </c>
      <c r="F231" s="9" t="s">
        <v>20</v>
      </c>
      <c r="G231" s="9" t="s">
        <v>146</v>
      </c>
      <c r="H231" s="8" t="s">
        <v>1308</v>
      </c>
      <c r="I231" s="8"/>
      <c r="J231" s="9">
        <v>18.91</v>
      </c>
      <c r="K231" s="9">
        <v>70.0</v>
      </c>
      <c r="L231" s="8" t="s">
        <v>1309</v>
      </c>
      <c r="M231" s="8" t="s">
        <v>1310</v>
      </c>
      <c r="N231" s="7" t="str">
        <f>IFERROR(__xludf.DUMMYFUNCTION("GOOGLETRANSLATE(L231, ""en"", ""pt"")"),"Pessoa de solo")</f>
        <v>Pessoa de solo</v>
      </c>
      <c r="O231" s="7" t="str">
        <f>IFERROR(__xludf.DUMMYFUNCTION("IF(M231="""","""",GOOGLETRANSLATE(M231,""en"",""pt""))"),"Manutenção de áreas externas da propriedade utilizando ferramentas manuais ou elétricas. Os trabalhadores geralmente executam uma variedade de tarefas, que podem incluir qualquer combinação das seguintes: remoção de folhas, recolhimento de folhas, limpeza"&amp;" de outono, cobertura morta, aparar bordas e poda de arbustos. Utilizam sopradores de folhas para limpar calçadas e áreas de pedestres. Nível inicial; requer supervisão. Classificação da vaga: 37-3011.00 - Trabalhadores de Paisagismo e Manutenção de Áreas"&amp;" Externas. A classificação e descrição da vaga/setor incluem informações gerais sobre o cargo, de acordo com o ONET/OES e o Sistema de Classificação Industrial da América do Norte. Consulte as Funções e a Ordem de Serviço para obter mais informações. Requ"&amp;"isitos da vaga: Experiência exigida: Não. Requisitos especiais: Deve ser capaz de levantar/carregar 23 kg, quando necessário. Trabalho aos sábados e domingos, quando necessário. Exame toxicológico pós-contratação obrigatório para trabalhadores estrangeiro"&amp;"s e nacionais. Verificação de antecedentes criminais pós-contratação obrigatória para trabalhadores estrangeiros e nacionais. O empregador pode oferecer mais horas de trabalho do que as estipuladas, dependendo do clima, das necessidades da empresa e de ou"&amp;"tras condições. Calor extremo, frio, chuva ou seca podem afetar o horário de trabalho exato. Número de horas por semana: 40 Horário de trabalho (início/término): 7h30 - 16h00")</f>
        <v>Manutenção de áreas externas da propriedade utilizando ferramentas manuais ou elétricas. Os trabalhadores geralmente executam uma variedade de tarefas, que podem incluir qualquer combinação das seguintes: remoção de folhas, recolhimento de folhas, limpeza de outono, cobertura morta, aparar bordas e poda de arbustos. Utilizam sopradores de folhas para limpar calçadas e áreas de pedestres. Nível inicial; requer supervisão. Classificação da vaga: 37-3011.00 - Trabalhadores de Paisagismo e Manutenção de Áreas Externas. A classificação e descrição da vaga/setor incluem informações gerais sobre o cargo, de acordo com o ONET/OES e o Sistema de Classificação Industrial da América do Norte. Consulte as Funções e a Ordem de Serviço para obter mais informações. Requisitos da vaga: Experiência exigida: Não. Requisitos especiais: Deve ser capaz de levantar/carregar 23 kg, quando necessário. Trabalho aos sábados e domingos, quando necessário. Exame toxicológico pós-contratação obrigatório para trabalhadores estrangeiros e nacionais. Verificação de antecedentes criminais pós-contratação obrigatória para trabalhadores estrangeiros e nacionais. O empregador pode oferecer mais horas de trabalho do que as estipuladas, dependendo do clima, das necessidades da empresa e de outras condições. Calor extremo, frio, chuva ou seca podem afetar o horário de trabalho exato. Número de horas por semana: 40 Horário de trabalho (início/término): 7h30 - 16h00</v>
      </c>
    </row>
    <row r="232" ht="20.25" customHeight="1">
      <c r="A232" s="3" t="s">
        <v>1311</v>
      </c>
      <c r="B232" s="3" t="s">
        <v>1312</v>
      </c>
      <c r="C232" s="3" t="s">
        <v>125</v>
      </c>
      <c r="D232" s="3" t="s">
        <v>55</v>
      </c>
      <c r="E232" s="4" t="s">
        <v>19</v>
      </c>
      <c r="F232" s="4" t="s">
        <v>20</v>
      </c>
      <c r="G232" s="4" t="s">
        <v>307</v>
      </c>
      <c r="H232" s="3" t="s">
        <v>1313</v>
      </c>
      <c r="I232" s="3" t="s">
        <v>1314</v>
      </c>
      <c r="J232" s="4">
        <v>18.31</v>
      </c>
      <c r="K232" s="4">
        <v>14.0</v>
      </c>
      <c r="L232" s="3" t="s">
        <v>129</v>
      </c>
      <c r="M232" s="3" t="s">
        <v>1315</v>
      </c>
      <c r="N232" s="7" t="str">
        <f>IFERROR(__xludf.DUMMYFUNCTION("GOOGLETRANSLATE(L232, ""en"", ""pt"")"),"Trabalhador de paisagismo e manutenção de jardins")</f>
        <v>Trabalhador de paisagismo e manutenção de jardins</v>
      </c>
      <c r="O232" s="7" t="str">
        <f>IFERROR(__xludf.DUMMYFUNCTION("IF(M232="""","""",GOOGLETRANSLATE(M232,""en"",""pt""))"),"Funções: As funções incluem a instalação de árvores, arbustos ou flores durante o período de dormência, seguindo o padrão de design apropriado. Descarregar materiais, cavar buracos para o sistema radicular, cobrir os buracos adequadamente e, às vezes, col"&amp;"ocar grama em placas, plantar sementes de grama ou conectar a irrigação. Remover folhas, semear grama e colocar palha, aerar o gramado, plantar arbustos, cavar, rastelar e instalar blocos de concreto pré-moldados sem argamassa. Os trabalhadores podem cole"&amp;"tar e remover lixo, regar gramados, árvores e plantas semeadas e podar árvores, arbustos ou sebes. Os trabalhadores podem operar equipamentos motorizados e dirigir veículos até os locais dos clientes. As funções podem incluir colocar grama em placas, cort"&amp;"ar a grama, regar plantas e gramados, transplantar plantas, fertilizar, cavar, rastelar e instalar aspersores. Os funcionários cavarão valas com no máximo 15 a 30 cm de profundidade e 15 a 30 cm de largura com pás e ferramentas manuais. Essas valas são us"&amp;"adas para acomodar a tubulação utilizada na instalação de sistemas de irrigação. Toda a poda/aparar será feita no solo. Os trabalhadores não realizarão nenhuma atividade de poda ou corte acima do nível do solo. O trabalhador poderá transportar outros trab"&amp;"alhadores de e para os locais de trabalho ocasionalmente, porém essa não será sua principal função. Os trabalhadores poderão operar equipamentos motorizados de jardinagem, incluindo cortadores de grama, aparadores de borda, sopradores, roçadeiras, roçadei"&amp;"ras, motosserras, pequenos tratores e equipamentos similares. Os trabalhadores poderão dirigir veículos da empresa, incluindo Ford F150, Ford F250, Ford F350, Chevrolet Silverado, Dodge Durango, GMC 1500, GMC 2500 e GMC 3500, de e para os locais de trabal"&amp;"ho dos clientes. Os trabalhadores poderão ocasionalmente transportar outros trabalhadores de e para os locais de trabalho; no entanto, o transporte de trabalhadores não é uma função principal. Os trabalhadores também poderão ocasionalmente transportar mat"&amp;"eriais, ferramentas e equipamentos de jardinagem de e para os locais de trabalho, incluindo cobertura morta, plantas em vasos, pás, ancinhos, cortadores de grama, sopradores e roçadeiras. Nenhum material perigoso será transportado pelos trabalhadores. Tod"&amp;"os os veículos e equipamentos operados têm peso bruto total (PBT) inferior a 26.000 libras (aproximadamente 11.793 kg), incluindo quaisquer reboques acoplados ou materiais transportados. Classificação da função: 37-3011.00 - Trabalhadores de Paisagismo e "&amp;"Manutenção de Áreas Verdes. A classificação e descrição da função/setor incluem informações gerais sobre o cargo, de acordo com o ONET/OES e o Sistema de Classificação Industrial da América do Norte (NAICS). Consulte as Funções e a Ordem de Serviço para o"&amp;"bter mais informações. Requisitos da função: Experiência necessária: Não. Requisitos especiais: Capacidade de levantar 80 libras (aproximadamente 36 kg), realizar movimentos repetitivos, empurrar/puxar com frequência, caminhar bastante, agachar-se frequen"&amp;"temente e estar exposto a temperaturas extremas. Número de horas por semana: 40. Horário de trabalho (início/término): 7h às 16h.")</f>
        <v>Funções: As funções incluem a instalação de árvores, arbustos ou flores durante o período de dormência, seguindo o padrão de design apropriado. Descarregar materiais, cavar buracos para o sistema radicular, cobrir os buracos adequadamente e, às vezes, colocar grama em placas, plantar sementes de grama ou conectar a irrigação. Remover folhas, semear grama e colocar palha, aerar o gramado, plantar arbustos, cavar, rastelar e instalar blocos de concreto pré-moldados sem argamassa. Os trabalhadores podem coletar e remover lixo, regar gramados, árvores e plantas semeadas e podar árvores, arbustos ou sebes. Os trabalhadores podem operar equipamentos motorizados e dirigir veículos até os locais dos clientes. As funções podem incluir colocar grama em placas, cortar a grama, regar plantas e gramados, transplantar plantas, fertilizar, cavar, rastelar e instalar aspersores. Os funcionários cavarão valas com no máximo 15 a 30 cm de profundidade e 15 a 30 cm de largura com pás e ferramentas manuais. Essas valas são usadas para acomodar a tubulação utilizada na instalação de sistemas de irrigação. Toda a poda/aparar será feita no solo. Os trabalhadores não realizarão nenhuma atividade de poda ou corte acima do nível do solo. O trabalhador poderá transportar outros trabalhadores de e para os locais de trabalho ocasionalmente, porém essa não será sua principal função. Os trabalhadores poderão operar equipamentos motorizados de jardinagem, incluindo cortadores de grama, aparadores de borda, sopradores, roçadeiras, roçadeiras, motosserras, pequenos tratores e equipamentos similares. Os trabalhadores poderão dirigir veículos da empresa, incluindo Ford F150, Ford F250, Ford F350, Chevrolet Silverado, Dodge Durango, GMC 1500, GMC 2500 e GMC 3500, de e para os locais de trabalho dos clientes. Os trabalhadores poderão ocasionalmente transportar outros trabalhadores de e para os locais de trabalho; no entanto, o transporte de trabalhadores não é uma função principal. Os trabalhadores também poderão ocasionalmente transportar materiais, ferramentas e equipamentos de jardinagem de e para os locais de trabalho, incluindo cobertura morta, plantas em vasos, pás, ancinhos, cortadores de grama, sopradores e roçadeiras. Nenhum material perigoso será transportado pelos trabalhadores. Todos os veículos e equipamentos operados têm peso bruto total (PBT) inferior a 26.000 libras (aproximadamente 11.793 kg), incluindo quaisquer reboques acoplados ou materiais transportados. Classificação da função: 37-3011.00 - Trabalhadores de Paisagismo e Manutenção de Áreas Verdes. A classificação e descrição da função/setor incluem informações gerais sobre o cargo, de acordo com o ONET/OES e o Sistema de Classificação Industrial da América do Norte (NAICS). Consulte as Funções e a Ordem de Serviço para obter mais informações. Requisitos da função: Experiência necessária: Não. Requisitos especiais: Capacidade de levantar 80 libras (aproximadamente 36 kg), realizar movimentos repetitivos, empurrar/puxar com frequência, caminhar bastante, agachar-se frequentemente e estar exposto a temperaturas extremas. Número de horas por semana: 40. Horário de trabalho (início/término): 7h às 16h.</v>
      </c>
    </row>
    <row r="233" ht="20.25" customHeight="1">
      <c r="A233" s="8" t="s">
        <v>1316</v>
      </c>
      <c r="B233" s="8" t="s">
        <v>1317</v>
      </c>
      <c r="C233" s="8" t="s">
        <v>125</v>
      </c>
      <c r="D233" s="8" t="s">
        <v>306</v>
      </c>
      <c r="E233" s="9" t="s">
        <v>19</v>
      </c>
      <c r="F233" s="9" t="s">
        <v>20</v>
      </c>
      <c r="G233" s="9" t="s">
        <v>65</v>
      </c>
      <c r="H233" s="8" t="s">
        <v>1318</v>
      </c>
      <c r="I233" s="8" t="s">
        <v>1319</v>
      </c>
      <c r="J233" s="9">
        <v>19.93</v>
      </c>
      <c r="K233" s="9">
        <v>15.0</v>
      </c>
      <c r="L233" s="8" t="s">
        <v>129</v>
      </c>
      <c r="M233" s="8" t="s">
        <v>1320</v>
      </c>
      <c r="N233" s="7" t="str">
        <f>IFERROR(__xludf.DUMMYFUNCTION("GOOGLETRANSLATE(L233, ""en"", ""pt"")"),"Trabalhador de paisagismo e manutenção de jardins")</f>
        <v>Trabalhador de paisagismo e manutenção de jardins</v>
      </c>
      <c r="O233" s="7" t="str">
        <f>IFERROR(__xludf.DUMMYFUNCTION("IF(M233="""","""",GOOGLETRANSLATE(M233,""en"",""pt""))"),"As funções incluem a instalação de árvores, arbustos ou flores durante o período de dormência, seguindo o padrão de design apropriado. Isso inclui descarregar materiais, cavar buracos para o sistema radicular, cobrir os buracos adequadamente e, às vezes, "&amp;"colocar grama em placas, plantar sementes de grama ou conectar a irrigação. Também envolve a remoção de folhas, plantio de sementes e palha, aeração do gramado, plantio de arbustos, escavação, rastelagem e instalação de blocos de concreto pré-moldados sem"&amp;" argamassa. Os trabalhadores podem coletar e remover lixo, regar gramados, árvores e plantas semeadas, além de podar árvores, arbustos ou sebes. Podem operar equipamentos motorizados e dirigir veículos até os locais dos clientes. As tarefas podem incluir "&amp;"colocação de grama em placas, corte de grama, rega de plantas e gramados, transplante de plantas, fertilização, escavação, rastelagem e instalação de aspersores. Os funcionários cavarão valas com no máximo 15 a 30 cm de profundidade e 15 a 30 cm de largur"&amp;"a com pás e ferramentas manuais. Essas valas são usadas para acomodar a tubulação utilizada na instalação de sistemas de irrigação. Toda a poda/aparamento será feita no solo. Os trabalhadores não realizarão nenhuma atividade de poda ou corte acima do níve"&amp;"l do solo. O trabalhador poderá transportar outros trabalhadores de e para os locais de trabalho ocasionalmente, porém essa não será sua principal função. Os trabalhadores poderão operar equipamentos motorizados de jardinagem, incluindo cortadores de gram"&amp;"a, aparadores de borda, sopradores, roçadeiras, roçadeiras de jardim, pequenos tratores e equipamentos similares. Os trabalhadores poderão dirigir caminhonetes e outros veículos leves da empresa para ir e voltar dos locais de trabalho dos clientes. Os tra"&amp;"balhadores poderão ocasionalmente transportar outros trabalhadores de e para os locais de trabalho; no entanto, o transporte de trabalhadores não é uma função principal. Os trabalhadores também poderão ocasionalmente transportar materiais, ferramentas e e"&amp;"quipamentos de jardinagem de e para os locais de trabalho, incluindo cobertura morta, plantas em vasos, pás, ancinhos, cortadores de grama, sopradores e roçadeiras de jardim. Nenhum material perigoso será transportado pelos trabalhadores. Todos os veículo"&amp;"s e equipamentos operados têm peso bruto total inferior a 26.000 libras (aproximadamente 11.800 kg), incluindo quaisquer reboques acoplados ou materiais transportados. Classificação da Função: 37-3011.00 - Trabalhadores de Paisagismo e Manutenção de Jardi"&amp;"ns. A classificação e descrição da função/setor inclui informações gerais sobre o cargo, de acordo com o ONET/OES e o Sistema de Classificação Industrial da América do Norte (NAICS). Consulte as Funções e a Ordem de Serviço para obter mais informações. Re"&amp;"quisitos da Função Experiência Necessária: Sim Meses de Experiência Necessários: 3 Requisitos Especiais: Capacidade de levantar 23 kg, realizar movimentos repetitivos, empurrar/puxar com frequência, caminhar bastante, agachar-se frequentemente e estar exp"&amp;"osto a temperaturas extremas. 3 meses de experiência são necessários. De acordo com a legislação estadual de Michigan, Lei 338 de Licença Médica Remunerada, os empregadores são obrigados a fornecer licença médica remunerada aos seus funcionários. A quanti"&amp;"dade de licença médica remunerada concedida pode variar dependendo do porte da empresa. Número de Horas por Semana: 40 Horário de Trabalho (Início/Término): 7h às 16h.")</f>
        <v>As funções incluem a instalação de árvores, arbustos ou flores durante o período de dormência, seguindo o padrão de design apropriado. Isso inclui descarregar materiais, cavar buracos para o sistema radicular, cobrir os buracos adequadamente e, às vezes, colocar grama em placas, plantar sementes de grama ou conectar a irrigação. Também envolve a remoção de folhas, plantio de sementes e palha, aeração do gramado, plantio de arbustos, escavação, rastelagem e instalação de blocos de concreto pré-moldados sem argamassa. Os trabalhadores podem coletar e remover lixo, regar gramados, árvores e plantas semeadas, além de podar árvores, arbustos ou sebes. Podem operar equipamentos motorizados e dirigir veículos até os locais dos clientes. As tarefas podem incluir colocação de grama em placas, corte de grama, rega de plantas e gramados, transplante de plantas, fertilização, escavação, rastelagem e instalação de aspersores. Os funcionários cavarão valas com no máximo 15 a 30 cm de profundidade e 15 a 30 cm de largura com pás e ferramentas manuais. Essas valas são usadas para acomodar a tubulação utilizada na instalação de sistemas de irrigação. Toda a poda/aparamento será feita no solo. Os trabalhadores não realizarão nenhuma atividade de poda ou corte acima do nível do solo. O trabalhador poderá transportar outros trabalhadores de e para os locais de trabalho ocasionalmente, porém essa não será sua principal função. Os trabalhadores poderão operar equipamentos motorizados de jardinagem, incluindo cortadores de grama, aparadores de borda, sopradores, roçadeiras, roçadeiras de jardim, pequenos tratores e equipamentos similares. Os trabalhadores poderão dirigir caminhonetes e outros veículos leves da empresa para ir e voltar dos locais de trabalho dos clientes. Os trabalhadores poderão ocasionalmente transportar outros trabalhadores de e para os locais de trabalho; no entanto, o transporte de trabalhadores não é uma função principal. Os trabalhadores também poderão ocasionalmente transportar materiais, ferramentas e equipamentos de jardinagem de e para os locais de trabalho, incluindo cobertura morta, plantas em vasos, pás, ancinhos, cortadores de grama, sopradores e roçadeiras de jardim. Nenhum material perigoso será transportado pelos trabalhadores. Todos os veículos e equipamentos operados têm peso bruto total inferior a 26.000 libras (aproximadamente 11.800 kg), incluindo quaisquer reboques acoplados ou materiais transportados. Classificação da Função: 37-3011.00 - Trabalhadores de Paisagismo e Manutenção de Jardins. A classificação e descrição da função/setor inclui informações gerais sobre o cargo, de acordo com o ONET/OES e o Sistema de Classificação Industrial da América do Norte (NAICS). Consulte as Funções e a Ordem de Serviço para obter mais informações. Requisitos da Função Experiência Necessária: Sim Meses de Experiência Necessários: 3 Requisitos Especiais: Capacidade de levantar 23 kg, realizar movimentos repetitivos, empurrar/puxar com frequência, caminhar bastante, agachar-se frequentemente e estar exposto a temperaturas extremas. 3 meses de experiência são necessários. De acordo com a legislação estadual de Michigan, Lei 338 de Licença Médica Remunerada, os empregadores são obrigados a fornecer licença médica remunerada aos seus funcionários. A quantidade de licença médica remunerada concedida pode variar dependendo do porte da empresa. Número de Horas por Semana: 40 Horário de Trabalho (Início/Término): 7h às 16h.</v>
      </c>
    </row>
    <row r="234" ht="20.25" customHeight="1">
      <c r="A234" s="3" t="s">
        <v>1321</v>
      </c>
      <c r="B234" s="3" t="s">
        <v>1322</v>
      </c>
      <c r="C234" s="3" t="s">
        <v>116</v>
      </c>
      <c r="D234" s="3" t="s">
        <v>87</v>
      </c>
      <c r="E234" s="4" t="s">
        <v>19</v>
      </c>
      <c r="F234" s="4" t="s">
        <v>20</v>
      </c>
      <c r="G234" s="4" t="s">
        <v>80</v>
      </c>
      <c r="H234" s="3" t="s">
        <v>1323</v>
      </c>
      <c r="I234" s="3" t="s">
        <v>1324</v>
      </c>
      <c r="J234" s="4">
        <v>18.21</v>
      </c>
      <c r="K234" s="4">
        <v>36.0</v>
      </c>
      <c r="L234" s="3" t="s">
        <v>1325</v>
      </c>
      <c r="M234" s="3" t="s">
        <v>1326</v>
      </c>
      <c r="N234" s="7" t="str">
        <f>IFERROR(__xludf.DUMMYFUNCTION("GOOGLETRANSLATE(L234, ""en"", ""pt"")"),"Zelador/trabalhador braçal")</f>
        <v>Zelador/trabalhador braçal</v>
      </c>
      <c r="O234" s="7" t="str">
        <f>IFERROR(__xludf.DUMMYFUNCTION("IF(M234="""","""",GOOGLETRANSLATE(M234,""en"",""pt""))"),"As funções podem incluir: sob supervisão, carregar e descarregar materiais; limpar, recolher e remover lixo e detritos manualmente; cortar a grama usando cortadores de grama motorizados; podar árvores, arbustos ou sebes usando aparadores, tesouras de poda"&amp;" e, ocasionalmente, motosserras; cavar buracos, colocar pedras, varrer e rastelar palha de pinheiro/cobertura morta; espalhar palha de pinheiro para enriquecer o solo, prevenir a erosão e a perda da camada superficial do solo, mantendo uma temperatura con"&amp;"stante e protegendo-o durante o inverno; e outras atividades relacionadas a jardineiro/trabalhador braçal, conforme SOC/OES 37-3011 (onetonline.org). Horário padrão/esperado: segunda a sexta, das 7h30 às 15h. Oferecemos mais de 40 horas semanais, sem incl"&amp;"uir almoço e/ou intervalos. Possibilidade de trabalho nos fins de semana e feriados. Os horários de início e término, a carga horária e/ou horas extras podem variar, pois dependem de fatores como projetos/cronograma/necessidades do serviço, condições clim"&amp;"áticas e tempo de deslocamento entre os locais de trabalho (se aplicável). Possibilidade de horas extras, mas não obrigatórias ou garantidas. A critério exclusivo do empregador: possíveis aumentos e/ou bônus com base em fatores individuais, como desempenh"&amp;"o ou habilidades (não garantidos). Classificação do Cargo: 37-3011.00 - Trabalhadores de Paisagismo e Manutenção de Jardins. A classificação e descrição do cargo/setor incluem informações gerais sobre a posição, conforme o ONET/OES e o Sistema de Classifi"&amp;"cação Industrial da América do Norte (NAICS). Consulte as Funções e a Ordem de Serviço para obter mais informações. Requisitos do Cargo Experiência Necessária: Não. Requisitos Especiais: É necessário ter 18 anos ou mais, devido às leis trabalhistas estadu"&amp;"ais. É necessário apresentar comprovante de autorização legal para trabalhar nos Estados Unidos. Ambiente de trabalho livre de drogas, álcool e tabaco. Executar atividades físicas, como levantar, equilibrar-se, caminhar, abaixar-se, manusear, posicionar, "&amp;"mover e manipular materiais, utilizando força estática para exercer força muscular máxima para levantar, empurrar, puxar e carregar objetos de até 18 kg. Todos os candidatos devem ser capazes, dispostos e qualificados para executar o trabalho descrito e d"&amp;"evem estar disponíveis durante todo o período especificado e trabalhar em todas as áreas da vaga. O trabalho é realizado ao ar livre, exposto às intempéries. O candidato deve ser capaz de realizar trabalho fisicamente extenuante por longos períodos, ocasi"&amp;"onalmente em condições de calor ou frio extremos. As condições climáticas são variáveis; a carga horária pode sofrer alterações (+/-), podendo haver períodos de inatividade e/ou horas extras. Número de horas por semana: 40. Horário de trabalho (início/tér"&amp;"mino): 7h30 às 15h.")</f>
        <v>As funções podem incluir: sob supervisão, carregar e descarregar materiais; limpar, recolher e remover lixo e detritos manualmente; cortar a grama usando cortadores de grama motorizados; podar árvores, arbustos ou sebes usando aparadores, tesouras de poda e, ocasionalmente, motosserras; cavar buracos, colocar pedras, varrer e rastelar palha de pinheiro/cobertura morta; espalhar palha de pinheiro para enriquecer o solo, prevenir a erosão e a perda da camada superficial do solo, mantendo uma temperatura constante e protegendo-o durante o inverno; e outras atividades relacionadas a jardineiro/trabalhador braçal, conforme SOC/OES 37-3011 (onetonline.org). Horário padrão/esperado: segunda a sexta, das 7h30 às 15h. Oferecemos mais de 40 horas semanais, sem incluir almoço e/ou intervalos. Possibilidade de trabalho nos fins de semana e feriados. Os horários de início e término, a carga horária e/ou horas extras podem variar, pois dependem de fatores como projetos/cronograma/necessidades do serviço, condições climáticas e tempo de deslocamento entre os locais de trabalho (se aplicável). Possibilidade de horas extras, mas não obrigatórias ou garantidas. A critério exclusivo do empregador: possíveis aumentos e/ou bônus com base em fatores individuais, como desempenho ou habilidades (não garantidos). Classificação do Cargo: 37-3011.00 - Trabalhadores de Paisagismo e Manutenção de Jardins. A classificação e descrição do cargo/setor incluem informações gerais sobre a posição, conforme o ONET/OES e o Sistema de Classificação Industrial da América do Norte (NAICS). Consulte as Funções e a Ordem de Serviço para obter mais informações. Requisitos do Cargo Experiência Necessária: Não. Requisitos Especiais: É necessário ter 18 anos ou mais, devido às leis trabalhistas estaduais. É necessário apresentar comprovante de autorização legal para trabalhar nos Estados Unidos. Ambiente de trabalho livre de drogas, álcool e tabaco. Executar atividades físicas, como levantar, equilibrar-se, caminhar, abaixar-se, manusear, posicionar, mover e manipular materiais, utilizando força estática para exercer força muscular máxima para levantar, empurrar, puxar e carregar objetos de até 18 kg. Todos os candidatos devem ser capazes, dispostos e qualificados para executar o trabalho descrito e devem estar disponíveis durante todo o período especificado e trabalhar em todas as áreas da vaga. O trabalho é realizado ao ar livre, exposto às intempéries. O candidato deve ser capaz de realizar trabalho fisicamente extenuante por longos períodos, ocasionalmente em condições de calor ou frio extremos. As condições climáticas são variáveis; a carga horária pode sofrer alterações (+/-), podendo haver períodos de inatividade e/ou horas extras. Número de horas por semana: 40. Horário de trabalho (início/término): 7h30 às 15h.</v>
      </c>
    </row>
    <row r="235" ht="20.25" customHeight="1">
      <c r="A235" s="8" t="s">
        <v>1327</v>
      </c>
      <c r="B235" s="8" t="s">
        <v>1328</v>
      </c>
      <c r="C235" s="8" t="s">
        <v>63</v>
      </c>
      <c r="D235" s="8" t="s">
        <v>109</v>
      </c>
      <c r="E235" s="9" t="s">
        <v>19</v>
      </c>
      <c r="F235" s="9" t="s">
        <v>20</v>
      </c>
      <c r="G235" s="9" t="s">
        <v>65</v>
      </c>
      <c r="H235" s="8" t="s">
        <v>1329</v>
      </c>
      <c r="I235" s="8" t="s">
        <v>1330</v>
      </c>
      <c r="J235" s="9">
        <v>19.86</v>
      </c>
      <c r="K235" s="9">
        <v>24.0</v>
      </c>
      <c r="L235" s="8" t="s">
        <v>239</v>
      </c>
      <c r="M235" s="8" t="s">
        <v>1331</v>
      </c>
      <c r="N235" s="7" t="str">
        <f>IFERROR(__xludf.DUMMYFUNCTION("GOOGLETRANSLATE(L235, ""en"", ""pt"")"),"Especialista em manutenção de jardins")</f>
        <v>Especialista em manutenção de jardins</v>
      </c>
      <c r="O235" s="7" t="str">
        <f>IFERROR(__xludf.DUMMYFUNCTION("IF(M235="""","""",GOOGLETRANSLATE(M235,""en"",""pt""))"),"Paisagismo e manutenção de terrenos utilizando ferramentas manuais ou elétricas. Os trabalhadores devem ser capazes de executar uma variedade de tarefas sem supervisão direta, que podem incluir qualquer combinação das seguintes atividades: colocação de gr"&amp;"ama, corte de grama, poda, plantio, rega, fertilização, escavação, rastelagem e auxílio na instalação de blocos de concreto pré-moldado sem argamassa. Devem exercer julgamento independente; podem ser solicitados a demonstrar tarefas a outros funcionários,"&amp;" mas a função não inclui a supervisão de outros trabalhadores. Classificação da vaga: 37-3011.00 - Trabalhadores de Paisagismo e Manutenção de Terrenos. A classificação e descrição da vaga/setor incluem informações gerais sobre o cargo, de acordo com o ON"&amp;"ET/OES e o Sistema de Classificação Industrial da América do Norte (NAICS). Consulte as Funções e a Ordem de Serviço para obter mais informações. Requisitos da vaga: Experiência exigida: Sim. Meses de experiência exigidos: 3. Requisitos especiais: Deve se"&amp;"r capaz de levantar/carregar 23 kg, quando necessário. Trabalho aos sábados e domingos, quando necessário. O empregador exige que trabalhadores estrangeiros e nacionais se submetam a testes de drogas pagos pelo empregador antes do início do trabalho e, ap"&amp;"ós a contratação, aleatoriamente, em caso de suspeita de uso e após acidentes. A verificação de antecedentes criminais após a contratação também é obrigatória para trabalhadores estrangeiros e nacionais. O empregador poderá oferecer uma jornada de trabalh"&amp;"o superior à estipulada, dependendo das condições climáticas, das necessidades da empresa e de outros fatores. Calor extremo, frio intenso, chuva ou seca podem afetar o horário de trabalho exato. Número de horas por semana: 40. Horário de trabalho (início"&amp;"/término): 6h30 às 15h.")</f>
        <v>Paisagismo e manutenção de terrenos utilizando ferramentas manuais ou elétricas. Os trabalhadores devem ser capazes de executar uma variedade de tarefas sem supervisão direta, que podem incluir qualquer combinação das seguintes atividades: colocação de grama, corte de grama, poda, plantio, rega, fertilização, escavação, rastelagem e auxílio na instalação de blocos de concreto pré-moldado sem argamassa. Devem exercer julgamento independente; podem ser solicitados a demonstrar tarefas a outros funcionários, mas a função não inclui a supervisão de outros trabalhadores. Classificação da vaga: 37-3011.00 - Trabalhadores de Paisagismo e Manutenção de Terrenos. A classificação e descrição da vaga/setor incluem informações gerais sobre o cargo, de acordo com o ONET/OES e o Sistema de Classificação Industrial da América do Norte (NAICS). Consulte as Funções e a Ordem de Serviço para obter mais informações. Requisitos da vaga: Experiência exigida: Sim. Meses de experiência exigidos: 3. Requisitos especiais: Deve ser capaz de levantar/carregar 23 kg, quando necessário. Trabalho aos sábados e domingos, quando necessário. O empregador exige que trabalhadores estrangeiros e nacionais se submetam a testes de drogas pagos pelo empregador antes do início do trabalho e, após a contratação, aleatoriamente, em caso de suspeita de uso e após acidentes. A verificação de antecedentes criminais após a contratação também é obrigatória para trabalhadores estrangeiros e nacionais. O empregador poderá oferecer uma jornada de trabalho superior à estipulada, dependendo das condições climáticas, das necessidades da empresa e de outros fatores. Calor extremo, frio intenso, chuva ou seca podem afetar o horário de trabalho exato. Número de horas por semana: 40. Horário de trabalho (início/término): 6h30 às 15h.</v>
      </c>
    </row>
    <row r="236" ht="20.25" customHeight="1">
      <c r="A236" s="3" t="s">
        <v>1332</v>
      </c>
      <c r="B236" s="3" t="s">
        <v>1333</v>
      </c>
      <c r="C236" s="3" t="s">
        <v>169</v>
      </c>
      <c r="D236" s="3" t="s">
        <v>140</v>
      </c>
      <c r="E236" s="4" t="s">
        <v>19</v>
      </c>
      <c r="F236" s="4" t="s">
        <v>20</v>
      </c>
      <c r="G236" s="4" t="s">
        <v>1058</v>
      </c>
      <c r="H236" s="3" t="s">
        <v>1334</v>
      </c>
      <c r="I236" s="3" t="s">
        <v>1335</v>
      </c>
      <c r="J236" s="4">
        <v>18.98</v>
      </c>
      <c r="K236" s="4">
        <v>8.0</v>
      </c>
      <c r="L236" s="3" t="s">
        <v>1336</v>
      </c>
      <c r="M236" s="3" t="s">
        <v>1337</v>
      </c>
      <c r="N236" s="7" t="str">
        <f>IFERROR(__xludf.DUMMYFUNCTION("GOOGLETRANSLATE(L236, ""en"", ""pt"")"),"Equipe de suporte ao varejo")</f>
        <v>Equipe de suporte ao varejo</v>
      </c>
      <c r="O236" s="7" t="str">
        <f>IFERROR(__xludf.DUMMYFUNCTION("IF(M236="""","""",GOOGLETRANSLATE(M236,""en"",""pt""))"),"Auxiliar a equipe do mercado a atender à demanda dos clientes. Devolver os itens aos locais de armazenamento adequados e ajudar a repor as prateleiras. Levantar caixas, baldes e cestas de frutas e outros produtos. Recomendar, selecionar e ajudar a localiz"&amp;"ar mercadorias. Preparar as mercadorias para compra e venda. Etiquetar, organizar e exibir as mercadorias para promover as vendas. Repor o estoque no mercado, na seção de hortifrúti, na adega e na padaria, incluindo suprimentos. Manter o local de trabalho"&amp;", os pisos e as áreas de trabalho limpos e seguros. Recolher o lixo, esvaziar as lixeiras e trocar os sacos de lixo, desmontar caixas vazias. Localizar carrinhos de compras e devolvê-los aos locais de armazenamento adequados. Os funcionários podem recomen"&amp;"dar mercadorias, identificando itens disponíveis que correspondam à solicitação do cliente, auxiliar na seleção do estoque disponível e ajudar a localizar mercadorias dentro da loja ou do depósito, quando solicitado. As recomendações se limitam a direcion"&amp;"ar os clientes aos produtos com base na disponibilidade, localização e preferências expressas pelo cliente. Esta função é incidental às funções principais de reposição e separação de pedidos do cargo e representa uma parte mínima das atribuições gerais do"&amp;" trabalho. Os funcionários preparam as mercadorias para venda, recebendo, desembalando, separando, etiquetando, colocando etiquetas, estocando, ensacando, organizando e exibindo os produtos nas áreas designadas de estoque ou vendas. Os funcionários também"&amp;" podem inspecionar as mercadorias em busca de danos, repor o estoque e garantir que os produtos estejam devidamente organizados. Essas funções não incluem vendas, caixa ou atendimento ao cliente. Classificação do Cargo: 53-7065.00 - Estoquistas e Separado"&amp;"res de Pedidos. A classificação e descrição do cargo/setor inclui informações gerais sobre a posição, de acordo com o ONET/OES e o Sistema de Classificação Industrial da América do Norte (NAICS). Consulte as Funções e a Ordem de Serviço para obter mais in"&amp;"formações. Requisitos do Cargo Experiência Necessária: Não. Requisitos Especiais: Deve ser capaz de empurrar, puxar e levantar até 18 kg. Caminhar, ficar em pé, curvar-se e trabalhar com as mãos e os dedos por longos períodos. Executar trabalho repetitivo"&amp;". Exposição a temperaturas extremas. Deve ser capaz de trabalhar em um ambiente de ritmo acelerado. Manter altos padrões de controle de qualidade, higiene, saúde e segurança e procedimentos de segurança. Trabalho aos sábados e domingos, quando necessário."&amp;" O empregador exige que trabalhadores estrangeiros e nacionais se submetam a testes de drogas pagos pelo empregador antes do início do trabalho e, após a contratação, aleatoriamente, em caso de suspeita de uso e após acidentes. A verificação de elegibilid"&amp;"ade para emprego (e-Verify) após a contratação também é obrigatória para trabalhadores estrangeiros e nacionais. O empregador poderá oferecer uma jornada de trabalho superior à estipulada, dependendo das condições climáticas, das necessidades da empresa e"&amp;" de outros fatores. Número de horas por semana: 40. Horário de trabalho (início/término): 8h às 16h.")</f>
        <v>Auxiliar a equipe do mercado a atender à demanda dos clientes. Devolver os itens aos locais de armazenamento adequados e ajudar a repor as prateleiras. Levantar caixas, baldes e cestas de frutas e outros produtos. Recomendar, selecionar e ajudar a localizar mercadorias. Preparar as mercadorias para compra e venda. Etiquetar, organizar e exibir as mercadorias para promover as vendas. Repor o estoque no mercado, na seção de hortifrúti, na adega e na padaria, incluindo suprimentos. Manter o local de trabalho, os pisos e as áreas de trabalho limpos e seguros. Recolher o lixo, esvaziar as lixeiras e trocar os sacos de lixo, desmontar caixas vazias. Localizar carrinhos de compras e devolvê-los aos locais de armazenamento adequados. Os funcionários podem recomendar mercadorias, identificando itens disponíveis que correspondam à solicitação do cliente, auxiliar na seleção do estoque disponível e ajudar a localizar mercadorias dentro da loja ou do depósito, quando solicitado. As recomendações se limitam a direcionar os clientes aos produtos com base na disponibilidade, localização e preferências expressas pelo cliente. Esta função é incidental às funções principais de reposição e separação de pedidos do cargo e representa uma parte mínima das atribuições gerais do trabalho. Os funcionários preparam as mercadorias para venda, recebendo, desembalando, separando, etiquetando, colocando etiquetas, estocando, ensacando, organizando e exibindo os produtos nas áreas designadas de estoque ou vendas. Os funcionários também podem inspecionar as mercadorias em busca de danos, repor o estoque e garantir que os produtos estejam devidamente organizados. Essas funções não incluem vendas, caixa ou atendimento ao cliente. Classificação do Cargo: 53-7065.00 - Estoquistas e Separadores de Pedidos. A classificação e descrição do cargo/setor inclui informações gerais sobre a posição, de acordo com o ONET/OES e o Sistema de Classificação Industrial da América do Norte (NAICS). Consulte as Funções e a Ordem de Serviço para obter mais informações. Requisitos do Cargo Experiência Necessária: Não. Requisitos Especiais: Deve ser capaz de empurrar, puxar e levantar até 18 kg. Caminhar, ficar em pé, curvar-se e trabalhar com as mãos e os dedos por longos períodos. Executar trabalho repetitivo. Exposição a temperaturas extremas. Deve ser capaz de trabalhar em um ambiente de ritmo acelerado. Manter altos padrões de controle de qualidade, higiene, saúde e segurança e procedimentos de segurança. Trabalho aos sábados e domingos, quando necessário. O empregador exige que trabalhadores estrangeiros e nacionais se submetam a testes de drogas pagos pelo empregador antes do início do trabalho e, após a contratação, aleatoriamente, em caso de suspeita de uso e após acidentes. A verificação de elegibilidade para emprego (e-Verify) após a contratação também é obrigatória para trabalhadores estrangeiros e nacionais. O empregador poderá oferecer uma jornada de trabalho superior à estipulada, dependendo das condições climáticas, das necessidades da empresa e de outros fatores. Número de horas por semana: 40. Horário de trabalho (início/término): 8h às 16h.</v>
      </c>
    </row>
    <row r="237" ht="20.25" customHeight="1">
      <c r="A237" s="8" t="s">
        <v>1338</v>
      </c>
      <c r="B237" s="8" t="s">
        <v>1339</v>
      </c>
      <c r="C237" s="8" t="s">
        <v>125</v>
      </c>
      <c r="D237" s="8" t="s">
        <v>306</v>
      </c>
      <c r="E237" s="9" t="s">
        <v>19</v>
      </c>
      <c r="F237" s="9" t="s">
        <v>20</v>
      </c>
      <c r="G237" s="9" t="s">
        <v>1340</v>
      </c>
      <c r="H237" s="8" t="s">
        <v>1341</v>
      </c>
      <c r="I237" s="8" t="s">
        <v>1342</v>
      </c>
      <c r="J237" s="9">
        <v>19.93</v>
      </c>
      <c r="K237" s="9">
        <v>6.0</v>
      </c>
      <c r="L237" s="8" t="s">
        <v>1343</v>
      </c>
      <c r="M237" s="8" t="s">
        <v>1344</v>
      </c>
      <c r="N237" s="7" t="str">
        <f>IFERROR(__xludf.DUMMYFUNCTION("GOOGLETRANSLATE(L237, ""en"", ""pt"")"),"Instalador de sistema de irrigação de gramados")</f>
        <v>Instalador de sistema de irrigação de gramados</v>
      </c>
      <c r="O237" s="7" t="str">
        <f>IFERROR(__xludf.DUMMYFUNCTION("IF(M237="""","""",GOOGLETRANSLATE(M237,""en"",""pt""))"),"Trabalhando em equipe de 4 a 7 pessoas, você será responsável pela instalação completa de sistemas automáticos de irrigação de gramados, do início ao fim. Sua equipe será responsável por instalar o sistema de irrigação subterrâneo (tubos, aspersores, fios"&amp;", válvulas e conexões), garantindo seu funcionamento correto, testes e ajustes para uma cobertura adequada. Você deverá cavar buracos e valas com no máximo 30 cm de profundidade, utilizando ferramentas manuais conforme necessário, para posicionar os asper"&amp;"sores, conexões em T, válvulas e tubos de drenagem no local e profundidade corretos abaixo da superfície do solo. Você também deverá instalar e conectar conexões em T de plástico, aspersores e tubos de drenagem utilizando ferramentas manuais. Além disso, "&amp;"deverá instalar os bicos apropriados nos aspersores. Após a instalação das conexões e dos aspersores, deverá preencher e compactar os buracos e valas. Por fim, deverá rastelar e compactar manualmente as áreas danificadas no gramado, deixando-o tão limpo e"&amp;" uniforme quanto estava na chegada. Você também deverá recolher os detritos gerados pela obra, utilizar um soprador de folhas para limpar as calçadas e abastecer nosso caminhão de instalação com as peças disponíveis em nossa loja. Descarregar o lixo e os "&amp;"resíduos de jardinagem do dia anterior na caçamba. Classificação do Cargo: 37-3011.00 - Trabalhadores de Paisagismo e Manutenção de Jardins. A classificação e descrição do cargo/setor inclui informações gerais sobre a posição, de acordo com o ONET/OES e o"&amp;" Sistema de Classificação Industrial da América do Norte (NAICS). Consulte as Funções e a Ordem de Serviço para obter mais informações. Requisitos do Cargo Experiência Necessária: Não. Requisitos Especiais: Capacidade de levantar 23 kg, realizar movimento"&amp;"s repetitivos, caminhar bastante, empurrar/puxar com frequência, agachar-se frequentemente e estar exposto a temperaturas extremas. Não é necessária experiência prévia, mas experiência com paisagismo externo ou sistemas de irrigação de gramados é preferen"&amp;"cial. Carteira de Habilitação válida é obrigatória. De acordo com a legislação estadual de Michigan, Lei 338 de Licença Médica Remunerada, os empregadores são obrigados a fornecer licença médica remunerada aos seus funcionários. A quantidade de licença mé"&amp;"dica remunerada pode variar dependendo do porte da empresa. Número de Horas por Semana: 40. Horário de Trabalho (Início/Término): 7h às 16h.")</f>
        <v>Trabalhando em equipe de 4 a 7 pessoas, você será responsável pela instalação completa de sistemas automáticos de irrigação de gramados, do início ao fim. Sua equipe será responsável por instalar o sistema de irrigação subterrâneo (tubos, aspersores, fios, válvulas e conexões), garantindo seu funcionamento correto, testes e ajustes para uma cobertura adequada. Você deverá cavar buracos e valas com no máximo 30 cm de profundidade, utilizando ferramentas manuais conforme necessário, para posicionar os aspersores, conexões em T, válvulas e tubos de drenagem no local e profundidade corretos abaixo da superfície do solo. Você também deverá instalar e conectar conexões em T de plástico, aspersores e tubos de drenagem utilizando ferramentas manuais. Além disso, deverá instalar os bicos apropriados nos aspersores. Após a instalação das conexões e dos aspersores, deverá preencher e compactar os buracos e valas. Por fim, deverá rastelar e compactar manualmente as áreas danificadas no gramado, deixando-o tão limpo e uniforme quanto estava na chegada. Você também deverá recolher os detritos gerados pela obra, utilizar um soprador de folhas para limpar as calçadas e abastecer nosso caminhão de instalação com as peças disponíveis em nossa loja. Descarregar o lixo e os resíduos de jardinagem do dia anterior na caçamba. Classificação do Cargo: 37-3011.00 - Trabalhadores de Paisagismo e Manutenção de Jardins. A classificação e descrição do cargo/setor inclui informações gerais sobre a posição, de acordo com o ONET/OES e o Sistema de Classificação Industrial da América do Norte (NAICS). Consulte as Funções e a Ordem de Serviço para obter mais informações. Requisitos do Cargo Experiência Necessária: Não. Requisitos Especiais: Capacidade de levantar 23 kg, realizar movimentos repetitivos, caminhar bastante, empurrar/puxar com frequência, agachar-se frequentemente e estar exposto a temperaturas extremas. Não é necessária experiência prévia, mas experiência com paisagismo externo ou sistemas de irrigação de gramados é preferencial. Carteira de Habilitação válida é obrigatória. De acordo com a legislação estadual de Michigan, Lei 338 de Licença Médica Remunerada, os empregadores são obrigados a fornecer licença médica remunerada aos seus funcionários. A quantidade de licença médica remunerada pode variar dependendo do porte da empresa. Número de Horas por Semana: 40. Horário de Trabalho (Início/Término): 7h às 16h.</v>
      </c>
    </row>
    <row r="238" ht="20.25" customHeight="1">
      <c r="A238" s="3" t="s">
        <v>1345</v>
      </c>
      <c r="B238" s="3" t="s">
        <v>1346</v>
      </c>
      <c r="C238" s="3" t="s">
        <v>125</v>
      </c>
      <c r="D238" s="3" t="s">
        <v>306</v>
      </c>
      <c r="E238" s="4" t="s">
        <v>19</v>
      </c>
      <c r="F238" s="4" t="s">
        <v>20</v>
      </c>
      <c r="G238" s="4" t="s">
        <v>181</v>
      </c>
      <c r="H238" s="3" t="s">
        <v>1347</v>
      </c>
      <c r="I238" s="3" t="s">
        <v>1348</v>
      </c>
      <c r="J238" s="4">
        <v>19.93</v>
      </c>
      <c r="K238" s="4">
        <v>16.0</v>
      </c>
      <c r="L238" s="3" t="s">
        <v>129</v>
      </c>
      <c r="M238" s="3" t="s">
        <v>1349</v>
      </c>
      <c r="N238" s="7" t="str">
        <f>IFERROR(__xludf.DUMMYFUNCTION("GOOGLETRANSLATE(L238, ""en"", ""pt"")"),"Trabalhador de paisagismo e manutenção de jardins")</f>
        <v>Trabalhador de paisagismo e manutenção de jardins</v>
      </c>
      <c r="O238" s="7" t="str">
        <f>IFERROR(__xludf.DUMMYFUNCTION("IF(M238="""","""",GOOGLETRANSLATE(M238,""en"",""pt""))"),"As funções incluem a instalação de árvores, arbustos ou flores durante o período de dormência, seguindo o padrão de design apropriado. Isso inclui descarregar materiais, cavar buracos para o sistema radicular, cobrir os buracos adequadamente e, às vezes, "&amp;"colocar grama em placas, plantar sementes de grama ou conectar a irrigação. Também envolve a remoção de folhas, plantio de sementes e palha, aeração do gramado, plantio de arbustos, escavação, rastelagem e instalação de blocos de concreto pré-moldados sem"&amp;" argamassa. Os trabalhadores podem coletar e remover lixo, regar gramados, árvores e plantas semeadas, além de podar árvores, arbustos ou sebes. Podem operar equipamentos motorizados e dirigir veículos até os locais dos clientes. As tarefas podem incluir "&amp;"colocação de grama em placas, corte de grama, rega de plantas e gramados, transplante de plantas, fertilização, escavação, rastelagem e instalação de aspersores. Os funcionários cavarão valas com no máximo 15 a 30 cm de profundidade e 15 a 30 cm de largur"&amp;"a com pás e ferramentas manuais. Essas valas são usadas para acomodar a tubulação utilizada na instalação de sistemas de irrigação. Toda a poda/aparamento será feita no solo. Os trabalhadores não realizarão nenhuma atividade de poda ou corte acima do níve"&amp;"l do solo. O trabalhador poderá transportar outros trabalhadores de e para os locais de trabalho ocasionalmente, porém essa não será sua principal função. Os trabalhadores poderão operar equipamentos motorizados de jardinagem, incluindo cortadores de gram"&amp;"a, aparadores de borda, sopradores, roçadeiras, roçadeiras de jardim, tratores pequenos e equipamentos similares. Os trabalhadores poderão dirigir veículos da empresa, incluindo caminhonetes Ford F250, de e para os locais de trabalho dos clientes. Os trab"&amp;"alhadores poderão ocasionalmente transportar outros trabalhadores de e para os locais de trabalho; no entanto, o transporte de trabalhadores não é uma função principal. Os trabalhadores também poderão ocasionalmente transportar materiais, ferramentas e eq"&amp;"uipamentos de jardinagem de e para os locais de trabalho, incluindo cobertura morta, plantas em vasos, pás, ancinhos, cortadores de grama, sopradores e roçadeiras de jardim. Nenhum material perigoso será transportado pelos trabalhadores. Todos os veículos"&amp;" e equipamentos operados têm peso bruto total inferior a 26.000 libras (aproximadamente 11.800 kg), incluindo quaisquer reboques acoplados ou materiais transportados. Classificação da Função: 37-3011.00 - Trabalhadores de Paisagismo e Manutenção de Jardin"&amp;"s. A classificação e descrição da função/setor inclui informações gerais sobre o cargo, de acordo com o ONET/OES e o Sistema de Classificação Industrial da América do Norte (NAICS). Consulte as Funções e a Ordem de Serviço para obter mais informações. Req"&amp;"uisitos da Função: Experiência Necessária: Não. Requisitos Especiais: Exame toxicológico pós-admissão, custeado pelo empregador. O candidato deve ser capaz de levantar 23 kg, realizar movimentos repetitivos, empurrar/puxar com frequência, caminhar bastant"&amp;"e, agachar-se frequentemente e estar exposto a temperaturas extremas. De acordo com a legislação estadual de Michigan, Lei 338 de Licença Médica Remunerada, os empregadores são obrigados a fornecer licença médica remunerada aos seus funcionários. A quanti"&amp;"dade de licença médica remunerada concedida pode variar dependendo do porte da empresa. Número de Horas por Semana: 40. Horário de Trabalho (Início/Término): 7h às 16h.")</f>
        <v>As funções incluem a instalação de árvores, arbustos ou flores durante o período de dormência, seguindo o padrão de design apropriado. Isso inclui descarregar materiais, cavar buracos para o sistema radicular, cobrir os buracos adequadamente e, às vezes, colocar grama em placas, plantar sementes de grama ou conectar a irrigação. Também envolve a remoção de folhas, plantio de sementes e palha, aeração do gramado, plantio de arbustos, escavação, rastelagem e instalação de blocos de concreto pré-moldados sem argamassa. Os trabalhadores podem coletar e remover lixo, regar gramados, árvores e plantas semeadas, além de podar árvores, arbustos ou sebes. Podem operar equipamentos motorizados e dirigir veículos até os locais dos clientes. As tarefas podem incluir colocação de grama em placas, corte de grama, rega de plantas e gramados, transplante de plantas, fertilização, escavação, rastelagem e instalação de aspersores. Os funcionários cavarão valas com no máximo 15 a 30 cm de profundidade e 15 a 30 cm de largura com pás e ferramentas manuais. Essas valas são usadas para acomodar a tubulação utilizada na instalação de sistemas de irrigação. Toda a poda/aparamento será feita no solo. Os trabalhadores não realizarão nenhuma atividade de poda ou corte acima do nível do solo. O trabalhador poderá transportar outros trabalhadores de e para os locais de trabalho ocasionalmente, porém essa não será sua principal função. Os trabalhadores poderão operar equipamentos motorizados de jardinagem, incluindo cortadores de grama, aparadores de borda, sopradores, roçadeiras, roçadeiras de jardim, tratores pequenos e equipamentos similares. Os trabalhadores poderão dirigir veículos da empresa, incluindo caminhonetes Ford F250, de e para os locais de trabalho dos clientes. Os trabalhadores poderão ocasionalmente transportar outros trabalhadores de e para os locais de trabalho; no entanto, o transporte de trabalhadores não é uma função principal. Os trabalhadores também poderão ocasionalmente transportar materiais, ferramentas e equipamentos de jardinagem de e para os locais de trabalho, incluindo cobertura morta, plantas em vasos, pás, ancinhos, cortadores de grama, sopradores e roçadeiras de jardim. Nenhum material perigoso será transportado pelos trabalhadores. Todos os veículos e equipamentos operados têm peso bruto total inferior a 26.000 libras (aproximadamente 11.800 kg), incluindo quaisquer reboques acoplados ou materiais transportados. Classificação da Função: 37-3011.00 - Trabalhadores de Paisagismo e Manutenção de Jardins. A classificação e descrição da função/setor inclui informações gerais sobre o cargo, de acordo com o ONET/OES e o Sistema de Classificação Industrial da América do Norte (NAICS). Consulte as Funções e a Ordem de Serviço para obter mais informações. Requisitos da Função: Experiência Necessária: Não. Requisitos Especiais: Exame toxicológico pós-admissão, custeado pelo empregador. O candidato deve ser capaz de levantar 23 kg, realizar movimentos repetitivos, empurrar/puxar com frequência, caminhar bastante, agachar-se frequentemente e estar exposto a temperaturas extremas. De acordo com a legislação estadual de Michigan, Lei 338 de Licença Médica Remunerada, os empregadores são obrigados a fornecer licença médica remunerada aos seus funcionários. A quantidade de licença médica remunerada concedida pode variar dependendo do porte da empresa. Número de Horas por Semana: 40. Horário de Trabalho (Início/Término): 7h às 16h.</v>
      </c>
    </row>
    <row r="239" ht="20.25" customHeight="1">
      <c r="A239" s="8" t="s">
        <v>1350</v>
      </c>
      <c r="B239" s="8" t="s">
        <v>1351</v>
      </c>
      <c r="C239" s="8" t="s">
        <v>125</v>
      </c>
      <c r="D239" s="8" t="s">
        <v>18</v>
      </c>
      <c r="E239" s="9" t="s">
        <v>19</v>
      </c>
      <c r="F239" s="9" t="s">
        <v>20</v>
      </c>
      <c r="G239" s="9" t="s">
        <v>902</v>
      </c>
      <c r="H239" s="8" t="s">
        <v>1352</v>
      </c>
      <c r="I239" s="8" t="s">
        <v>1353</v>
      </c>
      <c r="J239" s="9">
        <v>18.22</v>
      </c>
      <c r="K239" s="9">
        <v>6.0</v>
      </c>
      <c r="L239" s="8" t="s">
        <v>129</v>
      </c>
      <c r="M239" s="8" t="s">
        <v>1354</v>
      </c>
      <c r="N239" s="7" t="str">
        <f>IFERROR(__xludf.DUMMYFUNCTION("GOOGLETRANSLATE(L239, ""en"", ""pt"")"),"Trabalhador de paisagismo e manutenção de jardins")</f>
        <v>Trabalhador de paisagismo e manutenção de jardins</v>
      </c>
      <c r="O239" s="7" t="str">
        <f>IFERROR(__xludf.DUMMYFUNCTION("IF(M239="""","""",GOOGLETRANSLATE(M239,""en"",""pt""))"),"As funções incluem a instalação de árvores, arbustos ou flores durante o período de dormência, seguindo o padrão de design apropriado. Isso inclui descarregar materiais, cavar buracos para o sistema radicular, cobrir os buracos adequadamente e, às vezes, "&amp;"colocar grama em placas, plantar sementes de grama ou conectar a irrigação. Também envolve a remoção de folhas, plantio de sementes e palha, aeração do gramado, plantio de arbustos, escavação, rastelagem e instalação de blocos de concreto pré-moldados sem"&amp;" argamassa. Os trabalhadores podem coletar e remover lixo, regar gramados, árvores e plantas semeadas, além de podar árvores, arbustos ou sebes. Podem operar equipamentos motorizados e dirigir veículos até os locais dos clientes. As tarefas podem incluir "&amp;"colocação de grama em placas, corte de grama, rega de plantas e gramados, transplante de plantas, fertilização, escavação, rastelagem e instalação de aspersores. Os funcionários cavarão valas com no máximo 15 a 30 cm de profundidade e 15 a 30 cm de largur"&amp;"a com pás e ferramentas manuais. Essas valas são usadas para acomodar a tubulação utilizada na instalação de sistemas de irrigação. Toda a poda/aparamento será feita no solo. Os trabalhadores não realizarão nenhuma atividade de poda ou corte acima do níve"&amp;"l do solo. O trabalhador poderá transportar outros trabalhadores de e para os locais de trabalho ocasionalmente, porém essa não será sua principal função. Os trabalhadores poderão operar equipamentos motorizados de jardinagem, incluindo cortadores de gram"&amp;"a, aparadores de borda, sopradores, roçadeiras, roçadeiras de jardim, tratores pequenos e equipamentos similares. Os trabalhadores poderão dirigir veículos da empresa, incluindo caminhonetes Ford F250, Ford F450 e Ford F550, de e para os locais de trabalh"&amp;"o dos clientes. Os trabalhadores poderão ocasionalmente transportar outros trabalhadores de e para os locais de trabalho; no entanto, o transporte de trabalhadores não é uma função principal. Os trabalhadores também poderão ocasionalmente transportar mate"&amp;"riais, ferramentas e equipamentos de jardinagem de e para os locais de trabalho, incluindo cobertura morta, plantas em vasos, pás, ancinhos, cortadores de grama, sopradores e roçadeiras de jardim. Nenhum material perigoso será transportado pelos trabalhad"&amp;"ores. Todos os veículos e equipamentos operados têm peso bruto total inferior a 26.000 libras (aproximadamente 11.800 kg), incluindo quaisquer reboques acoplados ou materiais transportados. Classificação da Função: 37-3011.00 - Trabalhadores de Paisagismo"&amp;" e Manutenção de Jardins. A classificação e descrição da função/setor inclui informações gerais sobre o cargo, de acordo com o ONET/OES e o Sistema de Classificação Industrial da América do Norte (NAICS). Consulte as Funções e a Ordem de Serviço para obte"&amp;"r mais informações. Requisitos da Função Experiência Necessária: Sim Meses de Experiência Necessários: 3 Requisitos Especiais: 3 meses de experiência exigidos, exame toxicológico pós-admissão por conta do empregador. Deve ser capaz de levantar 23 kg, real"&amp;"izar movimentos repetitivos, empurrar/puxar com frequência, caminhar bastante, agachar-se frequentemente e estar exposto a temperaturas extremas. Número de Horas por Semana: 40 Horário de Trabalho (Início/Término): 7h às 16h")</f>
        <v>As funções incluem a instalação de árvores, arbustos ou flores durante o período de dormência, seguindo o padrão de design apropriado. Isso inclui descarregar materiais, cavar buracos para o sistema radicular, cobrir os buracos adequadamente e, às vezes, colocar grama em placas, plantar sementes de grama ou conectar a irrigação. Também envolve a remoção de folhas, plantio de sementes e palha, aeração do gramado, plantio de arbustos, escavação, rastelagem e instalação de blocos de concreto pré-moldados sem argamassa. Os trabalhadores podem coletar e remover lixo, regar gramados, árvores e plantas semeadas, além de podar árvores, arbustos ou sebes. Podem operar equipamentos motorizados e dirigir veículos até os locais dos clientes. As tarefas podem incluir colocação de grama em placas, corte de grama, rega de plantas e gramados, transplante de plantas, fertilização, escavação, rastelagem e instalação de aspersores. Os funcionários cavarão valas com no máximo 15 a 30 cm de profundidade e 15 a 30 cm de largura com pás e ferramentas manuais. Essas valas são usadas para acomodar a tubulação utilizada na instalação de sistemas de irrigação. Toda a poda/aparamento será feita no solo. Os trabalhadores não realizarão nenhuma atividade de poda ou corte acima do nível do solo. O trabalhador poderá transportar outros trabalhadores de e para os locais de trabalho ocasionalmente, porém essa não será sua principal função. Os trabalhadores poderão operar equipamentos motorizados de jardinagem, incluindo cortadores de grama, aparadores de borda, sopradores, roçadeiras, roçadeiras de jardim, tratores pequenos e equipamentos similares. Os trabalhadores poderão dirigir veículos da empresa, incluindo caminhonetes Ford F250, Ford F450 e Ford F550, de e para os locais de trabalho dos clientes. Os trabalhadores poderão ocasionalmente transportar outros trabalhadores de e para os locais de trabalho; no entanto, o transporte de trabalhadores não é uma função principal. Os trabalhadores também poderão ocasionalmente transportar materiais, ferramentas e equipamentos de jardinagem de e para os locais de trabalho, incluindo cobertura morta, plantas em vasos, pás, ancinhos, cortadores de grama, sopradores e roçadeiras de jardim. Nenhum material perigoso será transportado pelos trabalhadores. Todos os veículos e equipamentos operados têm peso bruto total inferior a 26.000 libras (aproximadamente 11.800 kg), incluindo quaisquer reboques acoplados ou materiais transportados. Classificação da Função: 37-3011.00 - Trabalhadores de Paisagismo e Manutenção de Jardins. A classificação e descrição da função/setor inclui informações gerais sobre o cargo, de acordo com o ONET/OES e o Sistema de Classificação Industrial da América do Norte (NAICS). Consulte as Funções e a Ordem de Serviço para obter mais informações. Requisitos da Função Experiência Necessária: Sim Meses de Experiência Necessários: 3 Requisitos Especiais: 3 meses de experiência exigidos, exame toxicológico pós-admissão por conta do empregador. Deve ser capaz de levantar 23 kg, realizar movimentos repetitivos, empurrar/puxar com frequência, caminhar bastante, agachar-se frequentemente e estar exposto a temperaturas extremas. Número de Horas por Semana: 40 Horário de Trabalho (Início/Término): 7h às 16h</v>
      </c>
    </row>
    <row r="240" ht="20.25" customHeight="1">
      <c r="A240" s="3" t="s">
        <v>1355</v>
      </c>
      <c r="B240" s="3" t="s">
        <v>1356</v>
      </c>
      <c r="C240" s="3" t="s">
        <v>125</v>
      </c>
      <c r="D240" s="3" t="s">
        <v>278</v>
      </c>
      <c r="E240" s="4" t="s">
        <v>44</v>
      </c>
      <c r="F240" s="4" t="s">
        <v>20</v>
      </c>
      <c r="G240" s="4" t="s">
        <v>307</v>
      </c>
      <c r="H240" s="3" t="s">
        <v>1357</v>
      </c>
      <c r="I240" s="3" t="s">
        <v>1358</v>
      </c>
      <c r="J240" s="4">
        <v>22.45</v>
      </c>
      <c r="K240" s="4">
        <v>10.0</v>
      </c>
      <c r="L240" s="3" t="s">
        <v>302</v>
      </c>
      <c r="M240" s="3" t="s">
        <v>1359</v>
      </c>
      <c r="N240" s="7" t="str">
        <f>IFERROR(__xludf.DUMMYFUNCTION("GOOGLETRANSLATE(L240, ""en"", ""pt"")"),"Operários da construção civil")</f>
        <v>Operários da construção civil</v>
      </c>
      <c r="O240" s="7" t="str">
        <f>IFERROR(__xludf.DUMMYFUNCTION("IF(M240="""","""",GOOGLETRANSLATE(M240,""en"",""pt""))"),"Executar tarefas que envolvam trabalho físico em canteiros de obras. Operar ferramentas manuais e elétricas de todos os tipos: martelos pneumáticos, compactadores de solo, betoneiras, pequenos guindastes mecânicos, equipamentos de topografia e medição, e "&amp;"uma variedade de outros equipamentos e instrumentos. Limpar e preparar locais, cavar valas, instalar escoras para sustentar as laterais das escavações, montar andaimes e limpar entulhos, detritos e outros resíduos. Auxiliar outros trabalhadores especializ"&amp;"ados. Os trabalhadores podem auxiliar outros trabalhadores especializados na preparação dos locais de trabalho; coletando, carregando, descarregando e transportando ferramentas, materiais e equipamentos; limpando áreas de trabalho; e executando tarefas ma"&amp;"nuais associadas a projetos de construção. Utilizar ferramentas manuais comuns e ferramentas elétricas básicas, incluindo pás, ancinhos, carrinhos de mão, vassouras, furadeiras, compactadores, níveis e instrumentos de medição. Os materiais manuseados pode"&amp;"m incluir madeira, fôrmas de concreto, cascalho, areia, cimento, concreto, vergalhões, tubos e outros materiais de construção comuns. Os trabalhadores podem operar equipamentos básicos de medição e marcação, incluindo trenas, níveis a laser, miras de nive"&amp;"lamento e linhas de prumo, para auxiliar supervisores e outros funcionários da construção civil na medição de distâncias, verificação de níveis e marcação de áreas de trabalho. Classificação da função: 47-2061.00 - Auxiliares de Construção Civil. A classi"&amp;"ficação e descrição da função/setor inclui informações gerais sobre o cargo, de acordo com o ONET/OES e o Sistema de Classificação Industrial da América do Norte (NAICS). Consulte as Funções e a Ordem de Serviço para obter mais informações. Requisitos da "&amp;"vaga: Experiência necessária: Sim. Meses de experiência necessários: 3. Requisitos especiais: Capacidade de levantar até 45 kg, realizar movimentos repetitivos, empurrar/puxar objetos, caminhar bastante, agachar-se com frequência, exposição a temperaturas"&amp;" extremas, carteira de habilitação preferencial, 3 meses de experiência exigidos. Número de horas por semana: 40. Horário de trabalho (início/término): 7h às 16h.")</f>
        <v>Executar tarefas que envolvam trabalho físico em canteiros de obras. Operar ferramentas manuais e elétricas de todos os tipos: martelos pneumáticos, compactadores de solo, betoneiras, pequenos guindastes mecânicos, equipamentos de topografia e medição, e uma variedade de outros equipamentos e instrumentos. Limpar e preparar locais, cavar valas, instalar escoras para sustentar as laterais das escavações, montar andaimes e limpar entulhos, detritos e outros resíduos. Auxiliar outros trabalhadores especializados. Os trabalhadores podem auxiliar outros trabalhadores especializados na preparação dos locais de trabalho; coletando, carregando, descarregando e transportando ferramentas, materiais e equipamentos; limpando áreas de trabalho; e executando tarefas manuais associadas a projetos de construção. Utilizar ferramentas manuais comuns e ferramentas elétricas básicas, incluindo pás, ancinhos, carrinhos de mão, vassouras, furadeiras, compactadores, níveis e instrumentos de medição. Os materiais manuseados podem incluir madeira, fôrmas de concreto, cascalho, areia, cimento, concreto, vergalhões, tubos e outros materiais de construção comuns. Os trabalhadores podem operar equipamentos básicos de medição e marcação, incluindo trenas, níveis a laser, miras de nivelamento e linhas de prumo, para auxiliar supervisores e outros funcionários da construção civil na medição de distâncias, verificação de níveis e marcação de áreas de trabalho. Classificação da função: 47-2061.00 - Auxiliares de Construção Civil. A classificação e descrição da função/setor inclui informações gerais sobre o cargo, de acordo com o ONET/OES e o Sistema de Classificação Industrial da América do Norte (NAICS). Consulte as Funções e a Ordem de Serviço para obter mais informações. Requisitos da vaga: Experiência necessária: Sim. Meses de experiência necessários: 3. Requisitos especiais: Capacidade de levantar até 45 kg, realizar movimentos repetitivos, empurrar/puxar objetos, caminhar bastante, agachar-se com frequência, exposição a temperaturas extremas, carteira de habilitação preferencial, 3 meses de experiência exigidos. Número de horas por semana: 40. Horário de trabalho (início/término): 7h às 16h.</v>
      </c>
    </row>
    <row r="241" ht="20.25" customHeight="1">
      <c r="A241" s="8" t="s">
        <v>1360</v>
      </c>
      <c r="B241" s="8" t="s">
        <v>1361</v>
      </c>
      <c r="C241" s="8" t="s">
        <v>125</v>
      </c>
      <c r="D241" s="8" t="s">
        <v>109</v>
      </c>
      <c r="E241" s="9" t="s">
        <v>44</v>
      </c>
      <c r="F241" s="9" t="s">
        <v>20</v>
      </c>
      <c r="G241" s="9" t="s">
        <v>146</v>
      </c>
      <c r="H241" s="8" t="s">
        <v>1362</v>
      </c>
      <c r="I241" s="8" t="s">
        <v>1363</v>
      </c>
      <c r="J241" s="9">
        <v>18.69</v>
      </c>
      <c r="K241" s="9">
        <v>6.0</v>
      </c>
      <c r="L241" s="8" t="s">
        <v>129</v>
      </c>
      <c r="M241" s="8" t="s">
        <v>1364</v>
      </c>
      <c r="N241" s="7" t="str">
        <f>IFERROR(__xludf.DUMMYFUNCTION("GOOGLETRANSLATE(L241, ""en"", ""pt"")"),"Trabalhador de paisagismo e manutenção de jardins")</f>
        <v>Trabalhador de paisagismo e manutenção de jardins</v>
      </c>
      <c r="O241" s="7" t="str">
        <f>IFERROR(__xludf.DUMMYFUNCTION("IF(M241="""","""",GOOGLETRANSLATE(M241,""en"",""pt""))"),"Manutenção de sistemas de irrigação, incluindo a preparação para o inverno. As funções incluem a instalação e manutenção de sistemas de irrigação para gramados, árvores ou plantas, coleta e remoção de lixo, escavação e preenchimento de valas com ferrament"&amp;"as manuais e corte de tubos no comprimento desejado, também com ferramentas manuais. Os funcionários cavarão valas com no máximo 15 a 30 cm de profundidade e 15 a 30 cm de largura, utilizando pás e ferramentas manuais. Essas valas são utilizadas para acom"&amp;"odar os tubos usados ​​na instalação dos sistemas de irrigação. O trabalho consiste em utilizar métodos de irrigação para ajustar o consumo de água e evitar desperdícios. Classificação da função: 37-3011.00 - Trabalhadores de Paisagismo e Manutenção de Ja"&amp;"rdins. A classificação e descrição da função/setor incluem informações gerais sobre o cargo, de acordo com o ONET/OES e o Sistema de Classificação Industrial da América do Norte (NAICS). Consulte as Funções e a Ordem de Serviço para obter mais informações"&amp;". Requisitos da função: Experiência necessária: Não. Requisitos especiais: Capacidade de levantar 23 kg, realizar movimentos repetitivos, empurrar/puxar objetos, caminhar bastante, agachar-se com frequência e exposição a temperaturas extremas. Número de h"&amp;"oras por semana: 40 Horário de trabalho (início/término): 7h00 - 16h00")</f>
        <v>Manutenção de sistemas de irrigação, incluindo a preparação para o inverno. As funções incluem a instalação e manutenção de sistemas de irrigação para gramados, árvores ou plantas, coleta e remoção de lixo, escavação e preenchimento de valas com ferramentas manuais e corte de tubos no comprimento desejado, também com ferramentas manuais. Os funcionários cavarão valas com no máximo 15 a 30 cm de profundidade e 15 a 30 cm de largura, utilizando pás e ferramentas manuais. Essas valas são utilizadas para acomodar os tubos usados ​​na instalação dos sistemas de irrigação. O trabalho consiste em utilizar métodos de irrigação para ajustar o consumo de água e evitar desperdícios. Classificação da função: 37-3011.00 - Trabalhadores de Paisagismo e Manutenção de Jardins. A classificação e descrição da função/setor incluem informações gerais sobre o cargo, de acordo com o ONET/OES e o Sistema de Classificação Industrial da América do Norte (NAICS). Consulte as Funções e a Ordem de Serviço para obter mais informações. Requisitos da função: Experiência necessária: Não. Requisitos especiais: Capacidade de levantar 23 kg, realizar movimentos repetitivos, empurrar/puxar objetos, caminhar bastante, agachar-se com frequência e exposição a temperaturas extremas. Número de horas por semana: 40 Horário de trabalho (início/término): 7h00 - 16h00</v>
      </c>
    </row>
    <row r="242" ht="20.25" customHeight="1">
      <c r="A242" s="3" t="s">
        <v>1365</v>
      </c>
      <c r="B242" s="3" t="s">
        <v>570</v>
      </c>
      <c r="C242" s="3"/>
      <c r="D242" s="3" t="s">
        <v>51</v>
      </c>
      <c r="E242" s="4" t="s">
        <v>19</v>
      </c>
      <c r="F242" s="4" t="s">
        <v>20</v>
      </c>
      <c r="G242" s="4" t="s">
        <v>146</v>
      </c>
      <c r="H242" s="3" t="s">
        <v>571</v>
      </c>
      <c r="I242" s="3" t="s">
        <v>1366</v>
      </c>
      <c r="J242" s="4">
        <v>13.7</v>
      </c>
      <c r="K242" s="4">
        <v>245.0</v>
      </c>
      <c r="L242" s="3" t="s">
        <v>573</v>
      </c>
      <c r="M242" s="3" t="s">
        <v>574</v>
      </c>
      <c r="N242" s="7" t="str">
        <f>IFERROR(__xludf.DUMMYFUNCTION("GOOGLETRANSLATE(L242, ""en"", ""pt"")"),"Limpeza de vegetação na faixa de domínio da concessionária")</f>
        <v>Limpeza de vegetação na faixa de domínio da concessionária</v>
      </c>
      <c r="O242" s="7" t="str">
        <f>IFERROR(__xludf.DUMMYFUNCTION("IF(M242="""","""",GOOGLETRANSLATE(M242,""en"",""pt""))"),"O trabalhador utilizará pulverizadores costais e ferramentas manuais para aplicar herbicida no controle ou limpeza da vegetação em faixas de servidão de concessionárias de serviços públicos, pastagens, áreas de vida selvagem, margens de estradas, áreas in"&amp;"dustriais e outras áreas, carregando até 16 kg de equipamento enquanto caminha até 16 km por dia em terrenos acidentados, frequentemente em condições climáticas adversas (calor intenso, plantas venenosas, insetos e cobras). O trabalhador deverá ser capaz "&amp;"de aplicar 75 litros de mistura para pulverização em um período de oito horas após três semanas de treinamento. O trabalho será realizado em áreas de tamanho variável, de menos de 0,4 hectare a milhares de hectares. As tarefas serão executadas em áreas de"&amp;"terminadas por um itinerário, de acordo com as Normas Florestais [Gal I-97] [FR Doc. E7-12766] [TEGL 27-6] e diversas outras publicações e práticas estabelecidas. Consulte o anexo CDR resposta P-400-13042-521868 14 de novembro de 2013 Classificação do Car"&amp;"go: 37-3011.00 - Trabalhadores de Paisagismo e Manutenção de Áreas Verdes A classificação e descrição do cargo/setor inclui informações gerais sobre a posição, conforme ONET/OES e o Sistema de Classificação Industrial da América do Norte (NAICS). Consulte"&amp;" as Funções e a Ordem de Serviço para obter mais informações. Requisitos do Cargo Experiência Necessária: Não Requisitos Especiais: Os candidatos devem ter 18 anos de idade e disponibilidade para viajar com pernoite por períodos prolongados. As habilidade"&amp;"s necessárias incluem identificação de folhagem, manuseio de herbicidas, procedimentos de segurança e técnicas de aplicação de herbicidas em baixa quantidade, após três semanas de treinamento na empresa. Não é necessário treinamento prévio, mas é obrigató"&amp;"rio participar de um treinamento pago pela empresa no local de início das atividades. A Progressive Solutions mantém um ambiente de trabalho livre de drogas, e os trabalhadores podem ser submetidos a testes de drogas pós-emprego, conforme exigido por cont"&amp;"ratos governamentais. Os estagiários que possuírem carteira de habilitação válida, atenderem a todos os padrões de direção da empresa e forem aprovados no teste de direção da empresa poderão receber horas extras para transportar trabalhadores e/ou materia"&amp;"is. A carga horária semanal pode variar devido às condições climáticas e aos prazos contratuais, sendo necessário trabalhar alguns sábados e domingos. Número de horas por semana: 40. Horário de trabalho (início/término): 7h30 às 15h.")</f>
        <v>O trabalhador utilizará pulverizadores costais e ferramentas manuais para aplicar herbicida no controle ou limpeza da vegetação em faixas de servidão de concessionárias de serviços públicos, pastagens, áreas de vida selvagem, margens de estradas, áreas industriais e outras áreas, carregando até 16 kg de equipamento enquanto caminha até 16 km por dia em terrenos acidentados, frequentemente em condições climáticas adversas (calor intenso, plantas venenosas, insetos e cobras). O trabalhador deverá ser capaz de aplicar 75 litros de mistura para pulverização em um período de oito horas após três semanas de treinamento. O trabalho será realizado em áreas de tamanho variável, de menos de 0,4 hectare a milhares de hectares. As tarefas serão executadas em áreas determinadas por um itinerário, de acordo com as Normas Florestais [Gal I-97] [FR Doc. E7-12766] [TEGL 27-6] e diversas outras publicações e práticas estabelecidas. Consulte o anexo CDR resposta P-400-13042-521868 14 de novembro de 2013 Classificação do Cargo: 37-3011.00 - Trabalhadores de Paisagismo e Manutenção de Áreas Verdes A classificação e descrição do cargo/setor inclui informações gerais sobre a posição, conforme ONET/OES e o Sistema de Classificação Industrial da América do Norte (NAICS). Consulte as Funções e a Ordem de Serviço para obter mais informações. Requisitos do Cargo Experiência Necessária: Não Requisitos Especiais: Os candidatos devem ter 18 anos de idade e disponibilidade para viajar com pernoite por períodos prolongados. As habilidades necessárias incluem identificação de folhagem, manuseio de herbicidas, procedimentos de segurança e técnicas de aplicação de herbicidas em baixa quantidade, após três semanas de treinamento na empresa. Não é necessário treinamento prévio, mas é obrigatório participar de um treinamento pago pela empresa no local de início das atividades. A Progressive Solutions mantém um ambiente de trabalho livre de drogas, e os trabalhadores podem ser submetidos a testes de drogas pós-emprego, conforme exigido por contratos governamentais. Os estagiários que possuírem carteira de habilitação válida, atenderem a todos os padrões de direção da empresa e forem aprovados no teste de direção da empresa poderão receber horas extras para transportar trabalhadores e/ou materiais. A carga horária semanal pode variar devido às condições climáticas e aos prazos contratuais, sendo necessário trabalhar alguns sábados e domingos. Número de horas por semana: 40. Horário de trabalho (início/término): 7h30 às 15h.</v>
      </c>
    </row>
    <row r="243" ht="20.25" customHeight="1">
      <c r="A243" s="8" t="s">
        <v>1367</v>
      </c>
      <c r="B243" s="8" t="s">
        <v>1368</v>
      </c>
      <c r="C243" s="8" t="s">
        <v>1369</v>
      </c>
      <c r="D243" s="8" t="s">
        <v>64</v>
      </c>
      <c r="E243" s="9" t="s">
        <v>19</v>
      </c>
      <c r="F243" s="9" t="s">
        <v>20</v>
      </c>
      <c r="G243" s="9" t="s">
        <v>29</v>
      </c>
      <c r="H243" s="8" t="s">
        <v>1370</v>
      </c>
      <c r="I243" s="8" t="s">
        <v>1371</v>
      </c>
      <c r="J243" s="9">
        <v>17.42</v>
      </c>
      <c r="K243" s="9">
        <v>6.0</v>
      </c>
      <c r="L243" s="8" t="s">
        <v>406</v>
      </c>
      <c r="M243" s="8" t="s">
        <v>1372</v>
      </c>
      <c r="N243" s="7" t="str">
        <f>IFERROR(__xludf.DUMMYFUNCTION("GOOGLETRANSLATE(L243, ""en"", ""pt"")"),"Trabalhador")</f>
        <v>Trabalhador</v>
      </c>
      <c r="O243" s="7" t="str">
        <f>IFERROR(__xludf.DUMMYFUNCTION("IF(M243="""","""",GOOGLETRANSLATE(M243,""en"",""pt""))"),"Instalação de materiais paisagísticos e manutenção em contratos comerciais e rodoviários. Preparação do local de trabalho, escavação de valas para instalação e colocação de grama em propriedades comerciais e residenciais. Recolhimento e remoção de detrito"&amp;"s e lixo no local de trabalho. Os trabalhadores usarão pás de 15 cm e 7,5 cm de largura para cavar valas com profundidade entre 15 e 30 cm. As valas são cavadas para a instalação de grama. Classificação da função: 37-3011.00 - Trabalhadores de Paisagismo "&amp;"e Manutenção de Áreas Verdes. A classificação e descrição da função/setor incluem informações gerais sobre o cargo, de acordo com o ONET/OES e o Sistema de Classificação Industrial da América do Norte (NAICS). Consulte as Funções e a Ordem de Serviço para"&amp;" obter mais informações. Requisitos da vaga: Experiência exigida: Não. Requisitos especiais: Exame toxicológico pago pelo empregador, após a contratação. Número de horas por semana: 35. Horário de trabalho (início/término): 7h às 15h.")</f>
        <v>Instalação de materiais paisagísticos e manutenção em contratos comerciais e rodoviários. Preparação do local de trabalho, escavação de valas para instalação e colocação de grama em propriedades comerciais e residenciais. Recolhimento e remoção de detritos e lixo no local de trabalho. Os trabalhadores usarão pás de 15 cm e 7,5 cm de largura para cavar valas com profundidade entre 15 e 30 cm. As valas são cavadas para a instalação de grama. Classificação da função: 37-3011.00 - Trabalhadores de Paisagismo e Manutenção de Áreas Verdes. A classificação e descrição da função/setor incluem informações gerais sobre o cargo, de acordo com o ONET/OES e o Sistema de Classificação Industrial da América do Norte (NAICS). Consulte as Funções e a Ordem de Serviço para obter mais informações. Requisitos da vaga: Experiência exigida: Não. Requisitos especiais: Exame toxicológico pago pelo empregador, após a contratação. Número de horas por semana: 35. Horário de trabalho (início/término): 7h às 15h.</v>
      </c>
    </row>
    <row r="244" ht="20.25" customHeight="1">
      <c r="A244" s="3" t="s">
        <v>1373</v>
      </c>
      <c r="B244" s="3" t="s">
        <v>1374</v>
      </c>
      <c r="C244" s="3" t="s">
        <v>1375</v>
      </c>
      <c r="D244" s="3" t="s">
        <v>79</v>
      </c>
      <c r="E244" s="4" t="s">
        <v>19</v>
      </c>
      <c r="F244" s="4" t="s">
        <v>20</v>
      </c>
      <c r="G244" s="4" t="s">
        <v>65</v>
      </c>
      <c r="H244" s="3" t="s">
        <v>1376</v>
      </c>
      <c r="I244" s="3" t="s">
        <v>1377</v>
      </c>
      <c r="J244" s="4">
        <v>17.72</v>
      </c>
      <c r="K244" s="4">
        <v>30.0</v>
      </c>
      <c r="L244" s="3" t="s">
        <v>83</v>
      </c>
      <c r="M244" s="3" t="s">
        <v>1378</v>
      </c>
      <c r="N244" s="7" t="str">
        <f>IFERROR(__xludf.DUMMYFUNCTION("GOOGLETRANSLATE(L244, ""en"", ""pt"")"),"Trabalhador Florestal")</f>
        <v>Trabalhador Florestal</v>
      </c>
      <c r="O244" s="7" t="str">
        <f>IFERROR(__xludf.DUMMYFUNCTION("IF(M244="""","""",GOOGLETRANSLATE(M244,""en"",""pt""))"),"As funções podem incluir: Os trabalhadores realizarão o plantio de árvores utilizando enxadas, pás, alavancas e/ou trabalharão em uma equipe de perfuração como: selecionador de solo, operador de perfuração ou plantador. O trabalho inclui selecionar o loca"&amp;"l adequado para o plantio, limpar detritos do local, abrir a cova para a muda, plantar e preencher/firmar o solo ao redor das raízes, alisar a superfície do solo. O trabalho inclui auxiliar no manuseio das mudas, ensacá-las, mergulhá-las em água e limpar "&amp;"o local de trabalho. Trabalho de corte manual para redução de combustível lenhoso, manejo de densidade, melhoria do habitat e tratamentos florestais similares. Motosserras e ferramentas manuais são utilizadas. Trabalho de empilhamento de resíduos floresta"&amp;"is também pode ser realizado, assim como outras atividades relacionadas a trabalhadores florestais, conforme SOC/OES 45-4011 (onetonline.org). Horário padrão/esperado: Segunda a sexta, das 6h às 15h. Oferecemos mais de 40 horas semanais, sem incluir almoç"&amp;"o e/ou intervalos. Possibilidade de trabalho em fins de semana e feriados. Os horários de início e término, a carga horária oferecida e/ou a possibilidade de horas extras podem variar, pois dependem de fatores como necessidades do projeto/cronograma/servi"&amp;"ço, condições climáticas e tempo de deslocamento entre os locais de trabalho (se aplicável). Horas extras são possíveis, mas não obrigatórias nem garantidas. A critério exclusivo do empregador: aumentos salariais e/ou bônus podem ser concedidos com base e"&amp;"m fatores individuais, como desempenho ou habilidades (não garantidos). Moradia compartilhada opcional disponível sem custo para o trabalhador. Classificação da vaga: 45-4011.00 - Trabalhadores Florestais e de Conservação. A classificação e a descrição da"&amp;" vaga/setor incluem informações gerais sobre o cargo, conforme o ONET/OES e o Sistema de Classificação Industrial da América do Norte. Consulte as Funções e a Ordem de Serviço para obter mais informações. Requisitos da vaga: Experiência exigida: Não. Requ"&amp;"isitos especiais: É necessário ter 18 anos devido a contratos governamentais. É necessário apresentar comprovante de autorização legal para trabalhar nos Estados Unidos. Ambiente de trabalho livre de drogas, álcool e tabaco. É necessário caminhar bastante"&amp;" (até 24 km/dia), além de se abaixar e se curvar carregando uma mochila (até 23 kg) em terrenos acidentados (fora de trilhas). Todos os candidatos devem ser capazes, dispostos e qualificados para realizar o trabalho descrito e devem estar disponíveis dura"&amp;"nte todo o período especificado e trabalhar em todas as áreas da vaga. O trabalho é realizado ao ar livre, exposto às intempéries; o candidato deve ser capaz de realizar trabalho fisicamente extenuante por longos períodos, ocasionalmente em calor ou frio "&amp;"extremos. As condições climáticas são variáveis; a carga horária pode sofrer alterações, com possibilidade de períodos de inatividade e/ou horas extras. Número de horas por semana: 40. Horário de trabalho (início/término): 6h às 15h.")</f>
        <v>As funções podem incluir: Os trabalhadores realizarão o plantio de árvores utilizando enxadas, pás, alavancas e/ou trabalharão em uma equipe de perfuração como: selecionador de solo, operador de perfuração ou plantador. O trabalho inclui selecionar o local adequado para o plantio, limpar detritos do local, abrir a cova para a muda, plantar e preencher/firmar o solo ao redor das raízes, alisar a superfície do solo. O trabalho inclui auxiliar no manuseio das mudas, ensacá-las, mergulhá-las em água e limpar o local de trabalho. Trabalho de corte manual para redução de combustível lenhoso, manejo de densidade, melhoria do habitat e tratamentos florestais similares. Motosserras e ferramentas manuais são utilizadas. Trabalho de empilhamento de resíduos florestais também pode ser realizado, assim como outras atividades relacionadas a trabalhadores florestais, conforme SOC/OES 45-4011 (onetonline.org). Horário padrão/esperado: Segunda a sexta, das 6h às 15h. Oferecemos mais de 40 horas semanais, sem incluir almoço e/ou intervalos. Possibilidade de trabalho em fins de semana e feriados. Os horários de início e término, a carga horária oferecida e/ou a possibilidade de horas extras podem variar, pois dependem de fatores como necessidades do projeto/cronograma/serviço, condições climáticas e tempo de deslocamento entre os locais de trabalho (se aplicável). Horas extras são possíveis, mas não obrigatórias nem garantidas. A critério exclusivo do empregador: aumentos salariais e/ou bônus podem ser concedidos com base em fatores individuais, como desempenho ou habilidades (não garantidos). Moradia compartilhada opcional disponível sem custo para o trabalhador. Classificação da vaga: 45-4011.00 - Trabalhadores Florestais e de Conservação. A classificação e a descrição da vaga/setor incluem informações gerais sobre o cargo, conforme o ONET/OES e o Sistema de Classificação Industrial da América do Norte. Consulte as Funções e a Ordem de Serviço para obter mais informações. Requisitos da vaga: Experiência exigida: Não. Requisitos especiais: É necessário ter 18 anos devido a contratos governamentais. É necessário apresentar comprovante de autorização legal para trabalhar nos Estados Unidos. Ambiente de trabalho livre de drogas, álcool e tabaco. É necessário caminhar bastante (até 24 km/dia), além de se abaixar e se curvar carregando uma mochila (até 23 kg) em terrenos acidentados (fora de trilhas). Todos os candidatos devem ser capazes, dispostos e qualificados para realizar o trabalho descrito e devem estar disponíveis durante todo o período especificado e trabalhar em todas as áreas da vaga. O trabalho é realizado ao ar livre, exposto às intempéries; o candidato deve ser capaz de realizar trabalho fisicamente extenuante por longos períodos, ocasionalmente em calor ou frio extremos. As condições climáticas são variáveis; a carga horária pode sofrer alterações, com possibilidade de períodos de inatividade e/ou horas extras. Número de horas por semana: 40. Horário de trabalho (início/término): 6h às 15h.</v>
      </c>
    </row>
    <row r="245" ht="20.25" customHeight="1">
      <c r="A245" s="8" t="s">
        <v>1379</v>
      </c>
      <c r="B245" s="8" t="s">
        <v>1380</v>
      </c>
      <c r="C245" s="8" t="s">
        <v>125</v>
      </c>
      <c r="D245" s="8" t="s">
        <v>18</v>
      </c>
      <c r="E245" s="9" t="s">
        <v>19</v>
      </c>
      <c r="F245" s="9" t="s">
        <v>20</v>
      </c>
      <c r="G245" s="9" t="s">
        <v>146</v>
      </c>
      <c r="H245" s="8" t="s">
        <v>1381</v>
      </c>
      <c r="I245" s="8" t="s">
        <v>1382</v>
      </c>
      <c r="J245" s="9">
        <v>17.55</v>
      </c>
      <c r="K245" s="9">
        <v>8.0</v>
      </c>
      <c r="L245" s="8" t="s">
        <v>129</v>
      </c>
      <c r="M245" s="8" t="s">
        <v>1383</v>
      </c>
      <c r="N245" s="7" t="str">
        <f>IFERROR(__xludf.DUMMYFUNCTION("GOOGLETRANSLATE(L245, ""en"", ""pt"")"),"Trabalhador de paisagismo e manutenção de jardins")</f>
        <v>Trabalhador de paisagismo e manutenção de jardins</v>
      </c>
      <c r="O245" s="7" t="str">
        <f>IFERROR(__xludf.DUMMYFUNCTION("IF(M245="""","""",GOOGLETRANSLATE(M245,""en"",""pt""))"),"As funções incluem a instalação de árvores, arbustos ou flores durante o período de dormência, seguindo o padrão de design apropriado. Isso inclui descarregar materiais, cavar buracos para o sistema radicular, cobrir os buracos adequadamente e, às vezes, "&amp;"colocar grama em placas, plantar sementes de grama ou conectar a irrigação. Também envolve a remoção de folhas, plantio de sementes e palha, aeração do gramado, plantio de arbustos, escavação, rastelagem e instalação de blocos de concreto pré-moldados sem"&amp;" argamassa. Os trabalhadores podem coletar e remover lixo, regar gramados, árvores e plantas semeadas, além de podar árvores, arbustos ou sebes. Podem operar equipamentos motorizados e dirigir veículos até os locais dos clientes. As tarefas podem incluir "&amp;"colocação de grama em placas, corte de grama, rega de plantas e gramados, transplante de plantas, fertilização, escavação, rastelagem e instalação de aspersores. Os funcionários cavarão valas com no máximo 15 a 30 cm de profundidade e 15 a 30 cm de largur"&amp;"a com pás e ferramentas manuais. Essas valas são usadas para acomodar a tubulação utilizada na instalação de sistemas de irrigação. Toda a poda/aparamento será feita no solo. Os trabalhadores não realizarão nenhuma atividade de poda ou corte acima do níve"&amp;"l do solo. O trabalhador poderá transportar outros trabalhadores de e para os locais de trabalho ocasionalmente, porém essa não será sua principal função. Os trabalhadores poderão operar equipamentos motorizados de jardinagem, incluindo cortadores de gram"&amp;"a, aparadores de borda, sopradores, roçadeiras, roçadeiras de jardim, pequenos tratores e equipamentos similares. Os trabalhadores poderão dirigir caminhonetes e outros veículos leves da empresa para ir e voltar dos locais de trabalho dos clientes. Os tra"&amp;"balhadores poderão ocasionalmente transportar outros trabalhadores de e para os locais de trabalho; no entanto, o transporte de trabalhadores não é uma função principal. Os trabalhadores também poderão ocasionalmente transportar materiais, ferramentas e e"&amp;"quipamentos de jardinagem de e para os locais de trabalho, incluindo cobertura morta, plantas em vasos, pás, ancinhos, cortadores de grama, sopradores e roçadeiras de jardim. Nenhum material perigoso será transportado pelos trabalhadores. Todos os veículo"&amp;"s e equipamentos operados têm peso bruto total inferior a 26.000 libras (aproximadamente 11.800 kg), incluindo quaisquer reboques acoplados ou materiais transportados. Classificação da Função: 37-3011.00 - Trabalhadores de Paisagismo e Manutenção de Jardi"&amp;"ns. A classificação e descrição da função/setor inclui informações gerais sobre o cargo, de acordo com o ONET/OES e o Sistema de Classificação Industrial da América do Norte (NAICS). Consulte as Funções e a Ordem de Serviço para obter mais informações. Re"&amp;"quisitos da Função Experiência Necessária: Sim Meses de Experiência Necessários: 3 Requisitos Especiais: Carteira de habilitação válida obrigatória. Capacidade de levantar 36 kg, realizar movimentos repetitivos, empurrar/puxar com frequência, caminhar por"&amp;" longos períodos, ficar em pé por longos períodos, agachar-se com frequência, exposição a temperaturas extremas, 3 meses de experiência em manutenção de paisagismo, instalação de estruturas de paisagismo e irrigação. Número de Horas por Semana: 40 Horário"&amp;" de Trabalho (Início/Término): 7h às 16h")</f>
        <v>As funções incluem a instalação de árvores, arbustos ou flores durante o período de dormência, seguindo o padrão de design apropriado. Isso inclui descarregar materiais, cavar buracos para o sistema radicular, cobrir os buracos adequadamente e, às vezes, colocar grama em placas, plantar sementes de grama ou conectar a irrigação. Também envolve a remoção de folhas, plantio de sementes e palha, aeração do gramado, plantio de arbustos, escavação, rastelagem e instalação de blocos de concreto pré-moldados sem argamassa. Os trabalhadores podem coletar e remover lixo, regar gramados, árvores e plantas semeadas, além de podar árvores, arbustos ou sebes. Podem operar equipamentos motorizados e dirigir veículos até os locais dos clientes. As tarefas podem incluir colocação de grama em placas, corte de grama, rega de plantas e gramados, transplante de plantas, fertilização, escavação, rastelagem e instalação de aspersores. Os funcionários cavarão valas com no máximo 15 a 30 cm de profundidade e 15 a 30 cm de largura com pás e ferramentas manuais. Essas valas são usadas para acomodar a tubulação utilizada na instalação de sistemas de irrigação. Toda a poda/aparamento será feita no solo. Os trabalhadores não realizarão nenhuma atividade de poda ou corte acima do nível do solo. O trabalhador poderá transportar outros trabalhadores de e para os locais de trabalho ocasionalmente, porém essa não será sua principal função. Os trabalhadores poderão operar equipamentos motorizados de jardinagem, incluindo cortadores de grama, aparadores de borda, sopradores, roçadeiras, roçadeiras de jardim, pequenos tratores e equipamentos similares. Os trabalhadores poderão dirigir caminhonetes e outros veículos leves da empresa para ir e voltar dos locais de trabalho dos clientes. Os trabalhadores poderão ocasionalmente transportar outros trabalhadores de e para os locais de trabalho; no entanto, o transporte de trabalhadores não é uma função principal. Os trabalhadores também poderão ocasionalmente transportar materiais, ferramentas e equipamentos de jardinagem de e para os locais de trabalho, incluindo cobertura morta, plantas em vasos, pás, ancinhos, cortadores de grama, sopradores e roçadeiras de jardim. Nenhum material perigoso será transportado pelos trabalhadores. Todos os veículos e equipamentos operados têm peso bruto total inferior a 26.000 libras (aproximadamente 11.800 kg), incluindo quaisquer reboques acoplados ou materiais transportados. Classificação da Função: 37-3011.00 - Trabalhadores de Paisagismo e Manutenção de Jardins. A classificação e descrição da função/setor inclui informações gerais sobre o cargo, de acordo com o ONET/OES e o Sistema de Classificação Industrial da América do Norte (NAICS). Consulte as Funções e a Ordem de Serviço para obter mais informações. Requisitos da Função Experiência Necessária: Sim Meses de Experiência Necessários: 3 Requisitos Especiais: Carteira de habilitação válida obrigatória. Capacidade de levantar 36 kg, realizar movimentos repetitivos, empurrar/puxar com frequência, caminhar por longos períodos, ficar em pé por longos períodos, agachar-se com frequência, exposição a temperaturas extremas, 3 meses de experiência em manutenção de paisagismo, instalação de estruturas de paisagismo e irrigação. Número de Horas por Semana: 40 Horário de Trabalho (Início/Término): 7h às 16h</v>
      </c>
    </row>
    <row r="246" ht="20.25" customHeight="1">
      <c r="A246" s="3" t="s">
        <v>1384</v>
      </c>
      <c r="B246" s="3" t="s">
        <v>1385</v>
      </c>
      <c r="C246" s="3" t="s">
        <v>78</v>
      </c>
      <c r="D246" s="3" t="s">
        <v>663</v>
      </c>
      <c r="E246" s="4" t="s">
        <v>19</v>
      </c>
      <c r="F246" s="4" t="s">
        <v>20</v>
      </c>
      <c r="G246" s="4" t="s">
        <v>377</v>
      </c>
      <c r="H246" s="3" t="s">
        <v>1386</v>
      </c>
      <c r="I246" s="3" t="s">
        <v>1387</v>
      </c>
      <c r="J246" s="4">
        <v>14.63</v>
      </c>
      <c r="K246" s="4">
        <v>56.0</v>
      </c>
      <c r="L246" s="3" t="s">
        <v>1388</v>
      </c>
      <c r="M246" s="3" t="s">
        <v>1389</v>
      </c>
      <c r="N246" s="7" t="str">
        <f>IFERROR(__xludf.DUMMYFUNCTION("GOOGLETRANSLATE(L246, ""en"", ""pt"")"),"Trabalhador de paisagismo")</f>
        <v>Trabalhador de paisagismo</v>
      </c>
      <c r="O246" s="7" t="str">
        <f>IFERROR(__xludf.DUMMYFUNCTION("IF(M246="""","""",GOOGLETRANSLATE(M246,""en"",""pt""))"),"As funções podem incluir: pulverizar fertilizantes, herbicidas e inseticidas em arbustos, árvores e folhagens, usar pulverizadores manuais/automáticos e outras atividades relacionadas a trabalhadores de paisagismo, conforme SOC/OES 37-3011 (onetonline.org"&amp;"). Horário padrão/esperado: segunda a sexta, das 7h às 17h. Oferecemos 35 horas semanais ou mais, sem incluir almoço e/ou intervalos. Possibilidade de trabalho em fins de semana e feriados. Os horários de início e término, a carga horária e/ou horas extra"&amp;"s podem variar, pois dependem de fatores como necessidades do projeto/cronograma/serviço, condições climáticas e tempo de deslocamento entre os locais de trabalho (se aplicável). Horas extras são possíveis, mas não obrigatórias nem garantidas. A critério "&amp;"exclusivo do empregador: aumentos salariais e/ou bônus podem ser concedidos com base em fatores individuais, como desempenho ou habilidades (não garantidos). Moradia compartilhada opcional disponível sem custo para o trabalhador. Classificação da Função: "&amp;"37-3011.00 - Trabalhadores de Paisagismo e Manutenção de Jardins. A classificação e descrição da função/setor inclui informações gerais sobre o cargo, de acordo com o ONET/OES e o Sistema de Classificação Industrial da América do Norte (NAICS). Consulte a"&amp;"s Funções e a Ordem de Serviço para obter mais informações. Requisitos da Função: Experiência Necessária: Não. Requisitos Especiais: É necessário ter 18 anos devido a viagens. É necessário apresentar comprovante de autorização legal para trabalhar nos Est"&amp;"ados Unidos. Ambiente de trabalho livre de drogas, álcool e tabaco. Executar atividades físicas, como levantar, equilibrar-se, caminhar, abaixar-se, manusear, posicionar, mover e manipular materiais, utilizando força estática para exercer força muscular m"&amp;"áxima para levantar, empurrar, puxar e carregar objetos de até 23 kg. Todos os candidatos devem ser capazes, dispostos e qualificados para executar o trabalho descrito e devem estar disponíveis durante todo o período especificado e trabalhar em todas as á"&amp;"reas do emprego pretendido. A critério/custo do Empregador: O trabalhador poderá ser submetido a testes aleatórios de drogas/álcool durante o emprego: teste positivo/recusa em cumprir = demissão. O trabalho é realizado ao ar livre, exposto às intempéries."&amp;" Deve ser capaz de realizar trabalho fisicamente extenuante por longos períodos, ocasionalmente em condições de calor ou frio extremos. Condições climáticas variáveis ​​se aplicam; a carga horária pode sofrer alterações (+/-), com possibilidade de período"&amp;"s de inatividade e/ou horas extras. Número de horas por semana: 35. Horário de trabalho (início/término): 7h às 17h.")</f>
        <v>As funções podem incluir: pulverizar fertilizantes, herbicidas e inseticidas em arbustos, árvores e folhagens, usar pulverizadores manuais/automáticos e outras atividades relacionadas a trabalhadores de paisagismo, conforme SOC/OES 37-3011 (onetonline.org). Horário padrão/esperado: segunda a sexta, das 7h às 17h. Oferecemos 35 horas semanais ou mais, sem incluir almoço e/ou intervalos. Possibilidade de trabalho em fins de semana e feriados. Os horários de início e término, a carga horária e/ou horas extras podem variar, pois dependem de fatores como necessidades do projeto/cronograma/serviço, condições climáticas e tempo de deslocamento entre os locais de trabalho (se aplicável). Horas extras são possíveis, mas não obrigatórias nem garantidas. A critério exclusivo do empregador: aumentos salariais e/ou bônus podem ser concedidos com base em fatores individuais, como desempenho ou habilidades (não garantidos). Moradia compartilhada opcional disponível sem custo para o trabalhador. Classificação da Função: 37-3011.00 - Trabalhadores de Paisagismo e Manutenção de Jardins. A classificação e descrição da função/setor inclui informações gerais sobre o cargo, de acordo com o ONET/OES e o Sistema de Classificação Industrial da América do Norte (NAICS). Consulte as Funções e a Ordem de Serviço para obter mais informações. Requisitos da Função: Experiência Necessária: Não. Requisitos Especiais: É necessário ter 18 anos devido a viagens. É necessário apresentar comprovante de autorização legal para trabalhar nos Estados Unidos. Ambiente de trabalho livre de drogas, álcool e tabaco. Executar atividades físicas, como levantar, equilibrar-se, caminhar, abaixar-se, manusear, posicionar, mover e manipular materiais, utilizando força estática para exercer força muscular máxima para levantar, empurrar, puxar e carregar objetos de até 23 kg. Todos os candidatos devem ser capazes, dispostos e qualificados para executar o trabalho descrito e devem estar disponíveis durante todo o período especificado e trabalhar em todas as áreas do emprego pretendido. A critério/custo do Empregador: O trabalhador poderá ser submetido a testes aleatórios de drogas/álcool durante o emprego: teste positivo/recusa em cumprir = demissão. O trabalho é realizado ao ar livre, exposto às intempéries. Deve ser capaz de realizar trabalho fisicamente extenuante por longos períodos, ocasionalmente em condições de calor ou frio extremos. Condições climáticas variáveis ​​se aplicam; a carga horária pode sofrer alterações (+/-), com possibilidade de períodos de inatividade e/ou horas extras. Número de horas por semana: 35. Horário de trabalho (início/término): 7h às 17h.</v>
      </c>
    </row>
    <row r="247" ht="20.25" customHeight="1">
      <c r="A247" s="8" t="s">
        <v>1390</v>
      </c>
      <c r="B247" s="8" t="s">
        <v>1391</v>
      </c>
      <c r="C247" s="8" t="s">
        <v>93</v>
      </c>
      <c r="D247" s="8" t="s">
        <v>71</v>
      </c>
      <c r="E247" s="9" t="s">
        <v>19</v>
      </c>
      <c r="F247" s="9" t="s">
        <v>20</v>
      </c>
      <c r="G247" s="9" t="s">
        <v>369</v>
      </c>
      <c r="H247" s="8" t="s">
        <v>1392</v>
      </c>
      <c r="I247" s="8"/>
      <c r="J247" s="9">
        <v>24.34</v>
      </c>
      <c r="K247" s="9">
        <v>19.0</v>
      </c>
      <c r="L247" s="8" t="s">
        <v>208</v>
      </c>
      <c r="M247" s="8" t="s">
        <v>1393</v>
      </c>
      <c r="N247" s="7" t="str">
        <f>IFERROR(__xludf.DUMMYFUNCTION("GOOGLETRANSLATE(L247, ""en"", ""pt"")"),"Instalador")</f>
        <v>Instalador</v>
      </c>
      <c r="O247" s="7" t="str">
        <f>IFERROR(__xludf.DUMMYFUNCTION("IF(M247="""","""",GOOGLETRANSLATE(M247,""en"",""pt""))"),"Desembalar, inspecionar e testar decorações natalinas, substituindo-as se necessário. Pendurar decorações em áreas externas, como jardins e edifícios. Realizar manutenção/reparos em decorações danificadas. Remover, inspecionar e embalar as decorações para"&amp;" armazenamento. O trabalho envolve agachar, curvar-se, levantar e esticar-se com frequência, podendo também envolver trabalho em condições climáticas adversas, incluindo chuva. Classificação da Função: 49-9099.00 - Trabalhadores de Instalação, Manutenção "&amp;"e Reparo, Outros. A classificação e descrição da função/setor inclui informações gerais sobre o cargo, de acordo com o ONET/OES e o Sistema de Classificação Industrial da América do Norte (NAICS). Consulte as Funções e a Ordem de Serviço para obter mais i"&amp;"nformações. Requisitos da Função Experiência Necessária: Sim Meses de Experiência Necessários: 1 Requisitos Especiais: Requer um mês de experiência prévia em decoração natalina comercial. Deve ser capaz de levantar/carregar 23 kg, quando necessário. Deve "&amp;"ser capaz de subir escadas de até 12 metros e alcançar locais altos. Trabalho aos sábados e domingos, quando necessário. Testes aleatórios de drogas após a contratação são obrigatórios para trabalhadores estrangeiros e nacionais. Verificação de antecedent"&amp;"es criminais após a contratação é obrigatória para trabalhadores estrangeiros e nacionais. É necessário obter uma carteira de habilitação válida nos primeiros 60 dias de emprego. Dirigir caminhões com transmissão manual. Disponibilidade para trabalhar em "&amp;"todos os turnos: 6h às 14h; 14h às 21h; 18h às 6h. O empregador poderá oferecer uma jornada de trabalho superior à estipulada, dependendo das condições climáticas, necessidades da empresa e outros fatores. Calor extremo, frio intenso, chuva ou seca podem "&amp;"afetar o horário de trabalho exato. Número de horas por semana: 35. Horário de trabalho (início/término): 6h às 14h.")</f>
        <v>Desembalar, inspecionar e testar decorações natalinas, substituindo-as se necessário. Pendurar decorações em áreas externas, como jardins e edifícios. Realizar manutenção/reparos em decorações danificadas. Remover, inspecionar e embalar as decorações para armazenamento. O trabalho envolve agachar, curvar-se, levantar e esticar-se com frequência, podendo também envolver trabalho em condições climáticas adversas, incluindo chuva. Classificação da Função: 49-9099.00 - Trabalhadores de Instalação, Manutenção e Reparo, Outros. A classificação e descrição da função/setor inclui informações gerais sobre o cargo, de acordo com o ONET/OES e o Sistema de Classificação Industrial da América do Norte (NAICS). Consulte as Funções e a Ordem de Serviço para obter mais informações. Requisitos da Função Experiência Necessária: Sim Meses de Experiência Necessários: 1 Requisitos Especiais: Requer um mês de experiência prévia em decoração natalina comercial. Deve ser capaz de levantar/carregar 23 kg, quando necessário. Deve ser capaz de subir escadas de até 12 metros e alcançar locais altos. Trabalho aos sábados e domingos, quando necessário. Testes aleatórios de drogas após a contratação são obrigatórios para trabalhadores estrangeiros e nacionais. Verificação de antecedentes criminais após a contratação é obrigatória para trabalhadores estrangeiros e nacionais. É necessário obter uma carteira de habilitação válida nos primeiros 60 dias de emprego. Dirigir caminhões com transmissão manual. Disponibilidade para trabalhar em todos os turnos: 6h às 14h; 14h às 21h; 18h às 6h. O empregador poderá oferecer uma jornada de trabalho superior à estipulada, dependendo das condições climáticas, necessidades da empresa e outros fatores. Calor extremo, frio intenso, chuva ou seca podem afetar o horário de trabalho exato. Número de horas por semana: 35. Horário de trabalho (início/término): 6h às 14h.</v>
      </c>
    </row>
    <row r="248" ht="20.25" customHeight="1">
      <c r="A248" s="3" t="s">
        <v>1394</v>
      </c>
      <c r="B248" s="3" t="s">
        <v>1395</v>
      </c>
      <c r="C248" s="3" t="s">
        <v>376</v>
      </c>
      <c r="D248" s="3" t="s">
        <v>28</v>
      </c>
      <c r="E248" s="4" t="s">
        <v>44</v>
      </c>
      <c r="F248" s="4" t="s">
        <v>20</v>
      </c>
      <c r="G248" s="4" t="s">
        <v>377</v>
      </c>
      <c r="H248" s="3" t="s">
        <v>1396</v>
      </c>
      <c r="I248" s="3" t="s">
        <v>1397</v>
      </c>
      <c r="J248" s="4">
        <v>15.44</v>
      </c>
      <c r="K248" s="4">
        <v>26.0</v>
      </c>
      <c r="L248" s="3" t="s">
        <v>380</v>
      </c>
      <c r="M248" s="3" t="s">
        <v>1398</v>
      </c>
      <c r="N248" s="7" t="str">
        <f>IFERROR(__xludf.DUMMYFUNCTION("GOOGLETRANSLATE(L248, ""en"", ""pt"")"),"Auxiliares de manutenção")</f>
        <v>Auxiliares de manutenção</v>
      </c>
      <c r="O248" s="7" t="str">
        <f>IFERROR(__xludf.DUMMYFUNCTION("IF(M248="""","""",GOOGLETRANSLATE(M248,""en"",""pt""))"),"Auxiliares de Manutenção - 26 vagas temporárias em tempo integral disponíveis em Franklin, LA, de 01/10/2026 a 30/06/2027 na Sterling Sugars, LLC. Auxiliam na realização de reparos, instalações e manutenção em diversas máquinas utilizadas no processamento"&amp;" de açúcar durante a safra. Fornecem ferramentas aos trabalhadores. Mantêm as áreas de trabalho e os equipamentos de processamento de açúcar limpos. Auxiliam na calibração das máquinas. $15,44/hora; $23,16/hora para horas extras, com base em uma semana de"&amp;" trabalho (pagas quinzenalmente por cheque). 48 horas/semana. As horas extras serão variáveis ​​e não são garantidas. O empregador fará todos os descontos exigidos por lei no contracheque do trabalhador. Alojamento opcional no local oferecido gratuitament"&amp;"e a cada funcionário temporário contratado para a vaga. Trabalho em turnos: será necessário trabalhar em diversos turnos de 8 horas (7h às 15h; 15h às 23h; 23h às 7h). É necessário ter disponibilidade para trabalhar 7 dias por semana durante a moagem. Dur"&amp;"ante a baixa temporada: 7h às 16h; 40 horas/semana. Não há exigência mínima de escolaridade. Não há treinamento no local de trabalho. A Sterling fornecerá aos trabalhadores americanos pelo menos os mesmos benefícios, salários e condições de trabalho ofere"&amp;"cidos aos trabalhadores com visto H-2B. A Sterling fornecerá ao trabalhador, sem custo ou depósito, todas as ferramentas, suprimentos e equipamentos necessários para o desempenho das funções atribuídas. O empregador garante oferecer emprego equivalente a "&amp;"pelo menos três quartos (3/4) dos dias úteis de cada período de 12 semanas do período total de emprego; e, se a garantia não for cumprida, o empregador pagará ao trabalhador o que ele teria recebido se o empregador tivesse oferecido o número de dias garan"&amp;"tido. O período de 12 semanas começará no primeiro dia útil após a chegada do trabalhador ou na primeira data de necessidade contratual anunciada, o que ocorrer por último. O trabalhador será reembolsado pelas despesas de transporte e subsistência do loca"&amp;"l de origem, seja nos EUA ou no exterior, até o local de trabalho, por meio de cheque emitido pelo empregador, após a conclusão de 50% do período de trabalho coberto pela ordem de serviço ou antes, se aplicável. Isso inclui um mínimo de US$ 16,78 por dia "&amp;"durante a viagem, até um máximo de US$ 68,00 por dia, mediante apresentação de recibos. Além disso, o empregador fornecerá ou pagará o transporte e a subsistência do trabalhador na ida, caso este complete o período da ordem de serviço ou seja dispensado a"&amp;"ntecipadamente. O empregador reembolsará o trabalhador com visto H-2B na primeira semana de trabalho pelo custo total de todos os vistos, processamento de vistos, travessia de fronteira e outras taxas relacionadas, incluindo as exigidas pelo governo. A St"&amp;"erling fornecerá ou reembolsará os custos de transporte de ida e volta e a subsistência diária para os trabalhadores americanos correspondentes que não puderem retornar à sua residência no mesmo dia de trabalho. Quando aplicável, o transporte diário de id"&amp;"a e volta para o local de trabalho será fornecido pelo empregador. É necessário ter no mínimo três (3) meses de experiência profissional na função oferecida em uma usina de açúcar bruto. Salários mais altos podem estar disponíveis para trabalhadores com v"&amp;"asta experiência. Envie seu currículo ou entre em contato com o Sr. Jason Burke na Sterling Sugars LLC, 611 Irish Bend Road, Franklin, LA 70538. Tel.: 337-828-0620. Fax: 337-828-1757. E-mail: dlange@sterlingsugars.com. Os candidatos podem obter mais infor"&amp;"mações sobre a vaga ou enviar currículos/candidaturas diretamente para o St. Mary American Job Center, 600 Main Street, Franklin, LA 70538; Tel.: 337-347-9648; E-mail: info@acadianaworkforce.org; Número da ordem de serviço: 1641081. Classificação da vaga:"&amp;" 49-9098.00 - Ajudantes - Trabalhadores de Instalação, Manutenção e Reparo. A classificação e descrição da vaga/setor incluem informações gerais sobre o cargo, de acordo com o ONET/OES e o Sistema de Classificação Industrial da América do Norte (NAICS). C"&amp;"onsulte as atribuições e a ordem de serviço para obter mais informações. Requisitos da vaga: Experiência necessária: Sim. Meses de experiência necessários: 3. Número de horas por semana: 48. Horário de trabalho (início/término): 7h às 15h.")</f>
        <v>Auxiliares de Manutenção - 26 vagas temporárias em tempo integral disponíveis em Franklin, LA, de 01/10/2026 a 30/06/2027 na Sterling Sugars, LLC. Auxiliam na realização de reparos, instalações e manutenção em diversas máquinas utilizadas no processamento de açúcar durante a safra. Fornecem ferramentas aos trabalhadores. Mantêm as áreas de trabalho e os equipamentos de processamento de açúcar limpos. Auxiliam na calibração das máquinas. $15,44/hora; $23,16/hora para horas extras, com base em uma semana de trabalho (pagas quinzenalmente por cheque). 48 horas/semana. As horas extras serão variáveis ​​e não são garantidas. O empregador fará todos os descontos exigidos por lei no contracheque do trabalhador. Alojamento opcional no local oferecido gratuitamente a cada funcionário temporário contratado para a vaga. Trabalho em turnos: será necessário trabalhar em diversos turnos de 8 horas (7h às 15h; 15h às 23h; 23h às 7h). É necessário ter disponibilidade para trabalhar 7 dias por semana durante a moagem. Durante a baixa temporada: 7h às 16h; 40 horas/semana. Não há exigência mínima de escolaridade. Não há treinamento no local de trabalho. A Sterling fornecerá aos trabalhadores americanos pelo menos os mesmos benefícios, salários e condições de trabalho oferecidos aos trabalhadores com visto H-2B. A Sterling fornecerá ao trabalhador, sem custo ou depósito, todas as ferramentas, suprimentos e equipamentos necessários para o desempenho das funções atribuídas. O empregador garante oferecer emprego equivalente a pelo menos três quartos (3/4) dos dias úteis de cada período de 12 semanas do período total de emprego; e, se a garantia não for cumprida, o empregador pagará ao trabalhador o que ele teria recebido se o empregador tivesse oferecido o número de dias garantido. O período de 12 semanas começará no primeiro dia útil após a chegada do trabalhador ou na primeira data de necessidade contratual anunciada, o que ocorrer por último. O trabalhador será reembolsado pelas despesas de transporte e subsistência do local de origem, seja nos EUA ou no exterior, até o local de trabalho, por meio de cheque emitido pelo empregador, após a conclusão de 50% do período de trabalho coberto pela ordem de serviço ou antes, se aplicável. Isso inclui um mínimo de US$ 16,78 por dia durante a viagem, até um máximo de US$ 68,00 por dia, mediante apresentação de recibos. Além disso, o empregador fornecerá ou pagará o transporte e a subsistência do trabalhador na ida, caso este complete o período da ordem de serviço ou seja dispensado antecipadamente. O empregador reembolsará o trabalhador com visto H-2B na primeira semana de trabalho pelo custo total de todos os vistos, processamento de vistos, travessia de fronteira e outras taxas relacionadas, incluindo as exigidas pelo governo. A Sterling fornecerá ou reembolsará os custos de transporte de ida e volta e a subsistência diária para os trabalhadores americanos correspondentes que não puderem retornar à sua residência no mesmo dia de trabalho. Quando aplicável, o transporte diário de ida e volta para o local de trabalho será fornecido pelo empregador. É necessário ter no mínimo três (3) meses de experiência profissional na função oferecida em uma usina de açúcar bruto. Salários mais altos podem estar disponíveis para trabalhadores com vasta experiência. Envie seu currículo ou entre em contato com o Sr. Jason Burke na Sterling Sugars LLC, 611 Irish Bend Road, Franklin, LA 70538. Tel.: 337-828-0620. Fax: 337-828-1757. E-mail: dlange@sterlingsugars.com. Os candidatos podem obter mais informações sobre a vaga ou enviar currículos/candidaturas diretamente para o St. Mary American Job Center, 600 Main Street, Franklin, LA 70538; Tel.: 337-347-9648; E-mail: info@acadianaworkforce.org; Número da ordem de serviço: 1641081. Classificação da vaga: 49-9098.00 - Ajudantes - Trabalhadores de Instalação, Manutenção e Reparo. A classificação e descrição da vaga/setor incluem informações gerais sobre o cargo, de acordo com o ONET/OES e o Sistema de Classificação Industrial da América do Norte (NAICS). Consulte as atribuições e a ordem de serviço para obter mais informações. Requisitos da vaga: Experiência necessária: Sim. Meses de experiência necessários: 3. Número de horas por semana: 48. Horário de trabalho (início/término): 7h às 15h.</v>
      </c>
    </row>
    <row r="249" ht="20.25" customHeight="1">
      <c r="A249" s="8" t="s">
        <v>1399</v>
      </c>
      <c r="B249" s="8" t="s">
        <v>1400</v>
      </c>
      <c r="C249" s="8" t="s">
        <v>63</v>
      </c>
      <c r="D249" s="8" t="s">
        <v>109</v>
      </c>
      <c r="E249" s="9" t="s">
        <v>19</v>
      </c>
      <c r="F249" s="9" t="s">
        <v>20</v>
      </c>
      <c r="G249" s="9" t="s">
        <v>56</v>
      </c>
      <c r="H249" s="8" t="s">
        <v>1401</v>
      </c>
      <c r="I249" s="8" t="s">
        <v>1402</v>
      </c>
      <c r="J249" s="9">
        <v>18.69</v>
      </c>
      <c r="K249" s="9">
        <v>12.0</v>
      </c>
      <c r="L249" s="8" t="s">
        <v>59</v>
      </c>
      <c r="M249" s="8" t="s">
        <v>1403</v>
      </c>
      <c r="N249" s="7" t="str">
        <f>IFERROR(__xludf.DUMMYFUNCTION("GOOGLETRANSLATE(L249, ""en"", ""pt"")"),"Trabalhador de paisagismo")</f>
        <v>Trabalhador de paisagismo</v>
      </c>
      <c r="O249" s="7" t="str">
        <f>IFERROR(__xludf.DUMMYFUNCTION("IF(M249="""","""",GOOGLETRANSLATE(M249,""en"",""pt""))"),"Paisagismo e manutenção de terrenos utilizando ferramentas manuais ou elétricas. Os trabalhadores geralmente executam uma variedade de tarefas, que podem incluir qualquer combinação das seguintes: colocação de grama, corte de grama, poda, plantio, rega, f"&amp;"ertilização, escavação, rastelagem, poda e capina. Classificação da função: 37-3011.00 - Trabalhadores de Paisagismo e Manutenção de Terrenos. A classificação e descrição da função/setor incluem informações gerais sobre o cargo, de acordo com o ONET/OES e"&amp;" o Sistema de Classificação Industrial da América do Norte (NAICS). Consulte as Funções e a Ordem de Serviço para obter mais informações. Requisitos da vaga: Experiência exigida: Sim. Meses de experiência exigidos: 3. Requisitos especiais: Deve ser capaz "&amp;"de levantar/carregar 23 kg, quando necessário. Trabalho aos sábados, quando necessário. Exame toxicológico pós-contratação e pós-acidente obrigatório para trabalhadores estrangeiros e nacionais. O empregador pode oferecer mais horas de trabalho do que as "&amp;"indicadas, dependendo do clima, das necessidades da empresa e de outras condições. Calor extremo, frio, chuva ou seca podem afetar o horário de trabalho exato. Número de horas por semana: 40 Horário de trabalho (início/término): 7h00 - 15h30")</f>
        <v>Paisagismo e manutenção de terrenos utilizando ferramentas manuais ou elétricas. Os trabalhadores geralmente executam uma variedade de tarefas, que podem incluir qualquer combinação das seguintes: colocação de grama, corte de grama, poda, plantio, rega, fertilização, escavação, rastelagem, poda e capina. Classificação da função: 37-3011.00 - Trabalhadores de Paisagismo e Manutenção de Terrenos. A classificação e descrição da função/setor incluem informações gerais sobre o cargo, de acordo com o ONET/OES e o Sistema de Classificação Industrial da América do Norte (NAICS). Consulte as Funções e a Ordem de Serviço para obter mais informações. Requisitos da vaga: Experiência exigida: Sim. Meses de experiência exigidos: 3. Requisitos especiais: Deve ser capaz de levantar/carregar 23 kg, quando necessário. Trabalho aos sábados, quando necessário. Exame toxicológico pós-contratação e pós-acidente obrigatório para trabalhadores estrangeiros e nacionais. O empregador pode oferecer mais horas de trabalho do que as indicadas, dependendo do clima, das necessidades da empresa e de outras condições. Calor extremo, frio, chuva ou seca podem afetar o horário de trabalho exato. Número de horas por semana: 40 Horário de trabalho (início/término): 7h00 - 15h30</v>
      </c>
    </row>
    <row r="250" ht="20.25" customHeight="1">
      <c r="A250" s="3" t="s">
        <v>1404</v>
      </c>
      <c r="B250" s="3" t="s">
        <v>1405</v>
      </c>
      <c r="C250" s="3" t="s">
        <v>708</v>
      </c>
      <c r="D250" s="3" t="s">
        <v>71</v>
      </c>
      <c r="E250" s="4" t="s">
        <v>19</v>
      </c>
      <c r="F250" s="4" t="s">
        <v>20</v>
      </c>
      <c r="G250" s="4" t="s">
        <v>212</v>
      </c>
      <c r="H250" s="3" t="s">
        <v>1406</v>
      </c>
      <c r="I250" s="3" t="s">
        <v>1407</v>
      </c>
      <c r="J250" s="4">
        <v>18.95</v>
      </c>
      <c r="K250" s="4">
        <v>6.0</v>
      </c>
      <c r="L250" s="3" t="s">
        <v>1206</v>
      </c>
      <c r="M250" s="3" t="s">
        <v>1408</v>
      </c>
      <c r="N250" s="7" t="str">
        <f>IFERROR(__xludf.DUMMYFUNCTION("GOOGLETRANSLATE(L250, ""en"", ""pt"")"),"Servidor")</f>
        <v>Servidor</v>
      </c>
      <c r="O250" s="7" t="str">
        <f>IFERROR(__xludf.DUMMYFUNCTION("IF(M250="""","""",GOOGLETRANSLATE(M250,""en"",""pt""))"),"1. Receber sócios, clientes e convidados. 2. Preparar as áreas de refeição, anotar e registrar pedidos. 3. Transportar bandejas e pratos, servindo alimentos e bebidas. 4. Limpar e desocupar as mesas. 5. Auxiliar em outras atividades de atendimento ao clie"&amp;"nte relacionadas a alimentos e bebidas, que podem ocorrer em ambientes não tradicionais, como áreas de piscina, cabanas de praia ou espaços para eventos privados. Essas tarefas incluem: • Entregar e apresentar pedidos de comida e bebida aos convidados em "&amp;"locais de refeição ao ar livre, como espreguiçadeiras à beira da piscina ou mesas na praia. • Montar e desmontar estações de serviço temporárias para bebidas ou aperitivos durante eventos especiais. • Repor bebidas ou retirar itens usados ​​em locais de r"&amp;"efeição informais ou móveis (por exemplo, recepções ao ar livre ou montagem de cabanas). • Auxiliar na preparação e disposição de utensílios básicos de serviço (guardanapos, talheres, copos) em áreas de buffet ou bar. • Monitorar as mesas externas designa"&amp;"das para identificar necessidades adicionais dos convidados e coordenar com a equipe da cozinha ou do bar para atendê-las. Classificação da Função: 35-3031.00 - Garçons e Garçonetes. A classificação e descrição da função/setor inclui informações gerais so"&amp;"bre o cargo, de acordo com o ONET/OES e o Sistema de Classificação Industrial da América do Norte. Consulte as Funções e a Ordem de Serviço para obter mais informações. Requisitos da Função: Experiência Necessária: Sim. Meses de Experiência Necessários: 6"&amp;". Requisitos Especiais: PELO MENOS SEIS (6) MESES DE EXPERIÊNCIA EM RESTAURANTE DE ALTA GASTRONOMIA OU DE GRANDE MOVIMENTO, RESORT, CLUBE PRIVADO OU ESTABELECIMENTO DE HOSPITALIDADE QUE EXIJA EXCELENTE ATENDIMENTO AO CLIENTE. DE ACORDO COM A POLÍTICA DA E"&amp;"MPRESA VIGENTE NO MOMENTO DA CONTRATAÇÃO, OS CANDIDATOS PODEM SER SUBMETIDOS A UM TESTE DE DROGAS PRÉ-ADMISSÃO. Isso inclui funcionários nacionais e com visto H2B em cargos sazonais, de tempo integral e anuais, e se aplica a todos os candidatos, independe"&amp;"ntemente de sua nacionalidade, raça ou gênero. Número de horas por semana: 35. Horário de trabalho (início/término): 7h às 14h.")</f>
        <v>1. Receber sócios, clientes e convidados. 2. Preparar as áreas de refeição, anotar e registrar pedidos. 3. Transportar bandejas e pratos, servindo alimentos e bebidas. 4. Limpar e desocupar as mesas. 5. Auxiliar em outras atividades de atendimento ao cliente relacionadas a alimentos e bebidas, que podem ocorrer em ambientes não tradicionais, como áreas de piscina, cabanas de praia ou espaços para eventos privados. Essas tarefas incluem: • Entregar e apresentar pedidos de comida e bebida aos convidados em locais de refeição ao ar livre, como espreguiçadeiras à beira da piscina ou mesas na praia. • Montar e desmontar estações de serviço temporárias para bebidas ou aperitivos durante eventos especiais. • Repor bebidas ou retirar itens usados ​​em locais de refeição informais ou móveis (por exemplo, recepções ao ar livre ou montagem de cabanas). • Auxiliar na preparação e disposição de utensílios básicos de serviço (guardanapos, talheres, copos) em áreas de buffet ou bar. • Monitorar as mesas externas designadas para identificar necessidades adicionais dos convidados e coordenar com a equipe da cozinha ou do bar para atendê-las. Classificação da Função: 35-3031.00 - Garçons e Garçonetes. A classificação e descrição da função/setor inclui informações gerais sobre o cargo, de acordo com o ONET/OES e o Sistema de Classificação Industrial da América do Norte. Consulte as Funções e a Ordem de Serviço para obter mais informações. Requisitos da Função: Experiência Necessária: Sim. Meses de Experiência Necessários: 6. Requisitos Especiais: PELO MENOS SEIS (6) MESES DE EXPERIÊNCIA EM RESTAURANTE DE ALTA GASTRONOMIA OU DE GRANDE MOVIMENTO, RESORT, CLUBE PRIVADO OU ESTABELECIMENTO DE HOSPITALIDADE QUE EXIJA EXCELENTE ATENDIMENTO AO CLIENTE. DE ACORDO COM A POLÍTICA DA EMPRESA VIGENTE NO MOMENTO DA CONTRATAÇÃO, OS CANDIDATOS PODEM SER SUBMETIDOS A UM TESTE DE DROGAS PRÉ-ADMISSÃO. Isso inclui funcionários nacionais e com visto H2B em cargos sazonais, de tempo integral e anuais, e se aplica a todos os candidatos, independentemente de sua nacionalidade, raça ou gênero. Número de horas por semana: 35. Horário de trabalho (início/término): 7h às 14h.</v>
      </c>
    </row>
    <row r="251" ht="20.25" customHeight="1">
      <c r="A251" s="8" t="s">
        <v>1409</v>
      </c>
      <c r="B251" s="8" t="s">
        <v>1410</v>
      </c>
      <c r="C251" s="8" t="s">
        <v>1411</v>
      </c>
      <c r="D251" s="8" t="s">
        <v>663</v>
      </c>
      <c r="E251" s="9" t="s">
        <v>19</v>
      </c>
      <c r="F251" s="9" t="s">
        <v>20</v>
      </c>
      <c r="G251" s="9" t="s">
        <v>1412</v>
      </c>
      <c r="H251" s="8" t="s">
        <v>1413</v>
      </c>
      <c r="I251" s="8" t="s">
        <v>1414</v>
      </c>
      <c r="J251" s="9">
        <v>26.06</v>
      </c>
      <c r="K251" s="9">
        <v>48.0</v>
      </c>
      <c r="L251" s="8" t="s">
        <v>1415</v>
      </c>
      <c r="M251" s="8" t="s">
        <v>1416</v>
      </c>
      <c r="N251" s="7" t="str">
        <f>IFERROR(__xludf.DUMMYFUNCTION("GOOGLETRANSLATE(L251, ""en"", ""pt"")"),"Motorista de caminhão")</f>
        <v>Motorista de caminhão</v>
      </c>
      <c r="O251" s="7" t="str">
        <f>IFERROR(__xludf.DUMMYFUNCTION("IF(M251="""","""",GOOGLETRANSLATE(M251,""en"",""pt""))"),"Dirigir caminhões pesados ​​e caminhões-trator, com reboques basculantes (simples e duplos) com capacidade mínima de 26.001 libras de Peso Bruto Total (PBT), transportando produtos agrícolas (principalmente beterraba sacarina). Subir e descer regularmente"&amp;" de caminhões e reboques, a uma altura de até 1,5 metro (5 pés). É necessário saber ler, escrever e falar inglês suficientemente bem para desempenhar as funções do cargo, incluindo a leitura de placas de trânsito, a comunicação com o público e as autorida"&amp;"des policiais, e o preenchimento de relatórios exigidos de acordo com as normas do DOT e da FMCSA. Classificação do Cargo: 53-3032.00 - Motoristas de Caminhão Pesado e Caminhão-Trator. A classificação e a descrição do cargo/setor incluem informações gerai"&amp;"s sobre a posição, conforme o ONET/OES e o Sistema de Classificação Industrial da América do Norte. Consulte as Funções e a Ordem de Serviço para obter mais informações. Requisitos da vaga Experiência necessária: Sim Meses de experiência necessários: 6 Re"&amp;"quisitos especiais: Carteira de habilitação comercial Classe A ou equivalente. Deve ser capaz de permanecer sentado e alerta enquanto dirige em turnos de 12 horas, diurnos e/ou noturnos, conforme necessário. Deve passar por verificação de antecedentes e t"&amp;"este toxicológico. Proficiência em inglês necessária para o desempenho das funções. Número de horas por semana: 48 Horário de trabalho (início/término): 13h00 - 01h00")</f>
        <v>Dirigir caminhões pesados ​​e caminhões-trator, com reboques basculantes (simples e duplos) com capacidade mínima de 26.001 libras de Peso Bruto Total (PBT), transportando produtos agrícolas (principalmente beterraba sacarina). Subir e descer regularmente de caminhões e reboques, a uma altura de até 1,5 metro (5 pés). É necessário saber ler, escrever e falar inglês suficientemente bem para desempenhar as funções do cargo, incluindo a leitura de placas de trânsito, a comunicação com o público e as autoridades policiais, e o preenchimento de relatórios exigidos de acordo com as normas do DOT e da FMCSA. Classificação do Cargo: 53-3032.00 - Motoristas de Caminhão Pesado e Caminhão-Trator. A classificação e a descrição do cargo/setor incluem informações gerais sobre a posição, conforme o ONET/OES e o Sistema de Classificação Industrial da América do Norte. Consulte as Funções e a Ordem de Serviço para obter mais informações. Requisitos da vaga Experiência necessária: Sim Meses de experiência necessários: 6 Requisitos especiais: Carteira de habilitação comercial Classe A ou equivalente. Deve ser capaz de permanecer sentado e alerta enquanto dirige em turnos de 12 horas, diurnos e/ou noturnos, conforme necessário. Deve passar por verificação de antecedentes e teste toxicológico. Proficiência em inglês necessária para o desempenho das funções. Número de horas por semana: 48 Horário de trabalho (início/término): 13h00 - 01h00</v>
      </c>
    </row>
    <row r="252" ht="20.25" customHeight="1">
      <c r="A252" s="3" t="s">
        <v>1417</v>
      </c>
      <c r="B252" s="3" t="s">
        <v>1418</v>
      </c>
      <c r="C252" s="3" t="s">
        <v>1419</v>
      </c>
      <c r="D252" s="3" t="s">
        <v>284</v>
      </c>
      <c r="E252" s="4" t="s">
        <v>19</v>
      </c>
      <c r="F252" s="4" t="s">
        <v>20</v>
      </c>
      <c r="G252" s="4" t="s">
        <v>155</v>
      </c>
      <c r="H252" s="3" t="s">
        <v>1420</v>
      </c>
      <c r="I252" s="3" t="s">
        <v>1421</v>
      </c>
      <c r="J252" s="4">
        <v>16.55</v>
      </c>
      <c r="K252" s="4">
        <v>110.0</v>
      </c>
      <c r="L252" s="3" t="s">
        <v>83</v>
      </c>
      <c r="M252" s="3" t="s">
        <v>1422</v>
      </c>
      <c r="N252" s="7" t="str">
        <f>IFERROR(__xludf.DUMMYFUNCTION("GOOGLETRANSLATE(L252, ""en"", ""pt"")"),"Trabalhador Florestal")</f>
        <v>Trabalhador Florestal</v>
      </c>
      <c r="O252" s="7" t="str">
        <f>IFERROR(__xludf.DUMMYFUNCTION("IF(M252="""","""",GOOGLETRANSLATE(M252,""en"",""pt""))"),"Todos os candidatos devem ser capazes, estar dispostos e qualificados para executar o trabalho descrito nesta descrição de cargo e ter disponibilidade durante todo o período especificado. As funções podem incluir: reflorestamento, proteção de áreas flores"&amp;"tais, semeadura; remoção de mudas de viveiros, colocação de materiais de sombreamento ao lado das mudas, colocação de redes/tubos (pequenos tubos de plástico sobre as mudas); cobertura morta, roçada manual pós-plantio (remoção do excesso de vegetação ao r"&amp;"edor das mudas); aplicação de repelente ou fertilizante em mudas e outras atividades relacionadas à silvicultura, conforme as atividades de Trabalhador Florestal Geral de Gestão Florestal e de Terras, de acordo com a SOC/OES 45-4011 (onetonline.org). É ne"&amp;"cessário realizar atividades físicas: levantar, equilibrar-se, caminhar, agachar-se, manusear, posicionar, mover e manipular materiais, utilizando força estática – exercer força muscular máxima para levantar, empurrar, puxar ou carregar objetos de até 23 "&amp;"kg. Atenção aos detalhes; conclusão das tarefas dentro do prazo. Trabalho ao ar livre, exposto às intempéries; o candidato deve ser capaz de realizar trabalho físico extenuante por longos períodos, ocasionalmente em calor/frio extremos. Condições climátic"&amp;"as variáveis ​​se aplicam. O horário de trabalho pode variar (+/-), com possibilidade de períodos de inatividade/horas extras. Horário diário/semanal possível: 7h às 15h30. De segunda a sexta, 35 a 40 horas semanais ou mais, incluindo intervalo para almoç"&amp;"o. Não é exigida escolaridade mínima. Não é necessária experiência. Treinamento em serviço. Transporte fornecido, local designado para o local de trabalho sem custo para o trabalhador. Ferramentas, suprimentos/equipamentos fornecidos pelo empregador sem c"&amp;"usto/depósito. Alojamento opcional fornecido pelo empregador sem custo para o trabalhador. Classificação do cargo: 45-4011.00 - Trabalhadores Florestais e de Conservação. A classificação e descrição do cargo/setor incluem informações gerais sobre a posiçã"&amp;"o, de acordo com o ONET/OES e o Sistema de Classificação Industrial da América do Norte. Consulte as Funções e a Ordem de Serviço para obter mais informações. Requisitos do cargo: Experiência exigida: Não. Requisitos especiais: Deve apresentar comprovante"&amp;" de autorização legal para trabalhar nos EUA. Zona de trabalho livre de drogas, álcool e tabaco. Deve ter 18 anos de idade devido a viagens. Número de horas por semana: 35 Horário de trabalho (início/término): 7h00 - 15h30")</f>
        <v>Todos os candidatos devem ser capazes, estar dispostos e qualificados para executar o trabalho descrito nesta descrição de cargo e ter disponibilidade durante todo o período especificado. As funções podem incluir: reflorestamento, proteção de áreas florestais, semeadura; remoção de mudas de viveiros, colocação de materiais de sombreamento ao lado das mudas, colocação de redes/tubos (pequenos tubos de plástico sobre as mudas); cobertura morta, roçada manual pós-plantio (remoção do excesso de vegetação ao redor das mudas); aplicação de repelente ou fertilizante em mudas e outras atividades relacionadas à silvicultura, conforme as atividades de Trabalhador Florestal Geral de Gestão Florestal e de Terras, de acordo com a SOC/OES 45-4011 (onetonline.org). É necessário realizar atividades físicas: levantar, equilibrar-se, caminhar, agachar-se, manusear, posicionar, mover e manipular materiais, utilizando força estática – exercer força muscular máxima para levantar, empurrar, puxar ou carregar objetos de até 23 kg. Atenção aos detalhes; conclusão das tarefas dentro do prazo. Trabalho ao ar livre, exposto às intempéries; o candidato deve ser capaz de realizar trabalho físico extenuante por longos períodos, ocasionalmente em calor/frio extremos. Condições climáticas variáveis ​​se aplicam. O horário de trabalho pode variar (+/-), com possibilidade de períodos de inatividade/horas extras. Horário diário/semanal possível: 7h às 15h30. De segunda a sexta, 35 a 40 horas semanais ou mais, incluindo intervalo para almoço. Não é exigida escolaridade mínima. Não é necessária experiência. Treinamento em serviço. Transporte fornecido, local designado para o local de trabalho sem custo para o trabalhador. Ferramentas, suprimentos/equipamentos fornecidos pelo empregador sem custo/depósito. Alojamento opcional fornecido pelo empregador sem custo para o trabalhador. Classificação do cargo: 45-4011.00 - Trabalhadores Florestais e de Conservação. A classificação e descrição do cargo/setor incluem informações gerais sobre a posição, de acordo com o ONET/OES e o Sistema de Classificação Industrial da América do Norte. Consulte as Funções e a Ordem de Serviço para obter mais informações. Requisitos do cargo: Experiência exigida: Não. Requisitos especiais: Deve apresentar comprovante de autorização legal para trabalhar nos EUA. Zona de trabalho livre de drogas, álcool e tabaco. Deve ter 18 anos de idade devido a viagens. Número de horas por semana: 35 Horário de trabalho (início/término): 7h00 - 15h30</v>
      </c>
    </row>
    <row r="253" ht="20.25" customHeight="1">
      <c r="A253" s="8" t="s">
        <v>1423</v>
      </c>
      <c r="B253" s="8" t="s">
        <v>1424</v>
      </c>
      <c r="C253" s="8" t="s">
        <v>1000</v>
      </c>
      <c r="D253" s="8" t="s">
        <v>117</v>
      </c>
      <c r="E253" s="9" t="s">
        <v>19</v>
      </c>
      <c r="F253" s="9" t="s">
        <v>20</v>
      </c>
      <c r="G253" s="9" t="s">
        <v>307</v>
      </c>
      <c r="H253" s="8" t="s">
        <v>1425</v>
      </c>
      <c r="I253" s="8" t="s">
        <v>1426</v>
      </c>
      <c r="J253" s="9">
        <v>22.69</v>
      </c>
      <c r="K253" s="9">
        <v>31.0</v>
      </c>
      <c r="L253" s="8" t="s">
        <v>302</v>
      </c>
      <c r="M253" s="8" t="s">
        <v>1427</v>
      </c>
      <c r="N253" s="7" t="str">
        <f>IFERROR(__xludf.DUMMYFUNCTION("GOOGLETRANSLATE(L253, ""en"", ""pt"")"),"Operários da construção civil")</f>
        <v>Operários da construção civil</v>
      </c>
      <c r="O253" s="7" t="str">
        <f>IFERROR(__xludf.DUMMYFUNCTION("IF(M253="""","""",GOOGLETRANSLATE(M253,""en"",""pt""))"),"Moldagem, despejo, compactação e espalhamento de concreto. Remoção e movimentação de pedras e terra com pá e ancinho. Desmoldagem de fôrmas de concreto e empilhamento de madeira e materiais. Limpeza de ferramentas e materiais. Limpeza e organização de tra"&amp;"ilers de obra. Cobertura do subleito e do concreto com juta e cobertores. Classificação da função: 47-2061.00 - Auxiliares de Construção Civil. A classificação e descrição da função/setor incluem informações gerais sobre o cargo, de acordo com o ONET/OES "&amp;"e o Sistema de Classificação Industrial da América do Norte (NAICS). Consulte as Funções e a Ordem de Serviço para obter mais informações. Requisitos da vaga: Experiência necessária: Sim. Meses de experiência necessários: 3. Requisitos especiais: Capacida"&amp;"de de carregar 34 kg por 75 jardas (aproximadamente 69 m). Capacidade de lidar com temperaturas extremas. Trabalho em alguns fins de semana. Capacidade de ler e interpretar trenas, usar ferramentas manuais e elétricas e ler plantas. Será necessário se cur"&amp;"var, agachar, ajoelhar, alcançar, subir degraus, puxar, empurrar, levantar e carregar. Deslocamento para locais de trabalho dentro da área de atuação pretendida. Número de horas por semana: 40 Horário de trabalho (início/término): 6h00 - 18h00")</f>
        <v>Moldagem, despejo, compactação e espalhamento de concreto. Remoção e movimentação de pedras e terra com pá e ancinho. Desmoldagem de fôrmas de concreto e empilhamento de madeira e materiais. Limpeza de ferramentas e materiais. Limpeza e organização de trailers de obra. Cobertura do subleito e do concreto com juta e cobertores. Classificação da função: 47-2061.00 - Auxiliares de Construção Civil. A classificação e descrição da função/setor incluem informações gerais sobre o cargo, de acordo com o ONET/OES e o Sistema de Classificação Industrial da América do Norte (NAICS). Consulte as Funções e a Ordem de Serviço para obter mais informações. Requisitos da vaga: Experiência necessária: Sim. Meses de experiência necessários: 3. Requisitos especiais: Capacidade de carregar 34 kg por 75 jardas (aproximadamente 69 m). Capacidade de lidar com temperaturas extremas. Trabalho em alguns fins de semana. Capacidade de ler e interpretar trenas, usar ferramentas manuais e elétricas e ler plantas. Será necessário se curvar, agachar, ajoelhar, alcançar, subir degraus, puxar, empurrar, levantar e carregar. Deslocamento para locais de trabalho dentro da área de atuação pretendida. Número de horas por semana: 40 Horário de trabalho (início/término): 6h00 - 18h00</v>
      </c>
    </row>
    <row r="254" ht="20.25" customHeight="1">
      <c r="A254" s="3" t="s">
        <v>1428</v>
      </c>
      <c r="B254" s="3" t="s">
        <v>1429</v>
      </c>
      <c r="C254" s="3" t="s">
        <v>197</v>
      </c>
      <c r="D254" s="3" t="s">
        <v>71</v>
      </c>
      <c r="E254" s="4" t="s">
        <v>19</v>
      </c>
      <c r="F254" s="4" t="s">
        <v>20</v>
      </c>
      <c r="G254" s="4" t="s">
        <v>524</v>
      </c>
      <c r="H254" s="3" t="s">
        <v>1430</v>
      </c>
      <c r="I254" s="3" t="s">
        <v>1431</v>
      </c>
      <c r="J254" s="4">
        <v>19.88</v>
      </c>
      <c r="K254" s="4">
        <v>30.0</v>
      </c>
      <c r="L254" s="3" t="s">
        <v>387</v>
      </c>
      <c r="M254" s="3" t="s">
        <v>1432</v>
      </c>
      <c r="N254" s="7" t="str">
        <f>IFERROR(__xludf.DUMMYFUNCTION("GOOGLETRANSLATE(L254, ""en"", ""pt"")"),"Ordem de serviço não disponível")</f>
        <v>Ordem de serviço não disponível</v>
      </c>
      <c r="O254" s="7" t="str">
        <f>IFERROR(__xludf.DUMMYFUNCTION("IF(M254="""","""",GOOGLETRANSLATE(M254,""en"",""pt""))"),"Preparar, cozinhar, refogar, grelhar e fritar itens como frutos do mar, carnes, aves, legumes, massas e sopas. Manter as áreas da cozinha limpas e higienizadas. Armazenar todos os produtos em locais adequados. (30) vagas disponíveis. Período: 01/10/2026 a"&amp;" 31/05/2027. Necessário 3 meses de experiência. Turnos rotativos. Dias de trabalho: segunda a domingo. Horário de trabalho: 9h às 12h. Salário: US$ 19,88 a US$ 24/hora, dependendo do desempenho; horas extras: US$ 29,82 a US$ 36/hora. Pagamento semanal. 35"&amp;" horas semanais. Alojamento opcional por US$ 175/semana, com depósito de US$ 350 (US$ 300,00 após a conclusão do contrato e inspeção do alojamento / US$ 50,00 não reembolsáveis). Bônus de fim de temporada disponível mediante desempenho e a critério do emp"&amp;"regador; bônus de retorno de até US$ 500,00, a critério do empregador. Uniformes fornecidos. LOCAL DE TRABALHO: 870 BALD EAGLE DRIVE, MARCO ISLAND, FL 34145. NO ENTANTO, O FUNCIONÁRIO PODERÁ PRECISAR SE DESLOCAR ENTRE OS RESTAURANTES NOS SEGUINTES ENDEREÇ"&amp;"OS: 599 S. COLLIER BLVD, 1215 BALD EAGLE DRIVE E 870 BALD EAGLE DRIVE, EM MARCO ISLAND, FL 34145. A vaga é temporária, em regime de tempo integral. O salário será calculado com base em uma semana de trabalho. Poderá haver até 10 horas extras, quando dispo"&amp;"níveis. Todos os descontos obrigatórios por lei serão feitos no contracheque do funcionário. O empregador fornecerá, sem custos para o funcionário, todas as ferramentas, materiais e equipamentos necessários para a execução do trabalho. O trabalhador receb"&amp;"erá ou será reembolsado pelo transporte e subsistência (incluindo o custo razoável de hospedagem noturna, quando necessário, até US$ 110/noite para hospedagem com recibos) a uma taxa de US$ 16,78 por dia durante a viagem, até um máximo de US$ 68,00 por di"&amp;"a com recibos, desde o local de onde o trabalhador veio trabalhar para o empregador, seja nos EUA ou no exterior, até o local de trabalho, se o trabalhador completar 50% do período de emprego coberto pela ordem de serviço, de acordo com 20 CFR 655.20(j)(1"&amp;")(i), mediante inclusão no contracheque da semana aplicável. O empregador fornecerá ou pagará o custo do transporte de retorno e da subsistência diária do trabalhador, do local de trabalho até o local de onde o trabalhador partiu para trabalhar para o emp"&amp;"regador, independentemente de empregos intermediários, caso o trabalhador complete o período de emprego certificado ou seja demitido do emprego por qualquer motivo pelo empregador antes do término do período, de acordo com o § 655.20(j)(1)(ii); os trabalh"&amp;"adores com visto H-2B serão reembolsados ​​na primeira semana de trabalho por todos os vistos, processamento de vistos, travessia de fronteira e outras taxas relacionadas, incluindo aquelas exigidas pelo governo (exceto taxas de passaporte). O empregador "&amp;"fornecerá aos trabalhadores todas as ferramentas, suprimentos e equipamentos necessários para o desempenho do trabalho, sem custo para o trabalhador, de acordo com o 20 CFR 655.20(k). Os candidatos qualificados podem enviar o currículo para Luigi Carvelli"&amp;", no endereço 1215 Bald Eagle Drive, Marco Island, Flórida 33145, por e-mail para HR@snookinn.com ou visitar o centro de empregos local em 5040 NW 7th Street, Suite 200, Miami, FL 33126. *Seu depósito de segurança é reembolsável após a conclusão do contra"&amp;"to e a inspeção da moradia. Se um trabalhador abandonar o emprego sem a permissão do empregador ou abandonar a moradia antes do término do prazo de solicitação por qualquer motivo, exceto rescisão por parte do empregador, o trabalhador perderá todos os de"&amp;"pósitos de moradia, dias de folga remunerada, férias e bônus. Após a rescisão ou demissão, o trabalhador deverá desocupar a moradia imediatamente, a menos que haja acordo com o empregador.* Classificação do Cargo: 35-2014.00 - Cozinheiros, Restaurante. A "&amp;"classificação e descrição do cargo/setor incluem informações gerais sobre a posição, de acordo com o ONET/OES e o Sistema de Classificação Industrial da América do Norte. Consulte as Funções e a Ordem de Serviço para obter mais informações. Requisitos da "&amp;"vaga Experiência necessária: Sim Meses de experiência necessários: 3 Número de horas por semana: 35 Horário de trabalho (início/término): 9h00 - 12h00")</f>
        <v>Preparar, cozinhar, refogar, grelhar e fritar itens como frutos do mar, carnes, aves, legumes, massas e sopas. Manter as áreas da cozinha limpas e higienizadas. Armazenar todos os produtos em locais adequados. (30) vagas disponíveis. Período: 01/10/2026 a 31/05/2027. Necessário 3 meses de experiência. Turnos rotativos. Dias de trabalho: segunda a domingo. Horário de trabalho: 9h às 12h. Salário: US$ 19,88 a US$ 24/hora, dependendo do desempenho; horas extras: US$ 29,82 a US$ 36/hora. Pagamento semanal. 35 horas semanais. Alojamento opcional por US$ 175/semana, com depósito de US$ 350 (US$ 300,00 após a conclusão do contrato e inspeção do alojamento / US$ 50,00 não reembolsáveis). Bônus de fim de temporada disponível mediante desempenho e a critério do empregador; bônus de retorno de até US$ 500,00, a critério do empregador. Uniformes fornecidos. LOCAL DE TRABALHO: 870 BALD EAGLE DRIVE, MARCO ISLAND, FL 34145. NO ENTANTO, O FUNCIONÁRIO PODERÁ PRECISAR SE DESLOCAR ENTRE OS RESTAURANTES NOS SEGUINTES ENDEREÇOS: 599 S. COLLIER BLVD, 1215 BALD EAGLE DRIVE E 870 BALD EAGLE DRIVE, EM MARCO ISLAND, FL 34145. A vaga é temporária, em regime de tempo integral. O salário será calculado com base em uma semana de trabalho. Poderá haver até 10 horas extras, quando disponíveis. Todos os descontos obrigatórios por lei serão feitos no contracheque do funcionário. O empregador fornecerá, sem custos para o funcionário, todas as ferramentas, materiais e equipamentos necessários para a execução do trabalho. O trabalhador receberá ou será reembolsado pelo transporte e subsistência (incluindo o custo razoável de hospedagem noturna, quando necessário, até US$ 110/noite para hospedagem com recibos) a uma taxa de US$ 16,78 por dia durante a viagem, até um máximo de US$ 68,00 por dia com recibos, desde o local de onde o trabalhador veio trabalhar para o empregador, seja nos EUA ou no exterior, até o local de trabalho, se o trabalhador completar 50% do período de emprego coberto pela ordem de serviço, de acordo com 20 CFR 655.20(j)(1)(i), mediante inclusão no contracheque da semana aplicável. O empregador fornecerá ou pagará o custo do transporte de retorno e da subsistência diária do trabalhador, do local de trabalho até o local de onde o trabalhador partiu para trabalhar para o empregador, independentemente de empregos intermediários, caso o trabalhador complete o período de emprego certificado ou seja demitido do emprego por qualquer motivo pelo empregador antes do término do período, de acordo com o § 655.20(j)(1)(ii); os trabalhadores com visto H-2B serão reembolsados ​​na primeira semana de trabalho por todos os vistos, processamento de vistos, travessia de fronteira e outras taxas relacionadas, incluindo aquelas exigidas pelo governo (exceto taxas de passaporte). O empregador fornecerá aos trabalhadores todas as ferramentas, suprimentos e equipamentos necessários para o desempenho do trabalho, sem custo para o trabalhador, de acordo com o 20 CFR 655.20(k). Os candidatos qualificados podem enviar o currículo para Luigi Carvelli, no endereço 1215 Bald Eagle Drive, Marco Island, Flórida 33145, por e-mail para HR@snookinn.com ou visitar o centro de empregos local em 5040 NW 7th Street, Suite 200, Miami, FL 33126. *Seu depósito de segurança é reembolsável após a conclusão do contrato e a inspeção da moradia. Se um trabalhador abandonar o emprego sem a permissão do empregador ou abandonar a moradia antes do término do prazo de solicitação por qualquer motivo, exceto rescisão por parte do empregador, o trabalhador perderá todos os depósitos de moradia, dias de folga remunerada, férias e bônus. Após a rescisão ou demissão, o trabalhador deverá desocupar a moradia imediatamente, a menos que haja acordo com o empregador.* Classificação do Cargo: 35-2014.00 - Cozinheiros, Restaurante. A classificação e descrição do cargo/setor incluem informações gerais sobre a posição, de acordo com o ONET/OES e o Sistema de Classificação Industrial da América do Norte. Consulte as Funções e a Ordem de Serviço para obter mais informações. Requisitos da vaga Experiência necessária: Sim Meses de experiência necessários: 3 Número de horas por semana: 35 Horário de trabalho (início/término): 9h00 - 12h00</v>
      </c>
    </row>
    <row r="255" ht="20.25" customHeight="1">
      <c r="A255" s="8" t="s">
        <v>1433</v>
      </c>
      <c r="B255" s="8" t="s">
        <v>1434</v>
      </c>
      <c r="C255" s="8" t="s">
        <v>197</v>
      </c>
      <c r="D255" s="8" t="s">
        <v>71</v>
      </c>
      <c r="E255" s="9" t="s">
        <v>19</v>
      </c>
      <c r="F255" s="9" t="s">
        <v>20</v>
      </c>
      <c r="G255" s="9" t="s">
        <v>524</v>
      </c>
      <c r="H255" s="8" t="s">
        <v>1435</v>
      </c>
      <c r="I255" s="8" t="s">
        <v>1436</v>
      </c>
      <c r="J255" s="9">
        <v>18.95</v>
      </c>
      <c r="K255" s="9">
        <v>11.0</v>
      </c>
      <c r="L255" s="8" t="s">
        <v>201</v>
      </c>
      <c r="M255" s="8" t="s">
        <v>1437</v>
      </c>
      <c r="N255" s="7" t="str">
        <f>IFERROR(__xludf.DUMMYFUNCTION("GOOGLETRANSLATE(L255, ""en"", ""pt"")"),"Servidores")</f>
        <v>Servidores</v>
      </c>
      <c r="O255" s="7" t="str">
        <f>IFERROR(__xludf.DUMMYFUNCTION("IF(M255="""","""",GOOGLETRANSLATE(M255,""en"",""pt""))"),"Receber pedidos, servir comidas e bebidas aos clientes. Limpar e arrumar as mesas. Receber pagamentos e fornecer recibos. Manter todos os postos de trabalho abastecidos. (11) vagas disponíveis. Período: 01/10/2026 a 31/05/2027. Necessário 3 meses de exper"&amp;"iência. Turnos rotativos. Dias de trabalho: segunda a domingo. Horário: 6h às 22h. Salário: US$ 13 a US$ 18 por hora, mais gorjetas, com um mínimo de US$ 18,95 por hora. Hora extra: US$ 28,43 por hora. Pagamento quinzenal. 35 horas semanais. Alojamento op"&amp;"cional por US$ 23 a US$ 26 por dia, com depósito de US$ 450 (US$ 350 reembolsáveis ​​e US$ 100 não reembolsáveis, reembolsáveis ​​após o término do contrato). Bônus de Natal disponível. Uniformes e refeições durante o turno fornecidos. Local de trabalho: "&amp;"23101 Copperleaf Blvd., Estero, FL 34135. Trabalho temporário em tempo integral. O salário será calculado com base em uma única semana de trabalho. Poderá ser feito até 10 horas extras, quando disponíveis. Todos os descontos exigidos por lei serão efetuad"&amp;"os no contracheque do trabalhador. O empregador fornecerá ao trabalhador, sem custos, todas as ferramentas, materiais e equipamentos necessários para a execução do trabalho. O trabalhador receberá ou será reembolsado pelas despesas de transporte e aliment"&amp;"ação (incluindo o custo razoável de hospedagem, quando necessário, até US$ 110 por noite, mediante apresentação de recibos) no valor de US$ 16,78 por dia durante o deslocamento, até um máximo de US$ 68,00 por dia, mediante apresentação de recibos, desde o"&amp;" local de origem do trabalhador, seja nos EUA ou no exterior, até o local de trabalho, caso o trabalhador complete 50% do período de trabalho abrangido pela ordem de serviço, em conformidade com o 20 CFR 655.20(j)(1)(i), mediante inclusão no contracheque "&amp;"da semana correspondente. O empregador fornecerá ou pagará o custo do transporte de retorno e da subsistência diária do trabalhador, do local de trabalho até o local de onde o trabalhador partiu para trabalhar para o empregador, independentemente de empre"&amp;"gos intermediários, caso o trabalhador complete o período de emprego certificado ou seja demitido do emprego por qualquer motivo pelo empregador antes do término do período, de acordo com o § 655.20(j)(1)(ii); os trabalhadores com visto H-2B serão reembol"&amp;"sados ​​na primeira semana de trabalho por todos os vistos, processamento de vistos, travessia de fronteira e outras taxas relacionadas, incluindo aquelas exigidas pelo governo (exceto taxas de passaporte). O empregador fornecerá aos trabalhadores todas a"&amp;"s ferramentas, suprimentos e equipamentos necessários para o desempenho do trabalho, sem custo para o trabalhador, de acordo com o 20 CFR 655.20(k). Os candidatos qualificados podem enviar o currículo para Alex Diaz, no endereço 23101 Copperleaf Blvd., Es"&amp;"tero, FL 34135, por e-mail para Employment@Copperleafgc.com ou visitar o centro de empregos local em 3050 Horseshoe Drive North, Building A, Suite 110, Naples, FL 34104. *Seu depósito de segurança é reembolsável após a conclusão do contrato e a inspeção d"&amp;"a moradia. Se um trabalhador abandonar o emprego sem a permissão do empregador ou abandonar a moradia antes do término do prazo de solicitação por qualquer motivo, exceto rescisão por parte do empregador, o trabalhador perderá todos os depósitos de moradi"&amp;"a, dias de folga remunerada, férias e bônus. Após a rescisão ou demissão, o trabalhador deverá desocupar a moradia imediatamente, a menos que haja acordo com o empregador.* Classificação da vaga: 35-3031.00 - Garçons e Garçonetes. A classificação e descri"&amp;"ção da vaga/setor incluem informações gerais sobre o cargo, de acordo com o ONET/OES e o Sistema de Classificação Industrial da América do Norte. Consulte a Descrição das Funções e a Ordem de Serviço para obter mais informações. Requisitos da Vaga Experiê"&amp;"ncia Necessária: Sim Meses de Experiência Necessária: 3 Número de Horas por Semana: 35 Horário de Trabalho (Início/Término): 6h00 - 22h00")</f>
        <v>Receber pedidos, servir comidas e bebidas aos clientes. Limpar e arrumar as mesas. Receber pagamentos e fornecer recibos. Manter todos os postos de trabalho abastecidos. (11) vagas disponíveis. Período: 01/10/2026 a 31/05/2027. Necessário 3 meses de experiência. Turnos rotativos. Dias de trabalho: segunda a domingo. Horário: 6h às 22h. Salário: US$ 13 a US$ 18 por hora, mais gorjetas, com um mínimo de US$ 18,95 por hora. Hora extra: US$ 28,43 por hora. Pagamento quinzenal. 35 horas semanais. Alojamento opcional por US$ 23 a US$ 26 por dia, com depósito de US$ 450 (US$ 350 reembolsáveis ​​e US$ 100 não reembolsáveis, reembolsáveis ​​após o término do contrato). Bônus de Natal disponível. Uniformes e refeições durante o turno fornecidos. Local de trabalho: 23101 Copperleaf Blvd., Estero, FL 34135. Trabalho temporário em tempo integral. O salário será calculado com base em uma única semana de trabalho. Poderá ser feito até 10 horas extras, quando disponíveis. Todos os descontos exigidos por lei serão efetuados no contracheque do trabalhador. O empregador fornecerá ao trabalhador, sem custos, todas as ferramentas, materiais e equipamentos necessários para a execução do trabalho. O trabalhador receberá ou será reembolsado pelas despesas de transporte e alimentação (incluindo o custo razoável de hospedagem, quando necessário, até US$ 110 por noite, mediante apresentação de recibos) no valor de US$ 16,78 por dia durante o deslocamento, até um máximo de US$ 68,00 por dia, mediante apresentação de recibos, desde o local de origem do trabalhador, seja nos EUA ou no exterior, até o local de trabalho, caso o trabalhador complete 50% do período de trabalho abrangido pela ordem de serviço, em conformidade com o 20 CFR 655.20(j)(1)(i), mediante inclusão no contracheque da semana correspondente. O empregador fornecerá ou pagará o custo do transporte de retorno e da subsistência diária do trabalhador, do local de trabalho até o local de onde o trabalhador partiu para trabalhar para o empregador, independentemente de empregos intermediários, caso o trabalhador complete o período de emprego certificado ou seja demitido do emprego por qualquer motivo pelo empregador antes do término do período, de acordo com o § 655.20(j)(1)(ii); os trabalhadores com visto H-2B serão reembolsados ​​na primeira semana de trabalho por todos os vistos, processamento de vistos, travessia de fronteira e outras taxas relacionadas, incluindo aquelas exigidas pelo governo (exceto taxas de passaporte). O empregador fornecerá aos trabalhadores todas as ferramentas, suprimentos e equipamentos necessários para o desempenho do trabalho, sem custo para o trabalhador, de acordo com o 20 CFR 655.20(k). Os candidatos qualificados podem enviar o currículo para Alex Diaz, no endereço 23101 Copperleaf Blvd., Estero, FL 34135, por e-mail para Employment@Copperleafgc.com ou visitar o centro de empregos local em 3050 Horseshoe Drive North, Building A, Suite 110, Naples, FL 34104. *Seu depósito de segurança é reembolsável após a conclusão do contrato e a inspeção da moradia. Se um trabalhador abandonar o emprego sem a permissão do empregador ou abandonar a moradia antes do término do prazo de solicitação por qualquer motivo, exceto rescisão por parte do empregador, o trabalhador perderá todos os depósitos de moradia, dias de folga remunerada, férias e bônus. Após a rescisão ou demissão, o trabalhador deverá desocupar a moradia imediatamente, a menos que haja acordo com o empregador.* Classificação da vaga: 35-3031.00 - Garçons e Garçonetes. A classificação e descrição da vaga/setor incluem informações gerais sobre o cargo, de acordo com o ONET/OES e o Sistema de Classificação Industrial da América do Norte. Consulte a Descrição das Funções e a Ordem de Serviço para obter mais informações. Requisitos da Vaga Experiência Necessária: Sim Meses de Experiência Necessária: 3 Número de Horas por Semana: 35 Horário de Trabalho (Início/Término): 6h00 - 22h00</v>
      </c>
    </row>
    <row r="256" ht="20.25" customHeight="1">
      <c r="A256" s="3" t="s">
        <v>1438</v>
      </c>
      <c r="B256" s="3" t="s">
        <v>1439</v>
      </c>
      <c r="C256" s="3" t="s">
        <v>1440</v>
      </c>
      <c r="D256" s="3" t="s">
        <v>663</v>
      </c>
      <c r="E256" s="4" t="s">
        <v>19</v>
      </c>
      <c r="F256" s="4" t="s">
        <v>20</v>
      </c>
      <c r="G256" s="4" t="s">
        <v>1441</v>
      </c>
      <c r="H256" s="3" t="s">
        <v>1442</v>
      </c>
      <c r="I256" s="3" t="s">
        <v>1443</v>
      </c>
      <c r="J256" s="4">
        <v>21.7</v>
      </c>
      <c r="K256" s="4">
        <v>12.0</v>
      </c>
      <c r="L256" s="3" t="s">
        <v>1444</v>
      </c>
      <c r="M256" s="3" t="s">
        <v>1445</v>
      </c>
      <c r="N256" s="7" t="str">
        <f>IFERROR(__xludf.DUMMYFUNCTION("GOOGLETRANSLATE(L256, ""en"", ""pt"")"),"Paisagismo e manutenção de jardins")</f>
        <v>Paisagismo e manutenção de jardins</v>
      </c>
      <c r="O256" s="7" t="str">
        <f>IFERROR(__xludf.DUMMYFUNCTION("IF(M256="""","""",GOOGLETRANSLATE(M256,""en"",""pt""))"),"Todos os candidatos devem ser capazes, dispostos e qualificados para executar o trabalho descrito e devem estar disponíveis durante todo o período especificado. Vaga temporária sazonal em tempo integral para jardineiro, conforme Soc/OES 37-3011. Funções: "&amp;"pulverizar fertilizante, herbicida e inseticida em arbustos, árvores e folhagens, utilizando pulverizadores manuais e automáticos. Realizar atividades físicas: levantar, equilibrar-se, caminhar, agachar-se, manusear, posicionar, mover e manipular materiai"&amp;"s, utilizando força estática e exercendo força muscular máxima para empurrar, puxar e carregar objetos de até 23 kg. Trabalho ao ar livre, exposto às intempéries. Horário e salário podem variar de acordo com o clima e a região de trabalho. O transporte de"&amp;" ida e volta para o local de trabalho é fornecido pelo empregador nos dias úteis, sem custo para o trabalhador. Horário de trabalho: 7h às 17h, de segunda a sexta-feira. Ambiente de trabalho livre de drogas, álcool e tabaco; caso o supervisor observe um t"&amp;"rabalhador possivelmente sob efeito de drogas ou álcool, o empregador custeará o teste; recusa em participar ou reprovação no teste resultará em demissão. É necessário comprovar autorização legal para trabalhar nos EUA. Idade mínima: 18 anos devido a viag"&amp;"ens. Não há exigência mínima de escolaridade ou experiência. Todo o trabalho é realizado com ferramentas, suprimentos e equipamentos fornecidos pelo empregador, sem custo ou depósito, de acordo com as normas. Treinamento em serviço (OJT). O empregador ofe"&amp;"rece assistência na busca de acomodação, fornecendo uma lista de opções de hospedagem pública; o custo varia conforme a localização. Os trabalhadores não são obrigados a se hospedar nesses locais. Classificação da vaga: 37-3011.00 - Trabalhadores de Paisa"&amp;"gismo e Manutenção de Jardins. A classificação e descrição da vaga/setor incluem informações gerais sobre o cargo, de acordo com o ONET/OES e o Sistema de Classificação Industrial da América do Norte (NAICS). Consulte as Funções e a Ordem de Serviço para "&amp;"obter mais informações. Requisitos da vaga: Experiência exigida: Não. Requisitos especiais: O candidato deve ter pelo menos 18 anos de idade devido a viagens. Deve apresentar comprovante de autorização legal para trabalhar nos EUA. Ambiente de trabalho li"&amp;"vre de drogas, álcool e tabaco; se o supervisor observar que o trabalhador possivelmente está sob efeito de drogas/álcool, o empregador pagará o teste; a recusa em participar ou o resultado positivo no teste resultará em demissão. Número de horas por sema"&amp;"na: 35. Horário de trabalho (início/término): 7h às 17h.")</f>
        <v>Todos os candidatos devem ser capazes, dispostos e qualificados para executar o trabalho descrito e devem estar disponíveis durante todo o período especificado. Vaga temporária sazonal em tempo integral para jardineiro, conforme Soc/OES 37-3011. Funções: pulverizar fertilizante, herbicida e inseticida em arbustos, árvores e folhagens, utilizando pulverizadores manuais e automáticos. Realizar atividades físicas: levantar, equilibrar-se, caminhar, agachar-se, manusear, posicionar, mover e manipular materiais, utilizando força estática e exercendo força muscular máxima para empurrar, puxar e carregar objetos de até 23 kg. Trabalho ao ar livre, exposto às intempéries. Horário e salário podem variar de acordo com o clima e a região de trabalho. O transporte de ida e volta para o local de trabalho é fornecido pelo empregador nos dias úteis, sem custo para o trabalhador. Horário de trabalho: 7h às 17h, de segunda a sexta-feira. Ambiente de trabalho livre de drogas, álcool e tabaco; caso o supervisor observe um trabalhador possivelmente sob efeito de drogas ou álcool, o empregador custeará o teste; recusa em participar ou reprovação no teste resultará em demissão. É necessário comprovar autorização legal para trabalhar nos EUA. Idade mínima: 18 anos devido a viagens. Não há exigência mínima de escolaridade ou experiência. Todo o trabalho é realizado com ferramentas, suprimentos e equipamentos fornecidos pelo empregador, sem custo ou depósito, de acordo com as normas. Treinamento em serviço (OJT). O empregador oferece assistência na busca de acomodação, fornecendo uma lista de opções de hospedagem pública; o custo varia conforme a localização. Os trabalhadores não são obrigados a se hospedar nesses locais. Classificação da vaga: 37-3011.00 - Trabalhadores de Paisagismo e Manutenção de Jardins. A classificação e descrição da vaga/setor incluem informações gerais sobre o cargo, de acordo com o ONET/OES e o Sistema de Classificação Industrial da América do Norte (NAICS). Consulte as Funções e a Ordem de Serviço para obter mais informações. Requisitos da vaga: Experiência exigida: Não. Requisitos especiais: O candidato deve ter pelo menos 18 anos de idade devido a viagens. Deve apresentar comprovante de autorização legal para trabalhar nos EUA. Ambiente de trabalho livre de drogas, álcool e tabaco; se o supervisor observar que o trabalhador possivelmente está sob efeito de drogas/álcool, o empregador pagará o teste; a recusa em participar ou o resultado positivo no teste resultará em demissão. Número de horas por semana: 35. Horário de trabalho (início/término): 7h às 17h.</v>
      </c>
    </row>
    <row r="257" ht="20.25" customHeight="1">
      <c r="A257" s="8" t="s">
        <v>1446</v>
      </c>
      <c r="B257" s="8" t="s">
        <v>1447</v>
      </c>
      <c r="C257" s="8" t="s">
        <v>708</v>
      </c>
      <c r="D257" s="8" t="s">
        <v>71</v>
      </c>
      <c r="E257" s="9" t="s">
        <v>19</v>
      </c>
      <c r="F257" s="9" t="s">
        <v>20</v>
      </c>
      <c r="G257" s="9" t="s">
        <v>384</v>
      </c>
      <c r="H257" s="8" t="s">
        <v>1448</v>
      </c>
      <c r="I257" s="8" t="s">
        <v>1449</v>
      </c>
      <c r="J257" s="9">
        <v>21.48</v>
      </c>
      <c r="K257" s="9">
        <v>12.0</v>
      </c>
      <c r="L257" s="8" t="s">
        <v>1450</v>
      </c>
      <c r="M257" s="8" t="s">
        <v>1451</v>
      </c>
      <c r="N257" s="7" t="str">
        <f>IFERROR(__xludf.DUMMYFUNCTION("GOOGLETRANSLATE(L257, ""en"", ""pt"")"),"Garçom-barman")</f>
        <v>Garçom-barman</v>
      </c>
      <c r="O257" s="7" t="str">
        <f>IFERROR(__xludf.DUMMYFUNCTION("IF(M257="""","""",GOOGLETRANSLATE(M257,""en"",""pt""))"),"Recepcionar os clientes, apresentar os cardápios e responder a perguntas sobre as opções de comidas e bebidas. Anotar os pedidos dos clientes e servir comidas e bebidas às mesas de maneira rápida e cortês. Garantir a satisfação do cliente durante toda a e"&amp;"xperiência gastronômica e resolver prontamente quaisquer problemas. Preparar e servir bebidas alcoólicas e não alcoólicas básicas de acordo com as políticas da empresa e as leis locais. Manter a limpeza e a organização das áreas de refeição e serviço, inc"&amp;"luindo o bar e os balcões de bebidas. Arrumar e limpar as mesas, repor os suprimentos e realizar as tarefas de abertura e fechamento. Operar os sistemas de ponto de venda, preparar as contas e processar os pagamentos com precisão. Seguir todas as normas d"&amp;"e segurança e higiene, incluindo os padrões de serviço responsável de bebidas alcoólicas. Classificação da vaga: 35-3011.00 - Bartenders. A classificação e a descrição da vaga/setor incluem informações gerais sobre o cargo, de acordo com o ONET/OES e o Si"&amp;"stema de Classificação Industrial da América do Norte. Consulte as Funções e a Ordem de Serviço para obter mais informações. Requisitos da vaga Experiência necessária: Sim Meses de experiência necessários: 6 Requisitos especiais: SEIS (6) MESES DE EXPERIÊ"&amp;"NCIA CULINÁRIA, INCLUINDO SERVIÇO DE ALIMENTAÇÃO, BAR OU OUTRA EXPERIÊNCIA RELACIONADA EM UM AMBIENTE DE ALTA GASTRONOMIA OU DE GRANDE VOLUME EM RESTAURANTE, RESORT, HOTEL, CLUBE PRIVADO OU ESTABELECIMENTO DE HOSPITALIDADE. A VERIFICAÇÃO DE ANTECEDENTES P"&amp;"ODE SER EXIGIDA COM BASE NA POLÍTICA DA EMPRESA VIGENTE NO MOMENTO DA CONTRATAÇÃO. Número de horas por semana: 35 Horário de trabalho (início/término): 11:00 - 18:00")</f>
        <v>Recepcionar os clientes, apresentar os cardápios e responder a perguntas sobre as opções de comidas e bebidas. Anotar os pedidos dos clientes e servir comidas e bebidas às mesas de maneira rápida e cortês. Garantir a satisfação do cliente durante toda a experiência gastronômica e resolver prontamente quaisquer problemas. Preparar e servir bebidas alcoólicas e não alcoólicas básicas de acordo com as políticas da empresa e as leis locais. Manter a limpeza e a organização das áreas de refeição e serviço, incluindo o bar e os balcões de bebidas. Arrumar e limpar as mesas, repor os suprimentos e realizar as tarefas de abertura e fechamento. Operar os sistemas de ponto de venda, preparar as contas e processar os pagamentos com precisão. Seguir todas as normas de segurança e higiene, incluindo os padrões de serviço responsável de bebidas alcoólicas. Classificação da vaga: 35-3011.00 - Bartenders. A classificação e a descrição da vaga/setor incluem informações gerais sobre o cargo, de acordo com o ONET/OES e o Sistema de Classificação Industrial da América do Norte. Consulte as Funções e a Ordem de Serviço para obter mais informações. Requisitos da vaga Experiência necessária: Sim Meses de experiência necessários: 6 Requisitos especiais: SEIS (6) MESES DE EXPERIÊNCIA CULINÁRIA, INCLUINDO SERVIÇO DE ALIMENTAÇÃO, BAR OU OUTRA EXPERIÊNCIA RELACIONADA EM UM AMBIENTE DE ALTA GASTRONOMIA OU DE GRANDE VOLUME EM RESTAURANTE, RESORT, HOTEL, CLUBE PRIVADO OU ESTABELECIMENTO DE HOSPITALIDADE. A VERIFICAÇÃO DE ANTECEDENTES PODE SER EXIGIDA COM BASE NA POLÍTICA DA EMPRESA VIGENTE NO MOMENTO DA CONTRATAÇÃO. Número de horas por semana: 35 Horário de trabalho (início/término): 11:00 - 18:00</v>
      </c>
    </row>
    <row r="258" ht="20.25" customHeight="1">
      <c r="A258" s="3" t="s">
        <v>1452</v>
      </c>
      <c r="B258" s="3" t="s">
        <v>1453</v>
      </c>
      <c r="C258" s="3" t="s">
        <v>125</v>
      </c>
      <c r="D258" s="3" t="s">
        <v>18</v>
      </c>
      <c r="E258" s="4" t="s">
        <v>19</v>
      </c>
      <c r="F258" s="4" t="s">
        <v>20</v>
      </c>
      <c r="G258" s="4" t="s">
        <v>65</v>
      </c>
      <c r="H258" s="3" t="s">
        <v>1454</v>
      </c>
      <c r="I258" s="3" t="s">
        <v>1455</v>
      </c>
      <c r="J258" s="4">
        <v>19.47</v>
      </c>
      <c r="K258" s="4">
        <v>13.0</v>
      </c>
      <c r="L258" s="3" t="s">
        <v>129</v>
      </c>
      <c r="M258" s="3" t="s">
        <v>1456</v>
      </c>
      <c r="N258" s="7" t="str">
        <f>IFERROR(__xludf.DUMMYFUNCTION("GOOGLETRANSLATE(L258, ""en"", ""pt"")"),"Trabalhador de paisagismo e manutenção de jardins")</f>
        <v>Trabalhador de paisagismo e manutenção de jardins</v>
      </c>
      <c r="O258" s="7" t="str">
        <f>IFERROR(__xludf.DUMMYFUNCTION("IF(M258="""","""",GOOGLETRANSLATE(M258,""en"",""pt""))"),"As funções incluem a instalação de árvores, arbustos ou flores durante o período de dormência, seguindo o padrão de design apropriado. Isso inclui descarregar materiais, cavar buracos para o sistema radicular, cobrir os buracos adequadamente e, às vezes, "&amp;"colocar grama em placas, plantar sementes de grama ou conectar a irrigação. Também envolve a remoção de folhas, plantio de sementes e palha, aeração do gramado, plantio de arbustos, escavação, rastelagem e instalação de blocos de concreto pré-moldados sem"&amp;" argamassa. Os trabalhadores podem coletar e remover lixo, regar gramados, árvores e plantas semeadas, além de podar árvores, arbustos ou sebes. Podem operar equipamentos motorizados e dirigir veículos até os locais dos clientes. As tarefas podem incluir "&amp;"colocação de grama em placas, corte de grama, rega de plantas e gramados, transplante de plantas, fertilização, escavação, rastelagem e instalação de aspersores. Os funcionários cavarão valas com no máximo 15 a 30 cm de profundidade e 15 a 30 cm de largur"&amp;"a com pás e ferramentas manuais. Essas valas são usadas para acomodar a tubulação utilizada na instalação de sistemas de irrigação. Toda a poda/aparamento será feita no solo. Os trabalhadores não realizarão nenhuma atividade de poda ou corte acima do níve"&amp;"l do solo. O trabalhador poderá transportar outros trabalhadores de e para os locais de trabalho ocasionalmente, porém esta não será sua principal função. Classificação da Função: 37-3011.00 - Trabalhadores de Paisagismo e Manutenção de Jardins. A classif"&amp;"icação e descrição da função/setor inclui informações gerais sobre o cargo, de acordo com o ONET/OES e o Sistema de Classificação Industrial da América do Norte (NAICS). Consulte as Funções e a Ordem de Serviço para obter mais informações. Requisitos da F"&amp;"unção Experiência Necessária: Sim Meses de Experiência Necessários: 3 Requisitos Especiais: 3 meses de experiência em paisagismo. Carteira de habilitação válida obrigatória. Capacidade de levantar 23 kg, realizar movimentos repetitivos, empurrar/puxar com"&amp;" frequência, caminhar bastante, agachar-se frequentemente e estar exposto a temperaturas extremas. Número de Horas por Semana: 40 Horário de Trabalho (Início/Término): 7h às 16h.")</f>
        <v>As funções incluem a instalação de árvores, arbustos ou flores durante o período de dormência, seguindo o padrão de design apropriado. Isso inclui descarregar materiais, cavar buracos para o sistema radicular, cobrir os buracos adequadamente e, às vezes, colocar grama em placas, plantar sementes de grama ou conectar a irrigação. Também envolve a remoção de folhas, plantio de sementes e palha, aeração do gramado, plantio de arbustos, escavação, rastelagem e instalação de blocos de concreto pré-moldados sem argamassa. Os trabalhadores podem coletar e remover lixo, regar gramados, árvores e plantas semeadas, além de podar árvores, arbustos ou sebes. Podem operar equipamentos motorizados e dirigir veículos até os locais dos clientes. As tarefas podem incluir colocação de grama em placas, corte de grama, rega de plantas e gramados, transplante de plantas, fertilização, escavação, rastelagem e instalação de aspersores. Os funcionários cavarão valas com no máximo 15 a 30 cm de profundidade e 15 a 30 cm de largura com pás e ferramentas manuais. Essas valas são usadas para acomodar a tubulação utilizada na instalação de sistemas de irrigação. Toda a poda/aparamento será feita no solo. Os trabalhadores não realizarão nenhuma atividade de poda ou corte acima do nível do solo. O trabalhador poderá transportar outros trabalhadores de e para os locais de trabalho ocasionalmente, porém esta não será sua principal função. Classificação da Função: 37-3011.00 - Trabalhadores de Paisagismo e Manutenção de Jardins. A classificação e descrição da função/setor inclui informações gerais sobre o cargo, de acordo com o ONET/OES e o Sistema de Classificação Industrial da América do Norte (NAICS). Consulte as Funções e a Ordem de Serviço para obter mais informações. Requisitos da Função Experiência Necessária: Sim Meses de Experiência Necessários: 3 Requisitos Especiais: 3 meses de experiência em paisagismo. Carteira de habilitação válida obrigatória. Capacidade de levantar 23 kg, realizar movimentos repetitivos, empurrar/puxar com frequência, caminhar bastante, agachar-se frequentemente e estar exposto a temperaturas extremas. Número de Horas por Semana: 40 Horário de Trabalho (Início/Término): 7h às 16h.</v>
      </c>
    </row>
    <row r="259" ht="20.25" customHeight="1">
      <c r="A259" s="8" t="s">
        <v>1457</v>
      </c>
      <c r="B259" s="8" t="s">
        <v>1458</v>
      </c>
      <c r="C259" s="8" t="s">
        <v>125</v>
      </c>
      <c r="D259" s="8" t="s">
        <v>133</v>
      </c>
      <c r="E259" s="9" t="s">
        <v>19</v>
      </c>
      <c r="F259" s="9" t="s">
        <v>20</v>
      </c>
      <c r="G259" s="9" t="s">
        <v>1459</v>
      </c>
      <c r="H259" s="8" t="s">
        <v>1460</v>
      </c>
      <c r="I259" s="8" t="s">
        <v>1461</v>
      </c>
      <c r="J259" s="9">
        <v>19.64</v>
      </c>
      <c r="K259" s="9">
        <v>4.0</v>
      </c>
      <c r="L259" s="8" t="s">
        <v>129</v>
      </c>
      <c r="M259" s="8" t="s">
        <v>1462</v>
      </c>
      <c r="N259" s="7" t="str">
        <f>IFERROR(__xludf.DUMMYFUNCTION("GOOGLETRANSLATE(L259, ""en"", ""pt"")"),"Trabalhador de paisagismo e manutenção de jardins")</f>
        <v>Trabalhador de paisagismo e manutenção de jardins</v>
      </c>
      <c r="O259" s="7" t="str">
        <f>IFERROR(__xludf.DUMMYFUNCTION("IF(M259="""","""",GOOGLETRANSLATE(M259,""en"",""pt""))"),"As funções incluem a instalação de árvores, arbustos ou flores durante o período de dormência, seguindo o padrão de design apropriado. Isso inclui descarregar materiais, cavar buracos para o sistema radicular, cobrir os buracos adequadamente e, às vezes, "&amp;"colocar grama em placas, plantar sementes de grama ou conectar a irrigação. Também envolve a remoção de folhas, plantio de sementes e palha, aeração do gramado, plantio de arbustos, escavação, rastelagem e instalação de blocos de concreto pré-moldados sem"&amp;" argamassa. Os trabalhadores podem coletar e remover lixo, regar gramados, árvores e plantas semeadas, além de podar árvores, arbustos ou sebes. Podem operar equipamentos motorizados e dirigir veículos até os locais dos clientes. As tarefas podem incluir "&amp;"colocação de grama em placas, corte de grama, rega de plantas e gramados, transplante de plantas, fertilização, escavação, rastelagem e instalação de aspersores. Os funcionários cavarão valas com no máximo 15 a 30 cm de profundidade e 15 a 30 cm de largur"&amp;"a com pás e ferramentas manuais. Essas valas são usadas para acomodar a tubulação utilizada na instalação de sistemas de irrigação. Toda a poda/aparamento será feita no solo. Os trabalhadores não realizarão nenhuma atividade de poda ou corte acima do níve"&amp;"l do solo. O trabalhador poderá transportar outros trabalhadores de e para os locais de trabalho ocasionalmente, porém esta não será sua principal função. Classificação da Função: 37-3011.00 - Trabalhadores de Paisagismo e Manutenção de Jardins. A classif"&amp;"icação e descrição da função/setor inclui informações gerais sobre o cargo, de acordo com o ONET/OES e o Sistema de Classificação Industrial da América do Norte (NAICS). Consulte as Funções e a Ordem de Serviço para obter mais informações. Requisitos da F"&amp;"unção: Experiência Necessária: Não. Requisitos Especiais: Capacidade de levantar 23 kg, realizar movimentos repetitivos, empurrar/puxar com frequência, caminhar bastante, agachar-se frequentemente e estar exposto a temperaturas extremas. Exame toxicológic"&amp;"o pós-contratação por conta do empregador. Número de Horas por Semana: 40. Horário de Trabalho (Início/Término): 7h às 16h.")</f>
        <v>As funções incluem a instalação de árvores, arbustos ou flores durante o período de dormência, seguindo o padrão de design apropriado. Isso inclui descarregar materiais, cavar buracos para o sistema radicular, cobrir os buracos adequadamente e, às vezes, colocar grama em placas, plantar sementes de grama ou conectar a irrigação. Também envolve a remoção de folhas, plantio de sementes e palha, aeração do gramado, plantio de arbustos, escavação, rastelagem e instalação de blocos de concreto pré-moldados sem argamassa. Os trabalhadores podem coletar e remover lixo, regar gramados, árvores e plantas semeadas, além de podar árvores, arbustos ou sebes. Podem operar equipamentos motorizados e dirigir veículos até os locais dos clientes. As tarefas podem incluir colocação de grama em placas, corte de grama, rega de plantas e gramados, transplante de plantas, fertilização, escavação, rastelagem e instalação de aspersores. Os funcionários cavarão valas com no máximo 15 a 30 cm de profundidade e 15 a 30 cm de largura com pás e ferramentas manuais. Essas valas são usadas para acomodar a tubulação utilizada na instalação de sistemas de irrigação. Toda a poda/aparamento será feita no solo. Os trabalhadores não realizarão nenhuma atividade de poda ou corte acima do nível do solo. O trabalhador poderá transportar outros trabalhadores de e para os locais de trabalho ocasionalmente, porém esta não será sua principal função. Classificação da Função: 37-3011.00 - Trabalhadores de Paisagismo e Manutenção de Jardins. A classificação e descrição da função/setor inclui informações gerais sobre o cargo, de acordo com o ONET/OES e o Sistema de Classificação Industrial da América do Norte (NAICS). Consulte as Funções e a Ordem de Serviço para obter mais informações. Requisitos da Função: Experiência Necessária: Não. Requisitos Especiais: Capacidade de levantar 23 kg, realizar movimentos repetitivos, empurrar/puxar com frequência, caminhar bastante, agachar-se frequentemente e estar exposto a temperaturas extremas. Exame toxicológico pós-contratação por conta do empregador. Número de Horas por Semana: 40. Horário de Trabalho (Início/Término): 7h às 16h.</v>
      </c>
    </row>
    <row r="260" ht="20.25" customHeight="1">
      <c r="A260" s="3" t="s">
        <v>1463</v>
      </c>
      <c r="B260" s="3" t="s">
        <v>999</v>
      </c>
      <c r="C260" s="3" t="s">
        <v>1000</v>
      </c>
      <c r="D260" s="3" t="s">
        <v>133</v>
      </c>
      <c r="E260" s="4" t="s">
        <v>44</v>
      </c>
      <c r="F260" s="4" t="s">
        <v>20</v>
      </c>
      <c r="G260" s="4" t="s">
        <v>146</v>
      </c>
      <c r="H260" s="3" t="s">
        <v>1001</v>
      </c>
      <c r="I260" s="3" t="s">
        <v>1002</v>
      </c>
      <c r="J260" s="4">
        <v>38.01</v>
      </c>
      <c r="K260" s="4">
        <v>16.0</v>
      </c>
      <c r="L260" s="3" t="s">
        <v>1464</v>
      </c>
      <c r="M260" s="3" t="s">
        <v>1465</v>
      </c>
      <c r="N260" s="7" t="str">
        <f>IFERROR(__xludf.DUMMYFUNCTION("GOOGLETRANSLATE(L260, ""en"", ""pt"")"),"Trabalhadores de vergalhão")</f>
        <v>Trabalhadores de vergalhão</v>
      </c>
      <c r="O260" s="7" t="str">
        <f>IFERROR(__xludf.DUMMYFUNCTION("IF(M260="""","""",GOOGLETRANSLATE(M260,""en"",""pt""))"),"Posicionar e fixar barras de aço ou malha em fôrmas de concreto para reforçá-lo. Capacidade de operar enrolador de arame, alicate Klein e ferramentas manuais para fixar e dobrar vergalhões. Classificação da função: 47-2171.00 - Trabalhadores de Ferro de R"&amp;"eforço e Vergalhões. A classificação e descrição da função/setor inclui informações gerais sobre o cargo, de acordo com o ONET/OES e o Sistema de Classificação Industrial da América do Norte (NAICS). Consulte as Funções e a Ordem de Serviço para obter mai"&amp;"s informações. Requisitos da vaga: Experiência necessária: Sim. Meses de experiência necessários: 6. Requisitos especiais: Trabalho em alguns fins de semana. Capacidade de lidar com temperaturas extremas. Capacidade de levantar e carregar 34 kg por 68 met"&amp;"ros. Disponibilidade para deslocamento para locais de trabalho dentro da área de atuação. Número de horas por semana: 40. Horário de trabalho (início/término): 7h às 17h.")</f>
        <v>Posicionar e fixar barras de aço ou malha em fôrmas de concreto para reforçá-lo. Capacidade de operar enrolador de arame, alicate Klein e ferramentas manuais para fixar e dobrar vergalhões. Classificação da função: 47-2171.00 - Trabalhadores de Ferro de Reforço e Vergalhões. A classificação e descrição da função/setor inclui informações gerais sobre o cargo, de acordo com o ONET/OES e o Sistema de Classificação Industrial da América do Norte (NAICS). Consulte as Funções e a Ordem de Serviço para obter mais informações. Requisitos da vaga: Experiência necessária: Sim. Meses de experiência necessários: 6. Requisitos especiais: Trabalho em alguns fins de semana. Capacidade de lidar com temperaturas extremas. Capacidade de levantar e carregar 34 kg por 68 metros. Disponibilidade para deslocamento para locais de trabalho dentro da área de atuação. Número de horas por semana: 40. Horário de trabalho (início/término): 7h às 17h.</v>
      </c>
    </row>
    <row r="261" ht="20.25" customHeight="1">
      <c r="A261" s="8" t="s">
        <v>1466</v>
      </c>
      <c r="B261" s="8" t="s">
        <v>1467</v>
      </c>
      <c r="C261" s="8" t="s">
        <v>125</v>
      </c>
      <c r="D261" s="8" t="s">
        <v>18</v>
      </c>
      <c r="E261" s="9" t="s">
        <v>44</v>
      </c>
      <c r="F261" s="9" t="s">
        <v>20</v>
      </c>
      <c r="G261" s="9" t="s">
        <v>80</v>
      </c>
      <c r="H261" s="8" t="s">
        <v>1468</v>
      </c>
      <c r="I261" s="8" t="s">
        <v>1469</v>
      </c>
      <c r="J261" s="9">
        <v>20.16</v>
      </c>
      <c r="K261" s="9">
        <v>10.0</v>
      </c>
      <c r="L261" s="8" t="s">
        <v>1470</v>
      </c>
      <c r="M261" s="8" t="s">
        <v>1471</v>
      </c>
      <c r="N261" s="7" t="str">
        <f>IFERROR(__xludf.DUMMYFUNCTION("GOOGLETRANSLATE(L261, ""en"", ""pt"")"),"Auxiliares - Instalação, Manutenção, Reparos")</f>
        <v>Auxiliares - Instalação, Manutenção, Reparos</v>
      </c>
      <c r="O261" s="7" t="str">
        <f>IFERROR(__xludf.DUMMYFUNCTION("IF(M261="""","""",GOOGLETRANSLATE(M261,""en"",""pt""))"),"Auxiliar os trabalhadores de instalação, manutenção e reparo na manutenção, substituição de peças e reparo de veículos, máquinas industriais e equipamentos elétricos e eletrônicos. Executar tarefas como fornecer ferramentas, materiais e suprimentos para o"&amp;"utros trabalhadores, limpar a área de trabalho, máquinas e ferramentas, e segurar materiais ou ferramentas para outros trabalhadores. Classificação da vaga: 49-9098.00 - Auxiliares - Trabalhadores de Instalação, Manutenção e Reparo. A classificação e desc"&amp;"rição da vaga/setor inclui informações gerais sobre a posição, de acordo com o ONET/OES e o Sistema de Classificação Industrial da América do Norte (NAICS). Consulte as Funções e a Ordem de Serviço para obter mais informações. Requisitos da vaga: Experiên"&amp;"cia necessária: Sim. Meses de experiência necessários: 3. Requisitos especiais: Deve ser capaz de levantar 14 kg. 3 meses de experiência necessários. Número de horas por semana: 40. Horário de trabalho (início/término): 7h às 16h.")</f>
        <v>Auxiliar os trabalhadores de instalação, manutenção e reparo na manutenção, substituição de peças e reparo de veículos, máquinas industriais e equipamentos elétricos e eletrônicos. Executar tarefas como fornecer ferramentas, materiais e suprimentos para outros trabalhadores, limpar a área de trabalho, máquinas e ferramentas, e segurar materiais ou ferramentas para outros trabalhadores. Classificação da vaga: 49-9098.00 - Auxiliares - Trabalhadores de Instalação, Manutenção e Reparo. A classificação e descrição da vaga/setor inclui informações gerais sobre a posição, de acordo com o ONET/OES e o Sistema de Classificação Industrial da América do Norte (NAICS). Consulte as Funções e a Ordem de Serviço para obter mais informações. Requisitos da vaga: Experiência necessária: Sim. Meses de experiência necessários: 3. Requisitos especiais: Deve ser capaz de levantar 14 kg. 3 meses de experiência necessários. Número de horas por semana: 40. Horário de trabalho (início/término): 7h às 16h.</v>
      </c>
    </row>
    <row r="262" ht="20.25" customHeight="1">
      <c r="A262" s="8" t="s">
        <v>1472</v>
      </c>
      <c r="B262" s="8" t="s">
        <v>1473</v>
      </c>
      <c r="C262" s="8" t="s">
        <v>1474</v>
      </c>
      <c r="D262" s="8" t="s">
        <v>109</v>
      </c>
      <c r="E262" s="9" t="s">
        <v>19</v>
      </c>
      <c r="F262" s="9" t="s">
        <v>20</v>
      </c>
      <c r="G262" s="9" t="s">
        <v>626</v>
      </c>
      <c r="H262" s="14" t="s">
        <v>1475</v>
      </c>
      <c r="I262" s="8" t="s">
        <v>1476</v>
      </c>
      <c r="J262" s="9">
        <v>19.86</v>
      </c>
      <c r="K262" s="9">
        <v>4.0</v>
      </c>
      <c r="L262" s="8" t="s">
        <v>1477</v>
      </c>
      <c r="M262" s="8" t="s">
        <v>1478</v>
      </c>
      <c r="N262" s="7" t="str">
        <f>IFERROR(__xludf.DUMMYFUNCTION("GOOGLETRANSLATE(L262, ""en"", ""pt"")"),"Trabalhador de paisagismo")</f>
        <v>Trabalhador de paisagismo</v>
      </c>
      <c r="O262" s="7" t="str">
        <f>IFERROR(__xludf.DUMMYFUNCTION("IF(M262="""","""",GOOGLETRANSLATE(M262,""en"",""pt""))"),"Paisagismo ou manutenção de terrenos de propriedades utilizando ferramentas ou equipamentos manuais ou elétricos. O trabalho tipicamente envolve a execução de uma variedade de tarefas, que podem incluir qualquer combinação das seguintes: colocação de gram"&amp;"a, corte de grama, poda, plantio, rega, fertilização, escavação, rastelagem, instalação de sistema de irrigação, instalação de blocos de concreto pré-moldado sem argamassa e quaisquer outras tarefas relacionadas. Realizar atividades físicas como levantar,"&amp;" equilibrar-se, caminhar, agachar-se, posicionar-se, mover e manipular materiais, utilizando força estática para exercer força muscular máxima para levantar, empurrar, puxar e carregar objetos de até 34 kg (75 libras). TODOS OS CANDIDATOS DEVEM SER CAPAZE"&amp;"S, ESTIVEREM DISPOSTOS E QUALIFICADOS PARA EXECUTAR O TRABALHO DESCRITO E DEVEM TER DISPONIBILIDADE PARA TODO O PERÍODO ESPECIFICADO E TRABALHAR EM TODAS AS ÁREAS DE EMPREGO PRETENDIDO. O HORÁRIO DE SEGUNDA A SEXTA-FEIRA PODE VARIAR. TRABALHO AOS FINS DE "&amp;"SEMANA É NECESSÁRIO QUANDO EXIGIDO. HORAS EXTRAS VARIAM. Classificação do Cargo: 37-3011.00 - Trabalhadores de Paisagismo e Manutenção de Jardins. A classificação e descrição do cargo/setor inclui informações gerais sobre a posição, de acordo com o ONET/O"&amp;"ES e o Sistema de Classificação Industrial da América do Norte. Consulte as Funções e a Ordem de Serviço para obter mais informações. Requisitos do Cargo: Experiência Necessária: Sim. Meses de Experiência Necessários: 3. Requisitos Especiais: DEVE COMPROV"&amp;"AR TRÊS MESES DE EXPERIÊNCIA COMO AUXILIAR DE PAISAGISMO. Número de horas por semana: 40 Horário de trabalho (início/término): 7h00 - 16h00")</f>
        <v>Paisagismo ou manutenção de terrenos de propriedades utilizando ferramentas ou equipamentos manuais ou elétricos. O trabalho tipicamente envolve a execução de uma variedade de tarefas, que podem incluir qualquer combinação das seguintes: colocação de grama, corte de grama, poda, plantio, rega, fertilização, escavação, rastelagem, instalação de sistema de irrigação, instalação de blocos de concreto pré-moldado sem argamassa e quaisquer outras tarefas relacionadas. Realizar atividades físicas como levantar, equilibrar-se, caminhar, agachar-se, posicionar-se, mover e manipular materiais, utilizando força estática para exercer força muscular máxima para levantar, empurrar, puxar e carregar objetos de até 34 kg (75 libras). TODOS OS CANDIDATOS DEVEM SER CAPAZES, ESTIVEREM DISPOSTOS E QUALIFICADOS PARA EXECUTAR O TRABALHO DESCRITO E DEVEM TER DISPONIBILIDADE PARA TODO O PERÍODO ESPECIFICADO E TRABALHAR EM TODAS AS ÁREAS DE EMPREGO PRETENDIDO. O HORÁRIO DE SEGUNDA A SEXTA-FEIRA PODE VARIAR. TRABALHO AOS FINS DE SEMANA É NECESSÁRIO QUANDO EXIGIDO. HORAS EXTRAS VARIAM. Classificação do Cargo: 37-3011.00 - Trabalhadores de Paisagismo e Manutenção de Jardins. A classificação e descrição do cargo/setor inclui informações gerais sobre a posição, de acordo com o ONET/OES e o Sistema de Classificação Industrial da América do Norte. Consulte as Funções e a Ordem de Serviço para obter mais informações. Requisitos do Cargo: Experiência Necessária: Sim. Meses de Experiência Necessários: 3. Requisitos Especiais: DEVE COMPROVAR TRÊS MESES DE EXPERIÊNCIA COMO AUXILIAR DE PAISAGISMO. Número de horas por semana: 40 Horário de trabalho (início/término): 7h00 - 16h00</v>
      </c>
    </row>
    <row r="263" ht="20.25" customHeight="1">
      <c r="A263" s="8" t="s">
        <v>1479</v>
      </c>
      <c r="B263" s="8" t="s">
        <v>1253</v>
      </c>
      <c r="C263" s="8" t="s">
        <v>363</v>
      </c>
      <c r="D263" s="8" t="s">
        <v>36</v>
      </c>
      <c r="E263" s="9" t="s">
        <v>44</v>
      </c>
      <c r="F263" s="9" t="s">
        <v>20</v>
      </c>
      <c r="G263" s="9" t="s">
        <v>236</v>
      </c>
      <c r="H263" s="8" t="s">
        <v>1254</v>
      </c>
      <c r="I263" s="8" t="s">
        <v>1255</v>
      </c>
      <c r="J263" s="9">
        <v>17.61</v>
      </c>
      <c r="K263" s="9">
        <v>24.0</v>
      </c>
      <c r="L263" s="8" t="s">
        <v>1256</v>
      </c>
      <c r="M263" s="8" t="s">
        <v>1257</v>
      </c>
      <c r="N263" s="7" t="str">
        <f>IFERROR(__xludf.DUMMYFUNCTION("GOOGLETRANSLATE(L263, ""en"", ""pt"")"),"Operário, Paisagismo e Irrigação")</f>
        <v>Operário, Paisagismo e Irrigação</v>
      </c>
      <c r="O263" s="7" t="str">
        <f>IFERROR(__xludf.DUMMYFUNCTION("IF(M263="""","""",GOOGLETRANSLATE(M263,""en"",""pt""))"),"As funções podem incluir: Manutenção de gramados/propriedades utilizando ferramentas/equipamentos manuais ou elétricos. Atividades: colocar grama, cortar, aparar, plantar, regar, fertilizar, cavar, rastelar, auxiliar na instalação de irrigação, aplicar co"&amp;"bertura morta, podar arbustos, capinar, aerar, remover e eliminar palha morta. Realizar a manutenção adequada de calçadas, entradas de veículos, estacionamentos, fontes, floreiras, cemitérios ou outras estruturas do terreno, além de outras atividades rela"&amp;"cionadas a serviços gerais, paisagismo e irrigação, conforme SOC/OES 37-3011 (onetonline.org). Horário padrão/esperado: Segunda a sexta, das 7h30 às 17h30. Oferecemos mais de 40 horas semanais, sem incluir almoço e/ou intervalos. Possibilidade de trabalho"&amp;" em fins de semana e feriados. Os horários de início e término, a carga horária oferecida e/ou a possibilidade de horas extras podem variar, pois dependem de fatores como necessidades do projeto/cronograma/serviço, condições climáticas e tempo de deslocam"&amp;"ento entre os locais de trabalho (se aplicável). Horas extras são possíveis, mas não obrigatórias nem garantidas. A critério exclusivo do empregador: aumentos salariais e/ou bônus podem ser concedidos com base em fatores individuais, como desempenho ou ha"&amp;"bilidades (não garantidos). Classificação da vaga: 37-3011.00 - Trabalhadores de Paisagismo e Manutenção de Áreas Verdes. A classificação e a descrição da vaga/setor incluem informações gerais sobre o cargo, conforme o ONET/OES e o Sistema de Classificaçã"&amp;"o Industrial da América do Norte (NAICS). Consulte as Funções e a Ordem de Serviço para obter mais informações. Requisitos da vaga: Experiência exigida: Não. Requisitos especiais: É necessário ter 18 anos ou mais, devido às leis trabalhistas estaduais. É "&amp;"necessário apresentar comprovante de autorização legal para trabalhar nos Estados Unidos. Ambiente de trabalho livre de drogas, álcool e tabaco. Executar atividades físicas, como levantar, equilibrar-se, caminhar, abaixar-se, manusear, posicionar, mover e"&amp;" manipular materiais; usar força estática para exercer força muscular máxima para levantar, empurrar, puxar e carregar objetos de até 23 kg. Todos os candidatos devem ser capazes, dispostos e qualificados para executar o trabalho descrito e devem estar di"&amp;"sponíveis durante todo o período especificado e trabalhar em todas as áreas da empresa. O trabalho é realizado ao ar livre, exposto às intempéries; o candidato deve ser capaz de realizar trabalho fisicamente extenuante por longos períodos, ocasionalmente "&amp;"em calor ou frio extremos. As condições climáticas são variáveis; a carga horária pode sofrer alterações (+/-), com possibilidade de períodos de inatividade e/ou horas extras. Número de horas por semana: 40. Horário de trabalho (início/término): 7h30 às 1"&amp;"7h30.")</f>
        <v>As funções podem incluir: Manutenção de gramados/propriedades utilizando ferramentas/equipamentos manuais ou elétricos. Atividades: colocar grama, cortar, aparar, plantar, regar, fertilizar, cavar, rastelar, auxiliar na instalação de irrigação, aplicar cobertura morta, podar arbustos, capinar, aerar, remover e eliminar palha morta. Realizar a manutenção adequada de calçadas, entradas de veículos, estacionamentos, fontes, floreiras, cemitérios ou outras estruturas do terreno, além de outras atividades relacionadas a serviços gerais, paisagismo e irrigação, conforme SOC/OES 37-3011 (onetonline.org). Horário padrão/esperado: Segunda a sexta, das 7h30 às 17h30. Oferecemos mais de 40 horas semanais, sem incluir almoço e/ou intervalos. Possibilidade de trabalho em fins de semana e feriados. Os horários de início e término, a carga horária oferecida e/ou a possibilidade de horas extras podem variar, pois dependem de fatores como necessidades do projeto/cronograma/serviço, condições climáticas e tempo de deslocamento entre os locais de trabalho (se aplicável). Horas extras são possíveis, mas não obrigatórias nem garantidas. A critério exclusivo do empregador: aumentos salariais e/ou bônus podem ser concedidos com base em fatores individuais, como desempenho ou habilidades (não garantidos). Classificação da vaga: 37-3011.00 - Trabalhadores de Paisagismo e Manutenção de Áreas Verdes. A classificação e a descrição da vaga/setor incluem informações gerais sobre o cargo, conforme o ONET/OES e o Sistema de Classificação Industrial da América do Norte (NAICS). Consulte as Funções e a Ordem de Serviço para obter mais informações. Requisitos da vaga: Experiência exigida: Não. Requisitos especiais: É necessário ter 18 anos ou mais, devido às leis trabalhistas estaduais. É necessário apresentar comprovante de autorização legal para trabalhar nos Estados Unidos. Ambiente de trabalho livre de drogas, álcool e tabaco. Executar atividades físicas, como levantar, equilibrar-se, caminhar, abaixar-se, manusear, posicionar, mover e manipular materiais; usar força estática para exercer força muscular máxima para levantar, empurrar, puxar e carregar objetos de até 23 kg. Todos os candidatos devem ser capazes, dispostos e qualificados para executar o trabalho descrito e devem estar disponíveis durante todo o período especificado e trabalhar em todas as áreas da empresa. O trabalho é realizado ao ar livre, exposto às intempéries; o candidato deve ser capaz de realizar trabalho fisicamente extenuante por longos períodos, ocasionalmente em calor ou frio extremos. As condições climáticas são variáveis; a carga horária pode sofrer alterações (+/-), com possibilidade de períodos de inatividade e/ou horas extras. Número de horas por semana: 40. Horário de trabalho (início/término): 7h30 às 17h30.</v>
      </c>
    </row>
    <row r="264" ht="20.25" customHeight="1">
      <c r="A264" s="3" t="s">
        <v>1480</v>
      </c>
      <c r="B264" s="3" t="s">
        <v>1481</v>
      </c>
      <c r="C264" s="3" t="s">
        <v>17</v>
      </c>
      <c r="D264" s="3" t="s">
        <v>71</v>
      </c>
      <c r="E264" s="4" t="s">
        <v>19</v>
      </c>
      <c r="F264" s="4" t="s">
        <v>20</v>
      </c>
      <c r="G264" s="4" t="s">
        <v>1280</v>
      </c>
      <c r="H264" s="3" t="s">
        <v>1482</v>
      </c>
      <c r="I264" s="3" t="s">
        <v>1483</v>
      </c>
      <c r="J264" s="4">
        <v>18.25</v>
      </c>
      <c r="K264" s="4">
        <v>20.0</v>
      </c>
      <c r="L264" s="3" t="s">
        <v>387</v>
      </c>
      <c r="M264" s="3" t="s">
        <v>1484</v>
      </c>
      <c r="N264" s="7" t="str">
        <f>IFERROR(__xludf.DUMMYFUNCTION("GOOGLETRANSLATE(L264, ""en"", ""pt"")"),"Ordem de serviço não disponível")</f>
        <v>Ordem de serviço não disponível</v>
      </c>
      <c r="O264" s="7" t="str">
        <f>IFERROR(__xludf.DUMMYFUNCTION("IF(M264="""","""",GOOGLETRANSLATE(M264,""en"",""pt""))"),"Preparar, temperar e cozinhar sopas, carnes, legumes, sobremesas e outros alimentos para consumo. Medir e misturar ingredientes de acordo com a receita, utilizando diversos utensílios/equipamentos de cozinha, como liquidificadores, batedeiras, moedores, f"&amp;"atiadores e amaciadores de carne. Classificação da vaga: 35-2014.00 - Cozinheiros, Restaurante. A classificação e descrição da vaga/setor incluem informações gerais sobre o cargo, de acordo com o ONET/OES e o Sistema de Classificação Industrial da América"&amp;" do Norte. Consulte as Funções e a Ordem de Serviço para obter mais informações. Requisitos da vaga: Experiência necessária: Não. Requisitos especiais: Deve ser capaz de levantar/carregar 23 kg, quando necessário. Requer certificação em Manipulação de Ali"&amp;"mentos ServSafe. Deve seguir as normas locais e estaduais de segurança alimentar. Fluência em inglês é obrigatória. Deve passar por uma verificação de antecedentes criminais pré-admissional, paga pelo empregador e aplicada igualmente a todos os funcionári"&amp;"os, americanos e estrangeiros/H-2B. Deve ter disponibilidade para trabalhar nos fins de semana e feriados, quando necessário. Vários turnos oferecidos de acordo com as necessidades da empresa. Os candidatos devem preencher uma ficha de inscrição. O empreg"&amp;"ador poderá oferecer uma jornada de trabalho superior à estipulada, dependendo das condições climáticas, das necessidades da empresa e de outros fatores. Calor extremo, frio intenso, chuva ou seca podem afetar o horário de trabalho exato. Número de horas "&amp;"por semana: 40. Horário de trabalho (início/término): 7h às 15h30.")</f>
        <v>Preparar, temperar e cozinhar sopas, carnes, legumes, sobremesas e outros alimentos para consumo. Medir e misturar ingredientes de acordo com a receita, utilizando diversos utensílios/equipamentos de cozinha, como liquidificadores, batedeiras, moedores, fatiadores e amaciadores de carne. Classificação da vaga: 35-2014.00 - Cozinheiros, Restaurante. A classificação e descrição da vaga/setor incluem informações gerais sobre o cargo, de acordo com o ONET/OES e o Sistema de Classificação Industrial da América do Norte. Consulte as Funções e a Ordem de Serviço para obter mais informações. Requisitos da vaga: Experiência necessária: Não. Requisitos especiais: Deve ser capaz de levantar/carregar 23 kg, quando necessário. Requer certificação em Manipulação de Alimentos ServSafe. Deve seguir as normas locais e estaduais de segurança alimentar. Fluência em inglês é obrigatória. Deve passar por uma verificação de antecedentes criminais pré-admissional, paga pelo empregador e aplicada igualmente a todos os funcionários, americanos e estrangeiros/H-2B. Deve ter disponibilidade para trabalhar nos fins de semana e feriados, quando necessário. Vários turnos oferecidos de acordo com as necessidades da empresa. Os candidatos devem preencher uma ficha de inscrição. O empregador poderá oferecer uma jornada de trabalho superior à estipulada, dependendo das condições climáticas, das necessidades da empresa e de outros fatores. Calor extremo, frio intenso, chuva ou seca podem afetar o horário de trabalho exato. Número de horas por semana: 40. Horário de trabalho (início/término): 7h às 15h30.</v>
      </c>
    </row>
    <row r="265" ht="20.25" customHeight="1">
      <c r="A265" s="8" t="s">
        <v>1485</v>
      </c>
      <c r="B265" s="8" t="s">
        <v>1486</v>
      </c>
      <c r="C265" s="8" t="s">
        <v>17</v>
      </c>
      <c r="D265" s="8" t="s">
        <v>795</v>
      </c>
      <c r="E265" s="9" t="s">
        <v>19</v>
      </c>
      <c r="F265" s="9" t="s">
        <v>20</v>
      </c>
      <c r="G265" s="9" t="s">
        <v>1280</v>
      </c>
      <c r="H265" s="8" t="s">
        <v>1482</v>
      </c>
      <c r="I265" s="8" t="s">
        <v>1483</v>
      </c>
      <c r="J265" s="9">
        <v>14.44</v>
      </c>
      <c r="K265" s="9">
        <v>2.0</v>
      </c>
      <c r="L265" s="8" t="s">
        <v>1487</v>
      </c>
      <c r="M265" s="8" t="s">
        <v>1488</v>
      </c>
      <c r="N265" s="7" t="str">
        <f>IFERROR(__xludf.DUMMYFUNCTION("GOOGLETRANSLATE(L265, ""en"", ""pt"")"),"Especialistas em Recepção")</f>
        <v>Especialistas em Recepção</v>
      </c>
      <c r="O265" s="7" t="str">
        <f>IFERROR(__xludf.DUMMYFUNCTION("IF(M265="""","""",GOOGLETRANSLATE(M265,""en"",""pt""))"),"Realizar check-in/check-out de hóspedes, fazer e alterar reservas de quartos, atender o telefone, anotar recados, fazer ligações de despertar, entregar chaves dos quartos, lançar despesas nas contas dos quartos, dar troco aos hóspedes e fornecer informaçõ"&amp;"es aos hóspedes. Seguir os procedimentos de limpeza e higienização necessários. Classificação da vaga: 43-4081.00 - Recepcionistas de Hotel, Motel e Resort. A classificação e descrição da vaga/setor incluem informações gerais sobre o cargo, de acordo com "&amp;"o ONET/OES e o Sistema de Classificação Industrial da América do Norte. Consulte as Funções e a Ordem de Serviço para obter mais informações. Requisitos da vaga: Experiência necessária: Não. Requisitos especiais: É necessário passar por uma verificação de"&amp;" antecedentes criminais pré-admissional, paga pelo empregador e aplicada igualmente a todos os funcionários, americanos e estrangeiros/H-2B. É necessário ter disponibilidade para trabalhar nos fins de semana e feriados, quando necessário. Vários turnos of"&amp;"erecidos de acordo com as necessidades da empresa. Os candidatos devem preencher uma ficha de emprego. É necessário ter fluência em inglês. É necessário levantar/carregar até 11 kg, quando necessário. É necessário conseguir ficar em pé durante todo o turn"&amp;"o. É necessário conhecimento básico de informática, pois a função envolve o uso de sistemas de gerenciamento de dados. O empregador poderá oferecer uma jornada de trabalho superior à estipulada, dependendo das condições climáticas, das necessidades da emp"&amp;"resa e de outros fatores. Calor extremo, frio intenso, chuva ou seca podem afetar o horário de trabalho exato. Número de horas semanais: 40. Horário de trabalho (início/término): 7h às 15h30.")</f>
        <v>Realizar check-in/check-out de hóspedes, fazer e alterar reservas de quartos, atender o telefone, anotar recados, fazer ligações de despertar, entregar chaves dos quartos, lançar despesas nas contas dos quartos, dar troco aos hóspedes e fornecer informações aos hóspedes. Seguir os procedimentos de limpeza e higienização necessários. Classificação da vaga: 43-4081.00 - Recepcionistas de Hotel, Motel e Resort. A classificação e descrição da vaga/setor incluem informações gerais sobre o cargo, de acordo com o ONET/OES e o Sistema de Classificação Industrial da América do Norte. Consulte as Funções e a Ordem de Serviço para obter mais informações. Requisitos da vaga: Experiência necessária: Não. Requisitos especiais: É necessário passar por uma verificação de antecedentes criminais pré-admissional, paga pelo empregador e aplicada igualmente a todos os funcionários, americanos e estrangeiros/H-2B. É necessário ter disponibilidade para trabalhar nos fins de semana e feriados, quando necessário. Vários turnos oferecidos de acordo com as necessidades da empresa. Os candidatos devem preencher uma ficha de emprego. É necessário ter fluência em inglês. É necessário levantar/carregar até 11 kg, quando necessário. É necessário conseguir ficar em pé durante todo o turno. É necessário conhecimento básico de informática, pois a função envolve o uso de sistemas de gerenciamento de dados. O empregador poderá oferecer uma jornada de trabalho superior à estipulada, dependendo das condições climáticas, das necessidades da empresa e de outros fatores. Calor extremo, frio intenso, chuva ou seca podem afetar o horário de trabalho exato. Número de horas semanais: 40. Horário de trabalho (início/término): 7h às 15h30.</v>
      </c>
    </row>
    <row r="266" ht="20.25" customHeight="1">
      <c r="A266" s="3" t="s">
        <v>1489</v>
      </c>
      <c r="B266" s="3" t="s">
        <v>1486</v>
      </c>
      <c r="C266" s="3" t="s">
        <v>17</v>
      </c>
      <c r="D266" s="3" t="s">
        <v>795</v>
      </c>
      <c r="E266" s="4" t="s">
        <v>19</v>
      </c>
      <c r="F266" s="4" t="s">
        <v>20</v>
      </c>
      <c r="G266" s="4" t="s">
        <v>1280</v>
      </c>
      <c r="H266" s="3" t="s">
        <v>1482</v>
      </c>
      <c r="I266" s="3" t="s">
        <v>1483</v>
      </c>
      <c r="J266" s="4">
        <v>20.38</v>
      </c>
      <c r="K266" s="4">
        <v>5.0</v>
      </c>
      <c r="L266" s="3" t="s">
        <v>1490</v>
      </c>
      <c r="M266" s="3" t="s">
        <v>1491</v>
      </c>
      <c r="N266" s="7" t="str">
        <f>IFERROR(__xludf.DUMMYFUNCTION("GOOGLETRANSLATE(L266, ""en"", ""pt"")"),"Zelador")</f>
        <v>Zelador</v>
      </c>
      <c r="O266" s="7" t="str">
        <f>IFERROR(__xludf.DUMMYFUNCTION("IF(M266="""","""",GOOGLETRANSLATE(M266,""en"",""pt""))"),"Trabalho em resort, realizando a manutenção das áreas externas da propriedade utilizando ferramentas manuais ou elétricas. Os trabalhadores devem ser capazes de executar uma variedade de tarefas sem supervisão direta, que podem incluir qualquer combinação"&amp;" das seguintes atividades: cortar grama, podar, cavar, regar, aplicar cobertura morta e rastelar. Remoção de neve. Os trabalhadores também coletarão e removerão lixo/detritos e realizarão a manutenção dos edifícios e das áreas externas do resort. Classifi"&amp;"cação da vaga: 37-3011.00 - Trabalhadores de Paisagismo e Manutenção de Áreas Externas. A classificação e descrição da vaga/setor incluem informações gerais sobre o cargo, de acordo com o ONET/OES e o Sistema de Classificação Industrial da América do Nort"&amp;"e. Consulte as Funções e a Ordem de Serviço para obter mais informações. Requisitos da vaga: Experiência exigida: Não. Requisitos especiais: Deve ser capaz de levantar 23 kg. Deve ser capaz de trabalhar ao ar livre em um ambiente sem climatização. Fluênci"&amp;"a em inglês é obrigatória. Deve passar por uma verificação de antecedentes criminais pré-emprego, paga pelo empregador e aplicada igualmente a todos os trabalhadores, americanos e estrangeiros/H-2B. Deve ter disponibilidade para trabalhar nos fins de sema"&amp;"na e feriados, quando necessário. Vários turnos disponíveis, de acordo com as necessidades da empresa. Os candidatos devem preencher uma ficha de emprego. O empregador poderá oferecer mais horas de trabalho do que as indicadas, dependendo do clima, das ne"&amp;"cessidades da empresa e de outras condições. Calor extremo, frio, chuva ou seca podem afetar o horário de trabalho exato. Número de horas por semana: 40. Horário de trabalho (início/término): 7h às 15h30.")</f>
        <v>Trabalho em resort, realizando a manutenção das áreas externas da propriedade utilizando ferramentas manuais ou elétricas. Os trabalhadores devem ser capazes de executar uma variedade de tarefas sem supervisão direta, que podem incluir qualquer combinação das seguintes atividades: cortar grama, podar, cavar, regar, aplicar cobertura morta e rastelar. Remoção de neve. Os trabalhadores também coletarão e removerão lixo/detritos e realizarão a manutenção dos edifícios e das áreas externas do resort. Classificação da vaga: 37-3011.00 - Trabalhadores de Paisagismo e Manutenção de Áreas Externas. A classificação e descrição da vaga/setor incluem informações gerais sobre o cargo, de acordo com o ONET/OES e o Sistema de Classificação Industrial da América do Norte. Consulte as Funções e a Ordem de Serviço para obter mais informações. Requisitos da vaga: Experiência exigida: Não. Requisitos especiais: Deve ser capaz de levantar 23 kg. Deve ser capaz de trabalhar ao ar livre em um ambiente sem climatização. Fluência em inglês é obrigatória. Deve passar por uma verificação de antecedentes criminais pré-emprego, paga pelo empregador e aplicada igualmente a todos os trabalhadores, americanos e estrangeiros/H-2B. Deve ter disponibilidade para trabalhar nos fins de semana e feriados, quando necessário. Vários turnos disponíveis, de acordo com as necessidades da empresa. Os candidatos devem preencher uma ficha de emprego. O empregador poderá oferecer mais horas de trabalho do que as indicadas, dependendo do clima, das necessidades da empresa e de outras condições. Calor extremo, frio, chuva ou seca podem afetar o horário de trabalho exato. Número de horas por semana: 40. Horário de trabalho (início/término): 7h às 15h30.</v>
      </c>
    </row>
    <row r="267" ht="20.25" customHeight="1">
      <c r="A267" s="8" t="s">
        <v>1492</v>
      </c>
      <c r="B267" s="8" t="s">
        <v>1493</v>
      </c>
      <c r="C267" s="8" t="s">
        <v>93</v>
      </c>
      <c r="D267" s="8" t="s">
        <v>306</v>
      </c>
      <c r="E267" s="9" t="s">
        <v>19</v>
      </c>
      <c r="F267" s="9" t="s">
        <v>20</v>
      </c>
      <c r="G267" s="9" t="s">
        <v>56</v>
      </c>
      <c r="H267" s="8" t="s">
        <v>1494</v>
      </c>
      <c r="I267" s="8" t="s">
        <v>1495</v>
      </c>
      <c r="J267" s="9">
        <v>22.57</v>
      </c>
      <c r="K267" s="9">
        <v>4.0</v>
      </c>
      <c r="L267" s="8" t="s">
        <v>1496</v>
      </c>
      <c r="M267" s="8" t="s">
        <v>1497</v>
      </c>
      <c r="N267" s="7" t="str">
        <f>IFERROR(__xludf.DUMMYFUNCTION("GOOGLETRANSLATE(L267, ""en"", ""pt"")"),"Membro da Equipe de Paisagismo")</f>
        <v>Membro da Equipe de Paisagismo</v>
      </c>
      <c r="O267" s="7" t="str">
        <f>IFERROR(__xludf.DUMMYFUNCTION("IF(M267="""","""",GOOGLETRANSLATE(M267,""en"",""pt""))"),"O membro da equipe de paisagismo realiza trabalho braçal em apoio a projetos externos. O trabalho é realizado sob a supervisão de um líder de equipe e envolve auxiliar na instalação, reparo e manutenção de pátios, calçadas, muros de arrimo, quebra-mares, "&amp;"escadas, sistemas de drenagem, nivelamento e projetos de melhoria do terreno relacionados. As tarefas incluem carregar, descarregar, movimentar e organizar ferramentas, equipamentos e materiais; preparar e limpar os locais de trabalho; remover detritos e "&amp;"materiais existentes; cavar, usar pá, rastelar, nivelar e compactar solo e agregados; auxiliar na colocação de cascalho, areia, pedra britada, geotêxtil, pavimentos, blocos de concreto, pedra natural, materiais de borda, terra vegetal e materiais relacion"&amp;"ados; auxiliar na instalação de tubos de drenagem e sistemas de controle de água; operar ferramentas manuais e auxiliar na operação de ferramentas e equipamentos elétricos conforme instruções; manter o acesso seguro ao redor das áreas de trabalho e equipa"&amp;"mentos; proteger a propriedade do cliente e os elementos paisagísticos existentes; e realizar a limpeza geral do local e o descarte de materiais. Os trabalhadores são responsáveis ​​por manter a área de trabalho organizada e garantir que os locais de trab"&amp;"alho sejam deixados limpos e em condições profissionais após a conclusão do trabalho. Classificação do Cargo: 47-2061.00 - Auxiliares de Construção. A classificação e descrição do cargo/setor inclui informações gerais sobre a posição, de acordo com o ONET"&amp;"/OES e o Sistema de Classificação Industrial da América do Norte (NAICS). Consulte as Funções e a Ordem de Serviço para obter mais informações. Requisitos do Cargo Experiência Necessária: Não. Requisitos Especiais: Deve ser capaz de levantar/carregar 23 k"&amp;"g, quando necessário. Deve ser capaz de levantar, carregar, empurrar, puxar, dobrar, ajoelhar, usar pá, rastelo, cavar e ficar em pé por longos períodos. Deve ser capaz de trabalhar ao ar livre em condições climáticas variáveis, incluindo calor, frio, chu"&amp;"va, lama, poeira, neve e terrenos irregulares. Deve ter familiaridade com o uso de ferramentas manuais básicas, como pás, rastelos, carrinhos de mão, níveis, trenas, vassouras, estiletes e ferramentas básicas de escavação. Deve ser capaz de compreender e "&amp;"seguir os procedimentos de segurança e as regras do local de trabalho; receber e executar instruções dos supervisores; trabalhar em cooperação com outros membros da equipe; Manter assiduidade e pontualidade; demonstrar conduta profissional no local de tra"&amp;"balho; e ter a devida cautela ao trabalhar com ferramentas, equipamentos, máquinas e áreas de trabalho ativas. Trabalho aos sábados e domingos, quando necessário. Testes de drogas pagos pelo empregador são obrigatórios para trabalhadores estrangeiros e na"&amp;"cionais antes do início do trabalho e após a contratação, aleatoriamente, em caso de suspeita de uso e após acidentes. Verificação de antecedentes e elegibilidade para emprego (e-Verify) são obrigatórias para trabalhadores estrangeiros e nacionais após a "&amp;"contratação. Trabalhadores que possuírem carteira de habilitação válida nos EUA podem dirigir veículos da empresa (dirigir não é um requisito para todos os funcionários da função). O empregador pode oferecer mais horas de trabalho do que as estipuladas, d"&amp;"ependendo do clima, das necessidades da empresa e de outras condições. Calor extremo, frio, chuva ou seca podem afetar o horário de trabalho exato. Número de horas por semana: 42. Horário de trabalho (início/término): 8h às 17h.")</f>
        <v>O membro da equipe de paisagismo realiza trabalho braçal em apoio a projetos externos. O trabalho é realizado sob a supervisão de um líder de equipe e envolve auxiliar na instalação, reparo e manutenção de pátios, calçadas, muros de arrimo, quebra-mares, escadas, sistemas de drenagem, nivelamento e projetos de melhoria do terreno relacionados. As tarefas incluem carregar, descarregar, movimentar e organizar ferramentas, equipamentos e materiais; preparar e limpar os locais de trabalho; remover detritos e materiais existentes; cavar, usar pá, rastelar, nivelar e compactar solo e agregados; auxiliar na colocação de cascalho, areia, pedra britada, geotêxtil, pavimentos, blocos de concreto, pedra natural, materiais de borda, terra vegetal e materiais relacionados; auxiliar na instalação de tubos de drenagem e sistemas de controle de água; operar ferramentas manuais e auxiliar na operação de ferramentas e equipamentos elétricos conforme instruções; manter o acesso seguro ao redor das áreas de trabalho e equipamentos; proteger a propriedade do cliente e os elementos paisagísticos existentes; e realizar a limpeza geral do local e o descarte de materiais. Os trabalhadores são responsáveis ​​por manter a área de trabalho organizada e garantir que os locais de trabalho sejam deixados limpos e em condições profissionais após a conclusão do trabalho. Classificação do Cargo: 47-2061.00 - Auxiliares de Construção. A classificação e descrição do cargo/setor inclui informações gerais sobre a posição, de acordo com o ONET/OES e o Sistema de Classificação Industrial da América do Norte (NAICS). Consulte as Funções e a Ordem de Serviço para obter mais informações. Requisitos do Cargo Experiência Necessária: Não. Requisitos Especiais: Deve ser capaz de levantar/carregar 23 kg, quando necessário. Deve ser capaz de levantar, carregar, empurrar, puxar, dobrar, ajoelhar, usar pá, rastelo, cavar e ficar em pé por longos períodos. Deve ser capaz de trabalhar ao ar livre em condições climáticas variáveis, incluindo calor, frio, chuva, lama, poeira, neve e terrenos irregulares. Deve ter familiaridade com o uso de ferramentas manuais básicas, como pás, rastelos, carrinhos de mão, níveis, trenas, vassouras, estiletes e ferramentas básicas de escavação. Deve ser capaz de compreender e seguir os procedimentos de segurança e as regras do local de trabalho; receber e executar instruções dos supervisores; trabalhar em cooperação com outros membros da equipe; Manter assiduidade e pontualidade; demonstrar conduta profissional no local de trabalho; e ter a devida cautela ao trabalhar com ferramentas, equipamentos, máquinas e áreas de trabalho ativas. Trabalho aos sábados e domingos, quando necessário. Testes de drogas pagos pelo empregador são obrigatórios para trabalhadores estrangeiros e nacionais antes do início do trabalho e após a contratação, aleatoriamente, em caso de suspeita de uso e após acidentes. Verificação de antecedentes e elegibilidade para emprego (e-Verify) são obrigatórias para trabalhadores estrangeiros e nacionais após a contratação. Trabalhadores que possuírem carteira de habilitação válida nos EUA podem dirigir veículos da empresa (dirigir não é um requisito para todos os funcionários da função). O empregador pode oferecer mais horas de trabalho do que as estipuladas, dependendo do clima, das necessidades da empresa e de outras condições. Calor extremo, frio, chuva ou seca podem afetar o horário de trabalho exato. Número de horas por semana: 42. Horário de trabalho (início/término): 8h às 17h.</v>
      </c>
    </row>
    <row r="268" ht="20.25" customHeight="1">
      <c r="A268" s="3" t="s">
        <v>1498</v>
      </c>
      <c r="B268" s="3" t="s">
        <v>1499</v>
      </c>
      <c r="C268" s="3" t="s">
        <v>169</v>
      </c>
      <c r="D268" s="3" t="s">
        <v>55</v>
      </c>
      <c r="E268" s="4" t="s">
        <v>19</v>
      </c>
      <c r="F268" s="4" t="s">
        <v>20</v>
      </c>
      <c r="G268" s="4" t="s">
        <v>1500</v>
      </c>
      <c r="H268" s="3" t="s">
        <v>1244</v>
      </c>
      <c r="I268" s="3"/>
      <c r="J268" s="4">
        <v>18.83</v>
      </c>
      <c r="K268" s="4">
        <v>10.0</v>
      </c>
      <c r="L268" s="3" t="s">
        <v>1245</v>
      </c>
      <c r="M268" s="3" t="s">
        <v>1501</v>
      </c>
      <c r="N268" s="7" t="str">
        <f>IFERROR(__xludf.DUMMYFUNCTION("GOOGLETRANSLATE(L268, ""en"", ""pt"")"),"Operário de Produção")</f>
        <v>Operário de Produção</v>
      </c>
      <c r="O268" s="7" t="str">
        <f>IFERROR(__xludf.DUMMYFUNCTION("IF(M268="""","""",GOOGLETRANSLATE(M268,""en"",""pt""))"),"Os funcionários geralmente executam uma variedade de tarefas na unidade de produção, que podem incluir: enchimento de sacos com fertilizantes, pesticidas ou sal para derretimento de gelo, segurando o saco sob o bico/calha enquanto o produto o enche; etiqu"&amp;"etagem e selagem dos sacos usando uma seladora a ar quente que aquece o saco para selá-lo sem a necessidade de fechos/materiais adicionais; e embalagem dos sacos em caixas ou empilhamento em paletes. Manter a área de trabalho e os equipamentos limpos. Nív"&amp;"el inicial; requer supervisão. Após a selagem, os funcionários da produção empilham os sacos manualmente nos paletes. O tamanho do saco determina o padrão de empilhamento necessário. Os funcionários comparam o tamanho do saco com as informações afixadas c"&amp;"om imagens na área de produção ou com as informações incluídas em cada ordem de produção diária para determinar o padrão correto. Além disso, os padrões de empilhamento corretos são incluídos no processo de treinamento de novos funcionários. Devido a cons"&amp;"iderações de peso, a maioria dos paletes é empilhada com menos de 1 metro de altura, sendo o padrão de palete mais alto de 107 cm. Os funcionários não precisam de máquinas adicionais para empilhar os sacos. A movimentação dos paletes empilhados é feita po"&amp;"r funcionários em funções diferentes dos da produção. As funções do funcionário no processo de produção são de ensacador, selador e empilhador. O empregador embala pesticidas normalmente usados ​​na indústria de jardinagem e paisagismo. Todos os produtos "&amp;"seguem todas as regulamentações e exigências estaduais e federais. Nenhum desses produtos exige EPI (Equipamento de Proteção Individual) e nenhum treinamento específico ou certificação estadual ou federal é exigido para o manuseio dos produtos para esta f"&amp;"unção. Classificação da vaga: 53-7064.00 - Embaladores e empacotadores manuais. A classificação e descrição da vaga/indústria incluem informações gerais sobre a posição, de acordo com o ONET/OES e o Sistema de Classificação Industrial da América do Norte "&amp;"(NAICS). Consulte as Funções e a Ordem de Serviço para obter mais informações. Requisitos da vaga: Experiência necessária: Não. Requisitos especiais: Deve ser capaz de levantar/carregar até 23 kg, quando necessário. É necessário sentar, ficar em pé e cami"&amp;"nhar com frequência. Dois turnos podem ser oferecidos: das 6h às 15h ou das 17h às 1h30. Trabalho aos sábados, quando necessário. O empregador exige que todos os trabalhadores, estrangeiros e nacionais, se submetam a testes de drogas pagos pela empresa an"&amp;"tes do início do trabalho e, após a contratação, aleatoriamente e após acidentes. A verificação de antecedentes e a verificação de elegibilidade para emprego (e-Verify) são obrigatórias para todos os trabalhadores, estrangeiros e nacionais, após a contrat"&amp;"ação. Treinamento de segurança obrigatório para todos os novos contratados, estrangeiros e nacionais. Somos uma empresa que oferece igualdade de oportunidades de emprego e todos os candidatos qualificados serão considerados para a vaga, independentemente "&amp;"de raça, cor, religião, sexo, nacionalidade, deficiência, condição de veterano protegido, orientação sexual, identidade de gênero ou qualquer outra característica protegida por lei. O empregador poderá oferecer uma jornada de trabalho superior à estipulad"&amp;"a, dependendo das condições climáticas, das necessidades da empresa e de outras circunstâncias. Calor extremo, frio, chuva ou seca podem afetar o horário de trabalho exato. Número de horas por semana: 40. Horário de trabalho (início/término): 6h às 15h.")</f>
        <v>Os funcionários geralmente executam uma variedade de tarefas na unidade de produção, que podem incluir: enchimento de sacos com fertilizantes, pesticidas ou sal para derretimento de gelo, segurando o saco sob o bico/calha enquanto o produto o enche; etiquetagem e selagem dos sacos usando uma seladora a ar quente que aquece o saco para selá-lo sem a necessidade de fechos/materiais adicionais; e embalagem dos sacos em caixas ou empilhamento em paletes. Manter a área de trabalho e os equipamentos limpos. Nível inicial; requer supervisão. Após a selagem, os funcionários da produção empilham os sacos manualmente nos paletes. O tamanho do saco determina o padrão de empilhamento necessário. Os funcionários comparam o tamanho do saco com as informações afixadas com imagens na área de produção ou com as informações incluídas em cada ordem de produção diária para determinar o padrão correto. Além disso, os padrões de empilhamento corretos são incluídos no processo de treinamento de novos funcionários. Devido a considerações de peso, a maioria dos paletes é empilhada com menos de 1 metro de altura, sendo o padrão de palete mais alto de 107 cm. Os funcionários não precisam de máquinas adicionais para empilhar os sacos. A movimentação dos paletes empilhados é feita por funcionários em funções diferentes dos da produção. As funções do funcionário no processo de produção são de ensacador, selador e empilhador. O empregador embala pesticidas normalmente usados ​​na indústria de jardinagem e paisagismo. Todos os produtos seguem todas as regulamentações e exigências estaduais e federais. Nenhum desses produtos exige EPI (Equipamento de Proteção Individual) e nenhum treinamento específico ou certificação estadual ou federal é exigido para o manuseio dos produtos para esta função. Classificação da vaga: 53-7064.00 - Embaladores e empacotadores manuais. A classificação e descrição da vaga/indústria incluem informações gerais sobre a posição, de acordo com o ONET/OES e o Sistema de Classificação Industrial da América do Norte (NAICS). Consulte as Funções e a Ordem de Serviço para obter mais informações. Requisitos da vaga: Experiência necessária: Não. Requisitos especiais: Deve ser capaz de levantar/carregar até 23 kg, quando necessário. É necessário sentar, ficar em pé e caminhar com frequência. Dois turnos podem ser oferecidos: das 6h às 15h ou das 17h às 1h30. Trabalho aos sábados, quando necessário. O empregador exige que todos os trabalhadores, estrangeiros e nacionais, se submetam a testes de drogas pagos pela empresa antes do início do trabalho e, após a contratação, aleatoriamente e após acidentes. A verificação de antecedentes e a verificação de elegibilidade para emprego (e-Verify) são obrigatórias para todos os trabalhadores, estrangeiros e nacionais, após a contratação. Treinamento de segurança obrigatório para todos os novos contratados, estrangeiros e nacionais. Somos uma empresa que oferece igualdade de oportunidades de emprego e todos os candidatos qualificados serão considerados para a vaga, independentemente de raça, cor, religião, sexo, nacionalidade, deficiência, condição de veterano protegido, orientação sexual, identidade de gênero ou qualquer outra característica protegida por lei. O empregador poderá oferecer uma jornada de trabalho superior à estipulada, dependendo das condições climáticas, das necessidades da empresa e de outras circunstâncias. Calor extremo, frio, chuva ou seca podem afetar o horário de trabalho exato. Número de horas por semana: 40. Horário de trabalho (início/término): 6h às 15h.</v>
      </c>
    </row>
    <row r="269" ht="20.25" customHeight="1">
      <c r="A269" s="8" t="s">
        <v>1502</v>
      </c>
      <c r="B269" s="8" t="s">
        <v>1503</v>
      </c>
      <c r="C269" s="8" t="s">
        <v>17</v>
      </c>
      <c r="D269" s="8" t="s">
        <v>284</v>
      </c>
      <c r="E269" s="9" t="s">
        <v>19</v>
      </c>
      <c r="F269" s="9" t="s">
        <v>20</v>
      </c>
      <c r="G269" s="9" t="s">
        <v>1504</v>
      </c>
      <c r="H269" s="8" t="s">
        <v>1505</v>
      </c>
      <c r="I269" s="8" t="s">
        <v>1506</v>
      </c>
      <c r="J269" s="9">
        <v>20.87</v>
      </c>
      <c r="K269" s="9">
        <v>30.0</v>
      </c>
      <c r="L269" s="8" t="s">
        <v>1507</v>
      </c>
      <c r="M269" s="8" t="s">
        <v>1508</v>
      </c>
      <c r="N269" s="7" t="str">
        <f>IFERROR(__xludf.DUMMYFUNCTION("GOOGLETRANSLATE(L269, ""en"", ""pt"")"),"Trabalhadores braçais")</f>
        <v>Trabalhadores braçais</v>
      </c>
      <c r="O269" s="7" t="str">
        <f>IFERROR(__xludf.DUMMYFUNCTION("IF(M269="""","""",GOOGLETRANSLATE(M269,""en"",""pt""))"),"Em um único local de trabalho, execute tarefas relacionadas à produção de componentes de concreto para pontes. Os trabalhadores auxiliarão no direcionamento do concreto dos caminhões para as fôrmas da ponte, amarrando vergalhões com torcedores de arame e "&amp;"puxando cabos através das vigas manualmente. Os trabalhadores precisarão ser capazes de usar uma pá, limpar e raspar o concreto das fôrmas, reparar e dar acabamento ao concreto. Poderão operar ferramentas manuais e elétricas de todos os tipos para posicio"&amp;"nar, unir, alinhar ou selar componentes de concreto durante o processo. Manter a estação de trabalho limpa. Classificação da função: 47-2051.00 - Pedreiros e Acabadores de Concreto. A classificação e descrição da função/setor inclui informações gerais sob"&amp;"re o cargo, de acordo com o ONET/OES e o Sistema de Classificação Industrial da América do Norte (NAICS). Consulte as Funções e a Ordem de Serviço para obter mais informações. Requisitos da função: Experiência necessária: Não. Requisitos especiais: Deve l"&amp;"evantar/carregar 23 kg, quando necessário. Flexão frequente e trabalho manual para amarrar aço. Trabalho aos sábados, quando necessário. O empregador exige que trabalhadores estrangeiros e nacionais se submetam a um exame toxicológico pago pelo empregador"&amp;" antes do início do trabalho. O empregador poderá oferecer uma jornada de trabalho superior à estipulada, dependendo das condições climáticas, das necessidades da empresa e de outros fatores. Calor extremo, frio intenso, chuva ou seca podem afetar o horár"&amp;"io de trabalho exato. Número de horas por semana: 40. Horário de trabalho (início/término): 7h30 às 16h15.")</f>
        <v>Em um único local de trabalho, execute tarefas relacionadas à produção de componentes de concreto para pontes. Os trabalhadores auxiliarão no direcionamento do concreto dos caminhões para as fôrmas da ponte, amarrando vergalhões com torcedores de arame e puxando cabos através das vigas manualmente. Os trabalhadores precisarão ser capazes de usar uma pá, limpar e raspar o concreto das fôrmas, reparar e dar acabamento ao concreto. Poderão operar ferramentas manuais e elétricas de todos os tipos para posicionar, unir, alinhar ou selar componentes de concreto durante o processo. Manter a estação de trabalho limpa. Classificação da função: 47-2051.00 - Pedreiros e Acabadores de Concreto. A classificação e descrição da função/setor inclui informações gerais sobre o cargo, de acordo com o ONET/OES e o Sistema de Classificação Industrial da América do Norte (NAICS). Consulte as Funções e a Ordem de Serviço para obter mais informações. Requisitos da função: Experiência necessária: Não. Requisitos especiais: Deve levantar/carregar 23 kg, quando necessário. Flexão frequente e trabalho manual para amarrar aço. Trabalho aos sábados, quando necessário. O empregador exige que trabalhadores estrangeiros e nacionais se submetam a um exame toxicológico pago pelo empregador antes do início do trabalho. O empregador poderá oferecer uma jornada de trabalho superior à estipulada, dependendo das condições climáticas, das necessidades da empresa e de outros fatores. Calor extremo, frio intenso, chuva ou seca podem afetar o horário de trabalho exato. Número de horas por semana: 40. Horário de trabalho (início/término): 7h30 às 16h15.</v>
      </c>
    </row>
    <row r="270" ht="20.25" customHeight="1">
      <c r="A270" s="3" t="s">
        <v>1509</v>
      </c>
      <c r="B270" s="3" t="s">
        <v>1510</v>
      </c>
      <c r="C270" s="3" t="s">
        <v>125</v>
      </c>
      <c r="D270" s="3" t="s">
        <v>1297</v>
      </c>
      <c r="E270" s="4" t="s">
        <v>19</v>
      </c>
      <c r="F270" s="4" t="s">
        <v>20</v>
      </c>
      <c r="G270" s="4" t="s">
        <v>307</v>
      </c>
      <c r="H270" s="3" t="s">
        <v>1511</v>
      </c>
      <c r="I270" s="3" t="s">
        <v>1512</v>
      </c>
      <c r="J270" s="4">
        <v>18.81</v>
      </c>
      <c r="K270" s="4">
        <v>5.0</v>
      </c>
      <c r="L270" s="3" t="s">
        <v>129</v>
      </c>
      <c r="M270" s="3" t="s">
        <v>1513</v>
      </c>
      <c r="N270" s="7" t="str">
        <f>IFERROR(__xludf.DUMMYFUNCTION("GOOGLETRANSLATE(L270, ""en"", ""pt"")"),"Trabalhador de paisagismo e manutenção de jardins")</f>
        <v>Trabalhador de paisagismo e manutenção de jardins</v>
      </c>
      <c r="O270" s="7" t="str">
        <f>IFERROR(__xludf.DUMMYFUNCTION("IF(M270="""","""",GOOGLETRANSLATE(M270,""en"",""pt""))"),"As funções incluem a instalação de árvores, arbustos ou flores durante o período de dormência, seguindo o padrão de design apropriado. Isso inclui descarregar materiais, cavar buracos para o sistema radicular, cobrir os buracos adequadamente e, às vezes, "&amp;"colocar grama em placas, plantar sementes de grama ou conectar a irrigação. Também envolve a remoção de folhas, plantio de sementes e palha, aeração do gramado, plantio de arbustos, escavação, rastelagem e instalação de blocos de concreto pré-moldados sem"&amp;" argamassa. Os trabalhadores podem coletar e remover lixo, regar gramados, árvores e plantas semeadas, além de podar árvores, arbustos ou sebes. Podem operar equipamentos motorizados e dirigir veículos até os locais dos clientes. As tarefas podem incluir "&amp;"colocação de grama em placas, corte de grama, rega de plantas e gramados, transplante de plantas, fertilização, escavação, rastelagem e instalação de aspersores. Os funcionários cavarão valas com no máximo 15 a 30 cm de profundidade e 15 a 30 cm de largur"&amp;"a com pás e ferramentas manuais. Essas valas são usadas para acomodar a tubulação utilizada na instalação de sistemas de irrigação. Toda a poda/aparamento será feita no solo. Os trabalhadores não realizarão nenhuma atividade de poda ou corte acima do níve"&amp;"l do solo. O trabalhador poderá transportar outros trabalhadores de e para os locais de trabalho ocasionalmente, porém esta não será sua principal função. Classificação do Cargo: 37-3011.00 - Trabalhadores de Paisagismo e Manutenção de Jardins. A classifi"&amp;"cação e descrição do cargo/setor inclui informações gerais sobre a posição, de acordo com o ONET/OES e o Sistema de Classificação Industrial da América do Norte (NAICS). Consulte as Funções e a Ordem de Serviço para obter mais informações. Requisitos do C"&amp;"argo Experiência Necessária: Não. Requisitos Especiais: Deve ser capaz de levantar 23 kg, realizar movimentos repetitivos, empurrar/puxar com frequência, caminhar bastante, agachar-se frequentemente e estar exposto a temperaturas extremas. Exame toxicológ"&amp;"ico pós-contratação por conta do empregador. Número de Horas por Semana: 40. Horário de Trabalho (Início/Término): 7h às 16h.")</f>
        <v>As funções incluem a instalação de árvores, arbustos ou flores durante o período de dormência, seguindo o padrão de design apropriado. Isso inclui descarregar materiais, cavar buracos para o sistema radicular, cobrir os buracos adequadamente e, às vezes, colocar grama em placas, plantar sementes de grama ou conectar a irrigação. Também envolve a remoção de folhas, plantio de sementes e palha, aeração do gramado, plantio de arbustos, escavação, rastelagem e instalação de blocos de concreto pré-moldados sem argamassa. Os trabalhadores podem coletar e remover lixo, regar gramados, árvores e plantas semeadas, além de podar árvores, arbustos ou sebes. Podem operar equipamentos motorizados e dirigir veículos até os locais dos clientes. As tarefas podem incluir colocação de grama em placas, corte de grama, rega de plantas e gramados, transplante de plantas, fertilização, escavação, rastelagem e instalação de aspersores. Os funcionários cavarão valas com no máximo 15 a 30 cm de profundidade e 15 a 30 cm de largura com pás e ferramentas manuais. Essas valas são usadas para acomodar a tubulação utilizada na instalação de sistemas de irrigação. Toda a poda/aparamento será feita no solo. Os trabalhadores não realizarão nenhuma atividade de poda ou corte acima do nível do solo. O trabalhador poderá transportar outros trabalhadores de e para os locais de trabalho ocasionalmente, porém esta não será sua principal função. Classificação do Cargo: 37-3011.00 - Trabalhadores de Paisagismo e Manutenção de Jardins. A classificação e descrição do cargo/setor inclui informações gerais sobre a posição, de acordo com o ONET/OES e o Sistema de Classificação Industrial da América do Norte (NAICS). Consulte as Funções e a Ordem de Serviço para obter mais informações. Requisitos do Cargo Experiência Necessária: Não. Requisitos Especiais: Deve ser capaz de levantar 23 kg, realizar movimentos repetitivos, empurrar/puxar com frequência, caminhar bastante, agachar-se frequentemente e estar exposto a temperaturas extremas. Exame toxicológico pós-contratação por conta do empregador. Número de Horas por Semana: 40. Horário de Trabalho (Início/Término): 7h às 16h.</v>
      </c>
    </row>
    <row r="271" ht="20.25" customHeight="1">
      <c r="A271" s="8" t="s">
        <v>1514</v>
      </c>
      <c r="B271" s="8" t="s">
        <v>1515</v>
      </c>
      <c r="C271" s="8" t="s">
        <v>93</v>
      </c>
      <c r="D271" s="8" t="s">
        <v>992</v>
      </c>
      <c r="E271" s="9" t="s">
        <v>19</v>
      </c>
      <c r="F271" s="9" t="s">
        <v>20</v>
      </c>
      <c r="G271" s="9" t="s">
        <v>146</v>
      </c>
      <c r="H271" s="8" t="s">
        <v>1516</v>
      </c>
      <c r="I271" s="8" t="s">
        <v>1014</v>
      </c>
      <c r="J271" s="9">
        <v>21.91</v>
      </c>
      <c r="K271" s="9">
        <v>19.0</v>
      </c>
      <c r="L271" s="8" t="s">
        <v>239</v>
      </c>
      <c r="M271" s="8" t="s">
        <v>1517</v>
      </c>
      <c r="N271" s="7" t="str">
        <f>IFERROR(__xludf.DUMMYFUNCTION("GOOGLETRANSLATE(L271, ""en"", ""pt"")"),"Especialista em manutenção de jardins")</f>
        <v>Especialista em manutenção de jardins</v>
      </c>
      <c r="O271" s="7" t="str">
        <f>IFERROR(__xludf.DUMMYFUNCTION("IF(M271="""","""",GOOGLETRANSLATE(M271,""en"",""pt""))"),"Paisagismo e manutenção de terrenos utilizando ferramentas manuais ou elétricas. Os trabalhadores devem ser capazes de executar uma variedade de tarefas sem supervisão direta, que podem incluir qualquer combinação das seguintes atividades: colocação de gr"&amp;"ama, corte de grama, poda, plantio, rega, fertilização, escavação e rastelagem. Devem exercer julgamento independente; podem ser solicitados a demonstrar tarefas a outros funcionários, mas a função não inclui a supervisão de outros trabalhadores. Classifi"&amp;"cação da função: 37-3011.00 - Trabalhadores de Paisagismo e Manutenção de Terrenos. A classificação e descrição da função/setor incluem informações gerais sobre o cargo, de acordo com o ONET/OES e o Sistema de Classificação Industrial da América do Norte."&amp;" Consulte as Funções e a Ordem de Serviço para obter mais informações. Requisitos da função: Experiência necessária: Sim. Meses de experiência necessários: 3. Requisitos especiais: Requer três meses de experiência prévia em paisagismo. Deve ser capaz de l"&amp;"evantar/carregar 23 kg, quando necessário. Trabalho aos sábados e domingos, quando necessário. O empregador pode oferecer mais horas de trabalho do que as estipuladas, dependendo do clima, das necessidades da empresa e de outras condições. Calor extremo, "&amp;"frio, chuva ou seca podem afetar o horário de trabalho exato. Número de horas por semana: 40. Horário de trabalho (início/término): 8h00 - 16h30.")</f>
        <v>Paisagismo e manutenção de terrenos utilizando ferramentas manuais ou elétricas. Os trabalhadores devem ser capazes de executar uma variedade de tarefas sem supervisão direta, que podem incluir qualquer combinação das seguintes atividades: colocação de grama, corte de grama, poda, plantio, rega, fertilização, escavação e rastelagem. Devem exercer julgamento independente; podem ser solicitados a demonstrar tarefas a outros funcionários, mas a função não inclui a supervisão de outros trabalhadores. Classificação da função: 37-3011.00 - Trabalhadores de Paisagismo e Manutenção de Terrenos. A classificação e descrição da função/setor incluem informações gerais sobre o cargo, de acordo com o ONET/OES e o Sistema de Classificação Industrial da América do Norte. Consulte as Funções e a Ordem de Serviço para obter mais informações. Requisitos da função: Experiência necessária: Sim. Meses de experiência necessários: 3. Requisitos especiais: Requer três meses de experiência prévia em paisagismo. Deve ser capaz de levantar/carregar 23 kg, quando necessário. Trabalho aos sábados e domingos, quando necessário. O empregador pode oferecer mais horas de trabalho do que as estipuladas, dependendo do clima, das necessidades da empresa e de outras condições. Calor extremo, frio, chuva ou seca podem afetar o horário de trabalho exato. Número de horas por semana: 40. Horário de trabalho (início/término): 8h00 - 16h30.</v>
      </c>
    </row>
    <row r="272" ht="20.25" customHeight="1">
      <c r="A272" s="3" t="s">
        <v>1518</v>
      </c>
      <c r="B272" s="3" t="s">
        <v>1519</v>
      </c>
      <c r="C272" s="3" t="s">
        <v>125</v>
      </c>
      <c r="D272" s="3" t="s">
        <v>64</v>
      </c>
      <c r="E272" s="4" t="s">
        <v>44</v>
      </c>
      <c r="F272" s="4" t="s">
        <v>20</v>
      </c>
      <c r="G272" s="4" t="s">
        <v>56</v>
      </c>
      <c r="H272" s="3" t="s">
        <v>1520</v>
      </c>
      <c r="I272" s="3" t="s">
        <v>1469</v>
      </c>
      <c r="J272" s="4">
        <v>18.84</v>
      </c>
      <c r="K272" s="4">
        <v>24.0</v>
      </c>
      <c r="L272" s="3" t="s">
        <v>129</v>
      </c>
      <c r="M272" s="3" t="s">
        <v>1521</v>
      </c>
      <c r="N272" s="7" t="str">
        <f>IFERROR(__xludf.DUMMYFUNCTION("GOOGLETRANSLATE(L272, ""en"", ""pt"")"),"Trabalhador de paisagismo e manutenção de jardins")</f>
        <v>Trabalhador de paisagismo e manutenção de jardins</v>
      </c>
      <c r="O272" s="7" t="str">
        <f>IFERROR(__xludf.DUMMYFUNCTION("IF(M272="""","""",GOOGLETRANSLATE(M272,""en"",""pt""))"),"As funções incluem a instalação de árvores, arbustos ou flores durante o período de dormência, seguindo o padrão de design apropriado. Isso inclui descarregar materiais, cavar buracos para o sistema radicular, cobrir os buracos adequadamente e, às vezes, "&amp;"colocar grama em placas, plantar sementes de grama ou conectar a irrigação. Também envolve a remoção de folhas, plantio de sementes e palha, aeração do gramado, plantio de arbustos, escavação, rastelagem e instalação de blocos de concreto pré-moldados sem"&amp;" argamassa. Os trabalhadores podem coletar e remover lixo, regar gramados, árvores e plantas semeadas, além de podar árvores, arbustos ou sebes. Podem operar equipamentos motorizados e dirigir veículos até os locais dos clientes. As tarefas podem incluir "&amp;"colocação de grama em placas, corte de grama, rega de plantas e gramados, transplante de plantas, fertilização, escavação, rastelagem e instalação de aspersores. Os funcionários cavarão valas com no máximo 15 a 30 cm de profundidade e 15 a 30 cm de largur"&amp;"a com pás e ferramentas manuais. Essas valas são usadas para acomodar a tubulação utilizada na instalação de sistemas de irrigação. Toda a poda/aparamento será feita no solo. Os trabalhadores não realizarão nenhuma atividade de poda ou corte acima do níve"&amp;"l do solo. O trabalhador poderá transportar outros trabalhadores de e para os locais de trabalho ocasionalmente, porém essa não será sua principal função. Os trabalhadores poderão operar equipamentos motorizados de jardinagem, incluindo cortadores de gram"&amp;"a, aparadores de borda, sopradores, roçadeiras, roçadeiras de jardim, pequenos tratores e equipamentos similares. Os trabalhadores poderão dirigir caminhonetes e veículos leves similares da empresa de e para os locais de trabalho dos clientes. Os trabalha"&amp;"dores poderão ocasionalmente transportar outros trabalhadores de e para os locais de trabalho; no entanto, o transporte de trabalhadores não é uma função principal. Os trabalhadores também poderão ocasionalmente transportar materiais, ferramentas e equipa"&amp;"mentos de jardinagem de e para os locais de trabalho, incluindo cobertura morta, plantas em vasos, pás, ancinhos, cortadores de grama, sopradores e roçadeiras de jardim. Nenhum material perigoso será transportado pelos trabalhadores. Todos os veículos e e"&amp;"quipamentos operados têm peso bruto total inferior a 26.000 libras (aproximadamente 11.800 kg), incluindo quaisquer reboques acoplados ou materiais transportados. Classificação da Função: 37-3011.00 - Trabalhadores de Paisagismo e Manutenção de Áreas Verd"&amp;"es. A classificação e descrição da função/setor inclui informações gerais sobre o cargo, de acordo com o ONET/OES e o Sistema de Classificação Industrial da América do Norte (NAICS). Consulte as Funções e a Ordem de Serviço para obter mais informações. Re"&amp;"quisitos da Função Experiência Necessária: Sim Meses de Experiência Necessários: 3 Requisitos Especiais: Deve ser capaz de levantar 27 kg, realizar movimentos repetitivos, empurrar/puxar com frequência, caminhar bastante, agachar-se frequentemente e estar"&amp;" exposto a temperaturas extremas. Deve ter 3 meses de experiência em paisagismo com elementos estruturais. Número de Horas por Semana: 40 Horário de Trabalho (Início/Término): 7h às 16h")</f>
        <v>As funções incluem a instalação de árvores, arbustos ou flores durante o período de dormência, seguindo o padrão de design apropriado. Isso inclui descarregar materiais, cavar buracos para o sistema radicular, cobrir os buracos adequadamente e, às vezes, colocar grama em placas, plantar sementes de grama ou conectar a irrigação. Também envolve a remoção de folhas, plantio de sementes e palha, aeração do gramado, plantio de arbustos, escavação, rastelagem e instalação de blocos de concreto pré-moldados sem argamassa. Os trabalhadores podem coletar e remover lixo, regar gramados, árvores e plantas semeadas, além de podar árvores, arbustos ou sebes. Podem operar equipamentos motorizados e dirigir veículos até os locais dos clientes. As tarefas podem incluir colocação de grama em placas, corte de grama, rega de plantas e gramados, transplante de plantas, fertilização, escavação, rastelagem e instalação de aspersores. Os funcionários cavarão valas com no máximo 15 a 30 cm de profundidade e 15 a 30 cm de largura com pás e ferramentas manuais. Essas valas são usadas para acomodar a tubulação utilizada na instalação de sistemas de irrigação. Toda a poda/aparamento será feita no solo. Os trabalhadores não realizarão nenhuma atividade de poda ou corte acima do nível do solo. O trabalhador poderá transportar outros trabalhadores de e para os locais de trabalho ocasionalmente, porém essa não será sua principal função. Os trabalhadores poderão operar equipamentos motorizados de jardinagem, incluindo cortadores de grama, aparadores de borda, sopradores, roçadeiras, roçadeiras de jardim, pequenos tratores e equipamentos similares. Os trabalhadores poderão dirigir caminhonetes e veículos leves similares da empresa de e para os locais de trabalho dos clientes. Os trabalhadores poderão ocasionalmente transportar outros trabalhadores de e para os locais de trabalho; no entanto, o transporte de trabalhadores não é uma função principal. Os trabalhadores também poderão ocasionalmente transportar materiais, ferramentas e equipamentos de jardinagem de e para os locais de trabalho, incluindo cobertura morta, plantas em vasos, pás, ancinhos, cortadores de grama, sopradores e roçadeiras de jardim. Nenhum material perigoso será transportado pelos trabalhadores. Todos os veículos e equipamentos operados têm peso bruto total inferior a 26.000 libras (aproximadamente 11.800 kg), incluindo quaisquer reboques acoplados ou materiais transportados. Classificação da Função: 37-3011.00 - Trabalhadores de Paisagismo e Manutenção de Áreas Verdes. A classificação e descrição da função/setor inclui informações gerais sobre o cargo, de acordo com o ONET/OES e o Sistema de Classificação Industrial da América do Norte (NAICS). Consulte as Funções e a Ordem de Serviço para obter mais informações. Requisitos da Função Experiência Necessária: Sim Meses de Experiência Necessários: 3 Requisitos Especiais: Deve ser capaz de levantar 27 kg, realizar movimentos repetitivos, empurrar/puxar com frequência, caminhar bastante, agachar-se frequentemente e estar exposto a temperaturas extremas. Deve ter 3 meses de experiência em paisagismo com elementos estruturais. Número de Horas por Semana: 40 Horário de Trabalho (Início/Término): 7h às 16h</v>
      </c>
    </row>
    <row r="273" ht="20.25" customHeight="1">
      <c r="A273" s="8" t="s">
        <v>1522</v>
      </c>
      <c r="B273" s="8" t="s">
        <v>1523</v>
      </c>
      <c r="C273" s="8" t="s">
        <v>736</v>
      </c>
      <c r="D273" s="8" t="s">
        <v>64</v>
      </c>
      <c r="E273" s="9" t="s">
        <v>19</v>
      </c>
      <c r="F273" s="9" t="s">
        <v>20</v>
      </c>
      <c r="G273" s="9" t="s">
        <v>118</v>
      </c>
      <c r="H273" s="8" t="s">
        <v>1524</v>
      </c>
      <c r="I273" s="8" t="s">
        <v>1525</v>
      </c>
      <c r="J273" s="9">
        <v>18.99</v>
      </c>
      <c r="K273" s="9">
        <v>47.0</v>
      </c>
      <c r="L273" s="8" t="s">
        <v>83</v>
      </c>
      <c r="M273" s="8" t="s">
        <v>1526</v>
      </c>
      <c r="N273" s="7" t="str">
        <f>IFERROR(__xludf.DUMMYFUNCTION("GOOGLETRANSLATE(L273, ""en"", ""pt"")"),"Trabalhador Florestal")</f>
        <v>Trabalhador Florestal</v>
      </c>
      <c r="O273" s="7" t="str">
        <f>IFERROR(__xludf.DUMMYFUNCTION("IF(M273="""","""",GOOGLETRANSLATE(M273,""en"",""pt""))"),"As funções podem incluir: Manutenção e desenvolvimento de áreas florestais e de conservação por meio de trabalho manual e uso de equipamentos manuais e mecanizados. Plantio de pinheiros e mudas manualmente ou com plantadeiras mecânicas; triagem, levantame"&amp;"nto, carregamento e transporte de mudas e materiais; identificação e seleção de locais ideais para plantio com base nas condições do solo, terreno e necessidades de sombreamento; e garantia de espaçamento e técnicas de plantio adequadas para promover um c"&amp;"rescimento saudável. Os trabalhadores devem ser capazes de realizar tarefas fisicamente exigentes em ambientes externos, incluindo levantar e carregar regularmente mais de 22 kg de mudas e equipamentos em terrenos irregulares e em condições climáticas var"&amp;"iáveis, além de outras atividades relacionadas a trabalhadores florestais, conforme SOC/OES 45-4011 (onetonline.org). Horário padrão/esperado: Segunda a sexta, das 7h às 17h. Oferecemos mais de 40 horas semanais, sem incluir almoço e/ou intervalos. Possib"&amp;"ilidade de trabalho em fins de semana e feriados. Os horários de início e término, a carga horária oferecida e/ou a possibilidade de horas extras podem variar, pois dependem de fatores como necessidades do projeto/cronograma/serviço, condições climáticas "&amp;"e tempo de deslocamento entre os locais de trabalho (se aplicável). Horas extras são possíveis, mas não obrigatórias nem garantidas. A critério exclusivo do empregador: aumentos salariais e/ou bônus podem ser concedidos com base em fatores individuais, co"&amp;"mo desempenho ou habilidades (não garantidos). Moradia compartilhada opcional disponível sem custo para o trabalhador. Classificação da vaga: 45-4011.00 - Trabalhadores Florestais e de Conservação. A classificação e a descrição da vaga/setor incluem infor"&amp;"mações gerais sobre o cargo, de acordo com o ONET/OES e o Sistema de Classificação Industrial da América do Norte. Consulte as Funções e a Ordem de Serviço para obter mais informações. Requisitos da vaga: Experiência exigida: Não. Requisitos especiais: É "&amp;"necessário ter 18 anos ou mais devido a viagens. É necessário apresentar comprovante de autorização legal para trabalhar nos Estados Unidos. Ambiente de trabalho livre de drogas, álcool e tabaco. É necessário caminhar bastante (até 24 km/dia), além de se "&amp;"abaixar e se curvar carregando uma mochila (até 23 kg) em terrenos acidentados (fora de trilhas). Todos os candidatos devem ser capazes, dispostos e qualificados para realizar o trabalho descrito e devem estar disponíveis durante todo o período especifica"&amp;"do e trabalhar em todas as áreas da vaga. O trabalho é realizado ao ar livre, exposto às intempéries; o candidato deve ser capaz de realizar trabalho fisicamente extenuante por longos períodos, ocasionalmente em calor ou frio extremos. As condições climát"&amp;"icas são variáveis; a carga horária pode sofrer alterações, com possibilidade de períodos de inatividade e/ou horas extras. Número de horas por semana: 40. Horário de trabalho (início/término): 7h às 17h.")</f>
        <v>As funções podem incluir: Manutenção e desenvolvimento de áreas florestais e de conservação por meio de trabalho manual e uso de equipamentos manuais e mecanizados. Plantio de pinheiros e mudas manualmente ou com plantadeiras mecânicas; triagem, levantamento, carregamento e transporte de mudas e materiais; identificação e seleção de locais ideais para plantio com base nas condições do solo, terreno e necessidades de sombreamento; e garantia de espaçamento e técnicas de plantio adequadas para promover um crescimento saudável. Os trabalhadores devem ser capazes de realizar tarefas fisicamente exigentes em ambientes externos, incluindo levantar e carregar regularmente mais de 22 kg de mudas e equipamentos em terrenos irregulares e em condições climáticas variáveis, além de outras atividades relacionadas a trabalhadores florestais, conforme SOC/OES 45-4011 (onetonline.org). Horário padrão/esperado: Segunda a sexta, das 7h às 17h. Oferecemos mais de 40 horas semanais, sem incluir almoço e/ou intervalos. Possibilidade de trabalho em fins de semana e feriados. Os horários de início e término, a carga horária oferecida e/ou a possibilidade de horas extras podem variar, pois dependem de fatores como necessidades do projeto/cronograma/serviço, condições climáticas e tempo de deslocamento entre os locais de trabalho (se aplicável). Horas extras são possíveis, mas não obrigatórias nem garantidas. A critério exclusivo do empregador: aumentos salariais e/ou bônus podem ser concedidos com base em fatores individuais, como desempenho ou habilidades (não garantidos). Moradia compartilhada opcional disponível sem custo para o trabalhador. Classificação da vaga: 45-4011.00 - Trabalhadores Florestais e de Conservação. A classificação e a descrição da vaga/setor incluem informações gerais sobre o cargo, de acordo com o ONET/OES e o Sistema de Classificação Industrial da América do Norte. Consulte as Funções e a Ordem de Serviço para obter mais informações. Requisitos da vaga: Experiência exigida: Não. Requisitos especiais: É necessário ter 18 anos ou mais devido a viagens. É necessário apresentar comprovante de autorização legal para trabalhar nos Estados Unidos. Ambiente de trabalho livre de drogas, álcool e tabaco. É necessário caminhar bastante (até 24 km/dia), além de se abaixar e se curvar carregando uma mochila (até 23 kg) em terrenos acidentados (fora de trilhas). Todos os candidatos devem ser capazes, dispostos e qualificados para realizar o trabalho descrito e devem estar disponíveis durante todo o período especificado e trabalhar em todas as áreas da vaga. O trabalho é realizado ao ar livre, exposto às intempéries; o candidato deve ser capaz de realizar trabalho fisicamente extenuante por longos períodos, ocasionalmente em calor ou frio extremos. As condições climáticas são variáveis; a carga horária pode sofrer alterações, com possibilidade de períodos de inatividade e/ou horas extras. Número de horas por semana: 40. Horário de trabalho (início/término): 7h às 17h.</v>
      </c>
    </row>
    <row r="274" ht="20.25" customHeight="1">
      <c r="A274" s="3" t="s">
        <v>1527</v>
      </c>
      <c r="B274" s="3" t="s">
        <v>1528</v>
      </c>
      <c r="C274" s="3" t="s">
        <v>169</v>
      </c>
      <c r="D274" s="3" t="s">
        <v>18</v>
      </c>
      <c r="E274" s="4" t="s">
        <v>19</v>
      </c>
      <c r="F274" s="4" t="s">
        <v>20</v>
      </c>
      <c r="G274" s="4" t="s">
        <v>524</v>
      </c>
      <c r="H274" s="3" t="s">
        <v>1529</v>
      </c>
      <c r="I274" s="3" t="s">
        <v>1530</v>
      </c>
      <c r="J274" s="4">
        <v>15.3</v>
      </c>
      <c r="K274" s="4">
        <v>9.0</v>
      </c>
      <c r="L274" s="3" t="s">
        <v>1531</v>
      </c>
      <c r="M274" s="3" t="s">
        <v>1532</v>
      </c>
      <c r="N274" s="7" t="str">
        <f>IFERROR(__xludf.DUMMYFUNCTION("GOOGLETRANSLATE(L274, ""en"", ""pt"")"),"Prestadores de serviços de cuidados infantis")</f>
        <v>Prestadores de serviços de cuidados infantis</v>
      </c>
      <c r="O274" s="7" t="str">
        <f>IFERROR(__xludf.DUMMYFUNCTION("IF(M274="""","""",GOOGLETRANSLATE(M274,""en"",""pt""))"),"Conforme descrito no site da ONET para o código 39-9011.00 (Cuidadores de Crianças), os cuidadores de crianças devem desempenhar uma variedade de tarefas/deveres em prol das crianças em sua sala designada. Os cuidadores cuidarão e passarão tempo com crian"&amp;"ças em idade pré-escolar. Eles ajudarão a incentivar e envolver as crianças em atividades apropriadas para a idade, como contação de histórias, canto, jogos e brincadeiras guiadas. Os cuidadores lerão para as crianças e as guiarão em atividades simples de"&amp;" pintura, desenho, artesanato e canções. Os cuidadores ajudarão as crianças a seguir as rotinas diárias, incentivarão o bom comportamento e manterão a ordem, supervisionando as crianças para garantir sua segurança em todos os momentos. Os cuidadores auxil"&amp;"iarão no serviço de refeições/lanches preparados pela cozinheira da nossa instituição. A cozinheira lavará todos os utensílios e equipamentos de preparo de alimentos, além de higienizar mamadeiras e copos de treinamento após o uso. Nossos cuidadores garan"&amp;"tirão a segurança alimentar durante as refeições e seguirão as diretrizes de saúde e segurança, incluindo o descarte adequado de pratos de papel e talheres de plástico. Nossos funcionários podem cuidar da lavanderia, incluindo lavar, secar, dobrar e guard"&amp;"ar lençóis de berço, itens de tecido (toalhas/cobertores) do berçário e materiais macios da sala de aula, como roupas para fantasias, bichos de pelúcia e almofadas macias para sentar. Dependendo do horário agendado, uma máquina desinfetante, conhecida com"&amp;"o Zono, é usada para desinfetar os brinquedos semanalmente. Classificação da vaga: 39-9011.00 - Cuidadores de Crianças. A classificação e descrição da vaga/setor inclui informações gerais sobre o cargo, de acordo com o ONET/OES e o Sistema de Classificaçã"&amp;"o Industrial da América do Norte (NAICS). Consulte as Funções e a Ordem de Serviço para obter mais informações. Requisitos da vaga: Experiência necessária: Não. Requisitos especiais: Ter no mínimo 18 anos de idade e diploma do Ensino Médio ou equivalente,"&amp;" conforme exigências de licenciamento de creches do estado. Capacidade de levantar/carregar 18 kg, quando necessário. Exame toxicológico pós-contratação obrigatório para funcionários estrangeiros e nacionais em caso de suspeita de uso. Verificação de ante"&amp;"cedentes criminais pós-contratação obrigatória para funcionários estrangeiros e nacionais. É necessário concluir o treinamento sobre abuso infantil como parte do processo de integração. O empregador poderá oferecer uma carga horária superior à estipulada,"&amp;" dependendo das condições climáticas, das necessidades da empresa e de outros fatores. Número de horas semanais: 40. Horário de trabalho (início/término): 7h às 16h.")</f>
        <v>Conforme descrito no site da ONET para o código 39-9011.00 (Cuidadores de Crianças), os cuidadores de crianças devem desempenhar uma variedade de tarefas/deveres em prol das crianças em sua sala designada. Os cuidadores cuidarão e passarão tempo com crianças em idade pré-escolar. Eles ajudarão a incentivar e envolver as crianças em atividades apropriadas para a idade, como contação de histórias, canto, jogos e brincadeiras guiadas. Os cuidadores lerão para as crianças e as guiarão em atividades simples de pintura, desenho, artesanato e canções. Os cuidadores ajudarão as crianças a seguir as rotinas diárias, incentivarão o bom comportamento e manterão a ordem, supervisionando as crianças para garantir sua segurança em todos os momentos. Os cuidadores auxiliarão no serviço de refeições/lanches preparados pela cozinheira da nossa instituição. A cozinheira lavará todos os utensílios e equipamentos de preparo de alimentos, além de higienizar mamadeiras e copos de treinamento após o uso. Nossos cuidadores garantirão a segurança alimentar durante as refeições e seguirão as diretrizes de saúde e segurança, incluindo o descarte adequado de pratos de papel e talheres de plástico. Nossos funcionários podem cuidar da lavanderia, incluindo lavar, secar, dobrar e guardar lençóis de berço, itens de tecido (toalhas/cobertores) do berçário e materiais macios da sala de aula, como roupas para fantasias, bichos de pelúcia e almofadas macias para sentar. Dependendo do horário agendado, uma máquina desinfetante, conhecida como Zono, é usada para desinfetar os brinquedos semanalmente. Classificação da vaga: 39-9011.00 - Cuidadores de Crianças. A classificação e descrição da vaga/setor inclui informações gerais sobre o cargo, de acordo com o ONET/OES e o Sistema de Classificação Industrial da América do Norte (NAICS). Consulte as Funções e a Ordem de Serviço para obter mais informações. Requisitos da vaga: Experiência necessária: Não. Requisitos especiais: Ter no mínimo 18 anos de idade e diploma do Ensino Médio ou equivalente, conforme exigências de licenciamento de creches do estado. Capacidade de levantar/carregar 18 kg, quando necessário. Exame toxicológico pós-contratação obrigatório para funcionários estrangeiros e nacionais em caso de suspeita de uso. Verificação de antecedentes criminais pós-contratação obrigatória para funcionários estrangeiros e nacionais. É necessário concluir o treinamento sobre abuso infantil como parte do processo de integração. O empregador poderá oferecer uma carga horária superior à estipulada, dependendo das condições climáticas, das necessidades da empresa e de outros fatores. Número de horas semanais: 40. Horário de trabalho (início/término): 7h às 16h.</v>
      </c>
    </row>
    <row r="275" ht="20.25" customHeight="1">
      <c r="A275" s="8" t="s">
        <v>1533</v>
      </c>
      <c r="B275" s="8" t="s">
        <v>1534</v>
      </c>
      <c r="C275" s="8" t="s">
        <v>523</v>
      </c>
      <c r="D275" s="8" t="s">
        <v>140</v>
      </c>
      <c r="E275" s="9" t="s">
        <v>44</v>
      </c>
      <c r="F275" s="9" t="s">
        <v>20</v>
      </c>
      <c r="G275" s="9" t="s">
        <v>524</v>
      </c>
      <c r="H275" s="8" t="s">
        <v>525</v>
      </c>
      <c r="I275" s="8" t="s">
        <v>526</v>
      </c>
      <c r="J275" s="9">
        <v>14.97</v>
      </c>
      <c r="K275" s="9">
        <v>10.0</v>
      </c>
      <c r="L275" s="8" t="s">
        <v>527</v>
      </c>
      <c r="M275" s="8" t="s">
        <v>1535</v>
      </c>
      <c r="N275" s="7" t="str">
        <f>IFERROR(__xludf.DUMMYFUNCTION("GOOGLETRANSLATE(L275, ""en"", ""pt"")"),"máquina de lavar louça")</f>
        <v>máquina de lavar louça</v>
      </c>
      <c r="O275" s="7" t="str">
        <f>IFERROR(__xludf.DUMMYFUNCTION("IF(M275="""","""",GOOGLETRANSLATE(M275,""en"",""pt""))"),"***Resposta à Solicitação de Informações*** 1. Tarefas Específicas, Ferramentas, Equipamentos e Materiais Utilizados A frase “Auxiliar a equipe da cozinha em diversas tarefas” refere-se explicitamente às tarefas rotineiras de apoio necessárias para manter"&amp;" um ambiente de cozinha organizado, higiênico e eficiente. As tarefas específicas, juntamente com as ferramentas, equipamentos e materiais utilizados pelo Auxiliar de Cozinha (Lava-louças), incluem: A. Lavagem de Louças e Limpeza de Equipamentos: Lavar, e"&amp;"nxaguar e higienizar pratos, copos, talheres, panelas, frigideiras e equipamentos de cozinha especializados. Para esta tarefa, são utilizadas máquinas de lavar louça industriais, pias fundas de três compartimentos, escovas de limpeza, esponjas, escorredor"&amp;"es de pratos e produtos químicos sanitizantes/detergentes. B. Higienização da Cozinha e Gerenciamento de Resíduos: Esvaziar e limpar lixeiras, descartar o lixo da cozinha e manter a limpeza geral do piso da cozinha e das áreas de serviço de alimentos. Par"&amp;"a esta tarefa, são utilizados latas de lixo, sacos de lixo resistentes, esfregões, baldes, vassouras e desengordurantes de piso. C. Armazenamento e Organização de Estoque: Receber louças, utensílios e equipamentos de cozinha limpos da área de lavagem e tr"&amp;"ansportá-los com segurança para as zonas de armazenamento designadas ou linhas de preparação da cozinha para auxiliar cozinheiros e chefs. Para esta tarefa, são utilizados carrinhos utilitários com rodinhas, prateleiras de armazenamento e racks organizado"&amp;"res. 2. Esclarecimento sobre Tarefas de Preparo e Cozimento de Alimentos O Empregador esclarece explicitamente que a função de Lavador de Louças não envolve quaisquer tarefas de cozimento, nem requer preparo de alimentos independente ou especializado. A a"&amp;"ssistência prestada à equipe da cozinha é puramente de apoio, de baixa complexidade e de natureza rotineira. Na medida em que um Lavador de Louças interage com alimentos ou auxilia a equipe da cozinha, isso se limita às seguintes tarefas básicas: A. Limpe"&amp;"za e Raspagem: Raspar restos de comida e resíduos de pratos, travessas e recipientes de cozimento sujos em lixeiras antes da lavagem. B. Auxílio Básico de Cozinha: Sob a supervisão direta de cozinheiros, chefs ou gerentes de serviços de alimentação, auxil"&amp;"iar em tarefas básicas e rotineiras de cozinha, como transportar ingredientes a granel do estoque ou câmaras frigoríficas para a área de preparo. Não corta, tempera, cozinha ou monta pratos. ***Original*** Lavar pratos, utensílios ou equipamentos de cozin"&amp;"ha na área de armazenamento. Manter a área da cozinha limpa e organizada. Auxiliar a equipe da cozinha em diversas tarefas. Classificação do Cargo: 35-9021.00 - Lavadores de Louça. A classificação e descrição do cargo/setor inclui informações gerais sobre"&amp;" a posição, de acordo com o ONET/OES e o Sistema de Classificação Industrial da América do Norte. Consulte as Funções e a Ordem de Serviço para obter mais informações. Requisitos do Cargo Experiência Necessária: Não. Requisitos Especiais: Nenhum. Número d"&amp;"e Horas por Semana: 40. Horário de Trabalho (Início/Término): 10:00 - 19:00.")</f>
        <v>***Resposta à Solicitação de Informações*** 1. Tarefas Específicas, Ferramentas, Equipamentos e Materiais Utilizados A frase “Auxiliar a equipe da cozinha em diversas tarefas” refere-se explicitamente às tarefas rotineiras de apoio necessárias para manter um ambiente de cozinha organizado, higiênico e eficiente. As tarefas específicas, juntamente com as ferramentas, equipamentos e materiais utilizados pelo Auxiliar de Cozinha (Lava-louças), incluem: A. Lavagem de Louças e Limpeza de Equipamentos: Lavar, enxaguar e higienizar pratos, copos, talheres, panelas, frigideiras e equipamentos de cozinha especializados. Para esta tarefa, são utilizadas máquinas de lavar louça industriais, pias fundas de três compartimentos, escovas de limpeza, esponjas, escorredores de pratos e produtos químicos sanitizantes/detergentes. B. Higienização da Cozinha e Gerenciamento de Resíduos: Esvaziar e limpar lixeiras, descartar o lixo da cozinha e manter a limpeza geral do piso da cozinha e das áreas de serviço de alimentos. Para esta tarefa, são utilizados latas de lixo, sacos de lixo resistentes, esfregões, baldes, vassouras e desengordurantes de piso. C. Armazenamento e Organização de Estoque: Receber louças, utensílios e equipamentos de cozinha limpos da área de lavagem e transportá-los com segurança para as zonas de armazenamento designadas ou linhas de preparação da cozinha para auxiliar cozinheiros e chefs. Para esta tarefa, são utilizados carrinhos utilitários com rodinhas, prateleiras de armazenamento e racks organizadores. 2. Esclarecimento sobre Tarefas de Preparo e Cozimento de Alimentos O Empregador esclarece explicitamente que a função de Lavador de Louças não envolve quaisquer tarefas de cozimento, nem requer preparo de alimentos independente ou especializado. A assistência prestada à equipe da cozinha é puramente de apoio, de baixa complexidade e de natureza rotineira. Na medida em que um Lavador de Louças interage com alimentos ou auxilia a equipe da cozinha, isso se limita às seguintes tarefas básicas: A. Limpeza e Raspagem: Raspar restos de comida e resíduos de pratos, travessas e recipientes de cozimento sujos em lixeiras antes da lavagem. B. Auxílio Básico de Cozinha: Sob a supervisão direta de cozinheiros, chefs ou gerentes de serviços de alimentação, auxiliar em tarefas básicas e rotineiras de cozinha, como transportar ingredientes a granel do estoque ou câmaras frigoríficas para a área de preparo. Não corta, tempera, cozinha ou monta pratos. ***Original*** Lavar pratos, utensílios ou equipamentos de cozinha na área de armazenamento. Manter a área da cozinha limpa e organizada. Auxiliar a equipe da cozinha em diversas tarefas. Classificação do Cargo: 35-9021.00 - Lavadores de Louça. A classificação e descrição do cargo/setor inclui informações gerais sobre a posição, de acordo com o ONET/OES e o Sistema de Classificação Industrial da América do Norte. Consulte as Funções e a Ordem de Serviço para obter mais informações. Requisitos do Cargo Experiência Necessária: Não. Requisitos Especiais: Nenhum. Número de Horas por Semana: 40. Horário de Trabalho (Início/Término): 10:00 - 19:00.</v>
      </c>
    </row>
    <row r="276" ht="20.25" customHeight="1">
      <c r="A276" s="3" t="s">
        <v>1536</v>
      </c>
      <c r="B276" s="3" t="s">
        <v>1537</v>
      </c>
      <c r="C276" s="3" t="s">
        <v>125</v>
      </c>
      <c r="D276" s="3" t="s">
        <v>306</v>
      </c>
      <c r="E276" s="4" t="s">
        <v>19</v>
      </c>
      <c r="F276" s="4" t="s">
        <v>20</v>
      </c>
      <c r="G276" s="4" t="s">
        <v>56</v>
      </c>
      <c r="H276" s="3" t="s">
        <v>1538</v>
      </c>
      <c r="I276" s="3" t="s">
        <v>1539</v>
      </c>
      <c r="J276" s="4">
        <v>18.64</v>
      </c>
      <c r="K276" s="4">
        <v>4.0</v>
      </c>
      <c r="L276" s="3" t="s">
        <v>129</v>
      </c>
      <c r="M276" s="3" t="s">
        <v>1540</v>
      </c>
      <c r="N276" s="7" t="str">
        <f>IFERROR(__xludf.DUMMYFUNCTION("GOOGLETRANSLATE(L276, ""en"", ""pt"")"),"Trabalhador de paisagismo e manutenção de jardins")</f>
        <v>Trabalhador de paisagismo e manutenção de jardins</v>
      </c>
      <c r="O276" s="7" t="str">
        <f>IFERROR(__xludf.DUMMYFUNCTION("IF(M276="""","""",GOOGLETRANSLATE(M276,""en"",""pt""))"),"As funções incluem colocação de grama em placas, corte de grama, remoção e espalhamento de cascalho, semeadura de grama, colocação de grama em placas e/ou palha, remoção de folhas, poda de árvores, arbustos e plantas, plantio de plantas, árvores e arbusto"&amp;"s, rega de plantas e gramados, transplante de plantas, fertilização, escavação, rastelagem e remoção de entulho. Nivelamento do terreno para preparação da grama em placas, sementes ou cascalho. Os trabalhadores podem coletar e remover lixo. Os equipamento"&amp;"s motorizados utilizados incluem cortadores de grama, roçadeiras e aparadores. Toda a poda será realizada no solo. Os trabalhadores não realizarão nenhuma atividade de poda acima do nível do solo. Classificação da função: 37-3011.00 - Trabalhadores de Pai"&amp;"sagismo e Manutenção de Jardins. A classificação e descrição da função/setor inclui informações gerais sobre o cargo, conforme o ONET/OES e o Sistema de Classificação Industrial da América do Norte. Consulte as Funções e a Ordem de Serviço para obter mais"&amp;" informações. Requisitos da Vaga Experiência Necessária: Sim Meses de Experiência Necessários: 3 Requisitos Especiais: Carteira de habilitação válida obrigatória. Exame toxicológico pós-admissão por conta do empregador. Capacidade de levantar 23 kg, perma"&amp;"necer sentado por longos períodos, caminhar bastante, agachar-se com frequência, empurrar/puxar com frequência, exposição a temperaturas extremas. 3 meses de experiência exigidos. De acordo com a legislação estadual de Michigan, Lei 338 de Licença Médica "&amp;"Remunerada, os empregadores são obrigados a fornecer licença médica remunerada aos seus funcionários. A quantidade de licença médica remunerada concedida pode variar dependendo do porte da empresa. Número de Horas por Semana: 40 Horário de Trabalho (Iníci"&amp;"o/Término): 7h às 16h")</f>
        <v>As funções incluem colocação de grama em placas, corte de grama, remoção e espalhamento de cascalho, semeadura de grama, colocação de grama em placas e/ou palha, remoção de folhas, poda de árvores, arbustos e plantas, plantio de plantas, árvores e arbustos, rega de plantas e gramados, transplante de plantas, fertilização, escavação, rastelagem e remoção de entulho. Nivelamento do terreno para preparação da grama em placas, sementes ou cascalho. Os trabalhadores podem coletar e remover lixo. Os equipamentos motorizados utilizados incluem cortadores de grama, roçadeiras e aparadores. Toda a poda será realizada no solo. Os trabalhadores não realizarão nenhuma atividade de poda acima do nível do solo. Classificação da função: 37-3011.00 - Trabalhadores de Paisagismo e Manutenção de Jardins. A classificação e descrição da função/setor inclui informações gerais sobre o cargo, conforme o ONET/OES e o Sistema de Classificação Industrial da América do Norte. Consulte as Funções e a Ordem de Serviço para obter mais informações. Requisitos da Vaga Experiência Necessária: Sim Meses de Experiência Necessários: 3 Requisitos Especiais: Carteira de habilitação válida obrigatória. Exame toxicológico pós-admissão por conta do empregador. Capacidade de levantar 23 kg, permanecer sentado por longos períodos, caminhar bastante, agachar-se com frequência, empurrar/puxar com frequência, exposição a temperaturas extremas. 3 meses de experiência exigidos. De acordo com a legislação estadual de Michigan, Lei 338 de Licença Médica Remunerada, os empregadores são obrigados a fornecer licença médica remunerada aos seus funcionários. A quantidade de licença médica remunerada concedida pode variar dependendo do porte da empresa. Número de Horas por Semana: 40 Horário de Trabalho (Início/Término): 7h às 16h</v>
      </c>
    </row>
    <row r="277" ht="20.25" customHeight="1">
      <c r="A277" s="8" t="s">
        <v>1541</v>
      </c>
      <c r="B277" s="8" t="s">
        <v>1542</v>
      </c>
      <c r="C277" s="8" t="s">
        <v>125</v>
      </c>
      <c r="D277" s="8" t="s">
        <v>18</v>
      </c>
      <c r="E277" s="9" t="s">
        <v>19</v>
      </c>
      <c r="F277" s="9" t="s">
        <v>20</v>
      </c>
      <c r="G277" s="9" t="s">
        <v>80</v>
      </c>
      <c r="H277" s="8" t="s">
        <v>1543</v>
      </c>
      <c r="I277" s="8" t="s">
        <v>1544</v>
      </c>
      <c r="J277" s="9">
        <v>16.8</v>
      </c>
      <c r="K277" s="9">
        <v>9.0</v>
      </c>
      <c r="L277" s="8" t="s">
        <v>1545</v>
      </c>
      <c r="M277" s="8" t="s">
        <v>1546</v>
      </c>
      <c r="N277" s="7" t="str">
        <f>IFERROR(__xludf.DUMMYFUNCTION("GOOGLETRANSLATE(L277, ""en"", ""pt"")"),"Abatedores e empacotadores de carne")</f>
        <v>Abatedores e empacotadores de carne</v>
      </c>
      <c r="O277" s="7" t="str">
        <f>IFERROR(__xludf.DUMMYFUNCTION("IF(M277="""","""",GOOGLETRANSLATE(M277,""en"",""pt""))"),"Executar funções não rotineiras ou de precisão envolvendo o preparo de grandes porções de carne. O trabalho pode incluir tarefas especializadas de abate, corte de carne padrão ou premium para comercialização, fabricação de linguiça ou embalagem de carnes."&amp;" O trabalho normalmente ocorre em estabelecimentos de abate, processamento de carne ou atacado. Classificação da função: 51-3023.00 - Abatedores e Embaladores de Carne. A classificação e descrição da função/setor inclui informações gerais sobre o cargo, d"&amp;"e acordo com o ONET/OES e o Sistema de Classificação Industrial da América do Norte (NAICS). Consulte as Funções e a Ordem de Serviço para obter mais informações. Requisitos da função: Experiência necessária: Não. Requisitos especiais: Deve ser capaz de l"&amp;"evantar 23 kg, realizar movimentos repetitivos, empurrar/puxar com frequência e agachar-se frequentemente. Número de horas por semana: 40. Horário de trabalho (início/término): 7h às 16h.")</f>
        <v>Executar funções não rotineiras ou de precisão envolvendo o preparo de grandes porções de carne. O trabalho pode incluir tarefas especializadas de abate, corte de carne padrão ou premium para comercialização, fabricação de linguiça ou embalagem de carnes. O trabalho normalmente ocorre em estabelecimentos de abate, processamento de carne ou atacado. Classificação da função: 51-3023.00 - Abatedores e Embaladores de Carne. A classificação e descrição da função/setor inclui informações gerais sobre o cargo, de acordo com o ONET/OES e o Sistema de Classificação Industrial da América do Norte (NAICS). Consulte as Funções e a Ordem de Serviço para obter mais informações. Requisitos da função: Experiência necessária: Não. Requisitos especiais: Deve ser capaz de levantar 23 kg, realizar movimentos repetitivos, empurrar/puxar com frequência e agachar-se frequentemente. Número de horas por semana: 40. Horário de trabalho (início/término): 7h às 16h.</v>
      </c>
    </row>
    <row r="278" ht="20.25" customHeight="1">
      <c r="A278" s="3" t="s">
        <v>1547</v>
      </c>
      <c r="B278" s="3" t="s">
        <v>1548</v>
      </c>
      <c r="C278" s="3" t="s">
        <v>376</v>
      </c>
      <c r="D278" s="3" t="s">
        <v>28</v>
      </c>
      <c r="E278" s="4" t="s">
        <v>19</v>
      </c>
      <c r="F278" s="4" t="s">
        <v>20</v>
      </c>
      <c r="G278" s="4" t="s">
        <v>377</v>
      </c>
      <c r="H278" s="3" t="s">
        <v>1549</v>
      </c>
      <c r="I278" s="3" t="s">
        <v>1550</v>
      </c>
      <c r="J278" s="4">
        <v>18.37</v>
      </c>
      <c r="K278" s="4">
        <v>18.0</v>
      </c>
      <c r="L278" s="3" t="s">
        <v>501</v>
      </c>
      <c r="M278" s="3" t="s">
        <v>1551</v>
      </c>
      <c r="N278" s="7" t="str">
        <f>IFERROR(__xludf.DUMMYFUNCTION("GOOGLETRANSLATE(L278, ""en"", ""pt"")"),"Auxiliar de Manutenção")</f>
        <v>Auxiliar de Manutenção</v>
      </c>
      <c r="O278" s="7" t="str">
        <f>IFERROR(__xludf.DUMMYFUNCTION("IF(M278="""","""",GOOGLETRANSLATE(M278,""en"",""pt""))"),"Auxiliar de Manutenção – Dezoito (18) vagas temporárias em tempo integral disponíveis de 01/10/2026 a 30/06/2027 em Thibodaux, Louisiana, na Lafourche Sugars, LLC. Auxiliar os trabalhadores de instalação, manutenção e reparo na manutenção, substituição de"&amp;" peças e reparo de equipamentos industriais utilizados no processamento de açúcar bruto. Executar tarefas como fornecer ferramentas, materiais e suprimentos para outros trabalhadores mais experientes. Limpar a área de trabalho, máquinas e ferramentas, e g"&amp;"uardar materiais ou ferramentas para outros trabalhadores mais experientes durante a safra e após a colheita, em preparação para a próxima safra. $ 18,37/hora; $ 27,55/hora de hora extra paga a cada 2 semanas por cheque. Será necessário trabalhar em turno"&amp;"s rotativos de 8 horas, incluindo (6h-14h; 14h-22h; 22h-6h); 56 horas semanais durante a época da colheita, 40 horas semanais após a época da colheita, com pagamento de horas extras após 48 horas durante a colheita e após 40 horas após a colheita. É neces"&amp;"sário ter disponibilidade para trabalhar 7 dias por semana durante a moagem/colheita. As horas extras serão variáveis ​​e não são garantidas. O empregador fará todos os descontos exigidos por lei no contracheque do trabalhador. O trabalhador terá 30 minut"&amp;"os de intervalo para almoço remunerado durante o expediente. É necessário um mínimo de 3 meses de experiência na função oferecida, com equipamentos de usina de açúcar. Não há exigência de escolaridade mínima. Não será oferecido treinamento no local de tra"&amp;"balho. Alojamento opcional no local de trabalho será oferecido gratuitamente a cada funcionário temporário contratado para a função. A Lafourche fornecerá aos trabalhadores americanos pelo menos os mesmos benefícios, salários e condições de trabalho ofere"&amp;"cidos aos trabalhadores com visto H-2B. A Lafourche fornecerá ao trabalhador, sem custo ou depósito, todas as ferramentas, suprimentos e equipamentos necessários para o desempenho das funções atribuídas. O empregador garante oferecer emprego equivalente a"&amp;" pelo menos três quartos (3/4) dos dias úteis de cada período de 12 semanas do período total de emprego; e, caso a garantia não seja cumprida, o empregador pagará ao trabalhador o valor que ele teria recebido se o empregador tivesse oferecido o número de "&amp;"dias garantido. O período de 12 semanas terá início no primeiro dia útil após a chegada do trabalhador ou na primeira data de necessidade contratual anunciada, o que ocorrer por último. O trabalhador será reembolsado pelas despesas de transporte e subsist"&amp;"ência do local de onde veio trabalhar para o empregador, seja nos EUA ou no exterior, até o local de trabalho, por meio de cheque emitido pelo empregador, após a conclusão de 50% do período de emprego coberto pela ordem de serviço ou antes, se for o caso."&amp;" Isso inclui um mínimo de US$ 16,78 por dia durante o deslocamento, até um máximo de US$ 68,00 por dia, mediante comprovação das despesas reais. Além disso, o empregador fornecerá ou pagará o transporte e a subsistência do trabalhador na ida, caso este co"&amp;"nclua o período de trabalho contratado ou seja dispensado antecipadamente pelo empregador, por qualquer motivo, antes do término do período. O empregador reembolsará o trabalhador com visto H-2B na primeira semana de trabalho, cobrindo integralmente os cu"&amp;"stos com visto, processamento de visto, travessia de fronteira e outras taxas relacionadas, incluindo as exigidas pelo governo. A Lafourche fornecerá ou reembolsará os custos de transporte de ida e volta, bem como a subsistência diária, para os trabalhado"&amp;"res americanos correspondentes que não puderem retornar à sua residência no mesmo dia de trabalho. Quando aplicável, o transporte diário de ida e volta ao local de trabalho será fornecido pelo empregador. Salários mais altos podem estar disponíveis para t"&amp;"rabalhadores com vasta experiência. Envie seu currículo ou entre em contato com o Sr. Ben LeBlanc na Lafourche Sugars, LLC, 141 Leighton Quarters Rd, Thibodaux, LA 70301. Tel.: (985) 447-3210. E-mail: bl@lafourchesugars.com. Os candidatos podem obter info"&amp;"rmações sobre a vaga ou enviar currículos/candidaturas diretamente para Lafourche AJC, 1425 Tiger Drive, Thibodaux, LA 70301. Tel.: 985-227-7119. E-mail: Hire_Houma@lwc.la.gov; mencione o número da vaga: 1641110. Classificação da vaga: 49-9098.00 - Ajudan"&amp;"tes - Trabalhadores de Instalação, Manutenção e Reparo. A classificação e descrição da vaga/setor incluem informações gerais sobre o cargo, de acordo com o ONET/OES e o Sistema de Classificação Industrial da América do Norte (NAICS). Consulte as atribuiçõ"&amp;"es e a descrição da vaga para obter mais informações. Requisitos da vaga: Experiência exigida: Sim. Meses de experiência exigidos: 3. Número de horas por semana: 56. Horário de trabalho (início/término): 6h às 14h.")</f>
        <v>Auxiliar de Manutenção – Dezoito (18) vagas temporárias em tempo integral disponíveis de 01/10/2026 a 30/06/2027 em Thibodaux, Louisiana, na Lafourche Sugars, LLC. Auxiliar os trabalhadores de instalação, manutenção e reparo na manutenção, substituição de peças e reparo de equipamentos industriais utilizados no processamento de açúcar bruto. Executar tarefas como fornecer ferramentas, materiais e suprimentos para outros trabalhadores mais experientes. Limpar a área de trabalho, máquinas e ferramentas, e guardar materiais ou ferramentas para outros trabalhadores mais experientes durante a safra e após a colheita, em preparação para a próxima safra. $ 18,37/hora; $ 27,55/hora de hora extra paga a cada 2 semanas por cheque. Será necessário trabalhar em turnos rotativos de 8 horas, incluindo (6h-14h; 14h-22h; 22h-6h); 56 horas semanais durante a época da colheita, 40 horas semanais após a época da colheita, com pagamento de horas extras após 48 horas durante a colheita e após 40 horas após a colheita. É necessário ter disponibilidade para trabalhar 7 dias por semana durante a moagem/colheita. As horas extras serão variáveis ​​e não são garantidas. O empregador fará todos os descontos exigidos por lei no contracheque do trabalhador. O trabalhador terá 30 minutos de intervalo para almoço remunerado durante o expediente. É necessário um mínimo de 3 meses de experiência na função oferecida, com equipamentos de usina de açúcar. Não há exigência de escolaridade mínima. Não será oferecido treinamento no local de trabalho. Alojamento opcional no local de trabalho será oferecido gratuitamente a cada funcionário temporário contratado para a função. A Lafourche fornecerá aos trabalhadores americanos pelo menos os mesmos benefícios, salários e condições de trabalho oferecidos aos trabalhadores com visto H-2B. A Lafourche fornecerá ao trabalhador, sem custo ou depósito, todas as ferramentas, suprimentos e equipamentos necessários para o desempenho das funções atribuídas. O empregador garante oferecer emprego equivalente a pelo menos três quartos (3/4) dos dias úteis de cada período de 12 semanas do período total de emprego; e, caso a garantia não seja cumprida, o empregador pagará ao trabalhador o valor que ele teria recebido se o empregador tivesse oferecido o número de dias garantido. O período de 12 semanas terá início no primeiro dia útil após a chegada do trabalhador ou na primeira data de necessidade contratual anunciada, o que ocorrer por último. O trabalhador será reembolsado pelas despesas de transporte e subsistência do local de onde veio trabalhar para o empregador, seja nos EUA ou no exterior, até o local de trabalho, por meio de cheque emitido pelo empregador, após a conclusão de 50% do período de emprego coberto pela ordem de serviço ou antes, se for o caso. Isso inclui um mínimo de US$ 16,78 por dia durante o deslocamento, até um máximo de US$ 68,00 por dia, mediante comprovação das despesas reais. Além disso, o empregador fornecerá ou pagará o transporte e a subsistência do trabalhador na ida, caso este conclua o período de trabalho contratado ou seja dispensado antecipadamente pelo empregador, por qualquer motivo, antes do término do período. O empregador reembolsará o trabalhador com visto H-2B na primeira semana de trabalho, cobrindo integralmente os custos com visto, processamento de visto, travessia de fronteira e outras taxas relacionadas, incluindo as exigidas pelo governo. A Lafourche fornecerá ou reembolsará os custos de transporte de ida e volta, bem como a subsistência diária, para os trabalhadores americanos correspondentes que não puderem retornar à sua residência no mesmo dia de trabalho. Quando aplicável, o transporte diário de ida e volta ao local de trabalho será fornecido pelo empregador. Salários mais altos podem estar disponíveis para trabalhadores com vasta experiência. Envie seu currículo ou entre em contato com o Sr. Ben LeBlanc na Lafourche Sugars, LLC, 141 Leighton Quarters Rd, Thibodaux, LA 70301. Tel.: (985) 447-3210. E-mail: bl@lafourchesugars.com. Os candidatos podem obter informações sobre a vaga ou enviar currículos/candidaturas diretamente para Lafourche AJC, 1425 Tiger Drive, Thibodaux, LA 70301. Tel.: 985-227-7119. E-mail: Hire_Houma@lwc.la.gov; mencione o número da vaga: 1641110. Classificação da vaga: 49-9098.00 - Ajudantes - Trabalhadores de Instalação, Manutenção e Reparo. A classificação e descrição da vaga/setor incluem informações gerais sobre o cargo, de acordo com o ONET/OES e o Sistema de Classificação Industrial da América do Norte (NAICS). Consulte as atribuições e a descrição da vaga para obter mais informações. Requisitos da vaga: Experiência exigida: Sim. Meses de experiência exigidos: 3. Número de horas por semana: 56. Horário de trabalho (início/término): 6h às 14h.</v>
      </c>
    </row>
    <row r="279" ht="20.25" customHeight="1">
      <c r="A279" s="8" t="s">
        <v>1552</v>
      </c>
      <c r="B279" s="8" t="s">
        <v>1553</v>
      </c>
      <c r="C279" s="8" t="s">
        <v>93</v>
      </c>
      <c r="D279" s="8" t="s">
        <v>299</v>
      </c>
      <c r="E279" s="9" t="s">
        <v>44</v>
      </c>
      <c r="F279" s="9" t="s">
        <v>20</v>
      </c>
      <c r="G279" s="9" t="s">
        <v>1554</v>
      </c>
      <c r="H279" s="8" t="s">
        <v>1555</v>
      </c>
      <c r="I279" s="8" t="s">
        <v>1556</v>
      </c>
      <c r="J279" s="9">
        <v>22.32</v>
      </c>
      <c r="K279" s="9">
        <v>7.0</v>
      </c>
      <c r="L279" s="8" t="s">
        <v>59</v>
      </c>
      <c r="M279" s="8" t="s">
        <v>1557</v>
      </c>
      <c r="N279" s="7" t="str">
        <f>IFERROR(__xludf.DUMMYFUNCTION("GOOGLETRANSLATE(L279, ""en"", ""pt"")"),"Trabalhador de paisagismo")</f>
        <v>Trabalhador de paisagismo</v>
      </c>
      <c r="O279" s="7" t="str">
        <f>IFERROR(__xludf.DUMMYFUNCTION("IF(M279="""","""",GOOGLETRANSLATE(M279,""en"",""pt""))"),"Paisagismo e manutenção de terrenos utilizando ferramentas manuais ou elétricas. Os trabalhadores geralmente executam uma variedade de tarefas, que podem incluir qualquer combinação das seguintes: colocação de grama, corte de grama, poda, plantio, irrigaç"&amp;"ão, fertilização, escavação, rastelagem e instalação de blocos de concreto pré-moldados sem argamassa. Nível inicial; requer supervisão. Classificação da vaga: 37-3011.00 - Trabalhadores de Paisagismo e Manutenção de Terrenos. A classificação e descrição "&amp;"da vaga/setor incluem informações gerais sobre o cargo, de acordo com o ONET/OES e o Sistema de Classificação Industrial da América do Norte (NAICS). Consulte as Funções e a Ordem de Serviço para obter mais informações. Requisitos da vaga: Experiência nec"&amp;"essária: Não. Requisitos especiais: Deve ser capaz de levantar/carregar 23 kg, quando necessário. Trabalho aos sábados, quando necessário. O empregador pode oferecer mais horas de trabalho do que as indicadas, dependendo do clima, das necessidades da empr"&amp;"esa e de outras condições. Calor extremo, frio, chuva ou seca podem afetar o horário de trabalho exato. Número de horas por semana: 40. Horário de trabalho (início/término): 7h. - 15h30")</f>
        <v>Paisagismo e manutenção de terrenos utilizando ferramentas manuais ou elétricas. Os trabalhadores geralmente executam uma variedade de tarefas, que podem incluir qualquer combinação das seguintes: colocação de grama, corte de grama, poda, plantio, irrigação, fertilização, escavação, rastelagem e instalação de blocos de concreto pré-moldados sem argamassa. Nível inicial; requer supervisão. Classificação da vaga: 37-3011.00 - Trabalhadores de Paisagismo e Manutenção de Terrenos. A classificação e descrição da vaga/setor incluem informações gerais sobre o cargo, de acordo com o ONET/OES e o Sistema de Classificação Industrial da América do Norte (NAICS). Consulte as Funções e a Ordem de Serviço para obter mais informações. Requisitos da vaga: Experiência necessária: Não. Requisitos especiais: Deve ser capaz de levantar/carregar 23 kg, quando necessário. Trabalho aos sábados, quando necessário. O empregador pode oferecer mais horas de trabalho do que as indicadas, dependendo do clima, das necessidades da empresa e de outras condições. Calor extremo, frio, chuva ou seca podem afetar o horário de trabalho exato. Número de horas por semana: 40. Horário de trabalho (início/término): 7h. - 15h30</v>
      </c>
    </row>
    <row r="280" ht="20.25" customHeight="1">
      <c r="A280" s="3" t="s">
        <v>1558</v>
      </c>
      <c r="B280" s="3" t="s">
        <v>1559</v>
      </c>
      <c r="C280" s="3" t="s">
        <v>363</v>
      </c>
      <c r="D280" s="3" t="s">
        <v>36</v>
      </c>
      <c r="E280" s="4" t="s">
        <v>44</v>
      </c>
      <c r="F280" s="4" t="s">
        <v>20</v>
      </c>
      <c r="G280" s="4" t="s">
        <v>229</v>
      </c>
      <c r="H280" s="3" t="s">
        <v>1560</v>
      </c>
      <c r="I280" s="3" t="s">
        <v>1561</v>
      </c>
      <c r="J280" s="4">
        <v>23.17</v>
      </c>
      <c r="K280" s="4">
        <v>60.0</v>
      </c>
      <c r="L280" s="3" t="s">
        <v>1562</v>
      </c>
      <c r="M280" s="3" t="s">
        <v>1563</v>
      </c>
      <c r="N280" s="7" t="str">
        <f>IFERROR(__xludf.DUMMYFUNCTION("GOOGLETRANSLATE(L280, ""en"", ""pt"")"),"Trabalhador de manutenção de rodovias")</f>
        <v>Trabalhador de manutenção de rodovias</v>
      </c>
      <c r="O280" s="7" t="str">
        <f>IFERROR(__xludf.DUMMYFUNCTION("IF(M280="""","""",GOOGLETRANSLATE(M280,""en"",""pt""))"),"As funções podem incluir: Manutenção de terrenos em propriedades comerciais e públicas; ao longo de rodovias e estradas interestaduais: cortar grama, remover ervas daninhas, podar e aparar árvores, arbustos e sebes rente ao solo. Recolher, limpar e remove"&amp;"r: lixo e detritos. Descartar lixo ou resíduos. Utilizar equipamentos motorizados: cortadores de grama, tratores com roçadeiras, aparadores de cerca viva, tesouras de poda, ferramentas de acabamento, roçadeiras e outras atividades relacionadas à manutençã"&amp;"o de rodovias, conforme SOC/OES 47-4051 (onetonline.org). Horário padrão/esperado: Segunda a sexta, das 7h às 17h30. Oferecemos mais de 40 horas semanais, sem incluir almoço e/ou intervalos. Possibilidade de trabalho em fins de semana e feriados. Os horár"&amp;"ios de início e término, a carga horária e/ou horas extras podem variar, pois dependem de fatores como projetos/cronograma/necessidades do serviço, condições climáticas e tempo de deslocamento entre os locais de trabalho (se aplicável). Horas extras são p"&amp;"ossíveis, mas não obrigatórias ou garantidas. A critério exclusivo do empregador: possíveis aumentos e/ou bônus com base em fatores individuais, como desempenho no trabalho ou habilidades (não garantidos). Moradia compartilhada opcional disponível sem cus"&amp;"to para o trabalhador. Classificação do Cargo: 47-4051.00 - Trabalhadores de Manutenção de Rodovias. A classificação e descrição do cargo/setor incluem informações gerais sobre a posição, conforme ONET/OES e o Sistema de Classificação Industrial da Améric"&amp;"a do Norte (NAICS). Consulte as Funções e a Ordem de Serviço para obter mais informações. Requisitos do Cargo Experiência Necessária: Sim Meses de Experiência Necessários: 3 Requisitos Especiais: É necessário ter 18 anos devido às leis trabalhistas estadu"&amp;"ais. É necessário apresentar comprovante de autorização legal para trabalhar nos Estados Unidos. Ambiente de trabalho livre de drogas, álcool e tabaco. Executar atividades físicas, como levantar, equilibrar-se, caminhar, abaixar-se, manusear, posicionar, "&amp;"mover e manipular materiais; usar força estática para exercer força muscular máxima para levantar, empurrar, puxar e carregar objetos de até 23 kg. Todos os candidatos devem ser capazes, estar dispostos e qualificados para executar o trabalho descrito e d"&amp;"evem estar disponíveis durante todo o período especificado e trabalhar em todas as áreas do emprego pretendido. A critério do empregador/custo: o trabalhador poderá ser submetido a testes aleatórios de drogas/álcool durante o emprego: teste positivo/recus"&amp;"a em cumprir o teste = demissão. O trabalho é realizado ao ar livre, exposto às intempéries; o candidato deve ser capaz de realizar trabalho fisicamente extenuante por longos períodos, ocasionalmente em calor ou frio extremos. As condições climáticas são "&amp;"variáveis; a carga horária pode sofrer alterações (+/-), com possibilidade de períodos de inatividade e/ou horas extras. Número de horas por semana: 40. Horário de trabalho (início/término): 7h00 - 17h30.")</f>
        <v>As funções podem incluir: Manutenção de terrenos em propriedades comerciais e públicas; ao longo de rodovias e estradas interestaduais: cortar grama, remover ervas daninhas, podar e aparar árvores, arbustos e sebes rente ao solo. Recolher, limpar e remover: lixo e detritos. Descartar lixo ou resíduos. Utilizar equipamentos motorizados: cortadores de grama, tratores com roçadeiras, aparadores de cerca viva, tesouras de poda, ferramentas de acabamento, roçadeiras e outras atividades relacionadas à manutenção de rodovias, conforme SOC/OES 47-4051 (onetonline.org). Horário padrão/esperado: Segunda a sexta, das 7h às 17h30. Oferecemos mais de 40 horas semanais, sem incluir almoço e/ou intervalos. Possibilidade de trabalho em fins de semana e feriados. Os horários de início e término, a carga horária e/ou horas extras podem variar, pois dependem de fatores como projetos/cronograma/necessidades do serviço, condições climáticas e tempo de deslocamento entre os locais de trabalho (se aplicável). Horas extras são possíveis, mas não obrigatórias ou garantidas. A critério exclusivo do empregador: possíveis aumentos e/ou bônus com base em fatores individuais, como desempenho no trabalho ou habilidades (não garantidos). Moradia compartilhada opcional disponível sem custo para o trabalhador. Classificação do Cargo: 47-4051.00 - Trabalhadores de Manutenção de Rodovias. A classificação e descrição do cargo/setor incluem informações gerais sobre a posição, conforme ONET/OES e o Sistema de Classificação Industrial da América do Norte (NAICS). Consulte as Funções e a Ordem de Serviço para obter mais informações. Requisitos do Cargo Experiência Necessária: Sim Meses de Experiência Necessários: 3 Requisitos Especiais: É necessário ter 18 anos devido às leis trabalhistas estaduais. É necessário apresentar comprovante de autorização legal para trabalhar nos Estados Unidos. Ambiente de trabalho livre de drogas, álcool e tabaco. Executar atividades físicas, como levantar, equilibrar-se, caminhar, abaixar-se, manusear, posicionar, mover e manipular materiais; usar força estática para exercer força muscular máxima para levantar, empurrar, puxar e carregar objetos de até 23 kg. Todos os candidatos devem ser capazes, estar dispostos e qualificados para executar o trabalho descrito e devem estar disponíveis durante todo o período especificado e trabalhar em todas as áreas do emprego pretendido. A critério do empregador/custo: o trabalhador poderá ser submetido a testes aleatórios de drogas/álcool durante o emprego: teste positivo/recusa em cumprir o teste = demissão. O trabalho é realizado ao ar livre, exposto às intempéries; o candidato deve ser capaz de realizar trabalho fisicamente extenuante por longos períodos, ocasionalmente em calor ou frio extremos. As condições climáticas são variáveis; a carga horária pode sofrer alterações (+/-), com possibilidade de períodos de inatividade e/ou horas extras. Número de horas por semana: 40. Horário de trabalho (início/término): 7h00 - 17h30.</v>
      </c>
    </row>
    <row r="281" ht="20.25" customHeight="1">
      <c r="A281" s="8" t="s">
        <v>1564</v>
      </c>
      <c r="B281" s="8" t="s">
        <v>1565</v>
      </c>
      <c r="C281" s="8" t="s">
        <v>169</v>
      </c>
      <c r="D281" s="8" t="s">
        <v>36</v>
      </c>
      <c r="E281" s="9" t="s">
        <v>19</v>
      </c>
      <c r="F281" s="9" t="s">
        <v>20</v>
      </c>
      <c r="G281" s="9" t="s">
        <v>1340</v>
      </c>
      <c r="H281" s="8" t="s">
        <v>1566</v>
      </c>
      <c r="I281" s="8" t="s">
        <v>1567</v>
      </c>
      <c r="J281" s="9">
        <v>18.72</v>
      </c>
      <c r="K281" s="9">
        <v>30.0</v>
      </c>
      <c r="L281" s="8" t="s">
        <v>1568</v>
      </c>
      <c r="M281" s="8" t="s">
        <v>1569</v>
      </c>
      <c r="N281" s="7" t="str">
        <f>IFERROR(__xludf.DUMMYFUNCTION("GOOGLETRANSLATE(L281, ""en"", ""pt"")"),"Membro da Equipe de Paisagismo")</f>
        <v>Membro da Equipe de Paisagismo</v>
      </c>
      <c r="O281" s="7" t="str">
        <f>IFERROR(__xludf.DUMMYFUNCTION("IF(M281="""","""",GOOGLETRANSLATE(M281,""en"",""pt""))"),"Paisagismo e manutenção de terrenos utilizando ferramentas manuais ou elétricas. Os trabalhadores geralmente executam uma variedade de tarefas, que podem incluir qualquer combinação das seguintes: colocação de grama, corte de grama, poda, plantio, rega, f"&amp;"ertilização, escavação, rastelamento, espalhamento de agulhas de pinheiro, cobertura morta, remoção de lixo/detritos, instalação e manutenção de sistemas de irrigação; e auxílio na instalação de blocos de concreto pré-moldados sem argamassa/similares. Aux"&amp;"iliar na instalação e reparo de sistemas de irrigação utilizando uma pá manual. Nível inicial; requer supervisão. Classificação da vaga: 37-3011.00 - Trabalhadores de Paisagismo e Manutenção de Terrenos. A classificação e descrição da vaga/setor incluem i"&amp;"nformações gerais sobre o cargo, de acordo com o ONET/OES e o Sistema de Classificação Industrial da América do Norte. Consulte as Funções e a Ordem de Serviço para obter mais informações. Requisitos da vaga: Experiência necessária: Não. Requisitos especi"&amp;"ais: Deve ser capaz de levantar/carregar 23 kg, quando necessário. Trabalho aos sábados e domingos, quando necessário. O empregador exige que trabalhadores estrangeiros e nacionais se submetam a testes de drogas pagos pelo empregador antes do início do tr"&amp;"abalho e após a contratação, em caso de acidente. O empregador poderá oferecer uma jornada de trabalho superior à estipulada, dependendo das condições climáticas, das necessidades da empresa e de outros fatores. Calor extremo, frio intenso, chuva ou seca "&amp;"podem afetar o horário de trabalho exato. Número de horas por semana: 45. Horário de trabalho (início/término): 7h às 17h.")</f>
        <v>Paisagismo e manutenção de terrenos utilizando ferramentas manuais ou elétricas. Os trabalhadores geralmente executam uma variedade de tarefas, que podem incluir qualquer combinação das seguintes: colocação de grama, corte de grama, poda, plantio, rega, fertilização, escavação, rastelamento, espalhamento de agulhas de pinheiro, cobertura morta, remoção de lixo/detritos, instalação e manutenção de sistemas de irrigação; e auxílio na instalação de blocos de concreto pré-moldados sem argamassa/similares. Auxiliar na instalação e reparo de sistemas de irrigação utilizando uma pá manual. Nível inicial; requer supervisão. Classificação da vaga: 37-3011.00 - Trabalhadores de Paisagismo e Manutenção de Terrenos. A classificação e descrição da vaga/setor incluem informações gerais sobre o cargo, de acordo com o ONET/OES e o Sistema de Classificação Industrial da América do Norte. Consulte as Funções e a Ordem de Serviço para obter mais informações. Requisitos da vaga: Experiência necessária: Não. Requisitos especiais: Deve ser capaz de levantar/carregar 23 kg, quando necessário. Trabalho aos sábados e domingos, quando necessário. O empregador exige que trabalhadores estrangeiros e nacionais se submetam a testes de drogas pagos pelo empregador antes do início do trabalho e após a contratação, em caso de acidente. O empregador poderá oferecer uma jornada de trabalho superior à estipulada, dependendo das condições climáticas, das necessidades da empresa e de outros fatores. Calor extremo, frio intenso, chuva ou seca podem afetar o horário de trabalho exato. Número de horas por semana: 45. Horário de trabalho (início/término): 7h às 17h.</v>
      </c>
    </row>
    <row r="282" ht="20.25" customHeight="1">
      <c r="A282" s="3" t="s">
        <v>1570</v>
      </c>
      <c r="B282" s="3" t="s">
        <v>1571</v>
      </c>
      <c r="C282" s="3" t="s">
        <v>125</v>
      </c>
      <c r="D282" s="3" t="s">
        <v>306</v>
      </c>
      <c r="E282" s="4" t="s">
        <v>19</v>
      </c>
      <c r="F282" s="4" t="s">
        <v>20</v>
      </c>
      <c r="G282" s="4" t="s">
        <v>146</v>
      </c>
      <c r="H282" s="3" t="s">
        <v>1572</v>
      </c>
      <c r="I282" s="3" t="s">
        <v>1573</v>
      </c>
      <c r="J282" s="4">
        <v>19.93</v>
      </c>
      <c r="K282" s="4">
        <v>20.0</v>
      </c>
      <c r="L282" s="3" t="s">
        <v>129</v>
      </c>
      <c r="M282" s="3" t="s">
        <v>1574</v>
      </c>
      <c r="N282" s="7" t="str">
        <f>IFERROR(__xludf.DUMMYFUNCTION("GOOGLETRANSLATE(L282, ""en"", ""pt"")"),"Trabalhador de paisagismo e manutenção de jardins")</f>
        <v>Trabalhador de paisagismo e manutenção de jardins</v>
      </c>
      <c r="O282" s="7" t="str">
        <f>IFERROR(__xludf.DUMMYFUNCTION("IF(M282="""","""",GOOGLETRANSLATE(M282,""en"",""pt""))"),"As funções incluem a instalação de árvores, arbustos ou flores durante o período de dormência, seguindo o padrão de design apropriado. Isso inclui descarregar materiais, cavar buracos para o sistema radicular, cobrir os buracos adequadamente e, às vezes, "&amp;"colocar grama em placas, plantar sementes de grama ou conectar a irrigação. Também envolve a remoção de folhas, plantio de sementes e palha, aeração do gramado, plantio de arbustos, escavação, rastelagem e instalação de blocos de concreto pré-moldados sem"&amp;" argamassa. Os trabalhadores podem coletar e remover lixo, regar gramados, árvores e plantas semeadas, além de podar árvores, arbustos ou sebes. Podem operar equipamentos motorizados e dirigir veículos até os locais dos clientes. As tarefas podem incluir "&amp;"colocação de grama em placas, corte de grama, rega de plantas e gramados, transplante de plantas, fertilização, escavação, rastelagem e instalação de aspersores. Os funcionários cavarão valas com no máximo 15 a 30 cm de profundidade e 15 a 30 cm de largur"&amp;"a com pás e ferramentas manuais. Essas valas são usadas para acomodar a tubulação utilizada na instalação de sistemas de irrigação. Toda a poda/aparamento será feita no solo. Os trabalhadores não realizarão nenhuma atividade de poda ou corte acima do níve"&amp;"l do solo. O trabalhador poderá transportar outros trabalhadores de e para os locais de trabalho ocasionalmente, porém essa não será sua principal função. Os trabalhadores poderão operar equipamentos motorizados de jardinagem, incluindo cortadores de gram"&amp;"a, aparadores de borda, sopradores, roçadeiras, roçadeiras de jardim, tratores pequenos e equipamentos similares. Os trabalhadores poderão dirigir veículos da empresa, incluindo caminhonetes Ford F250 e vans Ford E-350, de e para os locais de trabalho dos"&amp;" clientes. Os trabalhadores poderão ocasionalmente transportar outros trabalhadores de e para os locais de trabalho; no entanto, o transporte de trabalhadores não é uma função principal. Os trabalhadores também poderão ocasionalmente transportar materiais"&amp;", ferramentas e equipamentos de jardinagem de e para os locais de trabalho, incluindo cobertura morta, plantas em vasos, pás, ancinhos, cortadores de grama, sopradores e roçadeiras de jardim. Nenhum material perigoso será transportado pelos trabalhadores."&amp;" Todos os veículos e equipamentos operados têm peso bruto total inferior a 26.000 libras (aproximadamente 11.800 kg), incluindo quaisquer reboques acoplados ou materiais transportados. Classificação da Função: 37-3011.00 - Trabalhadores de Paisagismo e Ma"&amp;"nutenção de Jardins. A classificação e descrição da função/setor inclui informações gerais sobre o cargo, de acordo com o ONET/OES e o Sistema de Classificação Industrial da América do Norte (NAICS). Consulte as Funções e a Ordem de Serviço para obter mai"&amp;"s informações. Requisitos da Função Experiência Necessária: Sim Meses de Experiência Necessários: 3 Requisitos Especiais: Capacidade de levantar 23 kg, realizar movimentos repetitivos, empurrar/puxar com frequência, caminhar bastante, agachar-se frequente"&amp;"mente e estar exposto a temperaturas extremas. 3 meses de experiência são necessários. De acordo com a legislação estadual de Michigan, Lei 338 de Licença Médica Remunerada, os empregadores são obrigados a fornecer licença médica remunerada aos seus funci"&amp;"onários. A quantidade de licença médica remunerada concedida pode variar dependendo do porte da empresa. Número de Horas por Semana: 40 Horário de Trabalho (Início/Término): 7h às 16h.")</f>
        <v>As funções incluem a instalação de árvores, arbustos ou flores durante o período de dormência, seguindo o padrão de design apropriado. Isso inclui descarregar materiais, cavar buracos para o sistema radicular, cobrir os buracos adequadamente e, às vezes, colocar grama em placas, plantar sementes de grama ou conectar a irrigação. Também envolve a remoção de folhas, plantio de sementes e palha, aeração do gramado, plantio de arbustos, escavação, rastelagem e instalação de blocos de concreto pré-moldados sem argamassa. Os trabalhadores podem coletar e remover lixo, regar gramados, árvores e plantas semeadas, além de podar árvores, arbustos ou sebes. Podem operar equipamentos motorizados e dirigir veículos até os locais dos clientes. As tarefas podem incluir colocação de grama em placas, corte de grama, rega de plantas e gramados, transplante de plantas, fertilização, escavação, rastelagem e instalação de aspersores. Os funcionários cavarão valas com no máximo 15 a 30 cm de profundidade e 15 a 30 cm de largura com pás e ferramentas manuais. Essas valas são usadas para acomodar a tubulação utilizada na instalação de sistemas de irrigação. Toda a poda/aparamento será feita no solo. Os trabalhadores não realizarão nenhuma atividade de poda ou corte acima do nível do solo. O trabalhador poderá transportar outros trabalhadores de e para os locais de trabalho ocasionalmente, porém essa não será sua principal função. Os trabalhadores poderão operar equipamentos motorizados de jardinagem, incluindo cortadores de grama, aparadores de borda, sopradores, roçadeiras, roçadeiras de jardim, tratores pequenos e equipamentos similares. Os trabalhadores poderão dirigir veículos da empresa, incluindo caminhonetes Ford F250 e vans Ford E-350, de e para os locais de trabalho dos clientes. Os trabalhadores poderão ocasionalmente transportar outros trabalhadores de e para os locais de trabalho; no entanto, o transporte de trabalhadores não é uma função principal. Os trabalhadores também poderão ocasionalmente transportar materiais, ferramentas e equipamentos de jardinagem de e para os locais de trabalho, incluindo cobertura morta, plantas em vasos, pás, ancinhos, cortadores de grama, sopradores e roçadeiras de jardim. Nenhum material perigoso será transportado pelos trabalhadores. Todos os veículos e equipamentos operados têm peso bruto total inferior a 26.000 libras (aproximadamente 11.800 kg), incluindo quaisquer reboques acoplados ou materiais transportados. Classificação da Função: 37-3011.00 - Trabalhadores de Paisagismo e Manutenção de Jardins. A classificação e descrição da função/setor inclui informações gerais sobre o cargo, de acordo com o ONET/OES e o Sistema de Classificação Industrial da América do Norte (NAICS). Consulte as Funções e a Ordem de Serviço para obter mais informações. Requisitos da Função Experiência Necessária: Sim Meses de Experiência Necessários: 3 Requisitos Especiais: Capacidade de levantar 23 kg, realizar movimentos repetitivos, empurrar/puxar com frequência, caminhar bastante, agachar-se frequentemente e estar exposto a temperaturas extremas. 3 meses de experiência são necessários. De acordo com a legislação estadual de Michigan, Lei 338 de Licença Médica Remunerada, os empregadores são obrigados a fornecer licença médica remunerada aos seus funcionários. A quantidade de licença médica remunerada concedida pode variar dependendo do porte da empresa. Número de Horas por Semana: 40 Horário de Trabalho (Início/Término): 7h às 16h.</v>
      </c>
    </row>
    <row r="283" ht="20.25" customHeight="1">
      <c r="A283" s="8" t="s">
        <v>1575</v>
      </c>
      <c r="B283" s="8" t="s">
        <v>1576</v>
      </c>
      <c r="C283" s="8" t="s">
        <v>125</v>
      </c>
      <c r="D283" s="8" t="s">
        <v>109</v>
      </c>
      <c r="E283" s="9" t="s">
        <v>19</v>
      </c>
      <c r="F283" s="9" t="s">
        <v>20</v>
      </c>
      <c r="G283" s="9" t="s">
        <v>146</v>
      </c>
      <c r="H283" s="8" t="s">
        <v>1577</v>
      </c>
      <c r="I283" s="8" t="s">
        <v>1578</v>
      </c>
      <c r="J283" s="9">
        <v>18.69</v>
      </c>
      <c r="K283" s="9">
        <v>18.0</v>
      </c>
      <c r="L283" s="8" t="s">
        <v>129</v>
      </c>
      <c r="M283" s="8" t="s">
        <v>1579</v>
      </c>
      <c r="N283" s="7" t="str">
        <f>IFERROR(__xludf.DUMMYFUNCTION("GOOGLETRANSLATE(L283, ""en"", ""pt"")"),"Trabalhador de paisagismo e manutenção de jardins")</f>
        <v>Trabalhador de paisagismo e manutenção de jardins</v>
      </c>
      <c r="O283" s="7" t="str">
        <f>IFERROR(__xludf.DUMMYFUNCTION("IF(M283="""","""",GOOGLETRANSLATE(M283,""en"",""pt""))"),"As funções incluem a instalação de árvores, arbustos ou flores durante o período de dormência, seguindo o padrão de design apropriado. Isso inclui descarregar materiais, cavar buracos para o sistema radicular, cobrir os buracos adequadamente e, às vezes, "&amp;"colocar grama em placas, plantar sementes de grama ou conectar a irrigação. Também envolve a remoção de folhas, plantio de sementes e palha, aeração do gramado, plantio de arbustos, escavação, rastelagem e instalação de blocos de concreto pré-moldados sem"&amp;" argamassa. Os trabalhadores podem coletar e remover lixo, regar gramados, árvores e plantas semeadas, além de podar árvores, arbustos ou sebes. Podem operar equipamentos motorizados e dirigir veículos até os locais dos clientes. As tarefas podem incluir "&amp;"colocação de grama em placas, corte de grama, rega de plantas e gramados, transplante de plantas, fertilização, escavação, rastelagem e instalação de aspersores. Os funcionários cavarão valas com no máximo 15 a 30 cm de profundidade e 15 a 30 cm de largur"&amp;"a com pás e ferramentas manuais. Essas valas são usadas para acomodar a tubulação utilizada na instalação de sistemas de irrigação. Toda a poda/aparamento será feita no solo. Os trabalhadores não realizarão nenhuma atividade de poda ou corte acima do níve"&amp;"l do solo. O trabalhador poderá transportar outros trabalhadores de e para os locais de trabalho ocasionalmente, porém essa não será sua principal função. Os trabalhadores poderão operar equipamentos motorizados de jardinagem, incluindo cortadores de gram"&amp;"a, aparadores de borda, sopradores, roçadeiras, roçadeiras de jardim, pequenos tratores e equipamentos similares. Os trabalhadores poderão dirigir veículos da empresa, incluindo caminhões, vans e SUVs, de e para os locais de trabalho dos clientes. Os trab"&amp;"alhadores poderão ocasionalmente transportar outros trabalhadores de e para os locais de trabalho; no entanto, o transporte de trabalhadores não é uma função principal. Os trabalhadores também poderão ocasionalmente transportar materiais, ferramentas e eq"&amp;"uipamentos de jardinagem de e para os locais de trabalho, incluindo cobertura morta, plantas em vasos, pás, ancinhos, cortadores de grama, sopradores e roçadeiras de jardim. Nenhum material perigoso será transportado pelos trabalhadores. Todos os veículos"&amp;" e equipamentos operados têm peso bruto total inferior a 26.000 libras (aproximadamente 11.800 kg), incluindo quaisquer reboques acoplados ou materiais transportados. Classificação da Função: 37-3011.00 - Trabalhadores de Paisagismo e Manutenção de Jardin"&amp;"s. A classificação e descrição da função/setor inclui informações gerais sobre o cargo, de acordo com o ONET/OES e o Sistema de Classificação Industrial da América do Norte (NAICS). Consulte as Funções e a Ordem de Serviço para obter mais informações. Req"&amp;"uisitos da Função Experiência Necessária: Sim Meses de Experiência Necessários: 3 Requisitos Especiais: Capacidade de levantar 23 kg, realizar movimentos repetitivos, empurrar/puxar com frequência, caminhar bastante, agachar-se frequentemente e estar expo"&amp;"sto a temperaturas extremas. 3 meses de experiência são necessários. Número de Horas por Semana: 40 Horário de Trabalho (Início/Término): 7h às 16h")</f>
        <v>As funções incluem a instalação de árvores, arbustos ou flores durante o período de dormência, seguindo o padrão de design apropriado. Isso inclui descarregar materiais, cavar buracos para o sistema radicular, cobrir os buracos adequadamente e, às vezes, colocar grama em placas, plantar sementes de grama ou conectar a irrigação. Também envolve a remoção de folhas, plantio de sementes e palha, aeração do gramado, plantio de arbustos, escavação, rastelagem e instalação de blocos de concreto pré-moldados sem argamassa. Os trabalhadores podem coletar e remover lixo, regar gramados, árvores e plantas semeadas, além de podar árvores, arbustos ou sebes. Podem operar equipamentos motorizados e dirigir veículos até os locais dos clientes. As tarefas podem incluir colocação de grama em placas, corte de grama, rega de plantas e gramados, transplante de plantas, fertilização, escavação, rastelagem e instalação de aspersores. Os funcionários cavarão valas com no máximo 15 a 30 cm de profundidade e 15 a 30 cm de largura com pás e ferramentas manuais. Essas valas são usadas para acomodar a tubulação utilizada na instalação de sistemas de irrigação. Toda a poda/aparamento será feita no solo. Os trabalhadores não realizarão nenhuma atividade de poda ou corte acima do nível do solo. O trabalhador poderá transportar outros trabalhadores de e para os locais de trabalho ocasionalmente, porém essa não será sua principal função. Os trabalhadores poderão operar equipamentos motorizados de jardinagem, incluindo cortadores de grama, aparadores de borda, sopradores, roçadeiras, roçadeiras de jardim, pequenos tratores e equipamentos similares. Os trabalhadores poderão dirigir veículos da empresa, incluindo caminhões, vans e SUVs, de e para os locais de trabalho dos clientes. Os trabalhadores poderão ocasionalmente transportar outros trabalhadores de e para os locais de trabalho; no entanto, o transporte de trabalhadores não é uma função principal. Os trabalhadores também poderão ocasionalmente transportar materiais, ferramentas e equipamentos de jardinagem de e para os locais de trabalho, incluindo cobertura morta, plantas em vasos, pás, ancinhos, cortadores de grama, sopradores e roçadeiras de jardim. Nenhum material perigoso será transportado pelos trabalhadores. Todos os veículos e equipamentos operados têm peso bruto total inferior a 26.000 libras (aproximadamente 11.800 kg), incluindo quaisquer reboques acoplados ou materiais transportados. Classificação da Função: 37-3011.00 - Trabalhadores de Paisagismo e Manutenção de Jardins. A classificação e descrição da função/setor inclui informações gerais sobre o cargo, de acordo com o ONET/OES e o Sistema de Classificação Industrial da América do Norte (NAICS). Consulte as Funções e a Ordem de Serviço para obter mais informações. Requisitos da Função Experiência Necessária: Sim Meses de Experiência Necessários: 3 Requisitos Especiais: Capacidade de levantar 23 kg, realizar movimentos repetitivos, empurrar/puxar com frequência, caminhar bastante, agachar-se frequentemente e estar exposto a temperaturas extremas. 3 meses de experiência são necessários. Número de Horas por Semana: 40 Horário de Trabalho (Início/Término): 7h às 16h</v>
      </c>
    </row>
    <row r="284" ht="20.25" customHeight="1">
      <c r="A284" s="3" t="s">
        <v>1580</v>
      </c>
      <c r="B284" s="3" t="s">
        <v>1581</v>
      </c>
      <c r="C284" s="3" t="s">
        <v>169</v>
      </c>
      <c r="D284" s="3" t="s">
        <v>403</v>
      </c>
      <c r="E284" s="4" t="s">
        <v>19</v>
      </c>
      <c r="F284" s="4" t="s">
        <v>20</v>
      </c>
      <c r="G284" s="4" t="s">
        <v>56</v>
      </c>
      <c r="H284" s="3" t="s">
        <v>1582</v>
      </c>
      <c r="I284" s="3" t="s">
        <v>1583</v>
      </c>
      <c r="J284" s="4">
        <v>18.52</v>
      </c>
      <c r="K284" s="4">
        <v>12.0</v>
      </c>
      <c r="L284" s="3" t="s">
        <v>1584</v>
      </c>
      <c r="M284" s="3" t="s">
        <v>1585</v>
      </c>
      <c r="N284" s="7" t="str">
        <f>IFERROR(__xludf.DUMMYFUNCTION("GOOGLETRANSLATE(L284, ""en"", ""pt"")"),"Limpeza de Edifícios")</f>
        <v>Limpeza de Edifícios</v>
      </c>
      <c r="O284" s="7" t="str">
        <f>IFERROR(__xludf.DUMMYFUNCTION("IF(M284="""","""",GOOGLETRANSLATE(M284,""en"",""pt""))"),"Executar serviços de limpeza e manutenção predial pós-construção/reforma, seguindo os procedimentos padrão de construção ou instalação de equipamentos em obras residenciais e comerciais. Os funcionários devem realizar uma variedade de tarefas, incluindo q"&amp;"ualquer combinação das seguintes: limpeza de pisos, lavagem de paredes, descarte de lixo, limpeza de equipamentos, manutenção predial de rotina e inspeção das instalações. Nível inicial; requer supervisão. A função de Auxiliar de Limpeza Predial envolve u"&amp;"ma gama de tarefas associadas à manutenção da limpeza e higienização em ambientes comerciais, residenciais e pós-construção. Limpeza pós-construção: Remoção de poeira, detritos e resíduos de construção de superfícies, acessórios e pisos utilizando aspirad"&amp;"ores industriais, limpeza úmida e produtos de limpeza especializados. Serviços gerais de limpeza e zeladoria: Varrição, lavagem, aspiração e desinfecção de pisos; limpeza de banheiros, cozinhas e áreas comuns; esvaziamento de lixeiras e troca de sacos de "&amp;"lixo. Manutenção de superfícies e acessórios: Limpeza úmida de janelas, paredes, portas, rodapés e luminárias para remover sujeira e manter a aparência. Limpeza e polimento: Limpar móveis, saídas de ar e outras superfícies para reduzir alérgenos e manter "&amp;"a higiene. Reposição de suprimentos e relatórios: Repor sabonete, produtos de papel e outros materiais de consumo; relatar quaisquer problemas de manutenção, como acessórios quebrados ou vazamentos, aos supervisores. Manutenção básica do prédio: Auxiliar "&amp;"em tarefas básicas, como trocar lâmpadas, substituir filtros de ar e garantir que os equipamentos de limpeza estejam em boas condições de funcionamento. Classificação do cargo: 37-2011.00 - Zeladores e Faxineiros, exceto empregadas domésticas e faxineiras"&amp;". A classificação e a descrição do cargo/setor incluem informações gerais sobre a posição, de acordo com o ONET/OES e o Sistema de Classificação Industrial da América do Norte. Consulte as Funções e a Ordem de Serviço para obter mais informações. Requisit"&amp;"os do cargo: Experiência necessária: Não. Requisitos especiais: Deve ser capaz de levantar/carregar 23 kg, quando necessário. Turno padrão: 1º turno, das 7h às 15h30, de segunda a sexta-feira, ou 2º turno, das 15h30 à 0h, de segunda a sexta-feira, depende"&amp;"ndo da escala de trabalho. Os trabalhadores poderão ser solicitados a trabalhar em qualquer um dos turnos, dependendo das necessidades da empresa. O empregador exige que trabalhadores estrangeiros e nacionais se submetam a testes de drogas pagos pelo empr"&amp;"egador antes do início do trabalho e após a contratação, em caso de suspeita de uso. A verificação de antecedentes criminais após a contratação também é obrigatória para trabalhadores estrangeiros e nacionais. O empregador poderá oferecer uma jornada de t"&amp;"rabalho superior à estipulada, dependendo das condições climáticas, das necessidades da empresa e de outros fatores. Calor extremo, frio, chuva ou seca podem afetar o horário de trabalho exato. Número de horas por semana: 40. Horário de trabalho (início/t"&amp;"érmino): 7h às 15h30.")</f>
        <v>Executar serviços de limpeza e manutenção predial pós-construção/reforma, seguindo os procedimentos padrão de construção ou instalação de equipamentos em obras residenciais e comerciais. Os funcionários devem realizar uma variedade de tarefas, incluindo qualquer combinação das seguintes: limpeza de pisos, lavagem de paredes, descarte de lixo, limpeza de equipamentos, manutenção predial de rotina e inspeção das instalações. Nível inicial; requer supervisão. A função de Auxiliar de Limpeza Predial envolve uma gama de tarefas associadas à manutenção da limpeza e higienização em ambientes comerciais, residenciais e pós-construção. Limpeza pós-construção: Remoção de poeira, detritos e resíduos de construção de superfícies, acessórios e pisos utilizando aspiradores industriais, limpeza úmida e produtos de limpeza especializados. Serviços gerais de limpeza e zeladoria: Varrição, lavagem, aspiração e desinfecção de pisos; limpeza de banheiros, cozinhas e áreas comuns; esvaziamento de lixeiras e troca de sacos de lixo. Manutenção de superfícies e acessórios: Limpeza úmida de janelas, paredes, portas, rodapés e luminárias para remover sujeira e manter a aparência. Limpeza e polimento: Limpar móveis, saídas de ar e outras superfícies para reduzir alérgenos e manter a higiene. Reposição de suprimentos e relatórios: Repor sabonete, produtos de papel e outros materiais de consumo; relatar quaisquer problemas de manutenção, como acessórios quebrados ou vazamentos, aos supervisores. Manutenção básica do prédio: Auxiliar em tarefas básicas, como trocar lâmpadas, substituir filtros de ar e garantir que os equipamentos de limpeza estejam em boas condições de funcionamento. Classificação do cargo: 37-2011.00 - Zeladores e Faxineiros, exceto empregadas domésticas e faxineiras. A classificação e a descrição do cargo/setor incluem informações gerais sobre a posição, de acordo com o ONET/OES e o Sistema de Classificação Industrial da América do Norte. Consulte as Funções e a Ordem de Serviço para obter mais informações. Requisitos do cargo: Experiência necessária: Não. Requisitos especiais: Deve ser capaz de levantar/carregar 23 kg, quando necessário. Turno padrão: 1º turno, das 7h às 15h30, de segunda a sexta-feira, ou 2º turno, das 15h30 à 0h, de segunda a sexta-feira, dependendo da escala de trabalho. Os trabalhadores poderão ser solicitados a trabalhar em qualquer um dos turnos, dependendo das necessidades da empresa. O empregador exige que trabalhadores estrangeiros e nacionais se submetam a testes de drogas pagos pelo empregador antes do início do trabalho e após a contratação, em caso de suspeita de uso. A verificação de antecedentes criminais após a contratação também é obrigatória para trabalhadores estrangeiros e nacionais. O empregador poderá oferecer uma jornada de trabalho superior à estipulada, dependendo das condições climáticas, das necessidades da empresa e de outros fatores. Calor extremo, frio, chuva ou seca podem afetar o horário de trabalho exato. Número de horas por semana: 40. Horário de trabalho (início/término): 7h às 15h30.</v>
      </c>
    </row>
    <row r="285" ht="20.25" customHeight="1">
      <c r="A285" s="8" t="s">
        <v>1586</v>
      </c>
      <c r="B285" s="8" t="s">
        <v>1587</v>
      </c>
      <c r="C285" s="8" t="s">
        <v>169</v>
      </c>
      <c r="D285" s="8" t="s">
        <v>51</v>
      </c>
      <c r="E285" s="9" t="s">
        <v>19</v>
      </c>
      <c r="F285" s="9" t="s">
        <v>20</v>
      </c>
      <c r="G285" s="9" t="s">
        <v>377</v>
      </c>
      <c r="H285" s="8" t="s">
        <v>1588</v>
      </c>
      <c r="I285" s="8"/>
      <c r="J285" s="9">
        <v>18.99</v>
      </c>
      <c r="K285" s="9">
        <v>45.0</v>
      </c>
      <c r="L285" s="8" t="s">
        <v>726</v>
      </c>
      <c r="M285" s="8" t="s">
        <v>1589</v>
      </c>
      <c r="N285" s="7" t="str">
        <f>IFERROR(__xludf.DUMMYFUNCTION("GOOGLETRANSLATE(L285, ""en"", ""pt"")"),"Trabalhador Florestal")</f>
        <v>Trabalhador Florestal</v>
      </c>
      <c r="O285" s="7" t="str">
        <f>IFERROR(__xludf.DUMMYFUNCTION("IF(M285="""","""",GOOGLETRANSLATE(M285,""en"",""pt""))"),"Trabalho manual itinerante para plantar mudas de árvores manualmente e realizar o desbaste pré-comercial para reflorestamento e manutenção de áreas florestais. Plantar árvores de raiz nua ou em contêineres usando pá, enxada, plantadeira de solo ou enxada "&amp;"mecânica. Transportar as árvores em sacos próprios para mudas. Selecionar o local ideal para o plantio, considerando o espaçamento, o tipo de solo e a necessidade de sombra. Cavar buracos em intervalos predeterminados e inserir as mudas. Compactar o solo "&amp;"ao redor da planta com o pé e uma ferramenta de plantio. Usar motosserra, roçadeira ou outras ferramentas manuais para remover o excesso de árvores e vegetação. Determinar quais árvores jovens devem ser deixadas para crescimento acelerado, levando em cons"&amp;"ideração o espaçamento, a espécie, o tamanho, a ausência de doenças ou outros defeitos e os possíveis danos às árvores restantes. Cortar arbustos e vegetação. Usar um pulverizador costal ou outras ferramentas manuais para pulverizar ou injetar herbicidas "&amp;"e reduzir a vegetação concorrente. Demarcar os limites da área. Trabalhadores que solicitarem e obtiverem, ou que já possuírem, um certificado de registro FLC ou FLCE com autorização para dirigir, emitido pela Divisão de Salários e Horas do Departamento d"&amp;"o Trabalho dos EUA (USDOL), durante o período de emprego, poderão transportar outros trabalhadores, realizar contagens e verificações, e poderão receber horas extras de trabalho. Essas funções envolvem a propagação, proteção e manejo de áreas florestais. "&amp;"Trabalhadores que possuírem um Certificado de Empregado de Contratante de Trabalho Agrícola (FLCE) e operarem um veículo da empresa inspecionado poderão transportar membros da equipe de suas residências até o local de trabalho inicial e entre os locais de"&amp;" trabalho durante o dia de trabalho, conforme necessário e sob a supervisão do gerente. As tarefas de transporte são acessórias ao trabalho florestal principal que está sendo realizado. ""Contar e verificar"" refere-se à verificação da presença da equipe,"&amp;" contando os trabalhadores antes da partida, na chegada ao local de trabalho e conforme necessário ao longo do dia de trabalho. Trabalhadores que possuírem um Certificado FLCE válido poderão receber horas extras de trabalho relacionadas ao transporte da e"&amp;"quipe de suas residências até o local de trabalho inicial antes do início do dia de trabalho, sob a supervisão do gerente. Essas tarefas se limitam às atividades de transporte autorizadas e a qualquer verificação de presença relacionada, necessária para g"&amp;"arantir que todos os trabalhadores cheguem em segurança e sejam contabilizados antes do início das operações florestais. O empregador poderá pagar taxas por peça de US$ 0,03 por árvore plantada corretamente, de US$ 35,00 a US$ 60,00 por acre desbastado co"&amp;"rretamente e US$ 50,00 por milha para demarcar linhas de divisa; porém, não inferior ao salário vigente mais alto na área de atuação pretendida, prevalecendo o valor mais alto. Classificação da função: 45-4011.00 - Trabalhadores Florestais e de Conservaçã"&amp;"o. A classificação e descrição da função/setor incluem informações gerais sobre o cargo, conforme o ONET/OES e o Sistema de Classificação Industrial da América do Norte. Consulte as Funções e a Ordem de Serviço para obter mais informações. Requisitos da f"&amp;"unção: Experiência exigida: Não. Requisitos especiais: Não são exigidos escolaridade ou experiência. Requer resistência física. Deve ser capaz de levantar e carregar 23 kg. Caminhadas extensas em terrenos acidentados. O trabalho é realizado em condições c"&amp;"limáticas adversas. O horário e os locais de trabalho dependem das condições climáticas. Viagens com pernoite são necessárias. A meta de produção é de 3.000 mudas de árvores plantadas corretamente por dia de oito horas, após uma semana de treinamento em s"&amp;"erviço. Os uniformes fornecidos pelo empregador devem ser usados ​​em todos os locais de trabalho. O empregador poderá oferecer uma jornada de trabalho superior à estipulada, dependendo das condições climáticas, das necessidades da empresa e de outros fat"&amp;"ores. Calor extremo, frio intenso, chuva ou seca podem afetar o horário de trabalho exato. Número de horas por semana: 40. Horário de trabalho (início/término): 7h30 às 16h30.")</f>
        <v>Trabalho manual itinerante para plantar mudas de árvores manualmente e realizar o desbaste pré-comercial para reflorestamento e manutenção de áreas florestais. Plantar árvores de raiz nua ou em contêineres usando pá, enxada, plantadeira de solo ou enxada mecânica. Transportar as árvores em sacos próprios para mudas. Selecionar o local ideal para o plantio, considerando o espaçamento, o tipo de solo e a necessidade de sombra. Cavar buracos em intervalos predeterminados e inserir as mudas. Compactar o solo ao redor da planta com o pé e uma ferramenta de plantio. Usar motosserra, roçadeira ou outras ferramentas manuais para remover o excesso de árvores e vegetação. Determinar quais árvores jovens devem ser deixadas para crescimento acelerado, levando em consideração o espaçamento, a espécie, o tamanho, a ausência de doenças ou outros defeitos e os possíveis danos às árvores restantes. Cortar arbustos e vegetação. Usar um pulverizador costal ou outras ferramentas manuais para pulverizar ou injetar herbicidas e reduzir a vegetação concorrente. Demarcar os limites da área. Trabalhadores que solicitarem e obtiverem, ou que já possuírem, um certificado de registro FLC ou FLCE com autorização para dirigir, emitido pela Divisão de Salários e Horas do Departamento do Trabalho dos EUA (USDOL), durante o período de emprego, poderão transportar outros trabalhadores, realizar contagens e verificações, e poderão receber horas extras de trabalho. Essas funções envolvem a propagação, proteção e manejo de áreas florestais. Trabalhadores que possuírem um Certificado de Empregado de Contratante de Trabalho Agrícola (FLCE) e operarem um veículo da empresa inspecionado poderão transportar membros da equipe de suas residências até o local de trabalho inicial e entre os locais de trabalho durante o dia de trabalho, conforme necessário e sob a supervisão do gerente. As tarefas de transporte são acessórias ao trabalho florestal principal que está sendo realizado. "Contar e verificar" refere-se à verificação da presença da equipe, contando os trabalhadores antes da partida, na chegada ao local de trabalho e conforme necessário ao longo do dia de trabalho. Trabalhadores que possuírem um Certificado FLCE válido poderão receber horas extras de trabalho relacionadas ao transporte da equipe de suas residências até o local de trabalho inicial antes do início do dia de trabalho, sob a supervisão do gerente. Essas tarefas se limitam às atividades de transporte autorizadas e a qualquer verificação de presença relacionada, necessária para garantir que todos os trabalhadores cheguem em segurança e sejam contabilizados antes do início das operações florestais. O empregador poderá pagar taxas por peça de US$ 0,03 por árvore plantada corretamente, de US$ 35,00 a US$ 60,00 por acre desbastado corretamente e US$ 50,00 por milha para demarcar linhas de divisa; porém, não inferior ao salário vigente mais alto na área de atuação pretendida, prevalecendo o valor mais alto. Classificação da função: 45-4011.00 - Trabalhadores Florestais e de Conservação. A classificação e descrição da função/setor incluem informações gerais sobre o cargo, conforme o ONET/OES e o Sistema de Classificação Industrial da América do Norte. Consulte as Funções e a Ordem de Serviço para obter mais informações. Requisitos da função: Experiência exigida: Não. Requisitos especiais: Não são exigidos escolaridade ou experiência. Requer resistência física. Deve ser capaz de levantar e carregar 23 kg. Caminhadas extensas em terrenos acidentados. O trabalho é realizado em condições climáticas adversas. O horário e os locais de trabalho dependem das condições climáticas. Viagens com pernoite são necessárias. A meta de produção é de 3.000 mudas de árvores plantadas corretamente por dia de oito horas, após uma semana de treinamento em serviço. Os uniformes fornecidos pelo empregador devem ser usados ​​em todos os locais de trabalho. O empregador poderá oferecer uma jornada de trabalho superior à estipulada, dependendo das condições climáticas, das necessidades da empresa e de outros fatores. Calor extremo, frio intenso, chuva ou seca podem afetar o horário de trabalho exato. Número de horas por semana: 40. Horário de trabalho (início/término): 7h30 às 16h30.</v>
      </c>
    </row>
    <row r="286" ht="20.25" customHeight="1">
      <c r="A286" s="3" t="s">
        <v>1590</v>
      </c>
      <c r="B286" s="3" t="s">
        <v>1591</v>
      </c>
      <c r="C286" s="3" t="s">
        <v>963</v>
      </c>
      <c r="D286" s="3" t="s">
        <v>109</v>
      </c>
      <c r="E286" s="4" t="s">
        <v>19</v>
      </c>
      <c r="F286" s="4" t="s">
        <v>20</v>
      </c>
      <c r="G286" s="4" t="s">
        <v>146</v>
      </c>
      <c r="H286" s="3" t="s">
        <v>1592</v>
      </c>
      <c r="I286" s="3" t="s">
        <v>1593</v>
      </c>
      <c r="J286" s="4">
        <v>18.69</v>
      </c>
      <c r="K286" s="4">
        <v>10.0</v>
      </c>
      <c r="L286" s="3" t="s">
        <v>59</v>
      </c>
      <c r="M286" s="3" t="s">
        <v>1594</v>
      </c>
      <c r="N286" s="7" t="str">
        <f>IFERROR(__xludf.DUMMYFUNCTION("GOOGLETRANSLATE(L286, ""en"", ""pt"")"),"Trabalhador de paisagismo")</f>
        <v>Trabalhador de paisagismo</v>
      </c>
      <c r="O286" s="7" t="str">
        <f>IFERROR(__xludf.DUMMYFUNCTION("IF(M286="""","""",GOOGLETRANSLATE(M286,""en"",""pt""))"),"As funções podem incluir: paisagismo ou manutenção de propriedades utilizando ferramentas ou equipamentos. As tarefas podem incluir cortar, aparar, regar, aparar a grama, rastelar e soprar folhas, plantar, fertilizar, arrancar e cortar ervas daninhas, pod"&amp;"ar, semear, colocar grama em placas, transportar terra vegetal e cobertura morta; instalação de sistemas de irrigação, instalação de blocos de concreto pré-moldado sem argamassa e outras atividades relacionadas a serviços de paisagismo, conforme SOC/OES 3"&amp;"7-3011 (onetonline.org). Horário padrão/esperado: segunda a sexta, das 8h às 16h30. Oferecemos mais de 40 horas semanais, sem incluir almoço e/ou intervalos. Possibilidade de trabalho em fins de semana e feriados. Os horários de início e término, a carga "&amp;"horária e/ou horas extras podem variar, pois dependem de fatores como projeto/cronograma/necessidades do serviço, condições climáticas e tempo de deslocamento entre os locais de trabalho (se aplicável). Horas extras são possíveis, mas não obrigatórias ou "&amp;"garantidas. A critério exclusivo do empregador: possíveis aumentos e/ou bônus com base em fatores individuais, como desempenho no trabalho ou habilidades (não garantidos). Classificação do Cargo: 37-3011.00 - Trabalhadores de Paisagismo e Manutenção de Ja"&amp;"rdins. A classificação e descrição do cargo/setor inclui informações gerais sobre a posição, conforme o ONET/OES e o Sistema de Classificação Industrial da América do Norte. Consulte as Funções e a Ordem de Serviço para obter mais informações. Requisitos "&amp;"do Cargo Experiência Necessária: Não. Requisitos Especiais: Deve apresentar comprovante de autorização legal para trabalhar nos Estados Unidos. Ambiente de trabalho livre de drogas, álcool e tabaco. Executar atividades físicas, como levantar, equilibrar-s"&amp;"e, caminhar, abaixar-se, manusear, posicionar, mover e manipular materiais, utilizando força estática para exercer força muscular máxima para levantar, empurrar, puxar e carregar objetos de até 23 kg. Todos os candidatos devem ser capazes, dispostos e qua"&amp;"lificados para executar o trabalho descrito e devem estar disponíveis durante todo o período especificado e trabalhar em todas as áreas da vaga. O trabalho é realizado ao ar livre, exposto às intempéries; o candidato deve ser capaz de realizar trabalho fi"&amp;"sicamente extenuante por longos períodos, ocasionalmente em calor ou frio extremos. Condições climáticas variáveis ​​se aplicam; o horário de trabalho pode sofrer alterações (+/-), podendo haver períodos de inatividade e/ou horas extras. Número de horas p"&amp;"or semana: 40. Horário de trabalho (início/término): 8h00 - 16h30.")</f>
        <v>As funções podem incluir: paisagismo ou manutenção de propriedades utilizando ferramentas ou equipamentos. As tarefas podem incluir cortar, aparar, regar, aparar a grama, rastelar e soprar folhas, plantar, fertilizar, arrancar e cortar ervas daninhas, podar, semear, colocar grama em placas, transportar terra vegetal e cobertura morta; instalação de sistemas de irrigação, instalação de blocos de concreto pré-moldado sem argamassa e outras atividades relacionadas a serviços de paisagismo, conforme SOC/OES 37-3011 (onetonline.org). Horário padrão/esperado: segunda a sexta, das 8h às 16h30. Oferecemos mais de 40 horas semanais, sem incluir almoço e/ou intervalos. Possibilidade de trabalho em fins de semana e feriados. Os horários de início e término, a carga horária e/ou horas extras podem variar, pois dependem de fatores como projeto/cronograma/necessidades do serviço, condições climáticas e tempo de deslocamento entre os locais de trabalho (se aplicável). Horas extras são possíveis, mas não obrigatórias ou garantidas. A critério exclusivo do empregador: possíveis aumentos e/ou bônus com base em fatores individuais, como desempenho no trabalho ou habilidades (não garantidos). Classificação do Cargo: 37-3011.00 - Trabalhadores de Paisagismo e Manutenção de Jardins. A classificação e descrição do cargo/setor inclui informações gerais sobre a posição, conforme o ONET/OES e o Sistema de Classificação Industrial da América do Norte. Consulte as Funções e a Ordem de Serviço para obter mais informações. Requisitos do Cargo Experiência Necessária: Não. Requisitos Especiais: Deve apresentar comprovante de autorização legal para trabalhar nos Estados Unidos. Ambiente de trabalho livre de drogas, álcool e tabaco. Executar atividades físicas, como levantar, equilibrar-se, caminhar, abaixar-se, manusear, posicionar, mover e manipular materiais, utilizando força estática para exercer força muscular máxima para levantar, empurrar, puxar e carregar objetos de até 23 kg. Todos os candidatos devem ser capazes, dispostos e qualificados para executar o trabalho descrito e devem estar disponíveis durante todo o período especificado e trabalhar em todas as áreas da vaga. O trabalho é realizado ao ar livre, exposto às intempéries; o candidato deve ser capaz de realizar trabalho fisicamente extenuante por longos períodos, ocasionalmente em calor ou frio extremos. Condições climáticas variáveis ​​se aplicam; o horário de trabalho pode sofrer alterações (+/-), podendo haver períodos de inatividade e/ou horas extras. Número de horas por semana: 40. Horário de trabalho (início/término): 8h00 - 16h30.</v>
      </c>
    </row>
    <row r="287" ht="20.25" customHeight="1">
      <c r="A287" s="8" t="s">
        <v>1595</v>
      </c>
      <c r="B287" s="8" t="s">
        <v>1596</v>
      </c>
      <c r="C287" s="8" t="s">
        <v>27</v>
      </c>
      <c r="D287" s="8" t="s">
        <v>109</v>
      </c>
      <c r="E287" s="9" t="s">
        <v>44</v>
      </c>
      <c r="F287" s="9" t="s">
        <v>20</v>
      </c>
      <c r="G287" s="9" t="s">
        <v>377</v>
      </c>
      <c r="H287" s="8" t="s">
        <v>1597</v>
      </c>
      <c r="I287" s="8" t="s">
        <v>1598</v>
      </c>
      <c r="J287" s="9">
        <v>16.55</v>
      </c>
      <c r="K287" s="9">
        <v>4.0</v>
      </c>
      <c r="L287" s="8" t="s">
        <v>83</v>
      </c>
      <c r="M287" s="8" t="s">
        <v>1599</v>
      </c>
      <c r="N287" s="7" t="str">
        <f>IFERROR(__xludf.DUMMYFUNCTION("GOOGLETRANSLATE(L287, ""en"", ""pt"")"),"Trabalhador Florestal")</f>
        <v>Trabalhador Florestal</v>
      </c>
      <c r="O287" s="7" t="str">
        <f>IFERROR(__xludf.DUMMYFUNCTION("IF(M287="""","""",GOOGLETRANSLATE(M287,""en"",""pt""))"),"As funções podem incluir: Os trabalhadores realizarão tarefas manuais e semiqualificadas de silvicultura e conservação, incluindo o plantio de mudas de árvores manualmente e com equipamentos mecanizados; o carregamento e descarregamento de caminhões e reb"&amp;"oques com ferramentas, materiais e plantas; a aplicação de pesticidas e herbicidas utilizando pulverizadores costais e mecânicos, em conformidade com as normas de segurança; a operação de roçadeiras e motosserras para preparação do terreno, desbaste e con"&amp;"trole da vegetação; a coleta de sementes, pinhas e materiais florestais; a coleta de estacas para identificação de árvores vivas; e a escavação, amarração e preparação de árvores e plantas para transporte ou replantio. O trabalho é realizado ao ar livre, "&amp;"em condições climáticas e de terreno variáveis, exigindo esforço físico e o cumprimento dos protocolos de segurança e outras atividades relacionadas ao trabalho florestal, conforme a norma SOC/OES 45-4011 (onetonline.org). Horário padrão/previsto: Segunda"&amp;" a quinta-feira, das 7h às 17h30. Oferecemos mais de 40 horas semanais, sem incluir o horário de almoço e/ou intervalos. Possibilidade de trabalho aos fins de semana e feriados. Os horários de início e término, a carga horária oferecida e/ou a possibilida"&amp;"de de horas extras podem variar, pois dependem de fatores como necessidades do projeto/cronograma/serviço, condições climáticas e tempo de deslocamento entre os locais de trabalho (se aplicável). Horas extras são possíveis, mas não obrigatórias nem garant"&amp;"idas. A critério exclusivo do empregador: aumentos salariais e/ou bônus podem ser concedidos com base em fatores individuais, como desempenho ou habilidades (não garantidos). Moradia compartilhada opcional disponível sem custo para o trabalhador. Classifi"&amp;"cação da vaga: 45-4011.00 - Trabalhadores Florestais e de Conservação. A classificação e a descrição da vaga/setor incluem informações gerais sobre o cargo, de acordo com o ONET/OES e o Sistema de Classificação Industrial da América do Norte. Consulte as "&amp;"Funções e a Ordem de Serviço para obter mais informações. Requisitos da vaga: Experiência exigida: Sim. Meses de experiência exigidos: 3. Requisitos especiais: É necessário ter 18 anos devido ao uso de equipamentos. É necessário apresentar comprovante de "&amp;"autorização legal para trabalhar nos Estados Unidos. Ambiente de trabalho livre de drogas, álcool e tabaco. Executar atividades físicas, como levantar, equilibrar-se, caminhar, abaixar-se, manusear, posicionar, mover e manipular materiais; usar força está"&amp;"tica para exercer força muscular máxima para levantar, empurrar, puxar e carregar objetos de até 23 kg. Todos os candidatos devem ser capazes, dispostos e qualificados para executar o trabalho descrito e devem estar disponíveis durante todo o período espe"&amp;"cificado e trabalhar em todas as áreas do emprego pretendido. A critério do empregador/custo: o trabalhador poderá ser submetido a testes aleatórios de drogas/álcool durante o emprego: teste positivo/recusa em cumprir o teste = demissão. O trabalho é real"&amp;"izado ao ar livre, exposto às intempéries; o trabalhador deve ser capaz de realizar trabalho fisicamente extenuante por longos períodos, ocasionalmente em calor ou frio extremos. Condições climáticas variáveis ​​se aplicam; a carga horária pode sofrer alt"&amp;"erações (+/-), com possibilidade de tempo de inatividade e/ou horas extras. Número de horas por semana: 40. Horário de trabalho (início/término): 7h às 17h30.")</f>
        <v>As funções podem incluir: Os trabalhadores realizarão tarefas manuais e semiqualificadas de silvicultura e conservação, incluindo o plantio de mudas de árvores manualmente e com equipamentos mecanizados; o carregamento e descarregamento de caminhões e reboques com ferramentas, materiais e plantas; a aplicação de pesticidas e herbicidas utilizando pulverizadores costais e mecânicos, em conformidade com as normas de segurança; a operação de roçadeiras e motosserras para preparação do terreno, desbaste e controle da vegetação; a coleta de sementes, pinhas e materiais florestais; a coleta de estacas para identificação de árvores vivas; e a escavação, amarração e preparação de árvores e plantas para transporte ou replantio. O trabalho é realizado ao ar livre, em condições climáticas e de terreno variáveis, exigindo esforço físico e o cumprimento dos protocolos de segurança e outras atividades relacionadas ao trabalho florestal, conforme a norma SOC/OES 45-4011 (onetonline.org). Horário padrão/previsto: Segunda a quinta-feira, das 7h às 17h30. Oferecemos mais de 40 horas semanais, sem incluir o horário de almoço e/ou intervalos. Possibilidade de trabalho aos fins de semana e feriados. Os horários de início e término, a carga horária oferecida e/ou a possibilidade de horas extras podem variar, pois dependem de fatores como necessidades do projeto/cronograma/serviço, condições climáticas e tempo de deslocamento entre os locais de trabalho (se aplicável). Horas extras são possíveis, mas não obrigatórias nem garantidas. A critério exclusivo do empregador: aumentos salariais e/ou bônus podem ser concedidos com base em fatores individuais, como desempenho ou habilidades (não garantidos). Moradia compartilhada opcional disponível sem custo para o trabalhador. Classificação da vaga: 45-4011.00 - Trabalhadores Florestais e de Conservação. A classificação e a descrição da vaga/setor incluem informações gerais sobre o cargo, de acordo com o ONET/OES e o Sistema de Classificação Industrial da América do Norte. Consulte as Funções e a Ordem de Serviço para obter mais informações. Requisitos da vaga: Experiência exigida: Sim. Meses de experiência exigidos: 3. Requisitos especiais: É necessário ter 18 anos devido ao uso de equipamentos. É necessário apresentar comprovante de autorização legal para trabalhar nos Estados Unidos. Ambiente de trabalho livre de drogas, álcool e tabaco. Executar atividades físicas, como levantar, equilibrar-se, caminhar, abaixar-se, manusear, posicionar, mover e manipular materiais; usar força estática para exercer força muscular máxima para levantar, empurrar, puxar e carregar objetos de até 23 kg. Todos os candidatos devem ser capazes, dispostos e qualificados para executar o trabalho descrito e devem estar disponíveis durante todo o período especificado e trabalhar em todas as áreas do emprego pretendido. A critério do empregador/custo: o trabalhador poderá ser submetido a testes aleatórios de drogas/álcool durante o emprego: teste positivo/recusa em cumprir o teste = demissão. O trabalho é realizado ao ar livre, exposto às intempéries; o trabalhador deve ser capaz de realizar trabalho fisicamente extenuante por longos períodos, ocasionalmente em calor ou frio extremos. Condições climáticas variáveis ​​se aplicam; a carga horária pode sofrer alterações (+/-), com possibilidade de tempo de inatividade e/ou horas extras. Número de horas por semana: 40. Horário de trabalho (início/término): 7h às 17h30.</v>
      </c>
    </row>
    <row r="288" ht="20.25" customHeight="1">
      <c r="A288" s="3" t="s">
        <v>1600</v>
      </c>
      <c r="B288" s="3" t="s">
        <v>1601</v>
      </c>
      <c r="C288" s="3" t="s">
        <v>93</v>
      </c>
      <c r="D288" s="3" t="s">
        <v>1103</v>
      </c>
      <c r="E288" s="4" t="s">
        <v>19</v>
      </c>
      <c r="F288" s="4" t="s">
        <v>20</v>
      </c>
      <c r="G288" s="4" t="s">
        <v>1602</v>
      </c>
      <c r="H288" s="3" t="s">
        <v>1603</v>
      </c>
      <c r="I288" s="3" t="s">
        <v>1604</v>
      </c>
      <c r="J288" s="4">
        <v>12.89</v>
      </c>
      <c r="K288" s="4">
        <v>24.0</v>
      </c>
      <c r="L288" s="3" t="s">
        <v>1605</v>
      </c>
      <c r="M288" s="3" t="s">
        <v>1606</v>
      </c>
      <c r="N288" s="7" t="str">
        <f>IFERROR(__xludf.DUMMYFUNCTION("GOOGLETRANSLATE(L288, ""en"", ""pt"")"),"Empacotadores de cebola")</f>
        <v>Empacotadores de cebola</v>
      </c>
      <c r="O288" s="7" t="str">
        <f>IFERROR(__xludf.DUMMYFUNCTION("IF(M288="""","""",GOOGLETRANSLATE(M288,""en"",""pt""))"),"Os funcionários geralmente desempenham uma variedade de tarefas em uma fábrica de embalagens de cebola, que podem incluir qualquer uma das seguintes tarefas: embalar cebolas em sacos de 2, 3, 5 e 10 libras e empilhar e/ou fixar os produtos acabados. Nível"&amp;" inicial; requer supervisão. Classificação do cargo: 53-7064.00 - Embaladores e empacotadores manuais. A classificação e descrição do cargo/setor inclui informações gerais sobre a posição, de acordo com o ONET/OES e o Sistema de Classificação Industrial d"&amp;"a América do Norte. Consulte as Funções e a Ordem de Serviço para obter mais informações. Requisitos do cargo: Experiência necessária: Não. Requisitos especiais: Deve ser capaz de levantar/carregar 23 kg (50 lbs), quando necessário. O horário de trabalho "&amp;"é das 7h30 às 16h, de segunda a sexta-feira, e das 7h30 às 9h30 aos sábados. Trabalho aos sábados, quando necessário. Deve ser capaz de ficar em pé por longos períodos. Teste de drogas e álcool pós-acidente obrigatório. O empregador pode oferecer mais hor"&amp;"as de trabalho do que as indicadas, dependendo do clima, das necessidades da empresa e de outras condições. Calor extremo, frio, chuva ou seca podem afetar o horário de trabalho exato. Número de horas por semana: 40 Horário de trabalho (início/término): 7"&amp;"h30 - 16h00")</f>
        <v>Os funcionários geralmente desempenham uma variedade de tarefas em uma fábrica de embalagens de cebola, que podem incluir qualquer uma das seguintes tarefas: embalar cebolas em sacos de 2, 3, 5 e 10 libras e empilhar e/ou fixar os produtos acabados. Nível inicial; requer supervisão. Classificação do cargo: 53-7064.00 - Embaladores e empacotadores manuais. A classificação e descrição do cargo/setor inclui informações gerais sobre a posição, de acordo com o ONET/OES e o Sistema de Classificação Industrial da América do Norte. Consulte as Funções e a Ordem de Serviço para obter mais informações. Requisitos do cargo: Experiência necessária: Não. Requisitos especiais: Deve ser capaz de levantar/carregar 23 kg (50 lbs), quando necessário. O horário de trabalho é das 7h30 às 16h, de segunda a sexta-feira, e das 7h30 às 9h30 aos sábados. Trabalho aos sábados, quando necessário. Deve ser capaz de ficar em pé por longos períodos. Teste de drogas e álcool pós-acidente obrigatório. O empregador pode oferecer mais horas de trabalho do que as indicadas, dependendo do clima, das necessidades da empresa e de outras condições. Calor extremo, frio, chuva ou seca podem afetar o horário de trabalho exato. Número de horas por semana: 40 Horário de trabalho (início/término): 7h30 - 16h00</v>
      </c>
    </row>
    <row r="289" ht="20.25" customHeight="1">
      <c r="A289" s="8" t="s">
        <v>1607</v>
      </c>
      <c r="B289" s="8" t="s">
        <v>1608</v>
      </c>
      <c r="C289" s="8" t="s">
        <v>27</v>
      </c>
      <c r="D289" s="8" t="s">
        <v>28</v>
      </c>
      <c r="E289" s="9" t="s">
        <v>44</v>
      </c>
      <c r="F289" s="9" t="s">
        <v>20</v>
      </c>
      <c r="G289" s="9" t="s">
        <v>94</v>
      </c>
      <c r="H289" s="8" t="s">
        <v>1609</v>
      </c>
      <c r="I289" s="8" t="s">
        <v>1610</v>
      </c>
      <c r="J289" s="9">
        <v>13.5</v>
      </c>
      <c r="K289" s="9">
        <v>26.0</v>
      </c>
      <c r="L289" s="8" t="s">
        <v>1611</v>
      </c>
      <c r="M289" s="8" t="s">
        <v>1612</v>
      </c>
      <c r="N289" s="7" t="str">
        <f>IFERROR(__xludf.DUMMYFUNCTION("GOOGLETRANSLATE(L289, ""en"", ""pt"")"),"Cortadores e aparadores de carne, aves e peixes")</f>
        <v>Cortadores e aparadores de carne, aves e peixes</v>
      </c>
      <c r="O289" s="7" t="str">
        <f>IFERROR(__xludf.DUMMYFUNCTION("IF(M289="""","""",GOOGLETRANSLATE(M289,""en"",""pt""))"),"As funções podem incluir: usar as mãos e facas para cortar e retirar a carne de caranguejos e lagostins; usar as mãos e facas para aparar e separar caranguejos, lagostins e subprodutos; lavar, pesar e preparar caranguejos, lagostins e carne de caranguejo "&amp;"e lagostim para embalagem; preparação e limpeza da área de trabalho e outras atividades relacionadas a corte e aparamento de carnes, aves e peixes, conforme SOC/OES 51-3022 (onetonline.org). Horário padrão/esperado: segunda a sexta, das 6h às 15h. Oferece"&amp;"mos mais de 40 horas semanais, sem incluir almoço e/ou intervalos. Possibilidade de trabalho nos fins de semana e feriados. Os horários de início e término, a carga horária e/ou horas extras podem variar, pois dependem de fatores como projeto/cronograma/n"&amp;"ecessidades do serviço, condições climáticas e tempo de deslocamento entre os locais de trabalho (se aplicável). Horas extras são possíveis, mas não obrigatórias nem garantidas. A critério exclusivo do empregador: possíveis aumentos e/ou bônus com base em"&amp;" fatores individuais, como desempenho ou habilidade (não garantidos). Pagamento por peça produzida: o trabalhador nunca receberá menos que o Salário Vigente ou o salário mínimo federal/estadual/municipal. Classificação da vaga: 51-3022.00 - Cortadores e A"&amp;"paradores de Carne, Aves e Peixes. A classificação e descrição da vaga/setor incluem informações gerais sobre o cargo, conforme o ONET/OES e o Sistema de Classificação Industrial da América do Norte (NAICS). Consulte as Funções e a Ordem de Serviço para o"&amp;"bter mais informações. Requisitos da vaga: Experiência exigida: Não. Requisitos especiais: Deve apresentar comprovante de autorização legal para trabalhar nos Estados Unidos. Ambiente de trabalho livre de drogas, álcool e tabaco. Executar atividades físic"&amp;"as: como levantar, equilibrar-se, caminhar, abaixar-se, manusear, posicionar, mover e manipular materiais; usar força estática para exercer força muscular máxima para levantar, empurrar, puxar e carregar objetos de até 18 kg. Todos os candidatos devem ser"&amp;" capazes, estar dispostos e qualificados para executar o trabalho descrito e devem estar disponíveis durante todo o período especificado. A critério do empregador e devido aos custos, o trabalhador poderá ser submetido a testes aleatórios de drogas/álcool"&amp;" durante o emprego: teste positivo/recusa em cumprir o teste resultará em demissão. A entrega e a disponibilidade de frutos do mar provenientes de pescadores podem resultar em possíveis períodos de inatividade devido às condições climáticas. Número de hor"&amp;"as por semana: 40. Horário de trabalho (início/término): 6h às 15h.")</f>
        <v>As funções podem incluir: usar as mãos e facas para cortar e retirar a carne de caranguejos e lagostins; usar as mãos e facas para aparar e separar caranguejos, lagostins e subprodutos; lavar, pesar e preparar caranguejos, lagostins e carne de caranguejo e lagostim para embalagem; preparação e limpeza da área de trabalho e outras atividades relacionadas a corte e aparamento de carnes, aves e peixes, conforme SOC/OES 51-3022 (onetonline.org). Horário padrão/esperado: segunda a sexta, das 6h às 15h. Oferecemos mais de 40 horas semanais, sem incluir almoço e/ou intervalos. Possibilidade de trabalho nos fins de semana e feriados. Os horários de início e término, a carga horária e/ou horas extras podem variar, pois dependem de fatores como projeto/cronograma/necessidades do serviço, condições climáticas e tempo de deslocamento entre os locais de trabalho (se aplicável). Horas extras são possíveis, mas não obrigatórias nem garantidas. A critério exclusivo do empregador: possíveis aumentos e/ou bônus com base em fatores individuais, como desempenho ou habilidade (não garantidos). Pagamento por peça produzida: o trabalhador nunca receberá menos que o Salário Vigente ou o salário mínimo federal/estadual/municipal. Classificação da vaga: 51-3022.00 - Cortadores e Aparadores de Carne, Aves e Peixes. A classificação e descrição da vaga/setor incluem informações gerais sobre o cargo, conforme o ONET/OES e o Sistema de Classificação Industrial da América do Norte (NAICS). Consulte as Funções e a Ordem de Serviço para obter mais informações. Requisitos da vaga: Experiência exigida: Não. Requisitos especiais: Deve apresentar comprovante de autorização legal para trabalhar nos Estados Unidos. Ambiente de trabalho livre de drogas, álcool e tabaco. Executar atividades físicas: como levantar, equilibrar-se, caminhar, abaixar-se, manusear, posicionar, mover e manipular materiais; usar força estática para exercer força muscular máxima para levantar, empurrar, puxar e carregar objetos de até 18 kg. Todos os candidatos devem ser capazes, estar dispostos e qualificados para executar o trabalho descrito e devem estar disponíveis durante todo o período especificado. A critério do empregador e devido aos custos, o trabalhador poderá ser submetido a testes aleatórios de drogas/álcool durante o emprego: teste positivo/recusa em cumprir o teste resultará em demissão. A entrega e a disponibilidade de frutos do mar provenientes de pescadores podem resultar em possíveis períodos de inatividade devido às condições climáticas. Número de horas por semana: 40. Horário de trabalho (início/término): 6h às 15h.</v>
      </c>
    </row>
    <row r="290" ht="20.25" customHeight="1">
      <c r="A290" s="3" t="s">
        <v>1613</v>
      </c>
      <c r="B290" s="3" t="s">
        <v>570</v>
      </c>
      <c r="C290" s="3"/>
      <c r="D290" s="3" t="s">
        <v>284</v>
      </c>
      <c r="E290" s="4" t="s">
        <v>19</v>
      </c>
      <c r="F290" s="4" t="s">
        <v>20</v>
      </c>
      <c r="G290" s="4" t="s">
        <v>146</v>
      </c>
      <c r="H290" s="3" t="s">
        <v>571</v>
      </c>
      <c r="I290" s="3" t="s">
        <v>1614</v>
      </c>
      <c r="J290" s="4">
        <v>19.88</v>
      </c>
      <c r="K290" s="4">
        <v>4.0</v>
      </c>
      <c r="L290" s="3" t="s">
        <v>1615</v>
      </c>
      <c r="M290" s="3" t="s">
        <v>1616</v>
      </c>
      <c r="N290" s="7" t="str">
        <f>IFERROR(__xludf.DUMMYFUNCTION("GOOGLETRANSLATE(L290, ""en"", ""pt"")"),"Limpador de arbustos Ft Temp com responsabilidade de supervisão.")</f>
        <v>Limpador de arbustos Ft Temp com responsabilidade de supervisão.</v>
      </c>
      <c r="O290" s="7" t="str">
        <f>IFERROR(__xludf.DUMMYFUNCTION("IF(M290="""","""",GOOGLETRANSLATE(M290,""en"",""pt""))"),"***Resposta à Solicitação de Informações*** Sob supervisão, o(a) funcionário(a) auxiliará na direção, coordenação, monitoramento e documentação das atividades, além de motivar os colegas. O(a) funcionário(a) coordenará com o(a) supervisor(a) para determin"&amp;"ar os horários de trabalho e atribuir locais de trabalho específicos. O(a) funcionário(a) também verificará o progresso dos trabalhadores/trabalho ao longo do dia, preencherá relatórios diários de campo, ajudará os trabalhadores a lidar com as dificuldade"&amp;"s que possam surgir no campo e auxiliará no manuseio de herbicidas. O(a) funcionário(a) deverá transportar os trabalhadores em veículos da empresa. Também poderá ser necessário transportar materiais, ferramentas e/ou equipamentos específicos para o trabal"&amp;"ho. ***Original*** Sob supervisão, o(a) funcionário(a) auxiliará na direção, coordenação, monitoramento e documentação das atividades, além de motivar os colegas e manusear herbicidas. O(a) funcionário(a) deverá transportar os trabalhadores em veículos da"&amp;" empresa. E.A.4A é um número típico. O número pode variar dependendo do gerente que estiver sendo auxiliado. O dia de trabalho normalmente começará entre 6h e 7h da manhã e será necessário fazer horas extras. O(a) funcionário(a) poderá ser elegível para r"&amp;"eceber um bônus discricionário com base em uma porcentagem da remuneração total ao concluir sua obrigação sazonal. O trabalho e o deslocamento serão realizados em áreas de tamanho variável, de menos de um acre a milhares de acres, conforme regido pelos Pr"&amp;"ocedimentos Especiais Florestais. O trabalhador poderá, ocasionalmente, utilizar pulverizador costal e ferramentas manuais para aplicar herbicida na limpeza de vegetação ou detritos em faixas de servidão de concessionárias de serviços públicos, pastagens,"&amp;" áreas de vida selvagem, acostamentos de estradas, áreas industriais e outras áreas, carregando até 16 kg de equipamento enquanto caminha em terrenos acidentados. As tarefas serão executadas em áreas determinadas por um itinerário, de acordo com as Normas"&amp;" Florestais [GAL I-97 H2B] [FR DOC. E7-12766] [TEGL 27-6] e diversas outras publicações e práticas estabelecidas. Consulte o anexo Resposta CDR P-400-13042-521868 de 14 de novembro de 2013. Classificação do Cargo: 37-1012.00 - Supervisores de Primeira Lin"&amp;"ha de Trabalhadores de Paisagismo, Serviços de Gramado e Manutenção de Áreas Verdes. A classificação e descrição do cargo/setor incluem informações gerais sobre a posição, conforme o ONET/OES e o Sistema de Classificação Industrial da América do Norte (NA"&amp;"ICS). Consulte as Funções e a Ordem de Serviço para obter mais informações. Requisitos do Cargo Experiência Necessária: Sim Meses de Experiência Necessários: 12 Requisitos Especiais: O candidato deve ter 21 anos de idade e disponibilidade para viagens com"&amp;" pernoite por períodos prolongados. O candidato deve ter no mínimo 1 ano de experiência comprovada supervisionando pelo menos 6 trabalhadores de limpeza de vegetação em faixas de domínio de concessionárias de serviços públicos ou áreas florestais, e demon"&amp;"strar competência na identificação de folhagens, manuseio de pesticidas e aplicação de herbicidas em baixa quantidade, de acordo com os padrões do setor. O candidato deve ser capaz de obter uma licença estadual para aplicação de pesticidas nas áreas de tr"&amp;"abalho onde for exigido por regulamentação governamental. O candidato deve possuir um bom histórico de condução e carteira de habilitação, atender a todos os padrões da empresa para motoristas, ser aprovado no teste de direção da empresa, preencher a fich"&amp;"a de inscrição da empresa e poderá ser obrigado a obter um certificado médico do DOT antes de dirigir. Não é necessário treinamento prévio, mas o candidato deverá participar de um treinamento pago pela empresa no local de início das atividades. A Progress"&amp;"ive Solutions mantém um ambiente de trabalho livre de drogas, e os funcionários podem ser submetidos a testes de drogas após a contratação, conforme exigido por contratos governamentais. Número de horas por semana: 50. Horário de trabalho (início/término)"&amp;": 6h30 às 16h.")</f>
        <v>***Resposta à Solicitação de Informações*** Sob supervisão, o(a) funcionário(a) auxiliará na direção, coordenação, monitoramento e documentação das atividades, além de motivar os colegas. O(a) funcionário(a) coordenará com o(a) supervisor(a) para determinar os horários de trabalho e atribuir locais de trabalho específicos. O(a) funcionário(a) também verificará o progresso dos trabalhadores/trabalho ao longo do dia, preencherá relatórios diários de campo, ajudará os trabalhadores a lidar com as dificuldades que possam surgir no campo e auxiliará no manuseio de herbicidas. O(a) funcionário(a) deverá transportar os trabalhadores em veículos da empresa. Também poderá ser necessário transportar materiais, ferramentas e/ou equipamentos específicos para o trabalho. ***Original*** Sob supervisão, o(a) funcionário(a) auxiliará na direção, coordenação, monitoramento e documentação das atividades, além de motivar os colegas e manusear herbicidas. O(a) funcionário(a) deverá transportar os trabalhadores em veículos da empresa. E.A.4A é um número típico. O número pode variar dependendo do gerente que estiver sendo auxiliado. O dia de trabalho normalmente começará entre 6h e 7h da manhã e será necessário fazer horas extras. O(a) funcionário(a) poderá ser elegível para receber um bônus discricionário com base em uma porcentagem da remuneração total ao concluir sua obrigação sazonal. O trabalho e o deslocamento serão realizados em áreas de tamanho variável, de menos de um acre a milhares de acres, conforme regido pelos Procedimentos Especiais Florestais. O trabalhador poderá, ocasionalmente, utilizar pulverizador costal e ferramentas manuais para aplicar herbicida na limpeza de vegetação ou detritos em faixas de servidão de concessionárias de serviços públicos, pastagens, áreas de vida selvagem, acostamentos de estradas, áreas industriais e outras áreas, carregando até 16 kg de equipamento enquanto caminha em terrenos acidentados. As tarefas serão executadas em áreas determinadas por um itinerário, de acordo com as Normas Florestais [GAL I-97 H2B] [FR DOC. E7-12766] [TEGL 27-6] e diversas outras publicações e práticas estabelecidas. Consulte o anexo Resposta CDR P-400-13042-521868 de 14 de novembro de 2013. Classificação do Cargo: 37-1012.00 - Supervisores de Primeira Linha de Trabalhadores de Paisagismo, Serviços de Gramado e Manutenção de Áreas Verdes. A classificação e descrição do cargo/setor incluem informações gerais sobre a posição, conforme o ONET/OES e o Sistema de Classificação Industrial da América do Norte (NAICS). Consulte as Funções e a Ordem de Serviço para obter mais informações. Requisitos do Cargo Experiência Necessária: Sim Meses de Experiência Necessários: 12 Requisitos Especiais: O candidato deve ter 21 anos de idade e disponibilidade para viagens com pernoite por períodos prolongados. O candidato deve ter no mínimo 1 ano de experiência comprovada supervisionando pelo menos 6 trabalhadores de limpeza de vegetação em faixas de domínio de concessionárias de serviços públicos ou áreas florestais, e demonstrar competência na identificação de folhagens, manuseio de pesticidas e aplicação de herbicidas em baixa quantidade, de acordo com os padrões do setor. O candidato deve ser capaz de obter uma licença estadual para aplicação de pesticidas nas áreas de trabalho onde for exigido por regulamentação governamental. O candidato deve possuir um bom histórico de condução e carteira de habilitação, atender a todos os padrões da empresa para motoristas, ser aprovado no teste de direção da empresa, preencher a ficha de inscrição da empresa e poderá ser obrigado a obter um certificado médico do DOT antes de dirigir. Não é necessário treinamento prévio, mas o candidato deverá participar de um treinamento pago pela empresa no local de início das atividades. A Progressive Solutions mantém um ambiente de trabalho livre de drogas, e os funcionários podem ser submetidos a testes de drogas após a contratação, conforme exigido por contratos governamentais. Número de horas por semana: 50. Horário de trabalho (início/término): 6h30 às 16h.</v>
      </c>
    </row>
    <row r="291" ht="20.25" customHeight="1">
      <c r="A291" s="8" t="s">
        <v>1617</v>
      </c>
      <c r="B291" s="8" t="s">
        <v>570</v>
      </c>
      <c r="C291" s="8"/>
      <c r="D291" s="8" t="s">
        <v>284</v>
      </c>
      <c r="E291" s="9" t="s">
        <v>44</v>
      </c>
      <c r="F291" s="9" t="s">
        <v>20</v>
      </c>
      <c r="G291" s="9" t="s">
        <v>146</v>
      </c>
      <c r="H291" s="8" t="s">
        <v>1618</v>
      </c>
      <c r="I291" s="8" t="s">
        <v>1619</v>
      </c>
      <c r="J291" s="9">
        <v>18.1</v>
      </c>
      <c r="K291" s="9">
        <v>22.0</v>
      </c>
      <c r="L291" s="8" t="s">
        <v>1615</v>
      </c>
      <c r="M291" s="8" t="s">
        <v>1616</v>
      </c>
      <c r="N291" s="7" t="str">
        <f>IFERROR(__xludf.DUMMYFUNCTION("GOOGLETRANSLATE(L291, ""en"", ""pt"")"),"Limpador de arbustos Ft Temp com responsabilidade de supervisão.")</f>
        <v>Limpador de arbustos Ft Temp com responsabilidade de supervisão.</v>
      </c>
      <c r="O291" s="7" t="str">
        <f>IFERROR(__xludf.DUMMYFUNCTION("IF(M291="""","""",GOOGLETRANSLATE(M291,""en"",""pt""))"),"***Resposta à Solicitação de Informações*** Sob supervisão, o(a) funcionário(a) auxiliará na direção, coordenação, monitoramento e documentação das atividades, além de motivar os colegas. O(a) funcionário(a) coordenará com o(a) supervisor(a) para determin"&amp;"ar os horários de trabalho e atribuir locais de trabalho específicos. O(a) funcionário(a) também verificará o progresso dos trabalhadores/trabalho ao longo do dia, preencherá relatórios diários de campo, ajudará os trabalhadores a lidar com as dificuldade"&amp;"s que possam surgir no campo e auxiliará no manuseio de herbicidas. O(a) funcionário(a) deverá transportar os trabalhadores em veículos da empresa. Também poderá ser necessário transportar materiais, ferramentas e/ou equipamentos específicos para o trabal"&amp;"ho. ***Original*** Sob supervisão, o(a) funcionário(a) auxiliará na direção, coordenação, monitoramento e documentação das atividades, além de motivar os colegas e manusear herbicidas. O(a) funcionário(a) deverá transportar os trabalhadores em veículos da"&amp;" empresa. E.A.4A é um número típico. O número pode variar dependendo do gerente que estiver sendo auxiliado. O dia de trabalho normalmente começará entre 6h e 7h da manhã e será necessário fazer horas extras. O(a) funcionário(a) poderá ser elegível para r"&amp;"eceber um bônus discricionário com base em uma porcentagem da remuneração total ao concluir sua obrigação sazonal. O trabalho e o deslocamento serão realizados em áreas de tamanho variável, de menos de um acre a milhares de acres, conforme regido pelos Pr"&amp;"ocedimentos Especiais Florestais. O trabalhador poderá, ocasionalmente, utilizar pulverizador costal e ferramentas manuais para aplicar herbicida na limpeza de vegetação ou detritos em faixas de servidão de concessionárias de serviços públicos, pastagens,"&amp;" áreas de vida selvagem, acostamentos de estradas, áreas industriais e outras áreas, carregando até 16 kg de equipamento enquanto caminha em terrenos acidentados. As tarefas serão executadas em áreas determinadas por um itinerário, de acordo com as Normas"&amp;" Florestais [GAL I-97 H2B] [FR DOC. E7-12766] [TEGL 27-6] e diversas outras publicações e práticas estabelecidas. Consulte o anexo Resposta CDR P-400-13042-521868 de 14 de novembro de 2013. Classificação do Cargo: 37-1012.00 - Supervisores de Primeira Lin"&amp;"ha de Trabalhadores de Paisagismo, Serviços de Gramado e Manutenção de Áreas Verdes. A classificação e descrição do cargo/setor incluem informações gerais sobre a posição, conforme o ONET/OES e o Sistema de Classificação Industrial da América do Norte (NA"&amp;"ICS). Consulte as Funções e a Ordem de Serviço para obter mais informações. Requisitos do Cargo Experiência Necessária: Sim Meses de Experiência Necessários: 12 Requisitos Especiais: O candidato deve ter 21 anos de idade e disponibilidade para viagens com"&amp;" pernoite por períodos prolongados. O candidato deve ter no mínimo 1 ano de experiência comprovada supervisionando pelo menos 6 trabalhadores de limpeza de vegetação em faixas de domínio de concessionárias de serviços públicos ou áreas florestais, e demon"&amp;"strar competência na identificação de folhagens, manuseio de pesticidas e aplicação de herbicidas em baixa quantidade, de acordo com os padrões do setor. O candidato deve ser capaz de obter uma licença estadual para aplicação de pesticidas nas áreas de tr"&amp;"abalho onde for exigido por regulamentação governamental. O candidato deve possuir um bom histórico de condução e carteira de habilitação, atender a todos os padrões da empresa para motoristas, ser aprovado no teste de direção da empresa, preencher a fich"&amp;"a de inscrição da empresa e poderá ser obrigado a obter um certificado médico do DOT antes de dirigir. Não é necessário treinamento prévio, mas o candidato deverá participar de um treinamento pago pela empresa no local de início das atividades. A Progress"&amp;"ive Solutions mantém um ambiente de trabalho livre de drogas, e os funcionários podem ser submetidos a testes de drogas após a contratação, conforme exigido por contratos governamentais. Número de horas por semana: 50. Horário de trabalho (início/término)"&amp;": 6h30 às 16h.")</f>
        <v>***Resposta à Solicitação de Informações*** Sob supervisão, o(a) funcionário(a) auxiliará na direção, coordenação, monitoramento e documentação das atividades, além de motivar os colegas. O(a) funcionário(a) coordenará com o(a) supervisor(a) para determinar os horários de trabalho e atribuir locais de trabalho específicos. O(a) funcionário(a) também verificará o progresso dos trabalhadores/trabalho ao longo do dia, preencherá relatórios diários de campo, ajudará os trabalhadores a lidar com as dificuldades que possam surgir no campo e auxiliará no manuseio de herbicidas. O(a) funcionário(a) deverá transportar os trabalhadores em veículos da empresa. Também poderá ser necessário transportar materiais, ferramentas e/ou equipamentos específicos para o trabalho. ***Original*** Sob supervisão, o(a) funcionário(a) auxiliará na direção, coordenação, monitoramento e documentação das atividades, além de motivar os colegas e manusear herbicidas. O(a) funcionário(a) deverá transportar os trabalhadores em veículos da empresa. E.A.4A é um número típico. O número pode variar dependendo do gerente que estiver sendo auxiliado. O dia de trabalho normalmente começará entre 6h e 7h da manhã e será necessário fazer horas extras. O(a) funcionário(a) poderá ser elegível para receber um bônus discricionário com base em uma porcentagem da remuneração total ao concluir sua obrigação sazonal. O trabalho e o deslocamento serão realizados em áreas de tamanho variável, de menos de um acre a milhares de acres, conforme regido pelos Procedimentos Especiais Florestais. O trabalhador poderá, ocasionalmente, utilizar pulverizador costal e ferramentas manuais para aplicar herbicida na limpeza de vegetação ou detritos em faixas de servidão de concessionárias de serviços públicos, pastagens, áreas de vida selvagem, acostamentos de estradas, áreas industriais e outras áreas, carregando até 16 kg de equipamento enquanto caminha em terrenos acidentados. As tarefas serão executadas em áreas determinadas por um itinerário, de acordo com as Normas Florestais [GAL I-97 H2B] [FR DOC. E7-12766] [TEGL 27-6] e diversas outras publicações e práticas estabelecidas. Consulte o anexo Resposta CDR P-400-13042-521868 de 14 de novembro de 2013. Classificação do Cargo: 37-1012.00 - Supervisores de Primeira Linha de Trabalhadores de Paisagismo, Serviços de Gramado e Manutenção de Áreas Verdes. A classificação e descrição do cargo/setor incluem informações gerais sobre a posição, conforme o ONET/OES e o Sistema de Classificação Industrial da América do Norte (NAICS). Consulte as Funções e a Ordem de Serviço para obter mais informações. Requisitos do Cargo Experiência Necessária: Sim Meses de Experiência Necessários: 12 Requisitos Especiais: O candidato deve ter 21 anos de idade e disponibilidade para viagens com pernoite por períodos prolongados. O candidato deve ter no mínimo 1 ano de experiência comprovada supervisionando pelo menos 6 trabalhadores de limpeza de vegetação em faixas de domínio de concessionárias de serviços públicos ou áreas florestais, e demonstrar competência na identificação de folhagens, manuseio de pesticidas e aplicação de herbicidas em baixa quantidade, de acordo com os padrões do setor. O candidato deve ser capaz de obter uma licença estadual para aplicação de pesticidas nas áreas de trabalho onde for exigido por regulamentação governamental. O candidato deve possuir um bom histórico de condução e carteira de habilitação, atender a todos os padrões da empresa para motoristas, ser aprovado no teste de direção da empresa, preencher a ficha de inscrição da empresa e poderá ser obrigado a obter um certificado médico do DOT antes de dirigir. Não é necessário treinamento prévio, mas o candidato deverá participar de um treinamento pago pela empresa no local de início das atividades. A Progressive Solutions mantém um ambiente de trabalho livre de drogas, e os funcionários podem ser submetidos a testes de drogas após a contratação, conforme exigido por contratos governamentais. Número de horas por semana: 50. Horário de trabalho (início/término): 6h30 às 16h.</v>
      </c>
    </row>
    <row r="292" ht="20.25" customHeight="1">
      <c r="A292" s="3" t="s">
        <v>1620</v>
      </c>
      <c r="B292" s="3" t="s">
        <v>1621</v>
      </c>
      <c r="C292" s="3" t="s">
        <v>27</v>
      </c>
      <c r="D292" s="3" t="s">
        <v>79</v>
      </c>
      <c r="E292" s="4" t="s">
        <v>19</v>
      </c>
      <c r="F292" s="4" t="s">
        <v>20</v>
      </c>
      <c r="G292" s="4" t="s">
        <v>1280</v>
      </c>
      <c r="H292" s="3" t="s">
        <v>1622</v>
      </c>
      <c r="I292" s="3" t="s">
        <v>1623</v>
      </c>
      <c r="J292" s="4">
        <v>17.68</v>
      </c>
      <c r="K292" s="4">
        <v>43.0</v>
      </c>
      <c r="L292" s="3" t="s">
        <v>83</v>
      </c>
      <c r="M292" s="3" t="s">
        <v>1624</v>
      </c>
      <c r="N292" s="7" t="str">
        <f>IFERROR(__xludf.DUMMYFUNCTION("GOOGLETRANSLATE(L292, ""en"", ""pt"")"),"Trabalhador Florestal")</f>
        <v>Trabalhador Florestal</v>
      </c>
      <c r="O292" s="7" t="str">
        <f>IFERROR(__xludf.DUMMYFUNCTION("IF(M292="""","""",GOOGLETRANSLATE(M292,""en"",""pt""))"),"As funções podem incluir: plantio de árvores, empilhamento, desbaste, colheita, aplicação de herbicidas, sob a direção de bombeiros florestais ou técnicos florestais: realizar atividades de combate a incêndios florestais, incluindo limpeza e descarte de v"&amp;"egetação rasteira e outras atividades relacionadas a trabalhadores florestais, conforme SOC/OES 45-4011 (onetonline.org). Horário padrão/esperado: segunda a sexta, das 7h às 15h30. Oferecemos mais de 40 horas semanais, sem incluir almoço e/ou intervalos. "&amp;"Possibilidade de trabalho em fins de semana e feriados. Os horários de início e término, a carga horária e/ou horas extras podem variar, dependendo de fatores como necessidades do projeto/cronograma/serviço, condições climáticas e tempo de deslocamento en"&amp;"tre os locais de trabalho (se aplicável). Horas extras são possíveis, mas não obrigatórias ou garantidas. A critério exclusivo do empregador: aumentos salariais e/ou bônus podem ser concedidos com base em fatores individuais, como desempenho ou habilidade"&amp;"s (não garantidos). Moradia compartilhada opcional, sem custo para o trabalhador. Classificação da Função: 45-4011.00 - Trabalhadores Florestais e de Conservação. A classificação e descrição da função/setor inclui informações gerais sobre o cargo, conform"&amp;"e o ONET/OES e o Sistema de Classificação Industrial da América do Norte. Consulte as Funções e a Ordem de Serviço para obter mais informações. Requisitos da Função Experiência Necessária: Sim Meses de Experiência Necessários: 3 Requisitos Especiais: É ne"&amp;"cessário ter 18 anos devido a contratos governamentais. É necessário comprovar autorização legal para trabalhar nos Estados Unidos. Ambiente de trabalho livre de drogas, álcool e tabaco. É necessário caminhar bastante (até 24 km/dia), além de se abaixar e"&amp;" se curvar carregando uma mochila (até 23 kg) em terrenos acidentados (fora de trilhas). Todos os candidatos devem ser capazes, dispostos e qualificados para executar o trabalho descrito e devem estar disponíveis durante todo o período especificado e trab"&amp;"alhar em todas as áreas de atuação pretendidas. O trabalho é realizado ao ar livre, exposto às intempéries; o candidato deve ser capaz de realizar trabalho fisicamente extenuante por longos períodos, ocasionalmente em calor ou frio extremos. Condições cli"&amp;"máticas variáveis ​​se aplicam. O horário de trabalho pode variar (+/-), podendo haver períodos de inatividade e/ou horas extras. Número de horas por semana: 40. Horário de trabalho (início/término): 7h00 - 15h30.")</f>
        <v>As funções podem incluir: plantio de árvores, empilhamento, desbaste, colheita, aplicação de herbicidas, sob a direção de bombeiros florestais ou técnicos florestais: realizar atividades de combate a incêndios florestais, incluindo limpeza e descarte de vegetação rasteira e outras atividades relacionadas a trabalhadores florestais, conforme SOC/OES 45-4011 (onetonline.org). Horário padrão/esperado: segunda a sexta, das 7h às 15h30. Oferecemos mais de 40 horas semanais, sem incluir almoço e/ou intervalos. Possibilidade de trabalho em fins de semana e feriados. Os horários de início e término, a carga horária e/ou horas extras podem variar, dependendo de fatores como necessidades do projeto/cronograma/serviço, condições climáticas e tempo de deslocamento entre os locais de trabalho (se aplicável). Horas extras são possíveis, mas não obrigatórias ou garantidas. A critério exclusivo do empregador: aumentos salariais e/ou bônus podem ser concedidos com base em fatores individuais, como desempenho ou habilidades (não garantidos). Moradia compartilhada opcional, sem custo para o trabalhador. Classificação da Função: 45-4011.00 - Trabalhadores Florestais e de Conservação. A classificação e descrição da função/setor inclui informações gerais sobre o cargo, conforme o ONET/OES e o Sistema de Classificação Industrial da América do Norte. Consulte as Funções e a Ordem de Serviço para obter mais informações. Requisitos da Função Experiência Necessária: Sim Meses de Experiência Necessários: 3 Requisitos Especiais: É necessário ter 18 anos devido a contratos governamentais. É necessário comprovar autorização legal para trabalhar nos Estados Unidos. Ambiente de trabalho livre de drogas, álcool e tabaco. É necessário caminhar bastante (até 24 km/dia), além de se abaixar e se curvar carregando uma mochila (até 23 kg) em terrenos acidentados (fora de trilhas). Todos os candidatos devem ser capazes, dispostos e qualificados para executar o trabalho descrito e devem estar disponíveis durante todo o período especificado e trabalhar em todas as áreas de atuação pretendidas. O trabalho é realizado ao ar livre, exposto às intempéries; o candidato deve ser capaz de realizar trabalho fisicamente extenuante por longos períodos, ocasionalmente em calor ou frio extremos. Condições climáticas variáveis ​​se aplicam. O horário de trabalho pode variar (+/-), podendo haver períodos de inatividade e/ou horas extras. Número de horas por semana: 40. Horário de trabalho (início/término): 7h00 - 15h30.</v>
      </c>
    </row>
    <row r="293" ht="20.25" customHeight="1">
      <c r="A293" s="8" t="s">
        <v>1625</v>
      </c>
      <c r="B293" s="8" t="s">
        <v>1626</v>
      </c>
      <c r="C293" s="8" t="s">
        <v>63</v>
      </c>
      <c r="D293" s="8" t="s">
        <v>109</v>
      </c>
      <c r="E293" s="9" t="s">
        <v>19</v>
      </c>
      <c r="F293" s="9" t="s">
        <v>20</v>
      </c>
      <c r="G293" s="9" t="s">
        <v>896</v>
      </c>
      <c r="H293" s="8" t="s">
        <v>1627</v>
      </c>
      <c r="I293" s="8" t="s">
        <v>1628</v>
      </c>
      <c r="J293" s="9">
        <v>19.86</v>
      </c>
      <c r="K293" s="9">
        <v>12.0</v>
      </c>
      <c r="L293" s="8" t="s">
        <v>239</v>
      </c>
      <c r="M293" s="8" t="s">
        <v>1629</v>
      </c>
      <c r="N293" s="7" t="str">
        <f>IFERROR(__xludf.DUMMYFUNCTION("GOOGLETRANSLATE(L293, ""en"", ""pt"")"),"Especialista em manutenção de jardins")</f>
        <v>Especialista em manutenção de jardins</v>
      </c>
      <c r="O293" s="7" t="str">
        <f>IFERROR(__xludf.DUMMYFUNCTION("IF(M293="""","""",GOOGLETRANSLATE(M293,""en"",""pt""))"),"Paisagismo e manutenção de terrenos utilizando ferramentas manuais ou elétricas. Os trabalhadores devem ser capazes de executar uma variedade de tarefas sem supervisão direta, que podem incluir qualquer combinação das seguintes atividades: colocação de gr"&amp;"ama, plantio, rega, escavação, rastelamento, auxílio na instalação/manutenção de sprinklers e unidades de alvenaria de concreto segmentado sem argamassa. Devem exercer julgamento independente; podem ser solicitados a demonstrar tarefas a outros funcionári"&amp;"os, mas a função não inclui a supervisão de outros trabalhadores. Classificação da vaga: 37-3011.00 - Trabalhadores de Paisagismo e Manutenção de Terrenos. A classificação e descrição da vaga/setor incluem informações gerais sobre o cargo, de acordo com o"&amp;" ONET/OES e o Sistema de Classificação Industrial da América do Norte. Consulte as Funções e a Ordem de Serviço para obter mais informações. Requisitos da vaga: Experiência exigida: Sim. Meses de experiência exigidos: 3. Requisitos especiais: Deve ser cap"&amp;"az de levantar/carregar 23 kg, quando necessário. Trabalho aos sábados e domingos, quando necessário. Testes toxicológicos aleatórios pagos pelo empregador são obrigatórios para trabalhadores estrangeiros e nacionais após a contratação. A verificação de a"&amp;"ntecedentes criminais, paga pelo empregador, após a contratação, pode ser exigida para trabalhadores estrangeiros e nacionais, conforme estipulado em contrato. O empregador pode oferecer uma jornada de trabalho superior à estipulada, dependendo das condiç"&amp;"ões climáticas, das necessidades da empresa e de outros fatores. Calor extremo, frio intenso, chuva ou seca podem afetar o horário de trabalho exato. Número de horas por semana: 40. Horário de trabalho (início/término): 7h às 15h30.")</f>
        <v>Paisagismo e manutenção de terrenos utilizando ferramentas manuais ou elétricas. Os trabalhadores devem ser capazes de executar uma variedade de tarefas sem supervisão direta, que podem incluir qualquer combinação das seguintes atividades: colocação de grama, plantio, rega, escavação, rastelamento, auxílio na instalação/manutenção de sprinklers e unidades de alvenaria de concreto segmentado sem argamassa. Devem exercer julgamento independente; podem ser solicitados a demonstrar tarefas a outros funcionários, mas a função não inclui a supervisão de outros trabalhadores. Classificação da vaga: 37-3011.00 - Trabalhadores de Paisagismo e Manutenção de Terrenos. A classificação e descrição da vaga/setor incluem informações gerais sobre o cargo, de acordo com o ONET/OES e o Sistema de Classificação Industrial da América do Norte. Consulte as Funções e a Ordem de Serviço para obter mais informações. Requisitos da vaga: Experiência exigida: Sim. Meses de experiência exigidos: 3. Requisitos especiais: Deve ser capaz de levantar/carregar 23 kg, quando necessário. Trabalho aos sábados e domingos, quando necessário. Testes toxicológicos aleatórios pagos pelo empregador são obrigatórios para trabalhadores estrangeiros e nacionais após a contratação. A verificação de antecedentes criminais, paga pelo empregador, após a contratação, pode ser exigida para trabalhadores estrangeiros e nacionais, conforme estipulado em contrato. O empregador pode oferecer uma jornada de trabalho superior à estipulada, dependendo das condições climáticas, das necessidades da empresa e de outros fatores. Calor extremo, frio intenso, chuva ou seca podem afetar o horário de trabalho exato. Número de horas por semana: 40. Horário de trabalho (início/término): 7h às 15h30.</v>
      </c>
    </row>
    <row r="294" ht="20.25" customHeight="1">
      <c r="A294" s="3" t="s">
        <v>1630</v>
      </c>
      <c r="B294" s="3" t="s">
        <v>1631</v>
      </c>
      <c r="C294" s="3" t="s">
        <v>116</v>
      </c>
      <c r="D294" s="3" t="s">
        <v>284</v>
      </c>
      <c r="E294" s="4" t="s">
        <v>19</v>
      </c>
      <c r="F294" s="4" t="s">
        <v>20</v>
      </c>
      <c r="G294" s="4" t="s">
        <v>377</v>
      </c>
      <c r="H294" s="3" t="s">
        <v>1632</v>
      </c>
      <c r="I294" s="3" t="s">
        <v>1633</v>
      </c>
      <c r="J294" s="4">
        <v>10.95</v>
      </c>
      <c r="K294" s="4">
        <v>10.0</v>
      </c>
      <c r="L294" s="3" t="s">
        <v>929</v>
      </c>
      <c r="M294" s="3" t="s">
        <v>1634</v>
      </c>
      <c r="N294" s="7" t="str">
        <f>IFERROR(__xludf.DUMMYFUNCTION("GOOGLETRANSLATE(L294, ""en"", ""pt"")"),"Trabalhadores de preparação de alimentos")</f>
        <v>Trabalhadores de preparação de alimentos</v>
      </c>
      <c r="O294" s="7" t="str">
        <f>IFERROR(__xludf.DUMMYFUNCTION("IF(M294="""","""",GOOGLETRANSLATE(M294,""en"",""pt""))"),"As funções podem incluir: auxiliar cozinheiros e equipe de cozinha em diversas tarefas conforme necessário e fornecer aos cozinheiros os itens necessários. Lavar, descascar e cortar diversos alimentos, como frutas e legumes, para prepará-los para o cozime"&amp;"nto ou serviço. Desossar e limpar aves, peixes, aves domésticas e frutos do mar para prepará-los para o cozimento ou serviço. Cortar, fatiar ou moer carne, aves e frutos do mar para prepará-los para o cozimento. Colocar pratos, copos e utensílios de mesa "&amp;"nas máquinas de lavar louça e outras atividades relacionadas a trabalhadores de preparação de alimentos, conforme SOC/OES 35-9021 (onetonline.org). Horário padrão/esperado: segunda a sábado, das 9h às 15h ou das 15h às 22h. Oferecemos mais de 40 horas sem"&amp;"anais, sem incluir o horário de almoço e/ou intervalos. Possibilidade de trabalho nos fins de semana e feriados. Os horários de início e término, a carga horária e/ou horas extras podem variar, pois podem depender de outros fatores, como necessidades do p"&amp;"rojeto/cronograma/serviço, clima e tempo de deslocamento entre os locais de trabalho (se aplicável). Possibilidade de horas extras, mas não obrigatórias nem garantidas. A critério exclusivo do empregador: possíveis aumentos e/ou bônus com base em fatores "&amp;"individuais, como desempenho ou habilidades (não garantidos). Classificação do cargo: 35-9021.00 - Lavadores de Louça. A classificação e a descrição do cargo/setor incluem informações gerais sobre a posição, de acordo com o ONET/OES e o Sistema de Classif"&amp;"icação Industrial da América do Norte. Consulte as Funções e a Ordem de Serviço para obter mais informações. Requisitos do Cargo Experiência Necessária: Sim Meses de Experiência Necessários: 3 Requisitos Especiais: É necessário ter 18 anos ou mais, devido"&amp;" às leis trabalhistas estaduais. É necessário apresentar comprovante de autorização legal para trabalhar nos Estados Unidos. Ambiente de trabalho livre de drogas, álcool e tabaco. Executar atividades físicas, como levantar, equilibrar-se, caminhar, abaixa"&amp;"r-se, manusear, posicionar, mover e manipular materiais; usar força estática para exercer força muscular máxima para levantar, empurrar, puxar e carregar objetos de até 18 kg. Todos os candidatos devem ser capazes, estar dispostos e qualificados para exec"&amp;"utar o trabalho descrito e devem estar disponíveis durante todo o período especificado e para trabalhar em todas as áreas da vaga. O horário de trabalho pode variar de acordo com os picos e vales do turismo ao longo da temporada (+/-), possíveis períodos "&amp;"de baixa atividade e/ou horas extras. Número de horas por semana: 40. Horário de trabalho (início/término): 9h às 15h.")</f>
        <v>As funções podem incluir: auxiliar cozinheiros e equipe de cozinha em diversas tarefas conforme necessário e fornecer aos cozinheiros os itens necessários. Lavar, descascar e cortar diversos alimentos, como frutas e legumes, para prepará-los para o cozimento ou serviço. Desossar e limpar aves, peixes, aves domésticas e frutos do mar para prepará-los para o cozimento ou serviço. Cortar, fatiar ou moer carne, aves e frutos do mar para prepará-los para o cozimento. Colocar pratos, copos e utensílios de mesa nas máquinas de lavar louça e outras atividades relacionadas a trabalhadores de preparação de alimentos, conforme SOC/OES 35-9021 (onetonline.org). Horário padrão/esperado: segunda a sábado, das 9h às 15h ou das 15h às 22h. Oferecemos mais de 40 horas semanais, sem incluir o horário de almoço e/ou intervalos. Possibilidade de trabalho nos fins de semana e feriados. Os horários de início e término, a carga horária e/ou horas extras podem variar, pois podem depender de outros fatores, como necessidades do projeto/cronograma/serviço, clima e tempo de deslocamento entre os locais de trabalho (se aplicável). Possibilidade de horas extras, mas não obrigatórias nem garantidas. A critério exclusivo do empregador: possíveis aumentos e/ou bônus com base em fatores individuais, como desempenho ou habilidades (não garantidos). Classificação do cargo: 35-9021.00 - Lavadores de Louça. A classificação e a descrição do cargo/setor incluem informações gerais sobre a posição, de acordo com o ONET/OES e o Sistema de Classificação Industrial da América do Norte. Consulte as Funções e a Ordem de Serviço para obter mais informações. Requisitos do Cargo Experiência Necessária: Sim Meses de Experiência Necessários: 3 Requisitos Especiais: É necessário ter 18 anos ou mais, devido às leis trabalhistas estaduais. É necessário apresentar comprovante de autorização legal para trabalhar nos Estados Unidos. Ambiente de trabalho livre de drogas, álcool e tabaco. Executar atividades físicas, como levantar, equilibrar-se, caminhar, abaixar-se, manusear, posicionar, mover e manipular materiais; usar força estática para exercer força muscular máxima para levantar, empurrar, puxar e carregar objetos de até 18 kg. Todos os candidatos devem ser capazes, estar dispostos e qualificados para executar o trabalho descrito e devem estar disponíveis durante todo o período especificado e para trabalhar em todas as áreas da vaga. O horário de trabalho pode variar de acordo com os picos e vales do turismo ao longo da temporada (+/-), possíveis períodos de baixa atividade e/ou horas extras. Número de horas por semana: 40. Horário de trabalho (início/término): 9h às 15h.</v>
      </c>
    </row>
    <row r="295" ht="20.25" customHeight="1">
      <c r="A295" s="8" t="s">
        <v>1635</v>
      </c>
      <c r="B295" s="8" t="s">
        <v>582</v>
      </c>
      <c r="C295" s="8" t="s">
        <v>583</v>
      </c>
      <c r="D295" s="8" t="s">
        <v>271</v>
      </c>
      <c r="E295" s="9" t="s">
        <v>19</v>
      </c>
      <c r="F295" s="9" t="s">
        <v>20</v>
      </c>
      <c r="G295" s="9" t="s">
        <v>524</v>
      </c>
      <c r="H295" s="8" t="s">
        <v>584</v>
      </c>
      <c r="I295" s="8" t="s">
        <v>585</v>
      </c>
      <c r="J295" s="9">
        <v>18.02</v>
      </c>
      <c r="K295" s="9">
        <v>14.0</v>
      </c>
      <c r="L295" s="8" t="s">
        <v>1636</v>
      </c>
      <c r="M295" s="8" t="s">
        <v>1637</v>
      </c>
      <c r="N295" s="7" t="str">
        <f>IFERROR(__xludf.DUMMYFUNCTION("GOOGLETRANSLATE(L295, ""en"", ""pt"")"),"Mordomo")</f>
        <v>Mordomo</v>
      </c>
      <c r="O295" s="7" t="str">
        <f>IFERROR(__xludf.DUMMYFUNCTION("IF(M295="""","""",GOOGLETRANSLATE(M295,""en"",""pt""))"),"Lavar pratos, utensílios de cozinha, equipamentos de preparação de alimentos e outros utensílios, utilizando lava-louças ou manualmente; manter as áreas de trabalho da cozinha, equipamentos e utensílios limpos e organizados; guardar pratos, utensílios e e"&amp;"quipamentos de cozinha limpos nas áreas de armazenamento; separar e remover o lixo, colocando-o nas áreas de coleta designadas; estocar e transferir suprimentos para estações de serviço, armários, geladeiras, áreas de armazenamento e de trabalho; retirar "&amp;"o lixo; preparar e embalar conjuntos individuais de talheres; auxiliar na montagem e distribuição de pratos; transportar alimentos e equipamentos dos espaços de armazenamento de banquetes para diversos locais da propriedade; limpar equipamentos de cozinha"&amp;" e outros equipamentos utilizados no departamento de serviços de alimentação; auxiliar na coleta de bandejas sujas; montar mesas de banquetes e auxiliar na preparação do espaço para reuniões, conforme designado; e auxiliar na limpeza do hotel, recolhendo "&amp;"lixo, varrendo e realizando outras tarefas de limpeza, conforme designado. Classificação do Cargo: 37-2011.00 - Zeladores e Faxineiros, Exceto Camareiras e Auxiliares de Limpeza. A classificação e descrição do cargo/setor inclui informações gerais sobre a"&amp;" posição, de acordo com o ONET/OES e o Sistema de Classificação Industrial da América do Norte. Consulte as Funções e a Ordem de Serviço para obter mais informações. Requisitos da vaga Experiência necessária: Não Requisitos especiais: Deve ser capaz de le"&amp;"vantar, puxar ou empurrar entre 13 e 23 kg de equipamentos ou lixo. Deve ter disponibilidade para trabalhar em todos os turnos, incluindo fins de semana, noites, madrugadas e feriados. Número de horas por semana: 40 Horário de trabalho (início/término): 8"&amp;"h às 16h")</f>
        <v>Lavar pratos, utensílios de cozinha, equipamentos de preparação de alimentos e outros utensílios, utilizando lava-louças ou manualmente; manter as áreas de trabalho da cozinha, equipamentos e utensílios limpos e organizados; guardar pratos, utensílios e equipamentos de cozinha limpos nas áreas de armazenamento; separar e remover o lixo, colocando-o nas áreas de coleta designadas; estocar e transferir suprimentos para estações de serviço, armários, geladeiras, áreas de armazenamento e de trabalho; retirar o lixo; preparar e embalar conjuntos individuais de talheres; auxiliar na montagem e distribuição de pratos; transportar alimentos e equipamentos dos espaços de armazenamento de banquetes para diversos locais da propriedade; limpar equipamentos de cozinha e outros equipamentos utilizados no departamento de serviços de alimentação; auxiliar na coleta de bandejas sujas; montar mesas de banquetes e auxiliar na preparação do espaço para reuniões, conforme designado; e auxiliar na limpeza do hotel, recolhendo lixo, varrendo e realizando outras tarefas de limpeza, conforme designado. Classificação do Cargo: 37-2011.00 - Zeladores e Faxineiros, Exceto Camareiras e Auxiliares de Limpeza. A classificação e descrição do cargo/setor inclui informações gerais sobre a posição, de acordo com o ONET/OES e o Sistema de Classificação Industrial da América do Norte. Consulte as Funções e a Ordem de Serviço para obter mais informações. Requisitos da vaga Experiência necessária: Não Requisitos especiais: Deve ser capaz de levantar, puxar ou empurrar entre 13 e 23 kg de equipamentos ou lixo. Deve ter disponibilidade para trabalhar em todos os turnos, incluindo fins de semana, noites, madrugadas e feriados. Número de horas por semana: 40 Horário de trabalho (início/término): 8h às 16h</v>
      </c>
    </row>
    <row r="296" ht="20.25" customHeight="1">
      <c r="A296" s="3" t="s">
        <v>1638</v>
      </c>
      <c r="B296" s="3" t="s">
        <v>1639</v>
      </c>
      <c r="C296" s="3" t="s">
        <v>1640</v>
      </c>
      <c r="D296" s="3" t="s">
        <v>71</v>
      </c>
      <c r="E296" s="4" t="s">
        <v>19</v>
      </c>
      <c r="F296" s="4" t="s">
        <v>20</v>
      </c>
      <c r="G296" s="4" t="s">
        <v>212</v>
      </c>
      <c r="H296" s="3" t="s">
        <v>1406</v>
      </c>
      <c r="I296" s="3" t="s">
        <v>1407</v>
      </c>
      <c r="J296" s="4">
        <v>19.05</v>
      </c>
      <c r="K296" s="4">
        <v>6.0</v>
      </c>
      <c r="L296" s="3" t="s">
        <v>1641</v>
      </c>
      <c r="M296" s="3" t="s">
        <v>1642</v>
      </c>
      <c r="N296" s="7" t="str">
        <f>IFERROR(__xludf.DUMMYFUNCTION("GOOGLETRANSLATE(L296, ""en"", ""pt"")"),"Garçom/Garçonete")</f>
        <v>Garçom/Garçonete</v>
      </c>
      <c r="O296" s="7" t="str">
        <f>IFERROR(__xludf.DUMMYFUNCTION("IF(M296="""","""",GOOGLETRANSLATE(M296,""en"",""pt""))"),"1. Arrumar mesas, levar bandejas e pratos para sócios, clientes e convidados. 2. Limpar e retirar as mesas. 3. Servir água, café e outras bebidas. 4. Auxiliar na preparação de banquetes, eventos especiais e/ou grandes festas. As funções do cargo de Auxili"&amp;"ar de Garçom são de apoio, destinadas a auxiliar a equipe principal de atendimento e a equipe da cozinha. A seguir, detalhamos as tarefas: • Auxiliar na preparação de banquetes, eventos especiais e/ou grandes festas: As tarefas incluem organizar mesas e c"&amp;"adeiras de acordo com a planta do salão, colocar toalhas de mesa e preparar itens não perecíveis, como saleiros/pimenteiros, centros de mesa e guardanapos dobrados. • Auxiliar em outras atividades de serviço de alimentos para sócios, clientes e convidados"&amp;": Isso envolve manter a limpeza do salão, transportar toalhas de mesa limpas para os pontos de serviço e garantir que os recipientes de condimentos estejam cheios e prontos para uso. • Coordenar com a equipe da cozinha para garantir a entrega pontual dos "&amp;"pedidos e auxiliar na agilização do serviço durante períodos de grande movimento: O funcionário monitorará a estação de expedição para identificar os pratos finalizados, garantir que as guarnições corretas estejam presentes conforme as instruções do Chef "&amp;"e transportar prontamente as bandejas para a área de refeições designada para manter a temperatura dos alimentos. • Prestar assistência básica aos clientes, como confirmar a entrega dos itens pedidos ou atender a necessidades imediatas de reabastecimento "&amp;"(por exemplo, repor talheres caídos, oferecer água) sob a supervisão de garçons ou do chefe de banquetes: Sob a supervisão direta de um garçom ou chefe de banquetes, o funcionário poderá atender a solicitações imediatas e simples, como repor um garfo caíd"&amp;"o, encher copos de água ou informar um garçom que um cliente precisa de mais assistência. Resposta a perguntas específicas • Anotação de pedidos: O auxiliar de garçom não anotará pedidos de comida ou bebida dos clientes em nenhum momento, seja dentro ou f"&amp;"ora do estabelecimento. Todos os pedidos são feitos exclusivamente pelos garçons. • Funções em Ambientes Externos/Praia: Ao desempenhar funções ""em ambientes externos dentro das dependências do clube, incluindo ambientes semelhantes a praias"", as tarefa"&amp;"s permanecem idênticas ao serviço interno: transportar bandejas de comida da cozinha para as mesas externas, recolher pratos/lixo usados ​​da área e garantir que os pontos de serviço externos estejam abastecidos com utensílios e guardanapos limpos. 5. Aux"&amp;"iliar em outras atividades de entrega/serviço de alimentos para sócios, clientes e convidados. As tarefas podem ser realizadas dentro ou fora das dependências do clube, incluindo ambientes semelhantes a praias. Incluindo, entre outras: a. Reabastecer os p"&amp;"ontos de serviço com talheres, guardanapos, condimentos e jarras de água durante os períodos de serviço. b. Entregar cestas de pão, aperitivos pré-selecionados ou condimentos às mesas conforme orientação dos garçons ou da cozinha. c. Coordenar com a equip"&amp;"e da cozinha para garantir a entrega pontual dos pedidos de comida e auxiliar na agilização do serviço durante períodos de grande movimento. d. Auxiliar no polimento e na disposição de copos e talheres em mesas de jantar ou em preparativos para banquetes."&amp;" e. Transportar pratos, copos e utensílios sujos de volta para as áreas de lavagem designadas durante ou após o serviço. f. Prestar assistência básica aos hóspedes, como confirmar a entrega dos itens pedidos ou atender às necessidades imediatas de reabast"&amp;"ecimento (por exemplo, repor utensílios caídos, oferecer água) sob a supervisão de garçons ou chefe de banquetes. Classificação do Cargo: 53-7062.00 - Operários e Movimentadores de Carga, Estoque e Materiais. A classificação e descrição do cargo/setor inc"&amp;"lui informações gerais sobre a posição, de acordo com o ONET/OES e o Sistema de Classificação Industrial da América do Norte. Consulte as Funções e a Ordem de Serviço para obter mais informações. Requisitos do Cargo Experiência Necessária: Sim Meses de Ex"&amp;"periência Necessários: 3 Requisitos Especiais: TRÊS (3) MESES DE EXPERIÊNCIA EM UM RESTAURANTE DE ALTO VOLUME, RESORT OU CLUBE PRIVADO OU OUTRO ESTABELECIMENTO DE SERVIÇOS DE HOSPITALIDADE QUE EXIJA ATENDIMENTO AO HÓSPEDE, SERVIÇO DE ALIMENTAÇÃO OU SERVIÇ"&amp;"O DE EVENTOS. Número de horas por semana: 35 Horário de trabalho (início/término): 7h00 - 14h00")</f>
        <v>1. Arrumar mesas, levar bandejas e pratos para sócios, clientes e convidados. 2. Limpar e retirar as mesas. 3. Servir água, café e outras bebidas. 4. Auxiliar na preparação de banquetes, eventos especiais e/ou grandes festas. As funções do cargo de Auxiliar de Garçom são de apoio, destinadas a auxiliar a equipe principal de atendimento e a equipe da cozinha. A seguir, detalhamos as tarefas: • Auxiliar na preparação de banquetes, eventos especiais e/ou grandes festas: As tarefas incluem organizar mesas e cadeiras de acordo com a planta do salão, colocar toalhas de mesa e preparar itens não perecíveis, como saleiros/pimenteiros, centros de mesa e guardanapos dobrados. • Auxiliar em outras atividades de serviço de alimentos para sócios, clientes e convidados: Isso envolve manter a limpeza do salão, transportar toalhas de mesa limpas para os pontos de serviço e garantir que os recipientes de condimentos estejam cheios e prontos para uso. • Coordenar com a equipe da cozinha para garantir a entrega pontual dos pedidos e auxiliar na agilização do serviço durante períodos de grande movimento: O funcionário monitorará a estação de expedição para identificar os pratos finalizados, garantir que as guarnições corretas estejam presentes conforme as instruções do Chef e transportar prontamente as bandejas para a área de refeições designada para manter a temperatura dos alimentos. • Prestar assistência básica aos clientes, como confirmar a entrega dos itens pedidos ou atender a necessidades imediatas de reabastecimento (por exemplo, repor talheres caídos, oferecer água) sob a supervisão de garçons ou do chefe de banquetes: Sob a supervisão direta de um garçom ou chefe de banquetes, o funcionário poderá atender a solicitações imediatas e simples, como repor um garfo caído, encher copos de água ou informar um garçom que um cliente precisa de mais assistência. Resposta a perguntas específicas • Anotação de pedidos: O auxiliar de garçom não anotará pedidos de comida ou bebida dos clientes em nenhum momento, seja dentro ou fora do estabelecimento. Todos os pedidos são feitos exclusivamente pelos garçons. • Funções em Ambientes Externos/Praia: Ao desempenhar funções "em ambientes externos dentro das dependências do clube, incluindo ambientes semelhantes a praias", as tarefas permanecem idênticas ao serviço interno: transportar bandejas de comida da cozinha para as mesas externas, recolher pratos/lixo usados ​​da área e garantir que os pontos de serviço externos estejam abastecidos com utensílios e guardanapos limpos. 5. Auxiliar em outras atividades de entrega/serviço de alimentos para sócios, clientes e convidados. As tarefas podem ser realizadas dentro ou fora das dependências do clube, incluindo ambientes semelhantes a praias. Incluindo, entre outras: a. Reabastecer os pontos de serviço com talheres, guardanapos, condimentos e jarras de água durante os períodos de serviço. b. Entregar cestas de pão, aperitivos pré-selecionados ou condimentos às mesas conforme orientação dos garçons ou da cozinha. c. Coordenar com a equipe da cozinha para garantir a entrega pontual dos pedidos de comida e auxiliar na agilização do serviço durante períodos de grande movimento. d. Auxiliar no polimento e na disposição de copos e talheres em mesas de jantar ou em preparativos para banquetes. e. Transportar pratos, copos e utensílios sujos de volta para as áreas de lavagem designadas durante ou após o serviço. f. Prestar assistência básica aos hóspedes, como confirmar a entrega dos itens pedidos ou atender às necessidades imediatas de reabastecimento (por exemplo, repor utensílios caídos, oferecer água) sob a supervisão de garçons ou chefe de banquetes. Classificação do Cargo: 53-7062.00 - Operários e Movimentadores de Carga, Estoque e Materiais. A classificação e descrição do cargo/setor inclui informações gerais sobre a posição, de acordo com o ONET/OES e o Sistema de Classificação Industrial da América do Norte. Consulte as Funções e a Ordem de Serviço para obter mais informações. Requisitos do Cargo Experiência Necessária: Sim Meses de Experiência Necessários: 3 Requisitos Especiais: TRÊS (3) MESES DE EXPERIÊNCIA EM UM RESTAURANTE DE ALTO VOLUME, RESORT OU CLUBE PRIVADO OU OUTRO ESTABELECIMENTO DE SERVIÇOS DE HOSPITALIDADE QUE EXIJA ATENDIMENTO AO HÓSPEDE, SERVIÇO DE ALIMENTAÇÃO OU SERVIÇO DE EVENTOS. Número de horas por semana: 35 Horário de trabalho (início/término): 7h00 - 14h00</v>
      </c>
    </row>
    <row r="297" ht="20.25" customHeight="1">
      <c r="A297" s="8" t="s">
        <v>1643</v>
      </c>
      <c r="B297" s="8" t="s">
        <v>1644</v>
      </c>
      <c r="C297" s="8" t="s">
        <v>78</v>
      </c>
      <c r="D297" s="8" t="s">
        <v>109</v>
      </c>
      <c r="E297" s="9" t="s">
        <v>19</v>
      </c>
      <c r="F297" s="9" t="s">
        <v>20</v>
      </c>
      <c r="G297" s="9" t="s">
        <v>56</v>
      </c>
      <c r="H297" s="8" t="s">
        <v>1645</v>
      </c>
      <c r="I297" s="8" t="s">
        <v>1646</v>
      </c>
      <c r="J297" s="9">
        <v>18.69</v>
      </c>
      <c r="K297" s="9">
        <v>5.0</v>
      </c>
      <c r="L297" s="8" t="s">
        <v>59</v>
      </c>
      <c r="M297" s="8" t="s">
        <v>1647</v>
      </c>
      <c r="N297" s="7" t="str">
        <f>IFERROR(__xludf.DUMMYFUNCTION("GOOGLETRANSLATE(L297, ""en"", ""pt"")"),"Trabalhador de paisagismo")</f>
        <v>Trabalhador de paisagismo</v>
      </c>
      <c r="O297" s="7" t="str">
        <f>IFERROR(__xludf.DUMMYFUNCTION("IF(M297="""","""",GOOGLETRANSLATE(M297,""en"",""pt""))"),"As funções podem incluir: cuidar de gramados já estabelecidos, cortando, aparando (rente ao solo), fazendo o acabamento das bordas, aplicando cobertura morta, rastelando, compostando folhas, aerando, capinando, removendo palha, lixo, folhas e detritos. Re"&amp;"mover flores murchas, podar ou aparar flores, folhagens, plantas, arbustos e árvores. Plantar grama, sementes, bulbos, folhagens, flores, forrações, arbustos e árvores. Transportar ou espalhar material para paisagismo, como cobertura morta, pedras e terra"&amp;" vegetal. Regar/irrigar gramados, plantas e árvores usando sistemas de irrigação portáteis, mangueiras ou regadores. Manter calçadas, entradas de garagem, estacionamentos, canteiros ou outras áreas externas em bom estado. Usar ferramentas manuais, como pá"&amp;"s, ancinhos, tesouras de poda, tesouras de jardinagem e carrinhos de mão. Pode operar equipamentos motorizados, como cortadores de grama, aparadores, bordadeiras, serras de poda e sopradores de folhas. Ocasionalmente, será necessário remover neve de calça"&amp;"das, entradas de garagem ou estacionamentos com pás de mão ou sopradores pequenos. Manter o local de trabalho limpo para garantir a segurança e realizar outras atividades relacionadas a serviços de paisagismo, conforme SOC/OES 37-3011 (onetonline.org). Ho"&amp;"rário padrão/esperado: segunda a sexta, das 8h às 17h. Oferecemos mais de 40 horas semanais, sem incluir almoço e/ou intervalos. Possibilidade de trabalho nos fins de semana e feriados. Os horários de início e término, a carga horária e/ou horas extras po"&amp;"dem variar, pois dependem de fatores como projeto/cronograma/necessidades do serviço, condições climáticas e tempo de deslocamento entre os locais de trabalho (se aplicável). Horas extras são possíveis, mas não obrigatórias nem garantidas. A critério excl"&amp;"usivo do empregador: aumentos salariais e/ou bônus podem ser concedidos com base em fatores individuais, como desempenho ou habilidades (não garantidos). Moradia compartilhada opcional disponível para o trabalhador, com um custo mensal de até US$ 300,00. "&amp;"Caso o trabalhador concorde com a opção de alojamento, o valor mensal do aluguel deverá ser pago diretamente ao proprietário. Classificação da vaga: 37-3011.00 - Trabalhadores de Paisagismo e Manutenção de Jardins. A classificação e descrição da vaga/seto"&amp;"r incluem informações gerais sobre o cargo, conforme o ONET/OES e o Sistema de Classificação Industrial da América do Norte (NAICS). Consulte as Funções e a Ordem de Serviço para obter mais informações. Requisitos da vaga: Experiência exigida: Sim. Meses "&amp;"de experiência exigidos: 3. Requisitos especiais: É necessário ter 18 anos devido ao uso de equipamentos. É necessário apresentar comprovante de autorização legal para trabalhar nos Estados Unidos. Ambiente de trabalho livre de drogas, álcool e tabaco. Ex"&amp;"ecutar atividades físicas como: levantar, equilibrar-se, caminhar, abaixar-se, manusear, posicionar, mover e manipular materiais; usar força estática para exercer força muscular máxima para levantar, empurrar, puxar e carregar objetos de até 34 kg (possiv"&amp;"elmente com a ajuda de outra pessoa). Todos os candidatos devem ser capazes, dispostos e qualificados para executar o trabalho descrito e devem estar disponíveis durante todo o período especificado e para trabalhar em todas as áreas da vaga. O trabalho é "&amp;"realizado ao ar livre, exposto às intempéries; o candidato deve ser capaz de realizar trabalho fisicamente extenuante por longos períodos, ocasionalmente em calor ou frio extremos. As condições climáticas são variáveis; a carga horária pode sofrer alteraç"&amp;"ões (+/-), com possibilidade de períodos de inatividade e/ou horas extras. Número de horas por semana: 40. Horário de trabalho (início/término): 8h às 17h.")</f>
        <v>As funções podem incluir: cuidar de gramados já estabelecidos, cortando, aparando (rente ao solo), fazendo o acabamento das bordas, aplicando cobertura morta, rastelando, compostando folhas, aerando, capinando, removendo palha, lixo, folhas e detritos. Remover flores murchas, podar ou aparar flores, folhagens, plantas, arbustos e árvores. Plantar grama, sementes, bulbos, folhagens, flores, forrações, arbustos e árvores. Transportar ou espalhar material para paisagismo, como cobertura morta, pedras e terra vegetal. Regar/irrigar gramados, plantas e árvores usando sistemas de irrigação portáteis, mangueiras ou regadores. Manter calçadas, entradas de garagem, estacionamentos, canteiros ou outras áreas externas em bom estado. Usar ferramentas manuais, como pás, ancinhos, tesouras de poda, tesouras de jardinagem e carrinhos de mão. Pode operar equipamentos motorizados, como cortadores de grama, aparadores, bordadeiras, serras de poda e sopradores de folhas. Ocasionalmente, será necessário remover neve de calçadas, entradas de garagem ou estacionamentos com pás de mão ou sopradores pequenos. Manter o local de trabalho limpo para garantir a segurança e realizar outras atividades relacionadas a serviços de paisagismo, conforme SOC/OES 37-3011 (onetonline.org). Horário padrão/esperado: segunda a sexta, das 8h às 17h. Oferecemos mais de 40 horas semanais, sem incluir almoço e/ou intervalos. Possibilidade de trabalho nos fins de semana e feriados. Os horários de início e término, a carga horária e/ou horas extras podem variar, pois dependem de fatores como projeto/cronograma/necessidades do serviço, condições climáticas e tempo de deslocamento entre os locais de trabalho (se aplicável). Horas extras são possíveis, mas não obrigatórias nem garantidas. A critério exclusivo do empregador: aumentos salariais e/ou bônus podem ser concedidos com base em fatores individuais, como desempenho ou habilidades (não garantidos). Moradia compartilhada opcional disponível para o trabalhador, com um custo mensal de até US$ 300,00. Caso o trabalhador concorde com a opção de alojamento, o valor mensal do aluguel deverá ser pago diretamente ao proprietário. Classificação da vaga: 37-3011.00 - Trabalhadores de Paisagismo e Manutenção de Jardins. A classificação e descrição da vaga/setor incluem informações gerais sobre o cargo, conforme o ONET/OES e o Sistema de Classificação Industrial da América do Norte (NAICS). Consulte as Funções e a Ordem de Serviço para obter mais informações. Requisitos da vaga: Experiência exigida: Sim. Meses de experiência exigidos: 3. Requisitos especiais: É necessário ter 18 anos devido ao uso de equipamentos. É necessário apresentar comprovante de autorização legal para trabalhar nos Estados Unidos. Ambiente de trabalho livre de drogas, álcool e tabaco. Executar atividades físicas como: levantar, equilibrar-se, caminhar, abaixar-se, manusear, posicionar, mover e manipular materiais; usar força estática para exercer força muscular máxima para levantar, empurrar, puxar e carregar objetos de até 34 kg (possivelmente com a ajuda de outra pessoa). Todos os candidatos devem ser capazes, dispostos e qualificados para executar o trabalho descrito e devem estar disponíveis durante todo o período especificado e para trabalhar em todas as áreas da vaga. O trabalho é realizado ao ar livre, exposto às intempéries; o candidato deve ser capaz de realizar trabalho fisicamente extenuante por longos períodos, ocasionalmente em calor ou frio extremos. As condições climáticas são variáveis; a carga horária pode sofrer alterações (+/-), com possibilidade de períodos de inatividade e/ou horas extras. Número de horas por semana: 40. Horário de trabalho (início/término): 8h às 17h.</v>
      </c>
    </row>
    <row r="298" ht="20.25" customHeight="1">
      <c r="A298" s="3" t="s">
        <v>1648</v>
      </c>
      <c r="B298" s="3" t="s">
        <v>1649</v>
      </c>
      <c r="C298" s="3" t="s">
        <v>78</v>
      </c>
      <c r="D298" s="3" t="s">
        <v>126</v>
      </c>
      <c r="E298" s="4" t="s">
        <v>19</v>
      </c>
      <c r="F298" s="4" t="s">
        <v>20</v>
      </c>
      <c r="G298" s="4" t="s">
        <v>1650</v>
      </c>
      <c r="H298" s="3" t="s">
        <v>1651</v>
      </c>
      <c r="I298" s="3" t="s">
        <v>1652</v>
      </c>
      <c r="J298" s="4">
        <v>21.11</v>
      </c>
      <c r="K298" s="4">
        <v>40.0</v>
      </c>
      <c r="L298" s="3" t="s">
        <v>1653</v>
      </c>
      <c r="M298" s="3" t="s">
        <v>1654</v>
      </c>
      <c r="N298" s="7" t="str">
        <f>IFERROR(__xludf.DUMMYFUNCTION("GOOGLETRANSLATE(L298, ""en"", ""pt"")"),"Removedor de neve")</f>
        <v>Removedor de neve</v>
      </c>
      <c r="O298" s="7" t="str">
        <f>IFERROR(__xludf.DUMMYFUNCTION("IF(M298="""","""",GOOGLETRANSLATE(M298,""en"",""pt""))"),"As funções podem incluir: Sob supervisão, realizar a manutenção geral de áreas externas de propriedades residenciais existentes, cuidando da conservação. Remover neve de calçadas e entradas de veículos; aplicar sal/descongelante manualmente. Operar ferram"&amp;"entas e equipamentos de remoção de neve, como pás de neve manuais e sopradores de neve de baixa potência/bobcat (trator pequeno de nível básico) com acessórios como soprador. Preparar/limpar o local para eventos climáticos adversos após nevascas/gelos e o"&amp;"utras atividades relacionadas à remoção de neve, conforme SOC/OES 37-3011 (onetonline.org). Horário padrão/esperado: Segunda a sexta, das 6h às 13h. Oferecemos 35 horas ou mais por semana, sem incluir almoço e/ou intervalos. Possibilidade de trabalho nos "&amp;"fins de semana/feriados. Os horários de início e término, a carga horária e/ou horas extras podem variar, pois dependem de outros fatores, como necessidades do projeto/cronograma/serviço, condições climáticas e tempo de deslocamento entre os locais de tra"&amp;"balho (se aplicável). Possibilidade de horas extras, mas não obrigatórias ou garantidas. A critério exclusivo do empregador: possíveis aumentos e/ou bônus com base em fatores individuais, como desempenho ou habilidades (não garantidos). Classificação da v"&amp;"aga: 37-3011.00 - Trabalhadores de Paisagismo e Manutenção de Jardins. A classificação e descrição da vaga/setor incluem informações gerais sobre o cargo, conforme o ONET/OES e o Sistema de Classificação Industrial da América do Norte. Consulte as Funções"&amp;" e a Ordem de Serviço para obter mais informações. Requisitos da vaga: Experiência exigida: Não. Requisitos especiais: É necessário ter 18 anos devido ao uso de equipamentos. É necessário apresentar comprovante de autorização legal para trabalhar nos Esta"&amp;"dos Unidos. Ambiente de trabalho livre de drogas, álcool e tabaco. Executar atividades físicas como: levantar, equilibrar-se, caminhar, abaixar-se, manusear, posicionar, mover e manipular materiais; usar força estática para exercer força muscular máxima p"&amp;"ara levantar, empurrar, puxar e carregar objetos de até 45 kg (possivelmente com a ajuda de outra pessoa). Todos os candidatos devem ser capazes, dispostos e qualificados para executar o trabalho descrito e devem estar disponíveis durante todo o período e"&amp;"specificado e para trabalhar em todas as áreas da vaga. O trabalho é realizado ao ar livre, exposto às intempéries; o candidato deve ser capaz de realizar trabalho fisicamente extenuante por longos períodos, ocasionalmente em calor ou frio extremos. As co"&amp;"ndições climáticas são variáveis; a carga horária pode sofrer alterações (+/-), com possibilidade de períodos de inatividade e/ou horas extras. Número de horas por semana: 35. Horário de trabalho (início/término): 6h às 13h.")</f>
        <v>As funções podem incluir: Sob supervisão, realizar a manutenção geral de áreas externas de propriedades residenciais existentes, cuidando da conservação. Remover neve de calçadas e entradas de veículos; aplicar sal/descongelante manualmente. Operar ferramentas e equipamentos de remoção de neve, como pás de neve manuais e sopradores de neve de baixa potência/bobcat (trator pequeno de nível básico) com acessórios como soprador. Preparar/limpar o local para eventos climáticos adversos após nevascas/gelos e outras atividades relacionadas à remoção de neve, conforme SOC/OES 37-3011 (onetonline.org). Horário padrão/esperado: Segunda a sexta, das 6h às 13h. Oferecemos 35 horas ou mais por semana, sem incluir almoço e/ou intervalos. Possibilidade de trabalho nos fins de semana/feriados. Os horários de início e término, a carga horária e/ou horas extras podem variar, pois dependem de outros fatores, como necessidades do projeto/cronograma/serviço, condições climáticas e tempo de deslocamento entre os locais de trabalho (se aplicável). Possibilidade de horas extras, mas não obrigatórias ou garantidas. A critério exclusivo do empregador: possíveis aumentos e/ou bônus com base em fatores individuais, como desempenho ou habilidades (não garantidos). Classificação da vaga: 37-3011.00 - Trabalhadores de Paisagismo e Manutenção de Jardins. A classificação e descrição da vaga/setor incluem informações gerais sobre o cargo, conforme o ONET/OES e o Sistema de Classificação Industrial da América do Norte. Consulte as Funções e a Ordem de Serviço para obter mais informações. Requisitos da vaga: Experiência exigida: Não. Requisitos especiais: É necessário ter 18 anos devido ao uso de equipamentos. É necessário apresentar comprovante de autorização legal para trabalhar nos Estados Unidos. Ambiente de trabalho livre de drogas, álcool e tabaco. Executar atividades físicas como: levantar, equilibrar-se, caminhar, abaixar-se, manusear, posicionar, mover e manipular materiais; usar força estática para exercer força muscular máxima para levantar, empurrar, puxar e carregar objetos de até 45 kg (possivelmente com a ajuda de outra pessoa). Todos os candidatos devem ser capazes, dispostos e qualificados para executar o trabalho descrito e devem estar disponíveis durante todo o período especificado e para trabalhar em todas as áreas da vaga. O trabalho é realizado ao ar livre, exposto às intempéries; o candidato deve ser capaz de realizar trabalho fisicamente extenuante por longos períodos, ocasionalmente em calor ou frio extremos. As condições climáticas são variáveis; a carga horária pode sofrer alterações (+/-), com possibilidade de períodos de inatividade e/ou horas extras. Número de horas por semana: 35. Horário de trabalho (início/término): 6h às 13h.</v>
      </c>
    </row>
    <row r="299" ht="20.25" customHeight="1">
      <c r="A299" s="8" t="s">
        <v>1655</v>
      </c>
      <c r="B299" s="8" t="s">
        <v>1656</v>
      </c>
      <c r="C299" s="8" t="s">
        <v>736</v>
      </c>
      <c r="D299" s="8" t="s">
        <v>254</v>
      </c>
      <c r="E299" s="9" t="s">
        <v>19</v>
      </c>
      <c r="F299" s="9" t="s">
        <v>20</v>
      </c>
      <c r="G299" s="9" t="s">
        <v>155</v>
      </c>
      <c r="H299" s="8" t="s">
        <v>1657</v>
      </c>
      <c r="I299" s="8" t="s">
        <v>1658</v>
      </c>
      <c r="J299" s="9">
        <v>13.53</v>
      </c>
      <c r="K299" s="9">
        <v>7.0</v>
      </c>
      <c r="L299" s="8" t="s">
        <v>1659</v>
      </c>
      <c r="M299" s="8" t="s">
        <v>1660</v>
      </c>
      <c r="N299" s="7" t="str">
        <f>IFERROR(__xludf.DUMMYFUNCTION("GOOGLETRANSLATE(L299, ""en"", ""pt"")"),"Guias turísticos e acompanhantes")</f>
        <v>Guias turísticos e acompanhantes</v>
      </c>
      <c r="O299" s="7" t="str">
        <f>IFERROR(__xludf.DUMMYFUNCTION("IF(M299="""","""",GOOGLETRANSLATE(M299,""en"",""pt""))"),"As funções podem incluir: atividades de guia de caça, incluindo o trabalho e a manutenção de cães de caça, o abastecimento de áreas de caça, o auxílio aos caçadores no campo e a limpeza de aves. Manter e limpar todas as áreas de trabalho. Limpar canis e a"&amp;"limentar os cães. Carregar e descarregar aves. Alimentar e dar água às aves e outras atividades relacionadas a guias turísticos e acompanhantes, conforme SOC/OES 39-2021 (onetonline.org). Horário padrão/esperado: segunda a sábado, das 6h às 16h. Oferecemo"&amp;"s mais de 40 horas semanais, sem incluir almoço e/ou intervalos. A escala semanal pode variar de acordo com as necessidades da empresa. Os dias de trabalho podem começar/terminar mais cedo ou mais tarde, dependendo da demanda sazonal. Possibilidade de tra"&amp;"balho aos fins de semana e feriados. Os horários de início e término, a carga horária oferecida e/ou a possibilidade de horas extras podem variar, pois dependem de outros fatores, como as necessidades do projeto/cronograma/serviço, as condições climáticas"&amp;" e o tempo de deslocamento entre os locais de trabalho (se aplicável). Horas extras são possíveis, mas não obrigatórias nem garantidas. A critério exclusivo do empregador: possíveis aumentos e/ou bônus com base em fatores individuais, como desempenho no t"&amp;"rabalho ou habilidades (não garantidos). Moradia compartilhada opcional disponível sem custo para o trabalhador. Classificação do Cargo: 39-2021.00 - Cuidadores de Animais. A classificação e descrição do cargo/setor incluem informações gerais sobre a posi"&amp;"ção, de acordo com o ONET/OES e o Sistema de Classificação Industrial da América do Norte. Consulte as Funções e a Ordem de Serviço para obter mais informações. Requisitos do Cargo: Experiência Necessária: Não. Requisitos Especiais: Deve apresentar compro"&amp;"vante de autorização legal para trabalhar nos Estados Unidos. Ambiente de trabalho livre de drogas, álcool e tabaco. Executar atividades físicas, como levantar, equilibrar-se, caminhar, abaixar-se, manusear, posicionar, mover e manipular materiais; usar f"&amp;"orça estática para exercer força muscular máxima para levantar, empurrar, puxar e carregar objetos de até 18 kg. Todos os candidatos devem ser capazes, estar dispostos e qualificados para executar o trabalho descrito e devem estar disponíveis durante todo"&amp;" o período especificado e trabalhar em todas as áreas do emprego pretendido. A critério do empregador/custo: o trabalhador poderá ser submetido a testes aleatórios de drogas/álcool durante o emprego: teste positivo/recusa em cumprir o teste = demissão. Po"&amp;"ssível verificação de antecedentes após a contratação, às custas do empregador. O trabalho é realizado ao ar livre, exposto às intempéries; o candidato deve ser capaz de realizar trabalho fisicamente extenuante por longas horas, ocasionalmente em calor ou"&amp;" frio extremos. As condições climáticas são variáveis; a carga horária pode sofrer alterações (+/-), podendo haver períodos de inatividade e/ou horas extras. Número de horas por semana: 40. Horário de trabalho (início/término): 6h às 16h.")</f>
        <v>As funções podem incluir: atividades de guia de caça, incluindo o trabalho e a manutenção de cães de caça, o abastecimento de áreas de caça, o auxílio aos caçadores no campo e a limpeza de aves. Manter e limpar todas as áreas de trabalho. Limpar canis e alimentar os cães. Carregar e descarregar aves. Alimentar e dar água às aves e outras atividades relacionadas a guias turísticos e acompanhantes, conforme SOC/OES 39-2021 (onetonline.org). Horário padrão/esperado: segunda a sábado, das 6h às 16h. Oferecemos mais de 40 horas semanais, sem incluir almoço e/ou intervalos. A escala semanal pode variar de acordo com as necessidades da empresa. Os dias de trabalho podem começar/terminar mais cedo ou mais tarde, dependendo da demanda sazonal. Possibilidade de trabalho aos fins de semana e feriados. Os horários de início e término, a carga horária oferecida e/ou a possibilidade de horas extras podem variar, pois dependem de outros fatores, como as necessidades do projeto/cronograma/serviço, as condições climáticas e o tempo de deslocamento entre os locais de trabalho (se aplicável). Horas extras são possíveis, mas não obrigatórias nem garantidas. A critério exclusivo do empregador: possíveis aumentos e/ou bônus com base em fatores individuais, como desempenho no trabalho ou habilidades (não garantidos). Moradia compartilhada opcional disponível sem custo para o trabalhador. Classificação do Cargo: 39-2021.00 - Cuidadores de Animais. A classificação e descrição do cargo/setor incluem informações gerais sobre a posição, de acordo com o ONET/OES e o Sistema de Classificação Industrial da América do Norte. Consulte as Funções e a Ordem de Serviço para obter mais informações. Requisitos do Cargo: Experiência Necessária: Não. Requisitos Especiais: Deve apresentar comprovante de autorização legal para trabalhar nos Estados Unidos. Ambiente de trabalho livre de drogas, álcool e tabaco. Executar atividades físicas, como levantar, equilibrar-se, caminhar, abaixar-se, manusear, posicionar, mover e manipular materiais; usar força estática para exercer força muscular máxima para levantar, empurrar, puxar e carregar objetos de até 18 kg. Todos os candidatos devem ser capazes, estar dispostos e qualificados para executar o trabalho descrito e devem estar disponíveis durante todo o período especificado e trabalhar em todas as áreas do emprego pretendido. A critério do empregador/custo: o trabalhador poderá ser submetido a testes aleatórios de drogas/álcool durante o emprego: teste positivo/recusa em cumprir o teste = demissão. Possível verificação de antecedentes após a contratação, às custas do empregador. O trabalho é realizado ao ar livre, exposto às intempéries; o candidato deve ser capaz de realizar trabalho fisicamente extenuante por longas horas, ocasionalmente em calor ou frio extremos. As condições climáticas são variáveis; a carga horária pode sofrer alterações (+/-), podendo haver períodos de inatividade e/ou horas extras. Número de horas por semana: 40. Horário de trabalho (início/término): 6h às 16h.</v>
      </c>
    </row>
    <row r="300" ht="20.25" customHeight="1">
      <c r="A300" s="3" t="s">
        <v>1661</v>
      </c>
      <c r="B300" s="3" t="s">
        <v>1410</v>
      </c>
      <c r="C300" s="3" t="s">
        <v>1411</v>
      </c>
      <c r="D300" s="3" t="s">
        <v>498</v>
      </c>
      <c r="E300" s="4" t="s">
        <v>44</v>
      </c>
      <c r="F300" s="4" t="s">
        <v>20</v>
      </c>
      <c r="G300" s="4" t="s">
        <v>1662</v>
      </c>
      <c r="H300" s="3" t="s">
        <v>1413</v>
      </c>
      <c r="I300" s="3" t="s">
        <v>1414</v>
      </c>
      <c r="J300" s="4">
        <v>26.85</v>
      </c>
      <c r="K300" s="4">
        <v>60.0</v>
      </c>
      <c r="L300" s="3" t="s">
        <v>1415</v>
      </c>
      <c r="M300" s="3" t="s">
        <v>1663</v>
      </c>
      <c r="N300" s="7" t="str">
        <f>IFERROR(__xludf.DUMMYFUNCTION("GOOGLETRANSLATE(L300, ""en"", ""pt"")"),"Motorista de caminhão")</f>
        <v>Motorista de caminhão</v>
      </c>
      <c r="O300" s="7" t="str">
        <f>IFERROR(__xludf.DUMMYFUNCTION("IF(M300="""","""",GOOGLETRANSLATE(M300,""en"",""pt""))"),"Dirigir caminhões pesados ​​e caminhões-trator, com reboques basculantes (simples e duplos) com capacidade mínima de 26.001 libras de Peso Bruto Total (PBT), transportando produtos agrícolas (principalmente beterraba sacarina). Subir e descer regularmente"&amp;" de caminhões e reboques, a uma altura de até 1,5 metro (5 pés). É necessário saber ler, escrever e falar inglês suficientemente bem para desempenhar as funções do cargo, incluindo a leitura de placas de trânsito, a comunicação com o público e as autorida"&amp;"des policiais, e o preenchimento de relatórios exigidos de acordo com as normas do DOT e da FMCSA. Classificação do Cargo: 53-3032.00 - Motoristas de Caminhão Pesado e Caminhão-Trator. A classificação e a descrição do cargo/setor incluem informações gerai"&amp;"s sobre a posição, conforme o ONET/OES e o Sistema de Classificação Industrial da América do Norte. Consulte as Funções e a Ordem de Serviço para obter mais informações. Requisitos da vaga Experiência necessária: Sim Meses de experiência necessários: 6 Re"&amp;"quisitos especiais: Carteira de habilitação comercial Classe A ou equivalente. Deve ser capaz de permanecer sentado e alerta enquanto dirige em turnos de 12 horas, diurnos e/ou noturnos, conforme necessário. Deve passar por verificação de antecedentes e t"&amp;"este toxicológico. Proficiência em inglês necessária para o desempenho das funções. Número de horas por semana: 48 Horário de trabalho (início/término): 17h às 5h")</f>
        <v>Dirigir caminhões pesados ​​e caminhões-trator, com reboques basculantes (simples e duplos) com capacidade mínima de 26.001 libras de Peso Bruto Total (PBT), transportando produtos agrícolas (principalmente beterraba sacarina). Subir e descer regularmente de caminhões e reboques, a uma altura de até 1,5 metro (5 pés). É necessário saber ler, escrever e falar inglês suficientemente bem para desempenhar as funções do cargo, incluindo a leitura de placas de trânsito, a comunicação com o público e as autoridades policiais, e o preenchimento de relatórios exigidos de acordo com as normas do DOT e da FMCSA. Classificação do Cargo: 53-3032.00 - Motoristas de Caminhão Pesado e Caminhão-Trator. A classificação e a descrição do cargo/setor incluem informações gerais sobre a posição, conforme o ONET/OES e o Sistema de Classificação Industrial da América do Norte. Consulte as Funções e a Ordem de Serviço para obter mais informações. Requisitos da vaga Experiência necessária: Sim Meses de experiência necessários: 6 Requisitos especiais: Carteira de habilitação comercial Classe A ou equivalente. Deve ser capaz de permanecer sentado e alerta enquanto dirige em turnos de 12 horas, diurnos e/ou noturnos, conforme necessário. Deve passar por verificação de antecedentes e teste toxicológico. Proficiência em inglês necessária para o desempenho das funções. Número de horas por semana: 48 Horário de trabalho (início/término): 17h às 5h</v>
      </c>
    </row>
    <row r="301" ht="20.25" customHeight="1">
      <c r="A301" s="8" t="s">
        <v>1664</v>
      </c>
      <c r="B301" s="8" t="s">
        <v>1665</v>
      </c>
      <c r="C301" s="8" t="s">
        <v>116</v>
      </c>
      <c r="D301" s="8" t="s">
        <v>109</v>
      </c>
      <c r="E301" s="9" t="s">
        <v>44</v>
      </c>
      <c r="F301" s="9" t="s">
        <v>20</v>
      </c>
      <c r="G301" s="9" t="s">
        <v>198</v>
      </c>
      <c r="H301" s="8" t="s">
        <v>1666</v>
      </c>
      <c r="I301" s="8" t="s">
        <v>1667</v>
      </c>
      <c r="J301" s="9">
        <v>14.77</v>
      </c>
      <c r="K301" s="9">
        <v>96.0</v>
      </c>
      <c r="L301" s="8" t="s">
        <v>83</v>
      </c>
      <c r="M301" s="8" t="s">
        <v>1668</v>
      </c>
      <c r="N301" s="7" t="str">
        <f>IFERROR(__xludf.DUMMYFUNCTION("GOOGLETRANSLATE(L301, ""en"", ""pt"")"),"Trabalhador Florestal")</f>
        <v>Trabalhador Florestal</v>
      </c>
      <c r="O301" s="7" t="str">
        <f>IFERROR(__xludf.DUMMYFUNCTION("IF(M301="""","""",GOOGLETRANSLATE(M301,""en"",""pt""))"),"As funções podem incluir: Cavar buracos durante todo o dia: aproximadamente 1200 a 1500 por dia para, em seguida, plantar mudas de árvores sem raiz, utilizando ferramentas manuais de plantio em ambiente florestal, sob diversas condições climáticas e de te"&amp;"rreno, além de outras atividades relacionadas a trabalhadores florestais, conforme SOC/OES 45-4011 (onetonline.org). Horário padrão/esperado: Segunda a sexta, das 7h30 às 16h30. Oferecemos mais de 40 horas semanais, sem incluir almoço e/ou intervalos. Pos"&amp;"sibilidade de trabalho em fins de semana e feriados. Os horários de início e término, a carga horária e/ou horas extras podem variar, pois dependem de fatores como necessidades do projeto/cronograma/serviço, condições climáticas e tempo de deslocamento en"&amp;"tre os locais de trabalho (se aplicável). Horas extras são possíveis, mas não obrigatórias nem garantidas. A critério exclusivo do empregador: aumentos salariais e/ou bônus podem ser concedidos com base em fatores individuais, como desempenho ou habilidad"&amp;"es (não garantidos). Pagamento por produção: o trabalhador nunca receberá menos do que o Salário Vigente ou o salário mínimo federal/estadual/municipal. Moradia compartilhada opcional disponível sem custo para o trabalhador. Classificação da vaga: 45-4011"&amp;".00 - Trabalhadores Florestais e de Conservação. A classificação e descrição da vaga/setor incluem informações gerais sobre o cargo, de acordo com o ONET/OES e o Sistema de Classificação Industrial da América do Norte (NAICS). Consulte as Funções e a Orde"&amp;"m de Serviço para obter mais informações. Requisitos da vaga: Experiência exigida: Sim. Meses de experiência exigidos: 3. Requisitos especiais: É necessário ter 18 anos devido a viagens. É necessário apresentar comprovante de autorização legal para trabal"&amp;"har nos Estados Unidos. Ambiente de trabalho livre de drogas, álcool e tabaco. É necessário caminhar bastante (até 24 km/dia), além de se abaixar e se curvar carregando uma mochila (até 23 kg) em terrenos acidentados (fora de trilhas). Todos os candidatos"&amp;" devem ser capazes, estar dispostos e qualificados para executar o trabalho descrito e devem estar disponíveis durante todo o período especificado e trabalhar em todas as áreas do emprego pretendido. A critério do empregador/custo: O trabalhador poderá se"&amp;"r submetido a testes aleatórios de drogas/álcool durante o emprego: teste positivo/recusa em cumprir o teste = demissão. Possível verificação de antecedentes após a contratação, às custas do empregador. O trabalho é realizado ao ar livre, exposto às intem"&amp;"péries; o candidato deve ser capaz de realizar trabalho fisicamente extenuante por longas horas, ocasionalmente em calor ou frio extremos. As condições climáticas são variáveis; a carga horária pode sofrer alterações (+/-), podendo haver períodos de inati"&amp;"vidade e/ou horas extras. Número de horas por semana: 40. Horário de trabalho (início/término): 7h30 às 16h30.")</f>
        <v>As funções podem incluir: Cavar buracos durante todo o dia: aproximadamente 1200 a 1500 por dia para, em seguida, plantar mudas de árvores sem raiz, utilizando ferramentas manuais de plantio em ambiente florestal, sob diversas condições climáticas e de terreno, além de outras atividades relacionadas a trabalhadores florestais, conforme SOC/OES 45-4011 (onetonline.org). Horário padrão/esperado: Segunda a sexta, das 7h30 às 16h30. Oferecemos mais de 40 horas semanais, sem incluir almoço e/ou intervalos. Possibilidade de trabalho em fins de semana e feriados. Os horários de início e término, a carga horária e/ou horas extras podem variar, pois dependem de fatores como necessidades do projeto/cronograma/serviço, condições climáticas e tempo de deslocamento entre os locais de trabalho (se aplicável). Horas extras são possíveis, mas não obrigatórias nem garantidas. A critério exclusivo do empregador: aumentos salariais e/ou bônus podem ser concedidos com base em fatores individuais, como desempenho ou habilidades (não garantidos). Pagamento por produção: o trabalhador nunca receberá menos do que o Salário Vigente ou o salário mínimo federal/estadual/municipal. Moradia compartilhada opcional disponível sem custo para o trabalhador. Classificação da vaga: 45-4011.00 - Trabalhadores Florestais e de Conservação. A classificação e descrição da vaga/setor incluem informações gerais sobre o cargo, de acordo com o ONET/OES e o Sistema de Classificação Industrial da América do Norte (NAICS). Consulte as Funções e a Ordem de Serviço para obter mais informações. Requisitos da vaga: Experiência exigida: Sim. Meses de experiência exigidos: 3. Requisitos especiais: É necessário ter 18 anos devido a viagens. É necessário apresentar comprovante de autorização legal para trabalhar nos Estados Unidos. Ambiente de trabalho livre de drogas, álcool e tabaco. É necessário caminhar bastante (até 24 km/dia), além de se abaixar e se curvar carregando uma mochila (até 23 kg) em terrenos acidentados (fora de trilhas). Todos os candidatos devem ser capazes, estar dispostos e qualificados para executar o trabalho descrito e devem estar disponíveis durante todo o período especificado e trabalhar em todas as áreas do emprego pretendido. A critério do empregador/custo: O trabalhador poderá ser submetido a testes aleatórios de drogas/álcool durante o emprego: teste positivo/recusa em cumprir o teste = demissão. Possível verificação de antecedentes após a contratação, às custas do empregador. O trabalho é realizado ao ar livre, exposto às intempéries; o candidato deve ser capaz de realizar trabalho fisicamente extenuante por longas horas, ocasionalmente em calor ou frio extremos. As condições climáticas são variáveis; a carga horária pode sofrer alterações (+/-), podendo haver períodos de inatividade e/ou horas extras. Número de horas por semana: 40. Horário de trabalho (início/término): 7h30 às 16h30.</v>
      </c>
    </row>
    <row r="302" ht="20.25" customHeight="1">
      <c r="A302" s="3" t="s">
        <v>1669</v>
      </c>
      <c r="B302" s="3" t="s">
        <v>1418</v>
      </c>
      <c r="C302" s="3" t="s">
        <v>1419</v>
      </c>
      <c r="D302" s="3" t="s">
        <v>284</v>
      </c>
      <c r="E302" s="4" t="s">
        <v>19</v>
      </c>
      <c r="F302" s="4" t="s">
        <v>20</v>
      </c>
      <c r="G302" s="4" t="s">
        <v>155</v>
      </c>
      <c r="H302" s="3" t="s">
        <v>1420</v>
      </c>
      <c r="I302" s="3" t="s">
        <v>1421</v>
      </c>
      <c r="J302" s="4">
        <v>16.55</v>
      </c>
      <c r="K302" s="4">
        <v>110.0</v>
      </c>
      <c r="L302" s="3" t="s">
        <v>83</v>
      </c>
      <c r="M302" s="3" t="s">
        <v>1670</v>
      </c>
      <c r="N302" s="7" t="str">
        <f>IFERROR(__xludf.DUMMYFUNCTION("GOOGLETRANSLATE(L302, ""en"", ""pt"")"),"Trabalhador Florestal")</f>
        <v>Trabalhador Florestal</v>
      </c>
      <c r="O302" s="7" t="str">
        <f>IFERROR(__xludf.DUMMYFUNCTION("IF(M302="""","""",GOOGLETRANSLATE(M302,""en"",""pt""))"),"Todos os candidatos devem ser capazes, estar dispostos e qualificados para executar o trabalho descrito nesta descrição de cargo e ter disponibilidade durante todo o período especificado. As funções podem incluir: reflorestamento, proteção de áreas flores"&amp;"tais, semeadura; remoção de mudas de viveiros, colocação de materiais de sombreamento ao lado das mudas, colocação de redes/tubos (pequenos tubos de plástico sobre as mudas); cobertura morta, roçada manual pós-plantio (remoção do excesso de vegetação ao r"&amp;"edor das mudas); aplicação de repelente ou fertilizante em mudas e outras atividades relacionadas à silvicultura, conforme as atividades de Trabalhador Florestal Geral de Gestão Florestal e de Terras, de acordo com a SOC/OES 45-4011 (onetonline.org). É ne"&amp;"cessário realizar atividades físicas: levantar, equilibrar-se, caminhar, agachar-se, manusear, posicionar, mover e manipular materiais, utilizando força estática – exercer força muscular máxima para levantar, empurrar, puxar ou carregar objetos de até 23 "&amp;"kg. Atenção aos detalhes; conclusão das tarefas dentro do prazo. Trabalho ao ar livre, exposto às intempéries; o candidato deve ser capaz de realizar trabalho físico extenuante por longos períodos, ocasionalmente em calor/frio extremos. Condições climátic"&amp;"as variáveis ​​se aplicam. O horário de trabalho pode variar (+/-), com possibilidade de períodos de inatividade/horas extras. Horário diário/semanal possível: 7h às 15h30. De segunda a sexta, 35 a 40 horas semanais ou mais, incluindo intervalo para almoç"&amp;"o. Não é exigida escolaridade mínima. Não é necessária experiência. Treinamento em serviço. Transporte fornecido, local designado para o local de trabalho sem custo para o trabalhador. Ferramentas, suprimentos/equipamentos fornecidos pelo empregador sem c"&amp;"usto/depósito. Alojamento opcional fornecido pelo empregador sem custo para o trabalhador. Classificação do cargo: 45-4011.00 - Trabalhadores Florestais e de Conservação. A classificação e descrição do cargo/setor incluem informações gerais sobre a posiçã"&amp;"o, de acordo com o ONET/OES e o Sistema de Classificação Industrial da América do Norte. Consulte as Funções e a Ordem de Serviço para obter mais informações. Requisitos do cargo: Experiência exigida: Não. Requisitos especiais: É necessário ter pelo menos"&amp;" 18 anos de idade devido a viagens. É necessário comprovar autorização legal para trabalhar nos EUA. Zona de trabalho livre de drogas, álcool e tabaco. Número de horas por semana: 35 Horário de trabalho (início/término): 7h00 - 15h30")</f>
        <v>Todos os candidatos devem ser capazes, estar dispostos e qualificados para executar o trabalho descrito nesta descrição de cargo e ter disponibilidade durante todo o período especificado. As funções podem incluir: reflorestamento, proteção de áreas florestais, semeadura; remoção de mudas de viveiros, colocação de materiais de sombreamento ao lado das mudas, colocação de redes/tubos (pequenos tubos de plástico sobre as mudas); cobertura morta, roçada manual pós-plantio (remoção do excesso de vegetação ao redor das mudas); aplicação de repelente ou fertilizante em mudas e outras atividades relacionadas à silvicultura, conforme as atividades de Trabalhador Florestal Geral de Gestão Florestal e de Terras, de acordo com a SOC/OES 45-4011 (onetonline.org). É necessário realizar atividades físicas: levantar, equilibrar-se, caminhar, agachar-se, manusear, posicionar, mover e manipular materiais, utilizando força estática – exercer força muscular máxima para levantar, empurrar, puxar ou carregar objetos de até 23 kg. Atenção aos detalhes; conclusão das tarefas dentro do prazo. Trabalho ao ar livre, exposto às intempéries; o candidato deve ser capaz de realizar trabalho físico extenuante por longos períodos, ocasionalmente em calor/frio extremos. Condições climáticas variáveis ​​se aplicam. O horário de trabalho pode variar (+/-), com possibilidade de períodos de inatividade/horas extras. Horário diário/semanal possível: 7h às 15h30. De segunda a sexta, 35 a 40 horas semanais ou mais, incluindo intervalo para almoço. Não é exigida escolaridade mínima. Não é necessária experiência. Treinamento em serviço. Transporte fornecido, local designado para o local de trabalho sem custo para o trabalhador. Ferramentas, suprimentos/equipamentos fornecidos pelo empregador sem custo/depósito. Alojamento opcional fornecido pelo empregador sem custo para o trabalhador. Classificação do cargo: 45-4011.00 - Trabalhadores Florestais e de Conservação. A classificação e descrição do cargo/setor incluem informações gerais sobre a posição, de acordo com o ONET/OES e o Sistema de Classificação Industrial da América do Norte. Consulte as Funções e a Ordem de Serviço para obter mais informações. Requisitos do cargo: Experiência exigida: Não. Requisitos especiais: É necessário ter pelo menos 18 anos de idade devido a viagens. É necessário comprovar autorização legal para trabalhar nos EUA. Zona de trabalho livre de drogas, álcool e tabaco. Número de horas por semana: 35 Horário de trabalho (início/término): 7h00 - 15h30</v>
      </c>
    </row>
    <row r="303" ht="20.25" customHeight="1">
      <c r="A303" s="8" t="s">
        <v>1671</v>
      </c>
      <c r="B303" s="8" t="s">
        <v>1672</v>
      </c>
      <c r="C303" s="8" t="s">
        <v>125</v>
      </c>
      <c r="D303" s="8" t="s">
        <v>1132</v>
      </c>
      <c r="E303" s="9" t="s">
        <v>19</v>
      </c>
      <c r="F303" s="9" t="s">
        <v>20</v>
      </c>
      <c r="G303" s="9" t="s">
        <v>56</v>
      </c>
      <c r="H303" s="8" t="s">
        <v>1673</v>
      </c>
      <c r="I303" s="8" t="s">
        <v>1674</v>
      </c>
      <c r="J303" s="9">
        <v>15.33</v>
      </c>
      <c r="K303" s="9">
        <v>8.0</v>
      </c>
      <c r="L303" s="8" t="s">
        <v>129</v>
      </c>
      <c r="M303" s="8" t="s">
        <v>130</v>
      </c>
      <c r="N303" s="7" t="str">
        <f>IFERROR(__xludf.DUMMYFUNCTION("GOOGLETRANSLATE(L303, ""en"", ""pt"")"),"Trabalhador de paisagismo e manutenção de jardins")</f>
        <v>Trabalhador de paisagismo e manutenção de jardins</v>
      </c>
      <c r="O303" s="7" t="str">
        <f>IFERROR(__xludf.DUMMYFUNCTION("IF(M303="""","""",GOOGLETRANSLATE(M303,""en"",""pt""))"),"As funções incluem a instalação de árvores, arbustos ou flores durante o período de dormência, seguindo o padrão de design apropriado. Isso inclui descarregar materiais, cavar buracos para o sistema radicular, cobrir os buracos adequadamente e, às vezes, "&amp;"colocar grama em placas, plantar sementes de grama ou conectar a irrigação. Também envolve a remoção de folhas, plantio de sementes e palha, aeração do gramado, plantio de arbustos, escavação, rastelagem e instalação de blocos de concreto pré-moldados sem"&amp;" argamassa. Os trabalhadores podem coletar e remover lixo, regar gramados, árvores e plantas semeadas, além de podar árvores, arbustos ou sebes. Podem operar equipamentos motorizados e dirigir veículos até os locais dos clientes. As tarefas podem incluir "&amp;"colocação de grama em placas, corte de grama, rega de plantas e gramados, transplante de plantas, fertilização, escavação, rastelagem e instalação de aspersores. Os funcionários cavarão valas com no máximo 15 a 30 cm de profundidade e 15 a 30 cm de largur"&amp;"a com pás e ferramentas manuais. Essas valas são usadas para acomodar a tubulação utilizada na instalação de sistemas de irrigação. Toda a poda/aparamento será feita no solo. Os trabalhadores não realizarão nenhuma atividade de poda ou corte acima do níve"&amp;"l do solo. O trabalhador poderá transportar outros trabalhadores de e para os locais de trabalho ocasionalmente, porém essa não será sua principal função. Classificação da função: 37-3011.00 - Trabalhadores de Paisagismo e Manutenção de Jardins. A classif"&amp;"icação e descrição da função/setor inclui informações gerais sobre o cargo, de acordo com o ONET/OES e o Sistema de Classificação Industrial da América do Norte (NAICS). Consulte as Funções e a Ordem de Serviço para obter mais informações. Requisitos da f"&amp;"unção: Experiência necessária: Não. Requisitos especiais: Deve ser capaz de levantar 23 kg, realizar movimentos repetitivos, empurrar/puxar com frequência, caminhar bastante, agachar-se frequentemente e estar exposto a temperaturas extremas. Número de hor"&amp;"as por semana: 40. Horário de trabalho (início/término): 7h às 16h.")</f>
        <v>As funções incluem a instalação de árvores, arbustos ou flores durante o período de dormência, seguindo o padrão de design apropriado. Isso inclui descarregar materiais, cavar buracos para o sistema radicular, cobrir os buracos adequadamente e, às vezes, colocar grama em placas, plantar sementes de grama ou conectar a irrigação. Também envolve a remoção de folhas, plantio de sementes e palha, aeração do gramado, plantio de arbustos, escavação, rastelagem e instalação de blocos de concreto pré-moldados sem argamassa. Os trabalhadores podem coletar e remover lixo, regar gramados, árvores e plantas semeadas, além de podar árvores, arbustos ou sebes. Podem operar equipamentos motorizados e dirigir veículos até os locais dos clientes. As tarefas podem incluir colocação de grama em placas, corte de grama, rega de plantas e gramados, transplante de plantas, fertilização, escavação, rastelagem e instalação de aspersores. Os funcionários cavarão valas com no máximo 15 a 30 cm de profundidade e 15 a 30 cm de largura com pás e ferramentas manuais. Essas valas são usadas para acomodar a tubulação utilizada na instalação de sistemas de irrigação. Toda a poda/aparamento será feita no solo. Os trabalhadores não realizarão nenhuma atividade de poda ou corte acima do nível do solo. O trabalhador poderá transportar outros trabalhadores de e para os locais de trabalho ocasionalmente, porém essa não será sua principal função. Classificação da função: 37-3011.00 - Trabalhadores de Paisagismo e Manutenção de Jardins. A classificação e descrição da função/setor inclui informações gerais sobre o cargo, de acordo com o ONET/OES e o Sistema de Classificação Industrial da América do Norte (NAICS). Consulte as Funções e a Ordem de Serviço para obter mais informações. Requisitos da função: Experiência necessária: Não. Requisitos especiais: Deve ser capaz de levantar 23 kg, realizar movimentos repetitivos, empurrar/puxar com frequência, caminhar bastante, agachar-se frequentemente e estar exposto a temperaturas extremas. Número de horas por semana: 40. Horário de trabalho (início/término): 7h às 16h.</v>
      </c>
    </row>
    <row r="304" ht="20.25" customHeight="1">
      <c r="A304" s="3" t="s">
        <v>1675</v>
      </c>
      <c r="B304" s="3" t="s">
        <v>1676</v>
      </c>
      <c r="C304" s="3" t="s">
        <v>376</v>
      </c>
      <c r="D304" s="3" t="s">
        <v>28</v>
      </c>
      <c r="E304" s="4" t="s">
        <v>44</v>
      </c>
      <c r="F304" s="4" t="s">
        <v>20</v>
      </c>
      <c r="G304" s="4" t="s">
        <v>377</v>
      </c>
      <c r="H304" s="3" t="s">
        <v>1677</v>
      </c>
      <c r="I304" s="3" t="s">
        <v>1678</v>
      </c>
      <c r="J304" s="4">
        <v>15.44</v>
      </c>
      <c r="K304" s="4">
        <v>24.0</v>
      </c>
      <c r="L304" s="3" t="s">
        <v>501</v>
      </c>
      <c r="M304" s="3" t="s">
        <v>1679</v>
      </c>
      <c r="N304" s="7" t="str">
        <f>IFERROR(__xludf.DUMMYFUNCTION("GOOGLETRANSLATE(L304, ""en"", ""pt"")"),"Auxiliar de Manutenção")</f>
        <v>Auxiliar de Manutenção</v>
      </c>
      <c r="O304" s="7" t="str">
        <f>IFERROR(__xludf.DUMMYFUNCTION("IF(M304="""","""",GOOGLETRANSLATE(M304,""en"",""pt""))"),"Auxiliares de Manutenção - Vinte e quatro (24) vagas temporárias em tempo integral disponíveis de 01/10/2026 a 30/06/2027 em New Iberia, Louisiana, na Cajun Sugar Company, LLC. Auxiliar os trabalhadores de instalação, manutenção e reparo na manutenção, su"&amp;"bstituição de peças e reparo de equipamentos industriais utilizados no processamento de açúcar bruto. Executar tarefas como fornecer ferramentas, materiais e suprimentos para outros trabalhadores mais experientes. Limpar a área de trabalho, máquinas e fer"&amp;"ramentas, e guardar materiais ou ferramentas para outros trabalhadores mais experientes durante a safra e após a colheita, em preparação para a próxima safra. É necessário um mínimo de 3 meses de experiência na função oferecida com equipamentos de usina d"&amp;"e açúcar. Não há exigência mínima de escolaridade. Não será oferecido treinamento no local de trabalho. $ 15,44/hora; $ 23,16/hora de hora extra (pagamento quinzenal por cheque). Será necessário trabalhar em turnos rotativos de 8 horas, incluindo os horár"&amp;"ios das 11h às 19h, das 19h às 3h e das 3h às 11h. A carga horária é de 56 horas semanais durante a temporada de colheita e 40 horas semanais após a temporada de colheita. Horas extras serão pagas após 48 horas durante a colheita e após 40 horas após a co"&amp;"lheita. É necessário ter disponibilidade para trabalhar 7 dias por semana. As horas extras serão variáveis ​​e não são garantidas. O empregador fará todos os descontos exigidos por lei no contracheque do trabalhador. O trabalhador terá 30 minutos de inter"&amp;"valo para almoço remunerado durante o expediente. Alojamento opcional no local será oferecido gratuitamente aos trabalhadores contratados para esta vaga temporária sazonal. A Cajun oferecerá aos trabalhadores americanos, no mínimo, os mesmos benefícios, s"&amp;"alários e condições de trabalho oferecidos aos trabalhadores com visto H-2B. A Cajun fornecerá ao trabalhador, sem custos ou taxas de depósito, todas as ferramentas, suprimentos e equipamentos necessários para o desempenho das funções atribuídas. O empreg"&amp;"ador garante oferecer emprego equivalente a pelo menos três quartos (3/4) dos dias úteis de cada período de 12 semanas do período total de emprego; e, caso a garantia não seja cumprida, o empregador pagará ao trabalhador o valor que ele teria recebido se "&amp;"o empregador tivesse oferecido o número de dias garantido. O período de 12 semanas terá início no primeiro dia útil após a chegada do trabalhador ou na data contratual de necessidade anunciada, o que ocorrer por último. O trabalhador será reembolsado pela"&amp;"s despesas de transporte e subsistência do local de origem, seja nos EUA ou no exterior, até o local de trabalho, por meio de cheque emitido pelo empregador, após a conclusão de 50% do período de emprego coberto pela ordem de serviço ou antes, se aplicáve"&amp;"l. Isso inclui um mínimo de US$ 16,78 por dia durante o deslocamento, até um máximo de US$ 68,00 por dia, mediante comprovação das despesas reais. Além disso, o empregador fornecerá ou pagará o transporte e a subsistência do trabalhador na ida, caso este "&amp;"conclua o período de trabalho contratado ou seja dispensado antecipadamente pelo empregador, por qualquer motivo, antes do término do período. O empregador reembolsará o trabalhador com visto H-2B na primeira semana de trabalho, cobrindo integralmente os "&amp;"custos com visto, processamento de visto, travessia de fronteira e outras taxas relacionadas, incluindo as exigidas pelo governo. A Cajun fornecerá ou reembolsará os custos de transporte de ida e volta, bem como a subsistência diária, para os trabalhadore"&amp;"s americanos correspondentes que não puderem retornar à sua residência no mesmo dia de trabalho. Quando aplicável, o transporte diário de ida e volta para o local de trabalho será fornecido pelo empregador. Salários mais altos podem estar disponíveis para"&amp;" trabalhadores com vasta experiência. Envie seu currículo ou entre em contato com o Sr. Dirk Boudreaux na Cajun Sugar Company, LLC, 2711 Northside Road, New Iberia, LA 70563. Tel.: 337-365-3401. Fax: 337-365-7820. E-mail: info@cajunsugar.net. Site: https:"&amp;"//www.cajunsugar.net/. Os candidatos podem obter informações sobre a vaga ou enviar currículos/candidaturas diretamente para o Iberia American Job Center, 609 Ember Drive, New Iberia, LA 70560; Tel.: 337-347-9537; E-mail: info@acadianaworkforce.org. Refer"&amp;"ência: vaga nº 1641090. Classificação da vaga: 49-9098.00 - Ajudantes - Trabalhadores de Instalação, Manutenção e Reparo. A classificação e descrição da vaga/setor incluem informações gerais sobre o cargo, de acordo com o ONET/OES e o Sistema de Classific"&amp;"ação Industrial da América do Norte (NAICS). Consulte as Funções e a Ordem de Serviço para obter mais informações. Requisitos da vaga: Experiência exigida: Sim. Meses de experiência exigidos: 3. Número de horas por semana: 56. Horário de trabalho (início/"&amp;"término): 11h às 19h.")</f>
        <v>Auxiliares de Manutenção - Vinte e quatro (24) vagas temporárias em tempo integral disponíveis de 01/10/2026 a 30/06/2027 em New Iberia, Louisiana, na Cajun Sugar Company, LLC. Auxiliar os trabalhadores de instalação, manutenção e reparo na manutenção, substituição de peças e reparo de equipamentos industriais utilizados no processamento de açúcar bruto. Executar tarefas como fornecer ferramentas, materiais e suprimentos para outros trabalhadores mais experientes. Limpar a área de trabalho, máquinas e ferramentas, e guardar materiais ou ferramentas para outros trabalhadores mais experientes durante a safra e após a colheita, em preparação para a próxima safra. É necessário um mínimo de 3 meses de experiência na função oferecida com equipamentos de usina de açúcar. Não há exigência mínima de escolaridade. Não será oferecido treinamento no local de trabalho. $ 15,44/hora; $ 23,16/hora de hora extra (pagamento quinzenal por cheque). Será necessário trabalhar em turnos rotativos de 8 horas, incluindo os horários das 11h às 19h, das 19h às 3h e das 3h às 11h. A carga horária é de 56 horas semanais durante a temporada de colheita e 40 horas semanais após a temporada de colheita. Horas extras serão pagas após 48 horas durante a colheita e após 40 horas após a colheita. É necessário ter disponibilidade para trabalhar 7 dias por semana. As horas extras serão variáveis ​​e não são garantidas. O empregador fará todos os descontos exigidos por lei no contracheque do trabalhador. O trabalhador terá 30 minutos de intervalo para almoço remunerado durante o expediente. Alojamento opcional no local será oferecido gratuitamente aos trabalhadores contratados para esta vaga temporária sazonal. A Cajun oferecerá aos trabalhadores americanos, no mínimo, os mesmos benefícios, salários e condições de trabalho oferecidos aos trabalhadores com visto H-2B. A Cajun fornecerá ao trabalhador, sem custos ou taxas de depósito, todas as ferramentas, suprimentos e equipamentos necessários para o desempenho das funções atribuídas. O empregador garante oferecer emprego equivalente a pelo menos três quartos (3/4) dos dias úteis de cada período de 12 semanas do período total de emprego; e, caso a garantia não seja cumprida, o empregador pagará ao trabalhador o valor que ele teria recebido se o empregador tivesse oferecido o número de dias garantido. O período de 12 semanas terá início no primeiro dia útil após a chegada do trabalhador ou na data contratual de necessidade anunciada, o que ocorrer por último. O trabalhador será reembolsado pelas despesas de transporte e subsistência do local de origem, seja nos EUA ou no exterior, até o local de trabalho, por meio de cheque emitido pelo empregador, após a conclusão de 50% do período de emprego coberto pela ordem de serviço ou antes, se aplicável. Isso inclui um mínimo de US$ 16,78 por dia durante o deslocamento, até um máximo de US$ 68,00 por dia, mediante comprovação das despesas reais. Além disso, o empregador fornecerá ou pagará o transporte e a subsistência do trabalhador na ida, caso este conclua o período de trabalho contratado ou seja dispensado antecipadamente pelo empregador, por qualquer motivo, antes do término do período. O empregador reembolsará o trabalhador com visto H-2B na primeira semana de trabalho, cobrindo integralmente os custos com visto, processamento de visto, travessia de fronteira e outras taxas relacionadas, incluindo as exigidas pelo governo. A Cajun fornecerá ou reembolsará os custos de transporte de ida e volta, bem como a subsistência diária, para os trabalhadores americanos correspondentes que não puderem retornar à sua residência no mesmo dia de trabalho. Quando aplicável, o transporte diário de ida e volta para o local de trabalho será fornecido pelo empregador. Salários mais altos podem estar disponíveis para trabalhadores com vasta experiência. Envie seu currículo ou entre em contato com o Sr. Dirk Boudreaux na Cajun Sugar Company, LLC, 2711 Northside Road, New Iberia, LA 70563. Tel.: 337-365-3401. Fax: 337-365-7820. E-mail: info@cajunsugar.net. Site: https://www.cajunsugar.net/. Os candidatos podem obter informações sobre a vaga ou enviar currículos/candidaturas diretamente para o Iberia American Job Center, 609 Ember Drive, New Iberia, LA 70560; Tel.: 337-347-9537; E-mail: info@acadianaworkforce.org. Referência: vaga nº 1641090. Classificação da vaga: 49-9098.00 - Ajudantes - Trabalhadores de Instalação, Manutenção e Reparo. A classificação e descrição da vaga/setor incluem informações gerais sobre o cargo, de acordo com o ONET/OES e o Sistema de Classificação Industrial da América do Norte (NAICS). Consulte as Funções e a Ordem de Serviço para obter mais informações. Requisitos da vaga: Experiência exigida: Sim. Meses de experiência exigidos: 3. Número de horas por semana: 56. Horário de trabalho (início/término): 11h às 19h.</v>
      </c>
    </row>
    <row r="305" ht="20.25" customHeight="1">
      <c r="A305" s="8" t="s">
        <v>1680</v>
      </c>
      <c r="B305" s="8" t="s">
        <v>1681</v>
      </c>
      <c r="C305" s="8" t="s">
        <v>708</v>
      </c>
      <c r="D305" s="8" t="s">
        <v>71</v>
      </c>
      <c r="E305" s="9" t="s">
        <v>19</v>
      </c>
      <c r="F305" s="9" t="s">
        <v>20</v>
      </c>
      <c r="G305" s="9" t="s">
        <v>384</v>
      </c>
      <c r="H305" s="8" t="s">
        <v>709</v>
      </c>
      <c r="I305" s="8" t="s">
        <v>710</v>
      </c>
      <c r="J305" s="9">
        <v>20.13</v>
      </c>
      <c r="K305" s="9">
        <v>13.0</v>
      </c>
      <c r="L305" s="8" t="s">
        <v>1206</v>
      </c>
      <c r="M305" s="8" t="s">
        <v>1682</v>
      </c>
      <c r="N305" s="7" t="str">
        <f>IFERROR(__xludf.DUMMYFUNCTION("GOOGLETRANSLATE(L305, ""en"", ""pt"")"),"Servidor")</f>
        <v>Servidor</v>
      </c>
      <c r="O305" s="7" t="str">
        <f>IFERROR(__xludf.DUMMYFUNCTION("IF(M305="""","""",GOOGLETRANSLATE(M305,""en"",""pt""))"),"Os garçons serão responsáveis ​​por: • recepcionar clientes, convidados e membros; • preparar as áreas de refeição; • anotar e registrar pedidos de comida e bebida no sistema de ponto de venda (PDV); • transportar bandejas e pratos; • servir refeições e b"&amp;"ebidas; • limpar, desocupar e arrumar as mesas; • servir os pratos com precisão e rapidez; • repor água; • manter as estações de serviço limpas; • polir copos e talheres; • auxiliar no salão; • montar e desmontar o salão ou espaço para eventos. Dependendo"&amp;" do nível de experiência, as principais funções do garçom podem ser as seguintes: • limpar e arrumar as mesas; • servir os pratos com precisão e rapidez; • repor água; • manter as estações de serviço limpas; • polir copos e talheres; • auxiliar no salão; "&amp;"• montar e desmontar o salão ou espaço para eventos. Classificação da função: 35-3031.00 - Garçons e Garçonetes. A classificação e descrição da função/setor inclui informações gerais sobre o cargo, de acordo com o ONET/OES e o Sistema de Classificação Ind"&amp;"ustrial da América do Norte. Consulte as Funções e a Ordem de Serviço para obter mais informações. Requisitos da vaga Experiência necessária: Sim Meses de experiência necessários: 6 Requisitos especiais: Seis (6) meses de experiência em restaurantes de al"&amp;"ta gastronomia ou ambientes de grande movimento em restaurantes sofisticados, resorts ou clubes privados. Número de horas por semana: 35 Horário de trabalho (início/término): 10h às 17h")</f>
        <v>Os garçons serão responsáveis ​​por: • recepcionar clientes, convidados e membros; • preparar as áreas de refeição; • anotar e registrar pedidos de comida e bebida no sistema de ponto de venda (PDV); • transportar bandejas e pratos; • servir refeições e bebidas; • limpar, desocupar e arrumar as mesas; • servir os pratos com precisão e rapidez; • repor água; • manter as estações de serviço limpas; • polir copos e talheres; • auxiliar no salão; • montar e desmontar o salão ou espaço para eventos. Dependendo do nível de experiência, as principais funções do garçom podem ser as seguintes: • limpar e arrumar as mesas; • servir os pratos com precisão e rapidez; • repor água; • manter as estações de serviço limpas; • polir copos e talheres; • auxiliar no salão; • montar e desmontar o salão ou espaço para eventos. Classificação da função: 35-3031.00 - Garçons e Garçonetes. A classificação e descrição da função/setor inclui informações gerais sobre o cargo, de acordo com o ONET/OES e o Sistema de Classificação Industrial da América do Norte. Consulte as Funções e a Ordem de Serviço para obter mais informações. Requisitos da vaga Experiência necessária: Sim Meses de experiência necessários: 6 Requisitos especiais: Seis (6) meses de experiência em restaurantes de alta gastronomia ou ambientes de grande movimento em restaurantes sofisticados, resorts ou clubes privados. Número de horas por semana: 35 Horário de trabalho (início/término): 10h às 17h</v>
      </c>
    </row>
    <row r="306" ht="20.25" customHeight="1">
      <c r="A306" s="3" t="s">
        <v>1683</v>
      </c>
      <c r="B306" s="3" t="s">
        <v>1434</v>
      </c>
      <c r="C306" s="3" t="s">
        <v>197</v>
      </c>
      <c r="D306" s="3" t="s">
        <v>71</v>
      </c>
      <c r="E306" s="4" t="s">
        <v>19</v>
      </c>
      <c r="F306" s="4" t="s">
        <v>20</v>
      </c>
      <c r="G306" s="4" t="s">
        <v>524</v>
      </c>
      <c r="H306" s="3" t="s">
        <v>1435</v>
      </c>
      <c r="I306" s="3" t="s">
        <v>1436</v>
      </c>
      <c r="J306" s="4">
        <v>19.39</v>
      </c>
      <c r="K306" s="4">
        <v>5.0</v>
      </c>
      <c r="L306" s="3" t="s">
        <v>1684</v>
      </c>
      <c r="M306" s="3" t="s">
        <v>1685</v>
      </c>
      <c r="N306" s="7" t="str">
        <f>IFERROR(__xludf.DUMMYFUNCTION("GOOGLETRANSLATE(L306, ""en"", ""pt"")"),"Barman")</f>
        <v>Barman</v>
      </c>
      <c r="O306" s="7" t="str">
        <f>IFERROR(__xludf.DUMMYFUNCTION("IF(M306="""","""",GOOGLETRANSLATE(M306,""en"",""pt""))"),"Recebe pedidos, prepara e serve bebidas aos clientes. Mantém o bar abastecido e limpo, leva a comida da cozinha para o bar e recebe pagamentos. (5) vagas disponíveis. Período: 01/10/2026 a 31/05/2027. Necessário 3 meses de experiência. Turnos rotativos. D"&amp;"ias de trabalho: segunda a domingo. Horário: 10h às 23h. Salário: US$ 13 a US$ 18 por hora, mais gorjetas, mas não menos que US$ 19,39/hora, US$ 29,09/hora para horas extras. Pagamento quinzenal. 35 horas semanais. Alojamento opcional por US$ 23 a US$ 26 "&amp;"por dia, com depósito de US$ 450 (US$ 350 reembolsáveis/US$ 100 não reembolsáveis. Reembolsável após o término do contrato). Bônus de Natal disponível. Uniformes e refeições durante o turno fornecidos. Local de trabalho: 23101 Copperleaf Blvd., Estero, FL"&amp;" 34135. Trabalho temporário em tempo integral. O salário será calculado com base em uma única semana de trabalho. Poderá ser feito até 10 horas extras, quando disponíveis. Todos os descontos exigidos por lei serão efetuados no contracheque do trabalhador."&amp;" O empregador fornecerá ao trabalhador, sem custos, todas as ferramentas, materiais e equipamentos necessários para a execução do trabalho. O trabalhador receberá ou será reembolsado pelas despesas de transporte e alimentação (incluindo o custo razoável d"&amp;"e hospedagem, quando necessário, até US$ 110 por noite, mediante apresentação de recibos) no valor de US$ 16,78 por dia durante o deslocamento, até um máximo de US$ 68,00 por dia, mediante apresentação de recibos, desde o local de origem do trabalhador, s"&amp;"eja nos EUA ou no exterior, até o local de trabalho, caso o trabalhador complete 50% do período de trabalho abrangido pela ordem de serviço, em conformidade com o 20 CFR 655.20(j)(1)(i), mediante inclusão no contracheque da semana correspondente. O empreg"&amp;"ador fornecerá ou pagará o custo do transporte de retorno e da subsistência diária do trabalhador, do local de trabalho até o local de onde o trabalhador partiu para trabalhar para o empregador, independentemente de empregos intermediários, caso o trabalh"&amp;"ador complete o período de emprego certificado ou seja demitido do emprego por qualquer motivo pelo empregador antes do término do período, de acordo com o § 655.20(j)(1)(ii); os trabalhadores com visto H-2B serão reembolsados ​​na primeira semana de trab"&amp;"alho por todos os vistos, processamento de vistos, travessia de fronteira e outras taxas relacionadas, incluindo aquelas exigidas pelo governo (exceto taxas de passaporte). O empregador fornecerá aos trabalhadores todas as ferramentas, suprimentos e equip"&amp;"amentos necessários para o desempenho do trabalho, sem custo para o trabalhador, de acordo com o 20 CFR 655.20(k). Os candidatos qualificados podem enviar o currículo para Alex Diaz, no endereço 23101 Copperleaf Blvd., Estero, FL 34135, por e-mail para Em"&amp;"ployment@Copperleafgc.com ou visitar o centro de empregos local em 3050 Horseshoe Drive North, Building A, Suite 110, Naples, FL 34104. *Seu depósito de segurança será reembolsado após a conclusão do contrato e a inspeção da moradia. Se um trabalhador aba"&amp;"ndonar o emprego sem a permissão do empregador ou abandonar a moradia antes do término do prazo de inscrição por qualquer motivo, exceto rescisão por parte do empregador, o trabalhador perderá todos os depósitos de moradia, dias de folga remunerada, féria"&amp;"s e bônus. Após a rescisão ou demissão, o trabalhador deverá desocupar a moradia imediatamente, a menos que haja acordo com o empregador.* Classificação do Cargo: 35-3011.00 - Bartenders. A classificação e descrição do cargo/setor incluem informações gera"&amp;"is sobre a posição, de acordo com o ONET/OES e o Sistema de Classificação Industrial da América do Norte. Consulte as Funções e a Ordem de Serviço para obter mais informações. Requisitos da vaga Experiência necessária: Sim Meses de experiência necessários"&amp;": 3 Número de horas por semana: 35 Horário de trabalho (início/término): 10:00 - 23:00")</f>
        <v>Recebe pedidos, prepara e serve bebidas aos clientes. Mantém o bar abastecido e limpo, leva a comida da cozinha para o bar e recebe pagamentos. (5) vagas disponíveis. Período: 01/10/2026 a 31/05/2027. Necessário 3 meses de experiência. Turnos rotativos. Dias de trabalho: segunda a domingo. Horário: 10h às 23h. Salário: US$ 13 a US$ 18 por hora, mais gorjetas, mas não menos que US$ 19,39/hora, US$ 29,09/hora para horas extras. Pagamento quinzenal. 35 horas semanais. Alojamento opcional por US$ 23 a US$ 26 por dia, com depósito de US$ 450 (US$ 350 reembolsáveis/US$ 100 não reembolsáveis. Reembolsável após o término do contrato). Bônus de Natal disponível. Uniformes e refeições durante o turno fornecidos. Local de trabalho: 23101 Copperleaf Blvd., Estero, FL 34135. Trabalho temporário em tempo integral. O salário será calculado com base em uma única semana de trabalho. Poderá ser feito até 10 horas extras, quando disponíveis. Todos os descontos exigidos por lei serão efetuados no contracheque do trabalhador. O empregador fornecerá ao trabalhador, sem custos, todas as ferramentas, materiais e equipamentos necessários para a execução do trabalho. O trabalhador receberá ou será reembolsado pelas despesas de transporte e alimentação (incluindo o custo razoável de hospedagem, quando necessário, até US$ 110 por noite, mediante apresentação de recibos) no valor de US$ 16,78 por dia durante o deslocamento, até um máximo de US$ 68,00 por dia, mediante apresentação de recibos, desde o local de origem do trabalhador, seja nos EUA ou no exterior, até o local de trabalho, caso o trabalhador complete 50% do período de trabalho abrangido pela ordem de serviço, em conformidade com o 20 CFR 655.20(j)(1)(i), mediante inclusão no contracheque da semana correspondente. O empregador fornecerá ou pagará o custo do transporte de retorno e da subsistência diária do trabalhador, do local de trabalho até o local de onde o trabalhador partiu para trabalhar para o empregador, independentemente de empregos intermediários, caso o trabalhador complete o período de emprego certificado ou seja demitido do emprego por qualquer motivo pelo empregador antes do término do período, de acordo com o § 655.20(j)(1)(ii); os trabalhadores com visto H-2B serão reembolsados ​​na primeira semana de trabalho por todos os vistos, processamento de vistos, travessia de fronteira e outras taxas relacionadas, incluindo aquelas exigidas pelo governo (exceto taxas de passaporte). O empregador fornecerá aos trabalhadores todas as ferramentas, suprimentos e equipamentos necessários para o desempenho do trabalho, sem custo para o trabalhador, de acordo com o 20 CFR 655.20(k). Os candidatos qualificados podem enviar o currículo para Alex Diaz, no endereço 23101 Copperleaf Blvd., Estero, FL 34135, por e-mail para Employment@Copperleafgc.com ou visitar o centro de empregos local em 3050 Horseshoe Drive North, Building A, Suite 110, Naples, FL 34104. *Seu depósito de segurança será reembolsado após a conclusão do contrato e a inspeção da moradia. Se um trabalhador abandonar o emprego sem a permissão do empregador ou abandonar a moradia antes do término do prazo de inscrição por qualquer motivo, exceto rescisão por parte do empregador, o trabalhador perderá todos os depósitos de moradia, dias de folga remunerada, férias e bônus. Após a rescisão ou demissão, o trabalhador deverá desocupar a moradia imediatamente, a menos que haja acordo com o empregador.* Classificação do Cargo: 35-3011.00 - Bartenders. A classificação e descrição do cargo/setor incluem informações gerais sobre a posição, de acordo com o ONET/OES e o Sistema de Classificação Industrial da América do Norte. Consulte as Funções e a Ordem de Serviço para obter mais informações. Requisitos da vaga Experiência necessária: Sim Meses de experiência necessários: 3 Número de horas por semana: 35 Horário de trabalho (início/término): 10:00 - 23:00</v>
      </c>
    </row>
    <row r="307" ht="20.25" customHeight="1">
      <c r="A307" s="8" t="s">
        <v>1686</v>
      </c>
      <c r="B307" s="8" t="s">
        <v>1434</v>
      </c>
      <c r="C307" s="8" t="s">
        <v>197</v>
      </c>
      <c r="D307" s="8" t="s">
        <v>71</v>
      </c>
      <c r="E307" s="9" t="s">
        <v>19</v>
      </c>
      <c r="F307" s="9" t="s">
        <v>20</v>
      </c>
      <c r="G307" s="9" t="s">
        <v>524</v>
      </c>
      <c r="H307" s="8" t="s">
        <v>1435</v>
      </c>
      <c r="I307" s="8" t="s">
        <v>1436</v>
      </c>
      <c r="J307" s="9">
        <v>23.0</v>
      </c>
      <c r="K307" s="9">
        <v>4.0</v>
      </c>
      <c r="L307" s="8" t="s">
        <v>1687</v>
      </c>
      <c r="M307" s="8" t="s">
        <v>1688</v>
      </c>
      <c r="N307" s="7" t="str">
        <f>IFERROR(__xludf.DUMMYFUNCTION("GOOGLETRANSLATE(L307, ""en"", ""pt"")"),"Capitão")</f>
        <v>Capitão</v>
      </c>
      <c r="O307" s="7" t="str">
        <f>IFERROR(__xludf.DUMMYFUNCTION("IF(M307="""","""",GOOGLETRANSLATE(M307,""en"",""pt""))"),"Executar diversas atividades financeiras, como manuseio de dinheiro. Resolver reclamações de clientes relacionadas ao serviço de alimentação. Compilar e conferir o caixa ao final do dia ou turno. Apresentar contas e receber pagamentos. Elaborar a escala d"&amp;"e trabalho dos funcionários do salão. (2 vagas disponíveis). Período: 01/10/2026 a 31/05/2027. Necessária experiência de 3 meses. Turnos rotativos. Dias de trabalho: segunda a domingo. Horário: 6h às 22h. Salário: US$ 23 a US$ 28 por hora, com base no des"&amp;"empenho; horas extras: US$ 34,50 a US$ 42 por hora. Pagamento quinzenal. 35 horas semanais. Alojamento opcional por US$ 23 a US$ 26 por dia, mediante depósito de US$ 450 (US$ 350 reembolsáveis ​​/ US$ 100 não reembolsáveis. Reembolsável após o término do "&amp;"contrato). Bônus de Natal disponível. Uniformes e refeições durante o turno fornecidos. Local de trabalho: 23101 Copperleaf Blvd., Estero, FL 34135. Vaga temporária em tempo integral. Uma única semana de trabalho será utilizada para calcular os salários. "&amp;"O trabalhador poderá receber até 10 horas extras, quando disponíveis. Todas as deduções exigidas por lei serão feitas no contracheque do trabalhador. O empregador fornecerá ao trabalhador, sem custos, todas as ferramentas, suprimentos e equipamentos neces"&amp;"sários para a execução do trabalho. O trabalhador receberá ou será reembolsado pelas despesas de transporte e subsistência (incluindo o custo razoável de hospedagem, quando necessário, até US$ 110 por noite, mediante apresentação de recibos) à taxa de US$"&amp;" 16,78 por dia durante o deslocamento, até um máximo de US$ 68,00 por dia, mediante apresentação de recibos, desde o local de origem do trabalhador, seja nos EUA ou no exterior, até o local de trabalho, caso o trabalhador complete 50% do período de trabal"&amp;"ho coberto pela ordem de serviço, em conformidade com 20 CFR 655.20(j)(1)(i), mediante inclusão no contracheque da semana correspondente. O empregador fornecerá ou pagará o custo do transporte de retorno e da subsistência diária do trabalhador, do local d"&amp;"e trabalho até o local de onde o trabalhador partiu para trabalhar para o empregador, independentemente de empregos intermediários, caso o trabalhador complete o período de emprego certificado ou seja demitido do emprego por qualquer motivo pelo empregado"&amp;"r antes do término do período, de acordo com o § 655.20(j)(1)(ii); os trabalhadores com visto H-2B serão reembolsados ​​na primeira semana de trabalho por todos os vistos, processamento de vistos, travessia de fronteira e outras taxas relacionadas, inclui"&amp;"ndo aquelas exigidas pelo governo (exceto taxas de passaporte). O empregador fornecerá aos trabalhadores todas as ferramentas, suprimentos e equipamentos necessários para o desempenho do trabalho, sem custo para o trabalhador, de acordo com o 20 CFR 655.2"&amp;"0(k). Os candidatos qualificados podem enviar o currículo para Alex Diaz, no endereço 23101 Copperleaf Blvd., Estero, FL 34135, por e-mail para Employment@Copperleafgc.com ou visitar o centro de empregos local em 3050 Horseshoe Drive North, Building A, Su"&amp;"ite 110, Naples, FL 34104. *Seu depósito de segurança é reembolsável após a conclusão do contrato e a inspeção da moradia. Se um trabalhador abandonar o emprego sem a permissão do empregador ou abandonar a moradia antes do término do prazo de inscrição po"&amp;"r qualquer motivo, exceto rescisão por parte do empregador, o trabalhador perderá todos os depósitos de moradia, dias de folga remunerada, férias e bônus. Após a rescisão ou demissão, o trabalhador deverá desocupar a moradia imediatamente, a menos que haj"&amp;"a acordo com o empregador.* Classificação do Cargo: 35-1012.00 - Supervisores de Primeira Linha de Trabalhadores de Preparação e Serviço de Alimentos. A classificação e descrição do cargo/setor inclui informações gerais sobre a posição, de acordo com o ON"&amp;"ET/OES e o Sistema de Classificação Industrial da América do Norte. Consulte a Descrição das Funções e a Ordem de Serviço para obter mais informações. Requisitos da Vaga Experiência Necessária: Sim Meses de Experiência Necessária: 3 Número de Horas por Se"&amp;"mana: 35 Horário de Trabalho (Início/Término): 6h00 - 22h00")</f>
        <v>Executar diversas atividades financeiras, como manuseio de dinheiro. Resolver reclamações de clientes relacionadas ao serviço de alimentação. Compilar e conferir o caixa ao final do dia ou turno. Apresentar contas e receber pagamentos. Elaborar a escala de trabalho dos funcionários do salão. (2 vagas disponíveis). Período: 01/10/2026 a 31/05/2027. Necessária experiência de 3 meses. Turnos rotativos. Dias de trabalho: segunda a domingo. Horário: 6h às 22h. Salário: US$ 23 a US$ 28 por hora, com base no desempenho; horas extras: US$ 34,50 a US$ 42 por hora. Pagamento quinzenal. 35 horas semanais. Alojamento opcional por US$ 23 a US$ 26 por dia, mediante depósito de US$ 450 (US$ 350 reembolsáveis ​​/ US$ 100 não reembolsáveis. Reembolsável após o término do contrato). Bônus de Natal disponível. Uniformes e refeições durante o turno fornecidos. Local de trabalho: 23101 Copperleaf Blvd., Estero, FL 34135. Vaga temporária em tempo integral. Uma única semana de trabalho será utilizada para calcular os salários. O trabalhador poderá receber até 10 horas extras, quando disponíveis. Todas as deduções exigidas por lei serão feitas no contracheque do trabalhador. O empregador fornecerá ao trabalhador, sem custos, todas as ferramentas, suprimentos e equipamentos necessários para a execução do trabalho. O trabalhador receberá ou será reembolsado pelas despesas de transporte e subsistência (incluindo o custo razoável de hospedagem, quando necessário, até US$ 110 por noite, mediante apresentação de recibos) à taxa de US$ 16,78 por dia durante o deslocamento, até um máximo de US$ 68,00 por dia, mediante apresentação de recibos, desde o local de origem do trabalhador, seja nos EUA ou no exterior, até o local de trabalho, caso o trabalhador complete 50% do período de trabalho coberto pela ordem de serviço, em conformidade com 20 CFR 655.20(j)(1)(i), mediante inclusão no contracheque da semana correspondente. O empregador fornecerá ou pagará o custo do transporte de retorno e da subsistência diária do trabalhador, do local de trabalho até o local de onde o trabalhador partiu para trabalhar para o empregador, independentemente de empregos intermediários, caso o trabalhador complete o período de emprego certificado ou seja demitido do emprego por qualquer motivo pelo empregador antes do término do período, de acordo com o § 655.20(j)(1)(ii); os trabalhadores com visto H-2B serão reembolsados ​​na primeira semana de trabalho por todos os vistos, processamento de vistos, travessia de fronteira e outras taxas relacionadas, incluindo aquelas exigidas pelo governo (exceto taxas de passaporte). O empregador fornecerá aos trabalhadores todas as ferramentas, suprimentos e equipamentos necessários para o desempenho do trabalho, sem custo para o trabalhador, de acordo com o 20 CFR 655.20(k). Os candidatos qualificados podem enviar o currículo para Alex Diaz, no endereço 23101 Copperleaf Blvd., Estero, FL 34135, por e-mail para Employment@Copperleafgc.com ou visitar o centro de empregos local em 3050 Horseshoe Drive North, Building A, Suite 110, Naples, FL 34104. *Seu depósito de segurança é reembolsável após a conclusão do contrato e a inspeção da moradia. Se um trabalhador abandonar o emprego sem a permissão do empregador ou abandonar a moradia antes do término do prazo de inscrição por qualquer motivo, exceto rescisão por parte do empregador, o trabalhador perderá todos os depósitos de moradia, dias de folga remunerada, férias e bônus. Após a rescisão ou demissão, o trabalhador deverá desocupar a moradia imediatamente, a menos que haja acordo com o empregador.* Classificação do Cargo: 35-1012.00 - Supervisores de Primeira Linha de Trabalhadores de Preparação e Serviço de Alimentos. A classificação e descrição do cargo/setor inclui informações gerais sobre a posição, de acordo com o ONET/OES e o Sistema de Classificação Industrial da América do Norte. Consulte a Descrição das Funções e a Ordem de Serviço para obter mais informações. Requisitos da Vaga Experiência Necessária: Sim Meses de Experiência Necessária: 3 Número de Horas por Semana: 35 Horário de Trabalho (Início/Término): 6h00 - 22h00</v>
      </c>
    </row>
    <row r="308" ht="20.25" customHeight="1">
      <c r="A308" s="3" t="s">
        <v>1689</v>
      </c>
      <c r="B308" s="3" t="s">
        <v>1434</v>
      </c>
      <c r="C308" s="3" t="s">
        <v>197</v>
      </c>
      <c r="D308" s="3" t="s">
        <v>71</v>
      </c>
      <c r="E308" s="4" t="s">
        <v>19</v>
      </c>
      <c r="F308" s="4" t="s">
        <v>20</v>
      </c>
      <c r="G308" s="4" t="s">
        <v>524</v>
      </c>
      <c r="H308" s="3" t="s">
        <v>1435</v>
      </c>
      <c r="I308" s="3" t="s">
        <v>1436</v>
      </c>
      <c r="J308" s="4">
        <v>16.04</v>
      </c>
      <c r="K308" s="4">
        <v>4.0</v>
      </c>
      <c r="L308" s="3" t="s">
        <v>1690</v>
      </c>
      <c r="M308" s="3" t="s">
        <v>1691</v>
      </c>
      <c r="N308" s="7" t="str">
        <f>IFERROR(__xludf.DUMMYFUNCTION("GOOGLETRANSLATE(L308, ""en"", ""pt"")"),"Atendente de Sala de Jantar")</f>
        <v>Atendente de Sala de Jantar</v>
      </c>
      <c r="O308" s="7" t="str">
        <f>IFERROR(__xludf.DUMMYFUNCTION("IF(M308="""","""",GOOGLETRANSLATE(M308,""en"",""pt""))"),"Limpar e arrumar mesas, levar comida da cozinha para as mesas e bares, servir café/água. (4) vagas disponíveis. Período: 01/10/2026 a 31/05/2027. Necessário 3 meses de experiência. Turnos rotativos. Dias de trabalho: segunda a domingo. Horário: 6h às 22h."&amp;" Salário: US$ 14 a US$ 19 por hora, mais gorjetas, mas não menos que US$ 16,04/hora, US$ 24,06/hora para horas extras. Pagamento quinzenal. 35 horas semanais. Alojamento opcional disponível por US$ 23 a US$ 26 por dia, com depósito de US$ 450 (US$ 350 ree"&amp;"mbolsáveis/US$ 100 não reembolsáveis. Reembolsável após o término do contrato). Bônus de Natal disponível. Uniformes e refeições durante o turno fornecidos. Local de trabalho: 23101 Copperleaf Blvd., Estero, FL 34135. Trabalho temporário em tempo integral"&amp;". O salário será calculado com base em uma única semana de trabalho. Poderá ser feito até 10 horas extras, quando disponíveis. Todos os descontos exigidos por lei serão efetuados no contracheque do trabalhador. O empregador fornecerá ao trabalhador, sem c"&amp;"ustos, todas as ferramentas, materiais e equipamentos necessários para a execução do trabalho. O trabalhador receberá ou será reembolsado pelas despesas de transporte e alimentação (incluindo o custo razoável de hospedagem, quando necessário, até US$ 110 "&amp;"por noite, mediante apresentação de recibos) no valor de US$ 16,78 por dia durante o deslocamento, até um máximo de US$ 68,00 por dia, mediante apresentação de recibos, desde o local de origem do trabalhador, seja nos EUA ou no exterior, até o local de tr"&amp;"abalho, caso o trabalhador complete 50% do período de trabalho abrangido pela ordem de serviço, em conformidade com o 20 CFR 655.20(j)(1)(i), mediante inclusão no contracheque da semana correspondente. O empregador fornecerá ou pagará o custo do transport"&amp;"e de retorno e da subsistência diária do trabalhador, do local de trabalho até o local de onde o trabalhador partiu para trabalhar para o empregador, independentemente de empregos intermediários, caso o trabalhador complete o período de emprego certificad"&amp;"o ou seja demitido do emprego por qualquer motivo pelo empregador antes do término do período, de acordo com o § 655.20(j)(1)(ii); os trabalhadores com visto H-2B serão reembolsados ​​na primeira semana de trabalho por todos os vistos, processamento de vi"&amp;"stos, travessia de fronteira e outras taxas relacionadas, incluindo aquelas exigidas pelo governo (exceto taxas de passaporte). O empregador fornecerá aos trabalhadores todas as ferramentas, suprimentos e equipamentos necessários para o desempenho do trab"&amp;"alho, sem custo para o trabalhador, de acordo com o 20 CFR 655.20(k). Os candidatos qualificados podem enviar o currículo para Alex Diaz, no endereço 23101 Copperleaf Blvd., Estero, FL 34135, por e-mail para Employment@Copperleafgc.com ou visitar o centro"&amp;" de empregos local em 3050 Horseshoe Drive North, Building A, Suite 110, Naples, FL 34104. *Seu depósito de segurança é reembolsável após a conclusão do contrato e a inspeção da moradia. Se um trabalhador abandonar o emprego sem a permissão do empregador "&amp;"ou abandonar a moradia antes do término do prazo de inscrição por qualquer motivo, exceto rescisão por parte do empregador, o trabalhador perderá todos os depósitos de moradia, dias de folga remunerada, férias e bônus. Após a rescisão ou demissão, o traba"&amp;"lhador deverá desocupar a moradia imediatamente, a menos que haja acordo com o empregador.* Classificação do Cargo: 35-9011.00 - Atendentes de Refeitório e Cafeteria e Auxiliares de Barman. A classificação e descrição do cargo/setor incluem informações ge"&amp;"rais sobre a posição, de acordo com o ONET/OES e o Sistema de Classificação Industrial da América do Norte. Consulte a Descrição das Funções e a Ordem de Serviço para obter mais informações. Requisitos da Vaga Experiência Necessária: Sim Meses de Experiên"&amp;"cia Necessária: 3 Número de Horas por Semana: 35 Horário de Trabalho (Início/Término): 6h00 - 22h00")</f>
        <v>Limpar e arrumar mesas, levar comida da cozinha para as mesas e bares, servir café/água. (4) vagas disponíveis. Período: 01/10/2026 a 31/05/2027. Necessário 3 meses de experiência. Turnos rotativos. Dias de trabalho: segunda a domingo. Horário: 6h às 22h. Salário: US$ 14 a US$ 19 por hora, mais gorjetas, mas não menos que US$ 16,04/hora, US$ 24,06/hora para horas extras. Pagamento quinzenal. 35 horas semanais. Alojamento opcional disponível por US$ 23 a US$ 26 por dia, com depósito de US$ 450 (US$ 350 reembolsáveis/US$ 100 não reembolsáveis. Reembolsável após o término do contrato). Bônus de Natal disponível. Uniformes e refeições durante o turno fornecidos. Local de trabalho: 23101 Copperleaf Blvd., Estero, FL 34135. Trabalho temporário em tempo integral. O salário será calculado com base em uma única semana de trabalho. Poderá ser feito até 10 horas extras, quando disponíveis. Todos os descontos exigidos por lei serão efetuados no contracheque do trabalhador. O empregador fornecerá ao trabalhador, sem custos, todas as ferramentas, materiais e equipamentos necessários para a execução do trabalho. O trabalhador receberá ou será reembolsado pelas despesas de transporte e alimentação (incluindo o custo razoável de hospedagem, quando necessário, até US$ 110 por noite, mediante apresentação de recibos) no valor de US$ 16,78 por dia durante o deslocamento, até um máximo de US$ 68,00 por dia, mediante apresentação de recibos, desde o local de origem do trabalhador, seja nos EUA ou no exterior, até o local de trabalho, caso o trabalhador complete 50% do período de trabalho abrangido pela ordem de serviço, em conformidade com o 20 CFR 655.20(j)(1)(i), mediante inclusão no contracheque da semana correspondente. O empregador fornecerá ou pagará o custo do transporte de retorno e da subsistência diária do trabalhador, do local de trabalho até o local de onde o trabalhador partiu para trabalhar para o empregador, independentemente de empregos intermediários, caso o trabalhador complete o período de emprego certificado ou seja demitido do emprego por qualquer motivo pelo empregador antes do término do período, de acordo com o § 655.20(j)(1)(ii); os trabalhadores com visto H-2B serão reembolsados ​​na primeira semana de trabalho por todos os vistos, processamento de vistos, travessia de fronteira e outras taxas relacionadas, incluindo aquelas exigidas pelo governo (exceto taxas de passaporte). O empregador fornecerá aos trabalhadores todas as ferramentas, suprimentos e equipamentos necessários para o desempenho do trabalho, sem custo para o trabalhador, de acordo com o 20 CFR 655.20(k). Os candidatos qualificados podem enviar o currículo para Alex Diaz, no endereço 23101 Copperleaf Blvd., Estero, FL 34135, por e-mail para Employment@Copperleafgc.com ou visitar o centro de empregos local em 3050 Horseshoe Drive North, Building A, Suite 110, Naples, FL 34104. *Seu depósito de segurança é reembolsável após a conclusão do contrato e a inspeção da moradia. Se um trabalhador abandonar o emprego sem a permissão do empregador ou abandonar a moradia antes do término do prazo de inscrição por qualquer motivo, exceto rescisão por parte do empregador, o trabalhador perderá todos os depósitos de moradia, dias de folga remunerada, férias e bônus. Após a rescisão ou demissão, o trabalhador deverá desocupar a moradia imediatamente, a menos que haja acordo com o empregador.* Classificação do Cargo: 35-9011.00 - Atendentes de Refeitório e Cafeteria e Auxiliares de Barman. A classificação e descrição do cargo/setor incluem informações gerais sobre a posição, de acordo com o ONET/OES e o Sistema de Classificação Industrial da América do Norte. Consulte a Descrição das Funções e a Ordem de Serviço para obter mais informações. Requisitos da Vaga Experiência Necessária: Sim Meses de Experiência Necessária: 3 Número de Horas por Semana: 35 Horário de Trabalho (Início/Término): 6h00 - 22h00</v>
      </c>
    </row>
    <row r="309" ht="20.25" customHeight="1">
      <c r="A309" s="8" t="s">
        <v>1692</v>
      </c>
      <c r="B309" s="8" t="s">
        <v>1434</v>
      </c>
      <c r="C309" s="8" t="s">
        <v>197</v>
      </c>
      <c r="D309" s="8" t="s">
        <v>71</v>
      </c>
      <c r="E309" s="9" t="s">
        <v>44</v>
      </c>
      <c r="F309" s="9" t="s">
        <v>20</v>
      </c>
      <c r="G309" s="9" t="s">
        <v>524</v>
      </c>
      <c r="H309" s="8" t="s">
        <v>1435</v>
      </c>
      <c r="I309" s="8" t="s">
        <v>1436</v>
      </c>
      <c r="J309" s="9">
        <v>21.0</v>
      </c>
      <c r="K309" s="9">
        <v>12.0</v>
      </c>
      <c r="L309" s="8" t="s">
        <v>387</v>
      </c>
      <c r="M309" s="8" t="s">
        <v>1693</v>
      </c>
      <c r="N309" s="7" t="str">
        <f>IFERROR(__xludf.DUMMYFUNCTION("GOOGLETRANSLATE(L309, ""en"", ""pt"")"),"Ordem de serviço não disponível")</f>
        <v>Ordem de serviço não disponível</v>
      </c>
      <c r="O309" s="7" t="str">
        <f>IFERROR(__xludf.DUMMYFUNCTION("IF(M309="""","""",GOOGLETRANSLATE(M309,""en"",""pt""))"),"Preparar, cozinhar, refogar, grelhar e fritar itens como frutos do mar, carnes, aves, legumes, massas e sopas. Manter as áreas da cozinha limpas e higienizadas. Armazenar todos os produtos em locais adequados. (12) vagas disponíveis. Período: 01/10/2026 a"&amp;" 31/05/2027. Necessário 3 meses de experiência. Turnos rotativos. Dias de trabalho: segunda a domingo. Horário de trabalho: 6h às 22h. Salário: US$ 21 a US$ 26 por hora, com base no desempenho; horas extras: US$ 31,50 a US$ 39 por hora. Pagamento quinzena"&amp;"l. 35 horas semanais. Alojamento opcional por US$ 23 a US$ 26 por dia, com depósito de US$ 450 (US$ 350 reembolsáveis ​​/ US$ 100 não reembolsáveis. Reembolsável após o término do contrato). Bônus de Natal disponível. Uniformes e refeições durante o turno"&amp;" fornecidos. Local de trabalho: 23101 Copperleaf Blvd., Estero, FL 34135. Trabalho temporário em tempo integral. Uma única semana de trabalho será utilizada para calcular os salários. O trabalhador poderá receber até 10 horas extras, quando disponíveis. T"&amp;"odas as deduções exigidas por lei serão feitas no contracheque do trabalhador. O empregador fornecerá ao trabalhador, sem custos, todas as ferramentas, suprimentos e equipamentos necessários para a execução do trabalho. O trabalhador receberá ou será reem"&amp;"bolsado pelas despesas de transporte e subsistência (incluindo o custo razoável de hospedagem, quando necessário, até US$ 110 por noite, mediante apresentação de recibos) à taxa de US$ 16,78 por dia durante o deslocamento, até um máximo de US$ 68,00 por d"&amp;"ia, mediante apresentação de recibos, desde o local de origem do trabalhador, seja nos EUA ou no exterior, até o local de trabalho, caso o trabalhador complete 50% do período de trabalho coberto pela ordem de serviço, em conformidade com 20 CFR 655.20(j)("&amp;"1)(i), mediante inclusão no contracheque da semana correspondente. O empregador fornecerá ou pagará o custo do transporte de retorno e da subsistência diária do trabalhador, do local de trabalho até o local de onde o trabalhador partiu para trabalhar para"&amp;" o empregador, independentemente de empregos intermediários, caso o trabalhador complete o período de emprego certificado ou seja demitido do emprego por qualquer motivo pelo empregador antes do término do período, de acordo com o § 655.20(j)(1)(ii); os t"&amp;"rabalhadores com visto H-2B serão reembolsados ​​na primeira semana de trabalho por todos os vistos, processamento de vistos, travessia de fronteira e outras taxas relacionadas, incluindo aquelas exigidas pelo governo (exceto taxas de passaporte). O empre"&amp;"gador fornecerá aos trabalhadores todas as ferramentas, suprimentos e equipamentos necessários para o desempenho do trabalho, sem custo para o trabalhador, de acordo com o 20 CFR 655.20(k). Os candidatos qualificados podem enviar o currículo para Alex Dia"&amp;"z, no endereço 23101 Copperleaf Blvd., Estero, FL 34135, por e-mail para Employment@Copperleafgc.com ou visitar o centro de empregos local em 3050 Horseshoe Drive North, Building A, Suite 110, Naples, FL 34104. *Seu depósito de segurança será reembolsado "&amp;"após a conclusão do contrato e a inspeção da moradia. Se um trabalhador abandonar o emprego sem a permissão do empregador ou abandonar a moradia antes do término do prazo de solicitação por qualquer motivo, exceto rescisão por parte do empregador, o traba"&amp;"lhador perderá todos os depósitos de moradia, dias de folga remunerada, férias e bônus. Após a rescisão ou demissão, o trabalhador deverá desocupar a moradia imediatamente, a menos que haja acordo com o empregador.* Classificação do Cargo: 35-2014.00 - Co"&amp;"zinheiros, Restaurante. A classificação e a descrição do cargo/setor incluem informações gerais sobre a posição, de acordo com o ONET/OES e o Sistema de Classificação Industrial da América do Norte. Consulte as Funções e a Ordem de Serviço para obter mais"&amp;" informações. Requisitos da vaga Experiência necessária: Sim Meses de experiência necessários: 3 Número de horas por semana: 35 Horário de trabalho (início/término): 6h às 22h")</f>
        <v>Preparar, cozinhar, refogar, grelhar e fritar itens como frutos do mar, carnes, aves, legumes, massas e sopas. Manter as áreas da cozinha limpas e higienizadas. Armazenar todos os produtos em locais adequados. (12) vagas disponíveis. Período: 01/10/2026 a 31/05/2027. Necessário 3 meses de experiência. Turnos rotativos. Dias de trabalho: segunda a domingo. Horário de trabalho: 6h às 22h. Salário: US$ 21 a US$ 26 por hora, com base no desempenho; horas extras: US$ 31,50 a US$ 39 por hora. Pagamento quinzenal. 35 horas semanais. Alojamento opcional por US$ 23 a US$ 26 por dia, com depósito de US$ 450 (US$ 350 reembolsáveis ​​/ US$ 100 não reembolsáveis. Reembolsável após o término do contrato). Bônus de Natal disponível. Uniformes e refeições durante o turno fornecidos. Local de trabalho: 23101 Copperleaf Blvd., Estero, FL 34135. Trabalho temporário em tempo integral. Uma única semana de trabalho será utilizada para calcular os salários. O trabalhador poderá receber até 10 horas extras, quando disponíveis. Todas as deduções exigidas por lei serão feitas no contracheque do trabalhador. O empregador fornecerá ao trabalhador, sem custos, todas as ferramentas, suprimentos e equipamentos necessários para a execução do trabalho. O trabalhador receberá ou será reembolsado pelas despesas de transporte e subsistência (incluindo o custo razoável de hospedagem, quando necessário, até US$ 110 por noite, mediante apresentação de recibos) à taxa de US$ 16,78 por dia durante o deslocamento, até um máximo de US$ 68,00 por dia, mediante apresentação de recibos, desde o local de origem do trabalhador, seja nos EUA ou no exterior, até o local de trabalho, caso o trabalhador complete 50% do período de trabalho coberto pela ordem de serviço, em conformidade com 20 CFR 655.20(j)(1)(i), mediante inclusão no contracheque da semana correspondente. O empregador fornecerá ou pagará o custo do transporte de retorno e da subsistência diária do trabalhador, do local de trabalho até o local de onde o trabalhador partiu para trabalhar para o empregador, independentemente de empregos intermediários, caso o trabalhador complete o período de emprego certificado ou seja demitido do emprego por qualquer motivo pelo empregador antes do término do período, de acordo com o § 655.20(j)(1)(ii); os trabalhadores com visto H-2B serão reembolsados ​​na primeira semana de trabalho por todos os vistos, processamento de vistos, travessia de fronteira e outras taxas relacionadas, incluindo aquelas exigidas pelo governo (exceto taxas de passaporte). O empregador fornecerá aos trabalhadores todas as ferramentas, suprimentos e equipamentos necessários para o desempenho do trabalho, sem custo para o trabalhador, de acordo com o 20 CFR 655.20(k). Os candidatos qualificados podem enviar o currículo para Alex Diaz, no endereço 23101 Copperleaf Blvd., Estero, FL 34135, por e-mail para Employment@Copperleafgc.com ou visitar o centro de empregos local em 3050 Horseshoe Drive North, Building A, Suite 110, Naples, FL 34104. *Seu depósito de segurança será reembolsado após a conclusão do contrato e a inspeção da moradia. Se um trabalhador abandonar o emprego sem a permissão do empregador ou abandonar a moradia antes do término do prazo de solicitação por qualquer motivo, exceto rescisão por parte do empregador, o trabalhador perderá todos os depósitos de moradia, dias de folga remunerada, férias e bônus. Após a rescisão ou demissão, o trabalhador deverá desocupar a moradia imediatamente, a menos que haja acordo com o empregador.* Classificação do Cargo: 35-2014.00 - Cozinheiros, Restaurante. A classificação e a descrição do cargo/setor incluem informações gerais sobre a posição, de acordo com o ONET/OES e o Sistema de Classificação Industrial da América do Norte. Consulte as Funções e a Ordem de Serviço para obter mais informações. Requisitos da vaga Experiência necessária: Sim Meses de experiência necessários: 3 Número de horas por semana: 35 Horário de trabalho (início/término): 6h às 22h</v>
      </c>
    </row>
    <row r="310" ht="20.25" customHeight="1">
      <c r="A310" s="3" t="s">
        <v>1694</v>
      </c>
      <c r="B310" s="3" t="s">
        <v>1695</v>
      </c>
      <c r="C310" s="3" t="s">
        <v>125</v>
      </c>
      <c r="D310" s="3" t="s">
        <v>36</v>
      </c>
      <c r="E310" s="4" t="s">
        <v>44</v>
      </c>
      <c r="F310" s="4" t="s">
        <v>20</v>
      </c>
      <c r="G310" s="4" t="s">
        <v>307</v>
      </c>
      <c r="H310" s="3" t="s">
        <v>1696</v>
      </c>
      <c r="I310" s="3" t="s">
        <v>1697</v>
      </c>
      <c r="J310" s="4">
        <v>18.72</v>
      </c>
      <c r="K310" s="4">
        <v>29.0</v>
      </c>
      <c r="L310" s="3" t="s">
        <v>129</v>
      </c>
      <c r="M310" s="3" t="s">
        <v>130</v>
      </c>
      <c r="N310" s="7" t="str">
        <f>IFERROR(__xludf.DUMMYFUNCTION("GOOGLETRANSLATE(L310, ""en"", ""pt"")"),"Trabalhador de paisagismo e manutenção de jardins")</f>
        <v>Trabalhador de paisagismo e manutenção de jardins</v>
      </c>
      <c r="O310" s="7" t="str">
        <f>IFERROR(__xludf.DUMMYFUNCTION("IF(M310="""","""",GOOGLETRANSLATE(M310,""en"",""pt""))"),"As funções incluem a instalação de árvores, arbustos ou flores durante o período de dormência, seguindo o padrão de design apropriado. Isso inclui descarregar materiais, cavar buracos para o sistema radicular, cobrir os buracos adequadamente e, às vezes, "&amp;"colocar grama em placas, plantar sementes de grama ou conectar a irrigação. Também envolve a remoção de folhas, plantio de sementes e palha, aeração do gramado, plantio de arbustos, escavação, rastelagem e instalação de blocos de concreto pré-moldados sem"&amp;" argamassa. Os trabalhadores podem coletar e remover lixo, regar gramados, árvores e plantas semeadas, além de podar árvores, arbustos ou sebes. Podem operar equipamentos motorizados e dirigir veículos até os locais dos clientes. As tarefas podem incluir "&amp;"colocação de grama em placas, corte de grama, rega de plantas e gramados, transplante de plantas, fertilização, escavação, rastelagem e instalação de aspersores. Os funcionários cavarão valas com no máximo 15 a 30 cm de profundidade e 15 a 30 cm de largur"&amp;"a com pás e ferramentas manuais. Essas valas são usadas para acomodar a tubulação utilizada na instalação de sistemas de irrigação. Toda a poda/aparamento será feita no solo. Os trabalhadores não realizarão nenhuma atividade de poda ou corte acima do níve"&amp;"l do solo. O trabalhador poderá transportar outros trabalhadores de e para os locais de trabalho ocasionalmente, porém essa não será sua principal função. Classificação da função: 37-3011.00 - Trabalhadores de Paisagismo e Manutenção de Jardins. A classif"&amp;"icação e descrição da função/setor inclui informações gerais sobre o cargo, de acordo com o ONET/OES e o Sistema de Classificação Industrial da América do Norte (NAICS). Consulte as Funções e a Ordem de Serviço para obter mais informações. Requisitos da f"&amp;"unção: Experiência necessária: Não. Requisitos especiais: Deve ser capaz de levantar 23 kg, realizar movimentos repetitivos, empurrar/puxar com frequência, caminhar bastante, agachar-se frequentemente e estar exposto a temperaturas extremas. Número de hor"&amp;"as por semana: 40. Horário de trabalho (início/término): 7h às 16h.")</f>
        <v>As funções incluem a instalação de árvores, arbustos ou flores durante o período de dormência, seguindo o padrão de design apropriado. Isso inclui descarregar materiais, cavar buracos para o sistema radicular, cobrir os buracos adequadamente e, às vezes, colocar grama em placas, plantar sementes de grama ou conectar a irrigação. Também envolve a remoção de folhas, plantio de sementes e palha, aeração do gramado, plantio de arbustos, escavação, rastelagem e instalação de blocos de concreto pré-moldados sem argamassa. Os trabalhadores podem coletar e remover lixo, regar gramados, árvores e plantas semeadas, além de podar árvores, arbustos ou sebes. Podem operar equipamentos motorizados e dirigir veículos até os locais dos clientes. As tarefas podem incluir colocação de grama em placas, corte de grama, rega de plantas e gramados, transplante de plantas, fertilização, escavação, rastelagem e instalação de aspersores. Os funcionários cavarão valas com no máximo 15 a 30 cm de profundidade e 15 a 30 cm de largura com pás e ferramentas manuais. Essas valas são usadas para acomodar a tubulação utilizada na instalação de sistemas de irrigação. Toda a poda/aparamento será feita no solo. Os trabalhadores não realizarão nenhuma atividade de poda ou corte acima do nível do solo. O trabalhador poderá transportar outros trabalhadores de e para os locais de trabalho ocasionalmente, porém essa não será sua principal função. Classificação da função: 37-3011.00 - Trabalhadores de Paisagismo e Manutenção de Jardins. A classificação e descrição da função/setor inclui informações gerais sobre o cargo, de acordo com o ONET/OES e o Sistema de Classificação Industrial da América do Norte (NAICS). Consulte as Funções e a Ordem de Serviço para obter mais informações. Requisitos da função: Experiência necessária: Não. Requisitos especiais: Deve ser capaz de levantar 23 kg, realizar movimentos repetitivos, empurrar/puxar com frequência, caminhar bastante, agachar-se frequentemente e estar exposto a temperaturas extremas. Número de horas por semana: 40. Horário de trabalho (início/término): 7h às 16h.</v>
      </c>
    </row>
    <row r="311" ht="20.25" customHeight="1">
      <c r="A311" s="8" t="s">
        <v>1698</v>
      </c>
      <c r="B311" s="8" t="s">
        <v>1699</v>
      </c>
      <c r="C311" s="8" t="s">
        <v>125</v>
      </c>
      <c r="D311" s="8" t="s">
        <v>55</v>
      </c>
      <c r="E311" s="9" t="s">
        <v>19</v>
      </c>
      <c r="F311" s="9" t="s">
        <v>20</v>
      </c>
      <c r="G311" s="9" t="s">
        <v>1700</v>
      </c>
      <c r="H311" s="8" t="s">
        <v>1701</v>
      </c>
      <c r="I311" s="8" t="s">
        <v>1702</v>
      </c>
      <c r="J311" s="9">
        <v>18.31</v>
      </c>
      <c r="K311" s="9">
        <v>14.0</v>
      </c>
      <c r="L311" s="8" t="s">
        <v>129</v>
      </c>
      <c r="M311" s="8" t="s">
        <v>1703</v>
      </c>
      <c r="N311" s="7" t="str">
        <f>IFERROR(__xludf.DUMMYFUNCTION("GOOGLETRANSLATE(L311, ""en"", ""pt"")"),"Trabalhador de paisagismo e manutenção de jardins")</f>
        <v>Trabalhador de paisagismo e manutenção de jardins</v>
      </c>
      <c r="O311" s="7" t="str">
        <f>IFERROR(__xludf.DUMMYFUNCTION("IF(M311="""","""",GOOGLETRANSLATE(M311,""en"",""pt""))"),"As funções incluem a instalação de árvores, arbustos ou flores durante o período de dormência, seguindo o padrão de design apropriado. Isso inclui descarregar materiais, cavar buracos para o sistema radicular, cobrir os buracos adequadamente e, às vezes, "&amp;"colocar grama em placas, plantar sementes de grama ou conectar a irrigação. Também envolve a remoção de folhas, plantio de sementes e palha, aeração do gramado, plantio de arbustos, escavação, rastelagem e instalação de blocos de concreto pré-moldados sem"&amp;" argamassa. Os trabalhadores podem coletar e remover lixo, regar gramados, árvores e plantas semeadas, além de podar árvores, arbustos ou sebes. Podem operar equipamentos motorizados e dirigir veículos até os locais dos clientes. As tarefas podem incluir "&amp;"colocação de grama em placas, corte de grama, rega de plantas e gramados, transplante de plantas, fertilização, escavação, rastelagem e instalação de aspersores. Os funcionários cavarão valas com no máximo 15 a 30 cm de profundidade e 15 a 30 cm de largur"&amp;"a com pás e ferramentas manuais. Essas valas são usadas para acomodar a tubulação utilizada na instalação de sistemas de irrigação. Toda a poda/aparamento será feita no solo. Os trabalhadores não realizarão nenhuma atividade de poda ou corte acima do níve"&amp;"l do solo. O trabalhador poderá transportar outros trabalhadores de e para os locais de trabalho ocasionalmente, porém esta não será sua principal função. Classificação da Função: 37-3011.00 - Trabalhadores de Paisagismo e Manutenção de Jardins. A classif"&amp;"icação e descrição da função/setor inclui informações gerais sobre o cargo, de acordo com o ONET/OES e o Sistema de Classificação Industrial da América do Norte (NAICS). Consulte as Funções e a Ordem de Serviço para obter mais informações. Requisitos da F"&amp;"unção Experiência Necessária: Não. Requisitos Especiais: Carteira de habilitação válida, exame toxicológico pós-admissão por conta do empregador, capacidade de levantar 36 kg, movimentos repetitivos, empurrar/puxar com frequência, caminhar bastante, agach"&amp;"ar-se frequentemente e exposição a temperaturas extremas. Número de Horas por Semana: 40. Horário de Trabalho (Início/Término): 7h às 16h.")</f>
        <v>As funções incluem a instalação de árvores, arbustos ou flores durante o período de dormência, seguindo o padrão de design apropriado. Isso inclui descarregar materiais, cavar buracos para o sistema radicular, cobrir os buracos adequadamente e, às vezes, colocar grama em placas, plantar sementes de grama ou conectar a irrigação. Também envolve a remoção de folhas, plantio de sementes e palha, aeração do gramado, plantio de arbustos, escavação, rastelagem e instalação de blocos de concreto pré-moldados sem argamassa. Os trabalhadores podem coletar e remover lixo, regar gramados, árvores e plantas semeadas, além de podar árvores, arbustos ou sebes. Podem operar equipamentos motorizados e dirigir veículos até os locais dos clientes. As tarefas podem incluir colocação de grama em placas, corte de grama, rega de plantas e gramados, transplante de plantas, fertilização, escavação, rastelagem e instalação de aspersores. Os funcionários cavarão valas com no máximo 15 a 30 cm de profundidade e 15 a 30 cm de largura com pás e ferramentas manuais. Essas valas são usadas para acomodar a tubulação utilizada na instalação de sistemas de irrigação. Toda a poda/aparamento será feita no solo. Os trabalhadores não realizarão nenhuma atividade de poda ou corte acima do nível do solo. O trabalhador poderá transportar outros trabalhadores de e para os locais de trabalho ocasionalmente, porém esta não será sua principal função. Classificação da Função: 37-3011.00 - Trabalhadores de Paisagismo e Manutenção de Jardins. A classificação e descrição da função/setor inclui informações gerais sobre o cargo, de acordo com o ONET/OES e o Sistema de Classificação Industrial da América do Norte (NAICS). Consulte as Funções e a Ordem de Serviço para obter mais informações. Requisitos da Função Experiência Necessária: Não. Requisitos Especiais: Carteira de habilitação válida, exame toxicológico pós-admissão por conta do empregador, capacidade de levantar 36 kg, movimentos repetitivos, empurrar/puxar com frequência, caminhar bastante, agachar-se frequentemente e exposição a temperaturas extremas. Número de Horas por Semana: 40. Horário de Trabalho (Início/Término): 7h às 16h.</v>
      </c>
    </row>
    <row r="312" ht="20.25" customHeight="1">
      <c r="A312" s="3" t="s">
        <v>1704</v>
      </c>
      <c r="B312" s="3" t="s">
        <v>1705</v>
      </c>
      <c r="C312" s="3" t="s">
        <v>63</v>
      </c>
      <c r="D312" s="3" t="s">
        <v>249</v>
      </c>
      <c r="E312" s="4" t="s">
        <v>44</v>
      </c>
      <c r="F312" s="4" t="s">
        <v>20</v>
      </c>
      <c r="G312" s="4" t="s">
        <v>1706</v>
      </c>
      <c r="H312" s="3" t="s">
        <v>1707</v>
      </c>
      <c r="I312" s="3" t="s">
        <v>1708</v>
      </c>
      <c r="J312" s="4">
        <v>18.1</v>
      </c>
      <c r="K312" s="4">
        <v>18.0</v>
      </c>
      <c r="L312" s="3" t="s">
        <v>1709</v>
      </c>
      <c r="M312" s="3" t="s">
        <v>1710</v>
      </c>
      <c r="N312" s="7" t="str">
        <f>IFERROR(__xludf.DUMMYFUNCTION("GOOGLETRANSLATE(L312, ""en"", ""pt"")"),"Trabalhadores")</f>
        <v>Trabalhadores</v>
      </c>
      <c r="O312" s="7" t="str">
        <f>IFERROR(__xludf.DUMMYFUNCTION("IF(M312="""","""",GOOGLETRANSLATE(M312,""en"",""pt""))"),"Executar serviços de manutenção de neve/gelo em áreas comerciais e residenciais, incluindo limpeza após tempestades de inverno, remoção de neve/gelo, poda de inverno de árvores/arbustos dormentes e preparação/reparo de sistemas de irrigação de gramados, a"&amp;"lém de realizar reparos nos sistemas conforme necessário. Aerar e semear gramados. Utilizar ferramentas manuais e equipamentos como picadores de gelo, pás e sopradores. Espalhar sal/produtos químicos para degelo em calçadas, entradas de garagem e estacion"&amp;"amentos. Limpar e realizar manutenção de rotina e/ou pequenos reparos em equipamentos e ferramentas quando não estiverem em uso. Se o tempo permitir, realizar limpeza de canteiros e remoção de arbustos e moitas. Classificação da vaga: 37-3011.00 - Trabalh"&amp;"adores de Paisagismo e Jardinagem. A classificação e descrição da vaga/setor incluem informações gerais sobre o cargo, de acordo com o ONET/OES e o Sistema de Classificação Industrial da América do Norte. Consulte as Funções e a Ordem de Serviço para obte"&amp;"r mais informações. Requisitos da vaga: Experiência necessária: Não. Requisitos especiais: Deve ser capaz de levantar/carregar 23 kg, quando necessário. Trabalho aos sábados e domingos, quando necessário. Funcionários com carteira de habilitação válida no"&amp;"s EUA podem dirigir (dirigir não é um requisito para todos os funcionários da função). O empregador pode oferecer uma jornada de trabalho maior do que a estipulada, dependendo das condições climáticas, das necessidades da empresa e de outros fatores. Calo"&amp;"r extremo, frio, chuva ou seca podem afetar o horário de trabalho exato. Número de horas por semana: 40. Horário de trabalho (início/término): 8h às 16h30.")</f>
        <v>Executar serviços de manutenção de neve/gelo em áreas comerciais e residenciais, incluindo limpeza após tempestades de inverno, remoção de neve/gelo, poda de inverno de árvores/arbustos dormentes e preparação/reparo de sistemas de irrigação de gramados, além de realizar reparos nos sistemas conforme necessário. Aerar e semear gramados. Utilizar ferramentas manuais e equipamentos como picadores de gelo, pás e sopradores. Espalhar sal/produtos químicos para degelo em calçadas, entradas de garagem e estacionamentos. Limpar e realizar manutenção de rotina e/ou pequenos reparos em equipamentos e ferramentas quando não estiverem em uso. Se o tempo permitir, realizar limpeza de canteiros e remoção de arbustos e moitas. Classificação da vaga: 37-3011.00 - Trabalhadores de Paisagismo e Jardinagem. A classificação e descrição da vaga/setor incluem informações gerais sobre o cargo, de acordo com o ONET/OES e o Sistema de Classificação Industrial da América do Norte. Consulte as Funções e a Ordem de Serviço para obter mais informações. Requisitos da vaga: Experiência necessária: Não. Requisitos especiais: Deve ser capaz de levantar/carregar 23 kg, quando necessário. Trabalho aos sábados e domingos, quando necessário. Funcionários com carteira de habilitação válida nos EUA podem dirigir (dirigir não é um requisito para todos os funcionários da função). O empregador pode oferecer uma jornada de trabalho maior do que a estipulada, dependendo das condições climáticas, das necessidades da empresa e de outros fatores. Calor extremo, frio, chuva ou seca podem afetar o horário de trabalho exato. Número de horas por semana: 40. Horário de trabalho (início/término): 8h às 16h30.</v>
      </c>
    </row>
    <row r="313" ht="20.25" customHeight="1">
      <c r="A313" s="8" t="s">
        <v>1711</v>
      </c>
      <c r="B313" s="8" t="s">
        <v>1712</v>
      </c>
      <c r="C313" s="8" t="s">
        <v>1713</v>
      </c>
      <c r="D313" s="8" t="s">
        <v>55</v>
      </c>
      <c r="E313" s="9" t="s">
        <v>19</v>
      </c>
      <c r="F313" s="9" t="s">
        <v>20</v>
      </c>
      <c r="G313" s="9" t="s">
        <v>377</v>
      </c>
      <c r="H313" s="8" t="s">
        <v>1714</v>
      </c>
      <c r="I313" s="8" t="s">
        <v>1715</v>
      </c>
      <c r="J313" s="9">
        <v>19.8</v>
      </c>
      <c r="K313" s="9">
        <v>19.0</v>
      </c>
      <c r="L313" s="8" t="s">
        <v>1716</v>
      </c>
      <c r="M313" s="8" t="s">
        <v>1717</v>
      </c>
      <c r="N313" s="7" t="str">
        <f>IFERROR(__xludf.DUMMYFUNCTION("GOOGLETRANSLATE(L313, ""en"", ""pt"")"),"Podador de árvores")</f>
        <v>Podador de árvores</v>
      </c>
      <c r="O313" s="7" t="str">
        <f>IFERROR(__xludf.DUMMYFUNCTION("IF(M313="""","""",GOOGLETRANSLATE(M313,""en"",""pt""))"),"As funções podem incluir: Manutenção do terreno. Utilização de ferramentas manuais para podar árvores, arbustos e sebes. Recolhimento e remoção de lixo e detritos, incluindo galhos e ramos de árvores. Limpeza das instalações e locais de trabalho. Carregam"&amp;"ento de carrinhos de mão, cobertura com lonas e descarte de detritos no contêiner de lixo apropriado ou na área de aterro sanitário, além de outras atividades relacionadas à poda de árvores, conforme SOC/OES 37-3011 (onetonline.org). Horário padrão/espera"&amp;"do: Segunda a sexta, das 8h às 16h30. Oferecemos mais de 40 horas semanais, sem incluir almoço e/ou intervalos. Possibilidade de trabalho em fins de semana e feriados. Os horários de início e término, a carga horária e/ou horas extras podem variar, depend"&amp;"endo de fatores como projetos, cronogramas, necessidades de serviço, condições climáticas e tempo de deslocamento entre os locais de trabalho (se aplicável). Horas extras são possíveis, mas não obrigatórias ou garantidas. A critério exclusivo do empregado"&amp;"r: possíveis aumentos e/ou bônus com base em fatores individuais, como desempenho no trabalho ou habilidades (não garantidos). Classificação do Cargo: 37-3011.00 - Trabalhadores de Paisagismo e Manutenção de Jardins. A classificação e descrição do cargo/s"&amp;"etor inclui informações gerais sobre a posição, conforme o ONET/OES e o Sistema de Classificação Industrial da América do Norte. Consulte as Funções e a Ordem de Serviço para obter mais informações. Requisitos do Cargo Experiência Necessária: Não. Requisi"&amp;"tos Especiais: Deve apresentar comprovante de autorização legal para trabalhar nos Estados Unidos. Ambiente de trabalho livre de drogas, álcool e tabaco. Executar atividades físicas, como levantar, equilibrar-se, caminhar, abaixar-se, manusear, posicionar"&amp;", mover e manipular materiais, utilizando força estática para exercer força muscular máxima para levantar, empurrar, puxar e carregar objetos de até 23 kg. Todos os candidatos devem ser capazes, dispostos e qualificados para executar o trabalho descrito e"&amp;" devem estar disponíveis durante todo o período especificado e trabalhar em todas as áreas da vaga. O trabalho é realizado ao ar livre, exposto às intempéries; o candidato deve ser capaz de realizar trabalho fisicamente extenuante por longos períodos, oca"&amp;"sionalmente em calor ou frio extremos. Condições climáticas variáveis ​​se aplicam; o horário de trabalho pode sofrer alterações (+/-), podendo haver períodos de inatividade e/ou horas extras. Número de horas por semana: 40. Horário de trabalho (início/té"&amp;"rmino): 8h00 - 16h30.")</f>
        <v>As funções podem incluir: Manutenção do terreno. Utilização de ferramentas manuais para podar árvores, arbustos e sebes. Recolhimento e remoção de lixo e detritos, incluindo galhos e ramos de árvores. Limpeza das instalações e locais de trabalho. Carregamento de carrinhos de mão, cobertura com lonas e descarte de detritos no contêiner de lixo apropriado ou na área de aterro sanitário, além de outras atividades relacionadas à poda de árvores, conforme SOC/OES 37-3011 (onetonline.org). Horário padrão/esperado: Segunda a sexta, das 8h às 16h30. Oferecemos mais de 40 horas semanais, sem incluir almoço e/ou intervalos. Possibilidade de trabalho em fins de semana e feriados. Os horários de início e término, a carga horária e/ou horas extras podem variar, dependendo de fatores como projetos, cronogramas, necessidades de serviço, condições climáticas e tempo de deslocamento entre os locais de trabalho (se aplicável). Horas extras são possíveis, mas não obrigatórias ou garantidas. A critério exclusivo do empregador: possíveis aumentos e/ou bônus com base em fatores individuais, como desempenho no trabalho ou habilidades (não garantidos). Classificação do Cargo: 37-3011.00 - Trabalhadores de Paisagismo e Manutenção de Jardins. A classificação e descrição do cargo/setor inclui informações gerais sobre a posição, conforme o ONET/OES e o Sistema de Classificação Industrial da América do Norte. Consulte as Funções e a Ordem de Serviço para obter mais informações. Requisitos do Cargo Experiência Necessária: Não. Requisitos Especiais: Deve apresentar comprovante de autorização legal para trabalhar nos Estados Unidos. Ambiente de trabalho livre de drogas, álcool e tabaco. Executar atividades físicas, como levantar, equilibrar-se, caminhar, abaixar-se, manusear, posicionar, mover e manipular materiais, utilizando força estática para exercer força muscular máxima para levantar, empurrar, puxar e carregar objetos de até 23 kg. Todos os candidatos devem ser capazes, dispostos e qualificados para executar o trabalho descrito e devem estar disponíveis durante todo o período especificado e trabalhar em todas as áreas da vaga. O trabalho é realizado ao ar livre, exposto às intempéries; o candidato deve ser capaz de realizar trabalho fisicamente extenuante por longos períodos, ocasionalmente em calor ou frio extremos. Condições climáticas variáveis ​​se aplicam; o horário de trabalho pode sofrer alterações (+/-), podendo haver períodos de inatividade e/ou horas extras. Número de horas por semana: 40. Horário de trabalho (início/término): 8h00 - 16h30.</v>
      </c>
    </row>
    <row r="314" ht="20.25" customHeight="1">
      <c r="A314" s="3" t="s">
        <v>1718</v>
      </c>
      <c r="B314" s="3" t="s">
        <v>1719</v>
      </c>
      <c r="C314" s="3" t="s">
        <v>1000</v>
      </c>
      <c r="D314" s="3" t="s">
        <v>833</v>
      </c>
      <c r="E314" s="4" t="s">
        <v>19</v>
      </c>
      <c r="F314" s="4" t="s">
        <v>20</v>
      </c>
      <c r="G314" s="4" t="s">
        <v>118</v>
      </c>
      <c r="H314" s="3" t="s">
        <v>1001</v>
      </c>
      <c r="I314" s="3" t="s">
        <v>1002</v>
      </c>
      <c r="J314" s="4">
        <v>15.28</v>
      </c>
      <c r="K314" s="4">
        <v>24.0</v>
      </c>
      <c r="L314" s="3" t="s">
        <v>1720</v>
      </c>
      <c r="M314" s="3" t="s">
        <v>1721</v>
      </c>
      <c r="N314" s="7" t="str">
        <f>IFERROR(__xludf.DUMMYFUNCTION("GOOGLETRANSLATE(L314, ""en"", ""pt"")"),"Ajudantes de Carpinteiro")</f>
        <v>Ajudantes de Carpinteiro</v>
      </c>
      <c r="O314" s="7" t="str">
        <f>IFERROR(__xludf.DUMMYFUNCTION("IF(M314="""","""",GOOGLETRANSLATE(M314,""en"",""pt""))"),"Executar tarefas menores, incluindo carga e descarga de materiais de construção, disposição de madeira, revestimento, treliças e outros componentes para a estrutura. Auxiliar carpinteiros líderes em tarefas básicas de carpintaria, como segurar, cortar e p"&amp;"regar madeira para estruturas como paredes, formas de concreto e batentes de portas, de acordo com as instruções do carpinteiro líder. Montar componentes preparados no canteiro de obras. Classificação da vaga: 47-3012.00 - Ajudantes de Carpinteiro. A clas"&amp;"sificação e descrição da vaga/setor inclui informações gerais sobre o cargo, de acordo com o ONET/OES e o Sistema de Classificação Industrial da América do Norte (NAICS). Consulte as Funções e a Ordem de Serviço para obter mais informações. Requisitos da "&amp;"vaga: Experiência necessária: Não. Requisitos especiais: Deve ser capaz de levantar e carregar 34 kg por 68 metros. Trabalho em alguns fins de semana. Deve ser capaz de lidar com temperaturas extremas. Deslocamento para locais de trabalho dentro da área d"&amp;"e atuação pretendida. Número de horas por semana: 40. Horário de trabalho (início/término): 7h às 17h.")</f>
        <v>Executar tarefas menores, incluindo carga e descarga de materiais de construção, disposição de madeira, revestimento, treliças e outros componentes para a estrutura. Auxiliar carpinteiros líderes em tarefas básicas de carpintaria, como segurar, cortar e pregar madeira para estruturas como paredes, formas de concreto e batentes de portas, de acordo com as instruções do carpinteiro líder. Montar componentes preparados no canteiro de obras. Classificação da vaga: 47-3012.00 - Ajudantes de Carpinteiro. A classificação e descrição da vaga/setor inclui informações gerais sobre o cargo, de acordo com o ONET/OES e o Sistema de Classificação Industrial da América do Norte (NAICS). Consulte as Funções e a Ordem de Serviço para obter mais informações. Requisitos da vaga: Experiência necessária: Não. Requisitos especiais: Deve ser capaz de levantar e carregar 34 kg por 68 metros. Trabalho em alguns fins de semana. Deve ser capaz de lidar com temperaturas extremas. Deslocamento para locais de trabalho dentro da área de atuação pretendida. Número de horas por semana: 40. Horário de trabalho (início/término): 7h às 17h.</v>
      </c>
    </row>
    <row r="315" ht="20.25" customHeight="1">
      <c r="A315" s="8" t="s">
        <v>1722</v>
      </c>
      <c r="B315" s="8" t="s">
        <v>1723</v>
      </c>
      <c r="C315" s="8" t="s">
        <v>169</v>
      </c>
      <c r="D315" s="8" t="s">
        <v>102</v>
      </c>
      <c r="E315" s="9" t="s">
        <v>44</v>
      </c>
      <c r="F315" s="9" t="s">
        <v>20</v>
      </c>
      <c r="G315" s="9" t="s">
        <v>1504</v>
      </c>
      <c r="H315" s="8" t="s">
        <v>1724</v>
      </c>
      <c r="I315" s="8"/>
      <c r="J315" s="9">
        <v>17.98</v>
      </c>
      <c r="K315" s="9">
        <v>20.0</v>
      </c>
      <c r="L315" s="8" t="s">
        <v>463</v>
      </c>
      <c r="M315" s="8" t="s">
        <v>1725</v>
      </c>
      <c r="N315" s="7" t="str">
        <f>IFERROR(__xludf.DUMMYFUNCTION("GOOGLETRANSLATE(L315, ""en"", ""pt"")"),"Plantador de árvores")</f>
        <v>Plantador de árvores</v>
      </c>
      <c r="O315" s="7" t="str">
        <f>IFERROR(__xludf.DUMMYFUNCTION("IF(M315="""","""",GOOGLETRANSLATE(M315,""en"",""pt""))"),"Trabalho manual itinerante, incluindo plantio mecânico de mudas de árvores, desbaste pré-comercial, aplicação de herbicidas, poda e manutenção de divisas para reflorestamento e conservação de áreas florestais. Utilizar equipamentos para plantio e desbaste"&amp;" de árvores, aplicação de produtos químicos, preparação do terreno para plantio ou execução de outros serviços florestais. Pulverizar a vegetação com herbicidas para reduzir a competição com outras plantas. Lubrificar, abastecer e ajustar os equipamentos,"&amp;" além de realizar reparos emergenciais. Realizar verificações de segurança antes do início das operações, manter o local de trabalho limpo, plantar manualmente em caçambas e auxiliar o encarregado da obra em qualquer tarefa, quando solicitado. O empregado"&amp;"r poderá pagar um valor fixo de US$ 15,00 a US$ 80,00 por cada 1.000 árvores plantadas manualmente de forma correta, ou o salário vigente para a região de atuação, conforme estipulado pelo NPWC (National Park Welfare Commission), o que for maior. Aumentos"&amp;" salariais e/ou bônus poderão ser oferecidos a critério do empregador, com base em fatores individuais como desempenho, habilidade e tempo de serviço. Classificação da Função: 45-4011.00 - Trabalhadores Florestais e de Conservação. A classificação e descr"&amp;"ição da função/setor inclui informações gerais sobre o cargo, de acordo com o ONET/OES e o Sistema de Classificação Industrial da América do Norte (NAICS). Consulte as Funções e a Ordem de Serviço para obter mais informações. Requisitos da Função Experiên"&amp;"cia Necessária: Não. Requisitos Especiais: Deve ser capaz de levantar/carregar 23 kg, quando necessário. Trabalho aos sábados e domingos, quando necessário. Exame toxicológico pago pelo empregador é obrigatório para trabalhadores estrangeiros e nacionais "&amp;"antes do início do trabalho. Verificação de elegibilidade para emprego (e-Verify) após a contratação é obrigatória para trabalhadores estrangeiros e nacionais. O empregador pode oferecer mais horas de trabalho do que as indicadas, dependendo do clima, das"&amp;" necessidades da empresa e de outras condições. Calor extremo, frio, chuva ou seca podem afetar o horário de trabalho exato. Número de Horas por Semana: 54. Horário de Trabalho (Início/Término): 7h às 17h.")</f>
        <v>Trabalho manual itinerante, incluindo plantio mecânico de mudas de árvores, desbaste pré-comercial, aplicação de herbicidas, poda e manutenção de divisas para reflorestamento e conservação de áreas florestais. Utilizar equipamentos para plantio e desbaste de árvores, aplicação de produtos químicos, preparação do terreno para plantio ou execução de outros serviços florestais. Pulverizar a vegetação com herbicidas para reduzir a competição com outras plantas. Lubrificar, abastecer e ajustar os equipamentos, além de realizar reparos emergenciais. Realizar verificações de segurança antes do início das operações, manter o local de trabalho limpo, plantar manualmente em caçambas e auxiliar o encarregado da obra em qualquer tarefa, quando solicitado. O empregador poderá pagar um valor fixo de US$ 15,00 a US$ 80,00 por cada 1.000 árvores plantadas manualmente de forma correta, ou o salário vigente para a região de atuação, conforme estipulado pelo NPWC (National Park Welfare Commission), o que for maior. Aumentos salariais e/ou bônus poderão ser oferecidos a critério do empregador, com base em fatores individuais como desempenho, habilidade e tempo de serviço. Classificação da Função: 45-4011.00 - Trabalhadores Florestais e de Conservação. A classificação e descrição da função/setor inclui informações gerais sobre o cargo, de acordo com o ONET/OES e o Sistema de Classificação Industrial da América do Norte (NAICS). Consulte as Funções e a Ordem de Serviço para obter mais informações. Requisitos da Função Experiência Necessária: Não. Requisitos Especiais: Deve ser capaz de levantar/carregar 23 kg, quando necessário. Trabalho aos sábados e domingos, quando necessário. Exame toxicológico pago pelo empregador é obrigatório para trabalhadores estrangeiros e nacionais antes do início do trabalho. Verificação de elegibilidade para emprego (e-Verify) após a contratação é obrigatória para trabalhadores estrangeiros e nacionais. O empregador pode oferecer mais horas de trabalho do que as indicadas, dependendo do clima, das necessidades da empresa e de outras condições. Calor extremo, frio, chuva ou seca podem afetar o horário de trabalho exato. Número de Horas por Semana: 54. Horário de Trabalho (Início/Término): 7h às 17h.</v>
      </c>
    </row>
    <row r="316" ht="20.25" customHeight="1">
      <c r="A316" s="3" t="s">
        <v>1726</v>
      </c>
      <c r="B316" s="3" t="s">
        <v>999</v>
      </c>
      <c r="C316" s="3" t="s">
        <v>1000</v>
      </c>
      <c r="D316" s="3" t="s">
        <v>278</v>
      </c>
      <c r="E316" s="4" t="s">
        <v>44</v>
      </c>
      <c r="F316" s="4" t="s">
        <v>20</v>
      </c>
      <c r="G316" s="4" t="s">
        <v>146</v>
      </c>
      <c r="H316" s="3" t="s">
        <v>1001</v>
      </c>
      <c r="I316" s="3" t="s">
        <v>1002</v>
      </c>
      <c r="J316" s="4">
        <v>24.08</v>
      </c>
      <c r="K316" s="4">
        <v>24.0</v>
      </c>
      <c r="L316" s="3" t="s">
        <v>1003</v>
      </c>
      <c r="M316" s="3" t="s">
        <v>1004</v>
      </c>
      <c r="N316" s="7" t="str">
        <f>IFERROR(__xludf.DUMMYFUNCTION("GOOGLETRANSLATE(L316, ""en"", ""pt"")"),"Acabadores de concreto")</f>
        <v>Acabadores de concreto</v>
      </c>
      <c r="O316" s="7" t="str">
        <f>IFERROR(__xludf.DUMMYFUNCTION("IF(M316="""","""",GOOGLETRANSLATE(M316,""en"",""pt""))"),"Preparar o canteiro de obras onde o concreto será despejado, orientando os operários a posicionar os materiais no local, medir as fôrmas, verificar o nivelamento e confirmar o layout correto das fôrmas. Posicionar e alinhar com segurança as fôrmas de made"&amp;"ira e metal que conterão o concreto. Espalhar, nivelar e alisar o concreto usando rastelos, réguas de nivelamento manuais ou motorizadas, alisadoras mecânicas, pás ou ferramentas manuais. Desmontar as fôrmas e cortar o concreto com serras para concreto. L"&amp;"impar o canteiro de obras. Classificação da Função: 47-2051.00 - Pedreiros e Acabadores de Concreto. A classificação e descrição da função/setor incluem informações gerais sobre o cargo, de acordo com o ONET/OES e o Sistema de Classificação Industrial da "&amp;"América do Norte (NAICS). Consulte as Funções e a Ordem de Serviço para obter mais informações. Requisitos da Função: Experiência Necessária: Sim. Meses de Experiência Necessários: 36. Requisitos Especiais: Trabalho em alguns fins de semana. Capacidade de"&amp;" levantar e carregar 34 kg por 45 metros. Capacidade de suportar temperaturas extremas. Disponibilidade para viagens a locais de trabalho dentro da área de atuação pretendida. Número de horas por semana: 40 Horário de trabalho (início/término): 7h00 - 17h"&amp;"00")</f>
        <v>Preparar o canteiro de obras onde o concreto será despejado, orientando os operários a posicionar os materiais no local, medir as fôrmas, verificar o nivelamento e confirmar o layout correto das fôrmas. Posicionar e alinhar com segurança as fôrmas de madeira e metal que conterão o concreto. Espalhar, nivelar e alisar o concreto usando rastelos, réguas de nivelamento manuais ou motorizadas, alisadoras mecânicas, pás ou ferramentas manuais. Desmontar as fôrmas e cortar o concreto com serras para concreto. Limpar o canteiro de obras. Classificação da Função: 47-2051.00 - Pedreiros e Acabadores de Concreto. A classificação e descrição da função/setor incluem informações gerais sobre o cargo, de acordo com o ONET/OES e o Sistema de Classificação Industrial da América do Norte (NAICS). Consulte as Funções e a Ordem de Serviço para obter mais informações. Requisitos da Função: Experiência Necessária: Sim. Meses de Experiência Necessários: 36. Requisitos Especiais: Trabalho em alguns fins de semana. Capacidade de levantar e carregar 34 kg por 45 metros. Capacidade de suportar temperaturas extremas. Disponibilidade para viagens a locais de trabalho dentro da área de atuação pretendida. Número de horas por semana: 40 Horário de trabalho (início/término): 7h00 - 17h00</v>
      </c>
    </row>
    <row r="317" ht="20.25" customHeight="1">
      <c r="A317" s="8" t="s">
        <v>1727</v>
      </c>
      <c r="B317" s="8" t="s">
        <v>1728</v>
      </c>
      <c r="C317" s="8" t="s">
        <v>125</v>
      </c>
      <c r="D317" s="8" t="s">
        <v>18</v>
      </c>
      <c r="E317" s="9" t="s">
        <v>44</v>
      </c>
      <c r="F317" s="9" t="s">
        <v>20</v>
      </c>
      <c r="G317" s="9" t="s">
        <v>146</v>
      </c>
      <c r="H317" s="8" t="s">
        <v>1729</v>
      </c>
      <c r="I317" s="8" t="s">
        <v>1730</v>
      </c>
      <c r="J317" s="9">
        <v>20.09</v>
      </c>
      <c r="K317" s="9">
        <v>10.0</v>
      </c>
      <c r="L317" s="8" t="s">
        <v>262</v>
      </c>
      <c r="M317" s="8" t="s">
        <v>1731</v>
      </c>
      <c r="N317" s="7" t="str">
        <f>IFERROR(__xludf.DUMMYFUNCTION("GOOGLETRANSLATE(L317, ""en"", ""pt"")"),"Operário da construção civil")</f>
        <v>Operário da construção civil</v>
      </c>
      <c r="O317" s="7" t="str">
        <f>IFERROR(__xludf.DUMMYFUNCTION("IF(M317="""","""",GOOGLETRANSLATE(M317,""en"",""pt""))"),"Funções: Executar trabalhos relacionados à instalação de piscinas, incluindo limpeza do local de trabalho, coleta e descarte de lixo e entulho. Cavar valas para tubulações utilizando escavadeira de valas. Perfurar manualmente sob calçadas e entradas de ga"&amp;"ragem, auxiliar na mistura, despejo e colocação de concreto. Auxiliar outros trabalhadores da construção civil executando tarefas de menor complexidade. Os trabalhadores cavarão valas de 91 cm de largura por 61 cm de profundidade. As ferramentas utilizada"&amp;"s são pás e picaretas. As ferramentas utilizadas para perfurar sob calçadas são pás, picaretas e carrinhos de mão. Os trabalhadores colocarão concreto, transportando-o do caminhão até o local em carrinhos de mão e espalhando-o com pás. Classificação da fu"&amp;"nção: 47-2061.00 - Auxiliares de Construção Civil. A classificação e descrição da função/indústria incluem informações gerais sobre o cargo, de acordo com o ONET/OES e o Sistema de Classificação Industrial da América do Norte (NAICS). Consulte as Funções "&amp;"e a Ordem de Serviço para obter mais informações. Requisitos da vaga Experiência necessária: Sim Meses de experiência necessários: 3 Requisitos especiais: Capacidade de levantar 23 kg, realizar movimentos repetitivos, empurrar/puxar com frequência, caminh"&amp;"ar bastante, agachar-se frequentemente e estar exposto a temperaturas extremas. 3 meses de experiência exigidos. Exame toxicológico pós-contratação por conta do empregador. Número de horas por semana: 40 Horário de trabalho (início/término): 7h às 16h")</f>
        <v>Funções: Executar trabalhos relacionados à instalação de piscinas, incluindo limpeza do local de trabalho, coleta e descarte de lixo e entulho. Cavar valas para tubulações utilizando escavadeira de valas. Perfurar manualmente sob calçadas e entradas de garagem, auxiliar na mistura, despejo e colocação de concreto. Auxiliar outros trabalhadores da construção civil executando tarefas de menor complexidade. Os trabalhadores cavarão valas de 91 cm de largura por 61 cm de profundidade. As ferramentas utilizadas são pás e picaretas. As ferramentas utilizadas para perfurar sob calçadas são pás, picaretas e carrinhos de mão. Os trabalhadores colocarão concreto, transportando-o do caminhão até o local em carrinhos de mão e espalhando-o com pás. Classificação da função: 47-2061.00 - Auxiliares de Construção Civil. A classificação e descrição da função/indústria incluem informações gerais sobre o cargo, de acordo com o ONET/OES e o Sistema de Classificação Industrial da América do Norte (NAICS). Consulte as Funções e a Ordem de Serviço para obter mais informações. Requisitos da vaga Experiência necessária: Sim Meses de experiência necessários: 3 Requisitos especiais: Capacidade de levantar 23 kg, realizar movimentos repetitivos, empurrar/puxar com frequência, caminhar bastante, agachar-se frequentemente e estar exposto a temperaturas extremas. 3 meses de experiência exigidos. Exame toxicológico pós-contratação por conta do empregador. Número de horas por semana: 40 Horário de trabalho (início/término): 7h às 16h</v>
      </c>
    </row>
    <row r="318" ht="20.25" customHeight="1">
      <c r="A318" s="3" t="s">
        <v>1732</v>
      </c>
      <c r="B318" s="3" t="s">
        <v>1733</v>
      </c>
      <c r="C318" s="3" t="s">
        <v>662</v>
      </c>
      <c r="D318" s="3" t="s">
        <v>64</v>
      </c>
      <c r="E318" s="4" t="s">
        <v>19</v>
      </c>
      <c r="F318" s="4" t="s">
        <v>20</v>
      </c>
      <c r="G318" s="4" t="s">
        <v>1280</v>
      </c>
      <c r="H318" s="3" t="s">
        <v>1734</v>
      </c>
      <c r="I318" s="3" t="s">
        <v>1735</v>
      </c>
      <c r="J318" s="4">
        <v>18.93</v>
      </c>
      <c r="K318" s="4">
        <v>14.0</v>
      </c>
      <c r="L318" s="3" t="s">
        <v>59</v>
      </c>
      <c r="M318" s="3" t="s">
        <v>1736</v>
      </c>
      <c r="N318" s="7" t="str">
        <f>IFERROR(__xludf.DUMMYFUNCTION("GOOGLETRANSLATE(L318, ""en"", ""pt"")"),"Trabalhador de paisagismo")</f>
        <v>Trabalhador de paisagismo</v>
      </c>
      <c r="O318" s="7" t="str">
        <f>IFERROR(__xludf.DUMMYFUNCTION("IF(M318="""","""",GOOGLETRANSLATE(M318,""en"",""pt""))"),"As funções podem incluir: cuidar de gramados já estabelecidos/fornecer manutenção adequada: cobertura morta, aeração, capina, rega, fertilização, poda de arbustos/árvores, aparar bordas ao redor de canteiros de flores/muros/calçadas. Seguir projetos paisa"&amp;"gísticos: colocar grama, plantar arbustos/plantas/árvores, instalar blocos de concreto pré-moldados sem argamassa para fins paisagísticos, instalar sistemas de irrigação: incluindo preparação para o inverno e inicialização, e outras atividades relacionada"&amp;"s a serviços de paisagismo, conforme SOC/OES 37-3011 (onetonline.org). Horário padrão/esperado: segunda a sexta, das 6h às 18h. Oferecemos mais de 40 horas semanais, sem incluir almoço e/ou intervalos. Possibilidade de trabalho nos fins de semana e feriad"&amp;"os. Os horários de início e término, a carga horária e/ou horas extras podem variar, pois dependem de fatores como projeto/cronograma/necessidades do serviço, clima e tempo de deslocamento entre os locais de trabalho (se aplicável). Horas extras são possí"&amp;"veis, mas não obrigatórias ou garantidas. A critério exclusivo do empregador: possíveis aumentos e/ou bônus com base em fatores individuais, como desempenho no trabalho ou habilidades (não garantidos). Classificação do Cargo: 37-3011.00 - Trabalhadores de"&amp;" Paisagismo e Manutenção de Áreas Verdes. A classificação e descrição do cargo/setor inclui informações gerais sobre a posição, conforme o ONET/OES e o Sistema de Classificação Industrial da América do Norte. Consulte as Funções e a Ordem de Serviço para "&amp;"obter mais informações. Requisitos do Cargo Experiência Necessária: Sim Meses de Experiência Necessários: 3 Requisitos Especiais: Deve apresentar comprovante de autorização legal para trabalhar nos Estados Unidos. Ambiente de trabalho livre de drogas, álc"&amp;"ool e tabaco. Executar atividades físicas, como levantar, equilibrar-se, caminhar, abaixar-se, manusear, posicionar, mover e manipular materiais; usar força estática para exercer força muscular máxima para levantar, empurrar, puxar e carregar objetos de a"&amp;"té 23 kg. Todos os candidatos devem ser capazes, dispostos e qualificados para executar o trabalho descrito e devem estar disponíveis durante todo o período especificado e trabalhar em todas as áreas de atuação pretendidas. O trabalho é realizado ao ar li"&amp;"vre, exposto às intempéries. Deve ser capaz de realizar trabalho fisicamente extenuante por longos períodos, ocasionalmente em condições de calor ou frio extremos. Condições climáticas variáveis ​​se aplicam; a carga horária pode sofrer alterações (+/-), "&amp;"com possibilidade de períodos de inatividade e/ou horas extras. Número de horas por semana: 40. Horário de trabalho (início/término): 6h às 18h.")</f>
        <v>As funções podem incluir: cuidar de gramados já estabelecidos/fornecer manutenção adequada: cobertura morta, aeração, capina, rega, fertilização, poda de arbustos/árvores, aparar bordas ao redor de canteiros de flores/muros/calçadas. Seguir projetos paisagísticos: colocar grama, plantar arbustos/plantas/árvores, instalar blocos de concreto pré-moldados sem argamassa para fins paisagísticos, instalar sistemas de irrigação: incluindo preparação para o inverno e inicialização, e outras atividades relacionadas a serviços de paisagismo, conforme SOC/OES 37-3011 (onetonline.org). Horário padrão/esperado: segunda a sexta, das 6h às 18h. Oferecemos mais de 40 horas semanais, sem incluir almoço e/ou intervalos. Possibilidade de trabalho nos fins de semana e feriados. Os horários de início e término, a carga horária e/ou horas extras podem variar, pois dependem de fatores como projeto/cronograma/necessidades do serviço, clima e tempo de deslocamento entre os locais de trabalho (se aplicável). Horas extras são possíveis, mas não obrigatórias ou garantidas. A critério exclusivo do empregador: possíveis aumentos e/ou bônus com base em fatores individuais, como desempenho no trabalho ou habilidades (não garantidos). Classificação do Cargo: 37-3011.00 - Trabalhadores de Paisagismo e Manutenção de Áreas Verdes. A classificação e descrição do cargo/setor inclui informações gerais sobre a posição, conforme o ONET/OES e o Sistema de Classificação Industrial da América do Norte. Consulte as Funções e a Ordem de Serviço para obter mais informações. Requisitos do Cargo Experiência Necessária: Sim Meses de Experiência Necessários: 3 Requisitos Especiais: Deve apresentar comprovante de autorização legal para trabalhar nos Estados Unidos. Ambiente de trabalho livre de drogas, álcool e tabaco. Executar atividades físicas, como levantar, equilibrar-se, caminhar, abaixar-se, manusear, posicionar, mover e manipular materiais; usar força estática para exercer força muscular máxima para levantar, empurrar, puxar e carregar objetos de até 23 kg. Todos os candidatos devem ser capazes, dispostos e qualificados para executar o trabalho descrito e devem estar disponíveis durante todo o período especificado e trabalhar em todas as áreas de atuação pretendidas. O trabalho é realizado ao ar livre, exposto às intempéries. Deve ser capaz de realizar trabalho fisicamente extenuante por longos períodos, ocasionalmente em condições de calor ou frio extremos. Condições climáticas variáveis ​​se aplicam; a carga horária pode sofrer alterações (+/-), com possibilidade de períodos de inatividade e/ou horas extras. Número de horas por semana: 40. Horário de trabalho (início/término): 6h às 18h.</v>
      </c>
    </row>
    <row r="319" ht="20.25" customHeight="1">
      <c r="A319" s="8" t="s">
        <v>1737</v>
      </c>
      <c r="B319" s="8" t="s">
        <v>1738</v>
      </c>
      <c r="C319" s="8" t="s">
        <v>125</v>
      </c>
      <c r="D319" s="8" t="s">
        <v>306</v>
      </c>
      <c r="E319" s="9" t="s">
        <v>19</v>
      </c>
      <c r="F319" s="9" t="s">
        <v>20</v>
      </c>
      <c r="G319" s="9" t="s">
        <v>307</v>
      </c>
      <c r="H319" s="8" t="s">
        <v>1739</v>
      </c>
      <c r="I319" s="8" t="s">
        <v>1740</v>
      </c>
      <c r="J319" s="9">
        <v>19.93</v>
      </c>
      <c r="K319" s="9">
        <v>15.0</v>
      </c>
      <c r="L319" s="8" t="s">
        <v>129</v>
      </c>
      <c r="M319" s="8" t="s">
        <v>1741</v>
      </c>
      <c r="N319" s="7" t="str">
        <f>IFERROR(__xludf.DUMMYFUNCTION("GOOGLETRANSLATE(L319, ""en"", ""pt"")"),"Trabalhador de paisagismo e manutenção de jardins")</f>
        <v>Trabalhador de paisagismo e manutenção de jardins</v>
      </c>
      <c r="O319" s="7" t="str">
        <f>IFERROR(__xludf.DUMMYFUNCTION("IF(M319="""","""",GOOGLETRANSLATE(M319,""en"",""pt""))"),"As funções incluem a instalação de árvores, arbustos ou flores durante o período de dormência, seguindo o padrão de design apropriado. Isso inclui descarregar materiais, cavar buracos para o sistema radicular, cobrir os buracos adequadamente e, às vezes, "&amp;"colocar grama em placas, plantar sementes de grama ou conectar a irrigação. Também envolve a remoção de folhas, plantio de sementes e palha, aeração do gramado, plantio de arbustos, escavação, rastelagem e instalação de blocos de concreto pré-moldados sem"&amp;" argamassa. Os trabalhadores podem coletar e remover lixo, regar gramados, árvores e plantas semeadas, além de podar árvores, arbustos ou sebes. Podem operar equipamentos motorizados e dirigir veículos até os locais dos clientes. As tarefas podem incluir "&amp;"colocação de grama em placas, corte de grama, rega de plantas e gramados, transplante de plantas, fertilização, escavação, rastelagem e instalação de aspersores. Os funcionários cavarão valas com no máximo 15 a 30 cm de profundidade e 15 a 30 cm de largur"&amp;"a com pás e ferramentas manuais. Essas valas são usadas para acomodar a tubulação utilizada na instalação de sistemas de irrigação. Toda a poda/aparamento será feita no solo. Os trabalhadores não realizarão nenhuma atividade de poda ou corte acima do níve"&amp;"l do solo. O trabalhador poderá transportar outros trabalhadores de e para os locais de trabalho ocasionalmente, porém essa não será sua principal função. Classificação da Função: 37-3011.00 - Trabalhadores de Paisagismo e Manutenção de Jardins. A classif"&amp;"icação e descrição da função/setor inclui informações gerais sobre o cargo, de acordo com o ONET/OES e o Sistema de Classificação Industrial da América do Norte (NAICS). Consulte as Funções e a Ordem de Serviço para obter mais informações. Requisitos da F"&amp;"unção Experiência Necessária: Sim Meses de Experiência Necessários: 3 Requisitos Especiais: 3 meses de experiência em paisagismo são necessários. Carteira de habilitação válida é obrigatória. O candidato deve ser capaz de levantar 23 kg, realizar moviment"&amp;"os repetitivos, empurrar/puxar com frequência, caminhar bastante, agachar-se frequentemente e estar exposto a temperaturas extremas. De acordo com a legislação estadual de Michigan, Lei 338 de Licença Médica Remunerada, os empregadores são obrigados a for"&amp;"necer licença médica remunerada aos seus funcionários. A quantidade de licença médica remunerada concedida pode variar dependendo do porte da empresa. Número de horas por semana: 40 Horário de trabalho (início/término): 7h00 - 16h00")</f>
        <v>As funções incluem a instalação de árvores, arbustos ou flores durante o período de dormência, seguindo o padrão de design apropriado. Isso inclui descarregar materiais, cavar buracos para o sistema radicular, cobrir os buracos adequadamente e, às vezes, colocar grama em placas, plantar sementes de grama ou conectar a irrigação. Também envolve a remoção de folhas, plantio de sementes e palha, aeração do gramado, plantio de arbustos, escavação, rastelagem e instalação de blocos de concreto pré-moldados sem argamassa. Os trabalhadores podem coletar e remover lixo, regar gramados, árvores e plantas semeadas, além de podar árvores, arbustos ou sebes. Podem operar equipamentos motorizados e dirigir veículos até os locais dos clientes. As tarefas podem incluir colocação de grama em placas, corte de grama, rega de plantas e gramados, transplante de plantas, fertilização, escavação, rastelagem e instalação de aspersores. Os funcionários cavarão valas com no máximo 15 a 30 cm de profundidade e 15 a 30 cm de largura com pás e ferramentas manuais. Essas valas são usadas para acomodar a tubulação utilizada na instalação de sistemas de irrigação. Toda a poda/aparamento será feita no solo. Os trabalhadores não realizarão nenhuma atividade de poda ou corte acima do nível do solo. O trabalhador poderá transportar outros trabalhadores de e para os locais de trabalho ocasionalmente, porém essa não será sua principal função. Classificação da Função: 37-3011.00 - Trabalhadores de Paisagismo e Manutenção de Jardins. A classificação e descrição da função/setor inclui informações gerais sobre o cargo, de acordo com o ONET/OES e o Sistema de Classificação Industrial da América do Norte (NAICS). Consulte as Funções e a Ordem de Serviço para obter mais informações. Requisitos da Função Experiência Necessária: Sim Meses de Experiência Necessários: 3 Requisitos Especiais: 3 meses de experiência em paisagismo são necessários. Carteira de habilitação válida é obrigatória. O candidato deve ser capaz de levantar 23 kg, realizar movimentos repetitivos, empurrar/puxar com frequência, caminhar bastante, agachar-se frequentemente e estar exposto a temperaturas extremas. De acordo com a legislação estadual de Michigan, Lei 338 de Licença Médica Remunerada, os empregadores são obrigados a fornecer licença médica remunerada aos seus funcionários. A quantidade de licença médica remunerada concedida pode variar dependendo do porte da empresa. Número de horas por semana: 40 Horário de trabalho (início/término): 7h00 - 16h00</v>
      </c>
    </row>
    <row r="320" ht="20.25" customHeight="1">
      <c r="A320" s="3" t="s">
        <v>1742</v>
      </c>
      <c r="B320" s="3" t="s">
        <v>1743</v>
      </c>
      <c r="C320" s="3" t="s">
        <v>125</v>
      </c>
      <c r="D320" s="3" t="s">
        <v>18</v>
      </c>
      <c r="E320" s="4" t="s">
        <v>44</v>
      </c>
      <c r="F320" s="4" t="s">
        <v>20</v>
      </c>
      <c r="G320" s="4" t="s">
        <v>146</v>
      </c>
      <c r="H320" s="3" t="s">
        <v>1744</v>
      </c>
      <c r="I320" s="3" t="s">
        <v>1745</v>
      </c>
      <c r="J320" s="4">
        <v>22.45</v>
      </c>
      <c r="K320" s="4">
        <v>21.0</v>
      </c>
      <c r="L320" s="3" t="s">
        <v>262</v>
      </c>
      <c r="M320" s="3" t="s">
        <v>1746</v>
      </c>
      <c r="N320" s="7" t="str">
        <f>IFERROR(__xludf.DUMMYFUNCTION("GOOGLETRANSLATE(L320, ""en"", ""pt"")"),"Operário da construção civil")</f>
        <v>Operário da construção civil</v>
      </c>
      <c r="O320" s="7" t="str">
        <f>IFERROR(__xludf.DUMMYFUNCTION("IF(M320="""","""",GOOGLETRANSLATE(M320,""en"",""pt""))"),"Executar tarefas que envolvam trabalho físico em canteiros de obras: cavar, varrer, rastelar e compactar. Operar ferramentas manuais e elétricas de todos os tipos: martelos pneumáticos, compactadores de solo, betoneiras, pequenos guindastes mecânicos, equ"&amp;"ipamentos de topografia e medição, e uma variedade de outros equipamentos e instrumentos. Limpar e preparar locais, cavar valas, instalar escoras para sustentar as laterais das escavações, montar andaimes e limpar entulhos, detritos e outros resíduos. Aux"&amp;"iliar outros trabalhadores especializados. Os trabalhadores podem auxiliar outros trabalhadores especializados na preparação dos locais de trabalho; coletando, carregando, descarregando e transportando ferramentas, materiais e equipamentos; limpando áreas"&amp;" de trabalho; e executando tarefas manuais associadas a projetos de construção. Utilizar ferramentas manuais comuns e ferramentas elétricas básicas, incluindo pás, rastelos, carrinhos de mão, vassouras, furadeiras, compactadores, níveis e instrumentos de "&amp;"medição. Os materiais manuseados podem incluir madeira, fôrmas de concreto, cascalho, areia, cimento, concreto, vergalhões, tubos e outros materiais de construção comuns. Os trabalhadores podem operar equipamentos básicos de medição e marcação, incluindo "&amp;"trenas, níveis a laser, miras de nivelamento e linhas de prumo, para auxiliar supervisores e outros funcionários da construção civil na medição de distâncias, verificação de níveis e marcação de áreas de trabalho. Classificação da função: 47-2061.00 - Aux"&amp;"iliares de Construção Civil. A classificação e descrição da função/setor inclui informações gerais sobre o cargo, de acordo com o ONET/OES e o Sistema de Classificação Industrial da América do Norte (NAICS). Consulte as Funções e a Ordem de Serviço para o"&amp;"bter mais informações. Requisitos da vaga: Experiência exigida: Sim. Meses de experiência exigidos: 3. Requisitos especiais: Capacidade de levantar 23 kg. Exame toxicológico pós-admissão por conta do empregador. Movimentos repetitivos. Esforço físico inte"&amp;"nso (empurrar/puxar). Caminhada extensa. Exposição a temperaturas extremas. 3 meses de experiência em construção de estradas ou concreto. Número de horas por semana: 40. Horário de trabalho (início/término): 7h às 16h.")</f>
        <v>Executar tarefas que envolvam trabalho físico em canteiros de obras: cavar, varrer, rastelar e compactar. Operar ferramentas manuais e elétricas de todos os tipos: martelos pneumáticos, compactadores de solo, betoneiras, pequenos guindastes mecânicos, equipamentos de topografia e medição, e uma variedade de outros equipamentos e instrumentos. Limpar e preparar locais, cavar valas, instalar escoras para sustentar as laterais das escavações, montar andaimes e limpar entulhos, detritos e outros resíduos. Auxiliar outros trabalhadores especializados. Os trabalhadores podem auxiliar outros trabalhadores especializados na preparação dos locais de trabalho; coletando, carregando, descarregando e transportando ferramentas, materiais e equipamentos; limpando áreas de trabalho; e executando tarefas manuais associadas a projetos de construção. Utilizar ferramentas manuais comuns e ferramentas elétricas básicas, incluindo pás, rastelos, carrinhos de mão, vassouras, furadeiras, compactadores, níveis e instrumentos de medição. Os materiais manuseados podem incluir madeira, fôrmas de concreto, cascalho, areia, cimento, concreto, vergalhões, tubos e outros materiais de construção comuns. Os trabalhadores podem operar equipamentos básicos de medição e marcação, incluindo trenas, níveis a laser, miras de nivelamento e linhas de prumo, para auxiliar supervisores e outros funcionários da construção civil na medição de distâncias, verificação de níveis e marcação de áreas de trabalho. Classificação da função: 47-2061.00 - Auxiliares de Construção Civil. A classificação e descrição da função/setor inclui informações gerais sobre o cargo, de acordo com o ONET/OES e o Sistema de Classificação Industrial da América do Norte (NAICS). Consulte as Funções e a Ordem de Serviço para obter mais informações. Requisitos da vaga: Experiência exigida: Sim. Meses de experiência exigidos: 3. Requisitos especiais: Capacidade de levantar 23 kg. Exame toxicológico pós-admissão por conta do empregador. Movimentos repetitivos. Esforço físico intenso (empurrar/puxar). Caminhada extensa. Exposição a temperaturas extremas. 3 meses de experiência em construção de estradas ou concreto. Número de horas por semana: 40. Horário de trabalho (início/término): 7h às 16h.</v>
      </c>
    </row>
    <row r="321" ht="20.25" customHeight="1">
      <c r="A321" s="8" t="s">
        <v>1747</v>
      </c>
      <c r="B321" s="8" t="s">
        <v>1748</v>
      </c>
      <c r="C321" s="8" t="s">
        <v>662</v>
      </c>
      <c r="D321" s="8" t="s">
        <v>299</v>
      </c>
      <c r="E321" s="9" t="s">
        <v>44</v>
      </c>
      <c r="F321" s="9" t="s">
        <v>20</v>
      </c>
      <c r="G321" s="9" t="s">
        <v>146</v>
      </c>
      <c r="H321" s="8" t="s">
        <v>1749</v>
      </c>
      <c r="I321" s="8" t="s">
        <v>1750</v>
      </c>
      <c r="J321" s="9">
        <v>22.32</v>
      </c>
      <c r="K321" s="9">
        <v>5.0</v>
      </c>
      <c r="L321" s="8" t="s">
        <v>59</v>
      </c>
      <c r="M321" s="8" t="s">
        <v>1751</v>
      </c>
      <c r="N321" s="7" t="str">
        <f>IFERROR(__xludf.DUMMYFUNCTION("GOOGLETRANSLATE(L321, ""en"", ""pt"")"),"Trabalhador de paisagismo")</f>
        <v>Trabalhador de paisagismo</v>
      </c>
      <c r="O321" s="7" t="str">
        <f>IFERROR(__xludf.DUMMYFUNCTION("IF(M321="""","""",GOOGLETRANSLATE(M321,""en"",""pt""))"),"As funções podem incluir: cuidar de gramados já estabelecidos, realizando atividades como cobertura morta, aeração, capina, remoção de palha, lixo e detritos. Operar alguns equipamentos para cortar ou aparar a grama. Seguir projetos paisagísticos para det"&amp;"erminar onde colocar grama, plantar árvores, arbustos e flores. Instalar sistemas de drenagem e irrigação, além de blocos de concreto pré-moldado para fins paisagísticos. Podar árvores, arbustos ou cercas vivas. Regar árvores, arbustos, flores e gramados,"&amp;" e outras atividades relacionadas a serviços de paisagismo, conforme SOC/OES 37-3011 (onetonline.org). Horário padrão/esperado: segunda a sexta, das 6h às 18h. Oferecemos mais de 40 horas semanais, sem incluir almoço e/ou intervalos. Possibilidade de trab"&amp;"alho em fins de semana e feriados. Os horários de início e término, a carga horária e/ou horas extras podem variar, dependendo de fatores como projetos/cronograma/necessidades do serviço, condições climáticas e tempo de deslocamento entre os locais de tra"&amp;"balho (se aplicável). Possibilidade de horas extras, mas não obrigatórias nem garantidas. A critério exclusivo do empregador: possíveis aumentos e/ou bônus com base em fatores individuais, como desempenho ou habilidades (não garantidos). Classificação da "&amp;"vaga: 37-3011.00 - Trabalhadores de Paisagismo e Manutenção de Jardins. A classificação e descrição da vaga/setor incluem informações gerais sobre o cargo, conforme o ONET/OES e o Sistema de Classificação Industrial da América do Norte. Consulte as Funçõe"&amp;"s e a Ordem de Serviço para obter mais informações. Requisitos da vaga: Experiência exigida: Não. Requisitos especiais: É necessário ter 18 anos devido a questões de seguro. É necessário apresentar comprovante de autorização legal para trabalhar nos Estad"&amp;"os Unidos. Ambiente de trabalho livre de drogas, álcool e tabaco. Executar atividades físicas como: levantar, equilibrar-se, caminhar, abaixar-se, manusear, posicionar, mover e manipular materiais; usar força estática para exercer força muscular máxima pa"&amp;"ra levantar, empurrar, puxar e carregar objetos de até 27 kg (possivelmente com a ajuda de outra pessoa). Todos os candidatos devem ser capazes, dispostos e qualificados para executar o trabalho descrito e devem estar disponíveis durante todo o período es"&amp;"pecificado e para trabalhar em todas as áreas da vaga. O trabalho é realizado ao ar livre, exposto às intempéries; o candidato deve ser capaz de realizar trabalho fisicamente extenuante por longos períodos, ocasionalmente em calor ou frio extremos. As con"&amp;"dições climáticas são variáveis; a carga horária pode sofrer alterações (+/-), com possibilidade de períodos de inatividade e/ou horas extras. Número de horas por semana: 40. Horário de trabalho (início/término): 6h às 18h.")</f>
        <v>As funções podem incluir: cuidar de gramados já estabelecidos, realizando atividades como cobertura morta, aeração, capina, remoção de palha, lixo e detritos. Operar alguns equipamentos para cortar ou aparar a grama. Seguir projetos paisagísticos para determinar onde colocar grama, plantar árvores, arbustos e flores. Instalar sistemas de drenagem e irrigação, além de blocos de concreto pré-moldado para fins paisagísticos. Podar árvores, arbustos ou cercas vivas. Regar árvores, arbustos, flores e gramados, e outras atividades relacionadas a serviços de paisagismo, conforme SOC/OES 37-3011 (onetonline.org). Horário padrão/esperado: segunda a sexta, das 6h às 18h. Oferecemos mais de 40 horas semanais, sem incluir almoço e/ou intervalos. Possibilidade de trabalho em fins de semana e feriados. Os horários de início e término, a carga horária e/ou horas extras podem variar, dependendo de fatores como projetos/cronograma/necessidades do serviço, condições climáticas e tempo de deslocamento entre os locais de trabalho (se aplicável). Possibilidade de horas extras, mas não obrigatórias nem garantidas. A critério exclusivo do empregador: possíveis aumentos e/ou bônus com base em fatores individuais, como desempenho ou habilidades (não garantidos). Classificação da vaga: 37-3011.00 - Trabalhadores de Paisagismo e Manutenção de Jardins. A classificação e descrição da vaga/setor incluem informações gerais sobre o cargo, conforme o ONET/OES e o Sistema de Classificação Industrial da América do Norte. Consulte as Funções e a Ordem de Serviço para obter mais informações. Requisitos da vaga: Experiência exigida: Não. Requisitos especiais: É necessário ter 18 anos devido a questões de seguro. É necessário apresentar comprovante de autorização legal para trabalhar nos Estados Unidos. Ambiente de trabalho livre de drogas, álcool e tabaco. Executar atividades físicas como: levantar, equilibrar-se, caminhar, abaixar-se, manusear, posicionar, mover e manipular materiais; usar força estática para exercer força muscular máxima para levantar, empurrar, puxar e carregar objetos de até 27 kg (possivelmente com a ajuda de outra pessoa). Todos os candidatos devem ser capazes, dispostos e qualificados para executar o trabalho descrito e devem estar disponíveis durante todo o período especificado e para trabalhar em todas as áreas da vaga. O trabalho é realizado ao ar livre, exposto às intempéries; o candidato deve ser capaz de realizar trabalho fisicamente extenuante por longos períodos, ocasionalmente em calor ou frio extremos. As condições climáticas são variáveis; a carga horária pode sofrer alterações (+/-), com possibilidade de períodos de inatividade e/ou horas extras. Número de horas por semana: 40. Horário de trabalho (início/término): 6h às 18h.</v>
      </c>
    </row>
    <row r="322" ht="20.25" customHeight="1">
      <c r="A322" s="3" t="s">
        <v>1752</v>
      </c>
      <c r="B322" s="3" t="s">
        <v>1753</v>
      </c>
      <c r="C322" s="3" t="s">
        <v>125</v>
      </c>
      <c r="D322" s="3" t="s">
        <v>18</v>
      </c>
      <c r="E322" s="4" t="s">
        <v>19</v>
      </c>
      <c r="F322" s="4" t="s">
        <v>20</v>
      </c>
      <c r="G322" s="4" t="s">
        <v>146</v>
      </c>
      <c r="H322" s="3" t="s">
        <v>1754</v>
      </c>
      <c r="I322" s="3" t="s">
        <v>1755</v>
      </c>
      <c r="J322" s="4">
        <v>19.47</v>
      </c>
      <c r="K322" s="4">
        <v>8.0</v>
      </c>
      <c r="L322" s="3" t="s">
        <v>59</v>
      </c>
      <c r="M322" s="3" t="s">
        <v>1756</v>
      </c>
      <c r="N322" s="7" t="str">
        <f>IFERROR(__xludf.DUMMYFUNCTION("GOOGLETRANSLATE(L322, ""en"", ""pt"")"),"Trabalhador de paisagismo")</f>
        <v>Trabalhador de paisagismo</v>
      </c>
      <c r="O322" s="7" t="str">
        <f>IFERROR(__xludf.DUMMYFUNCTION("IF(M322="""","""",GOOGLETRANSLATE(M322,""en"",""pt""))"),"As funções incluem colocação de grama em rolo, corte de grama, poda de árvores, arbustos e plantas, plantio de plantas, árvores e arbustos, rega de plantas e gramados, transplante de plantas, fertilização, escavação, rastelagem, instalação de aspersores e"&amp;" instalação de blocos de concreto pré-moldados sem argamassa. Os trabalhadores podem coletar e remover lixo, operar equipamentos motorizados e dirigir veículos da empresa até os locais dos clientes. Todos os veículos a serem conduzidos são caminhonetes da"&amp;" empresa, com capacidade de Peso Bruto Total (PBT) inferior a 11.793 kg (26.000 lbs). Os equipamentos motorizados utilizados incluem cortadores de grama, roçadeiras e aparadores. Toda a poda será realizada no solo. Os trabalhadores não realizarão nenhuma "&amp;"atividade de poda acima do nível do solo. O trabalhador poderá transportar outros trabalhadores de e para os locais de trabalho ocasionalmente, porém essa não será sua função principal. Os trabalhadores podem ocasionalmente transportar materiais, ferramen"&amp;"tas e equipamentos de paisagismo de e para os locais de trabalho, incluindo cobertura morta, plantas em vasos, pás, ancinhos, cortadores de grama, sopradores, aparadores, roçadeiras, pequenos tratores e equipamentos similares de paisagismo. Nenhum materia"&amp;"l perigoso será transportado pelos trabalhadores. Todos os veículos e equipamentos operados têm peso bruto total inferior a 26.000 libras (aproximadamente 11.800 kg), incluindo quaisquer reboques acoplados ou materiais transportados. Classificação do Carg"&amp;"o: 37-3011.00 - Trabalhadores de Paisagismo e Manutenção de Áreas Verdes. A classificação e descrição do cargo/setor inclui informações gerais sobre a posição, de acordo com o ONET/OES e o Sistema de Classificação Industrial da América do Norte (NAICS). C"&amp;"onsulte as Funções e a Ordem de Serviço para obter mais informações. Requisitos do Cargo Experiência Necessária: Sim Meses de Experiência Necessários: 3 Requisitos Especiais: Deve ser capaz de levantar 23 kg, realizar movimentos repetitivos, empurrar/puxa"&amp;"r extensivamente, caminhar extensivamente, agachar-se frequentemente, exposição a temperaturas extremas, 3 meses de experiência exigidos. Número de horas por semana: 40 Horário de trabalho (início/término): 7h00 - 16h00")</f>
        <v>As funções incluem colocação de grama em rolo, corte de grama, poda de árvores, arbustos e plantas, plantio de plantas, árvores e arbustos, rega de plantas e gramados, transplante de plantas, fertilização, escavação, rastelagem, instalação de aspersores e instalação de blocos de concreto pré-moldados sem argamassa. Os trabalhadores podem coletar e remover lixo, operar equipamentos motorizados e dirigir veículos da empresa até os locais dos clientes. Todos os veículos a serem conduzidos são caminhonetes da empresa, com capacidade de Peso Bruto Total (PBT) inferior a 11.793 kg (26.000 lbs). Os equipamentos motorizados utilizados incluem cortadores de grama, roçadeiras e aparadores. Toda a poda será realizada no solo. Os trabalhadores não realizarão nenhuma atividade de poda acima do nível do solo. O trabalhador poderá transportar outros trabalhadores de e para os locais de trabalho ocasionalmente, porém essa não será sua função principal. Os trabalhadores podem ocasionalmente transportar materiais, ferramentas e equipamentos de paisagismo de e para os locais de trabalho, incluindo cobertura morta, plantas em vasos, pás, ancinhos, cortadores de grama, sopradores, aparadores, roçadeiras, pequenos tratores e equipamentos similares de paisagismo. Nenhum material perigoso será transportado pelos trabalhadores. Todos os veículos e equipamentos operados têm peso bruto total inferior a 26.000 libras (aproximadamente 11.800 kg), incluindo quaisquer reboques acoplados ou materiais transportados. Classificação do Cargo: 37-3011.00 - Trabalhadores de Paisagismo e Manutenção de Áreas Verdes. A classificação e descrição do cargo/setor inclui informações gerais sobre a posição, de acordo com o ONET/OES e o Sistema de Classificação Industrial da América do Norte (NAICS). Consulte as Funções e a Ordem de Serviço para obter mais informações. Requisitos do Cargo Experiência Necessária: Sim Meses de Experiência Necessários: 3 Requisitos Especiais: Deve ser capaz de levantar 23 kg, realizar movimentos repetitivos, empurrar/puxar extensivamente, caminhar extensivamente, agachar-se frequentemente, exposição a temperaturas extremas, 3 meses de experiência exigidos. Número de horas por semana: 40 Horário de trabalho (início/término): 7h00 - 16h00</v>
      </c>
    </row>
    <row r="323" ht="20.25" customHeight="1">
      <c r="A323" s="8" t="s">
        <v>1757</v>
      </c>
      <c r="B323" s="8" t="s">
        <v>1758</v>
      </c>
      <c r="C323" s="8" t="s">
        <v>125</v>
      </c>
      <c r="D323" s="8" t="s">
        <v>306</v>
      </c>
      <c r="E323" s="9" t="s">
        <v>19</v>
      </c>
      <c r="F323" s="9" t="s">
        <v>20</v>
      </c>
      <c r="G323" s="9" t="s">
        <v>902</v>
      </c>
      <c r="H323" s="8" t="s">
        <v>1759</v>
      </c>
      <c r="I323" s="8" t="s">
        <v>1760</v>
      </c>
      <c r="J323" s="9">
        <v>22.41</v>
      </c>
      <c r="K323" s="9">
        <v>6.0</v>
      </c>
      <c r="L323" s="8" t="s">
        <v>129</v>
      </c>
      <c r="M323" s="8" t="s">
        <v>1761</v>
      </c>
      <c r="N323" s="7" t="str">
        <f>IFERROR(__xludf.DUMMYFUNCTION("GOOGLETRANSLATE(L323, ""en"", ""pt"")"),"Trabalhador de paisagismo e manutenção de jardins")</f>
        <v>Trabalhador de paisagismo e manutenção de jardins</v>
      </c>
      <c r="O323" s="7" t="str">
        <f>IFERROR(__xludf.DUMMYFUNCTION("IF(M323="""","""",GOOGLETRANSLATE(M323,""en"",""pt""))"),"As funções incluem a instalação de árvores, arbustos ou flores durante o período de dormência, seguindo o padrão de design apropriado. Isso inclui descarregar materiais, cavar buracos para o sistema radicular, cobrir os buracos adequadamente e, às vezes, "&amp;"colocar grama em placas, plantar sementes de grama ou conectar a irrigação. Também envolve a remoção de folhas, plantio de sementes e palha, aeração do gramado, plantio de arbustos, escavação, rastelagem e instalação de blocos de concreto pré-moldados sem"&amp;" argamassa. Os trabalhadores podem coletar e remover lixo, regar gramados, árvores e plantas semeadas, além de podar árvores, arbustos ou sebes. Podem operar equipamentos motorizados e dirigir veículos até os locais dos clientes. As tarefas podem incluir "&amp;"colocação de grama em placas, corte de grama, rega de plantas e gramados, transplante de plantas, fertilização, escavação, rastelagem e instalação de aspersores. Os funcionários cavarão valas com no máximo 15 a 30 cm de profundidade e 15 a 30 cm de largur"&amp;"a com pás e ferramentas manuais. Essas valas são usadas para acomodar a tubulação utilizada na instalação de sistemas de irrigação. Toda a poda/aparamento será feita no solo. Os trabalhadores não realizarão nenhuma atividade de poda ou corte acima do níve"&amp;"l do solo. O trabalhador poderá transportar outros trabalhadores de e para os locais de trabalho ocasionalmente, porém esta não será sua principal função. Classificação da Função: 53-3053.00 - Motoristas de Transporte e Chauffeurs. A classificação e descr"&amp;"ição da função/setor inclui informações gerais sobre o cargo, de acordo com o ONET/OES e o Sistema de Classificação Industrial da América do Norte (NAICS). Consulte as Funções e a Ordem de Serviço para obter mais informações. Requisitos da Função: Experiê"&amp;"ncia Necessária: Sim. Meses de Experiência Necessários: 3. Requisitos Especiais: 3 meses de experiência em paisagismo. Deve ser capaz de levantar 34 kg, realizar movimentos repetitivos, empurrar/puxar com frequência, caminhar bastante, agachar-se frequent"&amp;"emente e estar exposto a temperaturas extremas. De acordo com a legislação estadual de Michigan, Lei 338 de Licença Médica Remunerada, os empregadores são obrigados a fornecer licença médica remunerada aos seus funcionários. A quantidade de licença médica"&amp;" remunerada concedida pode variar dependendo do porte da empresa. Número de horas por semana: 40 Horário de trabalho (início/término): 7h00 - 16h00")</f>
        <v>As funções incluem a instalação de árvores, arbustos ou flores durante o período de dormência, seguindo o padrão de design apropriado. Isso inclui descarregar materiais, cavar buracos para o sistema radicular, cobrir os buracos adequadamente e, às vezes, colocar grama em placas, plantar sementes de grama ou conectar a irrigação. Também envolve a remoção de folhas, plantio de sementes e palha, aeração do gramado, plantio de arbustos, escavação, rastelagem e instalação de blocos de concreto pré-moldados sem argamassa. Os trabalhadores podem coletar e remover lixo, regar gramados, árvores e plantas semeadas, além de podar árvores, arbustos ou sebes. Podem operar equipamentos motorizados e dirigir veículos até os locais dos clientes. As tarefas podem incluir colocação de grama em placas, corte de grama, rega de plantas e gramados, transplante de plantas, fertilização, escavação, rastelagem e instalação de aspersores. Os funcionários cavarão valas com no máximo 15 a 30 cm de profundidade e 15 a 30 cm de largura com pás e ferramentas manuais. Essas valas são usadas para acomodar a tubulação utilizada na instalação de sistemas de irrigação. Toda a poda/aparamento será feita no solo. Os trabalhadores não realizarão nenhuma atividade de poda ou corte acima do nível do solo. O trabalhador poderá transportar outros trabalhadores de e para os locais de trabalho ocasionalmente, porém esta não será sua principal função. Classificação da Função: 53-3053.00 - Motoristas de Transporte e Chauffeurs. A classificação e descrição da função/setor inclui informações gerais sobre o cargo, de acordo com o ONET/OES e o Sistema de Classificação Industrial da América do Norte (NAICS). Consulte as Funções e a Ordem de Serviço para obter mais informações. Requisitos da Função: Experiência Necessária: Sim. Meses de Experiência Necessários: 3. Requisitos Especiais: 3 meses de experiência em paisagismo. Deve ser capaz de levantar 34 kg, realizar movimentos repetitivos, empurrar/puxar com frequência, caminhar bastante, agachar-se frequentemente e estar exposto a temperaturas extremas. De acordo com a legislação estadual de Michigan, Lei 338 de Licença Médica Remunerada, os empregadores são obrigados a fornecer licença médica remunerada aos seus funcionários. A quantidade de licença médica remunerada concedida pode variar dependendo do porte da empresa. Número de horas por semana: 40 Horário de trabalho (início/término): 7h00 - 16h00</v>
      </c>
    </row>
    <row r="324" ht="20.25" customHeight="1">
      <c r="A324" s="3" t="s">
        <v>1762</v>
      </c>
      <c r="B324" s="3" t="s">
        <v>1763</v>
      </c>
      <c r="C324" s="3" t="s">
        <v>125</v>
      </c>
      <c r="D324" s="3" t="s">
        <v>55</v>
      </c>
      <c r="E324" s="4" t="s">
        <v>19</v>
      </c>
      <c r="F324" s="4" t="s">
        <v>20</v>
      </c>
      <c r="G324" s="4" t="s">
        <v>1764</v>
      </c>
      <c r="H324" s="3" t="s">
        <v>1765</v>
      </c>
      <c r="I324" s="3" t="s">
        <v>1766</v>
      </c>
      <c r="J324" s="4">
        <v>18.31</v>
      </c>
      <c r="K324" s="4">
        <v>36.0</v>
      </c>
      <c r="L324" s="3" t="s">
        <v>129</v>
      </c>
      <c r="M324" s="3" t="s">
        <v>1767</v>
      </c>
      <c r="N324" s="7" t="str">
        <f>IFERROR(__xludf.DUMMYFUNCTION("GOOGLETRANSLATE(L324, ""en"", ""pt"")"),"Trabalhador de paisagismo e manutenção de jardins")</f>
        <v>Trabalhador de paisagismo e manutenção de jardins</v>
      </c>
      <c r="O324" s="7" t="str">
        <f>IFERROR(__xludf.DUMMYFUNCTION("IF(M324="""","""",GOOGLETRANSLATE(M324,""en"",""pt""))"),"As funções incluem a instalação de árvores, arbustos ou flores durante o período de dormência, seguindo o padrão de design apropriado. Isso inclui descarregar materiais, cavar buracos para o sistema radicular, cobrir os buracos adequadamente e, às vezes, "&amp;"colocar grama em placas, plantar sementes de grama ou conectar a irrigação. Também envolve a remoção de folhas, plantio de sementes e palha, aeração do gramado, plantio de arbustos, escavação, rastelagem e instalação de blocos de concreto pré-moldados sem"&amp;" argamassa. Os trabalhadores podem coletar e remover lixo, regar gramados, árvores e plantas semeadas, além de podar árvores, arbustos ou sebes. Podem operar equipamentos motorizados e dirigir veículos até os locais dos clientes. As tarefas podem incluir "&amp;"colocação de grama em placas, corte de grama, rega de plantas e gramados, transplante de plantas, fertilização, escavação, rastelagem e instalação de aspersores. Os funcionários cavarão valas com no máximo 15 a 30 cm de profundidade e 15 a 30 cm de largur"&amp;"a com pás e ferramentas manuais. Essas valas são usadas para acomodar a tubulação utilizada na instalação de sistemas de irrigação. Toda a poda/aparamento será feita no solo. Os trabalhadores não realizarão nenhuma atividade de poda ou corte acima do níve"&amp;"l do solo. O trabalhador poderá transportar outros trabalhadores de e para os locais de trabalho ocasionalmente, porém essa não será sua principal função. Classificação da Função: 37-3011.00 - Trabalhadores de Paisagismo e Manutenção de Jardins. A classif"&amp;"icação e descrição da função/setor inclui informações gerais sobre o cargo, de acordo com o ONET/OES e o Sistema de Classificação Industrial da América do Norte (NAICS). Consulte as Funções e a Ordem de Serviço para obter mais informações. Requisitos da F"&amp;"unção Experiência Necessária: Não. Requisitos Especiais: Deve ser capaz de levantar 23 kg, realizar movimentos repetitivos, empurrar/puxar com frequência, caminhar bastante, agachar-se frequentemente e estar exposto a temperaturas extremas. Carteira de ha"&amp;"bilitação válida é obrigatória. Número de Horas por Semana: 40. Horário de Trabalho (Início/Término): 7h às 16h.")</f>
        <v>As funções incluem a instalação de árvores, arbustos ou flores durante o período de dormência, seguindo o padrão de design apropriado. Isso inclui descarregar materiais, cavar buracos para o sistema radicular, cobrir os buracos adequadamente e, às vezes, colocar grama em placas, plantar sementes de grama ou conectar a irrigação. Também envolve a remoção de folhas, plantio de sementes e palha, aeração do gramado, plantio de arbustos, escavação, rastelagem e instalação de blocos de concreto pré-moldados sem argamassa. Os trabalhadores podem coletar e remover lixo, regar gramados, árvores e plantas semeadas, além de podar árvores, arbustos ou sebes. Podem operar equipamentos motorizados e dirigir veículos até os locais dos clientes. As tarefas podem incluir colocação de grama em placas, corte de grama, rega de plantas e gramados, transplante de plantas, fertilização, escavação, rastelagem e instalação de aspersores. Os funcionários cavarão valas com no máximo 15 a 30 cm de profundidade e 15 a 30 cm de largura com pás e ferramentas manuais. Essas valas são usadas para acomodar a tubulação utilizada na instalação de sistemas de irrigação. Toda a poda/aparamento será feita no solo. Os trabalhadores não realizarão nenhuma atividade de poda ou corte acima do nível do solo. O trabalhador poderá transportar outros trabalhadores de e para os locais de trabalho ocasionalmente, porém essa não será sua principal função. Classificação da Função: 37-3011.00 - Trabalhadores de Paisagismo e Manutenção de Jardins. A classificação e descrição da função/setor inclui informações gerais sobre o cargo, de acordo com o ONET/OES e o Sistema de Classificação Industrial da América do Norte (NAICS). Consulte as Funções e a Ordem de Serviço para obter mais informações. Requisitos da Função Experiência Necessária: Não. Requisitos Especiais: Deve ser capaz de levantar 23 kg, realizar movimentos repetitivos, empurrar/puxar com frequência, caminhar bastante, agachar-se frequentemente e estar exposto a temperaturas extremas. Carteira de habilitação válida é obrigatória. Número de Horas por Semana: 40. Horário de Trabalho (Início/Término): 7h às 16h.</v>
      </c>
    </row>
    <row r="325" ht="20.25" customHeight="1">
      <c r="A325" s="8" t="s">
        <v>1768</v>
      </c>
      <c r="B325" s="8" t="s">
        <v>1769</v>
      </c>
      <c r="C325" s="8" t="s">
        <v>125</v>
      </c>
      <c r="D325" s="8" t="s">
        <v>109</v>
      </c>
      <c r="E325" s="9" t="s">
        <v>19</v>
      </c>
      <c r="F325" s="9" t="s">
        <v>20</v>
      </c>
      <c r="G325" s="9" t="s">
        <v>56</v>
      </c>
      <c r="H325" s="8" t="s">
        <v>1770</v>
      </c>
      <c r="I325" s="8" t="s">
        <v>1771</v>
      </c>
      <c r="J325" s="9">
        <v>18.69</v>
      </c>
      <c r="K325" s="9">
        <v>18.0</v>
      </c>
      <c r="L325" s="8" t="s">
        <v>129</v>
      </c>
      <c r="M325" s="8" t="s">
        <v>1772</v>
      </c>
      <c r="N325" s="7" t="str">
        <f>IFERROR(__xludf.DUMMYFUNCTION("GOOGLETRANSLATE(L325, ""en"", ""pt"")"),"Trabalhador de paisagismo e manutenção de jardins")</f>
        <v>Trabalhador de paisagismo e manutenção de jardins</v>
      </c>
      <c r="O325" s="7" t="str">
        <f>IFERROR(__xludf.DUMMYFUNCTION("IF(M325="""","""",GOOGLETRANSLATE(M325,""en"",""pt""))"),"As funções incluem a instalação de árvores, arbustos ou flores durante o período de dormência, seguindo o padrão de design apropriado. Isso inclui descarregar materiais, cavar buracos para o sistema radicular, cobrir os buracos adequadamente e, às vezes, "&amp;"colocar grama em placas, plantar sementes de grama ou conectar a irrigação. Também envolve a remoção de folhas, plantio de sementes e palha, aeração do gramado, plantio de arbustos, escavação, rastelagem e instalação de blocos de concreto pré-moldados sem"&amp;" argamassa. Os trabalhadores podem coletar e remover lixo, regar gramados, árvores e plantas semeadas, além de podar árvores, arbustos ou sebes. Podem operar equipamentos motorizados e dirigir veículos até os locais dos clientes. As tarefas podem incluir "&amp;"colocação de grama em placas, corte de grama, rega de plantas e gramados, transplante de plantas, fertilização, escavação, rastelagem e instalação de aspersores. Os funcionários cavarão valas com no máximo 15 a 30 cm de profundidade e 15 a 30 cm de largur"&amp;"a com pás e ferramentas manuais. Essas valas são usadas para acomodar a tubulação utilizada na instalação de sistemas de irrigação. Toda a poda/aparamento será feita no solo. Os trabalhadores não realizarão nenhuma atividade de poda ou corte acima do níve"&amp;"l do solo. O trabalhador poderá transportar outros trabalhadores de e para os locais de trabalho ocasionalmente, porém essa não será sua principal função. Os trabalhadores poderão operar equipamentos motorizados de jardinagem, incluindo cortadores de gram"&amp;"a, sopradores, aparadores, pequenos tratores e equipamentos similares. Os trabalhadores poderão dirigir veículos da empresa, incluindo caminhonetes Ford F-350 e Ford F-550, de e para os locais de trabalho dos clientes. Os trabalhadores poderão ocasionalme"&amp;"nte transportar outros trabalhadores de e para os locais de trabalho; no entanto, o transporte de trabalhadores não é uma função principal. Os trabalhadores também poderão ocasionalmente transportar materiais, ferramentas e equipamentos de jardinagem de e"&amp;" para os locais de trabalho, incluindo cobertura morta, plantas em vasos, pás, ancinhos, cortadores de grama, sopradores e aparadores. Nenhum material perigoso será transportado pelos trabalhadores. Todos os veículos e equipamentos operados têm peso bruto"&amp;" total inferior a 26.000 libras (aproximadamente 11.793 kg), incluindo quaisquer reboques acoplados ou materiais transportados. Classificação da Função: 37-3011.00 - Trabalhadores de Paisagismo e Manutenção de Jardins. A classificação e descrição da funçã"&amp;"o/setor inclui informações gerais sobre o cargo, conforme o ONET/OES e o Sistema de Classificação Industrial da América do Norte (NAICS). Consulte as Funções e a Ordem de Serviço para obter mais informações. Requisitos da Função: Experiência Necessária: N"&amp;"ão. Requisitos Especiais: Capacidade de levantar 36 kg, realizar movimentos repetitivos, empurrar/puxar objetos com frequência, caminhar bastante, agachar-se frequentemente e estar exposto a temperaturas extremas. Exame toxicológico pós-admissão por conta"&amp;" do empregador. Número de Horas por Semana: 40. Horário de Trabalho (Início/Término): 7h às 16h.")</f>
        <v>As funções incluem a instalação de árvores, arbustos ou flores durante o período de dormência, seguindo o padrão de design apropriado. Isso inclui descarregar materiais, cavar buracos para o sistema radicular, cobrir os buracos adequadamente e, às vezes, colocar grama em placas, plantar sementes de grama ou conectar a irrigação. Também envolve a remoção de folhas, plantio de sementes e palha, aeração do gramado, plantio de arbustos, escavação, rastelagem e instalação de blocos de concreto pré-moldados sem argamassa. Os trabalhadores podem coletar e remover lixo, regar gramados, árvores e plantas semeadas, além de podar árvores, arbustos ou sebes. Podem operar equipamentos motorizados e dirigir veículos até os locais dos clientes. As tarefas podem incluir colocação de grama em placas, corte de grama, rega de plantas e gramados, transplante de plantas, fertilização, escavação, rastelagem e instalação de aspersores. Os funcionários cavarão valas com no máximo 15 a 30 cm de profundidade e 15 a 30 cm de largura com pás e ferramentas manuais. Essas valas são usadas para acomodar a tubulação utilizada na instalação de sistemas de irrigação. Toda a poda/aparamento será feita no solo. Os trabalhadores não realizarão nenhuma atividade de poda ou corte acima do nível do solo. O trabalhador poderá transportar outros trabalhadores de e para os locais de trabalho ocasionalmente, porém essa não será sua principal função. Os trabalhadores poderão operar equipamentos motorizados de jardinagem, incluindo cortadores de grama, sopradores, aparadores, pequenos tratores e equipamentos similares. Os trabalhadores poderão dirigir veículos da empresa, incluindo caminhonetes Ford F-350 e Ford F-550, de e para os locais de trabalho dos clientes. Os trabalhadores poderão ocasionalmente transportar outros trabalhadores de e para os locais de trabalho; no entanto, o transporte de trabalhadores não é uma função principal. Os trabalhadores também poderão ocasionalmente transportar materiais, ferramentas e equipamentos de jardinagem de e para os locais de trabalho, incluindo cobertura morta, plantas em vasos, pás, ancinhos, cortadores de grama, sopradores e aparadores. Nenhum material perigoso será transportado pelos trabalhadores. Todos os veículos e equipamentos operados têm peso bruto total inferior a 26.000 libras (aproximadamente 11.793 kg), incluindo quaisquer reboques acoplados ou materiais transportados. Classificação da Função: 37-3011.00 - Trabalhadores de Paisagismo e Manutenção de Jardins. A classificação e descrição da função/setor inclui informações gerais sobre o cargo, conforme o ONET/OES e o Sistema de Classificação Industrial da América do Norte (NAICS). Consulte as Funções e a Ordem de Serviço para obter mais informações. Requisitos da Função: Experiência Necessária: Não. Requisitos Especiais: Capacidade de levantar 36 kg, realizar movimentos repetitivos, empurrar/puxar objetos com frequência, caminhar bastante, agachar-se frequentemente e estar exposto a temperaturas extremas. Exame toxicológico pós-admissão por conta do empregador. Número de Horas por Semana: 40. Horário de Trabalho (Início/Término): 7h às 16h.</v>
      </c>
    </row>
    <row r="326" ht="20.25" customHeight="1">
      <c r="A326" s="3" t="s">
        <v>1773</v>
      </c>
      <c r="B326" s="3" t="s">
        <v>1774</v>
      </c>
      <c r="C326" s="3" t="s">
        <v>125</v>
      </c>
      <c r="D326" s="3" t="s">
        <v>1297</v>
      </c>
      <c r="E326" s="4" t="s">
        <v>19</v>
      </c>
      <c r="F326" s="4" t="s">
        <v>20</v>
      </c>
      <c r="G326" s="4" t="s">
        <v>65</v>
      </c>
      <c r="H326" s="3" t="s">
        <v>1775</v>
      </c>
      <c r="I326" s="3" t="s">
        <v>1776</v>
      </c>
      <c r="J326" s="4">
        <v>18.88</v>
      </c>
      <c r="K326" s="4">
        <v>4.0</v>
      </c>
      <c r="L326" s="3" t="s">
        <v>129</v>
      </c>
      <c r="M326" s="3" t="s">
        <v>1777</v>
      </c>
      <c r="N326" s="7" t="str">
        <f>IFERROR(__xludf.DUMMYFUNCTION("GOOGLETRANSLATE(L326, ""en"", ""pt"")"),"Trabalhador de paisagismo e manutenção de jardins")</f>
        <v>Trabalhador de paisagismo e manutenção de jardins</v>
      </c>
      <c r="O326" s="7" t="str">
        <f>IFERROR(__xludf.DUMMYFUNCTION("IF(M326="""","""",GOOGLETRANSLATE(M326,""en"",""pt""))"),"As funções incluem a instalação de árvores, arbustos ou flores durante o período de dormência, seguindo o padrão de design apropriado. Isso inclui descarregar materiais, cavar buracos para o sistema radicular, cobrir os buracos adequadamente e, às vezes, "&amp;"colocar grama em placas, plantar sementes de grama ou conectar a irrigação. Também envolve a remoção de folhas, plantio de sementes e palha, aeração do gramado, plantio de arbustos, escavação, rastelagem e instalação de blocos de concreto pré-moldados sem"&amp;" argamassa. Os trabalhadores podem coletar e remover lixo, regar gramados, árvores e plantas semeadas, além de podar árvores, arbustos ou sebes. Podem operar equipamentos motorizados e dirigir veículos até os locais dos clientes. As tarefas podem incluir "&amp;"colocação de grama em placas, corte de grama, rega de plantas e gramados, transplante de plantas, fertilização, escavação, rastelagem e instalação de aspersores. Os funcionários cavarão valas com no máximo 15 a 30 cm de profundidade e 15 a 30 cm de largur"&amp;"a com pás e ferramentas manuais. Essas valas são usadas para acomodar a tubulação utilizada na instalação de sistemas de irrigação. Toda a poda/aparamento será feita no solo. Os trabalhadores não realizarão nenhuma atividade de poda ou corte acima do níve"&amp;"l do solo. O trabalhador poderá transportar outros trabalhadores de e para os locais de trabalho ocasionalmente, porém essa não será sua principal função. Os trabalhadores poderão operar equipamentos motorizados de jardinagem, incluindo cortadores de gram"&amp;"a, aparadores de borda, sopradores, roçadeiras, roçadeiras de jardim, pequenos tratores e equipamentos similares. Os trabalhadores poderão dirigir caminhonetes e veículos leves similares da empresa de e para os locais de trabalho dos clientes. Os trabalha"&amp;"dores poderão ocasionalmente transportar outros trabalhadores de e para os locais de trabalho; no entanto, o transporte de trabalhadores não é uma função principal. Os trabalhadores também poderão ocasionalmente transportar materiais, ferramentas e equipa"&amp;"mentos de jardinagem de e para os locais de trabalho, incluindo cobertura morta, plantas em vasos, pás, ancinhos, cortadores de grama, sopradores e roçadeiras de jardim. Nenhum material perigoso será transportado pelos trabalhadores. Todos os veículos e e"&amp;"quipamentos operados têm peso bruto total inferior a 26.000 libras (aproximadamente 11.800 kg), incluindo quaisquer reboques acoplados ou materiais transportados. Classificação da Função: 37-3011.00 - Trabalhadores de Paisagismo e Manutenção de Jardins. A"&amp;" classificação e descrição da função/setor inclui informações gerais sobre o cargo, de acordo com o ONET/OES e o Sistema de Classificação Industrial da América do Norte (NAICS). Consulte as Funções e a Ordem de Serviço para obter mais informações. Requisi"&amp;"tos da Função Experiência Necessária: Sim Meses de Experiência Necessários: 3 Requisitos Especiais: Capacidade de levantar 32 kg, realizar movimentos repetitivos, empurrar/puxar com frequência, caminhar bastante, agachar-se frequentemente e estar exposto "&amp;"a temperaturas extremas. 3 meses de experiência são necessários. Número de Horas por Semana: 40 Horário de Trabalho (Início/Término): 7h às 16h")</f>
        <v>As funções incluem a instalação de árvores, arbustos ou flores durante o período de dormência, seguindo o padrão de design apropriado. Isso inclui descarregar materiais, cavar buracos para o sistema radicular, cobrir os buracos adequadamente e, às vezes, colocar grama em placas, plantar sementes de grama ou conectar a irrigação. Também envolve a remoção de folhas, plantio de sementes e palha, aeração do gramado, plantio de arbustos, escavação, rastelagem e instalação de blocos de concreto pré-moldados sem argamassa. Os trabalhadores podem coletar e remover lixo, regar gramados, árvores e plantas semeadas, além de podar árvores, arbustos ou sebes. Podem operar equipamentos motorizados e dirigir veículos até os locais dos clientes. As tarefas podem incluir colocação de grama em placas, corte de grama, rega de plantas e gramados, transplante de plantas, fertilização, escavação, rastelagem e instalação de aspersores. Os funcionários cavarão valas com no máximo 15 a 30 cm de profundidade e 15 a 30 cm de largura com pás e ferramentas manuais. Essas valas são usadas para acomodar a tubulação utilizada na instalação de sistemas de irrigação. Toda a poda/aparamento será feita no solo. Os trabalhadores não realizarão nenhuma atividade de poda ou corte acima do nível do solo. O trabalhador poderá transportar outros trabalhadores de e para os locais de trabalho ocasionalmente, porém essa não será sua principal função. Os trabalhadores poderão operar equipamentos motorizados de jardinagem, incluindo cortadores de grama, aparadores de borda, sopradores, roçadeiras, roçadeiras de jardim, pequenos tratores e equipamentos similares. Os trabalhadores poderão dirigir caminhonetes e veículos leves similares da empresa de e para os locais de trabalho dos clientes. Os trabalhadores poderão ocasionalmente transportar outros trabalhadores de e para os locais de trabalho; no entanto, o transporte de trabalhadores não é uma função principal. Os trabalhadores também poderão ocasionalmente transportar materiais, ferramentas e equipamentos de jardinagem de e para os locais de trabalho, incluindo cobertura morta, plantas em vasos, pás, ancinhos, cortadores de grama, sopradores e roçadeiras de jardim. Nenhum material perigoso será transportado pelos trabalhadores. Todos os veículos e equipamentos operados têm peso bruto total inferior a 26.000 libras (aproximadamente 11.800 kg), incluindo quaisquer reboques acoplados ou materiais transportados. Classificação da Função: 37-3011.00 - Trabalhadores de Paisagismo e Manutenção de Jardins. A classificação e descrição da função/setor inclui informações gerais sobre o cargo, de acordo com o ONET/OES e o Sistema de Classificação Industrial da América do Norte (NAICS). Consulte as Funções e a Ordem de Serviço para obter mais informações. Requisitos da Função Experiência Necessária: Sim Meses de Experiência Necessários: 3 Requisitos Especiais: Capacidade de levantar 32 kg, realizar movimentos repetitivos, empurrar/puxar com frequência, caminhar bastante, agachar-se frequentemente e estar exposto a temperaturas extremas. 3 meses de experiência são necessários. Número de Horas por Semana: 40 Horário de Trabalho (Início/Término): 7h às 16h</v>
      </c>
    </row>
    <row r="327" ht="20.25" customHeight="1">
      <c r="A327" s="8" t="s">
        <v>1778</v>
      </c>
      <c r="B327" s="8" t="s">
        <v>1779</v>
      </c>
      <c r="C327" s="8" t="s">
        <v>17</v>
      </c>
      <c r="D327" s="8" t="s">
        <v>344</v>
      </c>
      <c r="E327" s="9" t="s">
        <v>19</v>
      </c>
      <c r="F327" s="9" t="s">
        <v>20</v>
      </c>
      <c r="G327" s="9" t="s">
        <v>56</v>
      </c>
      <c r="H327" s="14" t="s">
        <v>1780</v>
      </c>
      <c r="I327" s="8" t="s">
        <v>1781</v>
      </c>
      <c r="J327" s="9">
        <v>21.26</v>
      </c>
      <c r="K327" s="9">
        <v>37.0</v>
      </c>
      <c r="L327" s="8" t="s">
        <v>1782</v>
      </c>
      <c r="M327" s="8" t="s">
        <v>1783</v>
      </c>
      <c r="N327" s="7" t="str">
        <f>IFERROR(__xludf.DUMMYFUNCTION("GOOGLETRANSLATE(L327, ""en"", ""pt"")"),"Paisagistas Líderes")</f>
        <v>Paisagistas Líderes</v>
      </c>
      <c r="O327" s="7" t="str">
        <f>IFERROR(__xludf.DUMMYFUNCTION("IF(M327="""","""",GOOGLETRANSLATE(M327,""en"",""pt""))"),"Paisagismo e manutenção de terrenos utilizando ferramentas manuais ou elétricas. Os trabalhadores geralmente executam uma variedade de tarefas, que podem incluir qualquer combinação das seguintes: cortar grama, aparar, regar, fazer bordas, capinar, podar "&amp;"plantas dormentes; remover folhas e detritos; e realizar a limpeza. É necessário garantir que as ferramentas e equipamentos estejam em ordem entre os locais de trabalho. Pode ser solicitado que demonstre tarefas para até quatro colegas, mas a função não i"&amp;"nclui a supervisão de outros trabalhadores. Classificação da função: 37-3011.00 - Trabalhadores de Paisagismo e Manutenção de Terrenos. A classificação e descrição da função/setor inclui informações gerais sobre o cargo, de acordo com o ONET/OES e o Siste"&amp;"ma de Classificação Industrial da América do Norte (NAICS). Consulte as Funções e a Ordem de Serviço para obter mais informações. Requisitos da função: Experiência necessária: Sim. Meses de experiência necessários: 3. Requisitos especiais: Requer três mes"&amp;"es de experiência anterior em paisagismo. Deve ser capaz de levantar/carregar 23 kg (50 lbs), quando necessário. A semana de trabalho padrão é de 4 dias. Trabalho às sextas e sábados, quando necessário. Exames toxicológicos pós-contratação, pagos pelo emp"&amp;"regador, em caso de suspeita de uso de drogas, e exames toxicológicos pós-acidente são obrigatórios para funcionários estrangeiros e nacionais. A verificação do histórico de condução após a contratação é obrigatória apenas para funcionários estrangeiros e"&amp;" nacionais que dirigem veículos da empresa (dirigir não é um requisito para todos os funcionários da função). O empregador pode oferecer uma carga horária maior do que a estipulada, dependendo das condições climáticas, das necessidades da empresa e de out"&amp;"ras circunstâncias. Calor extremo, frio, chuva ou seca podem afetar o horário de trabalho exato. Número de horas por semana: 40. Horário de trabalho (início/término): 6h às 16h.")</f>
        <v>Paisagismo e manutenção de terrenos utilizando ferramentas manuais ou elétricas. Os trabalhadores geralmente executam uma variedade de tarefas, que podem incluir qualquer combinação das seguintes: cortar grama, aparar, regar, fazer bordas, capinar, podar plantas dormentes; remover folhas e detritos; e realizar a limpeza. É necessário garantir que as ferramentas e equipamentos estejam em ordem entre os locais de trabalho. Pode ser solicitado que demonstre tarefas para até quatro colegas, mas a função não inclui a supervisão de outros trabalhadores. Classificação da função: 37-3011.00 - Trabalhadores de Paisagismo e Manutenção de Terrenos. A classificação e descrição da função/setor inclui informações gerais sobre o cargo, de acordo com o ONET/OES e o Sistema de Classificação Industrial da América do Norte (NAICS). Consulte as Funções e a Ordem de Serviço para obter mais informações. Requisitos da função: Experiência necessária: Sim. Meses de experiência necessários: 3. Requisitos especiais: Requer três meses de experiência anterior em paisagismo. Deve ser capaz de levantar/carregar 23 kg (50 lbs), quando necessário. A semana de trabalho padrão é de 4 dias. Trabalho às sextas e sábados, quando necessário. Exames toxicológicos pós-contratação, pagos pelo empregador, em caso de suspeita de uso de drogas, e exames toxicológicos pós-acidente são obrigatórios para funcionários estrangeiros e nacionais. A verificação do histórico de condução após a contratação é obrigatória apenas para funcionários estrangeiros e nacionais que dirigem veículos da empresa (dirigir não é um requisito para todos os funcionários da função). O empregador pode oferecer uma carga horária maior do que a estipulada, dependendo das condições climáticas, das necessidades da empresa e de outras circunstâncias. Calor extremo, frio, chuva ou seca podem afetar o horário de trabalho exato. Número de horas por semana: 40. Horário de trabalho (início/término): 6h às 16h.</v>
      </c>
    </row>
    <row r="328" ht="20.25" customHeight="1">
      <c r="A328" s="3" t="s">
        <v>1784</v>
      </c>
      <c r="B328" s="3" t="s">
        <v>1785</v>
      </c>
      <c r="C328" s="3" t="s">
        <v>169</v>
      </c>
      <c r="D328" s="3" t="s">
        <v>71</v>
      </c>
      <c r="E328" s="4" t="s">
        <v>44</v>
      </c>
      <c r="F328" s="4" t="s">
        <v>20</v>
      </c>
      <c r="G328" s="4" t="s">
        <v>1786</v>
      </c>
      <c r="H328" s="3" t="s">
        <v>1787</v>
      </c>
      <c r="I328" s="3"/>
      <c r="J328" s="4">
        <v>17.57</v>
      </c>
      <c r="K328" s="4">
        <v>22.0</v>
      </c>
      <c r="L328" s="3" t="s">
        <v>105</v>
      </c>
      <c r="M328" s="3" t="s">
        <v>1788</v>
      </c>
      <c r="N328" s="7" t="str">
        <f>IFERROR(__xludf.DUMMYFUNCTION("GOOGLETRANSLATE(L328, ""en"", ""pt"")"),"Abridores de Ostras")</f>
        <v>Abridores de Ostras</v>
      </c>
      <c r="O328" s="7" t="str">
        <f>IFERROR(__xludf.DUMMYFUNCTION("IF(M328="""","""",GOOGLETRANSLATE(M328,""en"",""pt""))"),"Executar trabalho manual de abertura de ostras, utilizando uma faca para abrir delicadamente as ostras vivas. Lavar o lodo e a sujeira das ostras frescas. Inserir a lâmina, aplicando força moderada e vibração, se necessário, na dobradiça entre as duas val"&amp;"vas. Girar a lâmina até ouvir um leve estalo. Deslizar a lâmina para cima para cortar o músculo adutor que mantém a concha fechada, separando a carne da concha. Inspecionar as ostras e remover ostras mortas, com cascas soltas, insensíveis ou com carne sec"&amp;"a, pegajosa ou com mau cheiro. A carne será congelada, enlatada, embalada ou descartada conforme necessário. Limpar e higienizar as áreas de trabalho, aventais e facas. Essas funções envolvem o processamento, preparo e limpeza rotineiros de ostras. Ambien"&amp;"te de trabalho livre de drogas. Testes toxicológicos pós-acidente serão realizados às custas do empregador. Classificação da Função: 51-3022.00 - Cortadores e Aparadores de Carne, Aves e Peixes. A classificação e descrição da função/setor inclui informaçõ"&amp;"es gerais sobre o cargo, de acordo com o ONET/OES e o Sistema de Classificação Industrial da América do Norte (NAICS). Consulte as Funções e a Ordem de Serviço para obter mais informações. Requisitos da Função Experiência Necessária: Não. Requisitos Espec"&amp;"iais: Não são necessários escolaridade ou experiência. Requer destreza manual e longos períodos em pé. Deve levantar e carregar 11 kg. Os trabalhadores devem ter extremo cuidado ao usar a faca como alavanca para abrir ostras, e as conchas podem se partir "&amp;"em lascas afiadas, que podem causar ferimentos nas mãos. Deve ter 18 anos ou mais. Aplicam-se as normas e requisitos de higiene da FDA, incluindo higiene pessoal e doenças transmissíveis. É obrigatório o uso de equipamentos de segurança, incluindo luvas d"&amp;"e borracha, óculos de proteção, avental e touca. É necessário passar por exames toxicológicos. Trabalho aos sábados e domingos, quando necessário. Os uniformes fornecidos pelo empregador devem ser usados ​​em todos os locais de trabalho. O empregador pode"&amp;"rá oferecer uma jornada de trabalho superior à estipulada, dependendo das condições climáticas, das necessidades da empresa e de outros fatores. Calor extremo, frio intenso, chuva ou seca podem afetar o horário de trabalho exato. Número de horas por seman"&amp;"a: 35. Horário de trabalho (início/término): 7h00 - 14h30.")</f>
        <v>Executar trabalho manual de abertura de ostras, utilizando uma faca para abrir delicadamente as ostras vivas. Lavar o lodo e a sujeira das ostras frescas. Inserir a lâmina, aplicando força moderada e vibração, se necessário, na dobradiça entre as duas valvas. Girar a lâmina até ouvir um leve estalo. Deslizar a lâmina para cima para cortar o músculo adutor que mantém a concha fechada, separando a carne da concha. Inspecionar as ostras e remover ostras mortas, com cascas soltas, insensíveis ou com carne seca, pegajosa ou com mau cheiro. A carne será congelada, enlatada, embalada ou descartada conforme necessário. Limpar e higienizar as áreas de trabalho, aventais e facas. Essas funções envolvem o processamento, preparo e limpeza rotineiros de ostras. Ambiente de trabalho livre de drogas. Testes toxicológicos pós-acidente serão realizados às custas do empregador. Classificação da Função: 51-3022.00 - Cortadores e Aparadores de Carne, Aves e Peixes. A classificação e descrição da função/setor inclui informações gerais sobre o cargo, de acordo com o ONET/OES e o Sistema de Classificação Industrial da América do Norte (NAICS). Consulte as Funções e a Ordem de Serviço para obter mais informações. Requisitos da Função Experiência Necessária: Não. Requisitos Especiais: Não são necessários escolaridade ou experiência. Requer destreza manual e longos períodos em pé. Deve levantar e carregar 11 kg. Os trabalhadores devem ter extremo cuidado ao usar a faca como alavanca para abrir ostras, e as conchas podem se partir em lascas afiadas, que podem causar ferimentos nas mãos. Deve ter 18 anos ou mais. Aplicam-se as normas e requisitos de higiene da FDA, incluindo higiene pessoal e doenças transmissíveis. É obrigatório o uso de equipamentos de segurança, incluindo luvas de borracha, óculos de proteção, avental e touca. É necessário passar por exames toxicológicos. Trabalho aos sábados e domingos, quando necessário. Os uniformes fornecidos pelo empregador devem ser usados ​​em todos os locais de trabalho. O empregador poderá oferecer uma jornada de trabalho superior à estipulada, dependendo das condições climáticas, das necessidades da empresa e de outros fatores. Calor extremo, frio intenso, chuva ou seca podem afetar o horário de trabalho exato. Número de horas por semana: 35. Horário de trabalho (início/término): 7h00 - 14h30.</v>
      </c>
    </row>
    <row r="329" ht="20.25" customHeight="1">
      <c r="A329" s="8" t="s">
        <v>1789</v>
      </c>
      <c r="B329" s="8" t="s">
        <v>1790</v>
      </c>
      <c r="C329" s="8" t="s">
        <v>169</v>
      </c>
      <c r="D329" s="8" t="s">
        <v>186</v>
      </c>
      <c r="E329" s="9" t="s">
        <v>44</v>
      </c>
      <c r="F329" s="9" t="s">
        <v>20</v>
      </c>
      <c r="G329" s="9" t="s">
        <v>1791</v>
      </c>
      <c r="H329" s="8" t="s">
        <v>1792</v>
      </c>
      <c r="I329" s="8" t="s">
        <v>1793</v>
      </c>
      <c r="J329" s="9">
        <v>20.84</v>
      </c>
      <c r="K329" s="9">
        <v>19.0</v>
      </c>
      <c r="L329" s="8" t="s">
        <v>1794</v>
      </c>
      <c r="M329" s="8" t="s">
        <v>1795</v>
      </c>
      <c r="N329" s="7" t="str">
        <f>IFERROR(__xludf.DUMMYFUNCTION("GOOGLETRANSLATE(L329, ""en"", ""pt"")"),"Especialista em paisagismo/manutenção de áreas verdes")</f>
        <v>Especialista em paisagismo/manutenção de áreas verdes</v>
      </c>
      <c r="O329" s="7" t="str">
        <f>IFERROR(__xludf.DUMMYFUNCTION("IF(M329="""","""",GOOGLETRANSLATE(M329,""en"",""pt""))"),"Paisagismo e manutenção de terrenos utilizando ferramentas manuais ou elétricas. Os trabalhadores devem ser capazes de executar uma variedade de tarefas sem supervisão direta, que podem incluir qualquer combinação das seguintes atividades: colocação de gr"&amp;"ama, corte de grama, poda, acabamento de bordas, plantio, rega, poda de arbustos, aplicação de cobertura morta, fertilização, escavação, rastelagem e instalação de blocos de concreto pré-moldados sem argamassa/similares. Devem exercer julgamento independe"&amp;"nte; podem ser solicitados a demonstrar tarefas a outros funcionários, mas a função não inclui a supervisão de outros trabalhadores. Classificação da Função: 37-3011.00 - Trabalhadores de Paisagismo e Manutenção de Terrenos. A classificação e descrição da"&amp;" função/setor incluem informações gerais sobre o cargo, de acordo com o ONET/OES e o Sistema de Classificação Industrial da América do Norte. Consulte as Funções e a Ordem de Serviço para obter mais informações. Requisitos da Função Experiência Necessária"&amp;": Sim Meses de Experiência Necessários: 3 Requisitos Especiais: Requer três meses de experiência prévia em paisagismo. Deve ser capaz de levantar/carregar 23 kg, quando necessário. Trabalho aos sábados e domingos, quando necessário. O empregador exige que"&amp;" trabalhadores estrangeiros e nacionais se submetam a testes de drogas pagos pelo empregador antes do início do trabalho e após a contratação, em caso de acidente. O empregador poderá oferecer uma jornada de trabalho superior à estipulada, dependendo das "&amp;"condições climáticas, das necessidades da empresa e de outros fatores. Calor extremo, frio intenso, chuva ou seca podem afetar o horário de trabalho exato. Número de horas por semana: 40. Horário de trabalho (início/término): 8h às 16h30.")</f>
        <v>Paisagismo e manutenção de terrenos utilizando ferramentas manuais ou elétricas. Os trabalhadores devem ser capazes de executar uma variedade de tarefas sem supervisão direta, que podem incluir qualquer combinação das seguintes atividades: colocação de grama, corte de grama, poda, acabamento de bordas, plantio, rega, poda de arbustos, aplicação de cobertura morta, fertilização, escavação, rastelagem e instalação de blocos de concreto pré-moldados sem argamassa/similares. Devem exercer julgamento independente; podem ser solicitados a demonstrar tarefas a outros funcionários, mas a função não inclui a supervisão de outros trabalhadores. Classificação da Função: 37-3011.00 - Trabalhadores de Paisagismo e Manutenção de Terrenos. A classificação e descrição da função/setor incluem informações gerais sobre o cargo, de acordo com o ONET/OES e o Sistema de Classificação Industrial da América do Norte. Consulte as Funções e a Ordem de Serviço para obter mais informações. Requisitos da Função Experiência Necessária: Sim Meses de Experiência Necessários: 3 Requisitos Especiais: Requer três meses de experiência prévia em paisagismo. Deve ser capaz de levantar/carregar 23 kg, quando necessário. Trabalho aos sábados e domingos, quando necessário. O empregador exige que trabalhadores estrangeiros e nacionais se submetam a testes de drogas pagos pelo empregador antes do início do trabalho e após a contratação, em caso de acidente. O empregador poderá oferecer uma jornada de trabalho superior à estipulada, dependendo das condições climáticas, das necessidades da empresa e de outros fatores. Calor extremo, frio intenso, chuva ou seca podem afetar o horário de trabalho exato. Número de horas por semana: 40. Horário de trabalho (início/término): 8h às 16h30.</v>
      </c>
    </row>
    <row r="330" ht="20.25" customHeight="1">
      <c r="A330" s="3" t="s">
        <v>1796</v>
      </c>
      <c r="B330" s="3" t="s">
        <v>1797</v>
      </c>
      <c r="C330" s="3" t="s">
        <v>169</v>
      </c>
      <c r="D330" s="3" t="s">
        <v>186</v>
      </c>
      <c r="E330" s="4" t="s">
        <v>19</v>
      </c>
      <c r="F330" s="4" t="s">
        <v>20</v>
      </c>
      <c r="G330" s="4" t="s">
        <v>146</v>
      </c>
      <c r="H330" s="3" t="s">
        <v>1798</v>
      </c>
      <c r="I330" s="3" t="s">
        <v>1799</v>
      </c>
      <c r="J330" s="4">
        <v>17.88</v>
      </c>
      <c r="K330" s="4">
        <v>5.0</v>
      </c>
      <c r="L330" s="3" t="s">
        <v>59</v>
      </c>
      <c r="M330" s="3" t="s">
        <v>1800</v>
      </c>
      <c r="N330" s="7" t="str">
        <f>IFERROR(__xludf.DUMMYFUNCTION("GOOGLETRANSLATE(L330, ""en"", ""pt"")"),"Trabalhador de paisagismo")</f>
        <v>Trabalhador de paisagismo</v>
      </c>
      <c r="O330" s="7" t="str">
        <f>IFERROR(__xludf.DUMMYFUNCTION("IF(M330="""","""",GOOGLETRANSLATE(M330,""en"",""pt""))"),"**Resposta à Solicitação de Informações** Nossos funcionários não derrubam árvores nem podam/removem galhos acima da copa. Essas tarefas são realizadas apenas por arboristas terceirizados experientes. Nossos trabalhadores de paisagismo utilizam serras de "&amp;"poda, varas de poda, tesouras elétricas, roçadeiras e ancinhos para podar galhos/ramos de árvores ou arbustos grandes, a partir do nível do solo. **Original** Os trabalhadores geralmente executam uma variedade de tarefas, incluindo poda estratégica de arb"&amp;"ustos e árvores, remoção de árvores e folhas, limpeza da propriedade, aeração e semeadura, além de atividades de preparação do sistema de irrigação para o inverno. Os trabalhadores também podem espalhar sal para derreter gelo ou remover neve de calçadas e"&amp;" estacionamentos usando pás, sopradores de neve e cortadores de grama com acessório. Classificação do Cargo: 37-3011.00 - Trabalhadores de Paisagismo e Manutenção de Áreas Verdes. A classificação e descrição do cargo/setor inclui informações gerais sobre "&amp;"a posição, de acordo com o ONET/OES e o Sistema de Classificação Industrial da América do Norte. Consulte as Funções e a Ordem de Serviço para obter mais informações. Requisitos da Vaga Experiência Necessária: Sim Meses de Experiência Necessários: 3 Requi"&amp;"sitos Especiais: Requer três meses de experiência prévia em paisagismo. Deve ser capaz de levantar/carregar 23 kg, quando necessário. Trabalho aos sábados e domingos, quando necessário. Teste antidrogas pós-contratação obrigatório para funcionários estran"&amp;"geiros e nacionais em caso de suspeita de uso. Deve possuir ou ser capaz de obter carteira de habilitação americana em até 30 dias após a contratação. O empregador poderá oferecer mais horas de trabalho do que as estipuladas, dependendo do clima, das nece"&amp;"ssidades da empresa e de outras condições. Calor extremo, frio, chuva ou seca podem afetar o horário de trabalho exato. Número de Horas por Semana: 42 Horário de Trabalho (Início/Término): 7h às 16h")</f>
        <v>**Resposta à Solicitação de Informações** Nossos funcionários não derrubam árvores nem podam/removem galhos acima da copa. Essas tarefas são realizadas apenas por arboristas terceirizados experientes. Nossos trabalhadores de paisagismo utilizam serras de poda, varas de poda, tesouras elétricas, roçadeiras e ancinhos para podar galhos/ramos de árvores ou arbustos grandes, a partir do nível do solo. **Original** Os trabalhadores geralmente executam uma variedade de tarefas, incluindo poda estratégica de arbustos e árvores, remoção de árvores e folhas, limpeza da propriedade, aeração e semeadura, além de atividades de preparação do sistema de irrigação para o inverno. Os trabalhadores também podem espalhar sal para derreter gelo ou remover neve de calçadas e estacionamentos usando pás, sopradores de neve e cortadores de grama com acessório. Classificação do Cargo: 37-3011.00 - Trabalhadores de Paisagismo e Manutenção de Áreas Verdes. A classificação e descrição do cargo/setor inclui informações gerais sobre a posição, de acordo com o ONET/OES e o Sistema de Classificação Industrial da América do Norte. Consulte as Funções e a Ordem de Serviço para obter mais informações. Requisitos da Vaga Experiência Necessária: Sim Meses de Experiência Necessários: 3 Requisitos Especiais: Requer três meses de experiência prévia em paisagismo. Deve ser capaz de levantar/carregar 23 kg, quando necessário. Trabalho aos sábados e domingos, quando necessário. Teste antidrogas pós-contratação obrigatório para funcionários estrangeiros e nacionais em caso de suspeita de uso. Deve possuir ou ser capaz de obter carteira de habilitação americana em até 30 dias após a contratação. O empregador poderá oferecer mais horas de trabalho do que as estipuladas, dependendo do clima, das necessidades da empresa e de outras condições. Calor extremo, frio, chuva ou seca podem afetar o horário de trabalho exato. Número de Horas por Semana: 42 Horário de Trabalho (Início/Término): 7h às 16h</v>
      </c>
    </row>
    <row r="331" ht="20.25" customHeight="1">
      <c r="A331" s="8" t="s">
        <v>1801</v>
      </c>
      <c r="B331" s="8" t="s">
        <v>1802</v>
      </c>
      <c r="C331" s="8" t="s">
        <v>169</v>
      </c>
      <c r="D331" s="8" t="s">
        <v>36</v>
      </c>
      <c r="E331" s="9" t="s">
        <v>44</v>
      </c>
      <c r="F331" s="9" t="s">
        <v>20</v>
      </c>
      <c r="G331" s="9" t="s">
        <v>524</v>
      </c>
      <c r="H331" s="8" t="s">
        <v>1803</v>
      </c>
      <c r="I331" s="8" t="s">
        <v>1804</v>
      </c>
      <c r="J331" s="9">
        <v>14.27</v>
      </c>
      <c r="K331" s="9">
        <v>20.0</v>
      </c>
      <c r="L331" s="8" t="s">
        <v>1805</v>
      </c>
      <c r="M331" s="8" t="s">
        <v>1806</v>
      </c>
      <c r="N331" s="7" t="str">
        <f>IFERROR(__xludf.DUMMYFUNCTION("GOOGLETRANSLATE(L331, ""en"", ""pt"")"),"Auxiliar de Cuidados Infantis")</f>
        <v>Auxiliar de Cuidados Infantis</v>
      </c>
      <c r="O331" s="7" t="str">
        <f>IFERROR(__xludf.DUMMYFUNCTION("IF(M331="""","""",GOOGLETRANSLATE(M331,""en"",""pt""))"),"Conforme descrito no site da ONET para o código 39-9011.00 (Cuidadores de Crianças), os Cuidadores de Crianças devem desempenhar uma variedade de tarefas/deveres em nome dos bebês/crianças em sua sala designada. Os auxiliares cuidarão e passarão tempo com"&amp;" bebês/crianças de 6 semanas a 5 anos de idade. Os Cuidadores de Crianças ajudarão a incentivar e envolver as crianças em atividades apropriadas para a idade, como contação de histórias, canto, jogos e brincadeiras guiadas; e ajudarão as crianças a aprend"&amp;"er conceitos básicos, como cores, números, letras, formas e dias da semana. Os cuidadores ajudarão as crianças a seguir as rotinas diárias, incentivarão o bom comportamento e manterão a ordem, supervisionando as crianças para garantir que estejam seguras "&amp;"o tempo todo, dentro e fora da creche. Os cuidadores auxiliarão no serviço de refeições/lanches preparados pela cozinheira da nossa instituição. A cozinheira lavará todos os utensílios/equipamentos de preparo de alimentos, além de higienizar mamadeiras/co"&amp;"pos de treinamento após o uso. Nossos Cuidadores de Crianças garantirão a segurança alimentar durante as refeições e seguirão as diretrizes de saúde e segurança, incluindo o descarte adequado de pratos de papel/talheres de plástico. Enxaguar copos/mamadei"&amp;"ras, se necessário, na pia da sala. Os funcionários podem realizar tarefas de lavanderia, como lavar, secar, dobrar e guardar lençóis de berço e materiais macios da sala de aula, como roupas de vestir, bichos de pelúcia e almofadas de pelúcia usadas para "&amp;"sentar. Além disso, os funcionários de cuidados infantis são responsáveis ​​pela limpeza diária da sala ao final do dia. Classificação do Cargo: 39-9011.00 - Cuidadores Infantis. A classificação e descrição do cargo/setor incluem informações gerais sobre "&amp;"a posição, de acordo com o ONET/OES e o Sistema de Classificação Industrial da América do Norte. Consulte as Funções e a Ordem de Serviço para obter mais informações. Requisitos do Cargo: Experiência Necessária: Não. Requisitos Especiais: Deve ser capaz d"&amp;"e levantar/carregar 18 kg, quando necessário. Deve ter disponibilidade para trabalhar em todos os turnos escalonados de 9 horas para garantir que as crianças sejam supervisionadas desde a chegada até o último horário de saída. A academia funciona de segun"&amp;"da a sexta, das 6h30 às 18h. Deve ter pelo menos 18 anos de idade e diploma do Ensino Médio ou equivalente. É obrigatório concluir a Orientação para Novos Funcionários, fornecida e paga pela empresa, antes de trabalhar com os participantes do acampamento "&amp;"de verão. É obrigatório concluir todos os treinamentos estaduais obrigatórios de SIDS (Síndrome da Morte Súbita Infantil), RCP (Ressuscitação Cardiopulmonar), saúde e segurança, e treinamento pré-serviço estadual, pagos pelo empregador, dentro de 60 dias "&amp;"após a contratação, além de cumprir os requisitos contínuos de treinamento do setor. A verificação de antecedentes e a verificação de elegibilidade para emprego (e-Verify) são obrigatórias para trabalhadores estrangeiros e nacionais após a contratação. É "&amp;"obrigatório passar pela Avaliação de Saúde e Relatório Médico do Funcionário, exigidos pelo Estado, incluindo o teste de tuberculose, antes de iniciar o trabalho. O empregador pode oferecer mais horas de trabalho do que as estipuladas, dependendo do clima"&amp;", das necessidades da empresa e de outras condições. Número de horas por semana: 40. Horário de trabalho (início/término): 8h às 17h.")</f>
        <v>Conforme descrito no site da ONET para o código 39-9011.00 (Cuidadores de Crianças), os Cuidadores de Crianças devem desempenhar uma variedade de tarefas/deveres em nome dos bebês/crianças em sua sala designada. Os auxiliares cuidarão e passarão tempo com bebês/crianças de 6 semanas a 5 anos de idade. Os Cuidadores de Crianças ajudarão a incentivar e envolver as crianças em atividades apropriadas para a idade, como contação de histórias, canto, jogos e brincadeiras guiadas; e ajudarão as crianças a aprender conceitos básicos, como cores, números, letras, formas e dias da semana. Os cuidadores ajudarão as crianças a seguir as rotinas diárias, incentivarão o bom comportamento e manterão a ordem, supervisionando as crianças para garantir que estejam seguras o tempo todo, dentro e fora da creche. Os cuidadores auxiliarão no serviço de refeições/lanches preparados pela cozinheira da nossa instituição. A cozinheira lavará todos os utensílios/equipamentos de preparo de alimentos, além de higienizar mamadeiras/copos de treinamento após o uso. Nossos Cuidadores de Crianças garantirão a segurança alimentar durante as refeições e seguirão as diretrizes de saúde e segurança, incluindo o descarte adequado de pratos de papel/talheres de plástico. Enxaguar copos/mamadeiras, se necessário, na pia da sala. Os funcionários podem realizar tarefas de lavanderia, como lavar, secar, dobrar e guardar lençóis de berço e materiais macios da sala de aula, como roupas de vestir, bichos de pelúcia e almofadas de pelúcia usadas para sentar. Além disso, os funcionários de cuidados infantis são responsáveis ​​pela limpeza diária da sala ao final do dia. Classificação do Cargo: 39-9011.00 - Cuidadores Infantis. A classificação e descrição do cargo/setor incluem informações gerais sobre a posição, de acordo com o ONET/OES e o Sistema de Classificação Industrial da América do Norte. Consulte as Funções e a Ordem de Serviço para obter mais informações. Requisitos do Cargo: Experiência Necessária: Não. Requisitos Especiais: Deve ser capaz de levantar/carregar 18 kg, quando necessário. Deve ter disponibilidade para trabalhar em todos os turnos escalonados de 9 horas para garantir que as crianças sejam supervisionadas desde a chegada até o último horário de saída. A academia funciona de segunda a sexta, das 6h30 às 18h. Deve ter pelo menos 18 anos de idade e diploma do Ensino Médio ou equivalente. É obrigatório concluir a Orientação para Novos Funcionários, fornecida e paga pela empresa, antes de trabalhar com os participantes do acampamento de verão. É obrigatório concluir todos os treinamentos estaduais obrigatórios de SIDS (Síndrome da Morte Súbita Infantil), RCP (Ressuscitação Cardiopulmonar), saúde e segurança, e treinamento pré-serviço estadual, pagos pelo empregador, dentro de 60 dias após a contratação, além de cumprir os requisitos contínuos de treinamento do setor. A verificação de antecedentes e a verificação de elegibilidade para emprego (e-Verify) são obrigatórias para trabalhadores estrangeiros e nacionais após a contratação. É obrigatório passar pela Avaliação de Saúde e Relatório Médico do Funcionário, exigidos pelo Estado, incluindo o teste de tuberculose, antes de iniciar o trabalho. O empregador pode oferecer mais horas de trabalho do que as estipuladas, dependendo do clima, das necessidades da empresa e de outras condições. Número de horas por semana: 40. Horário de trabalho (início/término): 8h às 17h.</v>
      </c>
    </row>
    <row r="332" ht="20.25" customHeight="1">
      <c r="A332" s="3" t="s">
        <v>1807</v>
      </c>
      <c r="B332" s="3" t="s">
        <v>1808</v>
      </c>
      <c r="C332" s="3" t="s">
        <v>93</v>
      </c>
      <c r="D332" s="3" t="s">
        <v>109</v>
      </c>
      <c r="E332" s="4" t="s">
        <v>19</v>
      </c>
      <c r="F332" s="4" t="s">
        <v>20</v>
      </c>
      <c r="G332" s="4" t="s">
        <v>313</v>
      </c>
      <c r="H332" s="3" t="s">
        <v>1809</v>
      </c>
      <c r="I332" s="3" t="s">
        <v>1810</v>
      </c>
      <c r="J332" s="4">
        <v>25.52</v>
      </c>
      <c r="K332" s="4">
        <v>2.0</v>
      </c>
      <c r="L332" s="3" t="s">
        <v>262</v>
      </c>
      <c r="M332" s="3" t="s">
        <v>1811</v>
      </c>
      <c r="N332" s="7" t="str">
        <f>IFERROR(__xludf.DUMMYFUNCTION("GOOGLETRANSLATE(L332, ""en"", ""pt"")"),"Operário da construção civil")</f>
        <v>Operário da construção civil</v>
      </c>
      <c r="O332" s="7" t="str">
        <f>IFERROR(__xludf.DUMMYFUNCTION("IF(M332="""","""",GOOGLETRANSLATE(M332,""en"",""pt""))"),"Despejar concreto em fôrmas. Carregar, segurar, posicionar e remover fôrmas do concreto endurecido usando serras, martelos, pregos ou parafusos. Limpar os locais de trabalho. Nivelar o terreno; espalhar palha. Carregar/descarregar equipamentos de caminhõe"&amp;"s. Classificação da função: 47-2061.00 - Auxiliares de Construção Civil. A classificação e descrição da função/setor inclui informações gerais sobre o cargo, de acordo com o ONET/OES e o Sistema de Classificação Industrial da América do Norte (NAICS). Con"&amp;"sulte as Funções e a Ordem de Serviço para obter mais informações. Requisitos da vaga: Experiência necessária: Sim. Meses de experiência necessários: 12. Requisitos especiais: Requer doze meses de experiência como auxiliar de construção civil. Deve ser ca"&amp;"paz de levantar/carregar 27 kg, quando necessário. Trabalho aos sábados, quando necessário. O empregador pode oferecer mais horas de trabalho do que as estipuladas, dependendo do clima, das necessidades da empresa e de outras condições. Calor extremo, fri"&amp;"o, chuva ou seca podem afetar o horário de trabalho exato. Número de horas por semana: 40. Horário de trabalho (início/término): 7h às 16h.")</f>
        <v>Despejar concreto em fôrmas. Carregar, segurar, posicionar e remover fôrmas do concreto endurecido usando serras, martelos, pregos ou parafusos. Limpar os locais de trabalho. Nivelar o terreno; espalhar palha. Carregar/descarregar equipamentos de caminhões. Classificação da função: 47-2061.00 - Auxiliares de Construção Civil. A classificação e descrição da função/setor inclui informações gerais sobre o cargo, de acordo com o ONET/OES e o Sistema de Classificação Industrial da América do Norte (NAICS). Consulte as Funções e a Ordem de Serviço para obter mais informações. Requisitos da vaga: Experiência necessária: Sim. Meses de experiência necessários: 12. Requisitos especiais: Requer doze meses de experiência como auxiliar de construção civil. Deve ser capaz de levantar/carregar 27 kg, quando necessário. Trabalho aos sábados, quando necessário. O empregador pode oferecer mais horas de trabalho do que as estipuladas, dependendo do clima, das necessidades da empresa e de outras condições. Calor extremo, frio, chuva ou seca podem afetar o horário de trabalho exato. Número de horas por semana: 40. Horário de trabalho (início/término): 7h às 16h.</v>
      </c>
    </row>
    <row r="333" ht="20.25" customHeight="1">
      <c r="A333" s="8" t="s">
        <v>1812</v>
      </c>
      <c r="B333" s="8" t="s">
        <v>1813</v>
      </c>
      <c r="C333" s="8" t="s">
        <v>93</v>
      </c>
      <c r="D333" s="8" t="s">
        <v>271</v>
      </c>
      <c r="E333" s="9" t="s">
        <v>19</v>
      </c>
      <c r="F333" s="9" t="s">
        <v>20</v>
      </c>
      <c r="G333" s="9" t="s">
        <v>377</v>
      </c>
      <c r="H333" s="8" t="s">
        <v>1814</v>
      </c>
      <c r="I333" s="8"/>
      <c r="J333" s="9">
        <v>27.04</v>
      </c>
      <c r="K333" s="9">
        <v>5.0</v>
      </c>
      <c r="L333" s="8" t="s">
        <v>1815</v>
      </c>
      <c r="M333" s="8" t="s">
        <v>1816</v>
      </c>
      <c r="N333" s="7" t="str">
        <f>IFERROR(__xludf.DUMMYFUNCTION("GOOGLETRANSLATE(L333, ""en"", ""pt"")"),"Motorista")</f>
        <v>Motorista</v>
      </c>
      <c r="O333" s="7" t="str">
        <f>IFERROR(__xludf.DUMMYFUNCTION("IF(M333="""","""",GOOGLETRANSLATE(M333,""en"",""pt""))"),"Dirigir um caminhão com capacidade mínima de 26.001 libras de Peso Bruto Total (PBT) para transportar concreto e agregados do pátio até a obra. Carregar e descarregar concreto e agregados do caminhão. Realizar manutenção básica no caminhão e na carreta. O"&amp;"s caminhões utilizados possuem controles internos que permitem ao motorista monitorar e operar as funções de carga e descarga. Na usina, funcionários dedicados são responsáveis ​​por carregar o caminhão com os agregados. Os motoristas não manuseiam os mat"&amp;"eriais durante esse processo. Em vez disso, permanecem no caminhão e monitoram o status da carga utilizando os sistemas de monitoramento internos. Após o carregamento, os motoristas transportam os materiais até a obra designada. Ao chegarem, utilizam os c"&amp;"ontroles internos do caminhão para descarregar os materiais. Novamente, eles não manuseiam os materiais diretamente. Após a descarga, os trabalhadores no local assumem o manuseio e o uso dos materiais. Os motoristas não são responsáveis ​​por operar um ca"&amp;"minhão-bomba de concreto ou realizar qualquer trabalho manual relacionado ao carregamento ou descarregamento dos materiais. Suas funções se limitam ao transporte e à operação dos sistemas internos do caminhão. Classificação da Função: 53-3032.00 - Motoris"&amp;"tas de Caminhão Pesado e Caminhão-Trator. A classificação e descrição da função/setor inclui informações gerais sobre o cargo, conforme o ONET/OES e o Sistema de Classificação Industrial da América do Norte (NAICS). Consulte as Funções e a Ordem de Serviç"&amp;"o para obter mais informações. Requisitos da Função Experiência Necessária: Sim Meses de Experiência Necessários: 6 Requisitos Especiais: Requer seis meses de experiência dirigindo caminhões de concreto e agregados com carteira de habilitação CDL. Deve se"&amp;"r capaz de levantar/carregar 23 kg, quando necessário. Exemplos de turnos: 21h às 5h, 3h às 11h. Os horários dos turnos podem variar de acordo com as necessidades da empresa e as condições climáticas. Trabalho aos sábados e domingos, quando necessário. Te"&amp;"stes toxicológicos aleatórios após a contratação são obrigatórios para funcionários estrangeiros e nacionais. Carteira de habilitação CDL válida ou equivalente é obrigatória. O funcionário deve cumprir todas as regulamentações federais/estaduais referente"&amp;"s à posse da carteira de habilitação CDL. A função exige a condução de caminhões. O funcionário deverá retornar ao local de trabalho ao final de cada dia de trabalho. O trabalhador deve ser capaz de ler e falar inglês suficientemente bem para conversar co"&amp;"m o público em geral, entender placas e sinais de trânsito em inglês, responder a solicitações oficiais e fazer anotações em relatórios e registros. O empregador poderá oferecer uma jornada de trabalho superior à estipulada, dependendo das condições climá"&amp;"ticas, das necessidades da empresa e de outros fatores. Calor extremo, frio, chuva ou seca podem afetar o horário de trabalho exato. Número de horas por semana: 40. Horário de trabalho (início/término): 3h às 11h.")</f>
        <v>Dirigir um caminhão com capacidade mínima de 26.001 libras de Peso Bruto Total (PBT) para transportar concreto e agregados do pátio até a obra. Carregar e descarregar concreto e agregados do caminhão. Realizar manutenção básica no caminhão e na carreta. Os caminhões utilizados possuem controles internos que permitem ao motorista monitorar e operar as funções de carga e descarga. Na usina, funcionários dedicados são responsáveis ​​por carregar o caminhão com os agregados. Os motoristas não manuseiam os materiais durante esse processo. Em vez disso, permanecem no caminhão e monitoram o status da carga utilizando os sistemas de monitoramento internos. Após o carregamento, os motoristas transportam os materiais até a obra designada. Ao chegarem, utilizam os controles internos do caminhão para descarregar os materiais. Novamente, eles não manuseiam os materiais diretamente. Após a descarga, os trabalhadores no local assumem o manuseio e o uso dos materiais. Os motoristas não são responsáveis ​​por operar um caminhão-bomba de concreto ou realizar qualquer trabalho manual relacionado ao carregamento ou descarregamento dos materiais. Suas funções se limitam ao transporte e à operação dos sistemas internos do caminhão. Classificação da Função: 53-3032.00 - Motoristas de Caminhão Pesado e Caminhão-Trator. A classificação e descrição da função/setor inclui informações gerais sobre o cargo, conforme o ONET/OES e o Sistema de Classificação Industrial da América do Norte (NAICS). Consulte as Funções e a Ordem de Serviço para obter mais informações. Requisitos da Função Experiência Necessária: Sim Meses de Experiência Necessários: 6 Requisitos Especiais: Requer seis meses de experiência dirigindo caminhões de concreto e agregados com carteira de habilitação CDL. Deve ser capaz de levantar/carregar 23 kg, quando necessário. Exemplos de turnos: 21h às 5h, 3h às 11h. Os horários dos turnos podem variar de acordo com as necessidades da empresa e as condições climáticas. Trabalho aos sábados e domingos, quando necessário. Testes toxicológicos aleatórios após a contratação são obrigatórios para funcionários estrangeiros e nacionais. Carteira de habilitação CDL válida ou equivalente é obrigatória. O funcionário deve cumprir todas as regulamentações federais/estaduais referentes à posse da carteira de habilitação CDL. A função exige a condução de caminhões. O funcionário deverá retornar ao local de trabalho ao final de cada dia de trabalho. O trabalhador deve ser capaz de ler e falar inglês suficientemente bem para conversar com o público em geral, entender placas e sinais de trânsito em inglês, responder a solicitações oficiais e fazer anotações em relatórios e registros. O empregador poderá oferecer uma jornada de trabalho superior à estipulada, dependendo das condições climáticas, das necessidades da empresa e de outros fatores. Calor extremo, frio, chuva ou seca podem afetar o horário de trabalho exato. Número de horas por semana: 40. Horário de trabalho (início/término): 3h às 11h.</v>
      </c>
    </row>
    <row r="334" ht="20.25" customHeight="1">
      <c r="A334" s="3" t="s">
        <v>1817</v>
      </c>
      <c r="B334" s="3" t="s">
        <v>1818</v>
      </c>
      <c r="C334" s="3" t="s">
        <v>17</v>
      </c>
      <c r="D334" s="3" t="s">
        <v>596</v>
      </c>
      <c r="E334" s="4" t="s">
        <v>44</v>
      </c>
      <c r="F334" s="4" t="s">
        <v>20</v>
      </c>
      <c r="G334" s="4" t="s">
        <v>1191</v>
      </c>
      <c r="H334" s="3" t="s">
        <v>1819</v>
      </c>
      <c r="I334" s="3"/>
      <c r="J334" s="4">
        <v>21.91</v>
      </c>
      <c r="K334" s="4">
        <v>4.0</v>
      </c>
      <c r="L334" s="3" t="s">
        <v>321</v>
      </c>
      <c r="M334" s="3" t="s">
        <v>1820</v>
      </c>
      <c r="N334" s="7" t="str">
        <f>IFERROR(__xludf.DUMMYFUNCTION("GOOGLETRANSLATE(L334, ""en"", ""pt"")"),"Trabalhadores de paisagismo")</f>
        <v>Trabalhadores de paisagismo</v>
      </c>
      <c r="O334" s="7" t="str">
        <f>IFERROR(__xludf.DUMMYFUNCTION("IF(M334="""","""",GOOGLETRANSLATE(M334,""en"",""pt""))"),"Paisagismo e manutenção de terrenos utilizando ferramentas manuais ou elétricas. Os trabalhadores geralmente executam uma variedade de tarefas, que podem incluir qualquer combinação das seguintes: nivelamento/semeadura/colocação de grama, plantio, irrigaç"&amp;"ão, corte de grama, escavação, rastelagem, cobertura morta e instalação de blocos de concreto pré-moldados sem argamassa. Devem exercer julgamento independente; podem ser solicitados a demonstrar tarefas a outros funcionários, mas a função não inclui a su"&amp;"pervisão de outros trabalhadores. Classificação da função: 37-3011.00 - Trabalhadores de Paisagismo e Manutenção de Terrenos. A classificação e descrição da função/setor incluem informações gerais sobre o cargo, de acordo com o ONET/OES e o Sistema de Cla"&amp;"ssificação Industrial da América do Norte. Consulte as Funções e a Ordem de Serviço para obter mais informações. Requisitos da função: Experiência necessária: Sim. Meses de experiência necessários: 3. Requisitos especiais: Requer três meses de experiência"&amp;" prévia em paisagismo. Deve ser capaz de levantar/carregar 23 kg, quando necessário. Trabalho aos sábados e domingos, quando necessário. O empregador pode oferecer mais horas de trabalho do que as estipuladas, dependendo do clima, das necessidades da empr"&amp;"esa e de outras condições. Calor extremo, frio, chuva ou seca podem afetar o horário de trabalho exato. Número de horas por semana: 40. Horário de trabalho (início/término): 8h00 - 16h30.")</f>
        <v>Paisagismo e manutenção de terrenos utilizando ferramentas manuais ou elétricas. Os trabalhadores geralmente executam uma variedade de tarefas, que podem incluir qualquer combinação das seguintes: nivelamento/semeadura/colocação de grama, plantio, irrigação, corte de grama, escavação, rastelagem, cobertura morta e instalação de blocos de concreto pré-moldados sem argamassa. Devem exercer julgamento independente; podem ser solicitados a demonstrar tarefas a outros funcionários, mas a função não inclui a supervisão de outros trabalhadores. Classificação da função: 37-3011.00 - Trabalhadores de Paisagismo e Manutenção de Terrenos. A classificação e descrição da função/setor incluem informações gerais sobre o cargo, de acordo com o ONET/OES e o Sistema de Classificação Industrial da América do Norte. Consulte as Funções e a Ordem de Serviço para obter mais informações. Requisitos da função: Experiência necessária: Sim. Meses de experiência necessários: 3. Requisitos especiais: Requer três meses de experiência prévia em paisagismo. Deve ser capaz de levantar/carregar 23 kg, quando necessário. Trabalho aos sábados e domingos, quando necessário. O empregador pode oferecer mais horas de trabalho do que as estipuladas, dependendo do clima, das necessidades da empresa e de outras condições. Calor extremo, frio, chuva ou seca podem afetar o horário de trabalho exato. Número de horas por semana: 40. Horário de trabalho (início/término): 8h00 - 16h30.</v>
      </c>
    </row>
    <row r="335" ht="20.25" customHeight="1">
      <c r="A335" s="8" t="s">
        <v>1821</v>
      </c>
      <c r="B335" s="8" t="s">
        <v>1822</v>
      </c>
      <c r="C335" s="8" t="s">
        <v>125</v>
      </c>
      <c r="D335" s="8" t="s">
        <v>36</v>
      </c>
      <c r="E335" s="9" t="s">
        <v>19</v>
      </c>
      <c r="F335" s="9" t="s">
        <v>20</v>
      </c>
      <c r="G335" s="9" t="s">
        <v>1269</v>
      </c>
      <c r="H335" s="8" t="s">
        <v>1823</v>
      </c>
      <c r="I335" s="8" t="s">
        <v>1824</v>
      </c>
      <c r="J335" s="9">
        <v>17.87</v>
      </c>
      <c r="K335" s="9">
        <v>2.0</v>
      </c>
      <c r="L335" s="8" t="s">
        <v>129</v>
      </c>
      <c r="M335" s="8" t="s">
        <v>1825</v>
      </c>
      <c r="N335" s="7" t="str">
        <f>IFERROR(__xludf.DUMMYFUNCTION("GOOGLETRANSLATE(L335, ""en"", ""pt"")"),"Trabalhador de paisagismo e manutenção de jardins")</f>
        <v>Trabalhador de paisagismo e manutenção de jardins</v>
      </c>
      <c r="O335" s="7" t="str">
        <f>IFERROR(__xludf.DUMMYFUNCTION("IF(M335="""","""",GOOGLETRANSLATE(M335,""en"",""pt""))"),"As funções incluem a instalação de árvores, arbustos ou flores durante o período de dormência, seguindo o padrão de design apropriado. Isso inclui descarregar materiais, cavar buracos para o sistema radicular, cobrir os buracos adequadamente e, às vezes, "&amp;"colocar grama em placas, plantar sementes de grama ou conectar a irrigação. Também envolve a remoção de folhas, plantio de sementes e palha, aeração do gramado, plantio de arbustos, escavação, rastelagem e instalação de blocos de concreto pré-moldados sem"&amp;" argamassa. Os trabalhadores podem coletar e remover lixo, regar gramados, árvores e plantas semeadas, além de podar árvores, arbustos ou sebes. Podem operar equipamentos motorizados e dirigir veículos até os locais dos clientes. As tarefas podem incluir "&amp;"colocação de grama em placas, corte de grama, rega de plantas e gramados, transplante de plantas, fertilização, escavação, rastelagem e instalação de aspersores. Os funcionários cavarão valas com no máximo 15 a 30 cm de profundidade e 15 a 30 cm de largur"&amp;"a com pás e ferramentas manuais. Essas valas são usadas para acomodar a tubulação utilizada na instalação de sistemas de irrigação. Toda a poda/aparamento será feita no solo. Os trabalhadores não realizarão nenhuma atividade de poda ou corte acima do níve"&amp;"l do solo. O trabalhador poderá transportar outros trabalhadores de e para os locais de trabalho ocasionalmente, porém essa não será sua principal função. Os trabalhadores poderão operar equipamentos motorizados de jardinagem, incluindo cortadores de gram"&amp;"a, aparadores de borda, sopradores, roçadeiras, roçadeiras de jardim, tratores pequenos e equipamentos similares. Os trabalhadores poderão dirigir veículos da empresa, incluindo Ford F250 e Chevrolet 2500, de e para os locais de trabalho dos clientes. Os "&amp;"trabalhadores poderão ocasionalmente transportar outros trabalhadores de e para os locais de trabalho; no entanto, o transporte de trabalhadores não é uma função principal. Os trabalhadores também poderão ocasionalmente transportar materiais, ferramentas "&amp;"e equipamentos de jardinagem de e para os locais de trabalho, incluindo cobertura morta, plantas em vasos, pás, ancinhos, cortadores de grama, sopradores e roçadeiras de jardim. Nenhum material perigoso será transportado pelos trabalhadores. Todos os veíc"&amp;"ulos e equipamentos operados têm peso bruto total inferior a 26.000 libras (aproximadamente 11.800 kg), incluindo quaisquer reboques acoplados ou materiais transportados. Classificação da Função: 37-3011.00 - Trabalhadores de Paisagismo e Manutenção de Ja"&amp;"rdins. A classificação e descrição da função/setor inclui informações gerais sobre o cargo, de acordo com o ONET/OES e o Sistema de Classificação Industrial da América do Norte (NAICS). Consulte as Funções e a Ordem de Serviço para obter mais informações."&amp;" Requisitos da Função Experiência Necessária: Não. Requisitos Especiais: Capacidade de levantar 23 kg, realizar movimentos repetitivos, empurrar/puxar com frequência, caminhar bastante, agachar-se frequentemente e estar exposto a temperaturas extremas. Nú"&amp;"mero de Horas por Semana: 40. Horário de Trabalho (Início/Término): 7h às 16h.")</f>
        <v>As funções incluem a instalação de árvores, arbustos ou flores durante o período de dormência, seguindo o padrão de design apropriado. Isso inclui descarregar materiais, cavar buracos para o sistema radicular, cobrir os buracos adequadamente e, às vezes, colocar grama em placas, plantar sementes de grama ou conectar a irrigação. Também envolve a remoção de folhas, plantio de sementes e palha, aeração do gramado, plantio de arbustos, escavação, rastelagem e instalação de blocos de concreto pré-moldados sem argamassa. Os trabalhadores podem coletar e remover lixo, regar gramados, árvores e plantas semeadas, além de podar árvores, arbustos ou sebes. Podem operar equipamentos motorizados e dirigir veículos até os locais dos clientes. As tarefas podem incluir colocação de grama em placas, corte de grama, rega de plantas e gramados, transplante de plantas, fertilização, escavação, rastelagem e instalação de aspersores. Os funcionários cavarão valas com no máximo 15 a 30 cm de profundidade e 15 a 30 cm de largura com pás e ferramentas manuais. Essas valas são usadas para acomodar a tubulação utilizada na instalação de sistemas de irrigação. Toda a poda/aparamento será feita no solo. Os trabalhadores não realizarão nenhuma atividade de poda ou corte acima do nível do solo. O trabalhador poderá transportar outros trabalhadores de e para os locais de trabalho ocasionalmente, porém essa não será sua principal função. Os trabalhadores poderão operar equipamentos motorizados de jardinagem, incluindo cortadores de grama, aparadores de borda, sopradores, roçadeiras, roçadeiras de jardim, tratores pequenos e equipamentos similares. Os trabalhadores poderão dirigir veículos da empresa, incluindo Ford F250 e Chevrolet 2500, de e para os locais de trabalho dos clientes. Os trabalhadores poderão ocasionalmente transportar outros trabalhadores de e para os locais de trabalho; no entanto, o transporte de trabalhadores não é uma função principal. Os trabalhadores também poderão ocasionalmente transportar materiais, ferramentas e equipamentos de jardinagem de e para os locais de trabalho, incluindo cobertura morta, plantas em vasos, pás, ancinhos, cortadores de grama, sopradores e roçadeiras de jardim. Nenhum material perigoso será transportado pelos trabalhadores. Todos os veículos e equipamentos operados têm peso bruto total inferior a 26.000 libras (aproximadamente 11.800 kg), incluindo quaisquer reboques acoplados ou materiais transportados. Classificação da Função: 37-3011.00 - Trabalhadores de Paisagismo e Manutenção de Jardins. A classificação e descrição da função/setor inclui informações gerais sobre o cargo, de acordo com o ONET/OES e o Sistema de Classificação Industrial da América do Norte (NAICS). Consulte as Funções e a Ordem de Serviço para obter mais informações. Requisitos da Função Experiência Necessária: Não. Requisitos Especiais: Capacidade de levantar 23 kg, realizar movimentos repetitivos, empurrar/puxar com frequência, caminhar bastante, agachar-se frequentemente e estar exposto a temperaturas extremas. Número de Horas por Semana: 40. Horário de Trabalho (Início/Término): 7h às 16h.</v>
      </c>
    </row>
    <row r="336" ht="20.25" customHeight="1">
      <c r="A336" s="3" t="s">
        <v>1826</v>
      </c>
      <c r="B336" s="3" t="s">
        <v>1827</v>
      </c>
      <c r="C336" s="3" t="s">
        <v>1828</v>
      </c>
      <c r="D336" s="3" t="s">
        <v>306</v>
      </c>
      <c r="E336" s="4" t="s">
        <v>44</v>
      </c>
      <c r="F336" s="4" t="s">
        <v>20</v>
      </c>
      <c r="G336" s="4" t="s">
        <v>1829</v>
      </c>
      <c r="H336" s="3" t="s">
        <v>1830</v>
      </c>
      <c r="I336" s="3" t="s">
        <v>1831</v>
      </c>
      <c r="J336" s="4">
        <v>20.49</v>
      </c>
      <c r="K336" s="4">
        <v>8.0</v>
      </c>
      <c r="L336" s="3" t="s">
        <v>996</v>
      </c>
      <c r="M336" s="3" t="s">
        <v>1832</v>
      </c>
      <c r="N336" s="7" t="str">
        <f>IFERROR(__xludf.DUMMYFUNCTION("GOOGLETRANSLATE(L336, ""en"", ""pt"")"),"Instalador/decorador")</f>
        <v>Instalador/decorador</v>
      </c>
      <c r="O336" s="7" t="str">
        <f>IFERROR(__xludf.DUMMYFUNCTION("IF(M336="""","""",GOOGLETRANSLATE(M336,""en"",""pt""))"),"As funções podem incluir: sob supervisão, organizar e transportar luzes de Natal, clipes de fixação de plástico, decorações, escadas, ferramentas e suprimentos do depósito para os locais de trabalho. Auxiliar no ajuste, teste e substituição de luzes e dec"&amp;"orações de Natal em telhados, cercas, estruturas, árvores e arbustos, conforme solicitação do cliente. Segurar, auxiliar ou fornecer luzes de Natal, clipes de fixação de plástico, decorações, escadas extensíveis e de mão, vara de instalação com gancho e s"&amp;"uprimentos para outros instaladores. Auxiliar no ajuste de extensões elétricas e temporizadores automáticos. Remover, organizar, embalar e armazenar luzes e decorações de Natal após a temporada de festas. Limpar e manter o local de trabalho e outras ativi"&amp;"dades relacionadas à instalação/decoração, conforme SOC/OES 49-9098 (onetonline.org). Horário padrão/esperado: segunda a sexta, das 7h30 às 19h30. Oferecemos mais de 40 horas semanais, sem incluir almoço e/ou intervalos. Possibilidade de trabalho nos fins"&amp;" de semana e feriados. Os horários de início e término, a carga horária oferecida e/ou a possibilidade de horas extras podem variar, pois dependem de fatores como necessidades do projeto/cronograma/serviço, condições climáticas e tempo de deslocamento ent"&amp;"re os locais de trabalho (se aplicável). Horas extras são possíveis, mas não obrigatórias nem garantidas. A critério exclusivo do empregador: aumentos salariais e/ou bônus podem ser concedidos com base em fatores individuais, como desempenho ou habilidade"&amp;"s (não garantidos). Moradia mobiliada compartilhada opcional disponível para o trabalhador por um valor mensal de até US$ 325; caso a moradia seja aceita pelo trabalhador, o valor mensal deverá ser pago diretamente ao proprietário. Classificação da vaga: "&amp;"49-9098.00 - Ajudantes - Trabalhadores de Instalação, Manutenção e Reparo. A classificação e a descrição da vaga/setor incluem informações gerais sobre o cargo, conforme o ONET/OES e o Sistema de Classificação Industrial da América do Norte (NAICS). Consu"&amp;"lte as Funções e a Ordem de Serviço para obter mais informações. Requisitos da vaga: Experiência exigida: Não. Requisitos especiais: É necessário ter 18 anos devido a questões de seguro. É necessário apresentar comprovante de autorização legal para trabal"&amp;"har nos Estados Unidos. Ambiente de trabalho livre de drogas, álcool e tabaco. Atividades físicas como levantar, equilibrar-se, caminhar, abaixar-se, manusear, posicionar, mover e manipular materiais, utilizando força estática para exercer força muscular "&amp;"máxima para levantar, empurrar, puxar e carregar objetos de até 18 kg. Todos os candidatos devem ser capazes, dispostos e qualificados para realizar o trabalho descrito e devem estar disponíveis durante todo o período especificado, trabalhando em todas as"&amp;" áreas da empresa. O trabalho é realizado ao ar livre, exposto às intempéries; o candidato deve ser capaz de realizar trabalho fisicamente extenuante por longos períodos, ocasionalmente em calor ou frio extremos. Condições climáticas variáveis ​​se aplica"&amp;"m; a carga horária pode sofrer alterações (+/-), com possibilidade de períodos de inatividade e/ou horas extras. Número de horas por semana: 40. Horário de trabalho (início/término): 7h30 às 19h30.")</f>
        <v>As funções podem incluir: sob supervisão, organizar e transportar luzes de Natal, clipes de fixação de plástico, decorações, escadas, ferramentas e suprimentos do depósito para os locais de trabalho. Auxiliar no ajuste, teste e substituição de luzes e decorações de Natal em telhados, cercas, estruturas, árvores e arbustos, conforme solicitação do cliente. Segurar, auxiliar ou fornecer luzes de Natal, clipes de fixação de plástico, decorações, escadas extensíveis e de mão, vara de instalação com gancho e suprimentos para outros instaladores. Auxiliar no ajuste de extensões elétricas e temporizadores automáticos. Remover, organizar, embalar e armazenar luzes e decorações de Natal após a temporada de festas. Limpar e manter o local de trabalho e outras atividades relacionadas à instalação/decoração, conforme SOC/OES 49-9098 (onetonline.org). Horário padrão/esperado: segunda a sexta, das 7h30 às 19h30. Oferecemos mais de 40 horas semanais, sem incluir almoço e/ou intervalos. Possibilidade de trabalho nos fins de semana e feriados. Os horários de início e término, a carga horária oferecida e/ou a possibilidade de horas extras podem variar, pois dependem de fatores como necessidades do projeto/cronograma/serviço, condições climáticas e tempo de deslocamento entre os locais de trabalho (se aplicável). Horas extras são possíveis, mas não obrigatórias nem garantidas. A critério exclusivo do empregador: aumentos salariais e/ou bônus podem ser concedidos com base em fatores individuais, como desempenho ou habilidades (não garantidos). Moradia mobiliada compartilhada opcional disponível para o trabalhador por um valor mensal de até US$ 325; caso a moradia seja aceita pelo trabalhador, o valor mensal deverá ser pago diretamente ao proprietário. Classificação da vaga: 49-9098.00 - Ajudantes - Trabalhadores de Instalação, Manutenção e Reparo. A classificação e a descrição da vaga/setor incluem informações gerais sobre o cargo, conforme o ONET/OES e o Sistema de Classificação Industrial da América do Norte (NAICS). Consulte as Funções e a Ordem de Serviço para obter mais informações. Requisitos da vaga: Experiência exigida: Não. Requisitos especiais: É necessário ter 18 anos devido a questões de seguro. É necessário apresentar comprovante de autorização legal para trabalhar nos Estados Unidos. Ambiente de trabalho livre de drogas, álcool e tabaco. Atividades físicas como levantar, equilibrar-se, caminhar, abaixar-se, manusear, posicionar, mover e manipular materiais, utilizando força estática para exercer força muscular máxima para levantar, empurrar, puxar e carregar objetos de até 18 kg. Todos os candidatos devem ser capazes, dispostos e qualificados para realizar o trabalho descrito e devem estar disponíveis durante todo o período especificado, trabalhando em todas as áreas da empresa. O trabalho é realizado ao ar livre, exposto às intempéries; o candidato deve ser capaz de realizar trabalho fisicamente extenuante por longos períodos, ocasionalmente em calor ou frio extremos. Condições climáticas variáveis ​​se aplicam; a carga horária pode sofrer alterações (+/-), com possibilidade de períodos de inatividade e/ou horas extras. Número de horas por semana: 40. Horário de trabalho (início/término): 7h30 às 19h30.</v>
      </c>
    </row>
    <row r="337" ht="20.25" customHeight="1">
      <c r="A337" s="8" t="s">
        <v>1833</v>
      </c>
      <c r="B337" s="8" t="s">
        <v>1834</v>
      </c>
      <c r="C337" s="8" t="s">
        <v>169</v>
      </c>
      <c r="D337" s="8" t="s">
        <v>299</v>
      </c>
      <c r="E337" s="9" t="s">
        <v>19</v>
      </c>
      <c r="F337" s="9" t="s">
        <v>20</v>
      </c>
      <c r="G337" s="9" t="s">
        <v>181</v>
      </c>
      <c r="H337" s="8" t="s">
        <v>1835</v>
      </c>
      <c r="I337" s="8" t="s">
        <v>1836</v>
      </c>
      <c r="J337" s="9">
        <v>18.59</v>
      </c>
      <c r="K337" s="9">
        <v>77.0</v>
      </c>
      <c r="L337" s="8" t="s">
        <v>1837</v>
      </c>
      <c r="M337" s="8" t="s">
        <v>1838</v>
      </c>
      <c r="N337" s="7" t="str">
        <f>IFERROR(__xludf.DUMMYFUNCTION("GOOGLETRANSLATE(L337, ""en"", ""pt"")"),"Trabalhadores de Coroas de Flores")</f>
        <v>Trabalhadores de Coroas de Flores</v>
      </c>
      <c r="O337" s="7" t="str">
        <f>IFERROR(__xludf.DUMMYFUNCTION("IF(M337="""","""",GOOGLETRANSLATE(M337,""en"",""pt""))"),"Os funcionários responsáveis ​​pela confecção de guirlandas selecionam uma variedade de folhagens e enfeites natalinos, como pinhas, galhos de zimbro, fitas e laços, para criar arranjos decorativos para as festas de fim de ano, como guirlandas de Natal, a"&amp;"rranjos para portas e centros de mesa. Eles receberão treinamento sobre as propriedades das plantas e padrões de design padrão para criar os arranjos designados. Os funcionários selecionam as folhagens e os materiais, usam tesouras de poda para aparar as "&amp;"folhagens selecionadas, amarram e moldam os materiais em arranjos e designs artísticos específicos para os clientes. Eles colocam os arranjos finalizados em mesas para o departamento de expedição, que coleta, embala e envia os produtos aos clientes. Os fu"&amp;"ncionários limpam os resíduos das mesas e áreas de trabalho e garantem o armazenamento adequado das folhagens e dos materiais ao final do dia. Nível inicial; requer supervisão. Treinamento no local de trabalho fornecido. Classificação da vaga: 27-1023.00 "&amp;"- Designers Florais. A classificação e a descrição da vaga/indústria incluem informações gerais sobre o cargo, de acordo com o ONET/OES e o Sistema de Classificação Industrial da América do Norte (NAICS). Consulte a Descrição das Funções e a Ordem de Serv"&amp;"iço para obter mais informações. Requisitos da Vaga Experiência Necessária: Não Requisitos Especiais: Deve ser capaz de levantar/carregar regularmente 18 kg de matéria-prima e levantar produtos acabados com peso de até 7 kg. A função também exige ficar em"&amp;" pé por longos períodos e se curvar, agarrar, puxar e levantar com frequência. Trabalho aos sábados e domingos, quando necessário. Exame toxicológico pago pelo empregador é obrigatório para trabalhadores estrangeiros e nacionais antes do início do trabalh"&amp;"o e após a contratação, em caso de acidente. O empregador pode oferecer mais horas de trabalho do que as estipuladas, dependendo do clima, das necessidades da empresa e de outras condições. Número de Horas por Semana: 40 Horário de Trabalho (Início/Términ"&amp;"o): 8h00 - 16h30")</f>
        <v>Os funcionários responsáveis ​​pela confecção de guirlandas selecionam uma variedade de folhagens e enfeites natalinos, como pinhas, galhos de zimbro, fitas e laços, para criar arranjos decorativos para as festas de fim de ano, como guirlandas de Natal, arranjos para portas e centros de mesa. Eles receberão treinamento sobre as propriedades das plantas e padrões de design padrão para criar os arranjos designados. Os funcionários selecionam as folhagens e os materiais, usam tesouras de poda para aparar as folhagens selecionadas, amarram e moldam os materiais em arranjos e designs artísticos específicos para os clientes. Eles colocam os arranjos finalizados em mesas para o departamento de expedição, que coleta, embala e envia os produtos aos clientes. Os funcionários limpam os resíduos das mesas e áreas de trabalho e garantem o armazenamento adequado das folhagens e dos materiais ao final do dia. Nível inicial; requer supervisão. Treinamento no local de trabalho fornecido. Classificação da vaga: 27-1023.00 - Designers Florais. A classificação e a descrição da vaga/indústria incluem informações gerais sobre o cargo, de acordo com o ONET/OES e o Sistema de Classificação Industrial da América do Norte (NAICS). Consulte a Descrição das Funções e a Ordem de Serviço para obter mais informações. Requisitos da Vaga Experiência Necessária: Não Requisitos Especiais: Deve ser capaz de levantar/carregar regularmente 18 kg de matéria-prima e levantar produtos acabados com peso de até 7 kg. A função também exige ficar em pé por longos períodos e se curvar, agarrar, puxar e levantar com frequência. Trabalho aos sábados e domingos, quando necessário. Exame toxicológico pago pelo empregador é obrigatório para trabalhadores estrangeiros e nacionais antes do início do trabalho e após a contratação, em caso de acidente. O empregador pode oferecer mais horas de trabalho do que as estipuladas, dependendo do clima, das necessidades da empresa e de outras condições. Número de Horas por Semana: 40 Horário de Trabalho (Início/Término): 8h00 - 16h30</v>
      </c>
    </row>
    <row r="338" ht="20.25" customHeight="1">
      <c r="A338" s="3" t="s">
        <v>1839</v>
      </c>
      <c r="B338" s="3" t="s">
        <v>1840</v>
      </c>
      <c r="C338" s="3" t="s">
        <v>363</v>
      </c>
      <c r="D338" s="3" t="s">
        <v>79</v>
      </c>
      <c r="E338" s="4" t="s">
        <v>19</v>
      </c>
      <c r="F338" s="4" t="s">
        <v>20</v>
      </c>
      <c r="G338" s="4" t="s">
        <v>155</v>
      </c>
      <c r="H338" s="3" t="s">
        <v>1841</v>
      </c>
      <c r="I338" s="3" t="s">
        <v>1842</v>
      </c>
      <c r="J338" s="4">
        <v>20.36</v>
      </c>
      <c r="K338" s="4">
        <v>90.0</v>
      </c>
      <c r="L338" s="3" t="s">
        <v>83</v>
      </c>
      <c r="M338" s="3" t="s">
        <v>1843</v>
      </c>
      <c r="N338" s="7" t="str">
        <f>IFERROR(__xludf.DUMMYFUNCTION("GOOGLETRANSLATE(L338, ""en"", ""pt"")"),"Trabalhador Florestal")</f>
        <v>Trabalhador Florestal</v>
      </c>
      <c r="O338" s="7" t="str">
        <f>IFERROR(__xludf.DUMMYFUNCTION("IF(M338="""","""",GOOGLETRANSLATE(M338,""en"",""pt""))"),"As funções podem incluir: sob supervisão, cultivar e transportar mudas; selecionar mudas de árvores, descartando as mudas abaixo do padrão, de acordo com tabelas padrão ou instruções verbais. Plantar: mudas/árvores. Pulverizar ou injetar inseticidas na ve"&amp;"getação para matar insetos ou protegê-la contra doenças, ou herbicidas para reduzir a competição com outras plantas; estimular o crescimento. Podar árvores ou outras vegetações; cortar árvores ou toras. SE NECESSÁRIO, OU SOMENTE EM CASO DE INCÊNDIO IMPREV"&amp;"ISTO: SOB A ORIENTAÇÃO DE OFICIAIS DE COMBATE A INCÊNDIOS OU TÉCNICOS FLORESTAIS - combate a incêndios de menor escala por meio de limpeza/descarte de vegetação rasteira e empilhamento, e outras atividades relacionadas a trabalhadores florestais, conforme"&amp;" SOC/OES 45-4011 (onetonline.org). Horário padrão/previsto: segunda a sexta, das 8h às 15h. Oferecendo mais de 35 horas semanais, sem incluir almoço e/ou intervalos. Possibilidade de trabalho em fins de semana e feriados. Os horários de início e término, "&amp;"a carga horária oferecida e/ou a possibilidade de horas extras podem variar, pois dependem de fatores como necessidades do projeto/cronograma/serviço, condições climáticas e tempo de deslocamento entre os locais de trabalho (se aplicável). Horas extras sã"&amp;"o possíveis, mas não obrigatórias nem garantidas. A critério exclusivo do empregador: aumentos salariais e/ou bônus podem ser concedidos com base em fatores individuais, como desempenho ou habilidades (não garantidos). Moradia compartilhada opcional dispo"&amp;"nível sem custo para o trabalhador. Classificação da vaga: 45-4011.00 - Trabalhadores Florestais e de Conservação. A classificação e a descrição da vaga/setor incluem informações gerais sobre o cargo, de acordo com o ONET/OES e o Sistema de Classificação "&amp;"Industrial da América do Norte. Consulte as Funções e a Ordem de Serviço para obter mais informações. Requisitos da vaga: Experiência exigida: Sim. Meses de experiência exigidos: 3. Requisitos especiais: É necessário ter 18 anos devido a viagens. É necess"&amp;"ário apresentar comprovante de autorização legal para trabalhar nos Estados Unidos. Ambiente de trabalho livre de drogas, álcool e tabaco. É necessário caminhar bastante (até 24 km/dia), além de se abaixar e se curvar carregando uma mochila (até 23 kg) em"&amp;" terrenos acidentados (fora de trilhas). Todos os candidatos devem ser capazes, dispostos e qualificados para realizar o trabalho descrito e devem estar disponíveis durante todo o período especificado e trabalhar em todas as áreas da vaga. O trabalho é re"&amp;"alizado ao ar livre, exposto às intempéries; o candidato deve ser capaz de realizar trabalho fisicamente extenuante por longos períodos, ocasionalmente em calor ou frio extremos. As condições climáticas são variáveis; a carga horária pode sofrer alteraçõe"&amp;"s, com possibilidade de períodos de inatividade e/ou horas extras. Número de horas por semana: 40. Horário de trabalho (início/término): 8h às 15h.")</f>
        <v>As funções podem incluir: sob supervisão, cultivar e transportar mudas; selecionar mudas de árvores, descartando as mudas abaixo do padrão, de acordo com tabelas padrão ou instruções verbais. Plantar: mudas/árvores. Pulverizar ou injetar inseticidas na vegetação para matar insetos ou protegê-la contra doenças, ou herbicidas para reduzir a competição com outras plantas; estimular o crescimento. Podar árvores ou outras vegetações; cortar árvores ou toras. SE NECESSÁRIO, OU SOMENTE EM CASO DE INCÊNDIO IMPREVISTO: SOB A ORIENTAÇÃO DE OFICIAIS DE COMBATE A INCÊNDIOS OU TÉCNICOS FLORESTAIS - combate a incêndios de menor escala por meio de limpeza/descarte de vegetação rasteira e empilhamento, e outras atividades relacionadas a trabalhadores florestais, conforme SOC/OES 45-4011 (onetonline.org). Horário padrão/previsto: segunda a sexta, das 8h às 15h. Oferecendo mais de 35 horas semanais, sem incluir almoço e/ou intervalos. Possibilidade de trabalho em fins de semana e feriados. Os horários de início e término, a carga horária oferecida e/ou a possibilidade de horas extras podem variar, pois dependem de fatores como necessidades do projeto/cronograma/serviço, condições climáticas e tempo de deslocamento entre os locais de trabalho (se aplicável). Horas extras são possíveis, mas não obrigatórias nem garantidas. A critério exclusivo do empregador: aumentos salariais e/ou bônus podem ser concedidos com base em fatores individuais, como desempenho ou habilidades (não garantidos). Moradia compartilhada opcional disponível sem custo para o trabalhador. Classificação da vaga: 45-4011.00 - Trabalhadores Florestais e de Conservação. A classificação e a descrição da vaga/setor incluem informações gerais sobre o cargo, de acordo com o ONET/OES e o Sistema de Classificação Industrial da América do Norte. Consulte as Funções e a Ordem de Serviço para obter mais informações. Requisitos da vaga: Experiência exigida: Sim. Meses de experiência exigidos: 3. Requisitos especiais: É necessário ter 18 anos devido a viagens. É necessário apresentar comprovante de autorização legal para trabalhar nos Estados Unidos. Ambiente de trabalho livre de drogas, álcool e tabaco. É necessário caminhar bastante (até 24 km/dia), além de se abaixar e se curvar carregando uma mochila (até 23 kg) em terrenos acidentados (fora de trilhas). Todos os candidatos devem ser capazes, dispostos e qualificados para realizar o trabalho descrito e devem estar disponíveis durante todo o período especificado e trabalhar em todas as áreas da vaga. O trabalho é realizado ao ar livre, exposto às intempéries; o candidato deve ser capaz de realizar trabalho fisicamente extenuante por longos períodos, ocasionalmente em calor ou frio extremos. As condições climáticas são variáveis; a carga horária pode sofrer alterações, com possibilidade de períodos de inatividade e/ou horas extras. Número de horas por semana: 40. Horário de trabalho (início/término): 8h às 15h.</v>
      </c>
    </row>
    <row r="339" ht="20.25" customHeight="1">
      <c r="A339" s="8" t="s">
        <v>1844</v>
      </c>
      <c r="B339" s="8" t="s">
        <v>570</v>
      </c>
      <c r="C339" s="8"/>
      <c r="D339" s="8" t="s">
        <v>18</v>
      </c>
      <c r="E339" s="9" t="s">
        <v>44</v>
      </c>
      <c r="F339" s="9" t="s">
        <v>20</v>
      </c>
      <c r="G339" s="9" t="s">
        <v>146</v>
      </c>
      <c r="H339" s="8" t="s">
        <v>571</v>
      </c>
      <c r="I339" s="8" t="s">
        <v>1094</v>
      </c>
      <c r="J339" s="9">
        <v>18.1</v>
      </c>
      <c r="K339" s="9">
        <v>33.0</v>
      </c>
      <c r="L339" s="8" t="s">
        <v>1615</v>
      </c>
      <c r="M339" s="8" t="s">
        <v>1616</v>
      </c>
      <c r="N339" s="7" t="str">
        <f>IFERROR(__xludf.DUMMYFUNCTION("GOOGLETRANSLATE(L339, ""en"", ""pt"")"),"Limpador de arbustos Ft Temp com responsabilidade de supervisão.")</f>
        <v>Limpador de arbustos Ft Temp com responsabilidade de supervisão.</v>
      </c>
      <c r="O339" s="7" t="str">
        <f>IFERROR(__xludf.DUMMYFUNCTION("IF(M339="""","""",GOOGLETRANSLATE(M339,""en"",""pt""))"),"***Resposta à Solicitação de Informações*** Sob supervisão, o(a) funcionário(a) auxiliará na direção, coordenação, monitoramento e documentação das atividades, além de motivar os colegas. O(a) funcionário(a) coordenará com o(a) supervisor(a) para determin"&amp;"ar os horários de trabalho e atribuir locais de trabalho específicos. O(a) funcionário(a) também verificará o progresso dos trabalhadores/trabalho ao longo do dia, preencherá relatórios diários de campo, ajudará os trabalhadores a lidar com as dificuldade"&amp;"s que possam surgir no campo e auxiliará no manuseio de herbicidas. O(a) funcionário(a) deverá transportar os trabalhadores em veículos da empresa. Também poderá ser necessário transportar materiais, ferramentas e/ou equipamentos específicos para o trabal"&amp;"ho. ***Original*** Sob supervisão, o(a) funcionário(a) auxiliará na direção, coordenação, monitoramento e documentação das atividades, além de motivar os colegas e manusear herbicidas. O(a) funcionário(a) deverá transportar os trabalhadores em veículos da"&amp;" empresa. E.A.4A é um número típico. O número pode variar dependendo do gerente que estiver sendo auxiliado. O dia de trabalho normalmente começará entre 6h e 7h da manhã e será necessário fazer horas extras. O(a) funcionário(a) poderá ser elegível para r"&amp;"eceber um bônus discricionário com base em uma porcentagem da remuneração total ao concluir sua obrigação sazonal. O trabalho e o deslocamento serão realizados em áreas de tamanho variável, de menos de um acre a milhares de acres, conforme regido pelos Pr"&amp;"ocedimentos Especiais Florestais. O trabalhador poderá, ocasionalmente, utilizar pulverizador costal e ferramentas manuais para aplicar herbicida na limpeza de vegetação ou detritos em faixas de servidão de concessionárias de serviços públicos, pastagens,"&amp;" áreas de vida selvagem, acostamentos de estradas, áreas industriais e outras áreas, carregando até 16 kg de equipamento enquanto caminha em terrenos acidentados. As tarefas serão executadas em áreas determinadas por um itinerário, de acordo com as Normas"&amp;" Florestais [GAL I-97 H2B] [FR DOC. E7-12766] [TEGL 27-6] e diversas outras publicações e práticas estabelecidas. Consulte o anexo Resposta CDR P-400-13042-521868 de 14 de novembro de 2013. Classificação do Cargo: 37-1012.00 - Supervisores de Primeira Lin"&amp;"ha de Trabalhadores de Paisagismo, Serviços de Gramado e Manutenção de Áreas Verdes. A classificação e descrição do cargo/setor incluem informações gerais sobre a posição, conforme o ONET/OES e o Sistema de Classificação Industrial da América do Norte (NA"&amp;"ICS). Consulte as Funções e a Ordem de Serviço para obter mais informações. Requisitos do Cargo Experiência Necessária: Sim Meses de Experiência Necessários: 12 Requisitos Especiais: O candidato deve ter 21 anos de idade e disponibilidade para viagens com"&amp;" pernoite por períodos prolongados. O candidato deve ter no mínimo 1 ano de experiência comprovada supervisionando pelo menos 6 trabalhadores de limpeza de vegetação em faixas de domínio de concessionárias de serviços públicos ou áreas florestais, e demon"&amp;"strar competência na identificação de folhagens, manuseio de pesticidas e aplicação de herbicidas em baixa quantidade, de acordo com os padrões do setor. O candidato deve ser capaz de obter uma licença estadual para aplicação de pesticidas nas áreas de tr"&amp;"abalho onde for exigido por regulamentação governamental. O candidato deve possuir um bom histórico de condução e carteira de habilitação, atender a todos os padrões da empresa para motoristas, ser aprovado no teste de direção da empresa, preencher a fich"&amp;"a de inscrição da empresa e poderá ser obrigado a obter um certificado médico do DOT antes de dirigir. Não é necessário treinamento prévio, mas o candidato deverá participar de um treinamento pago pela empresa no local de início das atividades. A Progress"&amp;"ive Solutions mantém um ambiente de trabalho livre de drogas, e os funcionários podem ser submetidos a testes de drogas após a contratação, conforme exigido por contratos governamentais. Número de horas por semana: 50. Horário de trabalho (início/término)"&amp;": 6h30 às 16h.")</f>
        <v>***Resposta à Solicitação de Informações*** Sob supervisão, o(a) funcionário(a) auxiliará na direção, coordenação, monitoramento e documentação das atividades, além de motivar os colegas. O(a) funcionário(a) coordenará com o(a) supervisor(a) para determinar os horários de trabalho e atribuir locais de trabalho específicos. O(a) funcionário(a) também verificará o progresso dos trabalhadores/trabalho ao longo do dia, preencherá relatórios diários de campo, ajudará os trabalhadores a lidar com as dificuldades que possam surgir no campo e auxiliará no manuseio de herbicidas. O(a) funcionário(a) deverá transportar os trabalhadores em veículos da empresa. Também poderá ser necessário transportar materiais, ferramentas e/ou equipamentos específicos para o trabalho. ***Original*** Sob supervisão, o(a) funcionário(a) auxiliará na direção, coordenação, monitoramento e documentação das atividades, além de motivar os colegas e manusear herbicidas. O(a) funcionário(a) deverá transportar os trabalhadores em veículos da empresa. E.A.4A é um número típico. O número pode variar dependendo do gerente que estiver sendo auxiliado. O dia de trabalho normalmente começará entre 6h e 7h da manhã e será necessário fazer horas extras. O(a) funcionário(a) poderá ser elegível para receber um bônus discricionário com base em uma porcentagem da remuneração total ao concluir sua obrigação sazonal. O trabalho e o deslocamento serão realizados em áreas de tamanho variável, de menos de um acre a milhares de acres, conforme regido pelos Procedimentos Especiais Florestais. O trabalhador poderá, ocasionalmente, utilizar pulverizador costal e ferramentas manuais para aplicar herbicida na limpeza de vegetação ou detritos em faixas de servidão de concessionárias de serviços públicos, pastagens, áreas de vida selvagem, acostamentos de estradas, áreas industriais e outras áreas, carregando até 16 kg de equipamento enquanto caminha em terrenos acidentados. As tarefas serão executadas em áreas determinadas por um itinerário, de acordo com as Normas Florestais [GAL I-97 H2B] [FR DOC. E7-12766] [TEGL 27-6] e diversas outras publicações e práticas estabelecidas. Consulte o anexo Resposta CDR P-400-13042-521868 de 14 de novembro de 2013. Classificação do Cargo: 37-1012.00 - Supervisores de Primeira Linha de Trabalhadores de Paisagismo, Serviços de Gramado e Manutenção de Áreas Verdes. A classificação e descrição do cargo/setor incluem informações gerais sobre a posição, conforme o ONET/OES e o Sistema de Classificação Industrial da América do Norte (NAICS). Consulte as Funções e a Ordem de Serviço para obter mais informações. Requisitos do Cargo Experiência Necessária: Sim Meses de Experiência Necessários: 12 Requisitos Especiais: O candidato deve ter 21 anos de idade e disponibilidade para viagens com pernoite por períodos prolongados. O candidato deve ter no mínimo 1 ano de experiência comprovada supervisionando pelo menos 6 trabalhadores de limpeza de vegetação em faixas de domínio de concessionárias de serviços públicos ou áreas florestais, e demonstrar competência na identificação de folhagens, manuseio de pesticidas e aplicação de herbicidas em baixa quantidade, de acordo com os padrões do setor. O candidato deve ser capaz de obter uma licença estadual para aplicação de pesticidas nas áreas de trabalho onde for exigido por regulamentação governamental. O candidato deve possuir um bom histórico de condução e carteira de habilitação, atender a todos os padrões da empresa para motoristas, ser aprovado no teste de direção da empresa, preencher a ficha de inscrição da empresa e poderá ser obrigado a obter um certificado médico do DOT antes de dirigir. Não é necessário treinamento prévio, mas o candidato deverá participar de um treinamento pago pela empresa no local de início das atividades. A Progressive Solutions mantém um ambiente de trabalho livre de drogas, e os funcionários podem ser submetidos a testes de drogas após a contratação, conforme exigido por contratos governamentais. Número de horas por semana: 50. Horário de trabalho (início/término): 6h30 às 16h.</v>
      </c>
    </row>
    <row r="340" ht="20.25" customHeight="1">
      <c r="A340" s="3" t="s">
        <v>1845</v>
      </c>
      <c r="B340" s="3" t="s">
        <v>1846</v>
      </c>
      <c r="C340" s="3" t="s">
        <v>1369</v>
      </c>
      <c r="D340" s="3" t="s">
        <v>71</v>
      </c>
      <c r="E340" s="4" t="s">
        <v>19</v>
      </c>
      <c r="F340" s="4" t="s">
        <v>20</v>
      </c>
      <c r="G340" s="4" t="s">
        <v>29</v>
      </c>
      <c r="H340" s="3" t="s">
        <v>1847</v>
      </c>
      <c r="I340" s="3" t="s">
        <v>1848</v>
      </c>
      <c r="J340" s="4">
        <v>19.98</v>
      </c>
      <c r="K340" s="4">
        <v>12.0</v>
      </c>
      <c r="L340" s="3" t="s">
        <v>1849</v>
      </c>
      <c r="M340" s="3" t="s">
        <v>1850</v>
      </c>
      <c r="N340" s="7" t="str">
        <f>IFERROR(__xludf.DUMMYFUNCTION("GOOGLETRANSLATE(L340, ""en"", ""pt"")"),"Marinheiro")</f>
        <v>Marinheiro</v>
      </c>
      <c r="O340" s="7" t="str">
        <f>IFERROR(__xludf.DUMMYFUNCTION("IF(M340="""","""",GOOGLETRANSLATE(M340,""en"",""pt""))"),"Carregar e descarregar equipamentos e suprimentos, como cordas, redes, armadilhas, lixo e pescado, do barco, no início e no final de cada dia de trabalho, no cais de carga e armazená-los em 201 20 St, Lot 4, Marathon, FL 33050. Montar armadilhas para garr"&amp;"as de caranguejo-pedra. Limpar e reparar armadilhas. Puxar as armadilhas e pescar as garras de caranguejo-pedra. Classificar as garras de caranguejo-pedra com base no tamanho e processar o produto usando as ferramentas de medição fornecidas, como medidore"&amp;"s de caranguejo, e separar por tamanho. Devolver o pescado à água. Limpar equipamentos e ferramentas. Classificação do Cargo: 51-3022.00 - Cortadores e Aparadores de Carne, Aves e Peixes. A classificação e descrição do cargo/setor inclui informações gerai"&amp;"s sobre a posição da ONET/OES e do Sistema de Classificação Industrial da América do Norte. Consulte as Funções e a Ordem de Serviço para obter mais informações. Requisitos do Cargo: Experiência Necessária: Não. Requisitos Especiais: O horário de trabalho"&amp;" varia devido ao clima, problemas mecânicos e outros imprevistos. Número de horas por semana: 35 Horário de trabalho (início/término): 7h00 - 15h00")</f>
        <v>Carregar e descarregar equipamentos e suprimentos, como cordas, redes, armadilhas, lixo e pescado, do barco, no início e no final de cada dia de trabalho, no cais de carga e armazená-los em 201 20 St, Lot 4, Marathon, FL 33050. Montar armadilhas para garras de caranguejo-pedra. Limpar e reparar armadilhas. Puxar as armadilhas e pescar as garras de caranguejo-pedra. Classificar as garras de caranguejo-pedra com base no tamanho e processar o produto usando as ferramentas de medição fornecidas, como medidores de caranguejo, e separar por tamanho. Devolver o pescado à água. Limpar equipamentos e ferramentas. Classificação do Cargo: 51-3022.00 - Cortadores e Aparadores de Carne, Aves e Peixes. A classificação e descrição do cargo/setor inclui informações gerais sobre a posição da ONET/OES e do Sistema de Classificação Industrial da América do Norte. Consulte as Funções e a Ordem de Serviço para obter mais informações. Requisitos do Cargo: Experiência Necessária: Não. Requisitos Especiais: O horário de trabalho varia devido ao clima, problemas mecânicos e outros imprevistos. Número de horas por semana: 35 Horário de trabalho (início/término): 7h00 - 15h00</v>
      </c>
    </row>
    <row r="341" ht="20.25" customHeight="1">
      <c r="A341" s="8" t="s">
        <v>1851</v>
      </c>
      <c r="B341" s="8" t="s">
        <v>1852</v>
      </c>
      <c r="C341" s="8" t="s">
        <v>63</v>
      </c>
      <c r="D341" s="8" t="s">
        <v>602</v>
      </c>
      <c r="E341" s="9" t="s">
        <v>19</v>
      </c>
      <c r="F341" s="9" t="s">
        <v>20</v>
      </c>
      <c r="G341" s="9" t="s">
        <v>146</v>
      </c>
      <c r="H341" s="8" t="s">
        <v>1853</v>
      </c>
      <c r="I341" s="8" t="s">
        <v>1854</v>
      </c>
      <c r="J341" s="9">
        <v>24.09</v>
      </c>
      <c r="K341" s="9">
        <v>10.0</v>
      </c>
      <c r="L341" s="8" t="s">
        <v>1855</v>
      </c>
      <c r="M341" s="8" t="s">
        <v>1856</v>
      </c>
      <c r="N341" s="7" t="str">
        <f>IFERROR(__xludf.DUMMYFUNCTION("GOOGLETRANSLATE(L341, ""en"", ""pt"")"),"Auxiliar de Irrigação")</f>
        <v>Auxiliar de Irrigação</v>
      </c>
      <c r="O341" s="7" t="str">
        <f>IFERROR(__xludf.DUMMYFUNCTION("IF(M341="""","""",GOOGLETRANSLATE(M341,""en"",""pt""))"),"Paisagismo e manutenção de terrenos utilizando ferramentas manuais ou elétricas. Os trabalhadores geralmente executam uma variedade de tarefas, que podem incluir qualquer combinação das seguintes: regar; cavar; instalar sistemas de irrigação/aspersão; man"&amp;"ter sistemas de irrigação, incluindo a preparação dos sistemas para o inverno, e ajustar o consumo de água para evitar desperdício. Classificação da função: 37-3011.00 - Trabalhadores de Paisagismo e Manutenção de Terrenos. A classificação e descrição da "&amp;"função/setor incluem informações gerais sobre o cargo, de acordo com o ONET/OES e o Sistema de Classificação Industrial da América do Norte. Consulte as Funções e a Ordem de Serviço para obter mais informações. Requisitos da função: Experiência necessária"&amp;": Não. Requisitos especiais: Deve ser capaz de levantar/carregar 23 kg, quando necessário. Trabalho aos sábados, quando necessário. O empregador pode oferecer mais horas de trabalho do que as indicadas, dependendo do clima, das necessidades da empresa e d"&amp;"e outras condições. Calor extremo, frio, chuva ou seca podem afetar o horário de trabalho exato. Número de horas por semana: 40. Horário de trabalho (início/término): 7h às 16h.")</f>
        <v>Paisagismo e manutenção de terrenos utilizando ferramentas manuais ou elétricas. Os trabalhadores geralmente executam uma variedade de tarefas, que podem incluir qualquer combinação das seguintes: regar; cavar; instalar sistemas de irrigação/aspersão; manter sistemas de irrigação, incluindo a preparação dos sistemas para o inverno, e ajustar o consumo de água para evitar desperdício. Classificação da função: 37-3011.00 - Trabalhadores de Paisagismo e Manutenção de Terrenos. A classificação e descrição da função/setor incluem informações gerais sobre o cargo, de acordo com o ONET/OES e o Sistema de Classificação Industrial da América do Norte. Consulte as Funções e a Ordem de Serviço para obter mais informações. Requisitos da função: Experiência necessária: Não. Requisitos especiais: Deve ser capaz de levantar/carregar 23 kg, quando necessário. Trabalho aos sábados, quando necessário. O empregador pode oferecer mais horas de trabalho do que as indicadas, dependendo do clima, das necessidades da empresa e de outras condições. Calor extremo, frio, chuva ou seca podem afetar o horário de trabalho exato. Número de horas por semana: 40. Horário de trabalho (início/término): 7h às 16h.</v>
      </c>
    </row>
    <row r="342" ht="20.25" customHeight="1">
      <c r="A342" s="3" t="s">
        <v>1857</v>
      </c>
      <c r="B342" s="3" t="s">
        <v>1858</v>
      </c>
      <c r="C342" s="3" t="s">
        <v>17</v>
      </c>
      <c r="D342" s="3" t="s">
        <v>271</v>
      </c>
      <c r="E342" s="4" t="s">
        <v>44</v>
      </c>
      <c r="F342" s="4" t="s">
        <v>20</v>
      </c>
      <c r="G342" s="4" t="s">
        <v>1859</v>
      </c>
      <c r="H342" s="3" t="s">
        <v>1860</v>
      </c>
      <c r="I342" s="3" t="s">
        <v>1861</v>
      </c>
      <c r="J342" s="4">
        <v>23.17</v>
      </c>
      <c r="K342" s="4">
        <v>38.0</v>
      </c>
      <c r="L342" s="3" t="s">
        <v>302</v>
      </c>
      <c r="M342" s="3" t="s">
        <v>1862</v>
      </c>
      <c r="N342" s="7" t="str">
        <f>IFERROR(__xludf.DUMMYFUNCTION("GOOGLETRANSLATE(L342, ""en"", ""pt"")"),"Operários da construção civil")</f>
        <v>Operários da construção civil</v>
      </c>
      <c r="O342" s="7" t="str">
        <f>IFERROR(__xludf.DUMMYFUNCTION("IF(M342="""","""",GOOGLETRANSLATE(M342,""en"",""pt""))"),"Executar tarefas que envolvam trabalho físico em canteiros de obras. Pode operar ferramentas manuais e elétricas de todos os tipos. Misturar argamassa. Pode limpar e preparar locais e remover entulhos, detritos e outros resíduos. Carregar/descarregar equi"&amp;"pamentos e materiais de caminhões e distribuí-los para os locais apropriados. Auxiliar outros trabalhadores da construção civil. Classificação da função: 47-2061.00 - Auxiliares de Construção Civil. A classificação e descrição da função/setor inclui infor"&amp;"mações gerais sobre o cargo, de acordo com o ONET/OES e o Sistema de Classificação Industrial da América do Norte (NAICS). Consulte as Funções e a Ordem de Serviço para obter mais informações. Requisitos da vaga: Experiência exigida: Sim. Meses de experiê"&amp;"ncia exigidos: 3. Requisitos especiais: Exige-se três meses de experiência em construção civil. Deve ser capaz de levantar/carregar 38 kg, quando necessário. Trabalho aos sábados e domingos, quando necessário. Teste antidrogas pago pelo empregador é obrig"&amp;"atório para trabalhadores estrangeiros e nacionais antes do início do trabalho e após a contratação, aleatoriamente, em caso de suspeita de uso e após acidente. Verificação de elegibilidade para emprego (e-Verify) após a contratação é obrigatória para tra"&amp;"balhadores estrangeiros e nacionais. O empregador poderá oferecer uma jornada de trabalho superior à estipulada, dependendo das condições climáticas, das necessidades da empresa e de outros fatores. Calor extremo, frio intenso, chuva ou seca podem afetar "&amp;"o horário de trabalho exato. Número de horas por semana: 40. Horário de trabalho (início/término): 7h às 15h30.")</f>
        <v>Executar tarefas que envolvam trabalho físico em canteiros de obras. Pode operar ferramentas manuais e elétricas de todos os tipos. Misturar argamassa. Pode limpar e preparar locais e remover entulhos, detritos e outros resíduos. Carregar/descarregar equipamentos e materiais de caminhões e distribuí-los para os locais apropriados. Auxiliar outros trabalhadores da construção civil. Classificação da função: 47-2061.00 - Auxiliares de Construção Civil. A classificação e descrição da função/setor inclui informações gerais sobre o cargo, de acordo com o ONET/OES e o Sistema de Classificação Industrial da América do Norte (NAICS). Consulte as Funções e a Ordem de Serviço para obter mais informações. Requisitos da vaga: Experiência exigida: Sim. Meses de experiência exigidos: 3. Requisitos especiais: Exige-se três meses de experiência em construção civil. Deve ser capaz de levantar/carregar 38 kg, quando necessário. Trabalho aos sábados e domingos, quando necessário. Teste antidrogas pago pelo empregador é obrigatório para trabalhadores estrangeiros e nacionais antes do início do trabalho e após a contratação, aleatoriamente, em caso de suspeita de uso e após acidente. Verificação de elegibilidade para emprego (e-Verify) após a contratação é obrigatória para trabalhadores estrangeiros e nacionais. O empregador poderá oferecer uma jornada de trabalho superior à estipulada, dependendo das condições climáticas, das necessidades da empresa e de outros fatores. Calor extremo, frio intenso, chuva ou seca podem afetar o horário de trabalho exato. Número de horas por semana: 40. Horário de trabalho (início/término): 7h às 15h30.</v>
      </c>
    </row>
    <row r="343" ht="20.25" customHeight="1">
      <c r="A343" s="8" t="s">
        <v>1863</v>
      </c>
      <c r="B343" s="8" t="s">
        <v>1864</v>
      </c>
      <c r="C343" s="8" t="s">
        <v>583</v>
      </c>
      <c r="D343" s="8" t="s">
        <v>271</v>
      </c>
      <c r="E343" s="9" t="s">
        <v>19</v>
      </c>
      <c r="F343" s="9" t="s">
        <v>20</v>
      </c>
      <c r="G343" s="9" t="s">
        <v>524</v>
      </c>
      <c r="H343" s="8" t="s">
        <v>584</v>
      </c>
      <c r="I343" s="8" t="s">
        <v>585</v>
      </c>
      <c r="J343" s="9">
        <v>18.02</v>
      </c>
      <c r="K343" s="9">
        <v>40.0</v>
      </c>
      <c r="L343" s="8" t="s">
        <v>1865</v>
      </c>
      <c r="M343" s="8" t="s">
        <v>1866</v>
      </c>
      <c r="N343" s="7" t="str">
        <f>IFERROR(__xludf.DUMMYFUNCTION("GOOGLETRANSLATE(L343, ""en"", ""pt"")"),"Atendente")</f>
        <v>Atendente</v>
      </c>
      <c r="O343" s="7" t="str">
        <f>IFERROR(__xludf.DUMMYFUNCTION("IF(M343="""","""",GOOGLETRANSLATE(M343,""en"",""pt""))"),"Auxiliar na limpeza do hotel, executar outras tarefas sanitárias e de limpeza conforme necessário; limpar e arrumar os quartos de hóspedes, áreas comuns do resort e outras seções designadas; remover e trocar a roupa de cama, aspirar, tirar o pó, limpar ba"&amp;"nheiros, reabastecer os carrinhos com materiais de limpeza e trabalhar com produtos químicos de limpeza; polir acessórios de prata e peças de metal, como luminárias e acessórios; lavar, passar, separar, contar e etiquetar a roupa de cama limpa e guardá-la"&amp;" nos armários de roupa de cama; preparar salas para reuniões e organizar decorações, equipamentos de mídia e móveis para eventos sociais ou corporativos; remover detritos da entrada de veículos, corredores, áreas comuns do resort e áreas da piscina; mante"&amp;"r a limpeza da piscina e do spa; separar a roupa de cama limpa e guardá-la nos armários de roupa de cama localizados no Spa; buscar toalhas limpas na lavanderia e entregá-las às espreguiçadeiras e suportes de toalhas nos decks da piscina e nos vestiários "&amp;"do spa; e auxiliar a equipe de serviço na limpeza geral do spa e das piscinas, mantendo o deck e os vestiários do spa limpos. Classificação da Função: 37-2011.00 - Zeladores e Faxineiros, exceto Empregadas Domésticas e Auxiliares de Limpeza. A classificaç"&amp;"ão e descrição da função/setor inclui informações gerais sobre o cargo, de acordo com o ONET/OES e o Sistema de Classificação Industrial da América do Norte (NAICS). Consulte as Funções e a Ordem de Serviço para obter mais informações. Requisitos da Funçã"&amp;"o Experiência Necessária: Não. Requisitos Especiais: Deve ser capaz de levantar entre 13 e 23 kg e empurrar/puxar entre 13 e 45 kg de equipamentos ou lixo. Deve ter disponibilidade para trabalhar em todos os turnos, incluindo fins de semana, noites, madru"&amp;"gadas e feriados. Número de Horas por Semana: 40. Horário de Trabalho (Início/Término): 8h às 16h.")</f>
        <v>Auxiliar na limpeza do hotel, executar outras tarefas sanitárias e de limpeza conforme necessário; limpar e arrumar os quartos de hóspedes, áreas comuns do resort e outras seções designadas; remover e trocar a roupa de cama, aspirar, tirar o pó, limpar banheiros, reabastecer os carrinhos com materiais de limpeza e trabalhar com produtos químicos de limpeza; polir acessórios de prata e peças de metal, como luminárias e acessórios; lavar, passar, separar, contar e etiquetar a roupa de cama limpa e guardá-la nos armários de roupa de cama; preparar salas para reuniões e organizar decorações, equipamentos de mídia e móveis para eventos sociais ou corporativos; remover detritos da entrada de veículos, corredores, áreas comuns do resort e áreas da piscina; manter a limpeza da piscina e do spa; separar a roupa de cama limpa e guardá-la nos armários de roupa de cama localizados no Spa; buscar toalhas limpas na lavanderia e entregá-las às espreguiçadeiras e suportes de toalhas nos decks da piscina e nos vestiários do spa; e auxiliar a equipe de serviço na limpeza geral do spa e das piscinas, mantendo o deck e os vestiários do spa limpos. Classificação da Função: 37-2011.00 - Zeladores e Faxineiros, exceto Empregadas Domésticas e Auxiliares de Limpeza. A classificação e descrição da função/setor inclui informações gerais sobre o cargo, de acordo com o ONET/OES e o Sistema de Classificação Industrial da América do Norte (NAICS). Consulte as Funções e a Ordem de Serviço para obter mais informações. Requisitos da Função Experiência Necessária: Não. Requisitos Especiais: Deve ser capaz de levantar entre 13 e 23 kg e empurrar/puxar entre 13 e 45 kg de equipamentos ou lixo. Deve ter disponibilidade para trabalhar em todos os turnos, incluindo fins de semana, noites, madrugadas e feriados. Número de Horas por Semana: 40. Horário de Trabalho (Início/Término): 8h às 16h.</v>
      </c>
    </row>
    <row r="344" ht="20.25" customHeight="1">
      <c r="A344" s="8" t="s">
        <v>1867</v>
      </c>
      <c r="B344" s="8" t="s">
        <v>1868</v>
      </c>
      <c r="C344" s="8" t="s">
        <v>1030</v>
      </c>
      <c r="D344" s="8" t="s">
        <v>28</v>
      </c>
      <c r="E344" s="9" t="s">
        <v>19</v>
      </c>
      <c r="F344" s="9" t="s">
        <v>20</v>
      </c>
      <c r="G344" s="9" t="s">
        <v>1869</v>
      </c>
      <c r="H344" s="14" t="s">
        <v>1870</v>
      </c>
      <c r="I344" s="8" t="s">
        <v>1871</v>
      </c>
      <c r="J344" s="9">
        <v>17.99</v>
      </c>
      <c r="K344" s="9">
        <v>14.0</v>
      </c>
      <c r="L344" s="8" t="s">
        <v>1872</v>
      </c>
      <c r="M344" s="8" t="s">
        <v>1873</v>
      </c>
      <c r="N344" s="7" t="str">
        <f>IFERROR(__xludf.DUMMYFUNCTION("GOOGLETRANSLATE(L344, ""en"", ""pt"")"),"Limpador de calhas")</f>
        <v>Limpador de calhas</v>
      </c>
      <c r="O344" s="7" t="str">
        <f>IFERROR(__xludf.DUMMYFUNCTION("IF(M344="""","""",GOOGLETRANSLATE(M344,""en"",""pt""))"),"Limpar calhas, removendo folhas, galhos, matéria orgânica como mudas e detritos; enxaguar calhas e canos de descida para garantir o escoamento adequado. As ferramentas utilizadas incluem: escadas, luvas, ferramentas manuais, baldes, sopradores de folhas, "&amp;"lavadora de alta pressão, aspirador de pó e água, acessórios para calhas, mangueira de jardim, escova de cerdas macias, ancinhos e, possivelmente, plataformas elevatórias especiais, quando necessário. Possibilidade de trabalho aos sábados e domingos. O ho"&amp;"rário de trabalho é de segunda a sexta, das 7h às 15h, e aos sábados, das 7h às 12h. O trabalho envolve carregar e descarregar ferramentas, suprimentos e equipamentos com peso de até 23 kg. Envolve trabalho ao ar livre em todos os tipos de clima. Envolve "&amp;"ficar em pé, sentado ou caminhando por longos períodos. Envolve agachar-se ou curvar-se com frequência. Envolve movimentos repetitivos. Em caso de acidente ou suspeita de uso de drogas, será realizado um teste toxicológico pago pelo empregador. Alojamento"&amp;" opcional, se disponível, por US$ 70 por semana, com as contas inclusas (sujeito a alterações com base no mercado local/inflação). Possibilidade de aumento salarial com base no desempenho, bônus, horas extras e trabalho aos sábados, conforme necessário. T"&amp;"ransporte fornecido para diversos locais de trabalho a partir da localização central em Lafayette, LA. O horário de trabalho diário pode variar entre os horários de início e término listados, dependendo das condições climáticas ou das tarefas atribuídas. "&amp;"Classificação da vaga: 37-2019.00 - Trabalhadores de Limpeza de Edifícios, Outros. A classificação e descrição da vaga/setor incluem informações gerais sobre o cargo, de acordo com o ONET/OES e o Sistema de Classificação Industrial da América do Norte (NA"&amp;"ICS). Consulte as Funções e a Ordem de Serviço para obter mais informações. Requisitos da vaga: Experiência necessária: Não. Número de horas por semana: 40. Horário de trabalho (início/término): 7h às 15h.")</f>
        <v>Limpar calhas, removendo folhas, galhos, matéria orgânica como mudas e detritos; enxaguar calhas e canos de descida para garantir o escoamento adequado. As ferramentas utilizadas incluem: escadas, luvas, ferramentas manuais, baldes, sopradores de folhas, lavadora de alta pressão, aspirador de pó e água, acessórios para calhas, mangueira de jardim, escova de cerdas macias, ancinhos e, possivelmente, plataformas elevatórias especiais, quando necessário. Possibilidade de trabalho aos sábados e domingos. O horário de trabalho é de segunda a sexta, das 7h às 15h, e aos sábados, das 7h às 12h. O trabalho envolve carregar e descarregar ferramentas, suprimentos e equipamentos com peso de até 23 kg. Envolve trabalho ao ar livre em todos os tipos de clima. Envolve ficar em pé, sentado ou caminhando por longos períodos. Envolve agachar-se ou curvar-se com frequência. Envolve movimentos repetitivos. Em caso de acidente ou suspeita de uso de drogas, será realizado um teste toxicológico pago pelo empregador. Alojamento opcional, se disponível, por US$ 70 por semana, com as contas inclusas (sujeito a alterações com base no mercado local/inflação). Possibilidade de aumento salarial com base no desempenho, bônus, horas extras e trabalho aos sábados, conforme necessário. Transporte fornecido para diversos locais de trabalho a partir da localização central em Lafayette, LA. O horário de trabalho diário pode variar entre os horários de início e término listados, dependendo das condições climáticas ou das tarefas atribuídas. Classificação da vaga: 37-2019.00 - Trabalhadores de Limpeza de Edifícios, Outros. A classificação e descrição da vaga/setor incluem informações gerais sobre o cargo, de acordo com o ONET/OES e o Sistema de Classificação Industrial da América do Norte (NAICS). Consulte as Funções e a Ordem de Serviço para obter mais informações. Requisitos da vaga: Experiência necessária: Não. Número de horas por semana: 40. Horário de trabalho (início/término): 7h às 15h.</v>
      </c>
    </row>
    <row r="345" ht="20.25" customHeight="1">
      <c r="A345" s="8" t="s">
        <v>1874</v>
      </c>
      <c r="B345" s="8" t="s">
        <v>1875</v>
      </c>
      <c r="C345" s="8" t="s">
        <v>17</v>
      </c>
      <c r="D345" s="8" t="s">
        <v>28</v>
      </c>
      <c r="E345" s="9" t="s">
        <v>19</v>
      </c>
      <c r="F345" s="9" t="s">
        <v>20</v>
      </c>
      <c r="G345" s="9" t="s">
        <v>80</v>
      </c>
      <c r="H345" s="8" t="s">
        <v>1876</v>
      </c>
      <c r="I345" s="8"/>
      <c r="J345" s="9">
        <v>24.39</v>
      </c>
      <c r="K345" s="9">
        <v>1.0</v>
      </c>
      <c r="L345" s="8" t="s">
        <v>1849</v>
      </c>
      <c r="M345" s="8" t="s">
        <v>1877</v>
      </c>
      <c r="N345" s="7" t="str">
        <f>IFERROR(__xludf.DUMMYFUNCTION("GOOGLETRANSLATE(L345, ""en"", ""pt"")"),"Marinheiro")</f>
        <v>Marinheiro</v>
      </c>
      <c r="O345" s="7" t="str">
        <f>IFERROR(__xludf.DUMMYFUNCTION("IF(M345="""","""",GOOGLETRANSLATE(M345,""en"",""pt""))"),"Inspecionar as redes de patrulha, remover a captura e rearmar ou reposicionar as redes. Conduzir embarcações e operar instrumentos de navegação. Colocar o equipamento de pesca na água e ancorar ou rebocar o equipamento, de acordo com o método de pesca uti"&amp;"lizado. Realizar a manutenção dos motores, equipamentos de pesca e outros equipamentos de bordo, bem como pequenos reparos. Separar, embalar e armazenar a captura nos porões com sal e gelo. Retirar a captura do equipamento de pesca e medir o tamanho. Loca"&amp;"lizar peixes utilizando equipamentos de localização de peixes. Prender redes, lingas, anzóis, lâminas ou dispositivos de elevação a cabos, braços, guinchos ou dragas. Interpretar as condições meteorológicas e da embarcação para determinar as respostas apr"&amp;"opriadas. Lavar conveses, facas e outros equipamentos utilizando escovas, detergentes e água. Conectar acessórios como bóias, pesos, bandeiras, luzes ou marcadores a redes, linhas ou armadilhas. Carregar e descarregar equipamentos e suprimentos da embarca"&amp;"ção, manualmente ou utilizando equipamentos de içamento. Classificação da Função: 45-3031.00 - Trabalhadores de Pesca e Caça. A classificação e descrição da função/setor inclui informações gerais sobre o cargo, de acordo com o ONET/OES e o Sistema de Clas"&amp;"sificação Industrial da América do Norte (NAICS). Consulte as Funções e a Ordem de Serviço para obter mais informações. Requisitos da Função Experiência Necessária: Sim Meses de Experiência Necessária: 3 Requisitos Especiais: Requer três meses de experiên"&amp;"cia anterior como marinheiro de convés. Deve ser capaz de levantar/carregar 23 kg, quando necessário. Trabalho aos sábados e domingos, quando necessário. Testes toxicológicos aleatórios, pagos pelo empregador, são obrigatórios para trabalhadores estrangei"&amp;"ros e nacionais após a contratação. O empregador pode oferecer mais horas de trabalho do que as estipuladas, dependendo do clima, das necessidades da empresa e de outras condições. Calor extremo, frio, chuva ou seca podem afetar o horário de trabalho exat"&amp;"o. Número de Horas por Semana: 40 Horário de Trabalho (Início/Término): 6h00 - 14h30")</f>
        <v>Inspecionar as redes de patrulha, remover a captura e rearmar ou reposicionar as redes. Conduzir embarcações e operar instrumentos de navegação. Colocar o equipamento de pesca na água e ancorar ou rebocar o equipamento, de acordo com o método de pesca utilizado. Realizar a manutenção dos motores, equipamentos de pesca e outros equipamentos de bordo, bem como pequenos reparos. Separar, embalar e armazenar a captura nos porões com sal e gelo. Retirar a captura do equipamento de pesca e medir o tamanho. Localizar peixes utilizando equipamentos de localização de peixes. Prender redes, lingas, anzóis, lâminas ou dispositivos de elevação a cabos, braços, guinchos ou dragas. Interpretar as condições meteorológicas e da embarcação para determinar as respostas apropriadas. Lavar conveses, facas e outros equipamentos utilizando escovas, detergentes e água. Conectar acessórios como bóias, pesos, bandeiras, luzes ou marcadores a redes, linhas ou armadilhas. Carregar e descarregar equipamentos e suprimentos da embarcação, manualmente ou utilizando equipamentos de içamento. Classificação da Função: 45-3031.00 - Trabalhadores de Pesca e Caça. A classificação e descrição da função/setor inclui informações gerais sobre o cargo, de acordo com o ONET/OES e o Sistema de Classificação Industrial da América do Norte (NAICS). Consulte as Funções e a Ordem de Serviço para obter mais informações. Requisitos da Função Experiência Necessária: Sim Meses de Experiência Necessária: 3 Requisitos Especiais: Requer três meses de experiência anterior como marinheiro de convés. Deve ser capaz de levantar/carregar 23 kg, quando necessário. Trabalho aos sábados e domingos, quando necessário. Testes toxicológicos aleatórios, pagos pelo empregador, são obrigatórios para trabalhadores estrangeiros e nacionais após a contratação. O empregador pode oferecer mais horas de trabalho do que as estipuladas, dependendo do clima, das necessidades da empresa e de outras condições. Calor extremo, frio, chuva ou seca podem afetar o horário de trabalho exato. Número de Horas por Semana: 40 Horário de Trabalho (Início/Término): 6h00 - 14h30</v>
      </c>
    </row>
    <row r="346" ht="20.25" customHeight="1">
      <c r="A346" s="3" t="s">
        <v>1878</v>
      </c>
      <c r="B346" s="3" t="s">
        <v>1879</v>
      </c>
      <c r="C346" s="3" t="s">
        <v>27</v>
      </c>
      <c r="D346" s="3" t="s">
        <v>102</v>
      </c>
      <c r="E346" s="4" t="s">
        <v>19</v>
      </c>
      <c r="F346" s="4" t="s">
        <v>20</v>
      </c>
      <c r="G346" s="4" t="s">
        <v>1280</v>
      </c>
      <c r="H346" s="3" t="s">
        <v>1880</v>
      </c>
      <c r="I346" s="3" t="s">
        <v>1881</v>
      </c>
      <c r="J346" s="4">
        <v>16.41</v>
      </c>
      <c r="K346" s="4">
        <v>62.0</v>
      </c>
      <c r="L346" s="3" t="s">
        <v>1490</v>
      </c>
      <c r="M346" s="3" t="s">
        <v>1882</v>
      </c>
      <c r="N346" s="7" t="str">
        <f>IFERROR(__xludf.DUMMYFUNCTION("GOOGLETRANSLATE(L346, ""en"", ""pt"")"),"Zelador")</f>
        <v>Zelador</v>
      </c>
      <c r="O346" s="7" t="str">
        <f>IFERROR(__xludf.DUMMYFUNCTION("IF(M346="""","""",GOOGLETRANSLATE(M346,""en"",""pt""))"),"As funções podem incluir: limpeza de locais e áreas de trabalho, removendo galhos, gravetos, ervas daninhas e arbustos; enfardamento de palha de pinheiro com enfardadeira; carga e descarga de fardos de palha de pinheiro; condução de quadriciclos em terren"&amp;"os privados com palha de pinheiro; e outras atividades relacionadas à manutenção de áreas verdes, conforme SOC/OES 45-2092 (onetonline.org). Horário padrão/esperado: segunda a sexta, das 8h às 17h. Oferecemos 35 horas semanais ou mais, sem incluir almoço "&amp;"e/ou intervalos. Possibilidade de trabalho aos fins de semana e feriados. Os horários de início e término, a carga horária e/ou horas extras podem variar, dependendo de fatores como projeto/cronograma/necessidades do serviço, condições climáticas e tempo "&amp;"de deslocamento entre os locais de trabalho (se aplicável). Horas extras são possíveis, mas não obrigatórias nem garantidas. A critério exclusivo do empregador: aumentos salariais e/ou bônus podem ser concedidos com base em fatores individuais, como desem"&amp;"penho ou habilidades (não garantidos). Pagamento por produção pode ser aplicado: US$ 0,75 por rolo para rastelar, US$ 0,20 por rolo para enfardar, US$ 0,30 por rolo para carregar. O pagamento nunca será inferior ao salário mínimo vigente/federal/estadual/"&amp;"local. Classificação da vaga: 45-2092.00 - Trabalhadores rurais e operários, cultivo, viveiro e estufa. A classificação e descrição da vaga/setor incluem informações gerais sobre o cargo, conforme o ONET/OES e o Sistema de Classificação Industrial da Amér"&amp;"ica do Norte. Consulte as atribuições e a ordem de serviço para obter mais informações. Requisitos da vaga: Experiência necessária: Não. Requisitos especiais: É necessário comprovar autorização legal para trabalhar nos Estados Unidos. Ambiente de trabalho"&amp;" livre de drogas, álcool e tabaco. Executar atividades físicas, como levantar, equilibrar-se, caminhar, abaixar-se, manusear, posicionar, mover e manipular materiais; usar força estática para exercer força muscular máxima para levantar, empurrar, puxar e "&amp;"carregar objetos de até 20 kg. Todos os candidatos devem ser capazes, estar dispostos e qualificados para executar o trabalho descrito e devem estar disponíveis durante todo o período especificado e trabalhar em todas as áreas do emprego pretendido. A cri"&amp;"tério do empregador/custo: O trabalhador poderá ser submetido a testes aleatórios de drogas/álcool durante o emprego: teste positivo/recusa em cumprir o teste = demissão. O trabalho é realizado ao ar livre, exposto às intempéries; o candidato deve ser cap"&amp;"az de realizar trabalho fisicamente extenuante por longos períodos, ocasionalmente em calor ou frio extremos. As condições climáticas são variáveis; a carga horária pode sofrer alterações (+/-), podendo haver períodos de inatividade e/ou horas extras. Núm"&amp;"ero de horas por semana: 40. Horário de trabalho (início/término): 8h às 17h.")</f>
        <v>As funções podem incluir: limpeza de locais e áreas de trabalho, removendo galhos, gravetos, ervas daninhas e arbustos; enfardamento de palha de pinheiro com enfardadeira; carga e descarga de fardos de palha de pinheiro; condução de quadriciclos em terrenos privados com palha de pinheiro; e outras atividades relacionadas à manutenção de áreas verdes, conforme SOC/OES 45-2092 (onetonline.org). Horário padrão/esperado: segunda a sexta, das 8h às 17h. Oferecemos 35 horas semanais ou mais, sem incluir almoço e/ou intervalos. Possibilidade de trabalho aos fins de semana e feriados. Os horários de início e término, a carga horária e/ou horas extras podem variar, dependendo de fatores como projeto/cronograma/necessidades do serviço, condições climáticas e tempo de deslocamento entre os locais de trabalho (se aplicável). Horas extras são possíveis, mas não obrigatórias nem garantidas. A critério exclusivo do empregador: aumentos salariais e/ou bônus podem ser concedidos com base em fatores individuais, como desempenho ou habilidades (não garantidos). Pagamento por produção pode ser aplicado: US$ 0,75 por rolo para rastelar, US$ 0,20 por rolo para enfardar, US$ 0,30 por rolo para carregar. O pagamento nunca será inferior ao salário mínimo vigente/federal/estadual/local. Classificação da vaga: 45-2092.00 - Trabalhadores rurais e operários, cultivo, viveiro e estufa. A classificação e descrição da vaga/setor incluem informações gerais sobre o cargo, conforme o ONET/OES e o Sistema de Classificação Industrial da América do Norte. Consulte as atribuições e a ordem de serviço para obter mais informações. Requisitos da vaga: Experiência necessária: Não. Requisitos especiais: É necessário comprovar autorização legal para trabalhar nos Estados Unidos. Ambiente de trabalho livre de drogas, álcool e tabaco. Executar atividades físicas, como levantar, equilibrar-se, caminhar, abaixar-se, manusear, posicionar, mover e manipular materiais; usar força estática para exercer força muscular máxima para levantar, empurrar, puxar e carregar objetos de até 20 kg. Todos os candidatos devem ser capazes, estar dispostos e qualificados para executar o trabalho descrito e devem estar disponíveis durante todo o período especificado e trabalhar em todas as áreas do emprego pretendido. A critério do empregador/custo: O trabalhador poderá ser submetido a testes aleatórios de drogas/álcool durante o emprego: teste positivo/recusa em cumprir o teste = demissão. O trabalho é realizado ao ar livre, exposto às intempéries; o candidato deve ser capaz de realizar trabalho fisicamente extenuante por longos períodos, ocasionalmente em calor ou frio extremos. As condições climáticas são variáveis; a carga horária pode sofrer alterações (+/-), podendo haver períodos de inatividade e/ou horas extras. Número de horas por semana: 40. Horário de trabalho (início/término): 8h às 17h.</v>
      </c>
    </row>
    <row r="347" ht="20.25" customHeight="1">
      <c r="A347" s="8" t="s">
        <v>1883</v>
      </c>
      <c r="B347" s="8" t="s">
        <v>1879</v>
      </c>
      <c r="C347" s="8" t="s">
        <v>27</v>
      </c>
      <c r="D347" s="8" t="s">
        <v>140</v>
      </c>
      <c r="E347" s="9" t="s">
        <v>19</v>
      </c>
      <c r="F347" s="9" t="s">
        <v>20</v>
      </c>
      <c r="G347" s="9" t="s">
        <v>1280</v>
      </c>
      <c r="H347" s="8" t="s">
        <v>1880</v>
      </c>
      <c r="I347" s="8" t="s">
        <v>1881</v>
      </c>
      <c r="J347" s="9">
        <v>18.02</v>
      </c>
      <c r="K347" s="9">
        <v>55.0</v>
      </c>
      <c r="L347" s="8" t="s">
        <v>1490</v>
      </c>
      <c r="M347" s="8" t="s">
        <v>1884</v>
      </c>
      <c r="N347" s="7" t="str">
        <f>IFERROR(__xludf.DUMMYFUNCTION("GOOGLETRANSLATE(L347, ""en"", ""pt"")"),"Zelador")</f>
        <v>Zelador</v>
      </c>
      <c r="O347" s="7" t="str">
        <f>IFERROR(__xludf.DUMMYFUNCTION("IF(M347="""","""",GOOGLETRANSLATE(M347,""en"",""pt""))"),"As funções podem incluir: limpeza de locais e áreas de trabalho, removendo galhos, gravetos, ervas daninhas e arbustos; enfardadeira de palha de pinheiro; carga e descarga de fardos de palha de pinheiro; condução de quadriciclos e outras atividades relaci"&amp;"onadas à manutenção de áreas verdes, conforme SOC/OES 37-3011 (onetonline.org). Horário padrão/esperado: segunda a sexta, das 8h às 17h. Oferecemos 35 horas semanais ou mais, sem incluir almoço e/ou intervalos. Possibilidade de trabalho aos fins de semana"&amp;" e feriados. Os horários de início e término, a carga horária e/ou horas extras podem variar, dependendo de fatores como necessidades do projeto/cronograma/serviço, condições climáticas e tempo de deslocamento entre os locais de trabalho (se aplicável). H"&amp;"oras extras são possíveis, mas não obrigatórias nem garantidas. A critério exclusivo do empregador: aumentos salariais e/ou bônus podem ser concedidos com base em fatores individuais, como desempenho ou habilidades (não garantidos). Pagamento por peça pro"&amp;"duzida: US$ 0,75 por rolo para rastelar, US$ 0,20 por rolo para enfardar, US$ 0,30 por rolo para carregar. O salário nunca será inferior ao salário mínimo vigente/federal/estadual/local. Classificação da vaga: 37-3011.00 - Trabalhadores de Paisagismo e Ma"&amp;"nutenção de Áreas Verdes. A classificação e descrição da vaga/setor incluem informações gerais sobre o cargo, conforme o ONET/OES e o Sistema de Classificação Industrial da América do Norte (NAICS). Consulte as Funções e a Ordem de Serviço para obter mais"&amp;" informações. Requisitos da vaga: Experiência exigida: Não. Requisitos especiais: É necessário comprovar autorização legal para trabalhar nos Estados Unidos. Ambiente de trabalho livre de drogas, álcool e tabaco. Executar atividades físicas, como levantar"&amp;", equilibrar-se, caminhar, abaixar-se, manusear, posicionar, mover e manipular materiais, utilizando força estática para exercer força muscular máxima para levantar, empurrar, puxar e carregar objetos de até 20 kg. Todos os candidatos devem ser capazes, e"&amp;"star dispostos e qualificados para executar o trabalho descrito e devem estar disponíveis durante todo o período especificado e trabalhar em todas as áreas do emprego pretendido. A critério do empregador/custo: O trabalhador poderá ser submetido a testes "&amp;"aleatórios de drogas/álcool durante o emprego: teste positivo/recusa em cumprir o teste = demissão. O trabalho é realizado ao ar livre, exposto às intempéries; o candidato deve ser capaz de realizar trabalho fisicamente extenuante por longos períodos, oca"&amp;"sionalmente em calor ou frio extremos. As condições climáticas são variáveis; a carga horária pode sofrer alterações (+/-), podendo haver períodos de inatividade e/ou horas extras. Número de horas por semana: 40. Horário de trabalho (início/término): 8h à"&amp;"s 17h.")</f>
        <v>As funções podem incluir: limpeza de locais e áreas de trabalho, removendo galhos, gravetos, ervas daninhas e arbustos; enfardadeira de palha de pinheiro; carga e descarga de fardos de palha de pinheiro; condução de quadriciclos e outras atividades relacionadas à manutenção de áreas verdes, conforme SOC/OES 37-3011 (onetonline.org). Horário padrão/esperado: segunda a sexta, das 8h às 17h. Oferecemos 35 horas semanais ou mais, sem incluir almoço e/ou intervalos. Possibilidade de trabalho aos fins de semana e feriados. Os horários de início e término, a carga horária e/ou horas extras podem variar, dependendo de fatores como necessidades do projeto/cronograma/serviço, condições climáticas e tempo de deslocamento entre os locais de trabalho (se aplicável). Horas extras são possíveis, mas não obrigatórias nem garantidas. A critério exclusivo do empregador: aumentos salariais e/ou bônus podem ser concedidos com base em fatores individuais, como desempenho ou habilidades (não garantidos). Pagamento por peça produzida: US$ 0,75 por rolo para rastelar, US$ 0,20 por rolo para enfardar, US$ 0,30 por rolo para carregar. O salário nunca será inferior ao salário mínimo vigente/federal/estadual/local. Classificação da vaga: 37-3011.00 - Trabalhadores de Paisagismo e Manutenção de Áreas Verdes. A classificação e descrição da vaga/setor incluem informações gerais sobre o cargo, conforme o ONET/OES e o Sistema de Classificação Industrial da América do Norte (NAICS). Consulte as Funções e a Ordem de Serviço para obter mais informações. Requisitos da vaga: Experiência exigida: Não. Requisitos especiais: É necessário comprovar autorização legal para trabalhar nos Estados Unidos. Ambiente de trabalho livre de drogas, álcool e tabaco. Executar atividades físicas, como levantar, equilibrar-se, caminhar, abaixar-se, manusear, posicionar, mover e manipular materiais, utilizando força estática para exercer força muscular máxima para levantar, empurrar, puxar e carregar objetos de até 20 kg. Todos os candidatos devem ser capazes, estar dispostos e qualificados para executar o trabalho descrito e devem estar disponíveis durante todo o período especificado e trabalhar em todas as áreas do emprego pretendido. A critério do empregador/custo: O trabalhador poderá ser submetido a testes aleatórios de drogas/álcool durante o emprego: teste positivo/recusa em cumprir o teste = demissão. O trabalho é realizado ao ar livre, exposto às intempéries; o candidato deve ser capaz de realizar trabalho fisicamente extenuante por longos períodos, ocasionalmente em calor ou frio extremos. As condições climáticas são variáveis; a carga horária pode sofrer alterações (+/-), podendo haver períodos de inatividade e/ou horas extras. Número de horas por semana: 40. Horário de trabalho (início/término): 8h às 17h.</v>
      </c>
    </row>
    <row r="348" ht="20.25" customHeight="1">
      <c r="A348" s="3" t="s">
        <v>1885</v>
      </c>
      <c r="B348" s="3" t="s">
        <v>1886</v>
      </c>
      <c r="C348" s="3" t="s">
        <v>17</v>
      </c>
      <c r="D348" s="3" t="s">
        <v>109</v>
      </c>
      <c r="E348" s="4" t="s">
        <v>44</v>
      </c>
      <c r="F348" s="4" t="s">
        <v>20</v>
      </c>
      <c r="G348" s="4" t="s">
        <v>56</v>
      </c>
      <c r="H348" s="3" t="s">
        <v>1887</v>
      </c>
      <c r="I348" s="3" t="s">
        <v>1888</v>
      </c>
      <c r="J348" s="4">
        <v>18.69</v>
      </c>
      <c r="K348" s="4">
        <v>6.0</v>
      </c>
      <c r="L348" s="3" t="s">
        <v>321</v>
      </c>
      <c r="M348" s="3" t="s">
        <v>1889</v>
      </c>
      <c r="N348" s="7" t="str">
        <f>IFERROR(__xludf.DUMMYFUNCTION("GOOGLETRANSLATE(L348, ""en"", ""pt"")"),"Trabalhadores de paisagismo")</f>
        <v>Trabalhadores de paisagismo</v>
      </c>
      <c r="O348" s="7" t="str">
        <f>IFERROR(__xludf.DUMMYFUNCTION("IF(M348="""","""",GOOGLETRANSLATE(M348,""en"",""pt""))"),"Paisagismo e manutenção de terrenos utilizando ferramentas manuais ou elétricas. Os trabalhadores geralmente executam uma variedade de tarefas, que podem incluir qualquer combinação das seguintes: colocação de grama, corte de grama, poda, plantio, rega, f"&amp;"ertilização, escavação e rastelagem. Nível inicial; requer supervisão. Classificação da vaga: 37-3011.00 - Trabalhadores de Paisagismo e Manutenção de Terrenos. A classificação e descrição da vaga/setor incluem informações gerais sobre o cargo, de acordo "&amp;"com o ONET/OES e o Sistema de Classificação Industrial da América do Norte (NAICS). Consulte as Funções e a Ordem de Serviço para obter mais informações. Requisitos da vaga: Experiência necessária: Não. Requisitos especiais: Deve ser capaz de levantar/car"&amp;"regar 23 kg, quando necessário. Trabalho aos sábados e domingos, quando necessário. O empregador pode oferecer mais horas de trabalho do que as estipuladas, dependendo do clima, das necessidades da empresa e de outras condições. Calor extremo, frio, chuva"&amp;" ou seca podem afetar o horário de trabalho exato. Número de horas por semana: 40. Horário de trabalho (início/término): 8h às 16h30.")</f>
        <v>Paisagismo e manutenção de terrenos utilizando ferramentas manuais ou elétricas. Os trabalhadores geralmente executam uma variedade de tarefas, que podem incluir qualquer combinação das seguintes: colocação de grama, corte de grama, poda, plantio, rega, fertilização, escavação e rastelagem. Nível inicial; requer supervisão. Classificação da vaga: 37-3011.00 - Trabalhadores de Paisagismo e Manutenção de Terrenos. A classificação e descrição da vaga/setor incluem informações gerais sobre o cargo, de acordo com o ONET/OES e o Sistema de Classificação Industrial da América do Norte (NAICS). Consulte as Funções e a Ordem de Serviço para obter mais informações. Requisitos da vaga: Experiência necessária: Não. Requisitos especiais: Deve ser capaz de levantar/carregar 23 kg, quando necessário. Trabalho aos sábados e domingos, quando necessário. O empregador pode oferecer mais horas de trabalho do que as estipuladas, dependendo do clima, das necessidades da empresa e de outras condições. Calor extremo, frio, chuva ou seca podem afetar o horário de trabalho exato. Número de horas por semana: 40. Horário de trabalho (início/término): 8h às 16h30.</v>
      </c>
    </row>
    <row r="349" ht="20.25" customHeight="1">
      <c r="A349" s="8" t="s">
        <v>1890</v>
      </c>
      <c r="B349" s="8" t="s">
        <v>1891</v>
      </c>
      <c r="C349" s="8" t="s">
        <v>17</v>
      </c>
      <c r="D349" s="8" t="s">
        <v>109</v>
      </c>
      <c r="E349" s="9" t="s">
        <v>44</v>
      </c>
      <c r="F349" s="9" t="s">
        <v>20</v>
      </c>
      <c r="G349" s="9" t="s">
        <v>56</v>
      </c>
      <c r="H349" s="8" t="s">
        <v>1892</v>
      </c>
      <c r="I349" s="8" t="s">
        <v>1893</v>
      </c>
      <c r="J349" s="9">
        <v>18.69</v>
      </c>
      <c r="K349" s="9">
        <v>5.0</v>
      </c>
      <c r="L349" s="8" t="s">
        <v>321</v>
      </c>
      <c r="M349" s="8" t="s">
        <v>1889</v>
      </c>
      <c r="N349" s="7" t="str">
        <f>IFERROR(__xludf.DUMMYFUNCTION("GOOGLETRANSLATE(L349, ""en"", ""pt"")"),"Trabalhadores de paisagismo")</f>
        <v>Trabalhadores de paisagismo</v>
      </c>
      <c r="O349" s="7" t="str">
        <f>IFERROR(__xludf.DUMMYFUNCTION("IF(M349="""","""",GOOGLETRANSLATE(M349,""en"",""pt""))"),"Paisagismo e manutenção de terrenos utilizando ferramentas manuais ou elétricas. Os trabalhadores geralmente executam uma variedade de tarefas, que podem incluir qualquer combinação das seguintes: colocação de grama, corte de grama, poda, plantio, rega, f"&amp;"ertilização, escavação e rastelagem. Nível inicial; requer supervisão. Classificação da vaga: 37-3011.00 - Trabalhadores de Paisagismo e Manutenção de Terrenos. A classificação e descrição da vaga/setor incluem informações gerais sobre o cargo, de acordo "&amp;"com o ONET/OES e o Sistema de Classificação Industrial da América do Norte (NAICS). Consulte as Funções e a Ordem de Serviço para obter mais informações. Requisitos da vaga: Experiência necessária: Não. Requisitos especiais: Deve ser capaz de levantar/car"&amp;"regar 23 kg, quando necessário. Trabalho aos sábados e domingos, quando necessário. O empregador pode oferecer mais horas de trabalho do que as estipuladas, dependendo do clima, das necessidades da empresa e de outras condições. Calor extremo, frio, chuva"&amp;" ou seca podem afetar o horário de trabalho exato. Número de horas por semana: 40. Horário de trabalho (início/término): 8h às 16h30.")</f>
        <v>Paisagismo e manutenção de terrenos utilizando ferramentas manuais ou elétricas. Os trabalhadores geralmente executam uma variedade de tarefas, que podem incluir qualquer combinação das seguintes: colocação de grama, corte de grama, poda, plantio, rega, fertilização, escavação e rastelagem. Nível inicial; requer supervisão. Classificação da vaga: 37-3011.00 - Trabalhadores de Paisagismo e Manutenção de Terrenos. A classificação e descrição da vaga/setor incluem informações gerais sobre o cargo, de acordo com o ONET/OES e o Sistema de Classificação Industrial da América do Norte (NAICS). Consulte as Funções e a Ordem de Serviço para obter mais informações. Requisitos da vaga: Experiência necessária: Não. Requisitos especiais: Deve ser capaz de levantar/carregar 23 kg, quando necessário. Trabalho aos sábados e domingos, quando necessário. O empregador pode oferecer mais horas de trabalho do que as estipuladas, dependendo do clima, das necessidades da empresa e de outras condições. Calor extremo, frio, chuva ou seca podem afetar o horário de trabalho exato. Número de horas por semana: 40. Horário de trabalho (início/término): 8h às 16h30.</v>
      </c>
    </row>
    <row r="350" ht="20.25" customHeight="1">
      <c r="A350" s="3" t="s">
        <v>1894</v>
      </c>
      <c r="B350" s="3" t="s">
        <v>1895</v>
      </c>
      <c r="C350" s="3" t="s">
        <v>63</v>
      </c>
      <c r="D350" s="3" t="s">
        <v>271</v>
      </c>
      <c r="E350" s="4" t="s">
        <v>44</v>
      </c>
      <c r="F350" s="4" t="s">
        <v>20</v>
      </c>
      <c r="G350" s="4" t="s">
        <v>56</v>
      </c>
      <c r="H350" s="3" t="s">
        <v>1896</v>
      </c>
      <c r="I350" s="3" t="s">
        <v>1897</v>
      </c>
      <c r="J350" s="4">
        <v>19.42</v>
      </c>
      <c r="K350" s="4">
        <v>68.0</v>
      </c>
      <c r="L350" s="3" t="s">
        <v>59</v>
      </c>
      <c r="M350" s="3" t="s">
        <v>1898</v>
      </c>
      <c r="N350" s="7" t="str">
        <f>IFERROR(__xludf.DUMMYFUNCTION("GOOGLETRANSLATE(L350, ""en"", ""pt"")"),"Trabalhador de paisagismo")</f>
        <v>Trabalhador de paisagismo</v>
      </c>
      <c r="O350" s="7" t="str">
        <f>IFERROR(__xludf.DUMMYFUNCTION("IF(M350="""","""",GOOGLETRANSLATE(M350,""en"",""pt""))"),"Paisagismo e manutenção de terrenos utilizando ferramentas manuais ou elétricas. Os trabalhadores geralmente executam uma variedade de tarefas, que podem incluir qualquer combinação das seguintes: colocação de grama, cobertura morta, corte de grama, poda,"&amp;" plantio, rega, fertilização, escavação, rastelamento, remoção de lixo/detritos e instalação de blocos de concreto pré-moldado sem argamassa. Manutenção/reparo de ferramentas/equipamentos conforme necessário. Nível inicial; requer supervisão. Classificaçã"&amp;"o da vaga: 37-3011.00 - Trabalhadores de Paisagismo e Manutenção de Terrenos. A classificação e descrição da vaga/setor incluem informações gerais sobre o cargo, de acordo com o ONET/OES e o Sistema de Classificação Industrial da América do Norte (NAICS)."&amp;" Consulte as Funções e a Ordem de Serviço para obter mais informações. Requisitos da vaga: Experiência exigida: Não. Requisitos especiais: Deve ser capaz de levantar/carregar 23 kg, quando necessário. Trabalho aos sábados e domingos, quando necessário. Te"&amp;"ste antidrogas pago pelo empregador é obrigatório para trabalhadores estrangeiros e nacionais antes do início do trabalho e após a contratação, em caso de suspeita de uso e após acidente. A verificação de antecedentes após a contratação pode ser exigida d"&amp;"e trabalhadores estrangeiros e nacionais, de acordo com os requisitos contratuais. A verificação da elegibilidade para emprego (e-Verify) após a contratação é obrigatória para trabalhadores estrangeiros e nacionais. A verificação do histórico de condução "&amp;"após a contratação é exigida apenas para trabalhadores estrangeiros e nacionais que dirigem veículos da empresa (dirigir não é um requisito para todos os funcionários da função). O empregador pode oferecer mais horas de trabalho do que as estipuladas, dep"&amp;"endendo do clima, das necessidades da empresa e de outras condições. Calor extremo, frio, chuva ou seca podem afetar o horário de trabalho exato. Número de horas por semana: 40. Horário de trabalho (início/término): 6h30 às 14h.")</f>
        <v>Paisagismo e manutenção de terrenos utilizando ferramentas manuais ou elétricas. Os trabalhadores geralmente executam uma variedade de tarefas, que podem incluir qualquer combinação das seguintes: colocação de grama, cobertura morta, corte de grama, poda, plantio, rega, fertilização, escavação, rastelamento, remoção de lixo/detritos e instalação de blocos de concreto pré-moldado sem argamassa. Manutenção/reparo de ferramentas/equipamentos conforme necessário. Nível inicial; requer supervisão. Classificação da vaga: 37-3011.00 - Trabalhadores de Paisagismo e Manutenção de Terrenos. A classificação e descrição da vaga/setor incluem informações gerais sobre o cargo, de acordo com o ONET/OES e o Sistema de Classificação Industrial da América do Norte (NAICS). Consulte as Funções e a Ordem de Serviço para obter mais informações. Requisitos da vaga: Experiência exigida: Não. Requisitos especiais: Deve ser capaz de levantar/carregar 23 kg, quando necessário. Trabalho aos sábados e domingos, quando necessário. Teste antidrogas pago pelo empregador é obrigatório para trabalhadores estrangeiros e nacionais antes do início do trabalho e após a contratação, em caso de suspeita de uso e após acidente. A verificação de antecedentes após a contratação pode ser exigida de trabalhadores estrangeiros e nacionais, de acordo com os requisitos contratuais. A verificação da elegibilidade para emprego (e-Verify) após a contratação é obrigatória para trabalhadores estrangeiros e nacionais. A verificação do histórico de condução após a contratação é exigida apenas para trabalhadores estrangeiros e nacionais que dirigem veículos da empresa (dirigir não é um requisito para todos os funcionários da função). O empregador pode oferecer mais horas de trabalho do que as estipuladas, dependendo do clima, das necessidades da empresa e de outras condições. Calor extremo, frio, chuva ou seca podem afetar o horário de trabalho exato. Número de horas por semana: 40. Horário de trabalho (início/término): 6h30 às 14h.</v>
      </c>
    </row>
    <row r="351" ht="20.25" customHeight="1">
      <c r="A351" s="8" t="s">
        <v>1899</v>
      </c>
      <c r="B351" s="8" t="s">
        <v>1900</v>
      </c>
      <c r="C351" s="8" t="s">
        <v>63</v>
      </c>
      <c r="D351" s="8" t="s">
        <v>271</v>
      </c>
      <c r="E351" s="9" t="s">
        <v>19</v>
      </c>
      <c r="F351" s="9" t="s">
        <v>20</v>
      </c>
      <c r="G351" s="9" t="s">
        <v>56</v>
      </c>
      <c r="H351" s="8" t="s">
        <v>1896</v>
      </c>
      <c r="I351" s="8" t="s">
        <v>1901</v>
      </c>
      <c r="J351" s="9">
        <v>18.18</v>
      </c>
      <c r="K351" s="9">
        <v>40.0</v>
      </c>
      <c r="L351" s="8" t="s">
        <v>59</v>
      </c>
      <c r="M351" s="8" t="s">
        <v>1898</v>
      </c>
      <c r="N351" s="7" t="str">
        <f>IFERROR(__xludf.DUMMYFUNCTION("GOOGLETRANSLATE(L351, ""en"", ""pt"")"),"Trabalhador de paisagismo")</f>
        <v>Trabalhador de paisagismo</v>
      </c>
      <c r="O351" s="7" t="str">
        <f>IFERROR(__xludf.DUMMYFUNCTION("IF(M351="""","""",GOOGLETRANSLATE(M351,""en"",""pt""))"),"Paisagismo e manutenção de terrenos utilizando ferramentas manuais ou elétricas. Os trabalhadores geralmente executam uma variedade de tarefas, que podem incluir qualquer combinação das seguintes: colocação de grama, cobertura morta, corte de grama, poda,"&amp;" plantio, rega, fertilização, escavação, rastelamento, remoção de lixo/detritos e instalação de blocos de concreto pré-moldado sem argamassa. Manutenção/reparo de ferramentas/equipamentos conforme necessário. Nível inicial; requer supervisão. Classificaçã"&amp;"o da vaga: 37-3011.00 - Trabalhadores de Paisagismo e Manutenção de Terrenos. A classificação e descrição da vaga/setor incluem informações gerais sobre o cargo, de acordo com o ONET/OES e o Sistema de Classificação Industrial da América do Norte (NAICS)."&amp;" Consulte as Funções e a Ordem de Serviço para obter mais informações. Requisitos da vaga: Experiência exigida: Não. Requisitos especiais: Deve ser capaz de levantar/carregar 23 kg, quando necessário. Trabalho aos sábados e domingos, quando necessário. Te"&amp;"ste antidrogas pago pelo empregador é obrigatório para trabalhadores estrangeiros e nacionais antes do início do trabalho e após a contratação, em caso de suspeita de uso e após acidente. A verificação de antecedentes após a contratação pode ser exigida d"&amp;"e trabalhadores estrangeiros e nacionais, de acordo com os requisitos contratuais. A verificação da elegibilidade para emprego (e-Verify) após a contratação é obrigatória para trabalhadores estrangeiros e nacionais. A verificação do histórico de condução "&amp;"após a contratação é exigida apenas para trabalhadores estrangeiros e nacionais que dirigem veículos da empresa (dirigir não é um requisito para todos os funcionários da função). O empregador pode oferecer mais horas de trabalho do que as estipuladas, dep"&amp;"endendo do clima, das necessidades da empresa e de outras condições. Calor extremo, frio, chuva ou seca podem afetar o horário de trabalho exato. Número de horas por semana: 40. Horário de trabalho (início/término): 6h30 às 14h.")</f>
        <v>Paisagismo e manutenção de terrenos utilizando ferramentas manuais ou elétricas. Os trabalhadores geralmente executam uma variedade de tarefas, que podem incluir qualquer combinação das seguintes: colocação de grama, cobertura morta, corte de grama, poda, plantio, rega, fertilização, escavação, rastelamento, remoção de lixo/detritos e instalação de blocos de concreto pré-moldado sem argamassa. Manutenção/reparo de ferramentas/equipamentos conforme necessário. Nível inicial; requer supervisão. Classificação da vaga: 37-3011.00 - Trabalhadores de Paisagismo e Manutenção de Terrenos. A classificação e descrição da vaga/setor incluem informações gerais sobre o cargo, de acordo com o ONET/OES e o Sistema de Classificação Industrial da América do Norte (NAICS). Consulte as Funções e a Ordem de Serviço para obter mais informações. Requisitos da vaga: Experiência exigida: Não. Requisitos especiais: Deve ser capaz de levantar/carregar 23 kg, quando necessário. Trabalho aos sábados e domingos, quando necessário. Teste antidrogas pago pelo empregador é obrigatório para trabalhadores estrangeiros e nacionais antes do início do trabalho e após a contratação, em caso de suspeita de uso e após acidente. A verificação de antecedentes após a contratação pode ser exigida de trabalhadores estrangeiros e nacionais, de acordo com os requisitos contratuais. A verificação da elegibilidade para emprego (e-Verify) após a contratação é obrigatória para trabalhadores estrangeiros e nacionais. A verificação do histórico de condução após a contratação é exigida apenas para trabalhadores estrangeiros e nacionais que dirigem veículos da empresa (dirigir não é um requisito para todos os funcionários da função). O empregador pode oferecer mais horas de trabalho do que as estipuladas, dependendo do clima, das necessidades da empresa e de outras condições. Calor extremo, frio, chuva ou seca podem afetar o horário de trabalho exato. Número de horas por semana: 40. Horário de trabalho (início/término): 6h30 às 14h.</v>
      </c>
    </row>
    <row r="352" ht="20.25" customHeight="1">
      <c r="A352" s="3" t="s">
        <v>1902</v>
      </c>
      <c r="B352" s="3" t="s">
        <v>1903</v>
      </c>
      <c r="C352" s="3" t="s">
        <v>1904</v>
      </c>
      <c r="D352" s="3" t="s">
        <v>79</v>
      </c>
      <c r="E352" s="4" t="s">
        <v>19</v>
      </c>
      <c r="F352" s="4" t="s">
        <v>20</v>
      </c>
      <c r="G352" s="4" t="s">
        <v>1280</v>
      </c>
      <c r="H352" s="3" t="s">
        <v>1905</v>
      </c>
      <c r="I352" s="3" t="s">
        <v>1906</v>
      </c>
      <c r="J352" s="4">
        <v>20.36</v>
      </c>
      <c r="K352" s="4">
        <v>20.0</v>
      </c>
      <c r="L352" s="3" t="s">
        <v>83</v>
      </c>
      <c r="M352" s="3" t="s">
        <v>1907</v>
      </c>
      <c r="N352" s="7" t="str">
        <f>IFERROR(__xludf.DUMMYFUNCTION("GOOGLETRANSLATE(L352, ""en"", ""pt"")"),"Trabalhador Florestal")</f>
        <v>Trabalhador Florestal</v>
      </c>
      <c r="O352" s="7" t="str">
        <f>IFERROR(__xludf.DUMMYFUNCTION("IF(M352="""","""",GOOGLETRANSLATE(M352,""en"",""pt""))"),"As funções podem incluir: Cultivo e transporte de mudas, seleção de mudas de árvores, descarte de mudas abaixo do padrão, de acordo com tabelas padrão ou instruções verbais. Plantio: mudas/árvores, pulverização ou injeção de inseticidas na vegetação para "&amp;"matar insetos ou proteger contra doenças, ou herbicidas para reduzir a vegetação concorrente ou estimular o crescimento. Poda de árvores ou outras vegetações; corte de árvores ou toras. Empilhamento, trituração ou poda e dispersão dos resíduos gerados. Ma"&amp;"nutenção dos equipamentos utilizados em campo. SE NECESSÁRIO (SOMENTE EM CASO DE INCÊNDIO IMPREVISTO) E SOB A SUPERVISÃO DIRETA DE OFICIAIS DE COMBATE A INCÊNDIOS OU TÉCNICOS FLORESTAIS: combate a incêndios de menor escala por meio de limpeza/descarte de "&amp;"vegetação rasteira e empilhamento e escavação de aceiros/construção de ""barreiras corta-fogo"" (escavação manual de pequenas trincheiras, conforme necessário). Possibilidade de condução ocasional e outras atividades relacionadas a Trabalhador Florestal, "&amp;"conforme SOC/OES 45-4011 (onetonline.org). Horário padrão/previsto: Segunda a sexta, das 5h às 15h. Oferecemos 35 horas semanais ou mais, sem incluir almoço e/ou intervalos. Possibilidade de trabalho aos fins de semana e feriados. Os horários de início e "&amp;"término, a carga horária e/ou horas extras podem variar, pois dependem de fatores como necessidades do projeto/cronograma/serviço, condições climáticas e tempo de deslocamento entre os locais de trabalho (se aplicável). Horas extras são possíveis, mas não"&amp;" obrigatórias nem garantidas. A critério exclusivo do empregador: aumentos salariais e/ou bônus podem ser concedidos com base em fatores individuais, como desempenho ou habilidades (não garantidos). Moradia compartilhada opcional, sem custo para o trabalh"&amp;"ador. Classificação da vaga: 45-4011.00 - Trabalhadores Florestais e de Conservação. A classificação e descrição da vaga/setor incluem informações gerais sobre o cargo, conforme o ONET/OES e o Sistema de Classificação Industrial da América do Norte. Consu"&amp;"lte as atribuições e a ordem de serviço para obter mais informações. Requisitos da Vaga Experiência Necessária: Sim Meses de Experiência Necessários: 3 Requisitos Especiais: É necessário ter 18 anos devido a viagens. É necessário apresentar comprovante de"&amp;" autorização legal para trabalhar nos Estados Unidos. Ambiente de trabalho livre de drogas, álcool e tabaco. É necessário caminhar bastante (até 24 km/dia), além de se abaixar e se curvar carregando uma mochila (até 23 kg) em terrenos acidentados (fora de"&amp;" trilhas). Todos os candidatos devem ser capazes, dispostos e qualificados para realizar o trabalho descrito e devem estar disponíveis durante todo o período especificado e trabalhar em todas as áreas da vaga. O trabalho é realizado ao ar livre, exposto à"&amp;"s intempéries; o candidato deve ser capaz de realizar trabalho fisicamente extenuante por longos períodos, ocasionalmente em calor ou frio extremos. Condições climáticas variáveis ​​se aplicam; a carga horária pode sofrer alterações (+/-), com possibilida"&amp;"de de períodos de inatividade e/ou horas extras. Número de Horas por Semana: 40 Horário de Trabalho (Início/Término): 5h às 15h")</f>
        <v>As funções podem incluir: Cultivo e transporte de mudas, seleção de mudas de árvores, descarte de mudas abaixo do padrão, de acordo com tabelas padrão ou instruções verbais. Plantio: mudas/árvores, pulverização ou injeção de inseticidas na vegetação para matar insetos ou proteger contra doenças, ou herbicidas para reduzir a vegetação concorrente ou estimular o crescimento. Poda de árvores ou outras vegetações; corte de árvores ou toras. Empilhamento, trituração ou poda e dispersão dos resíduos gerados. Manutenção dos equipamentos utilizados em campo. SE NECESSÁRIO (SOMENTE EM CASO DE INCÊNDIO IMPREVISTO) E SOB A SUPERVISÃO DIRETA DE OFICIAIS DE COMBATE A INCÊNDIOS OU TÉCNICOS FLORESTAIS: combate a incêndios de menor escala por meio de limpeza/descarte de vegetação rasteira e empilhamento e escavação de aceiros/construção de "barreiras corta-fogo" (escavação manual de pequenas trincheiras, conforme necessário). Possibilidade de condução ocasional e outras atividades relacionadas a Trabalhador Florestal, conforme SOC/OES 45-4011 (onetonline.org). Horário padrão/previsto: Segunda a sexta, das 5h às 15h. Oferecemos 35 horas semanais ou mais, sem incluir almoço e/ou intervalos. Possibilidade de trabalho aos fins de semana e feriados. Os horários de início e término, a carga horária e/ou horas extras podem variar, pois dependem de fatores como necessidades do projeto/cronograma/serviço, condições climáticas e tempo de deslocamento entre os locais de trabalho (se aplicável). Horas extras são possíveis, mas não obrigatórias nem garantidas. A critério exclusivo do empregador: aumentos salariais e/ou bônus podem ser concedidos com base em fatores individuais, como desempenho ou habilidades (não garantidos). Moradia compartilhada opcional, sem custo para o trabalhador. Classificação da vaga: 45-4011.00 - Trabalhadores Florestais e de Conservação. A classificação e descrição da vaga/setor incluem informações gerais sobre o cargo, conforme o ONET/OES e o Sistema de Classificação Industrial da América do Norte. Consulte as atribuições e a ordem de serviço para obter mais informações. Requisitos da Vaga Experiência Necessária: Sim Meses de Experiência Necessários: 3 Requisitos Especiais: É necessário ter 18 anos devido a viagens. É necessário apresentar comprovante de autorização legal para trabalhar nos Estados Unidos. Ambiente de trabalho livre de drogas, álcool e tabaco. É necessário caminhar bastante (até 24 km/dia), além de se abaixar e se curvar carregando uma mochila (até 23 kg) em terrenos acidentados (fora de trilhas). Todos os candidatos devem ser capazes, dispostos e qualificados para realizar o trabalho descrito e devem estar disponíveis durante todo o período especificado e trabalhar em todas as áreas da vaga. O trabalho é realizado ao ar livre, exposto às intempéries; o candidato deve ser capaz de realizar trabalho fisicamente extenuante por longos períodos, ocasionalmente em calor ou frio extremos. Condições climáticas variáveis ​​se aplicam; a carga horária pode sofrer alterações (+/-), com possibilidade de períodos de inatividade e/ou horas extras. Número de Horas por Semana: 40 Horário de Trabalho (Início/Término): 5h às 15h</v>
      </c>
    </row>
    <row r="353" ht="20.25" customHeight="1">
      <c r="A353" s="8" t="s">
        <v>1908</v>
      </c>
      <c r="B353" s="8" t="s">
        <v>1418</v>
      </c>
      <c r="C353" s="8" t="s">
        <v>1419</v>
      </c>
      <c r="D353" s="8" t="s">
        <v>284</v>
      </c>
      <c r="E353" s="9" t="s">
        <v>19</v>
      </c>
      <c r="F353" s="9" t="s">
        <v>20</v>
      </c>
      <c r="G353" s="9" t="s">
        <v>155</v>
      </c>
      <c r="H353" s="8" t="s">
        <v>1420</v>
      </c>
      <c r="I353" s="8" t="s">
        <v>1909</v>
      </c>
      <c r="J353" s="9">
        <v>16.55</v>
      </c>
      <c r="K353" s="9">
        <v>110.0</v>
      </c>
      <c r="L353" s="8" t="s">
        <v>83</v>
      </c>
      <c r="M353" s="8" t="s">
        <v>1910</v>
      </c>
      <c r="N353" s="7" t="str">
        <f>IFERROR(__xludf.DUMMYFUNCTION("GOOGLETRANSLATE(L353, ""en"", ""pt"")"),"Trabalhador Florestal")</f>
        <v>Trabalhador Florestal</v>
      </c>
      <c r="O353" s="7" t="str">
        <f>IFERROR(__xludf.DUMMYFUNCTION("IF(M353="""","""",GOOGLETRANSLATE(M353,""en"",""pt""))"),"Todos os candidatos devem ser capazes, estar dispostos e qualificados para executar o trabalho descrito nesta descrição de cargo e ter disponibilidade durante todo o período especificado. As funções podem incluir: reflorestamento, proteção de áreas flores"&amp;"tais, semeadura; remoção de mudas de viveiros, colocação de materiais de sombreamento ao lado das mudas, colocação de redes/tubos (pequenos tubos de plástico sobre as mudas); cobertura morta, roçada manual pós-plantio (remoção do excesso de vegetação ao r"&amp;"edor das mudas); aplicação de repelente ou fertilizante em mudas e outras atividades relacionadas à silvicultura, conforme as atividades de Trabalhador Florestal Geral de Gestão Florestal e de Terras, de acordo com a SOC/OES 45-4011 (onetonline.org). É ne"&amp;"cessário realizar atividades físicas: levantar, equilibrar-se, caminhar, agachar-se, manusear, posicionar, mover e manipular materiais, utilizando força estática – exercer força muscular máxima para levantar, empurrar, puxar ou carregar objetos de até 23 "&amp;"kg. Atenção aos detalhes; conclusão das tarefas dentro do prazo. Trabalho ao ar livre, exposto às intempéries; o candidato deve ser capaz de realizar trabalho físico extenuante por longos períodos, ocasionalmente em calor/frio extremos. Condições climátic"&amp;"as variáveis ​​se aplicam. O horário de trabalho pode variar (+/-), com possibilidade de tempo ocioso/horas extras. Horário diário/semanal possível: 7h às 15h30. De segunda a sexta, 35 a 40 horas semanais ou mais, incluindo intervalo para almoço. Não é ex"&amp;"igida escolaridade mínima. Não é necessária experiência. Treinamento em serviço. Ferramentas/equipamentos fornecidos pelo empregador sem custo para o trabalhador. Transporte fornecido, local designado para o local de trabalho sem custo para o trabalhador."&amp;" Alojamento opcional fornecido pelo empregador sem custo para o trabalhador. Classificação do cargo: 45-4011.00 - Trabalhadores Florestais e de Conservação. A classificação e descrição do cargo/setor incluem informações gerais sobre a posição, de acordo c"&amp;"om o ONET/OES e o Sistema de Classificação Industrial da América do Norte. Consulte as Funções e a Ordem de Serviço para obter mais informações. Requisitos do cargo: Experiência exigida: Não. Requisitos especiais: É necessário ter pelo menos 18 anos de id"&amp;"ade devido a viagens. É necessário comprovar autorização legal para trabalhar nos EUA. Zona de trabalho livre de drogas, álcool e tabaco. Número de horas por semana: 35 Horário de trabalho (início/término): 7h00 - 15h30")</f>
        <v>Todos os candidatos devem ser capazes, estar dispostos e qualificados para executar o trabalho descrito nesta descrição de cargo e ter disponibilidade durante todo o período especificado. As funções podem incluir: reflorestamento, proteção de áreas florestais, semeadura; remoção de mudas de viveiros, colocação de materiais de sombreamento ao lado das mudas, colocação de redes/tubos (pequenos tubos de plástico sobre as mudas); cobertura morta, roçada manual pós-plantio (remoção do excesso de vegetação ao redor das mudas); aplicação de repelente ou fertilizante em mudas e outras atividades relacionadas à silvicultura, conforme as atividades de Trabalhador Florestal Geral de Gestão Florestal e de Terras, de acordo com a SOC/OES 45-4011 (onetonline.org). É necessário realizar atividades físicas: levantar, equilibrar-se, caminhar, agachar-se, manusear, posicionar, mover e manipular materiais, utilizando força estática – exercer força muscular máxima para levantar, empurrar, puxar ou carregar objetos de até 23 kg. Atenção aos detalhes; conclusão das tarefas dentro do prazo. Trabalho ao ar livre, exposto às intempéries; o candidato deve ser capaz de realizar trabalho físico extenuante por longos períodos, ocasionalmente em calor/frio extremos. Condições climáticas variáveis ​​se aplicam. O horário de trabalho pode variar (+/-), com possibilidade de tempo ocioso/horas extras. Horário diário/semanal possível: 7h às 15h30. De segunda a sexta, 35 a 40 horas semanais ou mais, incluindo intervalo para almoço. Não é exigida escolaridade mínima. Não é necessária experiência. Treinamento em serviço. Ferramentas/equipamentos fornecidos pelo empregador sem custo para o trabalhador. Transporte fornecido, local designado para o local de trabalho sem custo para o trabalhador. Alojamento opcional fornecido pelo empregador sem custo para o trabalhador. Classificação do cargo: 45-4011.00 - Trabalhadores Florestais e de Conservação. A classificação e descrição do cargo/setor incluem informações gerais sobre a posição, de acordo com o ONET/OES e o Sistema de Classificação Industrial da América do Norte. Consulte as Funções e a Ordem de Serviço para obter mais informações. Requisitos do cargo: Experiência exigida: Não. Requisitos especiais: É necessário ter pelo menos 18 anos de idade devido a viagens. É necessário comprovar autorização legal para trabalhar nos EUA. Zona de trabalho livre de drogas, álcool e tabaco. Número de horas por semana: 35 Horário de trabalho (início/término): 7h00 - 15h30</v>
      </c>
    </row>
    <row r="354" ht="20.25" customHeight="1">
      <c r="A354" s="3" t="s">
        <v>1911</v>
      </c>
      <c r="B354" s="3" t="s">
        <v>1418</v>
      </c>
      <c r="C354" s="3" t="s">
        <v>1419</v>
      </c>
      <c r="D354" s="3" t="s">
        <v>79</v>
      </c>
      <c r="E354" s="4" t="s">
        <v>44</v>
      </c>
      <c r="F354" s="4" t="s">
        <v>20</v>
      </c>
      <c r="G354" s="4" t="s">
        <v>155</v>
      </c>
      <c r="H354" s="3" t="s">
        <v>1420</v>
      </c>
      <c r="I354" s="3" t="s">
        <v>1421</v>
      </c>
      <c r="J354" s="4">
        <v>19.83</v>
      </c>
      <c r="K354" s="4">
        <v>72.0</v>
      </c>
      <c r="L354" s="3" t="s">
        <v>83</v>
      </c>
      <c r="M354" s="3" t="s">
        <v>1912</v>
      </c>
      <c r="N354" s="7" t="str">
        <f>IFERROR(__xludf.DUMMYFUNCTION("GOOGLETRANSLATE(L354, ""en"", ""pt"")"),"Trabalhador Florestal")</f>
        <v>Trabalhador Florestal</v>
      </c>
      <c r="O354" s="7" t="str">
        <f>IFERROR(__xludf.DUMMYFUNCTION("IF(M354="""","""",GOOGLETRANSLATE(M354,""en"",""pt""))"),"Todos os candidatos devem ser capazes, estar dispostos e qualificados para executar o trabalho descrito nesta descrição de cargo e ter disponibilidade durante todo o período especificado. As funções podem incluir: reflorestamento, proteção de áreas flores"&amp;"tais, semeadura; remoção de mudas de viveiros, colocação de materiais de sombreamento ao lado das mudas, colocação de redes/tubos (pequenos tubos de plástico sobre as mudas); cobertura morta, roçada manual pós-plantio (remoção do excesso de vegetação ao r"&amp;"edor das mudas); aplicação de repelente ou fertilizante em mudas e outras atividades relacionadas à silvicultura, conforme as atividades de Trabalhador Florestal Geral de Gestão Florestal e de Terras, de acordo com a SOC/OES 45-4011 (onetonline.org). É ne"&amp;"cessário realizar atividades físicas: levantar, equilibrar-se, caminhar, agachar-se, manusear, posicionar, mover e manipular materiais, utilizando força estática – exercer força muscular máxima para levantar, empurrar, puxar ou carregar objetos de até 23 "&amp;"kg. Atenção aos detalhes; conclusão das tarefas dentro do prazo. Trabalho ao ar livre, exposto às intempéries; o candidato deve ser capaz de realizar trabalho físico extenuante por longos períodos, ocasionalmente em calor/frio extremos. Condições climátic"&amp;"as variáveis ​​se aplicam. O horário de trabalho pode variar (+/-), com possibilidade de períodos de inatividade/horas extras. Horário diário/semanal possível: 7h às 15h30. De segunda a sexta, 35 a 40 horas semanais ou mais, incluindo intervalo para almoç"&amp;"o. Não é exigida escolaridade mínima. Não é necessária experiência. Treinamento em serviço. Ferramentas, suprimentos/equipamentos fornecidos pelo empregador sem custo/depósito. Alojamento opcional fornecido pelo empregador sem custo para o trabalhador. Tr"&amp;"ansporte fornecido, local designado para o local de trabalho sem custo para o trabalhador. Classificação do cargo: 45-4011.00 - Trabalhadores Florestais e de Conservação. A classificação e descrição do cargo/setor incluem informações gerais sobre a posiçã"&amp;"o, de acordo com o ONET/OES e o Sistema de Classificação Industrial da América do Norte. Consulte as Funções e a Ordem de Serviço para obter mais informações. Requisitos do cargo: Experiência exigida: Não. Requisitos especiais: Deve ter pelo menos 18 anos"&amp;" de idade devido a viagens. Deve apresentar comprovante de autorização legal para trabalhar nos EUA. Zona de trabalho livre de drogas, álcool e tabaco. Número de horas por semana: 35 Horário de trabalho (início/término): 7h00 - 15h30")</f>
        <v>Todos os candidatos devem ser capazes, estar dispostos e qualificados para executar o trabalho descrito nesta descrição de cargo e ter disponibilidade durante todo o período especificado. As funções podem incluir: reflorestamento, proteção de áreas florestais, semeadura; remoção de mudas de viveiros, colocação de materiais de sombreamento ao lado das mudas, colocação de redes/tubos (pequenos tubos de plástico sobre as mudas); cobertura morta, roçada manual pós-plantio (remoção do excesso de vegetação ao redor das mudas); aplicação de repelente ou fertilizante em mudas e outras atividades relacionadas à silvicultura, conforme as atividades de Trabalhador Florestal Geral de Gestão Florestal e de Terras, de acordo com a SOC/OES 45-4011 (onetonline.org). É necessário realizar atividades físicas: levantar, equilibrar-se, caminhar, agachar-se, manusear, posicionar, mover e manipular materiais, utilizando força estática – exercer força muscular máxima para levantar, empurrar, puxar ou carregar objetos de até 23 kg. Atenção aos detalhes; conclusão das tarefas dentro do prazo. Trabalho ao ar livre, exposto às intempéries; o candidato deve ser capaz de realizar trabalho físico extenuante por longos períodos, ocasionalmente em calor/frio extremos. Condições climáticas variáveis ​​se aplicam. O horário de trabalho pode variar (+/-), com possibilidade de períodos de inatividade/horas extras. Horário diário/semanal possível: 7h às 15h30. De segunda a sexta, 35 a 40 horas semanais ou mais, incluindo intervalo para almoço. Não é exigida escolaridade mínima. Não é necessária experiência. Treinamento em serviço. Ferramentas, suprimentos/equipamentos fornecidos pelo empregador sem custo/depósito. Alojamento opcional fornecido pelo empregador sem custo para o trabalhador. Transporte fornecido, local designado para o local de trabalho sem custo para o trabalhador. Classificação do cargo: 45-4011.00 - Trabalhadores Florestais e de Conservação. A classificação e descrição do cargo/setor incluem informações gerais sobre a posição, de acordo com o ONET/OES e o Sistema de Classificação Industrial da América do Norte. Consulte as Funções e a Ordem de Serviço para obter mais informações. Requisitos do cargo: Experiência exigida: Não. Requisitos especiais: Deve ter pelo menos 18 anos de idade devido a viagens. Deve apresentar comprovante de autorização legal para trabalhar nos EUA. Zona de trabalho livre de drogas, álcool e tabaco. Número de horas por semana: 35 Horário de trabalho (início/término): 7h00 - 15h30</v>
      </c>
    </row>
    <row r="355" ht="20.25" customHeight="1">
      <c r="A355" s="8" t="s">
        <v>1913</v>
      </c>
      <c r="B355" s="8" t="s">
        <v>1914</v>
      </c>
      <c r="C355" s="8" t="s">
        <v>1131</v>
      </c>
      <c r="D355" s="8" t="s">
        <v>249</v>
      </c>
      <c r="E355" s="9" t="s">
        <v>19</v>
      </c>
      <c r="F355" s="9" t="s">
        <v>20</v>
      </c>
      <c r="G355" s="9" t="s">
        <v>1065</v>
      </c>
      <c r="H355" s="8" t="s">
        <v>1915</v>
      </c>
      <c r="I355" s="8" t="s">
        <v>1916</v>
      </c>
      <c r="J355" s="9">
        <v>18.59</v>
      </c>
      <c r="K355" s="9">
        <v>4.0</v>
      </c>
      <c r="L355" s="8" t="s">
        <v>1568</v>
      </c>
      <c r="M355" s="8" t="s">
        <v>1917</v>
      </c>
      <c r="N355" s="7" t="str">
        <f>IFERROR(__xludf.DUMMYFUNCTION("GOOGLETRANSLATE(L355, ""en"", ""pt"")"),"Membro da Equipe de Paisagismo")</f>
        <v>Membro da Equipe de Paisagismo</v>
      </c>
      <c r="O355" s="7" t="str">
        <f>IFERROR(__xludf.DUMMYFUNCTION("IF(M355="""","""",GOOGLETRANSLATE(M355,""en"",""pt""))"),"Paisagismo e manutenção de terrenos utilizando ferramentas manuais ou elétricas. Os trabalhadores geralmente executam uma variedade de tarefas, que podem incluir qualquer combinação das seguintes: colocação de grama, corte de grama, poda, plantio, irrigaç"&amp;"ão, fertilização, escavação, limpeza com soprador, rastelagem e instalação de blocos de concreto segmentados sem argamassa. Classificação da função: 37-3011.00 - Trabalhadores de Paisagismo e Manutenção de Terrenos. A classificação e descrição da função/s"&amp;"etor incluem informações gerais sobre o cargo, de acordo com o ONET/OES e o Sistema de Classificação Industrial da América do Norte (NAICS). Consulte as Funções e a Ordem de Serviço para obter mais informações. Requisitos da função: Experiência necessária"&amp;": Não. Requisitos especiais: Deve ser capaz de levantar/carregar 23 kg, quando necessário. Trabalho aos sábados e domingos, quando necessário. Número de horas por semana: 40. Horário de trabalho (início/término): 7h às 15h30.")</f>
        <v>Paisagismo e manutenção de terrenos utilizando ferramentas manuais ou elétricas. Os trabalhadores geralmente executam uma variedade de tarefas, que podem incluir qualquer combinação das seguintes: colocação de grama, corte de grama, poda, plantio, irrigação, fertilização, escavação, limpeza com soprador, rastelagem e instalação de blocos de concreto segmentados sem argamassa. Classificação da função: 37-3011.00 - Trabalhadores de Paisagismo e Manutenção de Terrenos. A classificação e descrição da função/setor incluem informações gerais sobre o cargo, de acordo com o ONET/OES e o Sistema de Classificação Industrial da América do Norte (NAICS). Consulte as Funções e a Ordem de Serviço para obter mais informações. Requisitos da função: Experiência necessária: Não. Requisitos especiais: Deve ser capaz de levantar/carregar 23 kg, quando necessário. Trabalho aos sábados e domingos, quando necessário. Número de horas por semana: 40. Horário de trabalho (início/término): 7h às 15h30.</v>
      </c>
    </row>
    <row r="356" ht="20.25" customHeight="1">
      <c r="A356" s="3" t="s">
        <v>1918</v>
      </c>
      <c r="B356" s="3" t="s">
        <v>1919</v>
      </c>
      <c r="C356" s="3" t="s">
        <v>63</v>
      </c>
      <c r="D356" s="3" t="s">
        <v>249</v>
      </c>
      <c r="E356" s="4" t="s">
        <v>19</v>
      </c>
      <c r="F356" s="4" t="s">
        <v>20</v>
      </c>
      <c r="G356" s="4" t="s">
        <v>806</v>
      </c>
      <c r="H356" s="3" t="s">
        <v>1920</v>
      </c>
      <c r="I356" s="3" t="s">
        <v>1921</v>
      </c>
      <c r="J356" s="4">
        <v>18.05</v>
      </c>
      <c r="K356" s="4">
        <v>5.0</v>
      </c>
      <c r="L356" s="3" t="s">
        <v>1922</v>
      </c>
      <c r="M356" s="3" t="s">
        <v>1923</v>
      </c>
      <c r="N356" s="7" t="str">
        <f>IFERROR(__xludf.DUMMYFUNCTION("GOOGLETRANSLATE(L356, ""en"", ""pt"")"),"Trabalhador de inverno")</f>
        <v>Trabalhador de inverno</v>
      </c>
      <c r="O356" s="7" t="str">
        <f>IFERROR(__xludf.DUMMYFUNCTION("IF(M356="""","""",GOOGLETRANSLATE(M356,""en"",""pt""))"),"Os trabalhadores realizarão manutenção comercial e residencial, incluindo cobertura vegetal, limpeza após tempestades de outono/inverno, remoção de neve com pá e soprador de neve. Também realizarão quebra de gelo, aplicação de sal e tratamento de sal em p"&amp;"avimentos e calçadas. Farão a manutenção de equipamentos de neve/gelo. Utilizarão ferramentas manuais e equipamentos como pá de neve, arado, soprador de neve, espalhador de sal e quebra-gelo. Nível inicial; requer supervisão. Classificação da vaga: 37-301"&amp;"1.00 - Trabalhadores de Paisagismo e Jardinagem. A classificação e descrição da vaga/setor incluem informações gerais sobre o cargo, de acordo com o ONET/OES e o Sistema de Classificação Industrial da América do Norte (NAICS). Consulte as Funções e a Orde"&amp;"m de Serviço para obter mais informações. Requisitos da vaga: Experiência exigida: Não. Requisitos especiais: Deve ser capaz de levantar/carregar 23 kg, quando necessário. Trabalho aos sábados e domingos, quando necessário. Exames toxicológicos pós-contra"&amp;"tação, pagos pelo empregador, em caso de suspeita de uso e após acidente, são obrigatórios para trabalhadores estrangeiros e nacionais. O empregador poderá oferecer mais horas de trabalho do que as estipuladas, dependendo do clima, das necessidades da emp"&amp;"resa e de outras condições. Calor extremo, frio, chuva ou seca podem afetar o horário de trabalho exato. Número de horas por semana: 40. Horário de trabalho (início/término): 7h30 às 16h.")</f>
        <v>Os trabalhadores realizarão manutenção comercial e residencial, incluindo cobertura vegetal, limpeza após tempestades de outono/inverno, remoção de neve com pá e soprador de neve. Também realizarão quebra de gelo, aplicação de sal e tratamento de sal em pavimentos e calçadas. Farão a manutenção de equipamentos de neve/gelo. Utilizarão ferramentas manuais e equipamentos como pá de neve, arado, soprador de neve, espalhador de sal e quebra-gelo. Nível inicial; requer supervisão. Classificação da vaga: 37-3011.00 - Trabalhadores de Paisagismo e Jardinagem. A classificação e descrição da vaga/setor incluem informações gerais sobre o cargo, de acordo com o ONET/OES e o Sistema de Classificação Industrial da América do Norte (NAICS). Consulte as Funções e a Ordem de Serviço para obter mais informações. Requisitos da vaga: Experiência exigida: Não. Requisitos especiais: Deve ser capaz de levantar/carregar 23 kg, quando necessário. Trabalho aos sábados e domingos, quando necessário. Exames toxicológicos pós-contratação, pagos pelo empregador, em caso de suspeita de uso e após acidente, são obrigatórios para trabalhadores estrangeiros e nacionais. O empregador poderá oferecer mais horas de trabalho do que as estipuladas, dependendo do clima, das necessidades da empresa e de outras condições. Calor extremo, frio, chuva ou seca podem afetar o horário de trabalho exato. Número de horas por semana: 40. Horário de trabalho (início/término): 7h30 às 16h.</v>
      </c>
    </row>
    <row r="357" ht="20.25" customHeight="1">
      <c r="A357" s="8" t="s">
        <v>1924</v>
      </c>
      <c r="B357" s="8" t="s">
        <v>1925</v>
      </c>
      <c r="C357" s="8" t="s">
        <v>125</v>
      </c>
      <c r="D357" s="8" t="s">
        <v>18</v>
      </c>
      <c r="E357" s="9" t="s">
        <v>19</v>
      </c>
      <c r="F357" s="9" t="s">
        <v>20</v>
      </c>
      <c r="G357" s="9" t="s">
        <v>626</v>
      </c>
      <c r="H357" s="8" t="s">
        <v>1926</v>
      </c>
      <c r="I357" s="8" t="s">
        <v>1927</v>
      </c>
      <c r="J357" s="9">
        <v>22.94</v>
      </c>
      <c r="K357" s="9">
        <v>8.0</v>
      </c>
      <c r="L357" s="8" t="s">
        <v>1928</v>
      </c>
      <c r="M357" s="8" t="s">
        <v>1929</v>
      </c>
      <c r="N357" s="7" t="str">
        <f>IFERROR(__xludf.DUMMYFUNCTION("GOOGLETRANSLATE(L357, ""en"", ""pt"")"),"Pedreiros de cimento e acabadores de concreto")</f>
        <v>Pedreiros de cimento e acabadores de concreto</v>
      </c>
      <c r="O357" s="7" t="str">
        <f>IFERROR(__xludf.DUMMYFUNCTION("IF(M357="""","""",GOOGLETRANSLATE(M357,""en"",""pt""))"),"Despejar e dar acabamento ao concreto, e montar as formas. Limpar o local de trabalho, recolher e descartar lixo e detritos. Auxiliar na mistura, despejo e colocação do concreto. Auxiliar outros trabalhadores da construção civil executando tarefas de meno"&amp;"r complexidade. Classificação da função: 47-2051.00 - Pedreiros e Acabadores de Concreto. A classificação e descrição da função/setor incluem informações gerais sobre o cargo, de acordo com o ONET/OES e o Sistema de Classificação Industrial da América do "&amp;"Norte (NAICS). Consulte as Funções e a Ordem de Serviço para obter mais informações. Requisitos da vaga: Experiência necessária: Não. Requisitos especiais: Deve ser capaz de se curvar, agachar, ficar em pé e levantar 45 kg com frequência. Deve ser capaz d"&amp;"e trabalhar em climas quentes/frios. Exame toxicológico pós-admissão por conta do empregador. Número de horas por semana: 40. Horário de trabalho (início/término): 7h às 16h.")</f>
        <v>Despejar e dar acabamento ao concreto, e montar as formas. Limpar o local de trabalho, recolher e descartar lixo e detritos. Auxiliar na mistura, despejo e colocação do concreto. Auxiliar outros trabalhadores da construção civil executando tarefas de menor complexidade. Classificação da função: 47-2051.00 - Pedreiros e Acabadores de Concreto. A classificação e descrição da função/setor incluem informações gerais sobre o cargo, de acordo com o ONET/OES e o Sistema de Classificação Industrial da América do Norte (NAICS). Consulte as Funções e a Ordem de Serviço para obter mais informações. Requisitos da vaga: Experiência necessária: Não. Requisitos especiais: Deve ser capaz de se curvar, agachar, ficar em pé e levantar 45 kg com frequência. Deve ser capaz de trabalhar em climas quentes/frios. Exame toxicológico pós-admissão por conta do empregador. Número de horas por semana: 40. Horário de trabalho (início/término): 7h às 16h.</v>
      </c>
    </row>
    <row r="358" ht="20.25" customHeight="1">
      <c r="A358" s="3" t="s">
        <v>1930</v>
      </c>
      <c r="B358" s="3" t="s">
        <v>1931</v>
      </c>
      <c r="C358" s="3" t="s">
        <v>169</v>
      </c>
      <c r="D358" s="3" t="s">
        <v>140</v>
      </c>
      <c r="E358" s="4" t="s">
        <v>19</v>
      </c>
      <c r="F358" s="4" t="s">
        <v>20</v>
      </c>
      <c r="G358" s="4" t="s">
        <v>118</v>
      </c>
      <c r="H358" s="3" t="s">
        <v>1932</v>
      </c>
      <c r="I358" s="3"/>
      <c r="J358" s="4">
        <v>17.48</v>
      </c>
      <c r="K358" s="4">
        <v>10.0</v>
      </c>
      <c r="L358" s="3" t="s">
        <v>1933</v>
      </c>
      <c r="M358" s="3" t="s">
        <v>1934</v>
      </c>
      <c r="N358" s="7" t="str">
        <f>IFERROR(__xludf.DUMMYFUNCTION("GOOGLETRANSLATE(L358, ""en"", ""pt"")"),"Guias de caça")</f>
        <v>Guias de caça</v>
      </c>
      <c r="O358" s="7" t="str">
        <f>IFERROR(__xludf.DUMMYFUNCTION("IF(M358="""","""",GOOGLETRANSLATE(M358,""en"",""pt""))"),"Os funcionários desempenharão uma combinação de funções de guia de caça, apoio ao alojamento, serviço de alimentação, processamento de caça, manutenção e conservação do terreno em um alojamento de caça. As funções de guia de caça incluem preparar os veícu"&amp;"los de caça, limpando-os e abastecendo-os com bebidas, gelo, combustível, óleo, água, cães e suprimentos de caça necessários; transportar os hóspedes de e para os campos de caça; garantir que os caçadores tenham o vestuário de segurança laranja obrigatóri"&amp;"o, equipamentos de caça e munição; fornecer instruções de segurança antes das caçadas; guiar os caçadores a pé pelos campos para localizar aves; manejar e direcionar cães de aponte e de levantamento durante as caçadas; instruir os caçadores sobre práticas"&amp;" de tiro adequadas e seguras; localizar, contar, carregar e transportar codornas e outras aves abatidas dos campos para as áreas de limpeza; auxiliar os hóspedes com atividades pós-caçada, incluindo fotografias e limpeza de armas de fogo; e manter uma apa"&amp;"rência profissional com uniformes de guia. Os funcionários também serão responsáveis ​​pela manutenção dos campos de caça, transportando água com carrinhos e reboques, recolhendo cartuchos de espingarda usados, mantendo os percursos de tiro ao prato, limp"&amp;"ando armas de fogo, lavando os carrinhos de tiro ao prato com mangueira e pano, abastecendo as máquinas de lançamento de pratos, reabastecendo os pratos e monitorando o estoque de aves, munição, pratos e bebidas para relatórios à gerência. As funções de s"&amp;"erviço de alimentação e cozinha incluem a limpeza e higienização de equipamentos de preparação de alimentos, áreas de trabalho da cozinha, áreas de refeição, balcões e mesas; o reabastecimento e a rotação de alimentos e suprimentos de cozinha; a etiquetag"&amp;"em e a datação de itens alimentícios armazenados em refrigeradores; o preparo, cozimento, grelha, fritura e serviço de alimentos, incluindo sanduíches, sopas, saladas, carnes, ovos, panquecas, pães, sobremesas, café e chá; o planejamento e a coordenação d"&amp;"o preparo dos alimentos para garantir um serviço ágil; o recebimento de pedidos dos clientes e o preparo dos alimentos de acordo com suas necessidades; o abastecimento de prateleiras e o pedido de suprimentos conforme necessário; e a execução de tarefas g"&amp;"erais de limpeza da cozinha e da área de refeição. As funções de processamento de caça incluem depenar e limpar codornas e outras aves, remover partes não comestíveis, embalar e selar a vácuo as aves limpas, congelar os produtos embalados, transportar os "&amp;"produtos para as áreas de armazenamento, manter a contagem precisa das aves processadas, descartar lixo e resíduos, e limpar e manter todos os locais de trabalho, ferramentas e equipamentos relacionados. Outras funções de manutenção da pousada e da propri"&amp;"edade incluem a substituição e o inventário dos filtros de ar nos chalés, a realização de pequenos reparos nos chalés e instalações da pousada utilizando ferramentas manuais, a limpeza e a manutenção das áreas de trabalho e dos equipamentos. Classificação"&amp;" da Função: 51-3022.00 - Cortadores e Aparadores de Carne, Aves e Peixes. A classificação e a descrição da função/setor incluem informações gerais sobre o cargo, de acordo com o ONET/OES e o Sistema de Classificação Industrial da América do Norte. Consult"&amp;"e as Funções e a Ordem de Serviço para obter mais informações. Requisitos da Função Experiência Necessária: Não. Requisitos Especiais: Deve ser capaz de levantar/carregar 23 kg, quando necessário. Trabalho aos sábados, quando necessário. Testes toxicológi"&amp;"cos pós-contratação, em caso de suspeita de uso, e pós-acidente, são obrigatórios para trabalhadores estrangeiros e nacionais. O empregador poderá oferecer uma jornada de trabalho superior à estipulada, dependendo das condições climáticas, das necessidade"&amp;"s da empresa e de outros fatores. Calor extremo, frio intenso, chuva ou seca podem afetar o horário de trabalho exato. Número de horas por semana: 54. Horário de trabalho (início/término): 7h às 17h.")</f>
        <v>Os funcionários desempenharão uma combinação de funções de guia de caça, apoio ao alojamento, serviço de alimentação, processamento de caça, manutenção e conservação do terreno em um alojamento de caça. As funções de guia de caça incluem preparar os veículos de caça, limpando-os e abastecendo-os com bebidas, gelo, combustível, óleo, água, cães e suprimentos de caça necessários; transportar os hóspedes de e para os campos de caça; garantir que os caçadores tenham o vestuário de segurança laranja obrigatório, equipamentos de caça e munição; fornecer instruções de segurança antes das caçadas; guiar os caçadores a pé pelos campos para localizar aves; manejar e direcionar cães de aponte e de levantamento durante as caçadas; instruir os caçadores sobre práticas de tiro adequadas e seguras; localizar, contar, carregar e transportar codornas e outras aves abatidas dos campos para as áreas de limpeza; auxiliar os hóspedes com atividades pós-caçada, incluindo fotografias e limpeza de armas de fogo; e manter uma aparência profissional com uniformes de guia. Os funcionários também serão responsáveis ​​pela manutenção dos campos de caça, transportando água com carrinhos e reboques, recolhendo cartuchos de espingarda usados, mantendo os percursos de tiro ao prato, limpando armas de fogo, lavando os carrinhos de tiro ao prato com mangueira e pano, abastecendo as máquinas de lançamento de pratos, reabastecendo os pratos e monitorando o estoque de aves, munição, pratos e bebidas para relatórios à gerência. As funções de serviço de alimentação e cozinha incluem a limpeza e higienização de equipamentos de preparação de alimentos, áreas de trabalho da cozinha, áreas de refeição, balcões e mesas; o reabastecimento e a rotação de alimentos e suprimentos de cozinha; a etiquetagem e a datação de itens alimentícios armazenados em refrigeradores; o preparo, cozimento, grelha, fritura e serviço de alimentos, incluindo sanduíches, sopas, saladas, carnes, ovos, panquecas, pães, sobremesas, café e chá; o planejamento e a coordenação do preparo dos alimentos para garantir um serviço ágil; o recebimento de pedidos dos clientes e o preparo dos alimentos de acordo com suas necessidades; o abastecimento de prateleiras e o pedido de suprimentos conforme necessário; e a execução de tarefas gerais de limpeza da cozinha e da área de refeição. As funções de processamento de caça incluem depenar e limpar codornas e outras aves, remover partes não comestíveis, embalar e selar a vácuo as aves limpas, congelar os produtos embalados, transportar os produtos para as áreas de armazenamento, manter a contagem precisa das aves processadas, descartar lixo e resíduos, e limpar e manter todos os locais de trabalho, ferramentas e equipamentos relacionados. Outras funções de manutenção da pousada e da propriedade incluem a substituição e o inventário dos filtros de ar nos chalés, a realização de pequenos reparos nos chalés e instalações da pousada utilizando ferramentas manuais, a limpeza e a manutenção das áreas de trabalho e dos equipamentos. Classificação da Função: 51-3022.00 - Cortadores e Aparadores de Carne, Aves e Peixes. A classificação e a descrição da função/setor incluem informações gerais sobre o cargo, de acordo com o ONET/OES e o Sistema de Classificação Industrial da América do Norte. Consulte as Funções e a Ordem de Serviço para obter mais informações. Requisitos da Função Experiência Necessária: Não. Requisitos Especiais: Deve ser capaz de levantar/carregar 23 kg, quando necessário. Trabalho aos sábados, quando necessário. Testes toxicológicos pós-contratação, em caso de suspeita de uso, e pós-acidente, são obrigatórios para trabalhadores estrangeiros e nacionais. O empregador poderá oferecer uma jornada de trabalho superior à estipulada, dependendo das condições climáticas, das necessidades da empresa e de outros fatores. Calor extremo, frio intenso, chuva ou seca podem afetar o horário de trabalho exato. Número de horas por semana: 54. Horário de trabalho (início/término): 7h às 17h.</v>
      </c>
    </row>
    <row r="359" ht="20.25" customHeight="1">
      <c r="A359" s="8" t="s">
        <v>1935</v>
      </c>
      <c r="B359" s="8" t="s">
        <v>1936</v>
      </c>
      <c r="C359" s="8" t="s">
        <v>197</v>
      </c>
      <c r="D359" s="8" t="s">
        <v>71</v>
      </c>
      <c r="E359" s="9" t="s">
        <v>19</v>
      </c>
      <c r="F359" s="9" t="s">
        <v>20</v>
      </c>
      <c r="G359" s="9" t="s">
        <v>524</v>
      </c>
      <c r="H359" s="8" t="s">
        <v>1937</v>
      </c>
      <c r="I359" s="8" t="s">
        <v>1938</v>
      </c>
      <c r="J359" s="9">
        <v>19.0</v>
      </c>
      <c r="K359" s="9">
        <v>6.0</v>
      </c>
      <c r="L359" s="8" t="s">
        <v>387</v>
      </c>
      <c r="M359" s="8" t="s">
        <v>1939</v>
      </c>
      <c r="N359" s="7" t="str">
        <f>IFERROR(__xludf.DUMMYFUNCTION("GOOGLETRANSLATE(L359, ""en"", ""pt"")"),"Ordem de serviço não disponível")</f>
        <v>Ordem de serviço não disponível</v>
      </c>
      <c r="O359" s="7" t="str">
        <f>IFERROR(__xludf.DUMMYFUNCTION("IF(M359="""","""",GOOGLETRANSLATE(M359,""en"",""pt""))"),"Preparar, cozinhar, refogar, grelhar e fritar itens como frutos do mar, carnes, aves, legumes, massas e sopas. Manter as áreas da cozinha limpas e higienizadas. Armazenar todos os produtos em locais adequados. (6) vagas disponíveis. Período: 01/10/2026 a "&amp;"31/05/2027. Necessário 3 meses de experiência. Turnos rotativos. Dias de trabalho: segunda a domingo. Horário de trabalho: 6h às 22h. Salário: US$ 19 a US$ 23 por hora, com base no desempenho; US$ 28,50 a US$ 34,50 por hora para horas extras. Pagamento qu"&amp;"inzenal. 35 horas semanais. Alojamento opcional por US$ 180 por semana, com um depósito reembolsável de US$ 30 a cada duas semanas, após a conclusão do contrato e da estadia. Uniforme e refeições durante o turno fornecidos. Local de trabalho: 13535 Eastpo"&amp;"inte Blvd, Palm Beach Gardens, FL 33418. Trabalho temporário em tempo integral. O salário será calculado com base em uma única semana de trabalho. Poderá ser feito até 10 horas extras, quando disponíveis. Todos os descontos exigidos por lei serão efetuado"&amp;"s no contracheque do trabalhador. O empregador fornecerá ao trabalhador, sem custos, todas as ferramentas, materiais e equipamentos necessários para a execução do trabalho. O trabalhador receberá ou será reembolsado pelas despesas de transporte e alimenta"&amp;"ção (incluindo o custo razoável de hospedagem, quando necessário, até US$ 110 por noite, mediante apresentação de recibos) no valor de US$ 16,78 por dia durante o deslocamento, até um máximo de US$ 68,00 por dia, mediante apresentação de recibos, desde o "&amp;"local de origem do trabalhador, seja nos EUA ou no exterior, até o local de trabalho, caso o trabalhador complete 50% do período de trabalho abrangido pela ordem de serviço, em conformidade com o 20 CFR 655.20(j)(1)(i), mediante inclusão no contracheque d"&amp;"a semana correspondente. O empregador fornecerá ou pagará o custo do transporte de retorno e da subsistência diária do trabalhador, do local de trabalho até o local de onde o trabalhador partiu para trabalhar para o empregador, independentemente de empreg"&amp;"os intermediários, caso o trabalhador complete o período de emprego certificado ou seja demitido do emprego por qualquer motivo pelo empregador antes do término do período, de acordo com o § 655.20(j)(1)(ii); os trabalhadores com visto H-2B serão reembols"&amp;"ados ​​na primeira semana de trabalho por todos os vistos, processamento de vistos, travessia de fronteira e outras taxas relacionadas, incluindo aquelas exigidas pelo governo (exceto taxas de passaporte). O empregador fornecerá aos trabalhadores todas as"&amp;" ferramentas, suprimentos e equipamentos necessários para o desempenho do trabalho, sem custo para o trabalhador, de acordo com o 20 CFR 655.20(k). Os candidatos qualificados podem enviar o currículo para Juan Pinto, no endereço 13535 Eastpointe Blvd, Pal"&amp;"m Beach Gardens, FL 33418, por e-mail para Eastpointe1974@gmail.com ou visitar o centro de empregos local em 3400 Belvedere Road, West Palm Beach, FL 33406. *Seu depósito de segurança será reembolsado após a conclusão do contrato e a inspeção da moradia. "&amp;"Se um trabalhador abandonar o emprego sem a permissão do empregador ou abandonar a moradia antes do término do prazo de solicitação por qualquer motivo, exceto rescisão por parte do empregador, o trabalhador perderá todos os depósitos de moradia, dias de "&amp;"folga remunerada, férias e bônus. Após a rescisão ou demissão, o trabalhador deverá desocupar a moradia imediatamente, a menos que haja acordo com o empregador.* Classificação do Cargo: 35-2014.00 - Cozinheiros, Restaurante. A classificação e a descrição "&amp;"do cargo/setor incluem informações gerais sobre a posição, de acordo com o ONET/OES e o Sistema de Classificação Industrial da América do Norte. Consulte as Funções e a Ordem de Serviço para obter mais informações. Requisitos da vaga Experiência necessári"&amp;"a: Sim Meses de experiência necessários: 3 Número de horas por semana: 35 Horário de trabalho (início/término): 6h às 22h")</f>
        <v>Preparar, cozinhar, refogar, grelhar e fritar itens como frutos do mar, carnes, aves, legumes, massas e sopas. Manter as áreas da cozinha limpas e higienizadas. Armazenar todos os produtos em locais adequados. (6) vagas disponíveis. Período: 01/10/2026 a 31/05/2027. Necessário 3 meses de experiência. Turnos rotativos. Dias de trabalho: segunda a domingo. Horário de trabalho: 6h às 22h. Salário: US$ 19 a US$ 23 por hora, com base no desempenho; US$ 28,50 a US$ 34,50 por hora para horas extras. Pagamento quinzenal. 35 horas semanais. Alojamento opcional por US$ 180 por semana, com um depósito reembolsável de US$ 30 a cada duas semanas, após a conclusão do contrato e da estadia. Uniforme e refeições durante o turno fornecidos. Local de trabalho: 13535 Eastpointe Blvd, Palm Beach Gardens, FL 33418. Trabalho temporário em tempo integral. O salário será calculado com base em uma única semana de trabalho. Poderá ser feito até 10 horas extras, quando disponíveis. Todos os descontos exigidos por lei serão efetuados no contracheque do trabalhador. O empregador fornecerá ao trabalhador, sem custos, todas as ferramentas, materiais e equipamentos necessários para a execução do trabalho. O trabalhador receberá ou será reembolsado pelas despesas de transporte e alimentação (incluindo o custo razoável de hospedagem, quando necessário, até US$ 110 por noite, mediante apresentação de recibos) no valor de US$ 16,78 por dia durante o deslocamento, até um máximo de US$ 68,00 por dia, mediante apresentação de recibos, desde o local de origem do trabalhador, seja nos EUA ou no exterior, até o local de trabalho, caso o trabalhador complete 50% do período de trabalho abrangido pela ordem de serviço, em conformidade com o 20 CFR 655.20(j)(1)(i), mediante inclusão no contracheque da semana correspondente. O empregador fornecerá ou pagará o custo do transporte de retorno e da subsistência diária do trabalhador, do local de trabalho até o local de onde o trabalhador partiu para trabalhar para o empregador, independentemente de empregos intermediários, caso o trabalhador complete o período de emprego certificado ou seja demitido do emprego por qualquer motivo pelo empregador antes do término do período, de acordo com o § 655.20(j)(1)(ii); os trabalhadores com visto H-2B serão reembolsados ​​na primeira semana de trabalho por todos os vistos, processamento de vistos, travessia de fronteira e outras taxas relacionadas, incluindo aquelas exigidas pelo governo (exceto taxas de passaporte). O empregador fornecerá aos trabalhadores todas as ferramentas, suprimentos e equipamentos necessários para o desempenho do trabalho, sem custo para o trabalhador, de acordo com o 20 CFR 655.20(k). Os candidatos qualificados podem enviar o currículo para Juan Pinto, no endereço 13535 Eastpointe Blvd, Palm Beach Gardens, FL 33418, por e-mail para Eastpointe1974@gmail.com ou visitar o centro de empregos local em 3400 Belvedere Road, West Palm Beach, FL 33406. *Seu depósito de segurança será reembolsado após a conclusão do contrato e a inspeção da moradia. Se um trabalhador abandonar o emprego sem a permissão do empregador ou abandonar a moradia antes do término do prazo de solicitação por qualquer motivo, exceto rescisão por parte do empregador, o trabalhador perderá todos os depósitos de moradia, dias de folga remunerada, férias e bônus. Após a rescisão ou demissão, o trabalhador deverá desocupar a moradia imediatamente, a menos que haja acordo com o empregador.* Classificação do Cargo: 35-2014.00 - Cozinheiros, Restaurante. A classificação e a descrição do cargo/setor incluem informações gerais sobre a posição, de acordo com o ONET/OES e o Sistema de Classificação Industrial da América do Norte. Consulte as Funções e a Ordem de Serviço para obter mais informações. Requisitos da vaga Experiência necessária: Sim Meses de experiência necessários: 3 Número de horas por semana: 35 Horário de trabalho (início/término): 6h às 22h</v>
      </c>
    </row>
    <row r="360" ht="20.25" customHeight="1">
      <c r="A360" s="3" t="s">
        <v>1940</v>
      </c>
      <c r="B360" s="3" t="s">
        <v>1936</v>
      </c>
      <c r="C360" s="3" t="s">
        <v>197</v>
      </c>
      <c r="D360" s="3" t="s">
        <v>71</v>
      </c>
      <c r="E360" s="4" t="s">
        <v>19</v>
      </c>
      <c r="F360" s="4" t="s">
        <v>20</v>
      </c>
      <c r="G360" s="4" t="s">
        <v>524</v>
      </c>
      <c r="H360" s="3" t="s">
        <v>1937</v>
      </c>
      <c r="I360" s="3" t="s">
        <v>1938</v>
      </c>
      <c r="J360" s="4">
        <v>18.71</v>
      </c>
      <c r="K360" s="4">
        <v>13.0</v>
      </c>
      <c r="L360" s="3" t="s">
        <v>201</v>
      </c>
      <c r="M360" s="3" t="s">
        <v>1941</v>
      </c>
      <c r="N360" s="7" t="str">
        <f>IFERROR(__xludf.DUMMYFUNCTION("GOOGLETRANSLATE(L360, ""en"", ""pt"")"),"Servidores")</f>
        <v>Servidores</v>
      </c>
      <c r="O360" s="7" t="str">
        <f>IFERROR(__xludf.DUMMYFUNCTION("IF(M360="""","""",GOOGLETRANSLATE(M360,""en"",""pt""))"),"Receber pedidos, servir comidas e bebidas aos clientes. Limpar e arrumar as mesas. Receber pagamentos e fornecer recibos. Manter todos os postos de trabalho abastecidos. (13) vagas disponíveis. Período: 01/10/2026 a 31/05/2027. Necessário 3 meses de exper"&amp;"iência. Turnos rotativos. Dias de trabalho: segunda a domingo. Horário: 6h às 22h. Salário: US$ 17 a US$ 20 por hora, mais gorjetas, mas não menos que US$ 18,71 por hora, US$ 28,07 por hora em horas extras. Pagamento quinzenal. 35 horas semanais. Alojamen"&amp;"to opcional por US$ 180 por semana, com um depósito reembolsável de US$ 30 a cada duas semanas, após a conclusão do contrato e da estadia. Uniforme e refeições durante o turno fornecidos. Local de trabalho: 13535 Eastpointe Blvd, Palm Beach Gardens, FL 33"&amp;"418. Trabalho temporário em tempo integral. O salário será calculado com base em uma única semana de trabalho. Possibilidade de até 10 horas extras, quando disponíveis. Todas as deduções do salário do trabalhador exigidas por lei serão feitas. O empregado"&amp;"r fornecerá aos trabalhadores, sem custo algum, todas as ferramentas, suprimentos e equipamentos necessários para a execução do trabalho. O trabalhador receberá ou será reembolsado pelas despesas de transporte e subsistência (incluindo o custo razoável de"&amp;" hospedagem noturna, quando necessário, até US$ 110 por noite, mediante apresentação de recibos) à taxa de US$ 16,78 por dia durante o deslocamento, até um máximo de US$ 68,00 por dia, mediante apresentação de recibos, desde o local de origem do trabalhad"&amp;"or, seja nos EUA ou no exterior, até o local de trabalho, caso o trabalhador complete 50% do período de trabalho abrangido pela ordem de serviço, em conformidade com 20 CFR 655.20(j)(1)(i), mediante inclusão no salário da semana correspondente. O empregad"&amp;"or fornecerá ou pagará o custo do transporte de retorno e da subsistência diária do trabalhador, do local de trabalho até o local de onde o trabalhador partiu para trabalhar para o empregador, independentemente de empregos intermediários, caso o trabalhad"&amp;"or complete o período de emprego certificado ou seja demitido do emprego por qualquer motivo pelo empregador antes do término do período, de acordo com o § 655.20(j)(1)(ii); os trabalhadores com visto H-2B serão reembolsados ​​na primeira semana de trabal"&amp;"ho por todos os vistos, processamento de vistos, travessia de fronteira e outras taxas relacionadas, incluindo aquelas exigidas pelo governo (exceto taxas de passaporte). O empregador fornecerá aos trabalhadores todas as ferramentas, suprimentos e equipam"&amp;"entos necessários para o desempenho do trabalho, sem custo para o trabalhador, de acordo com o 20 CFR 655.20(k). Os candidatos qualificados podem enviar o currículo para Juan Pinto, no endereço 13535 Eastpointe Blvd, Palm Beach Gardens, FL 33418, por e-ma"&amp;"il para Eastpointe1974@gmail.com ou visitar o centro de empregos local em 3400 Belvedere Road, West Palm Beach, FL 33406. *Seu depósito de segurança será reembolsado após a conclusão do contrato e a inspeção da moradia. Se um trabalhador abandonar o empre"&amp;"go sem a permissão do empregador ou abandonar a moradia antes do término do prazo de inscrição por qualquer motivo, exceto rescisão por parte do empregador, o trabalhador perderá todos os depósitos de moradia, dias de folga remunerada, férias e bônus. Apó"&amp;"s a rescisão ou demissão, o trabalhador deverá desocupar a moradia imediatamente, a menos que haja acordo com o empregador.* Classificação da vaga: 35-3031.00 - Garçons e Garçonetes. A classificação e a descrição da vaga/setor incluem informações gerais s"&amp;"obre o cargo, de acordo com o ONET/OES e o Sistema de Classificação Industrial da América do Norte. Consulte as Funções e a Ordem de Serviço para obter mais informações. Requisitos da vaga Experiência necessária: Sim Meses de experiência necessários: 3 Nú"&amp;"mero de horas por semana: 35 Horário de trabalho (início/término): 6h às 22h")</f>
        <v>Receber pedidos, servir comidas e bebidas aos clientes. Limpar e arrumar as mesas. Receber pagamentos e fornecer recibos. Manter todos os postos de trabalho abastecidos. (13) vagas disponíveis. Período: 01/10/2026 a 31/05/2027. Necessário 3 meses de experiência. Turnos rotativos. Dias de trabalho: segunda a domingo. Horário: 6h às 22h. Salário: US$ 17 a US$ 20 por hora, mais gorjetas, mas não menos que US$ 18,71 por hora, US$ 28,07 por hora em horas extras. Pagamento quinzenal. 35 horas semanais. Alojamento opcional por US$ 180 por semana, com um depósito reembolsável de US$ 30 a cada duas semanas, após a conclusão do contrato e da estadia. Uniforme e refeições durante o turno fornecidos. Local de trabalho: 13535 Eastpointe Blvd, Palm Beach Gardens, FL 33418. Trabalho temporário em tempo integral. O salário será calculado com base em uma única semana de trabalho. Possibilidade de até 10 horas extras, quando disponíveis. Todas as deduções do salário do trabalhador exigidas por lei serão feitas. O empregador fornecerá aos trabalhadores, sem custo algum, todas as ferramentas, suprimentos e equipamentos necessários para a execução do trabalho. O trabalhador receberá ou será reembolsado pelas despesas de transporte e subsistência (incluindo o custo razoável de hospedagem noturna, quando necessário, até US$ 110 por noite, mediante apresentação de recibos) à taxa de US$ 16,78 por dia durante o deslocamento, até um máximo de US$ 68,00 por dia, mediante apresentação de recibos, desde o local de origem do trabalhador, seja nos EUA ou no exterior, até o local de trabalho, caso o trabalhador complete 50% do período de trabalho abrangido pela ordem de serviço, em conformidade com 20 CFR 655.20(j)(1)(i), mediante inclusão no salário da semana correspondente. O empregador fornecerá ou pagará o custo do transporte de retorno e da subsistência diária do trabalhador, do local de trabalho até o local de onde o trabalhador partiu para trabalhar para o empregador, independentemente de empregos intermediários, caso o trabalhador complete o período de emprego certificado ou seja demitido do emprego por qualquer motivo pelo empregador antes do término do período, de acordo com o § 655.20(j)(1)(ii); os trabalhadores com visto H-2B serão reembolsados ​​na primeira semana de trabalho por todos os vistos, processamento de vistos, travessia de fronteira e outras taxas relacionadas, incluindo aquelas exigidas pelo governo (exceto taxas de passaporte). O empregador fornecerá aos trabalhadores todas as ferramentas, suprimentos e equipamentos necessários para o desempenho do trabalho, sem custo para o trabalhador, de acordo com o 20 CFR 655.20(k). Os candidatos qualificados podem enviar o currículo para Juan Pinto, no endereço 13535 Eastpointe Blvd, Palm Beach Gardens, FL 33418, por e-mail para Eastpointe1974@gmail.com ou visitar o centro de empregos local em 3400 Belvedere Road, West Palm Beach, FL 33406. *Seu depósito de segurança será reembolsado após a conclusão do contrato e a inspeção da moradia. Se um trabalhador abandonar o emprego sem a permissão do empregador ou abandonar a moradia antes do término do prazo de inscrição por qualquer motivo, exceto rescisão por parte do empregador, o trabalhador perderá todos os depósitos de moradia, dias de folga remunerada, férias e bônus. Após a rescisão ou demissão, o trabalhador deverá desocupar a moradia imediatamente, a menos que haja acordo com o empregador.* Classificação da vaga: 35-3031.00 - Garçons e Garçonetes. A classificação e a descrição da vaga/setor incluem informações gerais sobre o cargo, de acordo com o ONET/OES e o Sistema de Classificação Industrial da América do Norte. Consulte as Funções e a Ordem de Serviço para obter mais informações. Requisitos da vaga Experiência necessária: Sim Meses de experiência necessários: 3 Número de horas por semana: 35 Horário de trabalho (início/término): 6h às 22h</v>
      </c>
    </row>
    <row r="361" ht="20.25" customHeight="1">
      <c r="A361" s="8" t="s">
        <v>1942</v>
      </c>
      <c r="B361" s="8" t="s">
        <v>1936</v>
      </c>
      <c r="C361" s="8" t="s">
        <v>197</v>
      </c>
      <c r="D361" s="8" t="s">
        <v>71</v>
      </c>
      <c r="E361" s="9" t="s">
        <v>19</v>
      </c>
      <c r="F361" s="9" t="s">
        <v>20</v>
      </c>
      <c r="G361" s="9" t="s">
        <v>524</v>
      </c>
      <c r="H361" s="8" t="s">
        <v>1937</v>
      </c>
      <c r="I361" s="8" t="s">
        <v>1938</v>
      </c>
      <c r="J361" s="9">
        <v>17.91</v>
      </c>
      <c r="K361" s="9">
        <v>2.0</v>
      </c>
      <c r="L361" s="8" t="s">
        <v>1690</v>
      </c>
      <c r="M361" s="8" t="s">
        <v>1943</v>
      </c>
      <c r="N361" s="7" t="str">
        <f>IFERROR(__xludf.DUMMYFUNCTION("GOOGLETRANSLATE(L361, ""en"", ""pt"")"),"Atendente de Sala de Jantar")</f>
        <v>Atendente de Sala de Jantar</v>
      </c>
      <c r="O361" s="7" t="str">
        <f>IFERROR(__xludf.DUMMYFUNCTION("IF(M361="""","""",GOOGLETRANSLATE(M361,""en"",""pt""))"),"Auxiliar no serviço de alimentação. Preparar e limpar mesas; retirar pratos sujos; trocar toalhas de mesa sujas; levar comida às mesas; repor o estoque de toalhas de mesa, talheres, copos e pratos limpos; abastecer o bar de serviço com comida; e servir it"&amp;"ens como água, condimentos e café aos clientes. (2) vagas disponíveis. Período: 01/10/2026 a 31/05/2027. Necessária experiência de 3 meses. Turnos rotativos. Dias de trabalho: segunda a domingo. Horário de trabalho: 6h às 22h. Salário: US$ 17 a US$ 19 por"&amp;" hora, mais gorjetas, mas não menos que US$ 17,91 por hora, e US$ 26,87 por hora para horas extras. Pagamento quinzenal. 35 horas semanais. Alojamento opcional por US$ 180 por semana, com um depósito reembolsável de US$ 30 a cada duas semanas, após a conc"&amp;"lusão do contrato e da estadia. Camisetas de uniforme e refeições durante o turno são fornecidas. Local de trabalho: 13535 Eastpointe Blvd, Palm Beach Gardens, FL 33418. A vaga é temporária, em tempo integral. O salário será calculado com base em uma sema"&amp;"na de trabalho. Poderá haver até 10 horas extras, quando disponíveis. Todos os descontos obrigatórios por lei serão feitos no contracheque do trabalhador. O empregador fornecerá gratuitamente todas as ferramentas, materiais e equipamentos necessários para"&amp;" a execução do trabalho. O trabalhador receberá ou será reembolsado pelo transporte e subsistência (incluindo o custo razoável de hospedagem noturna, quando necessário, até US$ 110/noite para hospedagem com recibos) a uma taxa de US$ 16,78 por dia durante"&amp;" a viagem, até um máximo de US$ 68,00 por dia com recibos, desde o local de onde o trabalhador veio trabalhar para o empregador, seja nos EUA ou no exterior, até o local de trabalho, se o trabalhador completar 50% do período de emprego coberto pela ordem "&amp;"de serviço, de acordo com 20 CFR 655.20(j)(1)(i), mediante inclusão no pagamento da semana aplicável. O empregador fornecerá ou pagará o custo do transporte de retorno e da subsistência diária do trabalhador, do local de trabalho até o local de onde o tra"&amp;"balhador partiu para trabalhar para o empregador, independentemente de empregos intermediários, caso o trabalhador complete o período de emprego certificado ou seja demitido do emprego por qualquer motivo pelo empregador antes do término do período, de ac"&amp;"ordo com o § 655.20(j)(1)(ii); os trabalhadores com visto H-2B serão reembolsados ​​na primeira semana de trabalho por todos os vistos, processamento de vistos, travessia de fronteira e outras taxas relacionadas, incluindo aquelas exigidas pelo governo (e"&amp;"xceto taxas de passaporte). O empregador fornecerá aos trabalhadores todas as ferramentas, suprimentos e equipamentos necessários para o desempenho do trabalho, sem custo para o trabalhador, de acordo com o 20 CFR 655.20(k). Os candidatos qualificados pod"&amp;"em enviar o currículo para Juan Pinto, no endereço 13535 Eastpointe Blvd, Palm Beach Gardens, FL 33418, por e-mail para Eastpointe1974@gmail.com ou visitar o centro de empregos local em 3400 Belvedere Road, West Palm Beach, FL 33406. *Seu depósito de segu"&amp;"rança será reembolsado após a conclusão do contrato e a inspeção da moradia. Se um trabalhador abandonar o emprego sem a permissão do empregador ou abandonar a moradia antes do término do prazo de inscrição por qualquer motivo, exceto rescisão por parte d"&amp;"o empregador, o trabalhador perderá todos os depósitos de moradia, dias de folga remunerada, férias e bônus. Após a rescisão ou demissão, o trabalhador deverá desocupar a moradia imediatamente, a menos que haja acordo com o empregador.* Classificação do C"&amp;"argo: 35-9011.00 - Atendentes de Refeitório e Cafeteria e Auxiliares de Barman. A classificação e descrição do cargo/setor incluem informações gerais sobre a posição, de acordo com o ONET/OES e o Sistema de Classificação Industrial da América do Norte. Co"&amp;"nsulte a Descrição das Funções e a Ordem de Serviço para obter mais informações. Requisitos da Vaga Experiência Necessária: Sim Meses de Experiência Necessária: 3 Número de Horas por Semana: 35 Horário de Trabalho (Início/Término): 6h00 - 22h00")</f>
        <v>Auxiliar no serviço de alimentação. Preparar e limpar mesas; retirar pratos sujos; trocar toalhas de mesa sujas; levar comida às mesas; repor o estoque de toalhas de mesa, talheres, copos e pratos limpos; abastecer o bar de serviço com comida; e servir itens como água, condimentos e café aos clientes. (2) vagas disponíveis. Período: 01/10/2026 a 31/05/2027. Necessária experiência de 3 meses. Turnos rotativos. Dias de trabalho: segunda a domingo. Horário de trabalho: 6h às 22h. Salário: US$ 17 a US$ 19 por hora, mais gorjetas, mas não menos que US$ 17,91 por hora, e US$ 26,87 por hora para horas extras. Pagamento quinzenal. 35 horas semanais. Alojamento opcional por US$ 180 por semana, com um depósito reembolsável de US$ 30 a cada duas semanas, após a conclusão do contrato e da estadia. Camisetas de uniforme e refeições durante o turno são fornecidas. Local de trabalho: 13535 Eastpointe Blvd, Palm Beach Gardens, FL 33418. A vaga é temporária, em tempo integral. O salário será calculado com base em uma semana de trabalho. Poderá haver até 10 horas extras, quando disponíveis. Todos os descontos obrigatórios por lei serão feitos no contracheque do trabalhador. O empregador fornecerá gratuitamente todas as ferramentas, materiais e equipamentos necessários para a execução do trabalho. O trabalhador receberá ou será reembolsado pelo transporte e subsistência (incluindo o custo razoável de hospedagem noturna, quando necessário, até US$ 110/noite para hospedagem com recibos) a uma taxa de US$ 16,78 por dia durante a viagem, até um máximo de US$ 68,00 por dia com recibos, desde o local de onde o trabalhador veio trabalhar para o empregador, seja nos EUA ou no exterior, até o local de trabalho, se o trabalhador completar 50% do período de emprego coberto pela ordem de serviço, de acordo com 20 CFR 655.20(j)(1)(i), mediante inclusão no pagamento da semana aplicável. O empregador fornecerá ou pagará o custo do transporte de retorno e da subsistência diária do trabalhador, do local de trabalho até o local de onde o trabalhador partiu para trabalhar para o empregador, independentemente de empregos intermediários, caso o trabalhador complete o período de emprego certificado ou seja demitido do emprego por qualquer motivo pelo empregador antes do término do período, de acordo com o § 655.20(j)(1)(ii); os trabalhadores com visto H-2B serão reembolsados ​​na primeira semana de trabalho por todos os vistos, processamento de vistos, travessia de fronteira e outras taxas relacionadas, incluindo aquelas exigidas pelo governo (exceto taxas de passaporte). O empregador fornecerá aos trabalhadores todas as ferramentas, suprimentos e equipamentos necessários para o desempenho do trabalho, sem custo para o trabalhador, de acordo com o 20 CFR 655.20(k). Os candidatos qualificados podem enviar o currículo para Juan Pinto, no endereço 13535 Eastpointe Blvd, Palm Beach Gardens, FL 33418, por e-mail para Eastpointe1974@gmail.com ou visitar o centro de empregos local em 3400 Belvedere Road, West Palm Beach, FL 33406. *Seu depósito de segurança será reembolsado após a conclusão do contrato e a inspeção da moradia. Se um trabalhador abandonar o emprego sem a permissão do empregador ou abandonar a moradia antes do término do prazo de inscrição por qualquer motivo, exceto rescisão por parte do empregador, o trabalhador perderá todos os depósitos de moradia, dias de folga remunerada, férias e bônus. Após a rescisão ou demissão, o trabalhador deverá desocupar a moradia imediatamente, a menos que haja acordo com o empregador.* Classificação do Cargo: 35-9011.00 - Atendentes de Refeitório e Cafeteria e Auxiliares de Barman. A classificação e descrição do cargo/setor incluem informações gerais sobre a posição, de acordo com o ONET/OES e o Sistema de Classificação Industrial da América do Norte. Consulte a Descrição das Funções e a Ordem de Serviço para obter mais informações. Requisitos da Vaga Experiência Necessária: Sim Meses de Experiência Necessária: 3 Número de Horas por Semana: 35 Horário de Trabalho (Início/Término): 6h00 - 22h00</v>
      </c>
    </row>
    <row r="362" ht="20.25" customHeight="1">
      <c r="A362" s="3" t="s">
        <v>1944</v>
      </c>
      <c r="B362" s="3" t="s">
        <v>1945</v>
      </c>
      <c r="C362" s="3" t="s">
        <v>1946</v>
      </c>
      <c r="D362" s="3" t="s">
        <v>1051</v>
      </c>
      <c r="E362" s="4" t="s">
        <v>19</v>
      </c>
      <c r="F362" s="4" t="s">
        <v>20</v>
      </c>
      <c r="G362" s="4" t="s">
        <v>80</v>
      </c>
      <c r="H362" s="3" t="s">
        <v>1947</v>
      </c>
      <c r="I362" s="3" t="s">
        <v>1948</v>
      </c>
      <c r="J362" s="4">
        <v>19.83</v>
      </c>
      <c r="K362" s="4">
        <v>30.0</v>
      </c>
      <c r="L362" s="3" t="s">
        <v>1054</v>
      </c>
      <c r="M362" s="3" t="s">
        <v>1949</v>
      </c>
      <c r="N362" s="7" t="str">
        <f>IFERROR(__xludf.DUMMYFUNCTION("GOOGLETRANSLATE(L362, ""en"", ""pt"")"),"Trabalhador Florestal e de Conservação")</f>
        <v>Trabalhador Florestal e de Conservação</v>
      </c>
      <c r="O362" s="7" t="str">
        <f>IFERROR(__xludf.DUMMYFUNCTION("IF(M362="""","""",GOOGLETRANSLATE(M362,""en"",""pt""))"),"O plantio comercial de árvores será realizado em terrenos íngremes, com inclinação de 40% a 60%, utilizando uma pá de plantio. O funcionário deverá limpar um espaço no solo, cavar um buraco, posicionar corretamente a muda, cobrir as raízes com terra e com"&amp;"pactar o solo ao redor da muda recém-plantada. O funcionário deverá carregar um saco de plantio contendo as mudas, cujo peso total é de aproximadamente 23 a 27 kg, dependendo do tamanho das mudas, subindo e descendo o terreno íngreme em áreas montanhosas "&amp;"remotas. DESBASTE PRÉ-COMERCIAL: CORTE DE ÁRVORES INDESEJÁVEIS E DOENTES. PULVERIZAÇÃO DA VEGETAÇÃO PARA ELIMINAR O ARBUSTO INDESEJADO. PULVERIZAÇÃO: (Somente herbicidas registrados para aplicações florestais são utilizados. O funcionário não mistura ou c"&amp;"arrega nenhum herbicida. A mistura e o carregamento são feitos por um aplicador de herbicidas licenciado, que supervisiona todos os aspectos da aplicação. Cada trabalhador que pulveriza herbicida deve ser licenciado pelo Departamento de Agricultura de Was"&amp;"hington. Os trabalhadores recebem treinamento em segurança e procedimentos técnicos. O trabalhador será treinado, após a contratação, para obter a licença de pulverização.) O CORTE/EMPILHAMENTO DE ARBUSTO E O CORTE DE GALHOS DA MADEIRA COMERCIAL SERÃO REA"&amp;"LIZADOS PARA PROMOVER O CRESCIMENTO DA MADEIRA EM PÉ. OS GALHOS DE ÁRVORES E O ARBUSTO SERÃO EMPILHADOS DE MANEIRA PRESCRITA PARA DESCARTE FUTURO. O desbaste será realizado com o uso de motosserra. Os funcionários participarão de pulverizações mínimas. Es"&amp;"pera-se que os funcionários façam a manutenção da motosserra, afiem a corrente no campo, mantenham os níveis corretos de fluidos e desmontem a motosserra adequadamente para limpeza. O peso combinado da motosserra, combustível e óleo é de aproximadamente 1"&amp;"3,6 kg (30 libras) e deve ser transportado em terrenos difíceis com inclinação variando de 40% a 60%. O funcionário deve demonstrar que pode trabalhar de forma segura e eficaz. O acesso a essas áreas remotas é feito por meio de estradas florestais abandon"&amp;"adas, sem nome ou número, que recebem manutenção. Classificação da função: 45-4011.00 - Trabalhadores Florestais e de Conservação. A classificação e descrição da função/setor incluem informações gerais sobre o cargo, de acordo com o ONET/OES e o Sistema d"&amp;"e Classificação Industrial da América do Norte. Consulte as Funções e a Ordem de Serviço para obter mais informações. Requisitos da função: Experiência necessária: Não. Requisitos especiais: DEVE SER CAPAZ DE PLANTAR O SEGUINTE NÚMERO DE ÁRVORES EM UM DIA"&amp;" DE 8 HORAS: ATÉ O FINAL DA 1ª SEMANA - 800 ÁRVORES. ATÉ O FINAL DA 2ª SEMANA - 900 ÁRVORES. ATÉ O FINAL DA 3ª SEMANA - 1.000 ÁRVORES. Número de horas por semana: 40. Horário de trabalho (início/término): 7h. - 15h30")</f>
        <v>O plantio comercial de árvores será realizado em terrenos íngremes, com inclinação de 40% a 60%, utilizando uma pá de plantio. O funcionário deverá limpar um espaço no solo, cavar um buraco, posicionar corretamente a muda, cobrir as raízes com terra e compactar o solo ao redor da muda recém-plantada. O funcionário deverá carregar um saco de plantio contendo as mudas, cujo peso total é de aproximadamente 23 a 27 kg, dependendo do tamanho das mudas, subindo e descendo o terreno íngreme em áreas montanhosas remotas. DESBASTE PRÉ-COMERCIAL: CORTE DE ÁRVORES INDESEJÁVEIS E DOENTES. PULVERIZAÇÃO DA VEGETAÇÃO PARA ELIMINAR O ARBUSTO INDESEJADO. PULVERIZAÇÃO: (Somente herbicidas registrados para aplicações florestais são utilizados. O funcionário não mistura ou carrega nenhum herbicida. A mistura e o carregamento são feitos por um aplicador de herbicidas licenciado, que supervisiona todos os aspectos da aplicação. Cada trabalhador que pulveriza herbicida deve ser licenciado pelo Departamento de Agricultura de Washington. Os trabalhadores recebem treinamento em segurança e procedimentos técnicos. O trabalhador será treinado, após a contratação, para obter a licença de pulverização.) O CORTE/EMPILHAMENTO DE ARBUSTO E O CORTE DE GALHOS DA MADEIRA COMERCIAL SERÃO REALIZADOS PARA PROMOVER O CRESCIMENTO DA MADEIRA EM PÉ. OS GALHOS DE ÁRVORES E O ARBUSTO SERÃO EMPILHADOS DE MANEIRA PRESCRITA PARA DESCARTE FUTURO. O desbaste será realizado com o uso de motosserra. Os funcionários participarão de pulverizações mínimas. Espera-se que os funcionários façam a manutenção da motosserra, afiem a corrente no campo, mantenham os níveis corretos de fluidos e desmontem a motosserra adequadamente para limpeza. O peso combinado da motosserra, combustível e óleo é de aproximadamente 13,6 kg (30 libras) e deve ser transportado em terrenos difíceis com inclinação variando de 40% a 60%. O funcionário deve demonstrar que pode trabalhar de forma segura e eficaz. O acesso a essas áreas remotas é feito por meio de estradas florestais abandonadas, sem nome ou número, que recebem manutenção. Classificação da função: 45-4011.00 - Trabalhadores Florestais e de Conservação. A classificação e descrição da função/setor incluem informações gerais sobre o cargo, de acordo com o ONET/OES e o Sistema de Classificação Industrial da América do Norte. Consulte as Funções e a Ordem de Serviço para obter mais informações. Requisitos da função: Experiência necessária: Não. Requisitos especiais: DEVE SER CAPAZ DE PLANTAR O SEGUINTE NÚMERO DE ÁRVORES EM UM DIA DE 8 HORAS: ATÉ O FINAL DA 1ª SEMANA - 800 ÁRVORES. ATÉ O FINAL DA 2ª SEMANA - 900 ÁRVORES. ATÉ O FINAL DA 3ª SEMANA - 1.000 ÁRVORES. Número de horas por semana: 40. Horário de trabalho (início/término): 7h. - 15h30</v>
      </c>
    </row>
    <row r="363" ht="20.25" customHeight="1">
      <c r="A363" s="8" t="s">
        <v>1950</v>
      </c>
      <c r="B363" s="8" t="s">
        <v>1447</v>
      </c>
      <c r="C363" s="8" t="s">
        <v>708</v>
      </c>
      <c r="D363" s="8" t="s">
        <v>71</v>
      </c>
      <c r="E363" s="9" t="s">
        <v>44</v>
      </c>
      <c r="F363" s="9" t="s">
        <v>20</v>
      </c>
      <c r="G363" s="9" t="s">
        <v>384</v>
      </c>
      <c r="H363" s="8" t="s">
        <v>1448</v>
      </c>
      <c r="I363" s="8" t="s">
        <v>1449</v>
      </c>
      <c r="J363" s="9">
        <v>19.88</v>
      </c>
      <c r="K363" s="9">
        <v>6.0</v>
      </c>
      <c r="L363" s="8" t="s">
        <v>586</v>
      </c>
      <c r="M363" s="8" t="s">
        <v>1951</v>
      </c>
      <c r="N363" s="7" t="str">
        <f>IFERROR(__xludf.DUMMYFUNCTION("GOOGLETRANSLATE(L363, ""en"", ""pt"")"),"Cozinheiro de linha")</f>
        <v>Cozinheiro de linha</v>
      </c>
      <c r="O363" s="7" t="str">
        <f>IFERROR(__xludf.DUMMYFUNCTION("IF(M363="""","""",GOOGLETRANSLATE(M363,""en"",""pt""))"),"Preparar e cozinhar alimentos de acordo com receitas padronizadas e diretrizes de porções. Temperar e cozinhar uma variedade de pratos, incluindo carnes, aves, frutos do mar, legumes, sopas, saladas e sobremesas. Operar equipamentos de cozinha, como forno"&amp;"s, grelhas, fritadeiras, fatiadores, batedeiras e fogões. Monitorar os tempos de preparo e cozimento dos alimentos para garantir a temperatura, o sabor e a apresentação adequados. Manter a limpeza e a organização das estações de trabalho da cozinha e segu"&amp;"ir os procedimentos de higiene adequados. Armazenar suprimentos e ingredientes alimentares seguindo a rotação, a rotulagem e os padrões de segurança alimentar adequados. Auxiliar na montagem e desmontagem da linha de produção da cozinha durante os período"&amp;"s de serviço. Seguir todos os protocolos de saúde e segurança, incluindo HACCP e regulamentos locais de segurança alimentar. Colaborar com a equipe da cozinha para garantir um serviço ágil e a qualidade consistente dos alimentos. Descartar restos de comid"&amp;"a e resíduos da cozinha de acordo com as políticas de higiene. Classificação do Cargo: 35-2014.00 - Cozinheiros, Restaurante. A classificação e a descrição do cargo/setor incluem informações gerais sobre a posição, de acordo com o ONET/OES e o Sistema de "&amp;"Classificação Industrial da América do Norte. Consulte as Funções e a Ordem de Serviço para obter mais informações. Requisitos da vaga Experiência necessária: Sim Meses de experiência necessários: 8 Requisitos especiais: experiência culinária, incluindo c"&amp;"hef, cozinheiro de linha ou de preparação, ou outra experiência em cozinha em restaurantes, resorts, hotéis, clubes privados ou outros estabelecimentos de hospitalidade com grande volume de atendimento. Número de horas por semana: 35 Horário de trabalho ("&amp;"início/término): 9h às 16h")</f>
        <v>Preparar e cozinhar alimentos de acordo com receitas padronizadas e diretrizes de porções. Temperar e cozinhar uma variedade de pratos, incluindo carnes, aves, frutos do mar, legumes, sopas, saladas e sobremesas. Operar equipamentos de cozinha, como fornos, grelhas, fritadeiras, fatiadores, batedeiras e fogões. Monitorar os tempos de preparo e cozimento dos alimentos para garantir a temperatura, o sabor e a apresentação adequados. Manter a limpeza e a organização das estações de trabalho da cozinha e seguir os procedimentos de higiene adequados. Armazenar suprimentos e ingredientes alimentares seguindo a rotação, a rotulagem e os padrões de segurança alimentar adequados. Auxiliar na montagem e desmontagem da linha de produção da cozinha durante os períodos de serviço. Seguir todos os protocolos de saúde e segurança, incluindo HACCP e regulamentos locais de segurança alimentar. Colaborar com a equipe da cozinha para garantir um serviço ágil e a qualidade consistente dos alimentos. Descartar restos de comida e resíduos da cozinha de acordo com as políticas de higiene. Classificação do Cargo: 35-2014.00 - Cozinheiros, Restaurante. A classificação e a descrição do cargo/setor incluem informações gerais sobre a posição, de acordo com o ONET/OES e o Sistema de Classificação Industrial da América do Norte. Consulte as Funções e a Ordem de Serviço para obter mais informações. Requisitos da vaga Experiência necessária: Sim Meses de experiência necessários: 8 Requisitos especiais: experiência culinária, incluindo chef, cozinheiro de linha ou de preparação, ou outra experiência em cozinha em restaurantes, resorts, hotéis, clubes privados ou outros estabelecimentos de hospitalidade com grande volume de atendimento. Número de horas por semana: 35 Horário de trabalho (início/término): 9h às 16h</v>
      </c>
    </row>
    <row r="364" ht="20.25" customHeight="1">
      <c r="A364" s="3" t="s">
        <v>1952</v>
      </c>
      <c r="B364" s="3" t="s">
        <v>1719</v>
      </c>
      <c r="C364" s="3" t="s">
        <v>1000</v>
      </c>
      <c r="D364" s="3" t="s">
        <v>833</v>
      </c>
      <c r="E364" s="4" t="s">
        <v>19</v>
      </c>
      <c r="F364" s="4" t="s">
        <v>20</v>
      </c>
      <c r="G364" s="4" t="s">
        <v>118</v>
      </c>
      <c r="H364" s="3" t="s">
        <v>1001</v>
      </c>
      <c r="I364" s="3" t="s">
        <v>1002</v>
      </c>
      <c r="J364" s="4">
        <v>22.43</v>
      </c>
      <c r="K364" s="4">
        <v>12.0</v>
      </c>
      <c r="L364" s="3" t="s">
        <v>1953</v>
      </c>
      <c r="M364" s="3" t="s">
        <v>1954</v>
      </c>
      <c r="N364" s="7" t="str">
        <f>IFERROR(__xludf.DUMMYFUNCTION("GOOGLETRANSLATE(L364, ""en"", ""pt"")"),"Carpinteiros")</f>
        <v>Carpinteiros</v>
      </c>
      <c r="O364" s="7" t="str">
        <f>IFERROR(__xludf.DUMMYFUNCTION("IF(M364="""","""",GOOGLETRANSLATE(M364,""en"",""pt""))"),"Ler e seguir plantas e medidas para construir, erguer, instalar ou reparar estruturas; estruturas de edifícios, incluindo paredes, formas de concreto, janelas e batentes de portas. Instalar revestimento metálico e janelas. Instruir trabalhadores menos qua"&amp;"lificados sobre as tarefas do trabalho. Estará exposto a alturas, temperaturas extremas, atividades físicas extenuantes e movimentos repetitivos. É necessário o uso correto e preciso de trena. Classificação da função: 47-2031.00 - Carpinteiros. A classifi"&amp;"cação e descrição da função/setor inclui informações gerais sobre o cargo, de acordo com o ONET/OES e o Sistema de Classificação Industrial da América do Norte. Consulte as Funções e a Ordem de Serviço para obter mais informações. Requisitos da vaga: Expe"&amp;"riência necessária: Sim. Meses de experiência necessários: 12. Requisitos especiais: Deve ser capaz de levantar e carregar 34 kg por 68 metros. Trabalho em alguns fins de semana. Deve ser capaz de lidar com temperaturas extremas. Deslocamento para locais "&amp;"de trabalho dentro da área de emprego pretendida. Número de horas por semana: 40. Horário de trabalho (início/término): 7h. - 17h00")</f>
        <v>Ler e seguir plantas e medidas para construir, erguer, instalar ou reparar estruturas; estruturas de edifícios, incluindo paredes, formas de concreto, janelas e batentes de portas. Instalar revestimento metálico e janelas. Instruir trabalhadores menos qualificados sobre as tarefas do trabalho. Estará exposto a alturas, temperaturas extremas, atividades físicas extenuantes e movimentos repetitivos. É necessário o uso correto e preciso de trena. Classificação da função: 47-2031.00 - Carpinteiros. A classificação e descrição da função/setor inclui informações gerais sobre o cargo, de acordo com o ONET/OES e o Sistema de Classificação Industrial da América do Norte. Consulte as Funções e a Ordem de Serviço para obter mais informações. Requisitos da vaga: Experiência necessária: Sim. Meses de experiência necessários: 12. Requisitos especiais: Deve ser capaz de levantar e carregar 34 kg por 68 metros. Trabalho em alguns fins de semana. Deve ser capaz de lidar com temperaturas extremas. Deslocamento para locais de trabalho dentro da área de emprego pretendida. Número de horas por semana: 40. Horário de trabalho (início/término): 7h. - 17h00</v>
      </c>
    </row>
    <row r="365" ht="20.25" customHeight="1">
      <c r="A365" s="8" t="s">
        <v>1955</v>
      </c>
      <c r="B365" s="8" t="s">
        <v>1956</v>
      </c>
      <c r="C365" s="8" t="s">
        <v>169</v>
      </c>
      <c r="D365" s="8" t="s">
        <v>102</v>
      </c>
      <c r="E365" s="9" t="s">
        <v>19</v>
      </c>
      <c r="F365" s="9" t="s">
        <v>20</v>
      </c>
      <c r="G365" s="9" t="s">
        <v>911</v>
      </c>
      <c r="H365" s="8" t="s">
        <v>1957</v>
      </c>
      <c r="I365" s="8" t="s">
        <v>1958</v>
      </c>
      <c r="J365" s="9">
        <v>18.22</v>
      </c>
      <c r="K365" s="9">
        <v>60.0</v>
      </c>
      <c r="L365" s="8" t="s">
        <v>334</v>
      </c>
      <c r="M365" s="8" t="s">
        <v>1959</v>
      </c>
      <c r="N365" s="7" t="str">
        <f>IFERROR(__xludf.DUMMYFUNCTION("GOOGLETRANSLATE(L365, ""en"", ""pt"")"),"Trabalhadores Florestais")</f>
        <v>Trabalhadores Florestais</v>
      </c>
      <c r="O365" s="7" t="str">
        <f>IFERROR(__xludf.DUMMYFUNCTION("IF(M365="""","""",GOOGLETRANSLATE(M365,""en"",""pt""))"),"Trabalho manual itinerante de plantio manual de mudas de árvores para reflorestamento e manutenção de áreas florestais. Plantar mudas de árvores em padrão específico usando pá, enxada, plantador ou plantador de mudas. Transportar as árvores em sacos própr"&amp;"ios para mudas. Cavar buracos em intervalos predeterminados e inserir as mudas. Compactar o solo ao redor da planta com o pé e ferramenta de plantio. Selecionar o local ideal para o plantio, considerando espaçamento, tipo de solo e sombra necessários. Sol"&amp;"o exposto. Essas atividades envolvem a propagação, proteção e manejo de áreas florestais. Classificação da função: 45-4011.00 - Trabalhadores Florestais e de Conservação. A classificação e descrição da função/setor incluem informações gerais sobre o cargo"&amp;", de acordo com o ONET/OES e o Sistema de Classificação Industrial da América do Norte. Consulte as Funções e a Ordem de Serviço para obter mais informações. Requisitos da função: Experiência necessária: Não. Requisitos especiais: Não é necessário escolar"&amp;"idade ou experiência. Requer resistência física. Caminhadas extensas em terrenos acidentados. O trabalho é realizado ao ar livre, em temperaturas extremas e condições climáticas adversas. Deve ser capaz de levantar e carregar até 23 kg. O horário e os loc"&amp;"ais de trabalho dependem das condições climáticas. Meta de produção de 2.000 árvores plantadas corretamente por dia de 8 horas após uma semana de treinamento em serviço. É necessário viajar e pernoitar fora de casa. Trabalho aos sábados, quando necessário"&amp;". O empregador poderá oferecer uma carga horária superior à estipulada, dependendo das condições climáticas, das necessidades da empresa e de outros fatores. Calor extremo, frio intenso, chuva ou seca podem afetar o horário de trabalho exato. Número de ho"&amp;"ras por semana: 40. Horário de trabalho (início/término): 8h às 16h30.")</f>
        <v>Trabalho manual itinerante de plantio manual de mudas de árvores para reflorestamento e manutenção de áreas florestais. Plantar mudas de árvores em padrão específico usando pá, enxada, plantador ou plantador de mudas. Transportar as árvores em sacos próprios para mudas. Cavar buracos em intervalos predeterminados e inserir as mudas. Compactar o solo ao redor da planta com o pé e ferramenta de plantio. Selecionar o local ideal para o plantio, considerando espaçamento, tipo de solo e sombra necessários. Solo exposto. Essas atividades envolvem a propagação, proteção e manejo de áreas florestais. Classificação da função: 45-4011.00 - Trabalhadores Florestais e de Conservação. A classificação e descrição da função/setor incluem informações gerais sobre o cargo, de acordo com o ONET/OES e o Sistema de Classificação Industrial da América do Norte. Consulte as Funções e a Ordem de Serviço para obter mais informações. Requisitos da função: Experiência necessária: Não. Requisitos especiais: Não é necessário escolaridade ou experiência. Requer resistência física. Caminhadas extensas em terrenos acidentados. O trabalho é realizado ao ar livre, em temperaturas extremas e condições climáticas adversas. Deve ser capaz de levantar e carregar até 23 kg. O horário e os locais de trabalho dependem das condições climáticas. Meta de produção de 2.000 árvores plantadas corretamente por dia de 8 horas após uma semana de treinamento em serviço. É necessário viajar e pernoitar fora de casa. Trabalho aos sábados, quando necessário. O empregador poderá oferecer uma carga horária superior à estipulada, dependendo das condições climáticas, das necessidades da empresa e de outros fatores. Calor extremo, frio intenso, chuva ou seca podem afetar o horário de trabalho exato. Número de horas por semana: 40. Horário de trabalho (início/término): 8h às 16h30.</v>
      </c>
    </row>
    <row r="366" ht="20.25" customHeight="1">
      <c r="A366" s="3" t="s">
        <v>1960</v>
      </c>
      <c r="B366" s="3" t="s">
        <v>1961</v>
      </c>
      <c r="C366" s="3" t="s">
        <v>125</v>
      </c>
      <c r="D366" s="3" t="s">
        <v>306</v>
      </c>
      <c r="E366" s="4" t="s">
        <v>19</v>
      </c>
      <c r="F366" s="4" t="s">
        <v>20</v>
      </c>
      <c r="G366" s="4" t="s">
        <v>56</v>
      </c>
      <c r="H366" s="3" t="s">
        <v>1962</v>
      </c>
      <c r="I366" s="3" t="s">
        <v>1963</v>
      </c>
      <c r="J366" s="4">
        <v>19.93</v>
      </c>
      <c r="K366" s="4">
        <v>12.0</v>
      </c>
      <c r="L366" s="3" t="s">
        <v>129</v>
      </c>
      <c r="M366" s="3" t="s">
        <v>1964</v>
      </c>
      <c r="N366" s="7" t="str">
        <f>IFERROR(__xludf.DUMMYFUNCTION("GOOGLETRANSLATE(L366, ""en"", ""pt"")"),"Trabalhador de paisagismo e manutenção de jardins")</f>
        <v>Trabalhador de paisagismo e manutenção de jardins</v>
      </c>
      <c r="O366" s="7" t="str">
        <f>IFERROR(__xludf.DUMMYFUNCTION("IF(M366="""","""",GOOGLETRANSLATE(M366,""en"",""pt""))"),"As funções incluem a instalação de árvores, arbustos ou flores durante o período de dormência, seguindo o padrão de design apropriado. Isso inclui descarregar materiais, cavar buracos para o sistema radicular, cobrir os buracos adequadamente e, às vezes, "&amp;"colocar grama em placas, plantar sementes de grama ou conectar a irrigação. Também envolve a remoção de folhas, plantio de sementes e palha, aeração do gramado, plantio de arbustos, escavação, rastelagem e instalação de blocos de concreto pré-moldados sem"&amp;" argamassa. Os trabalhadores podem coletar e remover lixo, regar gramados, árvores e plantas semeadas, além de podar árvores, arbustos ou sebes. Podem operar equipamentos motorizados e dirigir veículos até os locais dos clientes. As tarefas podem incluir "&amp;"colocação de grama em placas, corte de grama, rega de plantas e gramados, transplante de plantas, fertilização, escavação, rastelagem e instalação de aspersores. Os funcionários cavarão valas com no máximo 15 a 30 cm de profundidade e 15 a 30 cm de largur"&amp;"a com pás e ferramentas manuais. Essas valas são usadas para acomodar a tubulação utilizada na instalação de sistemas de irrigação. Toda a poda/aparamento será feita no solo. Os trabalhadores não realizarão nenhuma atividade de poda ou corte acima do níve"&amp;"l do solo. O trabalhador poderá transportar outros trabalhadores de e para os locais de trabalho ocasionalmente, porém esta não será sua principal função. Classificação do Cargo: 37-3011.00 - Trabalhadores de Paisagismo e Manutenção de Jardins. A classifi"&amp;"cação e descrição do cargo/setor inclui informações gerais sobre a posição, de acordo com o ONET/OES e o Sistema de Classificação Industrial da América do Norte (NAICS). Consulte as Funções e a Ordem de Serviço para obter mais informações. Requisitos do C"&amp;"argo Experiência Necessária: Não. Requisitos Especiais: Deve ser capaz de levantar 23 kg, realizar movimentos repetitivos, empurrar/puxar com frequência, caminhar bastante, agachar-se frequentemente e estar exposto a temperaturas extremas. De acordo com a"&amp;" legislação estadual de Michigan, Lei 338 de Licença Médica Remunerada, os empregadores são obrigados a fornecer licença médica remunerada aos seus funcionários. A quantidade de licença médica remunerada fornecida pode variar dependendo do porte da empres"&amp;"a. Número de Horas por Semana: 40. Horário de Trabalho (Início/Término): 7h às 16h.")</f>
        <v>As funções incluem a instalação de árvores, arbustos ou flores durante o período de dormência, seguindo o padrão de design apropriado. Isso inclui descarregar materiais, cavar buracos para o sistema radicular, cobrir os buracos adequadamente e, às vezes, colocar grama em placas, plantar sementes de grama ou conectar a irrigação. Também envolve a remoção de folhas, plantio de sementes e palha, aeração do gramado, plantio de arbustos, escavação, rastelagem e instalação de blocos de concreto pré-moldados sem argamassa. Os trabalhadores podem coletar e remover lixo, regar gramados, árvores e plantas semeadas, além de podar árvores, arbustos ou sebes. Podem operar equipamentos motorizados e dirigir veículos até os locais dos clientes. As tarefas podem incluir colocação de grama em placas, corte de grama, rega de plantas e gramados, transplante de plantas, fertilização, escavação, rastelagem e instalação de aspersores. Os funcionários cavarão valas com no máximo 15 a 30 cm de profundidade e 15 a 30 cm de largura com pás e ferramentas manuais. Essas valas são usadas para acomodar a tubulação utilizada na instalação de sistemas de irrigação. Toda a poda/aparamento será feita no solo. Os trabalhadores não realizarão nenhuma atividade de poda ou corte acima do nível do solo. O trabalhador poderá transportar outros trabalhadores de e para os locais de trabalho ocasionalmente, porém esta não será sua principal função. Classificação do Cargo: 37-3011.00 - Trabalhadores de Paisagismo e Manutenção de Jardins. A classificação e descrição do cargo/setor inclui informações gerais sobre a posição, de acordo com o ONET/OES e o Sistema de Classificação Industrial da América do Norte (NAICS). Consulte as Funções e a Ordem de Serviço para obter mais informações. Requisitos do Cargo Experiência Necessária: Não. Requisitos Especiais: Deve ser capaz de levantar 23 kg, realizar movimentos repetitivos, empurrar/puxar com frequência, caminhar bastante, agachar-se frequentemente e estar exposto a temperaturas extremas. De acordo com a legislação estadual de Michigan, Lei 338 de Licença Médica Remunerada, os empregadores são obrigados a fornecer licença médica remunerada aos seus funcionários. A quantidade de licença médica remunerada fornecida pode variar dependendo do porte da empresa. Número de Horas por Semana: 40. Horário de Trabalho (Início/Término): 7h às 16h.</v>
      </c>
    </row>
    <row r="367" ht="20.25" customHeight="1">
      <c r="A367" s="8" t="s">
        <v>1965</v>
      </c>
      <c r="B367" s="8" t="s">
        <v>999</v>
      </c>
      <c r="C367" s="8" t="s">
        <v>1000</v>
      </c>
      <c r="D367" s="8" t="s">
        <v>278</v>
      </c>
      <c r="E367" s="9" t="s">
        <v>19</v>
      </c>
      <c r="F367" s="9" t="s">
        <v>20</v>
      </c>
      <c r="G367" s="9" t="s">
        <v>146</v>
      </c>
      <c r="H367" s="8" t="s">
        <v>1001</v>
      </c>
      <c r="I367" s="8" t="s">
        <v>1002</v>
      </c>
      <c r="J367" s="9">
        <v>21.31</v>
      </c>
      <c r="K367" s="9">
        <v>38.0</v>
      </c>
      <c r="L367" s="8" t="s">
        <v>302</v>
      </c>
      <c r="M367" s="8" t="s">
        <v>1214</v>
      </c>
      <c r="N367" s="7" t="str">
        <f>IFERROR(__xludf.DUMMYFUNCTION("GOOGLETRANSLATE(L367, ""en"", ""pt"")"),"Operários da construção civil")</f>
        <v>Operários da construção civil</v>
      </c>
      <c r="O367" s="7" t="str">
        <f>IFERROR(__xludf.DUMMYFUNCTION("IF(M367="""","""",GOOGLETRANSLATE(M367,""en"",""pt""))"),"Executar tarefas menores que envolvam trabalho braçal em canteiro de obras de concreto. Preparar o local para a concretagem, carregando e descarregando materiais, utilizando linhas de referência, cortando madeira com serra circular, utilizando marreta par"&amp;"a cravar estacas no solo, cavando e nivelando a terra com pás, picaretas e compactadores de solo. Sob supervisão, levantar, carregar, fixar, remover, lubrificar e posicionar fôrmas de concreto de madeira e metal utilizando ferramentas manuais e elétricas "&amp;"simples. Auxiliar na concretagem utilizando carrinhos de mão, rastelos de concreto, pás e vibrador de concreto manual. Limpar resíduos e selar juntas. Classificação da Função: 47-2061.00 - Auxiliares de Construção. A classificação e descrição da função/se"&amp;"tor incluem informações gerais sobre o cargo, conforme ONET/OES e o Sistema de Classificação Industrial da América do Norte (NAICS). Consulte as Funções e a Ordem de Serviço para obter mais informações. Requisitos da Função: Experiência Necessária: Sim. M"&amp;"eses de Experiência Necessários: 3. Requisitos Especiais: Trabalho em alguns fins de semana. Necessário suportar temperaturas extremas. Deve ser capaz de levantar e carregar 34 kg por 45 metros. Deslocamentos para locais de trabalho dentro da área de atua"&amp;"ção pretendida. Número de horas por semana: 40. Horário de trabalho (início/término): 7h às 17h.")</f>
        <v>Executar tarefas menores que envolvam trabalho braçal em canteiro de obras de concreto. Preparar o local para a concretagem, carregando e descarregando materiais, utilizando linhas de referência, cortando madeira com serra circular, utilizando marreta para cravar estacas no solo, cavando e nivelando a terra com pás, picaretas e compactadores de solo. Sob supervisão, levantar, carregar, fixar, remover, lubrificar e posicionar fôrmas de concreto de madeira e metal utilizando ferramentas manuais e elétricas simples. Auxiliar na concretagem utilizando carrinhos de mão, rastelos de concreto, pás e vibrador de concreto manual. Limpar resíduos e selar juntas. Classificação da Função: 47-2061.00 - Auxiliares de Construção. A classificação e descrição da função/setor incluem informações gerais sobre o cargo, conforme ONET/OES e o Sistema de Classificação Industrial da América do Norte (NAICS). Consulte as Funções e a Ordem de Serviço para obter mais informações. Requisitos da Função: Experiência Necessária: Sim. Meses de Experiência Necessários: 3. Requisitos Especiais: Trabalho em alguns fins de semana. Necessário suportar temperaturas extremas. Deve ser capaz de levantar e carregar 34 kg por 45 metros. Deslocamentos para locais de trabalho dentro da área de atuação pretendida. Número de horas por semana: 40. Horário de trabalho (início/término): 7h às 17h.</v>
      </c>
    </row>
    <row r="368" ht="20.25" customHeight="1">
      <c r="A368" s="3" t="s">
        <v>1966</v>
      </c>
      <c r="B368" s="3" t="s">
        <v>1967</v>
      </c>
      <c r="C368" s="3" t="s">
        <v>125</v>
      </c>
      <c r="D368" s="3" t="s">
        <v>109</v>
      </c>
      <c r="E368" s="4" t="s">
        <v>19</v>
      </c>
      <c r="F368" s="4" t="s">
        <v>20</v>
      </c>
      <c r="G368" s="4" t="s">
        <v>626</v>
      </c>
      <c r="H368" s="3" t="s">
        <v>1968</v>
      </c>
      <c r="I368" s="3" t="s">
        <v>1969</v>
      </c>
      <c r="J368" s="4">
        <v>18.69</v>
      </c>
      <c r="K368" s="4">
        <v>6.0</v>
      </c>
      <c r="L368" s="3" t="s">
        <v>129</v>
      </c>
      <c r="M368" s="3" t="s">
        <v>1970</v>
      </c>
      <c r="N368" s="7" t="str">
        <f>IFERROR(__xludf.DUMMYFUNCTION("GOOGLETRANSLATE(L368, ""en"", ""pt"")"),"Trabalhador de paisagismo e manutenção de jardins")</f>
        <v>Trabalhador de paisagismo e manutenção de jardins</v>
      </c>
      <c r="O368" s="7" t="str">
        <f>IFERROR(__xludf.DUMMYFUNCTION("IF(M368="""","""",GOOGLETRANSLATE(M368,""en"",""pt""))"),"As funções incluem a instalação de árvores, arbustos ou flores durante o período de dormência, seguindo o padrão de design apropriado. Isso inclui descarregar materiais, cavar buracos para o sistema radicular, cobrir os buracos adequadamente e, às vezes, "&amp;"colocar grama em placas, plantar sementes de grama ou conectar a irrigação. Também envolve a remoção de folhas, plantio de sementes e palha, aeração do gramado, plantio de arbustos, escavação, rastelagem e instalação de blocos de concreto pré-moldados sem"&amp;" argamassa. Os trabalhadores podem coletar e remover lixo, regar gramados, árvores e plantas semeadas, além de podar árvores, arbustos ou sebes. Podem operar equipamentos motorizados e dirigir veículos até os locais dos clientes. As tarefas podem incluir "&amp;"colocação de grama em placas, corte de grama, rega de plantas e gramados, transplante de plantas, fertilização, escavação, rastelagem e instalação de aspersores. Os funcionários cavarão valas com no máximo 15 a 30 cm de profundidade e 15 a 30 cm de largur"&amp;"a com pás e ferramentas manuais. Essas valas são usadas para acomodar a tubulação utilizada na instalação de sistemas de irrigação. Toda a poda/aparamento será feita no solo. Os trabalhadores não realizarão nenhuma atividade de poda ou corte acima do níve"&amp;"l do solo. O trabalhador poderá transportar outros trabalhadores de e para os locais de trabalho ocasionalmente, porém essa não será sua principal função. Classificação da função: 37-3011.00 - Trabalhadores de Paisagismo e Manutenção de Jardins. A classif"&amp;"icação e descrição da função/setor inclui informações gerais sobre o cargo, de acordo com o ONET/OES e o Sistema de Classificação Industrial da América do Norte (NAICS). Consulte as Funções e a Ordem de Serviço para obter mais informações. Requisitos da f"&amp;"unção: Experiência necessária: Não. Requisitos especiais: Deve ser capaz de levantar 36 kg, realizar movimentos repetitivos, empurrar/puxar com frequência, caminhar bastante, agachar-se frequentemente e estar exposto a temperaturas extremas. Número de hor"&amp;"as por semana: 40. Horário de trabalho (início/término): 7h às 16h.")</f>
        <v>As funções incluem a instalação de árvores, arbustos ou flores durante o período de dormência, seguindo o padrão de design apropriado. Isso inclui descarregar materiais, cavar buracos para o sistema radicular, cobrir os buracos adequadamente e, às vezes, colocar grama em placas, plantar sementes de grama ou conectar a irrigação. Também envolve a remoção de folhas, plantio de sementes e palha, aeração do gramado, plantio de arbustos, escavação, rastelagem e instalação de blocos de concreto pré-moldados sem argamassa. Os trabalhadores podem coletar e remover lixo, regar gramados, árvores e plantas semeadas, além de podar árvores, arbustos ou sebes. Podem operar equipamentos motorizados e dirigir veículos até os locais dos clientes. As tarefas podem incluir colocação de grama em placas, corte de grama, rega de plantas e gramados, transplante de plantas, fertilização, escavação, rastelagem e instalação de aspersores. Os funcionários cavarão valas com no máximo 15 a 30 cm de profundidade e 15 a 30 cm de largura com pás e ferramentas manuais. Essas valas são usadas para acomodar a tubulação utilizada na instalação de sistemas de irrigação. Toda a poda/aparamento será feita no solo. Os trabalhadores não realizarão nenhuma atividade de poda ou corte acima do nível do solo. O trabalhador poderá transportar outros trabalhadores de e para os locais de trabalho ocasionalmente, porém essa não será sua principal função. Classificação da função: 37-3011.00 - Trabalhadores de Paisagismo e Manutenção de Jardins. A classificação e descrição da função/setor inclui informações gerais sobre o cargo, de acordo com o ONET/OES e o Sistema de Classificação Industrial da América do Norte (NAICS). Consulte as Funções e a Ordem de Serviço para obter mais informações. Requisitos da função: Experiência necessária: Não. Requisitos especiais: Deve ser capaz de levantar 36 kg, realizar movimentos repetitivos, empurrar/puxar com frequência, caminhar bastante, agachar-se frequentemente e estar exposto a temperaturas extremas. Número de horas por semana: 40. Horário de trabalho (início/término): 7h às 16h.</v>
      </c>
    </row>
    <row r="369" ht="20.25" customHeight="1">
      <c r="A369" s="8" t="s">
        <v>1971</v>
      </c>
      <c r="B369" s="8" t="s">
        <v>1972</v>
      </c>
      <c r="C369" s="8" t="s">
        <v>1375</v>
      </c>
      <c r="D369" s="8" t="s">
        <v>140</v>
      </c>
      <c r="E369" s="9" t="s">
        <v>44</v>
      </c>
      <c r="F369" s="9" t="s">
        <v>20</v>
      </c>
      <c r="G369" s="9" t="s">
        <v>345</v>
      </c>
      <c r="H369" s="8" t="s">
        <v>1973</v>
      </c>
      <c r="I369" s="8" t="s">
        <v>1974</v>
      </c>
      <c r="J369" s="9">
        <v>16.55</v>
      </c>
      <c r="K369" s="9">
        <v>325.0</v>
      </c>
      <c r="L369" s="8" t="s">
        <v>463</v>
      </c>
      <c r="M369" s="8" t="s">
        <v>1975</v>
      </c>
      <c r="N369" s="7" t="str">
        <f>IFERROR(__xludf.DUMMYFUNCTION("GOOGLETRANSLATE(L369, ""en"", ""pt"")"),"Plantador de árvores")</f>
        <v>Plantador de árvores</v>
      </c>
      <c r="O369" s="7" t="str">
        <f>IFERROR(__xludf.DUMMYFUNCTION("IF(M369="""","""",GOOGLETRANSLATE(M369,""en"",""pt""))"),"As funções podem incluir: Os trabalhadores carregarão sacos de plantio com 500 a 1.000 mudas de árvores para serem plantadas utilizando diversas técnicas de plantio, uma muda por vez; cavarão buracos; plantarão utilizando ferramentas de plantio; compactar"&amp;"ão as mudas para permitir um crescimento ideal; e realizarão outras atividades relacionadas ao plantio de árvores, conforme SOC/OES 45-4011 (onetonline.org). Horário padrão/esperado: Segunda a sexta, das 8h às 16h30. Oferecemos mais de 40 horas semanais, "&amp;"sem incluir almoço e/ou intervalos. Possibilidade de trabalho em fins de semana e feriados. Os horários de início e término, a carga horária e/ou horas extras podem variar, pois dependem de fatores como necessidades do projeto/cronograma/serviço, condiçõe"&amp;"s climáticas e tempo de deslocamento entre os locais de trabalho (se aplicável). Horas extras são possíveis, mas não obrigatórias nem garantidas. A critério exclusivo do empregador: aumentos salariais e/ou bônus podem ser concedidos com base em fatores in"&amp;"dividuais, como desempenho ou habilidades (não garantidos). Pagamento por produção pode ser aplicado: o trabalhador nunca receberá menos do que o Salário Vigente ou o salário mínimo federal/estadual/local. Moradia compartilhada opcional disponível sem cus"&amp;"to para o trabalhador. Classificação do Cargo: 45-4011.00 - Trabalhadores Florestais e de Conservação. A classificação e descrição do cargo/setor inclui informações gerais sobre a posição, de acordo com o ONET/OES e o Sistema de Classificação Industrial d"&amp;"a América do Norte. Consulte as Funções e a Ordem de Serviço para obter mais informações. Requisitos do Cargo Experiência Necessária: Não. Requisitos Especiais: Deve ter 18 anos devido a viagens. Deve apresentar comprovante de autorização legal para traba"&amp;"lhar nos Estados Unidos. Zona de trabalho livre de drogas, álcool e tabaco. Deve caminhar bastante (até 24 km/dia), além de se abaixar e se curvar carregando uma mochila (até 23 kg) em terrenos acidentados (fora de trilhas). Todos os candidatos devem ser "&amp;"capazes, dispostos e qualificados para executar o trabalho descrito e devem estar disponíveis durante todo o período especificado e trabalhar em todas as áreas de atuação pretendidas. O trabalho é realizado ao ar livre, exposto às intempéries. O candidato"&amp;" deve ser capaz de realizar trabalhos fisicamente extenuantes por longos períodos, ocasionalmente em condições de calor ou frio extremos. As condições climáticas são variáveis; a carga horária pode sofrer alterações (+/-), podendo haver períodos de inativ"&amp;"idade e/ou horas extras. Número de horas por semana: 40. Horário de trabalho (início/término): 8h às 16h30.")</f>
        <v>As funções podem incluir: Os trabalhadores carregarão sacos de plantio com 500 a 1.000 mudas de árvores para serem plantadas utilizando diversas técnicas de plantio, uma muda por vez; cavarão buracos; plantarão utilizando ferramentas de plantio; compactarão as mudas para permitir um crescimento ideal; e realizarão outras atividades relacionadas ao plantio de árvores, conforme SOC/OES 45-4011 (onetonline.org). Horário padrão/esperado: Segunda a sexta, das 8h às 16h30. Oferecemos mais de 40 horas semanais, sem incluir almoço e/ou intervalos. Possibilidade de trabalho em fins de semana e feriados. Os horários de início e término, a carga horária e/ou horas extras podem variar, pois dependem de fatores como necessidades do projeto/cronograma/serviço, condições climáticas e tempo de deslocamento entre os locais de trabalho (se aplicável). Horas extras são possíveis, mas não obrigatórias nem garantidas. A critério exclusivo do empregador: aumentos salariais e/ou bônus podem ser concedidos com base em fatores individuais, como desempenho ou habilidades (não garantidos). Pagamento por produção pode ser aplicado: o trabalhador nunca receberá menos do que o Salário Vigente ou o salário mínimo federal/estadual/local. Moradia compartilhada opcional disponível sem custo para o trabalhador. Classificação do Cargo: 45-4011.00 - Trabalhadores Florestais e de Conservação. A classificação e descrição do cargo/setor inclui informações gerais sobre a posição, de acordo com o ONET/OES e o Sistema de Classificação Industrial da América do Norte. Consulte as Funções e a Ordem de Serviço para obter mais informações. Requisitos do Cargo Experiência Necessária: Não. Requisitos Especiais: Deve ter 18 anos devido a viagens. Deve apresentar comprovante de autorização legal para trabalhar nos Estados Unidos. Zona de trabalho livre de drogas, álcool e tabaco. Deve caminhar bastante (até 24 km/dia), além de se abaixar e se curvar carregando uma mochila (até 23 kg) em terrenos acidentados (fora de trilhas). Todos os candidatos devem ser capazes, dispostos e qualificados para executar o trabalho descrito e devem estar disponíveis durante todo o período especificado e trabalhar em todas as áreas de atuação pretendidas. O trabalho é realizado ao ar livre, exposto às intempéries. O candidato deve ser capaz de realizar trabalhos fisicamente extenuantes por longos períodos, ocasionalmente em condições de calor ou frio extremos. As condições climáticas são variáveis; a carga horária pode sofrer alterações (+/-), podendo haver períodos de inatividade e/ou horas extras. Número de horas por semana: 40. Horário de trabalho (início/término): 8h às 16h30.</v>
      </c>
    </row>
    <row r="370" ht="20.25" customHeight="1">
      <c r="A370" s="3" t="s">
        <v>1976</v>
      </c>
      <c r="B370" s="3" t="s">
        <v>1977</v>
      </c>
      <c r="C370" s="3" t="s">
        <v>63</v>
      </c>
      <c r="D370" s="3" t="s">
        <v>1978</v>
      </c>
      <c r="E370" s="4" t="s">
        <v>19</v>
      </c>
      <c r="F370" s="4" t="s">
        <v>20</v>
      </c>
      <c r="G370" s="4" t="s">
        <v>56</v>
      </c>
      <c r="H370" s="18" t="s">
        <v>1979</v>
      </c>
      <c r="I370" s="3" t="s">
        <v>1980</v>
      </c>
      <c r="J370" s="4">
        <v>18.15</v>
      </c>
      <c r="K370" s="4">
        <v>115.0</v>
      </c>
      <c r="L370" s="3" t="s">
        <v>321</v>
      </c>
      <c r="M370" s="3" t="s">
        <v>1981</v>
      </c>
      <c r="N370" s="7" t="str">
        <f>IFERROR(__xludf.DUMMYFUNCTION("GOOGLETRANSLATE(L370, ""en"", ""pt"")"),"Trabalhadores de paisagismo")</f>
        <v>Trabalhadores de paisagismo</v>
      </c>
      <c r="O370" s="7" t="str">
        <f>IFERROR(__xludf.DUMMYFUNCTION("IF(M370="""","""",GOOGLETRANSLATE(M370,""en"",""pt""))"),"Paisagismo e manutenção de terrenos utilizando ferramentas manuais ou elétricas. Os trabalhadores geralmente executam uma variedade de tarefas, que podem incluir qualquer combinação das seguintes: colocação de grama, cobertura morta, corte de grama, poda,"&amp;" plantio, rega, fertilização, escavação, rastelamento, remoção de lixo/detritos e instalação de blocos de concreto pré-moldado sem argamassa. Manutenção/reparo de ferramentas/equipamentos conforme necessário. Nível inicial; requer supervisão. Classificaçã"&amp;"o da vaga: 37-3011.00 - Trabalhadores de Paisagismo e Manutenção de Terrenos. A classificação e descrição da vaga/setor incluem informações gerais sobre o cargo, de acordo com o ONET/OES e o Sistema de Classificação Industrial da América do Norte (NAICS)."&amp;" Consulte as Funções e a Ordem de Serviço para obter mais informações. Requisitos da vaga: Experiência exigida: Não. Requisitos especiais: Deve ser capaz de levantar/carregar 23 kg, quando necessário. Trabalho aos sábados e domingos, quando necessário. Te"&amp;"ste antidrogas pago pelo empregador é obrigatório para trabalhadores estrangeiros e nacionais antes do início do trabalho e após a contratação, em caso de suspeita de uso e após acidente. A verificação de antecedentes após a contratação pode ser exigida d"&amp;"e trabalhadores estrangeiros e nacionais, de acordo com os requisitos contratuais. A verificação do histórico de condução após a contratação é exigida apenas de trabalhadores estrangeiros e nacionais que dirigem veículos da empresa (dirigir não é um requi"&amp;"sito para todos os funcionários da função). O empregador pode oferecer mais horas de trabalho do que as estipuladas, dependendo do clima, das necessidades da empresa e de outras condições. Calor extremo, frio, chuva ou seca podem afetar o horário de traba"&amp;"lho exato. Número de horas por semana: 40. Horário de trabalho (início/término): 6h30 às 14h.")</f>
        <v>Paisagismo e manutenção de terrenos utilizando ferramentas manuais ou elétricas. Os trabalhadores geralmente executam uma variedade de tarefas, que podem incluir qualquer combinação das seguintes: colocação de grama, cobertura morta, corte de grama, poda, plantio, rega, fertilização, escavação, rastelamento, remoção de lixo/detritos e instalação de blocos de concreto pré-moldado sem argamassa. Manutenção/reparo de ferramentas/equipamentos conforme necessário. Nível inicial; requer supervisão. Classificação da vaga: 37-3011.00 - Trabalhadores de Paisagismo e Manutenção de Terrenos. A classificação e descrição da vaga/setor incluem informações gerais sobre o cargo, de acordo com o ONET/OES e o Sistema de Classificação Industrial da América do Norte (NAICS). Consulte as Funções e a Ordem de Serviço para obter mais informações. Requisitos da vaga: Experiência exigida: Não. Requisitos especiais: Deve ser capaz de levantar/carregar 23 kg, quando necessário. Trabalho aos sábados e domingos, quando necessário. Teste antidrogas pago pelo empregador é obrigatório para trabalhadores estrangeiros e nacionais antes do início do trabalho e após a contratação, em caso de suspeita de uso e após acidente. A verificação de antecedentes após a contratação pode ser exigida de trabalhadores estrangeiros e nacionais, de acordo com os requisitos contratuais. A verificação do histórico de condução após a contratação é exigida apenas de trabalhadores estrangeiros e nacionais que dirigem veículos da empresa (dirigir não é um requisito para todos os funcionários da função). O empregador pode oferecer mais horas de trabalho do que as estipuladas, dependendo do clima, das necessidades da empresa e de outras condições. Calor extremo, frio, chuva ou seca podem afetar o horário de trabalho exato. Número de horas por semana: 40. Horário de trabalho (início/término): 6h30 às 14h.</v>
      </c>
    </row>
    <row r="371" ht="20.25" customHeight="1">
      <c r="A371" s="8" t="s">
        <v>1982</v>
      </c>
      <c r="B371" s="8" t="s">
        <v>1983</v>
      </c>
      <c r="C371" s="8" t="s">
        <v>125</v>
      </c>
      <c r="D371" s="8" t="s">
        <v>284</v>
      </c>
      <c r="E371" s="9" t="s">
        <v>19</v>
      </c>
      <c r="F371" s="9" t="s">
        <v>20</v>
      </c>
      <c r="G371" s="9" t="s">
        <v>146</v>
      </c>
      <c r="H371" s="8" t="s">
        <v>1984</v>
      </c>
      <c r="I371" s="8" t="s">
        <v>1985</v>
      </c>
      <c r="J371" s="9">
        <v>15.43</v>
      </c>
      <c r="K371" s="9">
        <v>10.0</v>
      </c>
      <c r="L371" s="8" t="s">
        <v>321</v>
      </c>
      <c r="M371" s="8" t="s">
        <v>1986</v>
      </c>
      <c r="N371" s="7" t="str">
        <f>IFERROR(__xludf.DUMMYFUNCTION("GOOGLETRANSLATE(L371, ""en"", ""pt"")"),"Trabalhadores de paisagismo")</f>
        <v>Trabalhadores de paisagismo</v>
      </c>
      <c r="O371" s="7" t="str">
        <f>IFERROR(__xludf.DUMMYFUNCTION("IF(M371="""","""",GOOGLETRANSLATE(M371,""en"",""pt""))"),"As funções incluem colocação de grama em rolo, corte de grama, poda de árvores, arbustos e plantas, plantio de plantas, árvores e arbustos, rega de plantas e gramados, transplante de plantas, fertilização, escavação, rastelagem, instalação de sistemas de "&amp;"irrigação, instalação de iluminação externa e instalação de blocos de concreto pré-moldado sem argamassa. Os trabalhadores podem coletar e remover lixo, operar equipamentos motorizados e dirigir veículos da empresa até os locais dos clientes. Todos os veí"&amp;"culos a serem conduzidos são caminhonetes da empresa. A capacidade de Peso Bruto Total (PBT) dos veículos a serem conduzidos para o desempenho das funções é inferior a 11.793 kg (26.000 lbs). Os equipamentos motorizados utilizados incluem cortadores de gr"&amp;"ama, roçadeiras e aparadores. Toda a poda será realizada no solo. Os trabalhadores não realizarão nenhuma atividade de poda acima do nível do solo. O trabalhador poderá transportar outros trabalhadores de e para os locais de trabalho ocasionalmente, porém"&amp;" essa não será sua principal função. As tarefas de irrigação incluem a instalação de sistemas de irrigação para regar gramados, árvores ou plantas, a coleta e remoção de lixo, a escavação e o preenchimento de valas com ferramentas manuais e o corte de tub"&amp;"os no comprimento desejado, também com ferramentas manuais. Utilizam-se métodos de irrigação para ajustar o consumo de água e evitar desperdícios. Realizam-se a manutenção dos sistemas de irrigação, incluindo a preparação para o inverno e a inicialização "&amp;"na primavera. Ocasionalmente, os trabalhadores podem transportar outros funcionários de e para os locais de trabalho; no entanto, o transporte de trabalhadores não é uma função principal. Os trabalhadores também podem ocasionalmente transportar materiais,"&amp;" ferramentas e equipamentos de paisagismo de e para os locais de trabalho, incluindo cobertura morta, plantas em vasos, pás, ancinhos, cortadores de grama, sopradores, aparadores, roçadeiras, pequenos tratores e equipamentos similares de paisagismo. Nenhu"&amp;"m material perigoso será transportado pelos trabalhadores. Todos os veículos e equipamentos operados têm peso bruto total inferior a 26.000 libras (aproximadamente 11.800 kg), incluindo quaisquer reboques acoplados ou materiais transportados. Classificaçã"&amp;"o da Função: 37-3011.00 - Trabalhadores de Paisagismo e Manutenção de Jardins. A classificação e descrição da função/setor inclui informações gerais sobre o cargo, de acordo com o ONET/OES e o Sistema de Classificação Industrial da América do Norte (NAICS"&amp;"). Consulte as Funções e a Ordem de Serviço para obter mais informações. Requisitos da Função Experiência Necessária: Sim Meses de Experiência Necessários: 3 Requisitos Especiais: Capacidade de levantar 23 kg, sujeito a testes aleatórios de drogas, movime"&amp;"ntos repetitivos, empurrar/puxar com frequência, caminhar bastante, agachar-se frequentemente, exposição a temperaturas extremas, carteira de habilitação obrigatória, 3 meses de experiência obrigatórios. Número de Horas por Semana: 40 Horário de Trabalho "&amp;"(Início/Término): 7h às 16h")</f>
        <v>As funções incluem colocação de grama em rolo, corte de grama, poda de árvores, arbustos e plantas, plantio de plantas, árvores e arbustos, rega de plantas e gramados, transplante de plantas, fertilização, escavação, rastelagem, instalação de sistemas de irrigação, instalação de iluminação externa e instalação de blocos de concreto pré-moldado sem argamassa. Os trabalhadores podem coletar e remover lixo, operar equipamentos motorizados e dirigir veículos da empresa até os locais dos clientes. Todos os veículos a serem conduzidos são caminhonetes da empresa. A capacidade de Peso Bruto Total (PBT) dos veículos a serem conduzidos para o desempenho das funções é inferior a 11.793 kg (26.000 lbs). Os equipamentos motorizados utilizados incluem cortadores de grama, roçadeiras e aparadores. Toda a poda será realizada no solo. Os trabalhadores não realizarão nenhuma atividade de poda acima do nível do solo. O trabalhador poderá transportar outros trabalhadores de e para os locais de trabalho ocasionalmente, porém essa não será sua principal função. As tarefas de irrigação incluem a instalação de sistemas de irrigação para regar gramados, árvores ou plantas, a coleta e remoção de lixo, a escavação e o preenchimento de valas com ferramentas manuais e o corte de tubos no comprimento desejado, também com ferramentas manuais. Utilizam-se métodos de irrigação para ajustar o consumo de água e evitar desperdícios. Realizam-se a manutenção dos sistemas de irrigação, incluindo a preparação para o inverno e a inicialização na primavera. Ocasionalmente, os trabalhadores podem transportar outros funcionários de e para os locais de trabalho; no entanto, o transporte de trabalhadores não é uma função principal. Os trabalhadores também podem ocasionalmente transportar materiais, ferramentas e equipamentos de paisagismo de e para os locais de trabalho, incluindo cobertura morta, plantas em vasos, pás, ancinhos, cortadores de grama, sopradores, aparadores, roçadeiras, pequenos tratores e equipamentos similares de paisagismo. Nenhum material perigoso será transportado pelos trabalhadores. Todos os veículos e equipamentos operados têm peso bruto total inferior a 26.000 libras (aproximadamente 11.800 kg), incluindo quaisquer reboques acoplados ou materiais transportados. Classificação da Função: 37-3011.00 - Trabalhadores de Paisagismo e Manutenção de Jardins. A classificação e descrição da função/setor inclui informações gerais sobre o cargo, de acordo com o ONET/OES e o Sistema de Classificação Industrial da América do Norte (NAICS). Consulte as Funções e a Ordem de Serviço para obter mais informações. Requisitos da Função Experiência Necessária: Sim Meses de Experiência Necessários: 3 Requisitos Especiais: Capacidade de levantar 23 kg, sujeito a testes aleatórios de drogas, movimentos repetitivos, empurrar/puxar com frequência, caminhar bastante, agachar-se frequentemente, exposição a temperaturas extremas, carteira de habilitação obrigatória, 3 meses de experiência obrigatórios. Número de Horas por Semana: 40 Horário de Trabalho (Início/Término): 7h às 16h</v>
      </c>
    </row>
    <row r="372" ht="20.25" customHeight="1">
      <c r="A372" s="3" t="s">
        <v>1987</v>
      </c>
      <c r="B372" s="3" t="s">
        <v>1988</v>
      </c>
      <c r="C372" s="3" t="s">
        <v>1000</v>
      </c>
      <c r="D372" s="3" t="s">
        <v>140</v>
      </c>
      <c r="E372" s="4" t="s">
        <v>19</v>
      </c>
      <c r="F372" s="4" t="s">
        <v>20</v>
      </c>
      <c r="G372" s="4" t="s">
        <v>307</v>
      </c>
      <c r="H372" s="3" t="s">
        <v>1989</v>
      </c>
      <c r="I372" s="3" t="s">
        <v>1990</v>
      </c>
      <c r="J372" s="4">
        <v>16.78</v>
      </c>
      <c r="K372" s="4">
        <v>12.0</v>
      </c>
      <c r="L372" s="3" t="s">
        <v>1021</v>
      </c>
      <c r="M372" s="3" t="s">
        <v>1991</v>
      </c>
      <c r="N372" s="7" t="str">
        <f>IFERROR(__xludf.DUMMYFUNCTION("GOOGLETRANSLATE(L372, ""en"", ""pt"")"),"Paisagista")</f>
        <v>Paisagista</v>
      </c>
      <c r="O372" s="7" t="str">
        <f>IFERROR(__xludf.DUMMYFUNCTION("IF(M372="""","""",GOOGLETRANSLATE(M372,""en"",""pt""))"),"Realizar a manutenção paisagística ou de terrenos utilizando ferramentas manuais ou elétricas. As ferramentas podem incluir cortadores de grama, roçadeiras, tesouras de poda, pás, ancinhos, compactadores, sopradores, aparadores de grama manuais e elétrico"&amp;"s, motosserras (para cortes leves e podas), perfuradores e valeteiras manuais. As tarefas incluem colocar grama em placas, aplicar cobertura morta, cortar grama, aparar, fazer o acabamento das bordas, plantar, regar, fertilizar, cavar, rastelar, podar e r"&amp;"emover detritos. Os trabalhadores podem auxiliar na instalação de sistemas de irrigação e blocos de concreto pré-moldado sem argamassa. Esta é uma posição de nível inicial; as tarefas são executadas sob supervisão e não incluem trabalhos de construção mai"&amp;"s especializados. Classificação da função: 37-3011.00 - Trabalhadores de Paisagismo e Manutenção de Terrenos. A classificação e descrição da função/setor inclui informações gerais sobre o cargo, de acordo com o ONET/OES e o Sistema de Classificação Indust"&amp;"rial da América do Norte. Consulte as Funções e a Ordem de Serviço para obter mais informações. Requisitos da vaga Experiência necessária: Não. Requisitos especiais: Deve ser capaz de levantar/carregar até 23 kg, quando necessário. Trabalho aos sábados, q"&amp;"uando necessário. Exame toxicológico pago pelo empregador é obrigatório para funcionários estrangeiros e nacionais antes do início do trabalho e após a contratação, em caso de acidente. Verificação de antecedentes criminais é obrigatória para funcionários"&amp;" estrangeiros e nacionais após a contratação. Número de horas por semana: 40. Horário de trabalho (início/término): 6h às 14h30.")</f>
        <v>Realizar a manutenção paisagística ou de terrenos utilizando ferramentas manuais ou elétricas. As ferramentas podem incluir cortadores de grama, roçadeiras, tesouras de poda, pás, ancinhos, compactadores, sopradores, aparadores de grama manuais e elétricos, motosserras (para cortes leves e podas), perfuradores e valeteiras manuais. As tarefas incluem colocar grama em placas, aplicar cobertura morta, cortar grama, aparar, fazer o acabamento das bordas, plantar, regar, fertilizar, cavar, rastelar, podar e remover detritos. Os trabalhadores podem auxiliar na instalação de sistemas de irrigação e blocos de concreto pré-moldado sem argamassa. Esta é uma posição de nível inicial; as tarefas são executadas sob supervisão e não incluem trabalhos de construção mais especializados. Classificação da função: 37-3011.00 - Trabalhadores de Paisagismo e Manutenção de Terrenos. A classificação e descrição da função/setor inclui informações gerais sobre o cargo, de acordo com o ONET/OES e o Sistema de Classificação Industrial da América do Norte. Consulte as Funções e a Ordem de Serviço para obter mais informações. Requisitos da vaga Experiência necessária: Não. Requisitos especiais: Deve ser capaz de levantar/carregar até 23 kg, quando necessário. Trabalho aos sábados, quando necessário. Exame toxicológico pago pelo empregador é obrigatório para funcionários estrangeiros e nacionais antes do início do trabalho e após a contratação, em caso de acidente. Verificação de antecedentes criminais é obrigatória para funcionários estrangeiros e nacionais após a contratação. Número de horas por semana: 40. Horário de trabalho (início/término): 6h às 14h30.</v>
      </c>
    </row>
    <row r="373" ht="20.25" customHeight="1">
      <c r="A373" s="8" t="s">
        <v>1992</v>
      </c>
      <c r="B373" s="8" t="s">
        <v>1993</v>
      </c>
      <c r="C373" s="8" t="s">
        <v>125</v>
      </c>
      <c r="D373" s="8" t="s">
        <v>18</v>
      </c>
      <c r="E373" s="9" t="s">
        <v>19</v>
      </c>
      <c r="F373" s="9" t="s">
        <v>20</v>
      </c>
      <c r="G373" s="9" t="s">
        <v>80</v>
      </c>
      <c r="H373" s="8" t="s">
        <v>1994</v>
      </c>
      <c r="I373" s="8" t="s">
        <v>1995</v>
      </c>
      <c r="J373" s="9">
        <v>15.84</v>
      </c>
      <c r="K373" s="9">
        <v>47.0</v>
      </c>
      <c r="L373" s="8" t="s">
        <v>1545</v>
      </c>
      <c r="M373" s="8" t="s">
        <v>1996</v>
      </c>
      <c r="N373" s="7" t="str">
        <f>IFERROR(__xludf.DUMMYFUNCTION("GOOGLETRANSLATE(L373, ""en"", ""pt"")"),"Abatedores e empacotadores de carne")</f>
        <v>Abatedores e empacotadores de carne</v>
      </c>
      <c r="O373" s="7" t="str">
        <f>IFERROR(__xludf.DUMMYFUNCTION("IF(M373="""","""",GOOGLETRANSLATE(M373,""en"",""pt""))"),"Executar funções não rotineiras ou de precisão envolvendo o preparo de grandes porções de carne. O trabalho pode incluir tarefas especializadas de abate, corte de carne padrão ou premium para comercialização, fabricação de linguiça ou embalagem de carnes."&amp;" O trabalho normalmente ocorre em estabelecimentos de abate, processamento de carne ou atacado. Classificação da função: 51-3023.00 - Abatedores e Embaladores de Carne. A classificação e descrição da função/setor incluem informações gerais sobre o cargo, "&amp;"de acordo com o ONET/OES e o Sistema de Classificação Industrial da América do Norte (NAICS). Consulte as Funções e a Ordem de Serviço para obter mais informações. Requisitos da função: Experiência necessária: Não. Requisitos especiais: Deve ser capaz de "&amp;"levantar 23 kg, realizar movimentos repetitivos e empurrar/puxar com frequência. Número de horas por semana: 40. Horário de trabalho (início/término): 7h às 16h.")</f>
        <v>Executar funções não rotineiras ou de precisão envolvendo o preparo de grandes porções de carne. O trabalho pode incluir tarefas especializadas de abate, corte de carne padrão ou premium para comercialização, fabricação de linguiça ou embalagem de carnes. O trabalho normalmente ocorre em estabelecimentos de abate, processamento de carne ou atacado. Classificação da função: 51-3023.00 - Abatedores e Embaladores de Carne. A classificação e descrição da função/setor incluem informações gerais sobre o cargo, de acordo com o ONET/OES e o Sistema de Classificação Industrial da América do Norte (NAICS). Consulte as Funções e a Ordem de Serviço para obter mais informações. Requisitos da função: Experiência necessária: Não. Requisitos especiais: Deve ser capaz de levantar 23 kg, realizar movimentos repetitivos e empurrar/puxar com frequência. Número de horas por semana: 40. Horário de trabalho (início/término): 7h às 16h.</v>
      </c>
    </row>
    <row r="374" ht="20.25" customHeight="1">
      <c r="A374" s="3" t="s">
        <v>1997</v>
      </c>
      <c r="B374" s="3" t="s">
        <v>1998</v>
      </c>
      <c r="C374" s="3" t="s">
        <v>125</v>
      </c>
      <c r="D374" s="3" t="s">
        <v>18</v>
      </c>
      <c r="E374" s="4" t="s">
        <v>19</v>
      </c>
      <c r="F374" s="4" t="s">
        <v>20</v>
      </c>
      <c r="G374" s="4" t="s">
        <v>307</v>
      </c>
      <c r="H374" s="3" t="s">
        <v>1999</v>
      </c>
      <c r="I374" s="3" t="s">
        <v>2000</v>
      </c>
      <c r="J374" s="4">
        <v>19.8</v>
      </c>
      <c r="K374" s="4">
        <v>10.0</v>
      </c>
      <c r="L374" s="3" t="s">
        <v>262</v>
      </c>
      <c r="M374" s="3" t="s">
        <v>2001</v>
      </c>
      <c r="N374" s="7" t="str">
        <f>IFERROR(__xludf.DUMMYFUNCTION("GOOGLETRANSLATE(L374, ""en"", ""pt"")"),"Operário da construção civil")</f>
        <v>Operário da construção civil</v>
      </c>
      <c r="O374" s="7" t="str">
        <f>IFERROR(__xludf.DUMMYFUNCTION("IF(M374="""","""",GOOGLETRANSLATE(M374,""en"",""pt""))"),"Executar tarefas que envolvam trabalho físico em canteiros de obras. Operar ferramentas manuais e elétricas de todos os tipos: martelos pneumáticos, compactadores de solo, betoneiras, pequenos guindastes mecânicos, equipamentos de topografia e medição, e "&amp;"uma variedade de outros equipamentos e instrumentos. Limpar e preparar terrenos, cavar valas, instalar escoras para sustentar as laterais das escavações, montar andaimes e limpar entulhos, detritos e outros resíduos. Auxiliar outros trabalhadores especial"&amp;"izados. Carregar, descarregar ou identificar materiais de construção, máquinas ou ferramentas, distribuindo-os para os locais apropriados, de acordo com os planos ou especificações do projeto. Auxiliar outros trabalhadores especializados na preparação de "&amp;"canteiros de obras; coletando, carregando, descarregando e transportando ferramentas, materiais e equipamentos; limpando áreas de trabalho; e executando tarefas manuais associadas a projetos de construção. Utilizar ferramentas manuais comuns e ferramentas"&amp;" elétricas básicas, incluindo pás, ancinhos, carrinhos de mão, vassouras, furadeiras, compactadores, níveis e instrumentos de medição. Os materiais manuseados podem incluir madeira, fôrmas de concreto, cascalho, areia, cimento, concreto, vergalhões, tubos"&amp;" e outros materiais de construção comuns. Os trabalhadores podem operar equipamentos básicos de medição e marcação, incluindo trenas, níveis a laser, miras de nivelamento e linhas de prumo, para auxiliar supervisores e outros funcionários da construção na"&amp;" medição de distâncias, verificação de níveis e marcação de áreas de trabalho. Os trabalhadores podem carregar, descarregar, identificar e transportar materiais de construção, ferramentas e equipamentos usando trabalho manual, carrinhos de mão, plataforma"&amp;"s rolantes, transpaleteiras ou equipamentos básicos similares de movimentação de materiais. Os materiais manuseados podem incluir madeira, fôrmas de concreto, ferramentas, cascalho, areia, vergalhões, cimento e outros materiais de construção comuns usados"&amp;" ​​no canteiro de obras. Classificação da função: 47-2061.00 - Auxiliares de Construção. A classificação e descrição da função/setor inclui informações gerais sobre o cargo, de acordo com o ONET/OES e o Sistema de Classificação Industrial da América do No"&amp;"rte (NAICS). Consulte as Funções e a Ordem de Serviço para obter mais informações. Requisitos da vaga Experiência necessária: Sim Meses de experiência necessários: 3 Requisitos especiais: Capacidade de levantar 11 kg, realizar movimentos repetitivos, empu"&amp;"rrar/puxar com frequência, caminhar bastante, agachar-se frequentemente e estar exposto a temperaturas extremas. 3 meses de experiência em construção civil são necessários. Número de horas por semana: 40 Horário de trabalho (início/término): 7h às 16h")</f>
        <v>Executar tarefas que envolvam trabalho físico em canteiros de obras. Operar ferramentas manuais e elétricas de todos os tipos: martelos pneumáticos, compactadores de solo, betoneiras, pequenos guindastes mecânicos, equipamentos de topografia e medição, e uma variedade de outros equipamentos e instrumentos. Limpar e preparar terrenos, cavar valas, instalar escoras para sustentar as laterais das escavações, montar andaimes e limpar entulhos, detritos e outros resíduos. Auxiliar outros trabalhadores especializados. Carregar, descarregar ou identificar materiais de construção, máquinas ou ferramentas, distribuindo-os para os locais apropriados, de acordo com os planos ou especificações do projeto. Auxiliar outros trabalhadores especializados na preparação de canteiros de obras; coletando, carregando, descarregando e transportando ferramentas, materiais e equipamentos; limpando áreas de trabalho; e executando tarefas manuais associadas a projetos de construção. Utilizar ferramentas manuais comuns e ferramentas elétricas básicas, incluindo pás, ancinhos, carrinhos de mão, vassouras, furadeiras, compactadores, níveis e instrumentos de medição. Os materiais manuseados podem incluir madeira, fôrmas de concreto, cascalho, areia, cimento, concreto, vergalhões, tubos e outros materiais de construção comuns. Os trabalhadores podem operar equipamentos básicos de medição e marcação, incluindo trenas, níveis a laser, miras de nivelamento e linhas de prumo, para auxiliar supervisores e outros funcionários da construção na medição de distâncias, verificação de níveis e marcação de áreas de trabalho. Os trabalhadores podem carregar, descarregar, identificar e transportar materiais de construção, ferramentas e equipamentos usando trabalho manual, carrinhos de mão, plataformas rolantes, transpaleteiras ou equipamentos básicos similares de movimentação de materiais. Os materiais manuseados podem incluir madeira, fôrmas de concreto, ferramentas, cascalho, areia, vergalhões, cimento e outros materiais de construção comuns usados ​​no canteiro de obras. Classificação da função: 47-2061.00 - Auxiliares de Construção. A classificação e descrição da função/setor inclui informações gerais sobre o cargo, de acordo com o ONET/OES e o Sistema de Classificação Industrial da América do Norte (NAICS). Consulte as Funções e a Ordem de Serviço para obter mais informações. Requisitos da vaga Experiência necessária: Sim Meses de experiência necessários: 3 Requisitos especiais: Capacidade de levantar 11 kg, realizar movimentos repetitivos, empurrar/puxar com frequência, caminhar bastante, agachar-se frequentemente e estar exposto a temperaturas extremas. 3 meses de experiência em construção civil são necessários. Número de horas por semana: 40 Horário de trabalho (início/término): 7h às 16h</v>
      </c>
    </row>
    <row r="375" ht="20.25" customHeight="1">
      <c r="A375" s="8" t="s">
        <v>2002</v>
      </c>
      <c r="B375" s="8" t="s">
        <v>2003</v>
      </c>
      <c r="C375" s="8" t="s">
        <v>1713</v>
      </c>
      <c r="D375" s="8" t="s">
        <v>79</v>
      </c>
      <c r="E375" s="9" t="s">
        <v>19</v>
      </c>
      <c r="F375" s="9" t="s">
        <v>20</v>
      </c>
      <c r="G375" s="9" t="s">
        <v>377</v>
      </c>
      <c r="H375" s="8" t="s">
        <v>2004</v>
      </c>
      <c r="I375" s="8" t="s">
        <v>2005</v>
      </c>
      <c r="J375" s="9">
        <v>20.36</v>
      </c>
      <c r="K375" s="9">
        <v>15.0</v>
      </c>
      <c r="L375" s="8" t="s">
        <v>83</v>
      </c>
      <c r="M375" s="8" t="s">
        <v>2006</v>
      </c>
      <c r="N375" s="7" t="str">
        <f>IFERROR(__xludf.DUMMYFUNCTION("GOOGLETRANSLATE(L375, ""en"", ""pt"")"),"Trabalhador Florestal")</f>
        <v>Trabalhador Florestal</v>
      </c>
      <c r="O375" s="7" t="str">
        <f>IFERROR(__xludf.DUMMYFUNCTION("IF(M375="""","""",GOOGLETRANSLATE(M375,""en"",""pt""))"),"As funções podem incluir: Cultivo e transporte de mudas, seleção de mudas de árvores, descarte de mudas abaixo do padrão, de acordo com tabelas padrão ou instruções verbais. Plantio: mudas/árvores, pulverização ou injeção de inseticidas na vegetação para "&amp;"matar insetos ou proteger contra doenças, ou herbicidas para reduzir a vegetação concorrente ou estimular o crescimento. Poda de árvores ou outras vegetações; corte de árvores ou toras. Empilhamento, trituração ou poda e dispersão dos resíduos gerados. Ma"&amp;"nutenção dos equipamentos utilizados no campo. Limpeza/descarte de arbustos e empilhamento, escavação manual de pequenas valas conforme necessário. Possibilidade de condução ocasional e outras atividades relacionadas a Trabalhador Florestal, conforme SOC/"&amp;"OES 45-4011 (onetonline.org). Horário padrão/esperado: Segunda a sexta, das 7h30 às 16h. Oferecemos mais de 40 horas semanais, sem incluir almoço e/ou intervalos. Possibilidade de trabalho em fins de semana e feriados. Os horários de início e término, a c"&amp;"arga horária oferecida e/ou a possibilidade de horas extras podem variar, pois dependem de fatores como necessidades do projeto/cronograma/serviço, condições climáticas e tempo de deslocamento entre os locais de trabalho (se aplicável). Horas extras são p"&amp;"ossíveis, mas não obrigatórias nem garantidas. A critério exclusivo do empregador: aumentos salariais e/ou bônus podem ser concedidos com base em fatores individuais, como desempenho ou habilidades (não garantidos). Moradia compartilhada opcional disponív"&amp;"el sem custo para o trabalhador. Classificação da vaga: 45-4011.00 - Trabalhadores Florestais e de Conservação. A classificação e a descrição da vaga/setor incluem informações gerais sobre o cargo, de acordo com o ONET/OES e o Sistema de Classificação Ind"&amp;"ustrial da América do Norte. Consulte as Funções e a Ordem de Serviço para obter mais informações. Requisitos da vaga: Experiência exigida: Sim. Meses de experiência exigidos: 3. Requisitos especiais: É necessário ter 18 anos devido a viagens. É necessári"&amp;"o apresentar comprovante de autorização legal para trabalhar nos Estados Unidos. Ambiente de trabalho livre de drogas, álcool e tabaco. É necessário caminhar bastante (até 24 km/dia), além de se abaixar e se curvar carregando uma mochila (até 23 kg) em te"&amp;"rrenos acidentados (fora de trilhas). Todos os candidatos devem ser capazes, dispostos e qualificados para realizar o trabalho descrito e devem estar disponíveis durante todo o período especificado e trabalhar em todas as áreas da vaga. O trabalho é reali"&amp;"zado ao ar livre, exposto às intempéries; o candidato deve ser capaz de realizar trabalho fisicamente extenuante por longos períodos, ocasionalmente em calor ou frio extremos. As condições climáticas são variáveis; a carga horária pode sofrer alterações, "&amp;"com possibilidade de períodos de inatividade e/ou horas extras. Número de horas por semana: 40. Horário de trabalho (início/término): 7h30 às 16h.")</f>
        <v>As funções podem incluir: Cultivo e transporte de mudas, seleção de mudas de árvores, descarte de mudas abaixo do padrão, de acordo com tabelas padrão ou instruções verbais. Plantio: mudas/árvores, pulverização ou injeção de inseticidas na vegetação para matar insetos ou proteger contra doenças, ou herbicidas para reduzir a vegetação concorrente ou estimular o crescimento. Poda de árvores ou outras vegetações; corte de árvores ou toras. Empilhamento, trituração ou poda e dispersão dos resíduos gerados. Manutenção dos equipamentos utilizados no campo. Limpeza/descarte de arbustos e empilhamento, escavação manual de pequenas valas conforme necessário. Possibilidade de condução ocasional e outras atividades relacionadas a Trabalhador Florestal, conforme SOC/OES 45-4011 (onetonline.org). Horário padrão/esperado: Segunda a sexta, das 7h30 às 16h. Oferecemos mais de 40 horas semanais, sem incluir almoço e/ou intervalos. Possibilidade de trabalho em fins de semana e feriados. Os horários de início e término, a carga horária oferecida e/ou a possibilidade de horas extras podem variar, pois dependem de fatores como necessidades do projeto/cronograma/serviço, condições climáticas e tempo de deslocamento entre os locais de trabalho (se aplicável). Horas extras são possíveis, mas não obrigatórias nem garantidas. A critério exclusivo do empregador: aumentos salariais e/ou bônus podem ser concedidos com base em fatores individuais, como desempenho ou habilidades (não garantidos). Moradia compartilhada opcional disponível sem custo para o trabalhador. Classificação da vaga: 45-4011.00 - Trabalhadores Florestais e de Conservação. A classificação e a descrição da vaga/setor incluem informações gerais sobre o cargo, de acordo com o ONET/OES e o Sistema de Classificação Industrial da América do Norte. Consulte as Funções e a Ordem de Serviço para obter mais informações. Requisitos da vaga: Experiência exigida: Sim. Meses de experiência exigidos: 3. Requisitos especiais: É necessário ter 18 anos devido a viagens. É necessário apresentar comprovante de autorização legal para trabalhar nos Estados Unidos. Ambiente de trabalho livre de drogas, álcool e tabaco. É necessário caminhar bastante (até 24 km/dia), além de se abaixar e se curvar carregando uma mochila (até 23 kg) em terrenos acidentados (fora de trilhas). Todos os candidatos devem ser capazes, dispostos e qualificados para realizar o trabalho descrito e devem estar disponíveis durante todo o período especificado e trabalhar em todas as áreas da vaga. O trabalho é realizado ao ar livre, exposto às intempéries; o candidato deve ser capaz de realizar trabalho fisicamente extenuante por longos períodos, ocasionalmente em calor ou frio extremos. As condições climáticas são variáveis; a carga horária pode sofrer alterações, com possibilidade de períodos de inatividade e/ou horas extras. Número de horas por semana: 40. Horário de trabalho (início/término): 7h30 às 16h.</v>
      </c>
    </row>
    <row r="376" ht="20.25" customHeight="1">
      <c r="A376" s="3" t="s">
        <v>2007</v>
      </c>
      <c r="B376" s="3" t="s">
        <v>2008</v>
      </c>
      <c r="C376" s="3" t="s">
        <v>1946</v>
      </c>
      <c r="D376" s="3" t="s">
        <v>79</v>
      </c>
      <c r="E376" s="4" t="s">
        <v>44</v>
      </c>
      <c r="F376" s="4" t="s">
        <v>20</v>
      </c>
      <c r="G376" s="4" t="s">
        <v>377</v>
      </c>
      <c r="H376" s="3" t="s">
        <v>2009</v>
      </c>
      <c r="I376" s="3" t="s">
        <v>2010</v>
      </c>
      <c r="J376" s="4">
        <v>19.83</v>
      </c>
      <c r="K376" s="4">
        <v>75.0</v>
      </c>
      <c r="L376" s="3" t="s">
        <v>1054</v>
      </c>
      <c r="M376" s="3" t="s">
        <v>2011</v>
      </c>
      <c r="N376" s="7" t="str">
        <f>IFERROR(__xludf.DUMMYFUNCTION("GOOGLETRANSLATE(L376, ""en"", ""pt"")"),"Trabalhador Florestal e de Conservação")</f>
        <v>Trabalhador Florestal e de Conservação</v>
      </c>
      <c r="O376" s="7" t="str">
        <f>IFERROR(__xludf.DUMMYFUNCTION("IF(M376="""","""",GOOGLETRANSLATE(M376,""en"",""pt""))"),"As funções do trabalhador de conservação florestal incluem o desenvolvimento e a manutenção de bosques. Isso abrange: o plantio manual de mudas de árvores sem raiz central, utilizando enxada ou pá de plantio. O uso de tubos ou redes pode ser empregado par"&amp;"a proteger as mudas. A pulverização é realizada para preparar futuros locais de plantio e/ou manter os locais existentes. PULVERIZAÇÃO: (Somente herbicidas registrados para aplicações florestais são utilizados. O cargo não envolve a mistura ou o carregame"&amp;"nto de herbicidas. A mistura e o carregamento são feitos por um aplicador de herbicidas licenciado, que supervisiona todos os aspectos da aplicação. Cada trabalhador que pulveriza herbicida deve possuir licença do Departamento de Agricultura do Oregon. Os"&amp;" trabalhadores recebem treinamento em segurança e em procedimentos técnicos. Após a contratação, o trabalhador será treinado para obter a licença de pulverização.) A poda, o corte de vegetação rasteira e a construção de trilhas são realizados com motosser"&amp;"ras e outros equipamentos manuais. Outras atribuições relacionadas ao desenvolvimento e manutenção de áreas florestais incluem: desmatamento, empilhamento de galhos, cobertura de pilhas para descarte futuro, queima de resíduos florestais e outras atividad"&amp;"es conforme o Serviço de Gestão de Terras Florestais (Forest Land Management Services, onetonline.org) 45-4011. Todas as tarefas são executadas em diversas condições climáticas. O trabalhador deve ser capaz de caminhar até 24 quilômetros por dia e se abai"&amp;"xar e curvar carregando uma mochila de até 23 quilos. Todas as tarefas são executadas em terrenos acidentados, com inclinações de até 40-60%. Os locais de trabalho podem ser em áreas remotas, sem trilhas e acessíveis por estradas não pavimentadas. Classif"&amp;"icação da função: 45-4011.00 - Trabalhadores Florestais e de Conservação. A classificação e descrição da função/setor incluem informações gerais sobre o cargo, conforme o ONET/OES e o Sistema de Classificação Industrial da América do Norte. Consulte as At"&amp;"ribuições e a Ordem de Serviço para obter mais informações. Requisitos da vaga Experiência necessária: Sim Meses de experiência necessários: 3 Requisitos especiais: DEVE SER CAPAZ DE PLANTAR O SEGUINTE NÚMERO DE ÁRVORES EM UM DIA DE 8 HORAS: ATÉ O FINAL D"&amp;"A 1ª SEMANA - 800, ATÉ O FINAL DA 2ª SEMANA - 900, ATÉ O FINAL DA 3ª SEMANA - 1000 ÁRVORES. Número de horas por semana: 40 Horário de trabalho (início/término): 7h00 - 15h30")</f>
        <v>As funções do trabalhador de conservação florestal incluem o desenvolvimento e a manutenção de bosques. Isso abrange: o plantio manual de mudas de árvores sem raiz central, utilizando enxada ou pá de plantio. O uso de tubos ou redes pode ser empregado para proteger as mudas. A pulverização é realizada para preparar futuros locais de plantio e/ou manter os locais existentes. PULVERIZAÇÃO: (Somente herbicidas registrados para aplicações florestais são utilizados. O cargo não envolve a mistura ou o carregamento de herbicidas. A mistura e o carregamento são feitos por um aplicador de herbicidas licenciado, que supervisiona todos os aspectos da aplicação. Cada trabalhador que pulveriza herbicida deve possuir licença do Departamento de Agricultura do Oregon. Os trabalhadores recebem treinamento em segurança e em procedimentos técnicos. Após a contratação, o trabalhador será treinado para obter a licença de pulverização.) A poda, o corte de vegetação rasteira e a construção de trilhas são realizados com motosserras e outros equipamentos manuais. Outras atribuições relacionadas ao desenvolvimento e manutenção de áreas florestais incluem: desmatamento, empilhamento de galhos, cobertura de pilhas para descarte futuro, queima de resíduos florestais e outras atividades conforme o Serviço de Gestão de Terras Florestais (Forest Land Management Services, onetonline.org) 45-4011. Todas as tarefas são executadas em diversas condições climáticas. O trabalhador deve ser capaz de caminhar até 24 quilômetros por dia e se abaixar e curvar carregando uma mochila de até 23 quilos. Todas as tarefas são executadas em terrenos acidentados, com inclinações de até 40-60%. Os locais de trabalho podem ser em áreas remotas, sem trilhas e acessíveis por estradas não pavimentadas. Classificação da função: 45-4011.00 - Trabalhadores Florestais e de Conservação. A classificação e descrição da função/setor incluem informações gerais sobre o cargo, conforme o ONET/OES e o Sistema de Classificação Industrial da América do Norte. Consulte as Atribuições e a Ordem de Serviço para obter mais informações. Requisitos da vaga Experiência necessária: Sim Meses de experiência necessários: 3 Requisitos especiais: DEVE SER CAPAZ DE PLANTAR O SEGUINTE NÚMERO DE ÁRVORES EM UM DIA DE 8 HORAS: ATÉ O FINAL DA 1ª SEMANA - 800, ATÉ O FINAL DA 2ª SEMANA - 900, ATÉ O FINAL DA 3ª SEMANA - 1000 ÁRVORES. Número de horas por semana: 40 Horário de trabalho (início/término): 7h00 - 15h30</v>
      </c>
    </row>
    <row r="377" ht="20.25" customHeight="1">
      <c r="A377" s="8" t="s">
        <v>2012</v>
      </c>
      <c r="B377" s="8" t="s">
        <v>2013</v>
      </c>
      <c r="C377" s="8" t="s">
        <v>125</v>
      </c>
      <c r="D377" s="8" t="s">
        <v>18</v>
      </c>
      <c r="E377" s="9" t="s">
        <v>19</v>
      </c>
      <c r="F377" s="9" t="s">
        <v>20</v>
      </c>
      <c r="G377" s="9" t="s">
        <v>65</v>
      </c>
      <c r="H377" s="8" t="s">
        <v>2014</v>
      </c>
      <c r="I377" s="8" t="s">
        <v>2015</v>
      </c>
      <c r="J377" s="9">
        <v>19.47</v>
      </c>
      <c r="K377" s="9">
        <v>7.0</v>
      </c>
      <c r="L377" s="8" t="s">
        <v>129</v>
      </c>
      <c r="M377" s="8" t="s">
        <v>2016</v>
      </c>
      <c r="N377" s="7" t="str">
        <f>IFERROR(__xludf.DUMMYFUNCTION("GOOGLETRANSLATE(L377, ""en"", ""pt"")"),"Trabalhador de paisagismo e manutenção de jardins")</f>
        <v>Trabalhador de paisagismo e manutenção de jardins</v>
      </c>
      <c r="O377" s="7" t="str">
        <f>IFERROR(__xludf.DUMMYFUNCTION("IF(M377="""","""",GOOGLETRANSLATE(M377,""en"",""pt""))"),"As funções incluem a instalação de árvores, arbustos ou flores durante o período de dormência, seguindo o padrão de design apropriado. Isso inclui descarregar materiais, cavar buracos para o sistema radicular, cobrir os buracos adequadamente e, às vezes, "&amp;"colocar grama em placas, plantar sementes de grama ou conectar a irrigação. Também envolve a remoção de folhas, plantio de sementes e palha, aeração do gramado, plantio de arbustos, escavação, rastelagem e instalação de blocos de concreto pré-moldados sem"&amp;" argamassa. Os trabalhadores podem coletar e remover lixo, regar gramados, árvores e plantas semeadas, além de podar árvores, arbustos ou sebes. Podem operar equipamentos motorizados e dirigir veículos até os locais dos clientes. As tarefas podem incluir "&amp;"colocação de grama em placas, corte de grama, rega de plantas e gramados, transplante de plantas, fertilização, escavação, rastelagem e instalação de aspersores. Os funcionários cavarão valas com no máximo 15 a 30 cm de profundidade e 15 a 30 cm de largur"&amp;"a com pás e ferramentas manuais. Essas valas são usadas para acomodar a tubulação utilizada na instalação de sistemas de irrigação. Toda a poda/aparamento será feita no solo. Os trabalhadores não realizarão nenhuma atividade de poda ou corte acima do níve"&amp;"l do solo. O trabalhador poderá transportar outros trabalhadores de e para os locais de trabalho ocasionalmente, porém esta não será sua principal função. Classificação da Função: 37-3011.00 - Trabalhadores de Paisagismo e Manutenção de Jardins. A classif"&amp;"icação e descrição da função/setor inclui informações gerais sobre o cargo, de acordo com o ONET/OES e o Sistema de Classificação Industrial da América do Norte (NAICS). Consulte as Funções e a Ordem de Serviço para obter mais informações. Requisitos da F"&amp;"unção Experiência Necessária: Sim Meses de Experiência Necessários: 3 Requisitos Especiais: Deve ser capaz de levantar 23 kg, realizar movimentos repetitivos, empurrar/puxar extensivamente, caminhar extensivamente, agachar-se frequentemente, exposição a t"&amp;"emperaturas extremas, 3 meses de experiência exigidos. Exame toxicológico pós-contratação por conta do empregador. Número de Horas por Semana: 40 Horário de Trabalho (Início/Término): 7h00 - 16h00.")</f>
        <v>As funções incluem a instalação de árvores, arbustos ou flores durante o período de dormência, seguindo o padrão de design apropriado. Isso inclui descarregar materiais, cavar buracos para o sistema radicular, cobrir os buracos adequadamente e, às vezes, colocar grama em placas, plantar sementes de grama ou conectar a irrigação. Também envolve a remoção de folhas, plantio de sementes e palha, aeração do gramado, plantio de arbustos, escavação, rastelagem e instalação de blocos de concreto pré-moldados sem argamassa. Os trabalhadores podem coletar e remover lixo, regar gramados, árvores e plantas semeadas, além de podar árvores, arbustos ou sebes. Podem operar equipamentos motorizados e dirigir veículos até os locais dos clientes. As tarefas podem incluir colocação de grama em placas, corte de grama, rega de plantas e gramados, transplante de plantas, fertilização, escavação, rastelagem e instalação de aspersores. Os funcionários cavarão valas com no máximo 15 a 30 cm de profundidade e 15 a 30 cm de largura com pás e ferramentas manuais. Essas valas são usadas para acomodar a tubulação utilizada na instalação de sistemas de irrigação. Toda a poda/aparamento será feita no solo. Os trabalhadores não realizarão nenhuma atividade de poda ou corte acima do nível do solo. O trabalhador poderá transportar outros trabalhadores de e para os locais de trabalho ocasionalmente, porém esta não será sua principal função. Classificação da Função: 37-3011.00 - Trabalhadores de Paisagismo e Manutenção de Jardins. A classificação e descrição da função/setor inclui informações gerais sobre o cargo, de acordo com o ONET/OES e o Sistema de Classificação Industrial da América do Norte (NAICS). Consulte as Funções e a Ordem de Serviço para obter mais informações. Requisitos da Função Experiência Necessária: Sim Meses de Experiência Necessários: 3 Requisitos Especiais: Deve ser capaz de levantar 23 kg, realizar movimentos repetitivos, empurrar/puxar extensivamente, caminhar extensivamente, agachar-se frequentemente, exposição a temperaturas extremas, 3 meses de experiência exigidos. Exame toxicológico pós-contratação por conta do empregador. Número de Horas por Semana: 40 Horário de Trabalho (Início/Término): 7h00 - 16h00.</v>
      </c>
    </row>
    <row r="378" ht="20.25" customHeight="1">
      <c r="A378" s="3" t="s">
        <v>2017</v>
      </c>
      <c r="B378" s="3" t="s">
        <v>2018</v>
      </c>
      <c r="C378" s="3" t="s">
        <v>391</v>
      </c>
      <c r="D378" s="3" t="s">
        <v>64</v>
      </c>
      <c r="E378" s="4" t="s">
        <v>44</v>
      </c>
      <c r="F378" s="4" t="s">
        <v>20</v>
      </c>
      <c r="G378" s="4" t="s">
        <v>377</v>
      </c>
      <c r="H378" s="10" t="s">
        <v>2019</v>
      </c>
      <c r="I378" s="3" t="s">
        <v>2020</v>
      </c>
      <c r="J378" s="4">
        <v>16.43</v>
      </c>
      <c r="K378" s="4">
        <v>2.0</v>
      </c>
      <c r="L378" s="3" t="s">
        <v>2021</v>
      </c>
      <c r="M378" s="3" t="s">
        <v>2022</v>
      </c>
      <c r="N378" s="7" t="str">
        <f>IFERROR(__xludf.DUMMYFUNCTION("GOOGLETRANSLATE(L378, ""en"", ""pt"")"),"Porteiro de manutenção")</f>
        <v>Porteiro de manutenção</v>
      </c>
      <c r="O378" s="7" t="str">
        <f>IFERROR(__xludf.DUMMYFUNCTION("IF(M378="""","""",GOOGLETRANSLATE(M378,""en"",""pt""))"),"Executar tarefas de manutenção e limpeza conforme instruções do gerente/supervisor da instalação, garantindo a remoção de toda a sujeira, poeira, lixo e detritos de todas as áreas da instalação, utilizando vassouras, esfregões, escovas e outras ferramenta"&amp;"s manuais. Inspecionar a garagem diariamente para identificar e corrigir quaisquer problemas de manutenção. Varrer e recolher o lixo ao redor das entradas e saídas da garagem e escadas, bem como limpar corrimãos, etc., em todos os níveis, cabines, escritó"&amp;"rios e banheiros. Esvaziar todas as lixeiras. Trocar lâmpadas queimadas, trocar filtros, repor suprimentos e enviar solicitações de reparos ou manutenção. Manter o controle do estoque de materiais de limpeza. Reportar quaisquer violações desconhecidas, ob"&amp;"servadas ou suspeitas das políticas da empresa, riscos à segurança ou qualquer ocorrência incomum. O empregador oferece 40 horas de trabalho por semana. Aberto 7 dias por semana, com escala de trabalho de 5 dias, variando de domingo a sábado. Horários nor"&amp;"mais de turno: 7h30 às 16h, 15h às 23h30 e 23h às 7h30. Os turnos incluem 30 minutos de intervalo não remunerado. O horário de trabalho e os turnos podem variar de acordo com a ocupação. O empregador poderá aumentar o salário com base na experiência, nas "&amp;"mudanças nas condições de mercado e/ou oferecer remuneração adicional por desempenho e tempo de serviço. Uma refeição por turno é fornecida gratuitamente ao funcionário. Horas extras podem estar disponíveis. Um adicional por hora extra será pago quando ex"&amp;"igido por lei federal, estadual ou local, incluindo hora e meia após 40 horas semanais. Geralmente, quando houver horas extras disponíveis, elas serão pagas a US$ 24,65 por hora. O funcionário é responsável pelo seu próprio transporte diário de ida e volt"&amp;"a ao local de trabalho. Classificação da vaga: 37-2011.00 - Zeladores e Faxineiros, exceto Camareiras e Auxiliares de Limpeza. A classificação e a descrição da vaga/setor incluem informações gerais sobre o cargo, de acordo com o ONET/OES e o Sistema de Cl"&amp;"assificação Industrial da América do Norte (NAICS). Consulte as Funções e a Ordem de Serviço para obter mais informações. Requisitos da vaga: Experiência exigida: Sim. Meses de experiência exigidos: 1. Requisitos especiais: É necessário ter 1 mês de exper"&amp;"iência como zelador em hotel. Deve ser capaz de falar, ler e escrever em inglês. Deve ser capaz de levantar, puxar e empurrar 23 kg. Deve ser capaz de se curvar/agachar e ficar em pé/andar continuamente por longos períodos. Deve ser capaz de se curvar, ag"&amp;"achar e alcançar objetos para cima/para baixo/acima da cabeça. Deve ser capaz de trabalhar com poeira, produtos químicos e outros possíveis irritantes. Deve ser capaz de trabalhar em condições climáticas extremas (chuva, neve, frio, calor). Deve ser capaz"&amp;" de se movimentar com relativa rapidez. Deve ter disponibilidade para trabalhar em um horário flexível de 5 dias por semana, incluindo fins de semana e feriados, conforme necessário. É necessária verificação de antecedentes pré-emprego, cujo custo é pago "&amp;"pelo empregador e aplicado igualmente a todos os trabalhadores, americanos e estrangeiros/H-2B. O candidato deve preencher uma ficha de emprego. O uniforme obrigatório é fornecido sem custo para o funcionário. Número de horas por semana: 40. Horário de tr"&amp;"abalho (início/término): 7h30 às 16h.")</f>
        <v>Executar tarefas de manutenção e limpeza conforme instruções do gerente/supervisor da instalação, garantindo a remoção de toda a sujeira, poeira, lixo e detritos de todas as áreas da instalação, utilizando vassouras, esfregões, escovas e outras ferramentas manuais. Inspecionar a garagem diariamente para identificar e corrigir quaisquer problemas de manutenção. Varrer e recolher o lixo ao redor das entradas e saídas da garagem e escadas, bem como limpar corrimãos, etc., em todos os níveis, cabines, escritórios e banheiros. Esvaziar todas as lixeiras. Trocar lâmpadas queimadas, trocar filtros, repor suprimentos e enviar solicitações de reparos ou manutenção. Manter o controle do estoque de materiais de limpeza. Reportar quaisquer violações desconhecidas, observadas ou suspeitas das políticas da empresa, riscos à segurança ou qualquer ocorrência incomum. O empregador oferece 40 horas de trabalho por semana. Aberto 7 dias por semana, com escala de trabalho de 5 dias, variando de domingo a sábado. Horários normais de turno: 7h30 às 16h, 15h às 23h30 e 23h às 7h30. Os turnos incluem 30 minutos de intervalo não remunerado. O horário de trabalho e os turnos podem variar de acordo com a ocupação. O empregador poderá aumentar o salário com base na experiência, nas mudanças nas condições de mercado e/ou oferecer remuneração adicional por desempenho e tempo de serviço. Uma refeição por turno é fornecida gratuitamente ao funcionário. Horas extras podem estar disponíveis. Um adicional por hora extra será pago quando exigido por lei federal, estadual ou local, incluindo hora e meia após 40 horas semanais. Geralmente, quando houver horas extras disponíveis, elas serão pagas a US$ 24,65 por hora. O funcionário é responsável pelo seu próprio transporte diário de ida e volta ao local de trabalho. Classificação da vaga: 37-2011.00 - Zeladores e Faxineiros, exceto Camareiras e Auxiliares de Limpeza. A classificação e a descrição da vaga/setor incluem informações gerais sobre o cargo, de acordo com o ONET/OES e o Sistema de Classificação Industrial da América do Norte (NAICS). Consulte as Funções e a Ordem de Serviço para obter mais informações. Requisitos da vaga: Experiência exigida: Sim. Meses de experiência exigidos: 1. Requisitos especiais: É necessário ter 1 mês de experiência como zelador em hotel. Deve ser capaz de falar, ler e escrever em inglês. Deve ser capaz de levantar, puxar e empurrar 23 kg. Deve ser capaz de se curvar/agachar e ficar em pé/andar continuamente por longos períodos. Deve ser capaz de se curvar, agachar e alcançar objetos para cima/para baixo/acima da cabeça. Deve ser capaz de trabalhar com poeira, produtos químicos e outros possíveis irritantes. Deve ser capaz de trabalhar em condições climáticas extremas (chuva, neve, frio, calor). Deve ser capaz de se movimentar com relativa rapidez. Deve ter disponibilidade para trabalhar em um horário flexível de 5 dias por semana, incluindo fins de semana e feriados, conforme necessário. É necessária verificação de antecedentes pré-emprego, cujo custo é pago pelo empregador e aplicado igualmente a todos os trabalhadores, americanos e estrangeiros/H-2B. O candidato deve preencher uma ficha de emprego. O uniforme obrigatório é fornecido sem custo para o funcionário. Número de horas por semana: 40. Horário de trabalho (início/término): 7h30 às 16h.</v>
      </c>
    </row>
    <row r="379" ht="20.25" customHeight="1">
      <c r="A379" s="8" t="s">
        <v>2023</v>
      </c>
      <c r="B379" s="8" t="s">
        <v>2024</v>
      </c>
      <c r="C379" s="8" t="s">
        <v>125</v>
      </c>
      <c r="D379" s="8" t="s">
        <v>109</v>
      </c>
      <c r="E379" s="9" t="s">
        <v>19</v>
      </c>
      <c r="F379" s="9" t="s">
        <v>20</v>
      </c>
      <c r="G379" s="9" t="s">
        <v>146</v>
      </c>
      <c r="H379" s="8" t="s">
        <v>2025</v>
      </c>
      <c r="I379" s="8" t="s">
        <v>2026</v>
      </c>
      <c r="J379" s="9">
        <v>18.69</v>
      </c>
      <c r="K379" s="9">
        <v>30.0</v>
      </c>
      <c r="L379" s="8" t="s">
        <v>129</v>
      </c>
      <c r="M379" s="8" t="s">
        <v>2027</v>
      </c>
      <c r="N379" s="7" t="str">
        <f>IFERROR(__xludf.DUMMYFUNCTION("GOOGLETRANSLATE(L379, ""en"", ""pt"")"),"Trabalhador de paisagismo e manutenção de jardins")</f>
        <v>Trabalhador de paisagismo e manutenção de jardins</v>
      </c>
      <c r="O379" s="7" t="str">
        <f>IFERROR(__xludf.DUMMYFUNCTION("IF(M379="""","""",GOOGLETRANSLATE(M379,""en"",""pt""))"),"As funções incluem a instalação de árvores, arbustos ou flores durante o período de dormência, seguindo o padrão de design apropriado. Isso inclui descarregar materiais, cavar buracos para o sistema radicular, cobrir os buracos adequadamente e, às vezes, "&amp;"colocar grama em placas, plantar sementes de grama ou conectar a irrigação. Também envolve a remoção de folhas, plantio de sementes e palha, aeração do gramado, plantio de arbustos, escavação, rastelagem e instalação de blocos de concreto pré-moldados sem"&amp;" argamassa. Os trabalhadores podem coletar e remover lixo, regar gramados, árvores e plantas semeadas, além de podar árvores, arbustos ou sebes. Podem operar equipamentos motorizados e dirigir veículos até os locais dos clientes. As tarefas podem incluir "&amp;"colocação de grama em placas, corte de grama, rega de plantas e gramados, transplante de plantas, fertilização, escavação, rastelagem e instalação de aspersores. Os funcionários cavarão valas com no máximo 15 a 30 cm de profundidade e 15 a 30 cm de largur"&amp;"a com pás e ferramentas manuais. Essas valas são usadas para acomodar a tubulação utilizada na instalação de sistemas de irrigação. Toda a poda/aparamento será feita no solo. Os trabalhadores não realizarão nenhuma atividade de poda ou corte acima do níve"&amp;"l do solo. O trabalhador poderá transportar outros trabalhadores de e para os locais de trabalho ocasionalmente, porém esta não será sua principal função. Classificação da Função: 37-3011.00 - Trabalhadores de Paisagismo e Manutenção de Jardins. A classif"&amp;"icação e descrição da função/setor inclui informações gerais sobre o cargo, de acordo com o ONET/OES e o Sistema de Classificação Industrial da América do Norte (NAICS). Consulte as Funções e a Ordem de Serviço para obter mais informações. Requisitos da F"&amp;"unção: Experiência Necessária: Não. Requisitos Especiais: Exame toxicológico pós-admissão, custeado pelo empregador. Deve ser capaz de levantar 23 kg, realizar movimentos repetitivos, empurrar/puxar com frequência, caminhar bastante, agachar-se frequentem"&amp;"ente e estar exposto a temperaturas extremas. Número de Horas por Semana: 40. Horário de Trabalho (Início/Término): 7h às 16h.")</f>
        <v>As funções incluem a instalação de árvores, arbustos ou flores durante o período de dormência, seguindo o padrão de design apropriado. Isso inclui descarregar materiais, cavar buracos para o sistema radicular, cobrir os buracos adequadamente e, às vezes, colocar grama em placas, plantar sementes de grama ou conectar a irrigação. Também envolve a remoção de folhas, plantio de sementes e palha, aeração do gramado, plantio de arbustos, escavação, rastelagem e instalação de blocos de concreto pré-moldados sem argamassa. Os trabalhadores podem coletar e remover lixo, regar gramados, árvores e plantas semeadas, além de podar árvores, arbustos ou sebes. Podem operar equipamentos motorizados e dirigir veículos até os locais dos clientes. As tarefas podem incluir colocação de grama em placas, corte de grama, rega de plantas e gramados, transplante de plantas, fertilização, escavação, rastelagem e instalação de aspersores. Os funcionários cavarão valas com no máximo 15 a 30 cm de profundidade e 15 a 30 cm de largura com pás e ferramentas manuais. Essas valas são usadas para acomodar a tubulação utilizada na instalação de sistemas de irrigação. Toda a poda/aparamento será feita no solo. Os trabalhadores não realizarão nenhuma atividade de poda ou corte acima do nível do solo. O trabalhador poderá transportar outros trabalhadores de e para os locais de trabalho ocasionalmente, porém esta não será sua principal função. Classificação da Função: 37-3011.00 - Trabalhadores de Paisagismo e Manutenção de Jardins. A classificação e descrição da função/setor inclui informações gerais sobre o cargo, de acordo com o ONET/OES e o Sistema de Classificação Industrial da América do Norte (NAICS). Consulte as Funções e a Ordem de Serviço para obter mais informações. Requisitos da Função: Experiência Necessária: Não. Requisitos Especiais: Exame toxicológico pós-admissão, custeado pelo empregador. Deve ser capaz de levantar 23 kg, realizar movimentos repetitivos, empurrar/puxar com frequência, caminhar bastante, agachar-se frequentemente e estar exposto a temperaturas extremas. Número de Horas por Semana: 40. Horário de Trabalho (Início/Término): 7h às 16h.</v>
      </c>
    </row>
    <row r="380" ht="20.25" customHeight="1">
      <c r="A380" s="3" t="s">
        <v>2028</v>
      </c>
      <c r="B380" s="3" t="s">
        <v>2029</v>
      </c>
      <c r="C380" s="3" t="s">
        <v>125</v>
      </c>
      <c r="D380" s="3" t="s">
        <v>36</v>
      </c>
      <c r="E380" s="4" t="s">
        <v>19</v>
      </c>
      <c r="F380" s="4" t="s">
        <v>20</v>
      </c>
      <c r="G380" s="4" t="s">
        <v>56</v>
      </c>
      <c r="H380" s="3" t="s">
        <v>2030</v>
      </c>
      <c r="I380" s="3" t="s">
        <v>2031</v>
      </c>
      <c r="J380" s="4">
        <v>17.08</v>
      </c>
      <c r="K380" s="4">
        <v>12.0</v>
      </c>
      <c r="L380" s="3" t="s">
        <v>129</v>
      </c>
      <c r="M380" s="3" t="s">
        <v>2032</v>
      </c>
      <c r="N380" s="7" t="str">
        <f>IFERROR(__xludf.DUMMYFUNCTION("GOOGLETRANSLATE(L380, ""en"", ""pt"")"),"Trabalhador de paisagismo e manutenção de jardins")</f>
        <v>Trabalhador de paisagismo e manutenção de jardins</v>
      </c>
      <c r="O380" s="7" t="str">
        <f>IFERROR(__xludf.DUMMYFUNCTION("IF(M380="""","""",GOOGLETRANSLATE(M380,""en"",""pt""))"),"As funções incluem a instalação de árvores, arbustos ou flores durante o período de dormência, seguindo o padrão de design apropriado. Isso inclui descarregar materiais, cavar buracos para o sistema radicular, cobrir os buracos adequadamente e, às vezes, "&amp;"colocar grama em placas, plantar sementes de grama ou conectar a irrigação. Também envolve a remoção de folhas, plantio de sementes e palha, aeração do gramado, plantio de arbustos, escavação, rastelagem e instalação de blocos de concreto pré-moldados sem"&amp;" argamassa. Os trabalhadores podem coletar e remover lixo, regar gramados, árvores e plantas semeadas, além de podar árvores, arbustos ou sebes. Podem operar equipamentos motorizados e dirigir veículos até os locais dos clientes. As tarefas podem incluir "&amp;"colocação de grama em placas, corte de grama, rega de plantas e gramados, transplante de plantas, fertilização, escavação, rastelagem e instalação de aspersores. Os funcionários cavarão valas com no máximo 15 a 30 cm de profundidade e 15 a 30 cm de largur"&amp;"a com pás e ferramentas manuais. Essas valas são usadas para acomodar a tubulação utilizada na instalação de sistemas de irrigação. Toda a poda/aparamento será feita no solo. Os trabalhadores não realizarão nenhuma atividade de poda ou corte acima do níve"&amp;"l do solo. O trabalhador poderá transportar outros trabalhadores de e para os locais de trabalho ocasionalmente, porém essa não será sua principal função. Os trabalhadores poderão operar equipamentos motorizados de jardinagem, incluindo cortadores de gram"&amp;"a, aparadores de borda, sopradores, roçadeiras, roçadeiras de jardim, pequenos tratores e equipamentos similares. Os trabalhadores poderão dirigir caminhonetes e veículos leves similares da empresa de e para os locais de trabalho dos clientes. Os trabalha"&amp;"dores poderão ocasionalmente transportar outros trabalhadores de e para os locais de trabalho; no entanto, o transporte de trabalhadores não é uma função principal. Os trabalhadores também poderão ocasionalmente transportar materiais, ferramentas e equipa"&amp;"mentos de jardinagem de e para os locais de trabalho, incluindo cobertura morta, plantas em vasos, pás, ancinhos, cortadores de grama, sopradores e roçadeiras de jardim. Nenhum material perigoso será transportado pelos trabalhadores. Todos os veículos e e"&amp;"quipamentos operados têm peso bruto total inferior a 26.000 libras (aproximadamente 11.800 kg), incluindo quaisquer reboques acoplados ou materiais transportados. Classificação da Função: 37-3011.00 - Trabalhadores de Paisagismo e Manutenção de Jardins. A"&amp;" classificação e descrição da função/setor inclui informações gerais sobre o cargo, de acordo com o ONET/OES e o Sistema de Classificação Industrial da América do Norte (NAICS). Consulte as Funções e a Ordem de Serviço para obter mais informações. Requisi"&amp;"tos da Função Experiência Necessária: Sim Meses de Experiência Necessários: 3 Requisitos Especiais: Capacidade de levantar 23 kg, realizar movimentos repetitivos, empurrar/puxar com frequência, caminhar bastante, agachar-se frequentemente e estar exposto "&amp;"a temperaturas extremas. 3 meses de experiência são necessários. Número de Horas por Semana: 40 Horário de Trabalho (Início/Término): 7h às 16h")</f>
        <v>As funções incluem a instalação de árvores, arbustos ou flores durante o período de dormência, seguindo o padrão de design apropriado. Isso inclui descarregar materiais, cavar buracos para o sistema radicular, cobrir os buracos adequadamente e, às vezes, colocar grama em placas, plantar sementes de grama ou conectar a irrigação. Também envolve a remoção de folhas, plantio de sementes e palha, aeração do gramado, plantio de arbustos, escavação, rastelagem e instalação de blocos de concreto pré-moldados sem argamassa. Os trabalhadores podem coletar e remover lixo, regar gramados, árvores e plantas semeadas, além de podar árvores, arbustos ou sebes. Podem operar equipamentos motorizados e dirigir veículos até os locais dos clientes. As tarefas podem incluir colocação de grama em placas, corte de grama, rega de plantas e gramados, transplante de plantas, fertilização, escavação, rastelagem e instalação de aspersores. Os funcionários cavarão valas com no máximo 15 a 30 cm de profundidade e 15 a 30 cm de largura com pás e ferramentas manuais. Essas valas são usadas para acomodar a tubulação utilizada na instalação de sistemas de irrigação. Toda a poda/aparamento será feita no solo. Os trabalhadores não realizarão nenhuma atividade de poda ou corte acima do nível do solo. O trabalhador poderá transportar outros trabalhadores de e para os locais de trabalho ocasionalmente, porém essa não será sua principal função. Os trabalhadores poderão operar equipamentos motorizados de jardinagem, incluindo cortadores de grama, aparadores de borda, sopradores, roçadeiras, roçadeiras de jardim, pequenos tratores e equipamentos similares. Os trabalhadores poderão dirigir caminhonetes e veículos leves similares da empresa de e para os locais de trabalho dos clientes. Os trabalhadores poderão ocasionalmente transportar outros trabalhadores de e para os locais de trabalho; no entanto, o transporte de trabalhadores não é uma função principal. Os trabalhadores também poderão ocasionalmente transportar materiais, ferramentas e equipamentos de jardinagem de e para os locais de trabalho, incluindo cobertura morta, plantas em vasos, pás, ancinhos, cortadores de grama, sopradores e roçadeiras de jardim. Nenhum material perigoso será transportado pelos trabalhadores. Todos os veículos e equipamentos operados têm peso bruto total inferior a 26.000 libras (aproximadamente 11.800 kg), incluindo quaisquer reboques acoplados ou materiais transportados. Classificação da Função: 37-3011.00 - Trabalhadores de Paisagismo e Manutenção de Jardins. A classificação e descrição da função/setor inclui informações gerais sobre o cargo, de acordo com o ONET/OES e o Sistema de Classificação Industrial da América do Norte (NAICS). Consulte as Funções e a Ordem de Serviço para obter mais informações. Requisitos da Função Experiência Necessária: Sim Meses de Experiência Necessários: 3 Requisitos Especiais: Capacidade de levantar 23 kg, realizar movimentos repetitivos, empurrar/puxar com frequência, caminhar bastante, agachar-se frequentemente e estar exposto a temperaturas extremas. 3 meses de experiência são necessários. Número de Horas por Semana: 40 Horário de Trabalho (Início/Término): 7h às 16h</v>
      </c>
    </row>
    <row r="381" ht="20.25" customHeight="1">
      <c r="A381" s="8" t="s">
        <v>2033</v>
      </c>
      <c r="B381" s="8" t="s">
        <v>2034</v>
      </c>
      <c r="C381" s="8" t="s">
        <v>125</v>
      </c>
      <c r="D381" s="8" t="s">
        <v>18</v>
      </c>
      <c r="E381" s="9" t="s">
        <v>44</v>
      </c>
      <c r="F381" s="9" t="s">
        <v>20</v>
      </c>
      <c r="G381" s="9" t="s">
        <v>307</v>
      </c>
      <c r="H381" s="8" t="s">
        <v>2035</v>
      </c>
      <c r="I381" s="8" t="s">
        <v>2036</v>
      </c>
      <c r="J381" s="9">
        <v>18.09</v>
      </c>
      <c r="K381" s="9">
        <v>13.0</v>
      </c>
      <c r="L381" s="8" t="s">
        <v>129</v>
      </c>
      <c r="M381" s="8" t="s">
        <v>2037</v>
      </c>
      <c r="N381" s="7" t="str">
        <f>IFERROR(__xludf.DUMMYFUNCTION("GOOGLETRANSLATE(L381, ""en"", ""pt"")"),"Trabalhador de paisagismo e manutenção de jardins")</f>
        <v>Trabalhador de paisagismo e manutenção de jardins</v>
      </c>
      <c r="O381" s="7" t="str">
        <f>IFERROR(__xludf.DUMMYFUNCTION("IF(M381="""","""",GOOGLETRANSLATE(M381,""en"",""pt""))"),"As funções incluem a instalação de árvores, arbustos ou flores durante o período de dormência, seguindo o padrão de design apropriado. Isso inclui descarregar materiais, cavar buracos para o sistema radicular, cobrir os buracos adequadamente e, às vezes, "&amp;"colocar grama em placas, plantar sementes de grama ou conectar a irrigação. Também envolve a remoção de folhas, plantio de sementes e palha, aeração do gramado, plantio de arbustos, escavação, rastelagem e instalação de blocos de concreto pré-moldados sem"&amp;" argamassa. Os trabalhadores podem coletar e remover lixo, regar gramados, árvores e plantas semeadas, além de podar árvores, arbustos ou sebes. Podem operar equipamentos motorizados e dirigir veículos até os locais dos clientes. As tarefas podem incluir "&amp;"colocação de grama em placas, corte de grama, rega de plantas e gramados, transplante de plantas, fertilização, escavação, rastelagem e instalação de aspersores. Os funcionários cavarão valas com no máximo 15 a 30 cm de profundidade e 15 a 30 cm de largur"&amp;"a com pás e ferramentas manuais. Essas valas são usadas para acomodar a tubulação utilizada na instalação de sistemas de irrigação. Toda a poda/aparamento será feita no solo. Os trabalhadores não realizarão nenhuma atividade de poda ou corte acima do níve"&amp;"l do solo. O trabalhador poderá transportar outros trabalhadores de e para os locais de trabalho ocasionalmente, porém essa não será sua principal função. Os trabalhadores poderão operar equipamentos motorizados de jardinagem, incluindo cortadores de gram"&amp;"a, aparadores de borda, sopradores, roçadeiras, roçadeiras de jardim, pequenos tratores e equipamentos similares. Os trabalhadores poderão dirigir caminhonetes e veículos leves similares da empresa de e para os locais de trabalho dos clientes. Os trabalha"&amp;"dores poderão ocasionalmente transportar outros trabalhadores de e para os locais de trabalho; no entanto, o transporte de trabalhadores não é uma função principal. Os trabalhadores também poderão ocasionalmente transportar materiais, ferramentas e equipa"&amp;"mentos de jardinagem de e para os locais de trabalho, incluindo cobertura morta, plantas em vasos, pás, ancinhos, cortadores de grama, sopradores e roçadeiras de jardim. Nenhum material perigoso será transportado pelos trabalhadores. Todos os veículos e e"&amp;"quipamentos operados têm peso bruto total inferior a 26.000 libras (aproximadamente 11.800 kg), incluindo quaisquer reboques acoplados ou materiais transportados. Classificação da Função: 37-3011.00 - Trabalhadores de Paisagismo e Manutenção de Jardins. A"&amp;" classificação e descrição da função/setor inclui informações gerais sobre o cargo, de acordo com o ONET/OES e o Sistema de Classificação Industrial da América do Norte (NAICS). Consulte as Funções e a Ordem de Serviço para obter mais informações. Requisi"&amp;"tos da Função Experiência Necessária: Não. Requisitos Especiais: Capacidade de levantar 23 kg, realizar movimentos repetitivos, empurrar/puxar com frequência, caminhar bastante, agachar-se frequentemente e estar exposto a temperaturas extremas. Número de "&amp;"Horas por Semana: 40. Horário de Trabalho (Início/Término): 7h às 16h.")</f>
        <v>As funções incluem a instalação de árvores, arbustos ou flores durante o período de dormência, seguindo o padrão de design apropriado. Isso inclui descarregar materiais, cavar buracos para o sistema radicular, cobrir os buracos adequadamente e, às vezes, colocar grama em placas, plantar sementes de grama ou conectar a irrigação. Também envolve a remoção de folhas, plantio de sementes e palha, aeração do gramado, plantio de arbustos, escavação, rastelagem e instalação de blocos de concreto pré-moldados sem argamassa. Os trabalhadores podem coletar e remover lixo, regar gramados, árvores e plantas semeadas, além de podar árvores, arbustos ou sebes. Podem operar equipamentos motorizados e dirigir veículos até os locais dos clientes. As tarefas podem incluir colocação de grama em placas, corte de grama, rega de plantas e gramados, transplante de plantas, fertilização, escavação, rastelagem e instalação de aspersores. Os funcionários cavarão valas com no máximo 15 a 30 cm de profundidade e 15 a 30 cm de largura com pás e ferramentas manuais. Essas valas são usadas para acomodar a tubulação utilizada na instalação de sistemas de irrigação. Toda a poda/aparamento será feita no solo. Os trabalhadores não realizarão nenhuma atividade de poda ou corte acima do nível do solo. O trabalhador poderá transportar outros trabalhadores de e para os locais de trabalho ocasionalmente, porém essa não será sua principal função. Os trabalhadores poderão operar equipamentos motorizados de jardinagem, incluindo cortadores de grama, aparadores de borda, sopradores, roçadeiras, roçadeiras de jardim, pequenos tratores e equipamentos similares. Os trabalhadores poderão dirigir caminhonetes e veículos leves similares da empresa de e para os locais de trabalho dos clientes. Os trabalhadores poderão ocasionalmente transportar outros trabalhadores de e para os locais de trabalho; no entanto, o transporte de trabalhadores não é uma função principal. Os trabalhadores também poderão ocasionalmente transportar materiais, ferramentas e equipamentos de jardinagem de e para os locais de trabalho, incluindo cobertura morta, plantas em vasos, pás, ancinhos, cortadores de grama, sopradores e roçadeiras de jardim. Nenhum material perigoso será transportado pelos trabalhadores. Todos os veículos e equipamentos operados têm peso bruto total inferior a 26.000 libras (aproximadamente 11.800 kg), incluindo quaisquer reboques acoplados ou materiais transportados. Classificação da Função: 37-3011.00 - Trabalhadores de Paisagismo e Manutenção de Jardins. A classificação e descrição da função/setor inclui informações gerais sobre o cargo, de acordo com o ONET/OES e o Sistema de Classificação Industrial da América do Norte (NAICS). Consulte as Funções e a Ordem de Serviço para obter mais informações. Requisitos da Função Experiência Necessária: Não. Requisitos Especiais: Capacidade de levantar 23 kg, realizar movimentos repetitivos, empurrar/puxar com frequência, caminhar bastante, agachar-se frequentemente e estar exposto a temperaturas extremas. Número de Horas por Semana: 40. Horário de Trabalho (Início/Término): 7h às 16h.</v>
      </c>
    </row>
    <row r="382" ht="20.25" customHeight="1">
      <c r="A382" s="3" t="s">
        <v>2038</v>
      </c>
      <c r="B382" s="3" t="s">
        <v>2039</v>
      </c>
      <c r="C382" s="3" t="s">
        <v>169</v>
      </c>
      <c r="D382" s="3" t="s">
        <v>109</v>
      </c>
      <c r="E382" s="4" t="s">
        <v>19</v>
      </c>
      <c r="F382" s="4" t="s">
        <v>20</v>
      </c>
      <c r="G382" s="4" t="s">
        <v>2040</v>
      </c>
      <c r="H382" s="3" t="s">
        <v>2041</v>
      </c>
      <c r="I382" s="3" t="s">
        <v>2042</v>
      </c>
      <c r="J382" s="4">
        <v>19.69</v>
      </c>
      <c r="K382" s="4">
        <v>10.0</v>
      </c>
      <c r="L382" s="3" t="s">
        <v>2043</v>
      </c>
      <c r="M382" s="3" t="s">
        <v>2044</v>
      </c>
      <c r="N382" s="7" t="str">
        <f>IFERROR(__xludf.DUMMYFUNCTION("GOOGLETRANSLATE(L382, ""en"", ""pt"")"),"Especialista Líder em Manutenção/Plantas Externas")</f>
        <v>Especialista Líder em Manutenção/Plantas Externas</v>
      </c>
      <c r="O382" s="7" t="str">
        <f>IFERROR(__xludf.DUMMYFUNCTION("IF(M382="""","""",GOOGLETRANSLATE(M382,""en"",""pt""))"),"Paisagismo e manutenção de terrenos utilizando ferramentas manuais ou elétricas. Os trabalhadores geralmente executam uma variedade de tarefas, que podem incluir qualquer combinação das seguintes: colocação de grama, corte de grama, poda, plantio, irrigaç"&amp;"ão, fertilização, escavação, rastelagem e auxílio na instalação de blocos de concreto pré-moldados sem argamassa. Devem exercer julgamento independente; podem ser solicitados a demonstrar tarefas a outros funcionários, mas a função não inclui a supervisão"&amp;" de outros trabalhadores. Devem garantir que as ferramentas e equipamentos sejam transportados com segurança e contabilizados entre os locais de trabalho. Classificação da função: 37-3011.00 - Trabalhadores de Paisagismo e Manutenção de Terrenos. A classi"&amp;"ficação e descrição da função/setor incluem informações gerais sobre o cargo, de acordo com o ONET/OES e o Sistema de Classificação Industrial da América do Norte. Consulte as Funções e a Ordem de Serviço para obter mais informações. Requisitos da função:"&amp;" Experiência necessária: Sim. Meses de experiência necessários: 3. Requisitos especiais: Requer três meses de experiência prévia em paisagismo. Deve ser capaz de levantar/carregar 23 kg, quando necessário. Trabalho aos sábados e domingos, quando necessári"&amp;"o. Exame toxicológico pós-contratação e pós-acidente obrigatório para trabalhadores estrangeiros e nacionais. É necessário possuir ou ser capaz de obter carteira de habilitação americana em até 30 dias após a contratação. O empregador poderá oferecer uma "&amp;"jornada de trabalho superior à estipulada, dependendo das condições climáticas, necessidades da empresa e outros fatores. Calor extremo, frio intenso, chuva ou seca podem afetar o horário de trabalho exato. Número de horas por semana: 40. Horário de traba"&amp;"lho (início/término): 7h às 15h30.")</f>
        <v>Paisagismo e manutenção de terrenos utilizando ferramentas manuais ou elétricas. Os trabalhadores geralmente executam uma variedade de tarefas, que podem incluir qualquer combinação das seguintes: colocação de grama, corte de grama, poda, plantio, irrigação, fertilização, escavação, rastelagem e auxílio na instalação de blocos de concreto pré-moldados sem argamassa. Devem exercer julgamento independente; podem ser solicitados a demonstrar tarefas a outros funcionários, mas a função não inclui a supervisão de outros trabalhadores. Devem garantir que as ferramentas e equipamentos sejam transportados com segurança e contabilizados entre os locais de trabalho. Classificação da função: 37-3011.00 - Trabalhadores de Paisagismo e Manutenção de Terrenos. A classificação e descrição da função/setor incluem informações gerais sobre o cargo, de acordo com o ONET/OES e o Sistema de Classificação Industrial da América do Norte. Consulte as Funções e a Ordem de Serviço para obter mais informações. Requisitos da função: Experiência necessária: Sim. Meses de experiência necessários: 3. Requisitos especiais: Requer três meses de experiência prévia em paisagismo. Deve ser capaz de levantar/carregar 23 kg, quando necessário. Trabalho aos sábados e domingos, quando necessário. Exame toxicológico pós-contratação e pós-acidente obrigatório para trabalhadores estrangeiros e nacionais. É necessário possuir ou ser capaz de obter carteira de habilitação americana em até 30 dias após a contratação. O empregador poderá oferecer uma jornada de trabalho superior à estipulada, dependendo das condições climáticas, necessidades da empresa e outros fatores. Calor extremo, frio intenso, chuva ou seca podem afetar o horário de trabalho exato. Número de horas por semana: 40. Horário de trabalho (início/término): 7h às 15h30.</v>
      </c>
    </row>
    <row r="383" ht="20.25" customHeight="1">
      <c r="A383" s="8" t="s">
        <v>2045</v>
      </c>
      <c r="B383" s="8" t="s">
        <v>2046</v>
      </c>
      <c r="C383" s="8" t="s">
        <v>125</v>
      </c>
      <c r="D383" s="8" t="s">
        <v>18</v>
      </c>
      <c r="E383" s="9" t="s">
        <v>19</v>
      </c>
      <c r="F383" s="9" t="s">
        <v>20</v>
      </c>
      <c r="G383" s="9" t="s">
        <v>56</v>
      </c>
      <c r="H383" s="8" t="s">
        <v>2047</v>
      </c>
      <c r="I383" s="8" t="s">
        <v>2048</v>
      </c>
      <c r="J383" s="9">
        <v>17.55</v>
      </c>
      <c r="K383" s="9">
        <v>10.0</v>
      </c>
      <c r="L383" s="8" t="s">
        <v>676</v>
      </c>
      <c r="M383" s="8" t="s">
        <v>2049</v>
      </c>
      <c r="N383" s="7" t="str">
        <f>IFERROR(__xludf.DUMMYFUNCTION("GOOGLETRANSLATE(L383, ""en"", ""pt"")"),"Trabalhadores de paisagismo e manutenção de jardins")</f>
        <v>Trabalhadores de paisagismo e manutenção de jardins</v>
      </c>
      <c r="O383" s="7" t="str">
        <f>IFERROR(__xludf.DUMMYFUNCTION("IF(M383="""","""",GOOGLETRANSLATE(M383,""en"",""pt""))"),"As funções incluem a instalação de árvores, arbustos ou flores durante o período de dormência, seguindo o padrão de design apropriado. Isso inclui descarregar materiais, cavar buracos para o sistema radicular, cobrir os buracos adequadamente e, às vezes, "&amp;"colocar grama em placas, plantar sementes de grama ou conectar a irrigação. Também envolve a remoção de folhas, plantio de sementes e palha, aeração do gramado, plantio de arbustos, escavação, rastelagem e instalação de blocos de concreto pré-moldados sem"&amp;" argamassa. Os trabalhadores podem coletar e remover lixo, regar gramados, árvores e plantas semeadas, além de podar árvores, arbustos ou sebes. Podem operar equipamentos motorizados e dirigir veículos até os locais dos clientes. As tarefas podem incluir "&amp;"colocação de grama em placas, corte de grama, rega de plantas e gramados, transplante de plantas, fertilização, escavação, rastelagem e instalação de aspersores. Os funcionários cavarão valas com no máximo 15 a 30 cm de profundidade e 15 a 30 cm de largur"&amp;"a com pás e ferramentas manuais. Essas valas são usadas para acomodar a tubulação utilizada na instalação de sistemas de irrigação. Toda a poda/aparamento será feita no solo. Os trabalhadores não realizarão nenhuma atividade de poda ou corte acima do níve"&amp;"l do solo. O trabalhador poderá transportar outros trabalhadores de e para os locais de trabalho ocasionalmente, porém essa não será sua principal função. Os trabalhadores poderão operar equipamentos motorizados de jardinagem, incluindo cortadores de gram"&amp;"a, aparadores de borda, sopradores, roçadeiras, roçadeiras de jardim, tratores pequenos e equipamentos similares. Os trabalhadores poderão dirigir veículos da empresa, incluindo Isuzu NPR, van Ford E350, Ford F450, Honda Odyssey, Toyota Tundra e caminhone"&amp;"tes Chevy 3500, de e para os locais de trabalho dos clientes. Os trabalhadores poderão ocasionalmente transportar outros trabalhadores de e para os locais de trabalho; no entanto, o transporte de trabalhadores não é uma função principal. Os trabalhadores "&amp;"também poderão ocasionalmente transportar materiais, ferramentas e equipamentos de jardinagem de e para os locais de trabalho, incluindo cobertura morta, vasos de plantas, pás, ancinhos, cortadores de grama, sopradores e roçadeiras de jardim. Nenhum mater"&amp;"ial perigoso será transportado pelos trabalhadores. Todos os veículos e equipamentos operados têm peso bruto total (PBT) inferior a 26.000 libras (aproximadamente 11.793 kg), incluindo quaisquer reboques acoplados ou materiais transportados. Classificação"&amp;" da função: 37-3011.00 - Trabalhadores de Paisagismo e Manutenção de Áreas Verdes. A classificação e descrição da função/setor incluem informações gerais sobre o cargo, de acordo com o ONET/OES e o Sistema de Classificação Industrial da América do Norte ("&amp;"NAICS). Consulte as Funções e a Ordem de Serviço para obter mais informações. Requisitos da função: Experiência necessária: Não. Requisitos especiais: Capacidade de levantar 23 kg, realizar movimentos repetitivos, empurrar/puxar com frequência, caminhar b"&amp;"astante, agachar-se frequentemente e estar exposto a temperaturas extremas. Número de horas por semana: 40. Horário de trabalho (início/término): 7h às 16h.")</f>
        <v>As funções incluem a instalação de árvores, arbustos ou flores durante o período de dormência, seguindo o padrão de design apropriado. Isso inclui descarregar materiais, cavar buracos para o sistema radicular, cobrir os buracos adequadamente e, às vezes, colocar grama em placas, plantar sementes de grama ou conectar a irrigação. Também envolve a remoção de folhas, plantio de sementes e palha, aeração do gramado, plantio de arbustos, escavação, rastelagem e instalação de blocos de concreto pré-moldados sem argamassa. Os trabalhadores podem coletar e remover lixo, regar gramados, árvores e plantas semeadas, além de podar árvores, arbustos ou sebes. Podem operar equipamentos motorizados e dirigir veículos até os locais dos clientes. As tarefas podem incluir colocação de grama em placas, corte de grama, rega de plantas e gramados, transplante de plantas, fertilização, escavação, rastelagem e instalação de aspersores. Os funcionários cavarão valas com no máximo 15 a 30 cm de profundidade e 15 a 30 cm de largura com pás e ferramentas manuais. Essas valas são usadas para acomodar a tubulação utilizada na instalação de sistemas de irrigação. Toda a poda/aparamento será feita no solo. Os trabalhadores não realizarão nenhuma atividade de poda ou corte acima do nível do solo. O trabalhador poderá transportar outros trabalhadores de e para os locais de trabalho ocasionalmente, porém essa não será sua principal função. Os trabalhadores poderão operar equipamentos motorizados de jardinagem, incluindo cortadores de grama, aparadores de borda, sopradores, roçadeiras, roçadeiras de jardim, tratores pequenos e equipamentos similares. Os trabalhadores poderão dirigir veículos da empresa, incluindo Isuzu NPR, van Ford E350, Ford F450, Honda Odyssey, Toyota Tundra e caminhonetes Chevy 3500, de e para os locais de trabalho dos clientes. Os trabalhadores poderão ocasionalmente transportar outros trabalhadores de e para os locais de trabalho; no entanto, o transporte de trabalhadores não é uma função principal. Os trabalhadores também poderão ocasionalmente transportar materiais, ferramentas e equipamentos de jardinagem de e para os locais de trabalho, incluindo cobertura morta, vasos de plantas, pás, ancinhos, cortadores de grama, sopradores e roçadeiras de jardim. Nenhum material perigoso será transportado pelos trabalhadores. Todos os veículos e equipamentos operados têm peso bruto total (PBT) inferior a 26.000 libras (aproximadamente 11.793 kg), incluindo quaisquer reboques acoplados ou materiais transportados. Classificação da função: 37-3011.00 - Trabalhadores de Paisagismo e Manutenção de Áreas Verdes. A classificação e descrição da função/setor incluem informações gerais sobre o cargo, de acordo com o ONET/OES e o Sistema de Classificação Industrial da América do Norte (NAICS). Consulte as Funções e a Ordem de Serviço para obter mais informações. Requisitos da função: Experiência necessária: Não. Requisitos especiais: Capacidade de levantar 23 kg, realizar movimentos repetitivos, empurrar/puxar com frequência, caminhar bastante, agachar-se frequentemente e estar exposto a temperaturas extremas. Número de horas por semana: 40. Horário de trabalho (início/término): 7h às 16h.</v>
      </c>
    </row>
    <row r="384" ht="20.25" customHeight="1">
      <c r="A384" s="3" t="s">
        <v>2050</v>
      </c>
      <c r="B384" s="3" t="s">
        <v>2051</v>
      </c>
      <c r="C384" s="3" t="s">
        <v>93</v>
      </c>
      <c r="D384" s="3" t="s">
        <v>992</v>
      </c>
      <c r="E384" s="4" t="s">
        <v>19</v>
      </c>
      <c r="F384" s="4" t="s">
        <v>20</v>
      </c>
      <c r="G384" s="4" t="s">
        <v>307</v>
      </c>
      <c r="H384" s="3" t="s">
        <v>2052</v>
      </c>
      <c r="I384" s="3" t="s">
        <v>1014</v>
      </c>
      <c r="J384" s="4">
        <v>21.91</v>
      </c>
      <c r="K384" s="4">
        <v>5.0</v>
      </c>
      <c r="L384" s="3" t="s">
        <v>59</v>
      </c>
      <c r="M384" s="3" t="s">
        <v>2053</v>
      </c>
      <c r="N384" s="7" t="str">
        <f>IFERROR(__xludf.DUMMYFUNCTION("GOOGLETRANSLATE(L384, ""en"", ""pt"")"),"Trabalhador de paisagismo")</f>
        <v>Trabalhador de paisagismo</v>
      </c>
      <c r="O384" s="7" t="str">
        <f>IFERROR(__xludf.DUMMYFUNCTION("IF(M384="""","""",GOOGLETRANSLATE(M384,""en"",""pt""))"),"Paisagismo e manutenção de terrenos utilizando ferramentas manuais/elétricas ou equipamentos como cortadores de grama, aparadores de borda e sopradores. As atividades podem incluir qualquer combinação das seguintes: cavar, plantar, cultivar, rastelar, apl"&amp;"icar cobertura morta, aparar, capinar, cortar grama, podar, semear, colocar grama em placas e pulverizar. Carregar/descarregar/mover árvores, arbustos e materiais de paisagismo; remover detritos; manter e limpar equipamentos/ferramentas quando não estiver"&amp;"em em uso. Classificação da função: 37-3011.00 - Trabalhadores de Paisagismo e Manutenção de Terrenos. A classificação e descrição da função/setor inclui informações gerais sobre o cargo, de acordo com o ONET/OES e o Sistema de Classificação Industrial da"&amp;" América do Norte. Consulte as Funções e a Ordem de Serviço para obter mais informações. Requisitos da vaga: Experiência necessária: Não. Requisitos especiais: Deve ser capaz de levantar/carregar 23 kg, quando necessário. Trabalho aos sábados e domingos, "&amp;"quando necessário. O empregador pode oferecer mais horas de trabalho do que as estipuladas, dependendo do clima, das necessidades da empresa e de outras condições. Calor extremo, frio, chuva ou seca podem afetar o horário de trabalho exato. Número de hora"&amp;"s por semana: 40 Horário de trabalho (início/término): 7h00 - 15h30")</f>
        <v>Paisagismo e manutenção de terrenos utilizando ferramentas manuais/elétricas ou equipamentos como cortadores de grama, aparadores de borda e sopradores. As atividades podem incluir qualquer combinação das seguintes: cavar, plantar, cultivar, rastelar, aplicar cobertura morta, aparar, capinar, cortar grama, podar, semear, colocar grama em placas e pulverizar. Carregar/descarregar/mover árvores, arbustos e materiais de paisagismo; remover detritos; manter e limpar equipamentos/ferramentas quando não estiverem em uso. Classificação da função: 37-3011.00 - Trabalhadores de Paisagismo e Manutenção de Terrenos. A classificação e descrição da função/setor inclui informações gerais sobre o cargo, de acordo com o ONET/OES e o Sistema de Classificação Industrial da América do Norte. Consulte as Funções e a Ordem de Serviço para obter mais informações. Requisitos da vaga: Experiência necessária: Não. Requisitos especiais: Deve ser capaz de levantar/carregar 23 kg, quando necessário. Trabalho aos sábados e domingos, quando necessário. O empregador pode oferecer mais horas de trabalho do que as estipuladas, dependendo do clima, das necessidades da empresa e de outras condições. Calor extremo, frio, chuva ou seca podem afetar o horário de trabalho exato. Número de horas por semana: 40 Horário de trabalho (início/término): 7h00 - 15h30</v>
      </c>
    </row>
    <row r="385" ht="20.25" customHeight="1">
      <c r="A385" s="8" t="s">
        <v>2054</v>
      </c>
      <c r="B385" s="8" t="s">
        <v>2055</v>
      </c>
      <c r="C385" s="8" t="s">
        <v>93</v>
      </c>
      <c r="D385" s="8" t="s">
        <v>306</v>
      </c>
      <c r="E385" s="9" t="s">
        <v>19</v>
      </c>
      <c r="F385" s="9" t="s">
        <v>20</v>
      </c>
      <c r="G385" s="9" t="s">
        <v>56</v>
      </c>
      <c r="H385" s="8" t="s">
        <v>2056</v>
      </c>
      <c r="I385" s="8" t="s">
        <v>2057</v>
      </c>
      <c r="J385" s="9">
        <v>19.93</v>
      </c>
      <c r="K385" s="9">
        <v>3.0</v>
      </c>
      <c r="L385" s="8" t="s">
        <v>59</v>
      </c>
      <c r="M385" s="8" t="s">
        <v>2058</v>
      </c>
      <c r="N385" s="7" t="str">
        <f>IFERROR(__xludf.DUMMYFUNCTION("GOOGLETRANSLATE(L385, ""en"", ""pt"")"),"Trabalhador de paisagismo")</f>
        <v>Trabalhador de paisagismo</v>
      </c>
      <c r="O385" s="7" t="str">
        <f>IFERROR(__xludf.DUMMYFUNCTION("IF(M385="""","""",GOOGLETRANSLATE(M385,""en"",""pt""))"),"Paisagismo e manutenção de terrenos utilizando ferramentas manuais ou elétricas, incluindo cortadores de grama manuais, cortadores de grama autopropelidos e equipamentos mecânicos de aparar bordas. Os trabalhadores geralmente executam uma variedade de tar"&amp;"efas, que podem incluir qualquer combinação das seguintes: remoção e limpeza de folhas, cobertura morta, colocação de grama em placas, corte de grama, poda, plantio, rega, fertilização, escavação, rastelagem e auxílio na instalação de blocos de concreto p"&amp;"ré-moldado sem argamassa. Classificação da função: 37-3011.00 - Trabalhadores de Paisagismo e Manutenção de Terrenos. A classificação e descrição da função/setor incluem informações gerais sobre o cargo, de acordo com o ONET/OES e o Sistema de Classificaç"&amp;"ão Industrial da América do Norte (NAICS). Consulte as Funções e a Ordem de Serviço para obter mais informações. Requisitos da vaga: Experiência necessária: Não. Requisitos especiais: Deve ser capaz de levantar/carregar 23 kg, quando necessário. Trabalho "&amp;"aos sábados e domingos, quando necessário. O empregador pode oferecer mais horas de trabalho do que as estipuladas, dependendo do clima, das necessidades da empresa e de outras condições. Calor extremo, frio, chuva ou seca podem afetar o horário de trabal"&amp;"ho exato. Número de horas por semana: 40. Horário de trabalho (início/término): 8h às 17h.")</f>
        <v>Paisagismo e manutenção de terrenos utilizando ferramentas manuais ou elétricas, incluindo cortadores de grama manuais, cortadores de grama autopropelidos e equipamentos mecânicos de aparar bordas. Os trabalhadores geralmente executam uma variedade de tarefas, que podem incluir qualquer combinação das seguintes: remoção e limpeza de folhas, cobertura morta, colocação de grama em placas, corte de grama, poda, plantio, rega, fertilização, escavação, rastelagem e auxílio na instalação de blocos de concreto pré-moldado sem argamassa. Classificação da função: 37-3011.00 - Trabalhadores de Paisagismo e Manutenção de Terrenos. A classificação e descrição da função/setor incluem informações gerais sobre o cargo, de acordo com o ONET/OES e o Sistema de Classificação Industrial da América do Norte (NAICS). Consulte as Funções e a Ordem de Serviço para obter mais informações. Requisitos da vaga: Experiência necessária: Não. Requisitos especiais: Deve ser capaz de levantar/carregar 23 kg, quando necessário. Trabalho aos sábados e domingos, quando necessário. O empregador pode oferecer mais horas de trabalho do que as estipuladas, dependendo do clima, das necessidades da empresa e de outras condições. Calor extremo, frio, chuva ou seca podem afetar o horário de trabalho exato. Número de horas por semana: 40. Horário de trabalho (início/término): 8h às 17h.</v>
      </c>
    </row>
    <row r="386" ht="20.25" customHeight="1">
      <c r="A386" s="3" t="s">
        <v>2059</v>
      </c>
      <c r="B386" s="3" t="s">
        <v>2060</v>
      </c>
      <c r="C386" s="3" t="s">
        <v>54</v>
      </c>
      <c r="D386" s="3" t="s">
        <v>36</v>
      </c>
      <c r="E386" s="4" t="s">
        <v>44</v>
      </c>
      <c r="F386" s="4" t="s">
        <v>20</v>
      </c>
      <c r="G386" s="4" t="s">
        <v>229</v>
      </c>
      <c r="H386" s="3" t="s">
        <v>2061</v>
      </c>
      <c r="I386" s="3" t="s">
        <v>2062</v>
      </c>
      <c r="J386" s="4">
        <v>18.09</v>
      </c>
      <c r="K386" s="4">
        <v>12.0</v>
      </c>
      <c r="L386" s="3" t="s">
        <v>1490</v>
      </c>
      <c r="M386" s="3" t="s">
        <v>2063</v>
      </c>
      <c r="N386" s="7" t="str">
        <f>IFERROR(__xludf.DUMMYFUNCTION("GOOGLETRANSLATE(L386, ""en"", ""pt"")"),"Zelador")</f>
        <v>Zelador</v>
      </c>
      <c r="O386" s="7" t="str">
        <f>IFERROR(__xludf.DUMMYFUNCTION("IF(M386="""","""",GOOGLETRANSLATE(M386,""en"",""pt""))"),"As funções podem incluir: manutenção de terrenos de propriedades industriais/comerciais/públicas: ao longo de estradas, parques e áreas de lazer. Cortar grama usando cortadores de grama manuais ou motorizados, aparar arbustos e árvores para dar forma e me"&amp;"lhorar o crescimento. Recolher e remover lixo. Utilizar aparadores de cerca viva, tesouras de poda, ferramentas de acabamento, tratores com roçadeiras, roçadeiras manuais, cortadores de grama e outras atividades relacionadas à manutenção de áreas verdes, "&amp;"conforme SOC/OES 37-3011 (onetonline.org). Horário padrão/esperado: segunda a sexta, das 7h às 17h. Oferecemos mais de 40 horas semanais, sem incluir almoço e/ou intervalos. Possibilidade de trabalho nos fins de semana e feriados. Os horários de início e "&amp;"término, a carga horária e/ou horas extras podem variar, pois dependem de fatores como projetos/cronograma/necessidades do serviço, condições climáticas e tempo de deslocamento entre os locais de trabalho (se aplicável). Horas extras são possíveis, mas nã"&amp;"o obrigatórias nem garantidas. A critério exclusivo do empregador: possíveis aumentos e/ou bônus com base em fatores individuais, como desempenho no trabalho ou habilidades (não garantidos). Moradia compartilhada opcional disponível sem custo para o traba"&amp;"lhador. Classificação do Cargo: 37-3011.00 - Trabalhadores de Paisagismo e Manutenção de Jardins. A classificação e descrição do cargo/setor incluem informações gerais sobre a posição, de acordo com o ONET/OES e o Sistema de Classificação Industrial da Am"&amp;"érica do Norte. Consulte as Funções e a Ordem de Serviço para obter mais informações. Requisitos do Cargo Experiência Necessária: Não. Requisitos Especiais: É necessário ter 18 anos devido ao seguro. É necessário apresentar comprovante de autorização lega"&amp;"l para trabalhar nos Estados Unidos. Ambiente de trabalho livre de drogas, álcool e tabaco. Executar atividades físicas, como levantar, equilibrar-se, caminhar, abaixar-se, manusear, posicionar, mover e manipular materiais; usar força estática para exerce"&amp;"r força muscular máxima para levantar, empurrar, puxar e carregar objetos de até 23 kg. Todos os candidatos devem ser capazes, estar dispostos e qualificados para executar o trabalho descrito e devem estar disponíveis durante todo o período especificado e"&amp;" trabalhar em todas as áreas do emprego pretendido. A critério do empregador/custo: O trabalhador poderá ser submetido a testes aleatórios de drogas/álcool durante o emprego: teste positivo/recusa em cumprir o teste = demissão. O trabalho é realizado ao a"&amp;"r livre, exposto às intempéries; o candidato deve ser capaz de realizar trabalho fisicamente extenuante por longos períodos, ocasionalmente em calor ou frio extremos. As condições climáticas são variáveis; a carga horária pode sofrer alterações (+/-), com"&amp;" possibilidade de períodos de inatividade e/ou horas extras. Número de horas por semana: 40. Horário de trabalho (início/término): 7h às 17h.")</f>
        <v>As funções podem incluir: manutenção de terrenos de propriedades industriais/comerciais/públicas: ao longo de estradas, parques e áreas de lazer. Cortar grama usando cortadores de grama manuais ou motorizados, aparar arbustos e árvores para dar forma e melhorar o crescimento. Recolher e remover lixo. Utilizar aparadores de cerca viva, tesouras de poda, ferramentas de acabamento, tratores com roçadeiras, roçadeiras manuais, cortadores de grama e outras atividades relacionadas à manutenção de áreas verdes, conforme SOC/OES 37-3011 (onetonline.org). Horário padrão/esperado: segunda a sexta, das 7h às 17h. Oferecemos mais de 40 horas semanais, sem incluir almoço e/ou intervalos. Possibilidade de trabalho nos fins de semana e feriados. Os horários de início e término, a carga horária e/ou horas extras podem variar, pois dependem de fatores como projetos/cronograma/necessidades do serviço, condições climáticas e tempo de deslocamento entre os locais de trabalho (se aplicável). Horas extras são possíveis, mas não obrigatórias nem garantidas. A critério exclusivo do empregador: possíveis aumentos e/ou bônus com base em fatores individuais, como desempenho no trabalho ou habilidades (não garantidos). Moradia compartilhada opcional disponível sem custo para o trabalhador. Classificação do Cargo: 37-3011.00 - Trabalhadores de Paisagismo e Manutenção de Jardins. A classificação e descrição do cargo/setor incluem informações gerais sobre a posição, de acordo com o ONET/OES e o Sistema de Classificação Industrial da América do Norte. Consulte as Funções e a Ordem de Serviço para obter mais informações. Requisitos do Cargo Experiência Necessária: Não. Requisitos Especiais: É necessário ter 18 anos devido ao seguro. É necessário apresentar comprovante de autorização legal para trabalhar nos Estados Unidos. Ambiente de trabalho livre de drogas, álcool e tabaco. Executar atividades físicas, como levantar, equilibrar-se, caminhar, abaixar-se, manusear, posicionar, mover e manipular materiais; usar força estática para exercer força muscular máxima para levantar, empurrar, puxar e carregar objetos de até 23 kg. Todos os candidatos devem ser capazes, estar dispostos e qualificados para executar o trabalho descrito e devem estar disponíveis durante todo o período especificado e trabalhar em todas as áreas do emprego pretendido. A critério do empregador/custo: O trabalhador poderá ser submetido a testes aleatórios de drogas/álcool durante o emprego: teste positivo/recusa em cumprir o teste = demissão. O trabalho é realizado ao ar livre, exposto às intempéries; o candidato deve ser capaz de realizar trabalho fisicamente extenuante por longos períodos, ocasionalmente em calor ou frio extremos. As condições climáticas são variáveis; a carga horária pode sofrer alterações (+/-), com possibilidade de períodos de inatividade e/ou horas extras. Número de horas por semana: 40. Horário de trabalho (início/término): 7h às 17h.</v>
      </c>
    </row>
    <row r="387" ht="20.25" customHeight="1">
      <c r="A387" s="8" t="s">
        <v>2064</v>
      </c>
      <c r="B387" s="8" t="s">
        <v>570</v>
      </c>
      <c r="C387" s="8"/>
      <c r="D387" s="8" t="s">
        <v>51</v>
      </c>
      <c r="E387" s="9" t="s">
        <v>19</v>
      </c>
      <c r="F387" s="9" t="s">
        <v>20</v>
      </c>
      <c r="G387" s="9" t="s">
        <v>146</v>
      </c>
      <c r="H387" s="8" t="s">
        <v>1618</v>
      </c>
      <c r="I387" s="8" t="s">
        <v>1366</v>
      </c>
      <c r="J387" s="9">
        <v>19.88</v>
      </c>
      <c r="K387" s="9">
        <v>12.0</v>
      </c>
      <c r="L387" s="8" t="s">
        <v>1615</v>
      </c>
      <c r="M387" s="8" t="s">
        <v>1616</v>
      </c>
      <c r="N387" s="7" t="str">
        <f>IFERROR(__xludf.DUMMYFUNCTION("GOOGLETRANSLATE(L387, ""en"", ""pt"")"),"Limpador de arbustos Ft Temp com responsabilidade de supervisão.")</f>
        <v>Limpador de arbustos Ft Temp com responsabilidade de supervisão.</v>
      </c>
      <c r="O387" s="7" t="str">
        <f>IFERROR(__xludf.DUMMYFUNCTION("IF(M387="""","""",GOOGLETRANSLATE(M387,""en"",""pt""))"),"***Resposta à Solicitação de Informações*** Sob supervisão, o(a) funcionário(a) auxiliará na direção, coordenação, monitoramento e documentação das atividades, além de motivar os colegas. O(a) funcionário(a) coordenará com o(a) supervisor(a) para determin"&amp;"ar os horários de trabalho e atribuir locais de trabalho específicos. O(a) funcionário(a) também verificará o progresso dos trabalhadores/trabalho ao longo do dia, preencherá relatórios diários de campo, ajudará os trabalhadores a lidar com as dificuldade"&amp;"s que possam surgir no campo e auxiliará no manuseio de herbicidas. O(a) funcionário(a) deverá transportar os trabalhadores em veículos da empresa. Também poderá ser necessário transportar materiais, ferramentas e/ou equipamentos específicos para o trabal"&amp;"ho. ***Original*** Sob supervisão, o(a) funcionário(a) auxiliará na direção, coordenação, monitoramento e documentação das atividades, além de motivar os colegas e manusear herbicidas. O(a) funcionário(a) deverá transportar os trabalhadores em veículos da"&amp;" empresa. E.A.4A é um número típico. O número pode variar dependendo do gerente que estiver sendo auxiliado. O dia de trabalho normalmente começará entre 6h e 7h da manhã e será necessário fazer horas extras. O(a) funcionário(a) poderá ser elegível para r"&amp;"eceber um bônus discricionário com base em uma porcentagem da remuneração total ao concluir sua obrigação sazonal. O trabalho e o deslocamento serão realizados em áreas de tamanho variável, de menos de um acre a milhares de acres, conforme regido pelos Pr"&amp;"ocedimentos Especiais Florestais. O trabalhador poderá, ocasionalmente, utilizar pulverizador costal e ferramentas manuais para aplicar herbicida na limpeza de vegetação ou detritos em faixas de servidão de concessionárias de serviços públicos, pastagens,"&amp;" áreas de vida selvagem, acostamentos de estradas, áreas industriais e outras áreas, carregando até 16 kg de equipamento enquanto caminha em terrenos acidentados. As tarefas serão executadas em áreas determinadas por um itinerário, de acordo com as Normas"&amp;" Florestais [GAL I-97 H2B] [FR DOC. E7-12766] [TEGL 27-6] e diversas outras publicações e práticas estabelecidas. Consulte o anexo Resposta CDR P-400-13042-521868 de 14 de novembro de 2013. Classificação do Cargo: 37-1012.00 - Supervisores de Primeira Lin"&amp;"ha de Trabalhadores de Paisagismo, Serviços de Gramado e Manutenção de Áreas Verdes. A classificação e descrição do cargo/setor incluem informações gerais sobre a posição, conforme o ONET/OES e o Sistema de Classificação Industrial da América do Norte (NA"&amp;"ICS). Consulte as Funções e a Ordem de Serviço para obter mais informações. Requisitos do Cargo Experiência Necessária: Sim Meses de Experiência Necessários: 12 Requisitos Especiais: O candidato deve ter 21 anos de idade e disponibilidade para viagens com"&amp;" pernoite por períodos prolongados. O candidato deve ter no mínimo 1 ano de experiência comprovada supervisionando pelo menos 6 trabalhadores de limpeza de vegetação em faixas de domínio de concessionárias de serviços públicos ou áreas florestais, e demon"&amp;"strar competência na identificação de folhagens, manuseio de pesticidas e aplicação de herbicidas em baixa quantidade, de acordo com os padrões do setor. O candidato deve ser capaz de obter uma licença estadual para aplicação de pesticidas nas áreas de tr"&amp;"abalho onde for exigido por regulamentação governamental. O candidato deve possuir um bom histórico de condução e carteira de habilitação, atender a todos os padrões da empresa para motoristas, ser aprovado no teste de direção da empresa, preencher a fich"&amp;"a de inscrição da empresa e poderá ser obrigado a obter um certificado médico do DOT antes de dirigir. Não é necessário treinamento prévio, mas o candidato deverá participar de um treinamento pago pela empresa no local de início das atividades. A Progress"&amp;"ive Solutions mantém um ambiente de trabalho livre de drogas, e os funcionários podem ser submetidos a testes de drogas após a contratação, conforme exigido por contratos governamentais. Número de horas por semana: 50. Horário de trabalho (início/término)"&amp;": 6h30 às 16h.")</f>
        <v>***Resposta à Solicitação de Informações*** Sob supervisão, o(a) funcionário(a) auxiliará na direção, coordenação, monitoramento e documentação das atividades, além de motivar os colegas. O(a) funcionário(a) coordenará com o(a) supervisor(a) para determinar os horários de trabalho e atribuir locais de trabalho específicos. O(a) funcionário(a) também verificará o progresso dos trabalhadores/trabalho ao longo do dia, preencherá relatórios diários de campo, ajudará os trabalhadores a lidar com as dificuldades que possam surgir no campo e auxiliará no manuseio de herbicidas. O(a) funcionário(a) deverá transportar os trabalhadores em veículos da empresa. Também poderá ser necessário transportar materiais, ferramentas e/ou equipamentos específicos para o trabalho. ***Original*** Sob supervisão, o(a) funcionário(a) auxiliará na direção, coordenação, monitoramento e documentação das atividades, além de motivar os colegas e manusear herbicidas. O(a) funcionário(a) deverá transportar os trabalhadores em veículos da empresa. E.A.4A é um número típico. O número pode variar dependendo do gerente que estiver sendo auxiliado. O dia de trabalho normalmente começará entre 6h e 7h da manhã e será necessário fazer horas extras. O(a) funcionário(a) poderá ser elegível para receber um bônus discricionário com base em uma porcentagem da remuneração total ao concluir sua obrigação sazonal. O trabalho e o deslocamento serão realizados em áreas de tamanho variável, de menos de um acre a milhares de acres, conforme regido pelos Procedimentos Especiais Florestais. O trabalhador poderá, ocasionalmente, utilizar pulverizador costal e ferramentas manuais para aplicar herbicida na limpeza de vegetação ou detritos em faixas de servidão de concessionárias de serviços públicos, pastagens, áreas de vida selvagem, acostamentos de estradas, áreas industriais e outras áreas, carregando até 16 kg de equipamento enquanto caminha em terrenos acidentados. As tarefas serão executadas em áreas determinadas por um itinerário, de acordo com as Normas Florestais [GAL I-97 H2B] [FR DOC. E7-12766] [TEGL 27-6] e diversas outras publicações e práticas estabelecidas. Consulte o anexo Resposta CDR P-400-13042-521868 de 14 de novembro de 2013. Classificação do Cargo: 37-1012.00 - Supervisores de Primeira Linha de Trabalhadores de Paisagismo, Serviços de Gramado e Manutenção de Áreas Verdes. A classificação e descrição do cargo/setor incluem informações gerais sobre a posição, conforme o ONET/OES e o Sistema de Classificação Industrial da América do Norte (NAICS). Consulte as Funções e a Ordem de Serviço para obter mais informações. Requisitos do Cargo Experiência Necessária: Sim Meses de Experiência Necessários: 12 Requisitos Especiais: O candidato deve ter 21 anos de idade e disponibilidade para viagens com pernoite por períodos prolongados. O candidato deve ter no mínimo 1 ano de experiência comprovada supervisionando pelo menos 6 trabalhadores de limpeza de vegetação em faixas de domínio de concessionárias de serviços públicos ou áreas florestais, e demonstrar competência na identificação de folhagens, manuseio de pesticidas e aplicação de herbicidas em baixa quantidade, de acordo com os padrões do setor. O candidato deve ser capaz de obter uma licença estadual para aplicação de pesticidas nas áreas de trabalho onde for exigido por regulamentação governamental. O candidato deve possuir um bom histórico de condução e carteira de habilitação, atender a todos os padrões da empresa para motoristas, ser aprovado no teste de direção da empresa, preencher a ficha de inscrição da empresa e poderá ser obrigado a obter um certificado médico do DOT antes de dirigir. Não é necessário treinamento prévio, mas o candidato deverá participar de um treinamento pago pela empresa no local de início das atividades. A Progressive Solutions mantém um ambiente de trabalho livre de drogas, e os funcionários podem ser submetidos a testes de drogas após a contratação, conforme exigido por contratos governamentais. Número de horas por semana: 50. Horário de trabalho (início/término): 6h30 às 16h.</v>
      </c>
    </row>
    <row r="388" ht="20.25" customHeight="1">
      <c r="A388" s="3" t="s">
        <v>2065</v>
      </c>
      <c r="B388" s="3" t="s">
        <v>2066</v>
      </c>
      <c r="C388" s="3" t="s">
        <v>2067</v>
      </c>
      <c r="D388" s="3" t="s">
        <v>2068</v>
      </c>
      <c r="E388" s="4" t="s">
        <v>19</v>
      </c>
      <c r="F388" s="4" t="s">
        <v>20</v>
      </c>
      <c r="G388" s="4" t="s">
        <v>2069</v>
      </c>
      <c r="H388" s="3" t="s">
        <v>2070</v>
      </c>
      <c r="I388" s="3" t="s">
        <v>2071</v>
      </c>
      <c r="J388" s="4">
        <v>21.24</v>
      </c>
      <c r="K388" s="4">
        <v>6.0</v>
      </c>
      <c r="L388" s="3" t="s">
        <v>2072</v>
      </c>
      <c r="M388" s="3" t="s">
        <v>2073</v>
      </c>
      <c r="N388" s="7" t="str">
        <f>IFERROR(__xludf.DUMMYFUNCTION("GOOGLETRANSLATE(L388, ""en"", ""pt"")"),"Técnico de Controle de Qualidade")</f>
        <v>Técnico de Controle de Qualidade</v>
      </c>
      <c r="O388" s="7" t="str">
        <f>IFERROR(__xludf.DUMMYFUNCTION("IF(M388="""","""",GOOGLETRANSLATE(M388,""en"",""pt""))"),"Inspeciona e monitora materiais de construção, processos e trabalhos concluídos para garantir a conformidade com as especificações do projeto, padrões de qualidade e normas aplicáveis ​​em projetos de construção industrial, incluindo instalações de Sistem"&amp;"as de Armazenamento de Energia em Baterias (BESS). Verifica a conformidade de materiais recebidos, como concreto, aço de reforço, fôrmas e componentes elétricos, com os requisitos técnicos. Realiza inspeções de campo de fundações, estruturas e instalações"&amp;" elétricas para identificar defeitos, desvios e não conformidades, e recomenda ações corretivas. Interpreta desenhos, especificações e procedimentos de qualidade para garantir a correta execução do trabalho. Mantém registros de inspeção, resultados de tes"&amp;"tes e documentação de qualidade, incluindo relatórios de não conformidade. Coordena-se com a gerência do projeto, supervisores e equipe de campo para resolver problemas de qualidade e garantir a conformidade durante as atividades de construção. Em projeto"&amp;"s de BESS, apoia o controle de qualidade de obras civis e elétricas, incluindo a verificação da precisão da instalação de equipamentos como contêineres de baterias, inversores e transformadores, e auxilia no monitoramento de testes e atividades de comissi"&amp;"onamento. Classificação da Função: 51-9061.00 - Inspetores, Testadores, Classificadores, Amostradores e Pesadores. A classificação e descrição da função/setor inclui informações gerais sobre o cargo, de acordo com o ONET/OES e o Sistema de Classificação I"&amp;"ndustrial da América do Norte (NAICS). Consulte as Funções e a Ordem de Serviço para obter mais informações. Requisitos da Função Experiência Necessária: Sim Meses de Experiência Necessários: 36 Requisitos Especiais: Escolaridade mínima exigida nos EUA (o"&amp;"u equivalente): Ensino Médio/GED. Mínimo de 36 meses de experiência como Técnico de Controle de Qualidade. Conhecimento básico de inglês. A escala de trabalho pode variar e incluir fins de semana e feriados, conforme necessário. Capacidade de levantar/car"&amp;"regar/empurrar/puxar 23 kg. O empregador se baseará nas declarações e observações do próprio trabalhador para avaliar se ele atende aos requisitos de capacidade física e elegibilidade aqui descritos. 5 dias por semana, 8,5 horas por dia. Horário de trabal"&amp;"ho previsto: das 7h às 13h e das 14h às 16h30, de segunda a sexta-feira. Número de horas semanais: 42. Horário de trabalho (início/término): 7h às 16h30.")</f>
        <v>Inspeciona e monitora materiais de construção, processos e trabalhos concluídos para garantir a conformidade com as especificações do projeto, padrões de qualidade e normas aplicáveis ​​em projetos de construção industrial, incluindo instalações de Sistemas de Armazenamento de Energia em Baterias (BESS). Verifica a conformidade de materiais recebidos, como concreto, aço de reforço, fôrmas e componentes elétricos, com os requisitos técnicos. Realiza inspeções de campo de fundações, estruturas e instalações elétricas para identificar defeitos, desvios e não conformidades, e recomenda ações corretivas. Interpreta desenhos, especificações e procedimentos de qualidade para garantir a correta execução do trabalho. Mantém registros de inspeção, resultados de testes e documentação de qualidade, incluindo relatórios de não conformidade. Coordena-se com a gerência do projeto, supervisores e equipe de campo para resolver problemas de qualidade e garantir a conformidade durante as atividades de construção. Em projetos de BESS, apoia o controle de qualidade de obras civis e elétricas, incluindo a verificação da precisão da instalação de equipamentos como contêineres de baterias, inversores e transformadores, e auxilia no monitoramento de testes e atividades de comissionamento. Classificação da Função: 51-9061.00 - Inspetores, Testadores, Classificadores, Amostradores e Pesadores. A classificação e descrição da função/setor inclui informações gerais sobre o cargo, de acordo com o ONET/OES e o Sistema de Classificação Industrial da América do Norte (NAICS). Consulte as Funções e a Ordem de Serviço para obter mais informações. Requisitos da Função Experiência Necessária: Sim Meses de Experiência Necessários: 36 Requisitos Especiais: Escolaridade mínima exigida nos EUA (ou equivalente): Ensino Médio/GED. Mínimo de 36 meses de experiência como Técnico de Controle de Qualidade. Conhecimento básico de inglês. A escala de trabalho pode variar e incluir fins de semana e feriados, conforme necessário. Capacidade de levantar/carregar/empurrar/puxar 23 kg. O empregador se baseará nas declarações e observações do próprio trabalhador para avaliar se ele atende aos requisitos de capacidade física e elegibilidade aqui descritos. 5 dias por semana, 8,5 horas por dia. Horário de trabalho previsto: das 7h às 13h e das 14h às 16h30, de segunda a sexta-feira. Número de horas semanais: 42. Horário de trabalho (início/término): 7h às 16h30.</v>
      </c>
    </row>
    <row r="389" ht="20.25" customHeight="1">
      <c r="A389" s="8" t="s">
        <v>2074</v>
      </c>
      <c r="B389" s="8" t="s">
        <v>2075</v>
      </c>
      <c r="C389" s="8" t="s">
        <v>376</v>
      </c>
      <c r="D389" s="8" t="s">
        <v>28</v>
      </c>
      <c r="E389" s="9" t="s">
        <v>19</v>
      </c>
      <c r="F389" s="9" t="s">
        <v>20</v>
      </c>
      <c r="G389" s="9" t="s">
        <v>377</v>
      </c>
      <c r="H389" s="8" t="s">
        <v>2076</v>
      </c>
      <c r="I389" s="8" t="s">
        <v>2077</v>
      </c>
      <c r="J389" s="9">
        <v>18.37</v>
      </c>
      <c r="K389" s="9">
        <v>17.0</v>
      </c>
      <c r="L389" s="8" t="s">
        <v>501</v>
      </c>
      <c r="M389" s="8" t="s">
        <v>2078</v>
      </c>
      <c r="N389" s="7" t="str">
        <f>IFERROR(__xludf.DUMMYFUNCTION("GOOGLETRANSLATE(L389, ""en"", ""pt"")"),"Auxiliar de Manutenção")</f>
        <v>Auxiliar de Manutenção</v>
      </c>
      <c r="O389" s="7" t="str">
        <f>IFERROR(__xludf.DUMMYFUNCTION("IF(M389="""","""",GOOGLETRANSLATE(M389,""en"",""pt""))"),"Auxiliares de Manutenção – Dezessete (17) vagas temporárias em tempo integral, de 1º de outubro de 2026 a 30 de junho de 2027, na Raceland Raw Sugar, LLC, em Raceland, Louisiana. Auxiliar os trabalhadores de instalação, manutenção e reparo na manutenção, "&amp;"substituição de peças e conserto de equipamentos industriais utilizados no processamento de açúcar bruto. Executar tarefas como fornecer ferramentas, materiais e suprimentos para outros trabalhadores mais experientes. Limpar a área de trabalho, máquinas e"&amp;" ferramentas, e guardar materiais ou ferramentas para outros trabalhadores mais experientes durante a safra e após, em preparação para a próxima safra. Salários mais altos podem estar disponíveis para trabalhadores com vasta experiência. É necessário um m"&amp;"ínimo de 3 meses de experiência na função oferecida, com equipamentos de usina de açúcar. Não há exigência de escolaridade mínima. Não será oferecido treinamento no local de trabalho. Alojamento opcional no local de trabalho, oferecido gratuitamente aos t"&amp;"rabalhadores contratados para esta vaga temporária. Quando aplicável, o transporte diário de ida e volta para o local de trabalho será fornecido pelo empregador. O empregador fornecerá aos trabalhadores, sem custo (ou mediante depósito), todas as ferramen"&amp;"tas, suprimentos e equipamentos necessários para a execução do trabalho. Disponibilidade para trabalhar 7 dias por semana, em turnos variáveis ​​de 8 horas (7h-15h; 15h-23h; 23h-7h); 56 horas semanais durante a época da colheita, 40 horas semanais após a "&amp;"época da colheita até o término do contrato, com pagamento de horas extras após 48 horas durante a colheita e após 40 horas após a colheita. As horas extras serão variáveis ​​e não são garantidas. Os trabalhadores receberão um salário mínimo de US$ 18,37/"&amp;"hora; US$ 27,56/hora para horas extras, com base em uma única semana de trabalho. Uma única semana de trabalho será utilizada para o cálculo dos salários devidos. Os salários são pagos quinzenalmente. O empregador fará todos os descontos no contracheque d"&amp;"o trabalhador, conforme exigido por lei. O empregador garante oferecer emprego equivalente a pelo menos três quartos (3/4) dos dias úteis de cada período de 12 semanas do período total de emprego. Caso a garantia não seja cumprida, o empregador pagará ao "&amp;"trabalhador o valor que ele teria recebido se o empregador tivesse oferecido o número de dias garantido. O período de 12 semanas terá início no primeiro dia útil após a chegada do trabalhador ou na data contratual de necessidade anunciada, o que ocorrer p"&amp;"or último. O empregador reembolsará o trabalhador com visto H-2B (por cheque) na primeira semana de trabalho, cobrindo integralmente os custos com visto, processamento de visto, travessia de fronteira e outras taxas relacionadas, incluindo as exigidas pel"&amp;"o governo (exceto taxas de passaporte). A Raceland fornecerá ou reembolsará os custos de transporte de ida e volta e de subsistência diária para os trabalhadores americanos correspondentes que não puderem retornar à sua residência no mesmo dia útil. O tra"&amp;"balhador será reembolsado pelas despesas de transporte e subsistência do local de onde veio trabalhar para o empregador, seja nos EUA ou no exterior, até o local de trabalho, por cheque emitido pelo empregador, após a conclusão de 50% do período de trabal"&amp;"ho coberto pela ordem de serviço ou antes, se for o caso. O empregador fornecerá ou pagará o custo do transporte de retorno e da subsistência diária do trabalhador, do local de trabalho até o local de onde o trabalhador partiu para trabalhar para o empreg"&amp;"ador, independentemente de empregos intermediários, caso o trabalhador complete o período de emprego certificado ou seja demitido por qualquer motivo pelo empregador antes do término do período. O valor do pagamento ou reembolso do transporte será equival"&amp;"ente ao da transportadora comum mais econômica e razoável para as distâncias envolvidas. Isso inclui pelo menos US$ 16,78 por dia durante a viagem, até um máximo de US$ 68,00 por dia, mediante comprovação das despesas reais. Raceland Raw Sugar, LLC é a me"&amp;"sma entidade que Raceland Raw Sugar Corporation, conforme listado na ordem de serviço da Agência Estadual de Força de Trabalho. Classificação do Cargo: 49-9098.00 - Ajudantes - Trabalhadores de Instalação, Manutenção e Reparo. A classificação e descrição "&amp;"do cargo/setor incluem informações gerais sobre a posição, de acordo com o ONET/OES e o Sistema de Classificação Industrial da América do Norte. Consulte as Funções do Cargo e a Ordem de Serviço para obter mais informações. Requisitos da vaga Experiência "&amp;"necessária: Sim Meses de experiência necessários: 3 Número de horas por semana: 56 Horário de trabalho (início/término): 7h às 15h")</f>
        <v>Auxiliares de Manutenção – Dezessete (17) vagas temporárias em tempo integral, de 1º de outubro de 2026 a 30 de junho de 2027, na Raceland Raw Sugar, LLC, em Raceland, Louisiana. Auxiliar os trabalhadores de instalação, manutenção e reparo na manutenção, substituição de peças e conserto de equipamentos industriais utilizados no processamento de açúcar bruto. Executar tarefas como fornecer ferramentas, materiais e suprimentos para outros trabalhadores mais experientes. Limpar a área de trabalho, máquinas e ferramentas, e guardar materiais ou ferramentas para outros trabalhadores mais experientes durante a safra e após, em preparação para a próxima safra. Salários mais altos podem estar disponíveis para trabalhadores com vasta experiência. É necessário um mínimo de 3 meses de experiência na função oferecida, com equipamentos de usina de açúcar. Não há exigência de escolaridade mínima. Não será oferecido treinamento no local de trabalho. Alojamento opcional no local de trabalho, oferecido gratuitamente aos trabalhadores contratados para esta vaga temporária. Quando aplicável, o transporte diário de ida e volta para o local de trabalho será fornecido pelo empregador. O empregador fornecerá aos trabalhadores, sem custo (ou mediante depósito), todas as ferramentas, suprimentos e equipamentos necessários para a execução do trabalho. Disponibilidade para trabalhar 7 dias por semana, em turnos variáveis ​​de 8 horas (7h-15h; 15h-23h; 23h-7h); 56 horas semanais durante a época da colheita, 40 horas semanais após a época da colheita até o término do contrato, com pagamento de horas extras após 48 horas durante a colheita e após 40 horas após a colheita. As horas extras serão variáveis ​​e não são garantidas. Os trabalhadores receberão um salário mínimo de US$ 18,37/hora; US$ 27,56/hora para horas extras, com base em uma única semana de trabalho. Uma única semana de trabalho será utilizada para o cálculo dos salários devidos. Os salários são pagos quinzenalmente. O empregador fará todos os descontos no contracheque do trabalhador, conforme exigido por lei. O empregador garante oferecer emprego equivalente a pelo menos três quartos (3/4) dos dias úteis de cada período de 12 semanas do período total de emprego. Caso a garantia não seja cumprida, o empregador pagará ao trabalhador o valor que ele teria recebido se o empregador tivesse oferecido o número de dias garantido. O período de 12 semanas terá início no primeiro dia útil após a chegada do trabalhador ou na data contratual de necessidade anunciada, o que ocorrer por último. O empregador reembolsará o trabalhador com visto H-2B (por cheque) na primeira semana de trabalho, cobrindo integralmente os custos com visto, processamento de visto, travessia de fronteira e outras taxas relacionadas, incluindo as exigidas pelo governo (exceto taxas de passaporte). A Raceland fornecerá ou reembolsará os custos de transporte de ida e volta e de subsistência diária para os trabalhadores americanos correspondentes que não puderem retornar à sua residência no mesmo dia útil. O trabalhador será reembolsado pelas despesas de transporte e subsistência do local de onde veio trabalhar para o empregador, seja nos EUA ou no exterior, até o local de trabalho, por cheque emitido pelo empregador, após a conclusão de 50% do período de trabalho coberto pela ordem de serviço ou antes, se for o caso. O empregador fornecerá ou pagará o custo do transporte de retorno e da subsistência diária do trabalhador, do local de trabalho até o local de onde o trabalhador partiu para trabalhar para o empregador, independentemente de empregos intermediários, caso o trabalhador complete o período de emprego certificado ou seja demitido por qualquer motivo pelo empregador antes do término do período. O valor do pagamento ou reembolso do transporte será equivalente ao da transportadora comum mais econômica e razoável para as distâncias envolvidas. Isso inclui pelo menos US$ 16,78 por dia durante a viagem, até um máximo de US$ 68,00 por dia, mediante comprovação das despesas reais. Raceland Raw Sugar, LLC é a mesma entidade que Raceland Raw Sugar Corporation, conforme listado na ordem de serviço da Agência Estadual de Força de Trabalho. Classificação do Cargo: 49-9098.00 - Ajudantes - Trabalhadores de Instalação, Manutenção e Reparo. A classificação e descrição do cargo/setor incluem informações gerais sobre a posição, de acordo com o ONET/OES e o Sistema de Classificação Industrial da América do Norte. Consulte as Funções do Cargo e a Ordem de Serviço para obter mais informações. Requisitos da vaga Experiência necessária: Sim Meses de experiência necessários: 3 Número de horas por semana: 56 Horário de trabalho (início/término): 7h às 15h</v>
      </c>
    </row>
    <row r="390" ht="20.25" customHeight="1">
      <c r="A390" s="3" t="s">
        <v>2079</v>
      </c>
      <c r="B390" s="3" t="s">
        <v>2080</v>
      </c>
      <c r="C390" s="3" t="s">
        <v>662</v>
      </c>
      <c r="D390" s="3" t="s">
        <v>71</v>
      </c>
      <c r="E390" s="4" t="s">
        <v>44</v>
      </c>
      <c r="F390" s="4" t="s">
        <v>20</v>
      </c>
      <c r="G390" s="4" t="s">
        <v>467</v>
      </c>
      <c r="H390" s="3" t="s">
        <v>2081</v>
      </c>
      <c r="I390" s="3" t="s">
        <v>2082</v>
      </c>
      <c r="J390" s="4">
        <v>17.49</v>
      </c>
      <c r="K390" s="4">
        <v>162.0</v>
      </c>
      <c r="L390" s="3" t="s">
        <v>83</v>
      </c>
      <c r="M390" s="3" t="s">
        <v>2083</v>
      </c>
      <c r="N390" s="7" t="str">
        <f>IFERROR(__xludf.DUMMYFUNCTION("GOOGLETRANSLATE(L390, ""en"", ""pt"")"),"Trabalhador Florestal")</f>
        <v>Trabalhador Florestal</v>
      </c>
      <c r="O390" s="7" t="str">
        <f>IFERROR(__xludf.DUMMYFUNCTION("IF(M390="""","""",GOOGLETRANSLATE(M390,""en"",""pt""))"),"As funções podem incluir: preparação de árvores para plantio, poda de raízes, separação do sistema radicular para facilitar a coleta de mudas, transporte de mudas em sacos especiais, longas caminhadas em terrenos acidentados e condições climáticas extrema"&amp;"s, agachar-se e inserir uma alavanca ou enxada no solo, colocação correta das mudas na cova e compactação adequada para garantir sua sobrevivência. Essas atividades são realizadas de forma consistente e contínua ao longo do dia de trabalho, além de outras"&amp;" atividades relacionadas ao trabalho florestal, conforme a norma SOC/OES 45-4011 (onetonline.org). Horário padrão/esperado: segunda a sexta, das 8h às 17h. Oferecemos mais de 40 horas semanais, sem incluir almoço e/ou intervalos. Possibilidade de trabalho"&amp;" em fins de semana e feriados. Os horários de início e término, a carga horária e/ou horas extras podem variar, dependendo de fatores como projeto/cronograma/necessidades do serviço, condições climáticas e tempo de deslocamento entre os locais de trabalho"&amp;" (se aplicável). Possibilidade de horas extras, mas não obrigatórias nem garantidas. A critério exclusivo do empregador: possíveis aumentos e/ou bônus com base em fatores individuais, como desempenho ou habilidades (não garantidos). Pagamento por produção"&amp;" pode ser aplicado: o trabalhador nunca receberá menos do que o Salário Vigente ou o salário mínimo federal/estadual/municipal. Moradia compartilhada opcional disponível sem custo para o trabalhador. Classificação da vaga: 45-4011.00 - Trabalhadores Flore"&amp;"stais e de Conservação. A classificação e descrição da vaga/setor incluem informações gerais sobre o cargo, de acordo com o ONET/OES e o Sistema de Classificação Industrial da América do Norte. Consulte as Funções e a Ordem de Serviço para obter mais info"&amp;"rmações. Requisitos da vaga: Experiência exigida: Não. Requisitos especiais: É necessário ter 18 anos devido a viagens. É necessário apresentar comprovante de autorização legal para trabalhar nos Estados Unidos. Ambiente de trabalho livre de drogas, álcoo"&amp;"l e tabaco. É necessário caminhar bastante (até 24 km/dia), além de se abaixar e se curvar carregando uma mochila (até 23 kg) em terrenos acidentados (fora de trilhas). Todos os candidatos devem ser capazes, estar dispostos e qualificados para executar o "&amp;"trabalho descrito e devem estar disponíveis durante todo o período especificado e trabalhar em todas as áreas da empresa. O trabalho é realizado ao ar livre, exposto às intempéries; o candidato deve ser capaz de realizar trabalho fisicamente extenuante po"&amp;"r longos períodos, ocasionalmente em calor ou frio extremos. As condições climáticas são variáveis; a carga horária pode sofrer alterações (+/-), podendo haver períodos de inatividade e/ou horas extras. Número de horas por semana: 40. Horário de trabalho "&amp;"(início/término): 8h às 17h.")</f>
        <v>As funções podem incluir: preparação de árvores para plantio, poda de raízes, separação do sistema radicular para facilitar a coleta de mudas, transporte de mudas em sacos especiais, longas caminhadas em terrenos acidentados e condições climáticas extremas, agachar-se e inserir uma alavanca ou enxada no solo, colocação correta das mudas na cova e compactação adequada para garantir sua sobrevivência. Essas atividades são realizadas de forma consistente e contínua ao longo do dia de trabalho, além de outras atividades relacionadas ao trabalho florestal, conforme a norma SOC/OES 45-4011 (onetonline.org). Horário padrão/esperado: segunda a sexta, das 8h às 17h. Oferecemos mais de 40 horas semanais, sem incluir almoço e/ou intervalos. Possibilidade de trabalho em fins de semana e feriados. Os horários de início e término, a carga horária e/ou horas extras podem variar, dependendo de fatores como projeto/cronograma/necessidades do serviço, condições climáticas e tempo de deslocamento entre os locais de trabalho (se aplicável). Possibilidade de horas extras, mas não obrigatórias nem garantidas. A critério exclusivo do empregador: possíveis aumentos e/ou bônus com base em fatores individuais, como desempenho ou habilidades (não garantidos). Pagamento por produção pode ser aplicado: o trabalhador nunca receberá menos do que o Salário Vigente ou o salário mínimo federal/estadual/municipal. Moradia compartilhada opcional disponível sem custo para o trabalhador. Classificação da vaga: 45-4011.00 - Trabalhadores Florestais e de Conservação. A classificação e descrição da vaga/setor incluem informações gerais sobre o cargo, de acordo com o ONET/OES e o Sistema de Classificação Industrial da América do Norte. Consulte as Funções e a Ordem de Serviço para obter mais informações. Requisitos da vaga: Experiência exigida: Não. Requisitos especiais: É necessário ter 18 anos devido a viagens. É necessário apresentar comprovante de autorização legal para trabalhar nos Estados Unidos. Ambiente de trabalho livre de drogas, álcool e tabaco. É necessário caminhar bastante (até 24 km/dia), além de se abaixar e se curvar carregando uma mochila (até 23 kg) em terrenos acidentados (fora de trilhas). Todos os candidatos devem ser capazes, estar dispostos e qualificados para executar o trabalho descrito e devem estar disponíveis durante todo o período especificado e trabalhar em todas as áreas da empresa. O trabalho é realizado ao ar livre, exposto às intempéries; o candidato deve ser capaz de realizar trabalho fisicamente extenuante por longos períodos, ocasionalmente em calor ou frio extremos. As condições climáticas são variáveis; a carga horária pode sofrer alterações (+/-), podendo haver períodos de inatividade e/ou horas extras. Número de horas por semana: 40. Horário de trabalho (início/término): 8h às 17h.</v>
      </c>
    </row>
    <row r="391" ht="20.25" customHeight="1">
      <c r="A391" s="8" t="s">
        <v>2084</v>
      </c>
      <c r="B391" s="8" t="s">
        <v>2085</v>
      </c>
      <c r="C391" s="8" t="s">
        <v>1904</v>
      </c>
      <c r="D391" s="8" t="s">
        <v>79</v>
      </c>
      <c r="E391" s="9" t="s">
        <v>44</v>
      </c>
      <c r="F391" s="9" t="s">
        <v>20</v>
      </c>
      <c r="G391" s="9" t="s">
        <v>377</v>
      </c>
      <c r="H391" s="8" t="s">
        <v>2086</v>
      </c>
      <c r="I391" s="8" t="s">
        <v>2087</v>
      </c>
      <c r="J391" s="9">
        <v>20.65</v>
      </c>
      <c r="K391" s="9">
        <v>30.0</v>
      </c>
      <c r="L391" s="8" t="s">
        <v>83</v>
      </c>
      <c r="M391" s="8" t="s">
        <v>2088</v>
      </c>
      <c r="N391" s="7" t="str">
        <f>IFERROR(__xludf.DUMMYFUNCTION("GOOGLETRANSLATE(L391, ""en"", ""pt"")"),"Trabalhador Florestal")</f>
        <v>Trabalhador Florestal</v>
      </c>
      <c r="O391" s="7" t="str">
        <f>IFERROR(__xludf.DUMMYFUNCTION("IF(M391="""","""",GOOGLETRANSLATE(M391,""en"",""pt""))"),"As funções podem incluir: atividades de apoio florestal, incluindo, entre outras, plantio de árvores, desbaste pré-comercial, empilhamento de resíduos florestais, aplicação de herbicidas, inspeções de povoamentos florestais, marcação de madeira e outras a"&amp;"tividades relacionadas ao trabalho florestal, conforme SOC/OES 45-4011 (onetonline.org). Horário padrão/esperado: segunda a sexta, das 8h às 18h30. Oferecemos mais de 40 horas semanais, sem incluir almoço e/ou intervalos. Possibilidade de trabalho em fins"&amp;" de semana e feriados. Os horários de início e término, a carga horária e/ou horas extras podem variar, pois dependem de fatores como necessidades do projeto/cronograma/serviço, condições climáticas e tempo de deslocamento entre os locais de trabalho (se "&amp;"aplicável). Horas extras são possíveis, mas não obrigatórias nem garantidas. A critério exclusivo do empregador: aumentos salariais e/ou bônus podem ser concedidos com base em fatores individuais, como desempenho ou habilidades (não garantidos). Moradia c"&amp;"ompartilhada opcional, sem custo para o trabalhador. Classificação da Função: 45-4011.00 - Trabalhadores Florestais e de Conservação. A classificação e descrição da função/setor inclui informações gerais sobre o cargo, conforme o ONET/OES e o Sistema de C"&amp;"lassificação Industrial da América do Norte. Consulte as Funções e a Ordem de Serviço para obter mais informações. Requisitos da Função: Experiência Necessária: Não. Requisitos Especiais: É necessário ter 18 anos devido a viagens. É necessário apresentar "&amp;"comprovante de autorização legal para trabalhar nos Estados Unidos. Ambiente de trabalho livre de drogas, álcool e tabaco. É necessário caminhar bastante (até 24 km/dia), além de se abaixar e se curvar carregando uma mochila (até 38 kg) em terrenos aciden"&amp;"tados (fora de trilhas). Todos os candidatos devem ser capazes, dispostos e qualificados para executar o trabalho descrito e devem estar disponíveis durante todo o período especificado e trabalhar em todas as áreas de atuação pretendidas. O trabalho é rea"&amp;"lizado ao ar livre, exposto às intempéries; o candidato deve ser capaz de realizar trabalho fisicamente extenuante por longos períodos, ocasionalmente em calor ou frio extremos. Condições climáticas variáveis ​​se aplicam; a carga horária pode sofrer alte"&amp;"rações (+/-), com possibilidade de períodos de inatividade e/ou horas extras. Número de horas por semana: 40 Horário de trabalho (início/término): 8h00 - 18h30")</f>
        <v>As funções podem incluir: atividades de apoio florestal, incluindo, entre outras, plantio de árvores, desbaste pré-comercial, empilhamento de resíduos florestais, aplicação de herbicidas, inspeções de povoamentos florestais, marcação de madeira e outras atividades relacionadas ao trabalho florestal, conforme SOC/OES 45-4011 (onetonline.org). Horário padrão/esperado: segunda a sexta, das 8h às 18h30. Oferecemos mais de 40 horas semanais, sem incluir almoço e/ou intervalos. Possibilidade de trabalho em fins de semana e feriados. Os horários de início e término, a carga horária e/ou horas extras podem variar, pois dependem de fatores como necessidades do projeto/cronograma/serviço, condições climáticas e tempo de deslocamento entre os locais de trabalho (se aplicável). Horas extras são possíveis, mas não obrigatórias nem garantidas. A critério exclusivo do empregador: aumentos salariais e/ou bônus podem ser concedidos com base em fatores individuais, como desempenho ou habilidades (não garantidos). Moradia compartilhada opcional, sem custo para o trabalhador. Classificação da Função: 45-4011.00 - Trabalhadores Florestais e de Conservação. A classificação e descrição da função/setor inclui informações gerais sobre o cargo, conforme o ONET/OES e o Sistema de Classificação Industrial da América do Norte. Consulte as Funções e a Ordem de Serviço para obter mais informações. Requisitos da Função: Experiência Necessária: Não. Requisitos Especiais: É necessário ter 18 anos devido a viagens. É necessário apresentar comprovante de autorização legal para trabalhar nos Estados Unidos. Ambiente de trabalho livre de drogas, álcool e tabaco. É necessário caminhar bastante (até 24 km/dia), além de se abaixar e se curvar carregando uma mochila (até 38 kg) em terrenos acidentados (fora de trilhas). Todos os candidatos devem ser capazes, dispostos e qualificados para executar o trabalho descrito e devem estar disponíveis durante todo o período especificado e trabalhar em todas as áreas de atuação pretendidas. O trabalho é realizado ao ar livre, exposto às intempéries; o candidato deve ser capaz de realizar trabalho fisicamente extenuante por longos períodos, ocasionalmente em calor ou frio extremos. Condições climáticas variáveis ​​se aplicam; a carga horária pode sofrer alterações (+/-), com possibilidade de períodos de inatividade e/ou horas extras. Número de horas por semana: 40 Horário de trabalho (início/término): 8h00 - 18h30</v>
      </c>
    </row>
    <row r="392" ht="20.25" customHeight="1">
      <c r="A392" s="3" t="s">
        <v>2089</v>
      </c>
      <c r="B392" s="3" t="s">
        <v>2090</v>
      </c>
      <c r="C392" s="3" t="s">
        <v>1946</v>
      </c>
      <c r="D392" s="3" t="s">
        <v>1051</v>
      </c>
      <c r="E392" s="4" t="s">
        <v>44</v>
      </c>
      <c r="F392" s="4" t="s">
        <v>20</v>
      </c>
      <c r="G392" s="4" t="s">
        <v>377</v>
      </c>
      <c r="H392" s="3" t="s">
        <v>2091</v>
      </c>
      <c r="I392" s="3" t="s">
        <v>2092</v>
      </c>
      <c r="J392" s="4">
        <v>19.83</v>
      </c>
      <c r="K392" s="4">
        <v>20.0</v>
      </c>
      <c r="L392" s="3" t="s">
        <v>1054</v>
      </c>
      <c r="M392" s="3" t="s">
        <v>2093</v>
      </c>
      <c r="N392" s="7" t="str">
        <f>IFERROR(__xludf.DUMMYFUNCTION("GOOGLETRANSLATE(L392, ""en"", ""pt"")"),"Trabalhador Florestal e de Conservação")</f>
        <v>Trabalhador Florestal e de Conservação</v>
      </c>
      <c r="O392" s="7" t="str">
        <f>IFERROR(__xludf.DUMMYFUNCTION("IF(M392="""","""",GOOGLETRANSLATE(M392,""en"",""pt""))"),"Desbaste Pré-Comercial: O funcionário transporta combustível, óleo e opera uma motosserra, com peso aproximado de 14 kg, para cortar árvores de 14 a 16 anos e realizar a limpeza de vegetação rasteira. Árvores indesejáveis ​​e doentes serão cortadas com o "&amp;"auxílio da motosserra. Galhos selecionados de árvores em pé também serão cortados para estimular o crescimento e aumentar a densidade da vegetação. Árvores, galhos e vegetação rasteira cortados serão empilhados e cobertos para descarte futuro, de acordo c"&amp;"om as normas estabelecidas. Plantio Comercial de Árvores: O funcionário limpará uma área com uma pá de plantio, cavará um buraco, colocará uma muda no buraco e o cobrirá novamente para fixá-la, garantindo que a muda, ao ser plantada, não desenvolva uma ra"&amp;"iz em forma de ""J"". O funcionário deve ser capaz de carregar um saco de plantio com várias mudas, com peso aproximado de 23 kg, em terrenos íngremes e acidentados. Treinamento será fornecido, se necessário. Todo o trabalho é realizado em áreas remotas, "&amp;"em terrenos íngremes com inclinação de 30% a 50%. Classificação da Função: 45-4011.00 - Trabalhadores Florestais e de Conservação. A classificação e descrição da função/setor inclui informações gerais sobre o cargo, de acordo com o ONET/OES e o Sistema de"&amp;" Classificação Industrial da América do Norte (NAICS). Consulte as Funções e a Ordem de Serviço para obter mais informações. Requisitos da Função Experiência Necessária: Sim Meses de Experiência Necessários: 1 Requisitos Especiais: DEVE SER CAPAZ DE PLANT"&amp;"AR O SEGUINTE NÚMERO DE ÁRVORES EM UM DIA DE 8 HORAS: ATÉ O FINAL DA 1ª SEMANA - 800, ATÉ O FINAL DA 2ª SEMANA - 900, ATÉ O FINAL DA 3ª SEMANA - 1000 ÁRVORES. Número de Horas por Semana: 40. Horário de Trabalho (Início/Término): 7h00 - 15h30.")</f>
        <v>Desbaste Pré-Comercial: O funcionário transporta combustível, óleo e opera uma motosserra, com peso aproximado de 14 kg, para cortar árvores de 14 a 16 anos e realizar a limpeza de vegetação rasteira. Árvores indesejáveis ​​e doentes serão cortadas com o auxílio da motosserra. Galhos selecionados de árvores em pé também serão cortados para estimular o crescimento e aumentar a densidade da vegetação. Árvores, galhos e vegetação rasteira cortados serão empilhados e cobertos para descarte futuro, de acordo com as normas estabelecidas. Plantio Comercial de Árvores: O funcionário limpará uma área com uma pá de plantio, cavará um buraco, colocará uma muda no buraco e o cobrirá novamente para fixá-la, garantindo que a muda, ao ser plantada, não desenvolva uma raiz em forma de "J". O funcionário deve ser capaz de carregar um saco de plantio com várias mudas, com peso aproximado de 23 kg, em terrenos íngremes e acidentados. Treinamento será fornecido, se necessário. Todo o trabalho é realizado em áreas remotas, em terrenos íngremes com inclinação de 30% a 50%. Classificação da Função: 45-4011.00 - Trabalhadores Florestais e de Conservação. A classificação e descrição da função/setor inclui informações gerais sobre o cargo, de acordo com o ONET/OES e o Sistema de Classificação Industrial da América do Norte (NAICS). Consulte as Funções e a Ordem de Serviço para obter mais informações. Requisitos da Função Experiência Necessária: Sim Meses de Experiência Necessários: 1 Requisitos Especiais: DEVE SER CAPAZ DE PLANTAR O SEGUINTE NÚMERO DE ÁRVORES EM UM DIA DE 8 HORAS: ATÉ O FINAL DA 1ª SEMANA - 800, ATÉ O FINAL DA 2ª SEMANA - 900, ATÉ O FINAL DA 3ª SEMANA - 1000 ÁRVORES. Número de Horas por Semana: 40. Horário de Trabalho (Início/Término): 7h00 - 15h30.</v>
      </c>
    </row>
    <row r="393" ht="20.25" customHeight="1">
      <c r="A393" s="8" t="s">
        <v>2094</v>
      </c>
      <c r="B393" s="8" t="s">
        <v>1879</v>
      </c>
      <c r="C393" s="8" t="s">
        <v>27</v>
      </c>
      <c r="D393" s="8" t="s">
        <v>71</v>
      </c>
      <c r="E393" s="9" t="s">
        <v>19</v>
      </c>
      <c r="F393" s="9" t="s">
        <v>20</v>
      </c>
      <c r="G393" s="9" t="s">
        <v>1280</v>
      </c>
      <c r="H393" s="8" t="s">
        <v>1880</v>
      </c>
      <c r="I393" s="8" t="s">
        <v>1881</v>
      </c>
      <c r="J393" s="9">
        <v>18.23</v>
      </c>
      <c r="K393" s="9">
        <v>60.0</v>
      </c>
      <c r="L393" s="8" t="s">
        <v>1490</v>
      </c>
      <c r="M393" s="8" t="s">
        <v>2095</v>
      </c>
      <c r="N393" s="7" t="str">
        <f>IFERROR(__xludf.DUMMYFUNCTION("GOOGLETRANSLATE(L393, ""en"", ""pt"")"),"Zelador")</f>
        <v>Zelador</v>
      </c>
      <c r="O393" s="7" t="str">
        <f>IFERROR(__xludf.DUMMYFUNCTION("IF(M393="""","""",GOOGLETRANSLATE(M393,""en"",""pt""))"),"As funções podem incluir: limpeza de locais e áreas de trabalho, removendo galhos, gravetos, ervas daninhas e arbustos; enfardadeira de palha de pinheiro; carga e descarga de fardos de palha de pinheiro; condução de quadriciclos e outras atividades relaci"&amp;"onadas à manutenção de áreas verdes, conforme SOC/OES 37-3011 (onetonline.org). Horário padrão/esperado: segunda a sexta, das 8h às 17h. Oferecemos 35 horas semanais ou mais, sem incluir almoço e/ou intervalos. Possibilidade de trabalho aos fins de semana"&amp;" e feriados. Os horários de início e término, a carga horária e/ou horas extras podem variar, dependendo de fatores como necessidades do projeto/cronograma/serviço, condições climáticas e tempo de deslocamento entre os locais de trabalho (se aplicável). H"&amp;"oras extras são possíveis, mas não obrigatórias nem garantidas. A critério exclusivo do empregador: aumentos salariais e/ou bônus podem ser concedidos com base em fatores individuais, como desempenho ou habilidades (não garantidos). Pagamento por produção"&amp;": A critério do empregador: possíveis aumentos ou bônus (não garantidos). Pagamento por produção: US$ 0,75 por rolo para rastelar, US$ 0,20 por rolo para enfardar, US$ 0,30 por rolo para carregar. O salário nunca será inferior ao salário mínimo vigente/fe"&amp;"deral/estadual/local. Classificação da vaga: 37-3011.00 - Trabalhadores de paisagismo e manutenção de áreas verdes. A classificação e descrição da vaga/setor incluem informações gerais sobre o cargo, de acordo com o ONET/OES e o Sistema de Classificação I"&amp;"ndustrial da América do Norte (NAICS). Consulte as atribuições e a ordem de serviço para obter mais informações. Requisitos da vaga: Experiência necessária: Não. Requisitos especiais: Deve apresentar comprovante de autorização legal para trabalhar nos Est"&amp;"ados Unidos. Ambiente de trabalho livre de drogas, álcool e tabaco. Executar atividades físicas: como levantar, equilibrar-se, caminhar, abaixar-se, manusear, posicionar, mover e manipular materiais; usar força estática para exercer força muscular máxima "&amp;"para levantar, empurrar, puxar e carregar objetos de até 20 kg. Todos os candidatos devem ser capazes, estar dispostos e qualificados para executar o trabalho descrito e devem estar disponíveis durante todo o período especificado e trabalhar em todas as á"&amp;"reas do emprego pretendido. A critério do empregador/custo: O trabalhador poderá ser submetido a testes aleatórios de drogas/álcool durante o emprego: teste positivo/recusa em cumprir o teste = demissão. O trabalho é realizado ao ar livre, exposto às inte"&amp;"mpéries; o candidato deve ser capaz de realizar trabalho fisicamente extenuante por longos períodos, ocasionalmente em calor ou frio extremos. As condições climáticas são variáveis; a carga horária pode sofrer alterações (+/-), podendo haver períodos de i"&amp;"natividade e/ou horas extras. Número de horas por semana: 40. Horário de trabalho (início/término): 8h às 17h.")</f>
        <v>As funções podem incluir: limpeza de locais e áreas de trabalho, removendo galhos, gravetos, ervas daninhas e arbustos; enfardadeira de palha de pinheiro; carga e descarga de fardos de palha de pinheiro; condução de quadriciclos e outras atividades relacionadas à manutenção de áreas verdes, conforme SOC/OES 37-3011 (onetonline.org). Horário padrão/esperado: segunda a sexta, das 8h às 17h. Oferecemos 35 horas semanais ou mais, sem incluir almoço e/ou intervalos. Possibilidade de trabalho aos fins de semana e feriados. Os horários de início e término, a carga horária e/ou horas extras podem variar, dependendo de fatores como necessidades do projeto/cronograma/serviço, condições climáticas e tempo de deslocamento entre os locais de trabalho (se aplicável). Horas extras são possíveis, mas não obrigatórias nem garantidas. A critério exclusivo do empregador: aumentos salariais e/ou bônus podem ser concedidos com base em fatores individuais, como desempenho ou habilidades (não garantidos). Pagamento por produção: A critério do empregador: possíveis aumentos ou bônus (não garantidos). Pagamento por produção: US$ 0,75 por rolo para rastelar, US$ 0,20 por rolo para enfardar, US$ 0,30 por rolo para carregar. O salário nunca será inferior ao salário mínimo vigente/federal/estadual/local. Classificação da vaga: 37-3011.00 - Trabalhadores de paisagismo e manutenção de áreas verdes. A classificação e descrição da vaga/setor incluem informações gerais sobre o cargo, de acordo com o ONET/OES e o Sistema de Classificação Industrial da América do Norte (NAICS). Consulte as atribuições e a ordem de serviço para obter mais informações. Requisitos da vaga: Experiência necessária: Não. Requisitos especiais: Deve apresentar comprovante de autorização legal para trabalhar nos Estados Unidos. Ambiente de trabalho livre de drogas, álcool e tabaco. Executar atividades físicas: como levantar, equilibrar-se, caminhar, abaixar-se, manusear, posicionar, mover e manipular materiais; usar força estática para exercer força muscular máxima para levantar, empurrar, puxar e carregar objetos de até 20 kg. Todos os candidatos devem ser capazes, estar dispostos e qualificados para executar o trabalho descrito e devem estar disponíveis durante todo o período especificado e trabalhar em todas as áreas do emprego pretendido. A critério do empregador/custo: O trabalhador poderá ser submetido a testes aleatórios de drogas/álcool durante o emprego: teste positivo/recusa em cumprir o teste = demissão. O trabalho é realizado ao ar livre, exposto às intempéries; o candidato deve ser capaz de realizar trabalho fisicamente extenuante por longos períodos, ocasionalmente em calor ou frio extremos. As condições climáticas são variáveis; a carga horária pode sofrer alterações (+/-), podendo haver períodos de inatividade e/ou horas extras. Número de horas por semana: 40. Horário de trabalho (início/término): 8h às 17h.</v>
      </c>
    </row>
    <row r="394" ht="20.25" customHeight="1">
      <c r="A394" s="3" t="s">
        <v>2096</v>
      </c>
      <c r="B394" s="3" t="s">
        <v>1879</v>
      </c>
      <c r="C394" s="3" t="s">
        <v>27</v>
      </c>
      <c r="D394" s="3" t="s">
        <v>71</v>
      </c>
      <c r="E394" s="4" t="s">
        <v>19</v>
      </c>
      <c r="F394" s="4" t="s">
        <v>20</v>
      </c>
      <c r="G394" s="4" t="s">
        <v>1280</v>
      </c>
      <c r="H394" s="3" t="s">
        <v>1880</v>
      </c>
      <c r="I394" s="3" t="s">
        <v>1881</v>
      </c>
      <c r="J394" s="4">
        <v>20.29</v>
      </c>
      <c r="K394" s="4">
        <v>18.0</v>
      </c>
      <c r="L394" s="3" t="s">
        <v>2097</v>
      </c>
      <c r="M394" s="3" t="s">
        <v>2098</v>
      </c>
      <c r="N394" s="7" t="str">
        <f>IFERROR(__xludf.DUMMYFUNCTION("GOOGLETRANSLATE(L394, ""en"", ""pt"")"),"Auxiliar - Operário de Produção")</f>
        <v>Auxiliar - Operário de Produção</v>
      </c>
      <c r="O394" s="7" t="str">
        <f>IFERROR(__xludf.DUMMYFUNCTION("IF(M394="""","""",GOOGLETRANSLATE(M394,""en"",""pt""))"),"As funções podem incluir: Auxiliar os operadores de máquinas durante os processos de ensacamento e produção de palha de pinheiro, carregando matéria-prima em esteiras transportadoras e descarregando os produtos ensacados utilizando empilhadeiras, carrinho"&amp;"s, plataformas de carga e outros equipamentos básicos de movimentação de materiais. Transportar matéria-prima e produtos acabados entre as áreas de armazenamento e de trabalho manualmente ou com equipamentos de elevação motorizados. Monitorar o funcioname"&amp;"nto dos equipamentos e notificar os supervisores sobre problemas básicos nas máquinas ou interrupções na produção. Limpar as áreas de trabalho e os equipamentos de produção utilizando vassouras, pás e forcados. Realizar a limpeza básica dos equipamentos, "&amp;"lubrificação e remoção de detritos para manter as operações seguras e eficientes, além de outras atividades relacionadas ao Auxiliar de Produção, conforme SOC/OES 53-7051 (onetonline.org). Horário padrão/esperado: Segunda a sexta, das 8h às 17h. Oferecemo"&amp;"s 35 horas semanais ou mais, sem incluir o horário de almoço e/ou intervalos. Possibilidade de trabalho nos fins de semana e feriados. Os horários de início e término, a carga horária oferecida e/ou a possibilidade de horas extras podem variar, pois depen"&amp;"dem de fatores como necessidades do projeto/cronograma/serviço, condições climáticas e tempo de deslocamento entre os locais de trabalho (se aplicável). Horas extras são possíveis, mas não obrigatórias nem garantidas. A critério exclusivo do empregador: a"&amp;"umentos salariais e/ou bônus podem ser concedidos com base em fatores individuais, como desempenho ou habilidades (não garantidos). Classificação da vaga: 53-7051.00 - Operadores de Empilhadeiras e Tratores Industriais. A classificação e a descrição da va"&amp;"ga/setor incluem informações gerais sobre o cargo, conforme o ONET/OES e o Sistema de Classificação Industrial da América do Norte (NAICS). Consulte as Funções e a Ordem de Serviço para obter mais informações. Requisitos da vaga: Experiência necessária: N"&amp;"ão. Requisitos especiais: É necessário comprovar autorização legal para trabalhar nos Estados Unidos. Ambiente de trabalho livre de drogas, álcool e tabaco. Executar atividades físicas, como levantar, equilibrar-se, caminhar, abaixar-se, manusear, posicio"&amp;"nar, mover e manipular materiais; usar força estática para exercer força muscular máxima para levantar, empurrar, puxar e carregar objetos de até 20 kg. Todos os candidatos devem ser capazes, estar dispostos e qualificados para executar o trabalho descrit"&amp;"o e devem estar disponíveis durante todo o período especificado, trabalhando em todas as áreas da vaga. O horário de trabalho pode variar de acordo com os picos e vales do turismo ao longo da temporada (+/-), possíveis períodos de baixa temporada e/ou hor"&amp;"as extras. Número de horas por semana: 40. Horário de trabalho (início/término): 8h às 17h.")</f>
        <v>As funções podem incluir: Auxiliar os operadores de máquinas durante os processos de ensacamento e produção de palha de pinheiro, carregando matéria-prima em esteiras transportadoras e descarregando os produtos ensacados utilizando empilhadeiras, carrinhos, plataformas de carga e outros equipamentos básicos de movimentação de materiais. Transportar matéria-prima e produtos acabados entre as áreas de armazenamento e de trabalho manualmente ou com equipamentos de elevação motorizados. Monitorar o funcionamento dos equipamentos e notificar os supervisores sobre problemas básicos nas máquinas ou interrupções na produção. Limpar as áreas de trabalho e os equipamentos de produção utilizando vassouras, pás e forcados. Realizar a limpeza básica dos equipamentos, lubrificação e remoção de detritos para manter as operações seguras e eficientes, além de outras atividades relacionadas ao Auxiliar de Produção, conforme SOC/OES 53-7051 (onetonline.org). Horário padrão/esperado: Segunda a sexta, das 8h às 17h. Oferecemos 35 horas semanais ou mais, sem incluir o horário de almoço e/ou intervalos. Possibilidade de trabalho nos fins de semana e feriados. Os horários de início e término, a carga horária oferecida e/ou a possibilidade de horas extras podem variar, pois dependem de fatores como necessidades do projeto/cronograma/serviço, condições climáticas e tempo de deslocamento entre os locais de trabalho (se aplicável). Horas extras são possíveis, mas não obrigatórias nem garantidas. A critério exclusivo do empregador: aumentos salariais e/ou bônus podem ser concedidos com base em fatores individuais, como desempenho ou habilidades (não garantidos). Classificação da vaga: 53-7051.00 - Operadores de Empilhadeiras e Tratores Industriais. A classificação e a descrição da vaga/setor incluem informações gerais sobre o cargo, conforme o ONET/OES e o Sistema de Classificação Industrial da América do Norte (NAICS). Consulte as Funções e a Ordem de Serviço para obter mais informações. Requisitos da vaga: Experiência necessária: Não. Requisitos especiais: É necessário comprovar autorização legal para trabalhar nos Estados Unidos. Ambiente de trabalho livre de drogas, álcool e tabaco. Executar atividades físicas, como levantar, equilibrar-se, caminhar, abaixar-se, manusear, posicionar, mover e manipular materiais; usar força estática para exercer força muscular máxima para levantar, empurrar, puxar e carregar objetos de até 20 kg. Todos os candidatos devem ser capazes, estar dispostos e qualificados para executar o trabalho descrito e devem estar disponíveis durante todo o período especificado, trabalhando em todas as áreas da vaga. O horário de trabalho pode variar de acordo com os picos e vales do turismo ao longo da temporada (+/-), possíveis períodos de baixa temporada e/ou horas extras. Número de horas por semana: 40. Horário de trabalho (início/término): 8h às 17h.</v>
      </c>
    </row>
    <row r="395" ht="20.25" customHeight="1">
      <c r="A395" s="8" t="s">
        <v>2099</v>
      </c>
      <c r="B395" s="8" t="s">
        <v>1410</v>
      </c>
      <c r="C395" s="8" t="s">
        <v>1411</v>
      </c>
      <c r="D395" s="8" t="s">
        <v>663</v>
      </c>
      <c r="E395" s="9" t="s">
        <v>19</v>
      </c>
      <c r="F395" s="9" t="s">
        <v>20</v>
      </c>
      <c r="G395" s="9" t="s">
        <v>2100</v>
      </c>
      <c r="H395" s="8" t="s">
        <v>1413</v>
      </c>
      <c r="I395" s="8" t="s">
        <v>1414</v>
      </c>
      <c r="J395" s="9">
        <v>19.38</v>
      </c>
      <c r="K395" s="9">
        <v>3.0</v>
      </c>
      <c r="L395" s="8" t="s">
        <v>2101</v>
      </c>
      <c r="M395" s="8" t="s">
        <v>2102</v>
      </c>
      <c r="N395" s="7" t="str">
        <f>IFERROR(__xludf.DUMMYFUNCTION("GOOGLETRANSLATE(L395, ""en"", ""pt"")"),"Técnico de Manutenção")</f>
        <v>Técnico de Manutenção</v>
      </c>
      <c r="O395" s="7" t="str">
        <f>IFERROR(__xludf.DUMMYFUNCTION("IF(M395="""","""",GOOGLETRANSLATE(M395,""en"",""pt""))"),"Auxiliar mecânicos experientes em tarefas menos complexas relacionadas à manutenção e reparo de veículos. Auxiliar os mecânicos no diagnóstico, exame, teste, ajuste e reparo de diversos veículos e equipamentos comerciais, como caminhonetes, conjuntos de c"&amp;"aminhão-trator pesado, caminhões com Peso Bruto Total (PBT) superior a 11.793 kg (26.001 libras), carregadeiras, reboques e outras máquinas e equipamentos relacionados, conforme necessário. Segurar ou fornecer ferramentas e peças para trabalhadores mais q"&amp;"ualificados. Posicionar veículos e outros objetos, como ferramentas, equipamentos de diagnóstico, suprimentos, etc., conforme necessário. As funções diárias podem incluir inspecionar veículos, máquinas e equipamentos para garantir seu pleno funcionamento;"&amp;" limpar e lubrificar veículos e outros equipamentos e ferramentas; manter a área de manutenção limpa e segura, garantindo que todos os equipamentos de diagnóstico, suprimentos, ferramentas, equipamentos de manutenção grandes e pequenos, fluidos e suprimen"&amp;"tos estejam armazenados e posicionados conforme necessário. Classificação da Função: 49-9098.00 - Ajudantes - Trabalhadores de Instalação, Manutenção e Reparo. A classificação e descrição da função/setor inclui informações gerais sobre o cargo, de acordo "&amp;"com o ONET/OES e o Sistema de Classificação Industrial da América do Norte (NAICS). Consulte as Funções e a Ordem de Serviço para obter mais informações. Requisitos da Função: Experiência Necessária: Sim. Meses de Experiência Necessários: 6. Requisitos Es"&amp;"peciais: Carteira de Habilitação. Aprovação em verificação de antecedentes e teste toxicológico. Número de Horas por Semana: 45. Horário de Trabalho (Início/Término): 16h00 - 01h00.")</f>
        <v>Auxiliar mecânicos experientes em tarefas menos complexas relacionadas à manutenção e reparo de veículos. Auxiliar os mecânicos no diagnóstico, exame, teste, ajuste e reparo de diversos veículos e equipamentos comerciais, como caminhonetes, conjuntos de caminhão-trator pesado, caminhões com Peso Bruto Total (PBT) superior a 11.793 kg (26.001 libras), carregadeiras, reboques e outras máquinas e equipamentos relacionados, conforme necessário. Segurar ou fornecer ferramentas e peças para trabalhadores mais qualificados. Posicionar veículos e outros objetos, como ferramentas, equipamentos de diagnóstico, suprimentos, etc., conforme necessário. As funções diárias podem incluir inspecionar veículos, máquinas e equipamentos para garantir seu pleno funcionamento; limpar e lubrificar veículos e outros equipamentos e ferramentas; manter a área de manutenção limpa e segura, garantindo que todos os equipamentos de diagnóstico, suprimentos, ferramentas, equipamentos de manutenção grandes e pequenos, fluidos e suprimentos estejam armazenados e posicionados conforme necessário. Classificação da Função: 49-9098.00 - Ajudantes - Trabalhadores de Instalação, Manutenção e Reparo. A classificação e descrição da função/setor inclui informações gerais sobre o cargo, de acordo com o ONET/OES e o Sistema de Classificação Industrial da América do Norte (NAICS). Consulte as Funções e a Ordem de Serviço para obter mais informações. Requisitos da Função: Experiência Necessária: Sim. Meses de Experiência Necessários: 6. Requisitos Especiais: Carteira de Habilitação. Aprovação em verificação de antecedentes e teste toxicológico. Número de Horas por Semana: 45. Horário de Trabalho (Início/Término): 16h00 - 01h00.</v>
      </c>
    </row>
    <row r="396" ht="20.25" customHeight="1">
      <c r="A396" s="3" t="s">
        <v>2103</v>
      </c>
      <c r="B396" s="3" t="s">
        <v>2104</v>
      </c>
      <c r="C396" s="3" t="s">
        <v>17</v>
      </c>
      <c r="D396" s="3" t="s">
        <v>602</v>
      </c>
      <c r="E396" s="4" t="s">
        <v>19</v>
      </c>
      <c r="F396" s="4" t="s">
        <v>20</v>
      </c>
      <c r="G396" s="4" t="s">
        <v>404</v>
      </c>
      <c r="H396" s="3" t="s">
        <v>2105</v>
      </c>
      <c r="I396" s="3"/>
      <c r="J396" s="4">
        <v>19.74</v>
      </c>
      <c r="K396" s="4">
        <v>2.0</v>
      </c>
      <c r="L396" s="3" t="s">
        <v>2106</v>
      </c>
      <c r="M396" s="3" t="s">
        <v>2107</v>
      </c>
      <c r="N396" s="7" t="str">
        <f>IFERROR(__xludf.DUMMYFUNCTION("GOOGLETRANSLATE(L396, ""en"", ""pt"")"),"Equipe de apoio do restaurante")</f>
        <v>Equipe de apoio do restaurante</v>
      </c>
      <c r="O396" s="7" t="str">
        <f>IFERROR(__xludf.DUMMYFUNCTION("IF(M396="""","""",GOOGLETRANSLATE(M396,""en"",""pt""))"),"**Resposta à Solicitação de Informações** A limpeza dos banheiros é uma tarefa básica e incidental para um funcionário de apoio em um restaurante. As funções específicas incluem secar balcões molhados com papel-toalha, verificar o estoque de papel higiêni"&amp;"co nos armários e repor o papel higiênico ou papel-toalha nos dispensers, se necessário, e, caso o chão esteja molhado, secá-lo com um esfregão seco para garantir a segurança dos clientes. O preparo de sobremesas também é uma tarefa básica e incidental pa"&amp;"ra um funcionário de apoio em um restaurante. As funções específicas incluem cortar bolos em fatias com um cortador de bolos e colocá-las nos pratos, bem como servir sobremesas pré-cozidas ou sorvetes em tigelas com uma colher. **Original** Auxiliar outro"&amp;"s funcionários do restaurante servindo comidas e bebidas aos clientes ou recolhendo pratos e talheres. Preparar condimentos e utensílios de mesa, servir água aos clientes, polir talheres e copos, preparar sobremesas e cafés. Arrumar as mesas, inspecionar "&amp;"as áreas de refeição e serviço para garantir a limpeza e a organização adequadas. Regar as flores. Inspecionar os banheiros quanto à limpeza e disponibilidade de suprimentos e limpá-los quando necessário. Receber os clientes, acomodá-los às mesas ou no sa"&amp;"lão e ajudar a garantir a qualidade das instalações e do serviço. Fornecer os cardápios aos clientes. Manter contato com a equipe da cozinha, a gerência, os garçons e os clientes para garantir que os detalhes da refeição sejam tratados adequadamente e que"&amp;" as preocupações dos clientes sejam atendidas. Verificar as reservas dos clientes e designar garçons, ou designar os clientes para mesas adequadas às suas necessidades e de acordo com a rotação, para que os garçons recebam um número apropriado de clientes"&amp;". Conversar com os clientes para garantir a satisfação com a comida e o serviço, responder a solicitações ou simplesmente conversar. Classificação do Cargo: 35-2021.00 - Auxiliares de Cozinha. A classificação e a descrição do cargo/setor incluem informaçõ"&amp;"es gerais sobre a posição, de acordo com o ONET/OES e o Sistema de Classificação Industrial da América do Norte. Consulte as Funções e a Ordem de Serviço para obter mais informações. Requisitos do Cargo: Experiência Necessária: Sim. Meses de Experiência N"&amp;"ecessários: 3. Requisitos Especiais: Requer três meses de experiência como auxiliar de restaurante ou função similar de atendimento ao cliente. Fluência em inglês é obrigatória. Deverá levantar/carregar 23 kg (50 lbs), quando necessário. O empregador exig"&amp;"irá exame toxicológico pós-contratação, pago pelo empregador, para funcionários estrangeiros e nacionais em caso de suspeita de uso. O horário de trabalho será variável e incluirá noites, feriados, sábados e domingos. O trabalho poderá ser realizado em qu"&amp;"alquer dia da semana, de segunda a domingo. Os turnos podem variar. O empregador poderá oferecer mais horas de trabalho do que as estipuladas, dependendo do clima, das necessidades da empresa e de outras condições. Calor extremo, frio, chuva ou seca podem"&amp;" afetar o horário de trabalho exato. Número de horas por semana: 35. Horário de trabalho (início/término): 15h00 - 22h30.")</f>
        <v>**Resposta à Solicitação de Informações** A limpeza dos banheiros é uma tarefa básica e incidental para um funcionário de apoio em um restaurante. As funções específicas incluem secar balcões molhados com papel-toalha, verificar o estoque de papel higiênico nos armários e repor o papel higiênico ou papel-toalha nos dispensers, se necessário, e, caso o chão esteja molhado, secá-lo com um esfregão seco para garantir a segurança dos clientes. O preparo de sobremesas também é uma tarefa básica e incidental para um funcionário de apoio em um restaurante. As funções específicas incluem cortar bolos em fatias com um cortador de bolos e colocá-las nos pratos, bem como servir sobremesas pré-cozidas ou sorvetes em tigelas com uma colher. **Original** Auxiliar outros funcionários do restaurante servindo comidas e bebidas aos clientes ou recolhendo pratos e talheres. Preparar condimentos e utensílios de mesa, servir água aos clientes, polir talheres e copos, preparar sobremesas e cafés. Arrumar as mesas, inspecionar as áreas de refeição e serviço para garantir a limpeza e a organização adequadas. Regar as flores. Inspecionar os banheiros quanto à limpeza e disponibilidade de suprimentos e limpá-los quando necessário. Receber os clientes, acomodá-los às mesas ou no salão e ajudar a garantir a qualidade das instalações e do serviço. Fornecer os cardápios aos clientes. Manter contato com a equipe da cozinha, a gerência, os garçons e os clientes para garantir que os detalhes da refeição sejam tratados adequadamente e que as preocupações dos clientes sejam atendidas. Verificar as reservas dos clientes e designar garçons, ou designar os clientes para mesas adequadas às suas necessidades e de acordo com a rotação, para que os garçons recebam um número apropriado de clientes. Conversar com os clientes para garantir a satisfação com a comida e o serviço, responder a solicitações ou simplesmente conversar. Classificação do Cargo: 35-2021.00 - Auxiliares de Cozinha. A classificação e a descrição do cargo/setor incluem informações gerais sobre a posição, de acordo com o ONET/OES e o Sistema de Classificação Industrial da América do Norte. Consulte as Funções e a Ordem de Serviço para obter mais informações. Requisitos do Cargo: Experiência Necessária: Sim. Meses de Experiência Necessários: 3. Requisitos Especiais: Requer três meses de experiência como auxiliar de restaurante ou função similar de atendimento ao cliente. Fluência em inglês é obrigatória. Deverá levantar/carregar 23 kg (50 lbs), quando necessário. O empregador exigirá exame toxicológico pós-contratação, pago pelo empregador, para funcionários estrangeiros e nacionais em caso de suspeita de uso. O horário de trabalho será variável e incluirá noites, feriados, sábados e domingos. O trabalho poderá ser realizado em qualquer dia da semana, de segunda a domingo. Os turnos podem variar. O empregador poderá oferecer mais horas de trabalho do que as estipuladas, dependendo do clima, das necessidades da empresa e de outras condições. Calor extremo, frio, chuva ou seca podem afetar o horário de trabalho exato. Número de horas por semana: 35. Horário de trabalho (início/término): 15h00 - 22h30.</v>
      </c>
    </row>
    <row r="397" ht="20.25" customHeight="1">
      <c r="A397" s="8" t="s">
        <v>2108</v>
      </c>
      <c r="B397" s="8" t="s">
        <v>2104</v>
      </c>
      <c r="C397" s="8" t="s">
        <v>17</v>
      </c>
      <c r="D397" s="8" t="s">
        <v>602</v>
      </c>
      <c r="E397" s="9" t="s">
        <v>19</v>
      </c>
      <c r="F397" s="9" t="s">
        <v>20</v>
      </c>
      <c r="G397" s="9" t="s">
        <v>404</v>
      </c>
      <c r="H397" s="8" t="s">
        <v>2105</v>
      </c>
      <c r="I397" s="8"/>
      <c r="J397" s="9">
        <v>21.98</v>
      </c>
      <c r="K397" s="9">
        <v>4.0</v>
      </c>
      <c r="L397" s="8" t="s">
        <v>387</v>
      </c>
      <c r="M397" s="8" t="s">
        <v>2109</v>
      </c>
      <c r="N397" s="7" t="str">
        <f>IFERROR(__xludf.DUMMYFUNCTION("GOOGLETRANSLATE(L397, ""en"", ""pt"")"),"Ordem de serviço não disponível")</f>
        <v>Ordem de serviço não disponível</v>
      </c>
      <c r="O397" s="7" t="str">
        <f>IFERROR(__xludf.DUMMYFUNCTION("IF(M397="""","""",GOOGLETRANSLATE(M397,""en"",""pt""))"),"Preparar, temperar e cozinhar pratos como sopas, carnes, legumes ou sobremesas em restaurantes. Assar, grelhar, gratinar e cozinhar no vapor carnes, peixes, legumes e outros alimentos. Pode ser necessário encomendar suprimentos, manter registros e partici"&amp;"par de contagens de estoque. Garantir que os alimentos sejam armazenados e cozidos na temperatura correta, regulando a temperatura de fornos, grelhas e assadeiras. Inspecionar e limpar as áreas de preparação de alimentos, como equipamentos, superfícies de"&amp;" trabalho e áreas de serviço, para garantir práticas seguras e higiênicas de manipulação de alimentos. Porcionar, arrumar e decorar os alimentos. Servir os alimentos aos garçons ou clientes. Garantir o frescor dos alimentos e ingredientes, verificando a q"&amp;"ualidade, controlando os itens novos e antigos e fazendo o rodízio do estoque. Temperar e cozinhar os alimentos de acordo com as receitas. Pesar, medir e misturar os ingredientes de acordo com as receitas, utilizando diversos utensílios e equipamentos de "&amp;"cozinha. Virar ou mexer os alimentos para garantir um cozimento uniforme. Observar e testar os alimentos para determinar se estão suficientemente cozidos, utilizando métodos como provar, cheirar ou perfurar com utensílios. Classificação da Função: 35-2014"&amp;".00 - Cozinheiros(as), Restaurante. A classificação e descrição da função/setor inclui informações gerais sobre o cargo, de acordo com o ONET/OES e o Sistema de Classificação Industrial da América do Norte (NAICS). Consulte as Funções e a Ordem de Serviço"&amp;" para obter mais informações. Requisitos da Função Experiência Necessária: Sim Meses de Experiência Necessários: 3 Requisitos Especiais: Requer três meses de experiência como cozinheiro(a) ou função similar em serviços de alimentação. Inglês intermediário"&amp;" necessário. Deve ser capaz de levantar/carregar 23 kg, quando necessário. Trabalho aos sábados e domingos, quando necessário. Exame toxicológico pós-contratação, pago pelo empregador, é obrigatório para funcionários estrangeiros e nacionais em caso de su"&amp;"speita de uso. A escala de trabalho será variável e incluirá noites, feriados, sábados e domingos. O trabalho pode ser realizado em qualquer dia da semana, de segunda a domingo. Os turnos podem variar. O empregador pode oferecer mais horas de trabalho do "&amp;"que as indicadas, dependendo do clima, das necessidades da empresa e de outras condições. Calor extremo, frio, chuva ou seca podem afetar o horário de trabalho exato. Número de horas por semana: 40 Horário de trabalho (início/término): 15h00 - 22h30")</f>
        <v>Preparar, temperar e cozinhar pratos como sopas, carnes, legumes ou sobremesas em restaurantes. Assar, grelhar, gratinar e cozinhar no vapor carnes, peixes, legumes e outros alimentos. Pode ser necessário encomendar suprimentos, manter registros e participar de contagens de estoque. Garantir que os alimentos sejam armazenados e cozidos na temperatura correta, regulando a temperatura de fornos, grelhas e assadeiras. Inspecionar e limpar as áreas de preparação de alimentos, como equipamentos, superfícies de trabalho e áreas de serviço, para garantir práticas seguras e higiênicas de manipulação de alimentos. Porcionar, arrumar e decorar os alimentos. Servir os alimentos aos garçons ou clientes. Garantir o frescor dos alimentos e ingredientes, verificando a qualidade, controlando os itens novos e antigos e fazendo o rodízio do estoque. Temperar e cozinhar os alimentos de acordo com as receitas. Pesar, medir e misturar os ingredientes de acordo com as receitas, utilizando diversos utensílios e equipamentos de cozinha. Virar ou mexer os alimentos para garantir um cozimento uniforme. Observar e testar os alimentos para determinar se estão suficientemente cozidos, utilizando métodos como provar, cheirar ou perfurar com utensílios. Classificação da Função: 35-2014.00 - Cozinheiros(as), Restaurante. A classificação e descrição da função/setor inclui informações gerais sobre o cargo, de acordo com o ONET/OES e o Sistema de Classificação Industrial da América do Norte (NAICS). Consulte as Funções e a Ordem de Serviço para obter mais informações. Requisitos da Função Experiência Necessária: Sim Meses de Experiência Necessários: 3 Requisitos Especiais: Requer três meses de experiência como cozinheiro(a) ou função similar em serviços de alimentação. Inglês intermediário necessário. Deve ser capaz de levantar/carregar 23 kg, quando necessário. Trabalho aos sábados e domingos, quando necessário. Exame toxicológico pós-contratação, pago pelo empregador, é obrigatório para funcionários estrangeiros e nacionais em caso de suspeita de uso. A escala de trabalho será variável e incluirá noites, feriados, sábados e domingos. O trabalho pode ser realizado em qualquer dia da semana, de segunda a domingo. Os turnos podem variar. O empregador pode oferecer mais horas de trabalho do que as indicadas, dependendo do clima, das necessidades da empresa e de outras condições. Calor extremo, frio, chuva ou seca podem afetar o horário de trabalho exato. Número de horas por semana: 40 Horário de trabalho (início/término): 15h00 - 22h30</v>
      </c>
    </row>
    <row r="398" ht="20.25" customHeight="1">
      <c r="A398" s="3" t="s">
        <v>2110</v>
      </c>
      <c r="B398" s="3" t="s">
        <v>2111</v>
      </c>
      <c r="C398" s="3" t="s">
        <v>1440</v>
      </c>
      <c r="D398" s="3" t="s">
        <v>284</v>
      </c>
      <c r="E398" s="4" t="s">
        <v>19</v>
      </c>
      <c r="F398" s="4" t="s">
        <v>20</v>
      </c>
      <c r="G398" s="4" t="s">
        <v>307</v>
      </c>
      <c r="H398" s="3" t="s">
        <v>2112</v>
      </c>
      <c r="I398" s="3" t="s">
        <v>2113</v>
      </c>
      <c r="J398" s="4">
        <v>14.3</v>
      </c>
      <c r="K398" s="4">
        <v>120.0</v>
      </c>
      <c r="L398" s="3" t="s">
        <v>2114</v>
      </c>
      <c r="M398" s="3" t="s">
        <v>2115</v>
      </c>
      <c r="N398" s="7" t="str">
        <f>IFERROR(__xludf.DUMMYFUNCTION("GOOGLETRANSLATE(L398, ""en"", ""pt"")"),"Paisagismo e manutenção de jardins")</f>
        <v>Paisagismo e manutenção de jardins</v>
      </c>
      <c r="O398" s="7" t="str">
        <f>IFERROR(__xludf.DUMMYFUNCTION("IF(M398="""","""",GOOGLETRANSLATE(M398,""en"",""pt""))"),"Todos os candidatos devem ser capazes, dispostos e qualificados para executar o trabalho descrito e devem estar disponíveis durante todo o período especificado. Vaga temporária sazonal em tempo integral para Limpeza de Vegetação em Faixas de Domínio de Ut"&amp;"ilidades, conforme Soc/OES 37-3011. Atividades: pulverizar fertilizantes, herbicidas e inseticidas em arbustos, árvores e folhagens, utilizando pulverizadores manuais e automáticos. Realizar atividades físicas: levantar, equilibrar-se, caminhar, agachar-s"&amp;"e, manusear, posicionar, mover e manipular materiais, utilizando força estática e exercendo força muscular máxima para empurrar, puxar e carregar objetos de até 23 kg. Trabalho ao ar livre, exposto às intempéries. Todo o trabalho será realizado com ferram"&amp;"entas, suprimentos e equipamentos fornecidos, sem custo ou depósito. Não é exigida experiência ou escolaridade mínima. O empregador oferece treinamento em serviço, auxiliando na busca de acomodação, fornecendo uma lista de opções de hospedagem pública. O "&amp;"custo varia conforme a localização. Os trabalhadores não são obrigados a se hospedar nesses locais. O empregador arcará com os custos de hospedagem na medida exigida por lei. Horas por semana: 35+ Horário diário: 7h às 17h, de segunda a sexta-feira Classi"&amp;"ficação da vaga: 37-3011.00 - Trabalhadores de Paisagismo e Manutenção de Jardins A classificação e descrição da vaga/setor incluem informações gerais sobre o cargo, de acordo com o ONET/OES e o Sistema de Classificação Industrial da América do Norte (NAI"&amp;"CS). Consulte as Funções e a Ordem de Serviço para obter mais informações. Requisitos da vaga Experiência exigida: Não Requisitos especiais: É necessário ter pelo menos 18 anos de idade devido a viagens. Ambiente de trabalho livre de drogas, álcool e taba"&amp;"co; caso o supervisor observe que o trabalhador possivelmente está sob efeito de drogas/álcool, o empregador pagará o teste; recusa em participar ou reprovação no teste resultarão em demissão. É necessário comprovar autorização legal para trabalhar nos EU"&amp;"A. Número de horas por semana: 35 Horário de trabalho (início/término): 7h às 17h")</f>
        <v>Todos os candidatos devem ser capazes, dispostos e qualificados para executar o trabalho descrito e devem estar disponíveis durante todo o período especificado. Vaga temporária sazonal em tempo integral para Limpeza de Vegetação em Faixas de Domínio de Utilidades, conforme Soc/OES 37-3011. Atividades: pulverizar fertilizantes, herbicidas e inseticidas em arbustos, árvores e folhagens, utilizando pulverizadores manuais e automáticos. Realizar atividades físicas: levantar, equilibrar-se, caminhar, agachar-se, manusear, posicionar, mover e manipular materiais, utilizando força estática e exercendo força muscular máxima para empurrar, puxar e carregar objetos de até 23 kg. Trabalho ao ar livre, exposto às intempéries. Todo o trabalho será realizado com ferramentas, suprimentos e equipamentos fornecidos, sem custo ou depósito. Não é exigida experiência ou escolaridade mínima. O empregador oferece treinamento em serviço, auxiliando na busca de acomodação, fornecendo uma lista de opções de hospedagem pública. O custo varia conforme a localização. Os trabalhadores não são obrigados a se hospedar nesses locais. O empregador arcará com os custos de hospedagem na medida exigida por lei. Horas por semana: 35+ Horário diário: 7h às 17h, de segunda a sexta-feira Classificação da vaga: 37-3011.00 - Trabalhadores de Paisagismo e Manutenção de Jardins A classificação e descrição da vaga/setor incluem informações gerais sobre o cargo, de acordo com o ONET/OES e o Sistema de Classificação Industrial da América do Norte (NAICS). Consulte as Funções e a Ordem de Serviço para obter mais informações. Requisitos da vaga Experiência exigida: Não Requisitos especiais: É necessário ter pelo menos 18 anos de idade devido a viagens. Ambiente de trabalho livre de drogas, álcool e tabaco; caso o supervisor observe que o trabalhador possivelmente está sob efeito de drogas/álcool, o empregador pagará o teste; recusa em participar ou reprovação no teste resultarão em demissão. É necessário comprovar autorização legal para trabalhar nos EUA. Número de horas por semana: 35 Horário de trabalho (início/término): 7h às 17h</v>
      </c>
    </row>
    <row r="399" ht="20.25" customHeight="1">
      <c r="A399" s="8" t="s">
        <v>2116</v>
      </c>
      <c r="B399" s="8" t="s">
        <v>2117</v>
      </c>
      <c r="C399" s="8" t="s">
        <v>125</v>
      </c>
      <c r="D399" s="8" t="s">
        <v>55</v>
      </c>
      <c r="E399" s="9" t="s">
        <v>19</v>
      </c>
      <c r="F399" s="9" t="s">
        <v>20</v>
      </c>
      <c r="G399" s="9" t="s">
        <v>146</v>
      </c>
      <c r="H399" s="8" t="s">
        <v>2118</v>
      </c>
      <c r="I399" s="8" t="s">
        <v>2119</v>
      </c>
      <c r="J399" s="9">
        <v>18.31</v>
      </c>
      <c r="K399" s="9">
        <v>4.0</v>
      </c>
      <c r="L399" s="8" t="s">
        <v>129</v>
      </c>
      <c r="M399" s="8" t="s">
        <v>2120</v>
      </c>
      <c r="N399" s="7" t="str">
        <f>IFERROR(__xludf.DUMMYFUNCTION("GOOGLETRANSLATE(L399, ""en"", ""pt"")"),"Trabalhador de paisagismo e manutenção de jardins")</f>
        <v>Trabalhador de paisagismo e manutenção de jardins</v>
      </c>
      <c r="O399" s="7" t="str">
        <f>IFERROR(__xludf.DUMMYFUNCTION("IF(M399="""","""",GOOGLETRANSLATE(M399,""en"",""pt""))"),"As funções incluem a instalação de árvores, arbustos ou flores durante o período de dormência, seguindo o padrão de design apropriado. Isso inclui descarregar materiais, cavar buracos para o sistema radicular, cobrir os buracos adequadamente e, às vezes, "&amp;"colocar grama em placas, plantar sementes de grama ou conectar a irrigação. Também envolve a remoção de folhas, plantio de sementes e palha, aeração do gramado, plantio de arbustos, escavação, rastelagem e instalação de blocos de concreto pré-moldados sem"&amp;" argamassa. Os trabalhadores podem coletar e remover lixo, regar gramados, árvores e plantas semeadas, além de podar árvores, arbustos ou sebes. Podem operar equipamentos motorizados e dirigir veículos até os locais dos clientes. As tarefas podem incluir "&amp;"colocação de grama em placas, corte de grama, rega de plantas e gramados, transplante de plantas, fertilização, escavação, rastelagem e instalação de aspersores. Os funcionários cavarão valas com no máximo 15 a 30 cm de profundidade e 15 a 30 cm de largur"&amp;"a com pás e ferramentas manuais. Essas valas são usadas para acomodar a tubulação utilizada na instalação de sistemas de irrigação. Toda a poda/aparamento será feita no solo. Os trabalhadores não realizarão nenhuma atividade de poda ou corte acima do níve"&amp;"l do solo. O trabalhador poderá transportar outros trabalhadores de e para os locais de trabalho ocasionalmente, porém essa não será sua principal função. Os trabalhadores poderão operar equipamentos motorizados de jardinagem, incluindo cortadores de gram"&amp;"a, aparadores de borda, sopradores, roçadeiras, roçadeiras de jardim, pequenos tratores e equipamentos similares. Os trabalhadores poderão dirigir caminhonetes e outros veículos leves da empresa para ir e voltar dos locais de trabalho dos clientes. Os tra"&amp;"balhadores poderão ocasionalmente transportar outros trabalhadores de e para os locais de trabalho; no entanto, o transporte de trabalhadores não é uma função principal. Os trabalhadores também poderão ocasionalmente transportar materiais, ferramentas e e"&amp;"quipamentos de jardinagem de e para os locais de trabalho, incluindo cobertura morta, plantas em vasos, pás, ancinhos, cortadores de grama, sopradores e roçadeiras de jardim. Nenhum material perigoso será transportado pelos trabalhadores. Todos os veículo"&amp;"s e equipamentos operados têm peso bruto total inferior a 26.000 libras (aproximadamente 11.800 kg), incluindo quaisquer reboques acoplados ou materiais transportados. Classificação da Função: 37-3011.00 - Trabalhadores de Paisagismo e Manutenção de Jardi"&amp;"ns. A classificação e descrição da função/setor inclui informações gerais sobre o cargo, conforme o ONET/OES e o Sistema de Classificação Industrial da América do Norte (NAICS). Consulte as Funções e a Ordem de Serviço para obter mais informações. Requisi"&amp;"tos da Função Experiência Necessária: Não. Requisitos Especiais: Capacidade de levantar 23 kg, realizar movimentos repetitivos, empurrar/puxar objetos com frequência, caminhar bastante, agachar-se frequentemente e estar exposto a temperaturas extremas. Nú"&amp;"mero de Horas por Semana: 40. Horário de Trabalho (Início/Término): 7h às 16h.")</f>
        <v>As funções incluem a instalação de árvores, arbustos ou flores durante o período de dormência, seguindo o padrão de design apropriado. Isso inclui descarregar materiais, cavar buracos para o sistema radicular, cobrir os buracos adequadamente e, às vezes, colocar grama em placas, plantar sementes de grama ou conectar a irrigação. Também envolve a remoção de folhas, plantio de sementes e palha, aeração do gramado, plantio de arbustos, escavação, rastelagem e instalação de blocos de concreto pré-moldados sem argamassa. Os trabalhadores podem coletar e remover lixo, regar gramados, árvores e plantas semeadas, além de podar árvores, arbustos ou sebes. Podem operar equipamentos motorizados e dirigir veículos até os locais dos clientes. As tarefas podem incluir colocação de grama em placas, corte de grama, rega de plantas e gramados, transplante de plantas, fertilização, escavação, rastelagem e instalação de aspersores. Os funcionários cavarão valas com no máximo 15 a 30 cm de profundidade e 15 a 30 cm de largura com pás e ferramentas manuais. Essas valas são usadas para acomodar a tubulação utilizada na instalação de sistemas de irrigação. Toda a poda/aparamento será feita no solo. Os trabalhadores não realizarão nenhuma atividade de poda ou corte acima do nível do solo. O trabalhador poderá transportar outros trabalhadores de e para os locais de trabalho ocasionalmente, porém essa não será sua principal função. Os trabalhadores poderão operar equipamentos motorizados de jardinagem, incluindo cortadores de grama, aparadores de borda, sopradores, roçadeiras, roçadeiras de jardim, pequenos tratores e equipamentos similares. Os trabalhadores poderão dirigir caminhonetes e outros veículos leves da empresa para ir e voltar dos locais de trabalho dos clientes. Os trabalhadores poderão ocasionalmente transportar outros trabalhadores de e para os locais de trabalho; no entanto, o transporte de trabalhadores não é uma função principal. Os trabalhadores também poderão ocasionalmente transportar materiais, ferramentas e equipamentos de jardinagem de e para os locais de trabalho, incluindo cobertura morta, plantas em vasos, pás, ancinhos, cortadores de grama, sopradores e roçadeiras de jardim. Nenhum material perigoso será transportado pelos trabalhadores. Todos os veículos e equipamentos operados têm peso bruto total inferior a 26.000 libras (aproximadamente 11.800 kg), incluindo quaisquer reboques acoplados ou materiais transportados. Classificação da Função: 37-3011.00 - Trabalhadores de Paisagismo e Manutenção de Jardins. A classificação e descrição da função/setor inclui informações gerais sobre o cargo, conforme o ONET/OES e o Sistema de Classificação Industrial da América do Norte (NAICS). Consulte as Funções e a Ordem de Serviço para obter mais informações. Requisitos da Função Experiência Necessária: Não. Requisitos Especiais: Capacidade de levantar 23 kg, realizar movimentos repetitivos, empurrar/puxar objetos com frequência, caminhar bastante, agachar-se frequentemente e estar exposto a temperaturas extremas. Número de Horas por Semana: 40. Horário de Trabalho (Início/Término): 7h às 16h.</v>
      </c>
    </row>
    <row r="400" ht="20.25" customHeight="1">
      <c r="A400" s="3" t="s">
        <v>2121</v>
      </c>
      <c r="B400" s="3" t="s">
        <v>2122</v>
      </c>
      <c r="C400" s="3" t="s">
        <v>27</v>
      </c>
      <c r="D400" s="3" t="s">
        <v>299</v>
      </c>
      <c r="E400" s="4" t="s">
        <v>19</v>
      </c>
      <c r="F400" s="4" t="s">
        <v>20</v>
      </c>
      <c r="G400" s="4" t="s">
        <v>212</v>
      </c>
      <c r="H400" s="3" t="s">
        <v>2123</v>
      </c>
      <c r="I400" s="3" t="s">
        <v>2124</v>
      </c>
      <c r="J400" s="4">
        <v>22.32</v>
      </c>
      <c r="K400" s="4">
        <v>7.0</v>
      </c>
      <c r="L400" s="3" t="s">
        <v>676</v>
      </c>
      <c r="M400" s="3" t="s">
        <v>2125</v>
      </c>
      <c r="N400" s="7" t="str">
        <f>IFERROR(__xludf.DUMMYFUNCTION("GOOGLETRANSLATE(L400, ""en"", ""pt"")"),"Trabalhadores de paisagismo e manutenção de jardins")</f>
        <v>Trabalhadores de paisagismo e manutenção de jardins</v>
      </c>
      <c r="O400" s="7" t="str">
        <f>IFERROR(__xludf.DUMMYFUNCTION("IF(M400="""","""",GOOGLETRANSLATE(M400,""en"",""pt""))"),"As funções podem incluir: remoção de neve e manutenção de terrenos, incluindo o degelo e a remoção de neve de calçadas, entradas de garagem e estacionamentos de diversas propriedades residenciais e comerciais, utilizando pá e soprador de neve. Distribuiçã"&amp;"o de soluções de degelo. A limpeza de outono e primavera envolve a preparação e desativação de sistemas de irrigação. Não será necessário operar limpa-neves ou realizar outras atividades relacionadas a paisagismo e manutenção de terrenos, conforme SOC/OES"&amp;" 37-3011 (onetonline.org). Horário padrão/esperado: segunda a domingo, das 5h às 10h. Oferecemos 35 horas ou mais por semana, sem incluir almoço e/ou intervalos. Possibilidade de trabalho em fins de semana e feriados. Os horários de início e término, a ca"&amp;"rga horária e/ou horas extras podem variar, pois dependem de fatores como projetos/cronograma/necessidades de serviço, condições climáticas e tempo de deslocamento entre os locais de trabalho (se aplicável). Horas extras são possíveis, mas não obrigatória"&amp;"s ou garantidas. A critério exclusivo do empregador: possíveis aumentos e/ou bônus com base em fatores individuais, como desempenho no trabalho ou habilidades (não garantidos). Classificação do Cargo: 37-3011.00 - Trabalhadores de Paisagismo e Manutenção "&amp;"de Jardins. A classificação e descrição do cargo/setor inclui informações gerais sobre a posição, conforme o ONET/OES e o Sistema de Classificação Industrial da América do Norte. Consulte as Funções e a Ordem de Serviço para obter mais informações. Requis"&amp;"itos do Cargo Experiência Necessária: Não. Requisitos Especiais: Deve apresentar comprovante de autorização legal para trabalhar nos Estados Unidos. Ambiente de trabalho livre de drogas, álcool e tabaco. Executar atividades físicas, como levantar, equilib"&amp;"rar-se, caminhar, abaixar-se, manusear, posicionar, mover e manipular materiais; usar força estática para exercer força muscular máxima para levantar, empurrar, puxar e carregar objetos de até 23 kg. Todos os candidatos devem ser capazes, estar dispostos "&amp;"e qualificados para executar o trabalho descrito e devem estar disponíveis durante todo o período especificado e trabalhar em todas as áreas do emprego pretendido. A critério do empregador/custo: O trabalhador poderá ser submetido a testes aleatórios de d"&amp;"rogas/álcool durante o emprego: teste positivo/recusa em cumprir o teste = demissão. Possível verificação de antecedentes após a contratação, às custas do empregador. O trabalho é realizado ao ar livre, exposto às intempéries; o candidato deve ser capaz d"&amp;"e realizar trabalho fisicamente extenuante por longos períodos, ocasionalmente em calor ou frio extremos. Condições climáticas variáveis ​​se aplicam; a carga horária pode sofrer alterações (+/-), com possibilidade de períodos de inatividade e/ou horas ex"&amp;"tras. Número de horas por semana: 35. Horário de trabalho (início/término): 5h00 - 10h00.")</f>
        <v>As funções podem incluir: remoção de neve e manutenção de terrenos, incluindo o degelo e a remoção de neve de calçadas, entradas de garagem e estacionamentos de diversas propriedades residenciais e comerciais, utilizando pá e soprador de neve. Distribuição de soluções de degelo. A limpeza de outono e primavera envolve a preparação e desativação de sistemas de irrigação. Não será necessário operar limpa-neves ou realizar outras atividades relacionadas a paisagismo e manutenção de terrenos, conforme SOC/OES 37-3011 (onetonline.org). Horário padrão/esperado: segunda a domingo, das 5h às 10h. Oferecemos 35 horas ou mais por semana, sem incluir almoço e/ou intervalos. Possibilidade de trabalho em fins de semana e feriados. Os horários de início e término, a carga horária e/ou horas extras podem variar, pois dependem de fatores como projetos/cronograma/necessidades de serviço, condições climáticas e tempo de deslocamento entre os locais de trabalho (se aplicável). Horas extras são possíveis, mas não obrigatórias ou garantidas. A critério exclusivo do empregador: possíveis aumentos e/ou bônus com base em fatores individuais, como desempenho no trabalho ou habilidades (não garantidos). Classificação do Cargo: 37-3011.00 - Trabalhadores de Paisagismo e Manutenção de Jardins. A classificação e descrição do cargo/setor inclui informações gerais sobre a posição, conforme o ONET/OES e o Sistema de Classificação Industrial da América do Norte. Consulte as Funções e a Ordem de Serviço para obter mais informações. Requisitos do Cargo Experiência Necessária: Não. Requisitos Especiais: Deve apresentar comprovante de autorização legal para trabalhar nos Estados Unidos. Ambiente de trabalho livre de drogas, álcool e tabaco. Executar atividades físicas, como levantar, equilibrar-se, caminhar, abaixar-se, manusear, posicionar, mover e manipular materiais; usar força estática para exercer força muscular máxima para levantar, empurrar, puxar e carregar objetos de até 23 kg. Todos os candidatos devem ser capazes, estar dispostos e qualificados para executar o trabalho descrito e devem estar disponíveis durante todo o período especificado e trabalhar em todas as áreas do emprego pretendido. A critério do empregador/custo: O trabalhador poderá ser submetido a testes aleatórios de drogas/álcool durante o emprego: teste positivo/recusa em cumprir o teste = demissão. Possível verificação de antecedentes após a contratação, às custas do empregador. O trabalho é realizado ao ar livre, exposto às intempéries; o candidato deve ser capaz de realizar trabalho fisicamente extenuante por longos períodos, ocasionalmente em calor ou frio extremos. Condições climáticas variáveis ​​se aplicam; a carga horária pode sofrer alterações (+/-), com possibilidade de períodos de inatividade e/ou horas extras. Número de horas por semana: 35. Horário de trabalho (início/término): 5h00 - 10h00.</v>
      </c>
    </row>
    <row r="401" ht="20.25" customHeight="1">
      <c r="A401" s="8" t="s">
        <v>2126</v>
      </c>
      <c r="B401" s="8" t="s">
        <v>2127</v>
      </c>
      <c r="C401" s="8" t="s">
        <v>63</v>
      </c>
      <c r="D401" s="8" t="s">
        <v>18</v>
      </c>
      <c r="E401" s="9" t="s">
        <v>19</v>
      </c>
      <c r="F401" s="9" t="s">
        <v>20</v>
      </c>
      <c r="G401" s="9" t="s">
        <v>56</v>
      </c>
      <c r="H401" s="8" t="s">
        <v>1896</v>
      </c>
      <c r="I401" s="8" t="s">
        <v>2128</v>
      </c>
      <c r="J401" s="9">
        <v>19.47</v>
      </c>
      <c r="K401" s="9">
        <v>31.0</v>
      </c>
      <c r="L401" s="8" t="s">
        <v>321</v>
      </c>
      <c r="M401" s="8" t="s">
        <v>2129</v>
      </c>
      <c r="N401" s="7" t="str">
        <f>IFERROR(__xludf.DUMMYFUNCTION("GOOGLETRANSLATE(L401, ""en"", ""pt"")"),"Trabalhadores de paisagismo")</f>
        <v>Trabalhadores de paisagismo</v>
      </c>
      <c r="O401" s="7" t="str">
        <f>IFERROR(__xludf.DUMMYFUNCTION("IF(M401="""","""",GOOGLETRANSLATE(M401,""en"",""pt""))"),"Paisagismo e manutenção de terrenos utilizando ferramentas manuais ou elétricas. Os trabalhadores geralmente executam uma variedade de tarefas, que podem incluir qualquer combinação das seguintes: colocação de grama, corte de grama, cobertura morta, poda,"&amp;" plantio, irrigação, escavação e rastelagem; auxílio na instalação de sprinklers e na instalação de blocos de concreto pré-moldados sem argamassa. Manutenção/reparo de ferramentas/equipamentos conforme necessário. Nível inicial; requer supervisão. Classif"&amp;"icação da vaga: 37-3011.00 - Trabalhadores de Paisagismo e Manutenção de Terrenos. A classificação e descrição da vaga/setor incluem informações gerais sobre o cargo, de acordo com o ONET/OES e o Sistema de Classificação Industrial da América do Norte (NA"&amp;"ICS). Consulte as Funções e a Ordem de Serviço para obter mais informações. Requisitos da vaga: Experiência exigida: Não. Requisitos especiais: Deve ser capaz de levantar/carregar 23 kg, quando necessário. Trabalho aos sábados e domingos, quando necessári"&amp;"o. Teste antidrogas pago pelo empregador é obrigatório para trabalhadores estrangeiros e nacionais antes do início do trabalho e após a contratação, em caso de suspeita de uso e após acidente. A verificação de antecedentes após a contratação pode ser exig"&amp;"ida de trabalhadores estrangeiros e nacionais, de acordo com os requisitos contratuais. A verificação de elegibilidade para emprego (e-Verify) é obrigatória para trabalhadores estrangeiros e nacionais. A verificação do histórico de condução após a contrat"&amp;"ação é exigida apenas para trabalhadores estrangeiros e nacionais que dirigem veículos da empresa (dirigir não é um requisito para todos os funcionários da função). O empregador pode oferecer mais horas de trabalho do que as estipuladas, dependendo do cli"&amp;"ma, das necessidades da empresa e de outras condições. Calor extremo, frio, chuva ou seca podem afetar o horário de trabalho exato. Número de horas por semana: 40. Horário de trabalho (início/término): 7h às 16h.")</f>
        <v>Paisagismo e manutenção de terrenos utilizando ferramentas manuais ou elétricas. Os trabalhadores geralmente executam uma variedade de tarefas, que podem incluir qualquer combinação das seguintes: colocação de grama, corte de grama, cobertura morta, poda, plantio, irrigação, escavação e rastelagem; auxílio na instalação de sprinklers e na instalação de blocos de concreto pré-moldados sem argamassa. Manutenção/reparo de ferramentas/equipamentos conforme necessário. Nível inicial; requer supervisão. Classificação da vaga: 37-3011.00 - Trabalhadores de Paisagismo e Manutenção de Terrenos. A classificação e descrição da vaga/setor incluem informações gerais sobre o cargo, de acordo com o ONET/OES e o Sistema de Classificação Industrial da América do Norte (NAICS). Consulte as Funções e a Ordem de Serviço para obter mais informações. Requisitos da vaga: Experiência exigida: Não. Requisitos especiais: Deve ser capaz de levantar/carregar 23 kg, quando necessário. Trabalho aos sábados e domingos, quando necessário. Teste antidrogas pago pelo empregador é obrigatório para trabalhadores estrangeiros e nacionais antes do início do trabalho e após a contratação, em caso de suspeita de uso e após acidente. A verificação de antecedentes após a contratação pode ser exigida de trabalhadores estrangeiros e nacionais, de acordo com os requisitos contratuais. A verificação de elegibilidade para emprego (e-Verify) é obrigatória para trabalhadores estrangeiros e nacionais. A verificação do histórico de condução após a contratação é exigida apenas para trabalhadores estrangeiros e nacionais que dirigem veículos da empresa (dirigir não é um requisito para todos os funcionários da função). O empregador pode oferecer mais horas de trabalho do que as estipuladas, dependendo do clima, das necessidades da empresa e de outras condições. Calor extremo, frio, chuva ou seca podem afetar o horário de trabalho exato. Número de horas por semana: 40. Horário de trabalho (início/término): 7h às 16h.</v>
      </c>
    </row>
    <row r="402" ht="20.25" customHeight="1">
      <c r="A402" s="3" t="s">
        <v>2130</v>
      </c>
      <c r="B402" s="3" t="s">
        <v>2131</v>
      </c>
      <c r="C402" s="3" t="s">
        <v>1904</v>
      </c>
      <c r="D402" s="3" t="s">
        <v>28</v>
      </c>
      <c r="E402" s="4" t="s">
        <v>44</v>
      </c>
      <c r="F402" s="4" t="s">
        <v>20</v>
      </c>
      <c r="G402" s="4" t="s">
        <v>1280</v>
      </c>
      <c r="H402" s="3" t="s">
        <v>2132</v>
      </c>
      <c r="I402" s="3" t="s">
        <v>2133</v>
      </c>
      <c r="J402" s="4">
        <v>19.52</v>
      </c>
      <c r="K402" s="4">
        <v>54.0</v>
      </c>
      <c r="L402" s="3" t="s">
        <v>83</v>
      </c>
      <c r="M402" s="3" t="s">
        <v>2134</v>
      </c>
      <c r="N402" s="7" t="str">
        <f>IFERROR(__xludf.DUMMYFUNCTION("GOOGLETRANSLATE(L402, ""en"", ""pt"")"),"Trabalhador Florestal")</f>
        <v>Trabalhador Florestal</v>
      </c>
      <c r="O402" s="7" t="str">
        <f>IFERROR(__xludf.DUMMYFUNCTION("IF(M402="""","""",GOOGLETRANSLATE(M402,""en"",""pt""))"),"As funções podem incluir: Realizar trabalho braçal necessário para desenvolver e manter áreas florestais/bosques. Plantar manualmente árvores de raiz nua/em contêineres usando pá, enxada, plantadeira manual/ferramentas elétricas. Semear e retirar mudas de"&amp;" viveiros. Transportar a árvore em um saco para mudas, selecionar o local ideal para o plantio, cavar buracos em intervalos predeterminados usando uma ferramenta tipo enxada/plantador manual. Colocar a muda no buraco e compactar o solo firmemente ao redor"&amp;" da planta usando o pé/ferramenta de plantio. O trabalhador pode executar apenas parte da função de plantio, como remover o solo, operar a ferramenta ou compactar o solo ao redor da planta e outras atividades relacionadas ao trabalho florestal, conforme S"&amp;"OC/OES 45-4011 (onetonline.org). Horário padrão/esperado: Segunda a sexta, das 8h às 15h. Oferecendo 35 horas ou mais por semana; sem incluir almoço e/ou intervalos. Possibilidade de trabalho nos fins de semana/feriados. Os horários de início e término, a"&amp;" carga horária oferecida e/ou a possibilidade de horas extras podem variar, pois dependem de fatores como necessidades do projeto/cronograma/serviço, condições climáticas e tempo de deslocamento entre os locais de trabalho (se aplicável). Horas extras são"&amp;" possíveis, mas não obrigatórias nem garantidas. A critério exclusivo do empregador: aumentos salariais e/ou bônus podem ser concedidos com base em fatores individuais, como desempenho ou habilidades (não garantidos). Pode haver pagamento por produção: o "&amp;"trabalhador nunca receberá menos do que o Salário Vigente ou o salário mínimo federal/estadual/municipal. Moradia compartilhada opcional disponível sem custo para o trabalhador. Classificação da vaga: 45-4011.00 - Trabalhadores Florestais e de Conservação"&amp;". A classificação e a descrição da vaga/setor incluem informações gerais sobre o cargo, de acordo com o ONET/OES e o Sistema de Classificação Industrial da América do Norte (NAICS). Consulte as Funções e a Ordem de Serviço para obter mais informações. Req"&amp;"uisitos da vaga: Experiência exigida: Não. Requisitos especiais: É necessário ter 18 anos devido a viagens. É necessário apresentar comprovante de autorização legal para trabalhar nos Estados Unidos. Ambiente de trabalho livre de drogas, álcool e tabaco. "&amp;"Executar atividades físicas, como levantar, equilibrar-se, caminhar, abaixar-se, manusear, posicionar, mover e manipular materiais; usar força estática para exercer força muscular máxima para levantar, empurrar, puxar e carregar objetos de até 23 kg. Todo"&amp;"s os candidatos devem ser capazes, dispostos e qualificados para executar o trabalho descrito e devem estar disponíveis durante todo o período especificado e trabalhar em todas as áreas da empresa. O trabalho é realizado ao ar livre, exposto às intempérie"&amp;"s; o candidato deve ser capaz de realizar trabalho fisicamente extenuante por longos períodos, ocasionalmente em calor ou frio extremos. As condições climáticas são variáveis; a carga horária pode sofrer alterações (+/-), com possibilidade de períodos de "&amp;"inatividade e/ou horas extras. Número de horas por semana: 40. Horário de trabalho (início/término): 8h às 15h.")</f>
        <v>As funções podem incluir: Realizar trabalho braçal necessário para desenvolver e manter áreas florestais/bosques. Plantar manualmente árvores de raiz nua/em contêineres usando pá, enxada, plantadeira manual/ferramentas elétricas. Semear e retirar mudas de viveiros. Transportar a árvore em um saco para mudas, selecionar o local ideal para o plantio, cavar buracos em intervalos predeterminados usando uma ferramenta tipo enxada/plantador manual. Colocar a muda no buraco e compactar o solo firmemente ao redor da planta usando o pé/ferramenta de plantio. O trabalhador pode executar apenas parte da função de plantio, como remover o solo, operar a ferramenta ou compactar o solo ao redor da planta e outras atividades relacionadas ao trabalho florestal, conforme SOC/OES 45-4011 (onetonline.org). Horário padrão/esperado: Segunda a sexta, das 8h às 15h. Oferecendo 35 horas ou mais por semana; sem incluir almoço e/ou intervalos. Possibilidade de trabalho nos fins de semana/feriados. Os horários de início e término, a carga horária oferecida e/ou a possibilidade de horas extras podem variar, pois dependem de fatores como necessidades do projeto/cronograma/serviço, condições climáticas e tempo de deslocamento entre os locais de trabalho (se aplicável). Horas extras são possíveis, mas não obrigatórias nem garantidas. A critério exclusivo do empregador: aumentos salariais e/ou bônus podem ser concedidos com base em fatores individuais, como desempenho ou habilidades (não garantidos). Pode haver pagamento por produção: o trabalhador nunca receberá menos do que o Salário Vigente ou o salário mínimo federal/estadual/municipal. Moradia compartilhada opcional disponível sem custo para o trabalhador. Classificação da vaga: 45-4011.00 - Trabalhadores Florestais e de Conservação. A classificação e a descrição da vaga/setor incluem informações gerais sobre o cargo, de acordo com o ONET/OES e o Sistema de Classificação Industrial da América do Norte (NAICS). Consulte as Funções e a Ordem de Serviço para obter mais informações. Requisitos da vaga: Experiência exigida: Não. Requisitos especiais: É necessário ter 18 anos devido a viagens. É necessário apresentar comprovante de autorização legal para trabalhar nos Estados Unidos. Ambiente de trabalho livre de drogas, álcool e tabaco. Executar atividades físicas, como levantar, equilibrar-se, caminhar, abaixar-se, manusear, posicionar, mover e manipular materiais; usar força estática para exercer força muscular máxima para levantar, empurrar, puxar e carregar objetos de até 23 kg. Todos os candidatos devem ser capazes, dispostos e qualificados para executar o trabalho descrito e devem estar disponíveis durante todo o período especificado e trabalhar em todas as áreas da empresa. O trabalho é realizado ao ar livre, exposto às intempéries; o candidato deve ser capaz de realizar trabalho fisicamente extenuante por longos períodos, ocasionalmente em calor ou frio extremos. As condições climáticas são variáveis; a carga horária pode sofrer alterações (+/-), com possibilidade de períodos de inatividade e/ou horas extras. Número de horas por semana: 40. Horário de trabalho (início/término): 8h às 15h.</v>
      </c>
    </row>
    <row r="403" ht="20.25" customHeight="1">
      <c r="A403" s="8" t="s">
        <v>2135</v>
      </c>
      <c r="B403" s="8" t="s">
        <v>2136</v>
      </c>
      <c r="C403" s="8" t="s">
        <v>125</v>
      </c>
      <c r="D403" s="8" t="s">
        <v>254</v>
      </c>
      <c r="E403" s="9" t="s">
        <v>19</v>
      </c>
      <c r="F403" s="9" t="s">
        <v>20</v>
      </c>
      <c r="G403" s="9" t="s">
        <v>146</v>
      </c>
      <c r="H403" s="8" t="s">
        <v>2137</v>
      </c>
      <c r="I403" s="8" t="s">
        <v>2138</v>
      </c>
      <c r="J403" s="9">
        <v>15.58</v>
      </c>
      <c r="K403" s="9">
        <v>12.0</v>
      </c>
      <c r="L403" s="8" t="s">
        <v>129</v>
      </c>
      <c r="M403" s="8" t="s">
        <v>2139</v>
      </c>
      <c r="N403" s="7" t="str">
        <f>IFERROR(__xludf.DUMMYFUNCTION("GOOGLETRANSLATE(L403, ""en"", ""pt"")"),"Trabalhador de paisagismo e manutenção de jardins")</f>
        <v>Trabalhador de paisagismo e manutenção de jardins</v>
      </c>
      <c r="O403" s="7" t="str">
        <f>IFERROR(__xludf.DUMMYFUNCTION("IF(M403="""","""",GOOGLETRANSLATE(M403,""en"",""pt""))"),"As funções incluem a instalação de árvores, arbustos ou flores durante o período de dormência, seguindo o padrão de design apropriado. Isso inclui descarregar materiais, cavar buracos para o sistema radicular, cobrir os buracos adequadamente e, às vezes, "&amp;"colocar grama em placas, plantar sementes de grama ou conectar a irrigação. Também envolve a remoção de folhas, plantio de sementes e palha, aeração do gramado, plantio de arbustos, escavação, rastelagem e instalação de blocos de concreto pré-moldados sem"&amp;" argamassa. Os trabalhadores podem coletar e remover lixo, regar gramados, árvores e plantas semeadas, além de podar árvores, arbustos ou sebes. Podem operar equipamentos motorizados e dirigir veículos até os locais dos clientes. As tarefas podem incluir "&amp;"colocação de grama em placas, corte de grama, rega de plantas e gramados, transplante de plantas, fertilização, escavação, rastelagem e instalação de aspersores. Os funcionários cavarão valas com no máximo 15 a 30 cm de profundidade e 15 a 30 cm de largur"&amp;"a com pás e ferramentas manuais. Essas valas são usadas para acomodar a tubulação utilizada na instalação de sistemas de irrigação. Toda a poda/aparamento será feita no solo. Os trabalhadores não realizarão nenhuma atividade de poda ou corte acima do níve"&amp;"l do solo. O trabalhador poderá transportar outros trabalhadores de e para os locais de trabalho ocasionalmente, porém esta não será sua principal função. Classificação da Função: 37-3011.00 - Trabalhadores de Paisagismo e Manutenção de Jardins. A classif"&amp;"icação e descrição da função/setor inclui informações gerais sobre o cargo, de acordo com o ONET/OES e o Sistema de Classificação Industrial da América do Norte (NAICS). Consulte as Funções e a Ordem de Serviço para obter mais informações. Requisitos da F"&amp;"unção Experiência Necessária: Sim Meses de Experiência Necessários: 3 Requisitos Especiais: Deve possuir carteira de habilitação válida. Deve ter 3 meses de experiência. Deve ser capaz de levantar 23 kg, realizar movimentos repetitivos, empurrar/puxar com"&amp;" frequência, caminhar bastante, agachar-se frequentemente e estar exposto a temperaturas extremas. Número de Horas por Semana: 40 Horário de Trabalho (Início/Término): 7h às 16h.")</f>
        <v>As funções incluem a instalação de árvores, arbustos ou flores durante o período de dormência, seguindo o padrão de design apropriado. Isso inclui descarregar materiais, cavar buracos para o sistema radicular, cobrir os buracos adequadamente e, às vezes, colocar grama em placas, plantar sementes de grama ou conectar a irrigação. Também envolve a remoção de folhas, plantio de sementes e palha, aeração do gramado, plantio de arbustos, escavação, rastelagem e instalação de blocos de concreto pré-moldados sem argamassa. Os trabalhadores podem coletar e remover lixo, regar gramados, árvores e plantas semeadas, além de podar árvores, arbustos ou sebes. Podem operar equipamentos motorizados e dirigir veículos até os locais dos clientes. As tarefas podem incluir colocação de grama em placas, corte de grama, rega de plantas e gramados, transplante de plantas, fertilização, escavação, rastelagem e instalação de aspersores. Os funcionários cavarão valas com no máximo 15 a 30 cm de profundidade e 15 a 30 cm de largura com pás e ferramentas manuais. Essas valas são usadas para acomodar a tubulação utilizada na instalação de sistemas de irrigação. Toda a poda/aparamento será feita no solo. Os trabalhadores não realizarão nenhuma atividade de poda ou corte acima do nível do solo. O trabalhador poderá transportar outros trabalhadores de e para os locais de trabalho ocasionalmente, porém esta não será sua principal função. Classificação da Função: 37-3011.00 - Trabalhadores de Paisagismo e Manutenção de Jardins. A classificação e descrição da função/setor inclui informações gerais sobre o cargo, de acordo com o ONET/OES e o Sistema de Classificação Industrial da América do Norte (NAICS). Consulte as Funções e a Ordem de Serviço para obter mais informações. Requisitos da Função Experiência Necessária: Sim Meses de Experiência Necessários: 3 Requisitos Especiais: Deve possuir carteira de habilitação válida. Deve ter 3 meses de experiência. Deve ser capaz de levantar 23 kg, realizar movimentos repetitivos, empurrar/puxar com frequência, caminhar bastante, agachar-se frequentemente e estar exposto a temperaturas extremas. Número de Horas por Semana: 40 Horário de Trabalho (Início/Término): 7h às 16h.</v>
      </c>
    </row>
    <row r="404" ht="20.25" customHeight="1">
      <c r="A404" s="3" t="s">
        <v>2140</v>
      </c>
      <c r="B404" s="3" t="s">
        <v>2141</v>
      </c>
      <c r="C404" s="3" t="s">
        <v>1369</v>
      </c>
      <c r="D404" s="3" t="s">
        <v>64</v>
      </c>
      <c r="E404" s="4" t="s">
        <v>19</v>
      </c>
      <c r="F404" s="4" t="s">
        <v>20</v>
      </c>
      <c r="G404" s="4" t="s">
        <v>29</v>
      </c>
      <c r="H404" s="3" t="s">
        <v>2142</v>
      </c>
      <c r="I404" s="3" t="s">
        <v>2143</v>
      </c>
      <c r="J404" s="4">
        <v>18.26</v>
      </c>
      <c r="K404" s="4">
        <v>12.0</v>
      </c>
      <c r="L404" s="3" t="s">
        <v>406</v>
      </c>
      <c r="M404" s="3" t="s">
        <v>2144</v>
      </c>
      <c r="N404" s="7" t="str">
        <f>IFERROR(__xludf.DUMMYFUNCTION("GOOGLETRANSLATE(L404, ""en"", ""pt"")"),"Trabalhador")</f>
        <v>Trabalhador</v>
      </c>
      <c r="O404" s="7" t="str">
        <f>IFERROR(__xludf.DUMMYFUNCTION("IF(M404="""","""",GOOGLETRANSLATE(M404,""en"",""pt""))"),"Trabalho braçal na escavação de valas com aproximadamente 30 cm de largura e 30 cm de profundidade. Limpeza e preparação do local de trabalho. Transporte de tubos do caminhão até a vala para rosqueamento. Reparo de vazamentos com pá. Limpeza de entulhos e"&amp;" detritos. Carregamento e descarregamento de ferramentas e suprimentos. Flexão e agachamento frequentes. Classificação da vaga: 47-2061.00 - Auxiliares de Construção. A classificação e descrição da vaga/setor incluem informações gerais sobre o cargo, de a"&amp;"cordo com o ONET/OES e o Sistema de Classificação Industrial da América do Norte (NAICS). Consulte as Funções e a Ordem de Serviço para obter mais informações. Requisitos da vaga: Experiência necessária: Não. Requisitos especiais: Flexão e agachamento fre"&amp;"quentes. Necessário fornecer botas de biqueira de aço. Não são exigidos formação, experiência ou treinamento. 35 horas/semana. Sem horas extras garantidas. Teste toxicológico gratuito após a contratação. Transporte fornecido a partir de um local centraliz"&amp;"ado. Número de horas por semana: 35 Horário de trabalho (início/término): 6h00 - 14h00")</f>
        <v>Trabalho braçal na escavação de valas com aproximadamente 30 cm de largura e 30 cm de profundidade. Limpeza e preparação do local de trabalho. Transporte de tubos do caminhão até a vala para rosqueamento. Reparo de vazamentos com pá. Limpeza de entulhos e detritos. Carregamento e descarregamento de ferramentas e suprimentos. Flexão e agachamento frequentes. Classificação da vaga: 47-2061.00 - Auxiliares de Construção. A classificação e descrição da vaga/setor incluem informações gerais sobre o cargo, de acordo com o ONET/OES e o Sistema de Classificação Industrial da América do Norte (NAICS). Consulte as Funções e a Ordem de Serviço para obter mais informações. Requisitos da vaga: Experiência necessária: Não. Requisitos especiais: Flexão e agachamento frequentes. Necessário fornecer botas de biqueira de aço. Não são exigidos formação, experiência ou treinamento. 35 horas/semana. Sem horas extras garantidas. Teste toxicológico gratuito após a contratação. Transporte fornecido a partir de um local centralizado. Número de horas por semana: 35 Horário de trabalho (início/término): 6h00 - 14h00</v>
      </c>
    </row>
    <row r="405" ht="20.25" customHeight="1">
      <c r="A405" s="8" t="s">
        <v>2145</v>
      </c>
      <c r="B405" s="8" t="s">
        <v>2146</v>
      </c>
      <c r="C405" s="8" t="s">
        <v>125</v>
      </c>
      <c r="D405" s="8" t="s">
        <v>109</v>
      </c>
      <c r="E405" s="9" t="s">
        <v>19</v>
      </c>
      <c r="F405" s="9" t="s">
        <v>20</v>
      </c>
      <c r="G405" s="9" t="s">
        <v>146</v>
      </c>
      <c r="H405" s="8" t="s">
        <v>2147</v>
      </c>
      <c r="I405" s="8" t="s">
        <v>2148</v>
      </c>
      <c r="J405" s="9">
        <v>30.3</v>
      </c>
      <c r="K405" s="9">
        <v>10.0</v>
      </c>
      <c r="L405" s="8" t="s">
        <v>2149</v>
      </c>
      <c r="M405" s="8" t="s">
        <v>2150</v>
      </c>
      <c r="N405" s="7" t="str">
        <f>IFERROR(__xludf.DUMMYFUNCTION("GOOGLETRANSLATE(L405, ""en"", ""pt"")"),"Pedreiros de cimento e acabadores de concreto")</f>
        <v>Pedreiros de cimento e acabadores de concreto</v>
      </c>
      <c r="O405" s="7" t="str">
        <f>IFERROR(__xludf.DUMMYFUNCTION("IF(M405="""","""",GOOGLETRANSLATE(M405,""en"",""pt""))"),"Alisar, nivelar e dar acabamento às superfícies de concreto recém-lançado em projetos de construção, como fundações, pisos, calçadas, passeios, meio-fios, entradas de garagem, ruas, sarjetas e outras superfícies de concreto. Os trabalhadores realizam trab"&amp;"alho manual utilizando uma variedade de ferramentas manuais e elétricas, como pás, ancinhos, desempenadeiras, réguas e colheres de pedreiro, além de réguas vibratórias e alisadoras mecânicas, para garantir que as superfícies de concreto atendam aos níveis"&amp;", texturas e acabamentos exigidos. Alinhar as fôrmas para calçadas, meio-fios ou sarjetas; preencher vazios; e usar serras para cortar juntas de dilatação. Dar acabamento às superfícies de concreto de acordo com as texturas especificadas por meio de acaba"&amp;"mento de bordas, rejuntamento, alisamento, desempenadeira, vassoura ou estampagem. Corrigir defeitos na superfície, preencher rachaduras ou vazios e reparar áreas de concreto danificadas. Remover as fôrmas após a cura e limpar as áreas de trabalho e as fe"&amp;"rramentas. Classificação da Função: 47-2051.00 - Pedreiros e Acabadores de Concreto. A classificação e descrição da função/setor inclui informações gerais sobre o cargo, de acordo com o ONET/OES e o Sistema de Classificação Industrial da América do Norte "&amp;"(NAICS). Consulte as Funções e a Ordem de Serviço para obter mais informações. Requisitos da Função: Experiência Necessária: Não. Requisitos Especiais: Carteira de habilitação válida (preferencial). Capacidade de levantar 45 kg, realizar movimentos repeti"&amp;"tivos, empurrar/puxar com frequência, caminhar bastante, agachar-se frequentemente e estar exposto a temperaturas extremas. Número de Horas por Semana: 40. Horário de Trabalho (Início/Término): 7h às 16h.")</f>
        <v>Alisar, nivelar e dar acabamento às superfícies de concreto recém-lançado em projetos de construção, como fundações, pisos, calçadas, passeios, meio-fios, entradas de garagem, ruas, sarjetas e outras superfícies de concreto. Os trabalhadores realizam trabalho manual utilizando uma variedade de ferramentas manuais e elétricas, como pás, ancinhos, desempenadeiras, réguas e colheres de pedreiro, além de réguas vibratórias e alisadoras mecânicas, para garantir que as superfícies de concreto atendam aos níveis, texturas e acabamentos exigidos. Alinhar as fôrmas para calçadas, meio-fios ou sarjetas; preencher vazios; e usar serras para cortar juntas de dilatação. Dar acabamento às superfícies de concreto de acordo com as texturas especificadas por meio de acabamento de bordas, rejuntamento, alisamento, desempenadeira, vassoura ou estampagem. Corrigir defeitos na superfície, preencher rachaduras ou vazios e reparar áreas de concreto danificadas. Remover as fôrmas após a cura e limpar as áreas de trabalho e as ferramentas. Classificação da Função: 47-2051.00 - Pedreiros e Acabadores de Concreto. A classificação e descrição da função/setor inclui informações gerais sobre o cargo, de acordo com o ONET/OES e o Sistema de Classificação Industrial da América do Norte (NAICS). Consulte as Funções e a Ordem de Serviço para obter mais informações. Requisitos da Função: Experiência Necessária: Não. Requisitos Especiais: Carteira de habilitação válida (preferencial). Capacidade de levantar 45 kg, realizar movimentos repetitivos, empurrar/puxar com frequência, caminhar bastante, agachar-se frequentemente e estar exposto a temperaturas extremas. Número de Horas por Semana: 40. Horário de Trabalho (Início/Término): 7h às 16h.</v>
      </c>
    </row>
    <row r="406" ht="20.25" customHeight="1">
      <c r="A406" s="8" t="s">
        <v>2151</v>
      </c>
      <c r="B406" s="8" t="s">
        <v>2018</v>
      </c>
      <c r="C406" s="8" t="s">
        <v>391</v>
      </c>
      <c r="D406" s="8" t="s">
        <v>64</v>
      </c>
      <c r="E406" s="9" t="s">
        <v>19</v>
      </c>
      <c r="F406" s="9" t="s">
        <v>20</v>
      </c>
      <c r="G406" s="9" t="s">
        <v>377</v>
      </c>
      <c r="H406" s="14" t="s">
        <v>2019</v>
      </c>
      <c r="I406" s="8" t="s">
        <v>2020</v>
      </c>
      <c r="J406" s="9">
        <v>15.52</v>
      </c>
      <c r="K406" s="9">
        <v>4.0</v>
      </c>
      <c r="L406" s="8" t="s">
        <v>2152</v>
      </c>
      <c r="M406" s="8" t="s">
        <v>2153</v>
      </c>
      <c r="N406" s="7" t="str">
        <f>IFERROR(__xludf.DUMMYFUNCTION("GOOGLETRANSLATE(L406, ""en"", ""pt"")"),"Ajudante de cozinha")</f>
        <v>Ajudante de cozinha</v>
      </c>
      <c r="O406" s="7" t="str">
        <f>IFERROR(__xludf.DUMMYFUNCTION("IF(M406="""","""",GOOGLETRANSLATE(M406,""en"",""pt""))"),"Carregar e descarregar a máquina de lavar louça; limpar e higienizar panelas, frigideiras, utensílios e outros equipamentos de cozinha. Armazenar/estocar utensílios, equipamentos e equipamentos limpos em locais designados. Limpar as áreas de trabalho; lim"&amp;"par a máquina de lavar louça e trocar a água/filtros; manter a limpeza e o bom funcionamento do triturador de lixo; limpar o compactador de lixo e a área designada. Colocar talheres na máquina de polir e/ou polir com pasta os talheres designados; limpar a"&amp;" máquina de polir. Preparar os utensílios para os restaurantes e banquetes, organizar a área de desmontagem para descarte dos utensílios sujos. Transportar suprimentos e alimentos para as áreas de serviço e auxiliar a cozinha na montagem dos pratos de ban"&amp;"quetes, fornecendo talheres, pratos e tampas para a equipe culinária; empilhar os pratos montados no carrinho de banquetes e empurrar o carrinho para as áreas de banquetes. O auxiliar de cozinha movimentará suprimentos (talheres, pratos, panelas e utensíl"&amp;"ios) empurrando um carrinho de banquetes. Remover/recolher utensílios sujos da linha de produção da cozinha e da área de serviço de banquetes e transportá-los para a estação de lavagem de louça. Manter a limpeza e a organização dos armários de suprimentos"&amp;"/armazenamento; remover o lixo, limpar prateleiras/balcões. Limpar derramamentos na cozinha e áreas de trabalho, limpar pisos com vassoura, esfregão, enceradeira, etc. O Auxiliar de Cozinha irá empurrar (transportar) latas de lixo de plástico com rodas e "&amp;"tampas da cozinha e áreas de trabalho até a lixeira; esvaziá-las e limpá-las. O empregador oferece 40 horas de trabalho por semana. Aberto 7 dias por semana, com escala de trabalho de 5 dias variando de domingo a sábado. Horários normais de turno: 7h-15h3"&amp;"0, 8h-16h30, 15h-23h30, 16h-00h30. Os turnos incluem um intervalo de 30 minutos não remunerado. Os horários e turnos podem variar de acordo com a ocupação. O empregador pode aumentar o salário com base na experiência, mudanças nas condições de mercado e/o"&amp;"u fornecer remuneração adicional por desempenho e tempo de serviço. Uma refeição por turno é fornecida gratuitamente ao funcionário. Horas extras podem estar disponíveis. Será pago adicional por horas extras quando exigido por lei federal, estadual ou loc"&amp;"al, incluindo hora e meia após 40 horas semanais. Geralmente, quando houver horas extras disponíveis, elas serão pagas com base no salário de US$ 23,28 por hora. O trabalhador é responsável pelo seu próprio transporte diário de ida e volta ao local de tra"&amp;"balho. Classificação da vaga: 35-9021.00 - Lavadores de Louça. A classificação e descrição da vaga/setor incluem informações gerais sobre o cargo, de acordo com o ONET/OES e o Sistema de Classificação Industrial da América do Norte (NAICS). Consulte as Fu"&amp;"nções e a Ordem de Serviço para obter mais informações. Requisitos da vaga: Experiência exigida: Sim. Meses de experiência exigidos: 1. Requisitos especiais: Deve ser capaz de levantar, empurrar e puxar até 23 kg. Deve ser capaz de se curvar/agachar e fic"&amp;"ar em pé/andar continuamente durante a maior parte do turno. Deve ter disponibilidade para trabalhar em um horário flexível de 5 dias, incluindo fins de semana e feriados, conforme necessário. É necessária verificação de antecedentes pré-emprego, cujo cus"&amp;"to será pago pelo empregador e aplicado igualmente a todos os trabalhadores, americanos e estrangeiros/H-2B. O candidato deve preencher uma ficha de emprego. O uniforme obrigatório será fornecido gratuitamente ao funcionário. Número de horas semanais: 40."&amp;" Horário de trabalho (início/término): 7h às 15h30.")</f>
        <v>Carregar e descarregar a máquina de lavar louça; limpar e higienizar panelas, frigideiras, utensílios e outros equipamentos de cozinha. Armazenar/estocar utensílios, equipamentos e equipamentos limpos em locais designados. Limpar as áreas de trabalho; limpar a máquina de lavar louça e trocar a água/filtros; manter a limpeza e o bom funcionamento do triturador de lixo; limpar o compactador de lixo e a área designada. Colocar talheres na máquina de polir e/ou polir com pasta os talheres designados; limpar a máquina de polir. Preparar os utensílios para os restaurantes e banquetes, organizar a área de desmontagem para descarte dos utensílios sujos. Transportar suprimentos e alimentos para as áreas de serviço e auxiliar a cozinha na montagem dos pratos de banquetes, fornecendo talheres, pratos e tampas para a equipe culinária; empilhar os pratos montados no carrinho de banquetes e empurrar o carrinho para as áreas de banquetes. O auxiliar de cozinha movimentará suprimentos (talheres, pratos, panelas e utensílios) empurrando um carrinho de banquetes. Remover/recolher utensílios sujos da linha de produção da cozinha e da área de serviço de banquetes e transportá-los para a estação de lavagem de louça. Manter a limpeza e a organização dos armários de suprimentos/armazenamento; remover o lixo, limpar prateleiras/balcões. Limpar derramamentos na cozinha e áreas de trabalho, limpar pisos com vassoura, esfregão, enceradeira, etc. O Auxiliar de Cozinha irá empurrar (transportar) latas de lixo de plástico com rodas e tampas da cozinha e áreas de trabalho até a lixeira; esvaziá-las e limpá-las. O empregador oferece 40 horas de trabalho por semana. Aberto 7 dias por semana, com escala de trabalho de 5 dias variando de domingo a sábado. Horários normais de turno: 7h-15h30, 8h-16h30, 15h-23h30, 16h-00h30. Os turnos incluem um intervalo de 30 minutos não remunerado. Os horários e turnos podem variar de acordo com a ocupação. O empregador pode aumentar o salário com base na experiência, mudanças nas condições de mercado e/ou fornecer remuneração adicional por desempenho e tempo de serviço. Uma refeição por turno é fornecida gratuitamente ao funcionário. Horas extras podem estar disponíveis. Será pago adicional por horas extras quando exigido por lei federal, estadual ou local, incluindo hora e meia após 40 horas semanais. Geralmente, quando houver horas extras disponíveis, elas serão pagas com base no salário de US$ 23,28 por hora. O trabalhador é responsável pelo seu próprio transporte diário de ida e volta ao local de trabalho. Classificação da vaga: 35-9021.00 - Lavadores de Louça. A classificação e descrição da vaga/setor incluem informações gerais sobre o cargo, de acordo com o ONET/OES e o Sistema de Classificação Industrial da América do Norte (NAICS). Consulte as Funções e a Ordem de Serviço para obter mais informações. Requisitos da vaga: Experiência exigida: Sim. Meses de experiência exigidos: 1. Requisitos especiais: Deve ser capaz de levantar, empurrar e puxar até 23 kg. Deve ser capaz de se curvar/agachar e ficar em pé/andar continuamente durante a maior parte do turno. Deve ter disponibilidade para trabalhar em um horário flexível de 5 dias, incluindo fins de semana e feriados, conforme necessário. É necessária verificação de antecedentes pré-emprego, cujo custo será pago pelo empregador e aplicado igualmente a todos os trabalhadores, americanos e estrangeiros/H-2B. O candidato deve preencher uma ficha de emprego. O uniforme obrigatório será fornecido gratuitamente ao funcionário. Número de horas semanais: 40. Horário de trabalho (início/término): 7h às 15h30.</v>
      </c>
    </row>
    <row r="407" ht="20.25" customHeight="1">
      <c r="A407" s="8" t="s">
        <v>2154</v>
      </c>
      <c r="B407" s="8" t="s">
        <v>2155</v>
      </c>
      <c r="C407" s="8" t="s">
        <v>125</v>
      </c>
      <c r="D407" s="8" t="s">
        <v>306</v>
      </c>
      <c r="E407" s="9" t="s">
        <v>19</v>
      </c>
      <c r="F407" s="9" t="s">
        <v>20</v>
      </c>
      <c r="G407" s="9" t="s">
        <v>860</v>
      </c>
      <c r="H407" s="8" t="s">
        <v>2156</v>
      </c>
      <c r="I407" s="8" t="s">
        <v>2157</v>
      </c>
      <c r="J407" s="9">
        <v>19.93</v>
      </c>
      <c r="K407" s="9">
        <v>15.0</v>
      </c>
      <c r="L407" s="8" t="s">
        <v>129</v>
      </c>
      <c r="M407" s="8" t="s">
        <v>2158</v>
      </c>
      <c r="N407" s="7" t="str">
        <f>IFERROR(__xludf.DUMMYFUNCTION("GOOGLETRANSLATE(L407, ""en"", ""pt"")"),"Trabalhador de paisagismo e manutenção de jardins")</f>
        <v>Trabalhador de paisagismo e manutenção de jardins</v>
      </c>
      <c r="O407" s="7" t="str">
        <f>IFERROR(__xludf.DUMMYFUNCTION("IF(M407="""","""",GOOGLETRANSLATE(M407,""en"",""pt""))"),"As funções incluem a instalação de árvores, arbustos ou flores durante o período de dormência, seguindo o padrão de design apropriado. Isso inclui descarregar materiais, cavar buracos para o sistema radicular, cobrir os buracos adequadamente e, às vezes, "&amp;"colocar grama em placas, plantar sementes de grama ou conectar a irrigação. Também envolve a remoção de folhas, plantio de sementes e palha, aeração do gramado, plantio de arbustos, escavação, rastelagem e instalação de blocos de concreto pré-moldados sem"&amp;" argamassa. Os trabalhadores podem coletar e remover lixo, regar gramados, árvores e plantas semeadas, além de podar árvores, arbustos ou sebes. Podem operar equipamentos motorizados e dirigir veículos até os locais dos clientes. As tarefas podem incluir "&amp;"colocação de grama em placas, corte de grama, rega de plantas e gramados, transplante de plantas, fertilização, escavação, rastelagem e instalação de aspersores. Os funcionários cavarão valas com no máximo 15 a 30 cm de profundidade e 15 a 30 cm de largur"&amp;"a com pás e ferramentas manuais. Essas valas são usadas para acomodar a tubulação utilizada na instalação de sistemas de irrigação. Toda a poda/aparamento será feita no solo. Os trabalhadores não realizarão nenhuma atividade de poda ou corte acima do níve"&amp;"l do solo. O trabalhador poderá transportar outros trabalhadores de e para os locais de trabalho ocasionalmente, porém esta não será sua principal função. Classificação do Cargo: 37-3011.00 - Trabalhadores de Paisagismo e Manutenção de Jardins. A classifi"&amp;"cação e descrição do cargo/setor inclui informações gerais sobre a posição, de acordo com o ONET/OES e o Sistema de Classificação Industrial da América do Norte (NAICS). Consulte as Funções e a Ordem de Serviço para obter mais informações. Requisitos do C"&amp;"argo Experiência Necessária: Não. Requisitos Especiais: Deve ser capaz de levantar 23 kg. Movimentos repetitivos, empurrar/puxar extensivamente, caminhar extensivamente, exposição a temperaturas extremas. De acordo com a legislação estadual de Michigan, L"&amp;"ei 338 de Licença Médica Remunerada, os empregadores são obrigados a fornecer licença médica remunerada aos seus funcionários. A quantidade de licença médica remunerada fornecida pode variar dependendo do porte da empresa. Número de Horas por Semana: 40. "&amp;"Horário de Trabalho (Início/Término): 7h às 16h.")</f>
        <v>As funções incluem a instalação de árvores, arbustos ou flores durante o período de dormência, seguindo o padrão de design apropriado. Isso inclui descarregar materiais, cavar buracos para o sistema radicular, cobrir os buracos adequadamente e, às vezes, colocar grama em placas, plantar sementes de grama ou conectar a irrigação. Também envolve a remoção de folhas, plantio de sementes e palha, aeração do gramado, plantio de arbustos, escavação, rastelagem e instalação de blocos de concreto pré-moldados sem argamassa. Os trabalhadores podem coletar e remover lixo, regar gramados, árvores e plantas semeadas, além de podar árvores, arbustos ou sebes. Podem operar equipamentos motorizados e dirigir veículos até os locais dos clientes. As tarefas podem incluir colocação de grama em placas, corte de grama, rega de plantas e gramados, transplante de plantas, fertilização, escavação, rastelagem e instalação de aspersores. Os funcionários cavarão valas com no máximo 15 a 30 cm de profundidade e 15 a 30 cm de largura com pás e ferramentas manuais. Essas valas são usadas para acomodar a tubulação utilizada na instalação de sistemas de irrigação. Toda a poda/aparamento será feita no solo. Os trabalhadores não realizarão nenhuma atividade de poda ou corte acima do nível do solo. O trabalhador poderá transportar outros trabalhadores de e para os locais de trabalho ocasionalmente, porém esta não será sua principal função. Classificação do Cargo: 37-3011.00 - Trabalhadores de Paisagismo e Manutenção de Jardins. A classificação e descrição do cargo/setor inclui informações gerais sobre a posição, de acordo com o ONET/OES e o Sistema de Classificação Industrial da América do Norte (NAICS). Consulte as Funções e a Ordem de Serviço para obter mais informações. Requisitos do Cargo Experiência Necessária: Não. Requisitos Especiais: Deve ser capaz de levantar 23 kg. Movimentos repetitivos, empurrar/puxar extensivamente, caminhar extensivamente, exposição a temperaturas extremas. De acordo com a legislação estadual de Michigan, Lei 338 de Licença Médica Remunerada, os empregadores são obrigados a fornecer licença médica remunerada aos seus funcionários. A quantidade de licença médica remunerada fornecida pode variar dependendo do porte da empresa. Número de Horas por Semana: 40. Horário de Trabalho (Início/Término): 7h às 16h.</v>
      </c>
    </row>
    <row r="408" ht="20.25" customHeight="1">
      <c r="A408" s="3" t="s">
        <v>2159</v>
      </c>
      <c r="B408" s="3" t="s">
        <v>1931</v>
      </c>
      <c r="C408" s="3" t="s">
        <v>169</v>
      </c>
      <c r="D408" s="3" t="s">
        <v>140</v>
      </c>
      <c r="E408" s="4" t="s">
        <v>44</v>
      </c>
      <c r="F408" s="4" t="s">
        <v>20</v>
      </c>
      <c r="G408" s="4" t="s">
        <v>118</v>
      </c>
      <c r="H408" s="3" t="s">
        <v>1932</v>
      </c>
      <c r="I408" s="3"/>
      <c r="J408" s="4">
        <v>15.78</v>
      </c>
      <c r="K408" s="4">
        <v>4.0</v>
      </c>
      <c r="L408" s="3" t="s">
        <v>201</v>
      </c>
      <c r="M408" s="3" t="s">
        <v>2160</v>
      </c>
      <c r="N408" s="7" t="str">
        <f>IFERROR(__xludf.DUMMYFUNCTION("GOOGLETRANSLATE(L408, ""en"", ""pt"")"),"Servidores")</f>
        <v>Servidores</v>
      </c>
      <c r="O408" s="7" t="str">
        <f>IFERROR(__xludf.DUMMYFUNCTION("IF(M408="""","""",GOOGLETRANSLATE(M408,""en"",""pt""))"),"Executar uma combinação de tarefas de apoio na cozinha e limpeza em um ambiente de pousada e refeitório. Colocar as porções de comida em pratos ou bandejas de acordo com os pedidos. Limpar ou esterilizar pratos, utensílios de cozinha, equipamentos ou inst"&amp;"alações. Monitorar a distribuição de alimentos, garantindo que as refeições sejam entregues aos destinatários corretos e que as diretrizes, como alergias, sejam seguidas. Inspecionar as bandejas para garantir que contenham os itens necessários. Carregar a"&amp;"s bandejas com talheres, guardanapos ou condimentos. Anotar os pedidos de comida e transmiti-los para as cozinhas ou balcões de serviço. Monitorar as técnicas de preparo ou serviço de alimentos para garantir que os procedimentos adequados sejam seguidos. "&amp;"Retirar as bandejas e empilhar os pratos para devolvê-los à cozinha. Transportar alimentos, talheres ou roupas de mesa em bandejas ou usar carrinhos para transportar as bandejas. Registrar as quantidades e os tipos de itens alimentares especiais servidos."&amp;" Abastecer os pontos de serviço com itens como gelo, guardanapos ou canudos. Preparar itens alimentares, como sanduíches, saladas, sopas ou bebidas. Identificar onde os clientes gostariam de comer e ajudá-los a se acomodar. Lavar pratos, copos, talheres, "&amp;"panelas ou frigideiras, usando lava-louças ou à mão. Mantenha as áreas de trabalho, equipamentos e utensílios limpos e organizados. Guarde pratos, utensílios e equipamentos de cozinha limpos. Varra ou esfregue o chão. Abasteça os balcões de serviço, armár"&amp;"ios, geladeiras e buffets de saladas com suprimentos, como alimentos e utensílios. Limpe e prepare diversos alimentos para cozinhar ou servir. Separe e descarte o lixo, colocando-o nas áreas de coleta. Transfira suprimentos e equipamentos entre o depósito"&amp;" e as áreas de trabalho, manualmente ou utilizando carrinhos de mão. Receba e armazene suprimentos. Limpe as lixeiras com água ou vapor. Carregue e descarregue caminhões que entregam ou recolhem alimentos ou suprimentos. Prepare e embale os jogos de janta"&amp;"r individuais. Monte as mesas de banquete. Limpe e higienize a área de refeições. Mantenha as áreas de armazenamento e os carrinhos bem abastecidos, limpos e organizados. Transporte roupas de cama, toalhas, artigos de higiene pessoal e produtos de limpeza"&amp;" utilizando carrinhos com rodas. Limpe quartos, corredores, saguões, salas de estar, banheiros, elevadores, escadas, vestiários e outras áreas de trabalho para que os padrões de higiene sejam atendidos. Esvaziar cestos de lixo, limpar cinzeiros e transpor"&amp;"tar outros lixos e resíduos para as áreas de descarte. Varrer, esfregar, encerar ou polir pisos, utilizando vassouras, esfregões ou máquinas elétricas de limpeza e enceramento. Repor suprimentos, como copos, roupas de cama, materiais de escrita e itens de"&amp;" banheiro. Limpar tapetes, carpetes, móveis estofados e cortinas, utilizando aspiradores de pó e lavadoras de carpetes. Lavar janelas, paredes, tetos e peças de madeira, encerando e polindo. Tirar o pó e polir móveis e equipamentos. Desinfetar equipamento"&amp;"s e suprimentos, utilizando germicidas ou esterilizadores a vapor. Observar as precauções necessárias para proteger os bens do hotel e dos hóspedes e relatar danos, furtos e objetos encontrados aos supervisores. Separar, contar e etiquetar roupas de cama "&amp;"limpas e guardá-las nos armários. Separar roupas e outros artigos, carregar máquinas de lavar roupa e passar e dobrar peças secas. Mover e organizar móveis e virar colchões. Trocar lâmpadas. Entregar televisores, tábuas de passar roupa, berços e camas ext"&amp;"ras nos quartos. Pendurar cortinas e limpar persianas. Solicitar serviços de reparo e aguardar a chegada dos técnicos. Preparar salas para reuniões e organizar decorações, equipamentos de mídia e móveis para eventos sociais ou corporativos. Área de serviç"&amp;"o do refeitório e buffet. Obter e comunicar aos convidados os pedidos de bebidas não alcoólicas e notificar a cozinha quando os itens do buffet estiverem acabando. Os funcionários não supervisionam outros funcionários. Observar e monitorar o buffet para g"&amp;"arantir que a comida seja servida adequadamente. Garantir que os utensílios de servir estejam disponíveis. Substituir bandejas vazias por bandejas pré-preparadas. Não envolve o preparo de alimentos. O funcionário manipula alimentos e repõe o buffet. Remov"&amp;"er bandejas vazias e substituí-las por bandejas pré-preparadas. Transferir alimentos preparados de recipientes de servir para bandejas. Os equipamentos incluem banhos-maria para buffet, utensílios de servir, panelas, bandejas e equipamentos básicos de lim"&amp;"peza. Classificação do Cargo: 37-2011.00 - Zeladores e Faxineiros, Exceto Empregadas Domésticas e Auxiliares de Limpeza. A classificação e descrição do cargo/setor inclui informações gerais sobre a posição, de acordo com o ONET/OES e o Sistema de Classifi"&amp;"cação Industrial da América do Norte. Consulte as Funções e a Ordem de Serviço para obter mais informações. Requisitos da vaga Experiência necessária: Não Requisitos especiais: Deve ser capaz de levantar/carregar 23 kg, quando necessário. Trabalho aos sáb"&amp;"ados e domingos, quando necessário. Testes toxicológicos pós-contratação, em caso de suspeita de uso, e pós-acidente, são obrigatórios para trabalhadores estrangeiros e nacionais. O empregador poderá oferecer uma carga horária superior à estipulada, depen"&amp;"dendo das condições climáticas, necessidades da empresa e outras circunstâncias. Calor extremo, frio, chuva ou seca podem afetar o horário de trabalho exato. Número de horas por semana: 54 Horário de trabalho (início/término): 7h às 17h")</f>
        <v>Executar uma combinação de tarefas de apoio na cozinha e limpeza em um ambiente de pousada e refeitório. Colocar as porções de comida em pratos ou bandejas de acordo com os pedidos. Limpar ou esterilizar pratos, utensílios de cozinha, equipamentos ou instalações. Monitorar a distribuição de alimentos, garantindo que as refeições sejam entregues aos destinatários corretos e que as diretrizes, como alergias, sejam seguidas. Inspecionar as bandejas para garantir que contenham os itens necessários. Carregar as bandejas com talheres, guardanapos ou condimentos. Anotar os pedidos de comida e transmiti-los para as cozinhas ou balcões de serviço. Monitorar as técnicas de preparo ou serviço de alimentos para garantir que os procedimentos adequados sejam seguidos. Retirar as bandejas e empilhar os pratos para devolvê-los à cozinha. Transportar alimentos, talheres ou roupas de mesa em bandejas ou usar carrinhos para transportar as bandejas. Registrar as quantidades e os tipos de itens alimentares especiais servidos. Abastecer os pontos de serviço com itens como gelo, guardanapos ou canudos. Preparar itens alimentares, como sanduíches, saladas, sopas ou bebidas. Identificar onde os clientes gostariam de comer e ajudá-los a se acomodar. Lavar pratos, copos, talheres, panelas ou frigideiras, usando lava-louças ou à mão. Mantenha as áreas de trabalho, equipamentos e utensílios limpos e organizados. Guarde pratos, utensílios e equipamentos de cozinha limpos. Varra ou esfregue o chão. Abasteça os balcões de serviço, armários, geladeiras e buffets de saladas com suprimentos, como alimentos e utensílios. Limpe e prepare diversos alimentos para cozinhar ou servir. Separe e descarte o lixo, colocando-o nas áreas de coleta. Transfira suprimentos e equipamentos entre o depósito e as áreas de trabalho, manualmente ou utilizando carrinhos de mão. Receba e armazene suprimentos. Limpe as lixeiras com água ou vapor. Carregue e descarregue caminhões que entregam ou recolhem alimentos ou suprimentos. Prepare e embale os jogos de jantar individuais. Monte as mesas de banquete. Limpe e higienize a área de refeições. Mantenha as áreas de armazenamento e os carrinhos bem abastecidos, limpos e organizados. Transporte roupas de cama, toalhas, artigos de higiene pessoal e produtos de limpeza utilizando carrinhos com rodas. Limpe quartos, corredores, saguões, salas de estar, banheiros, elevadores, escadas, vestiários e outras áreas de trabalho para que os padrões de higiene sejam atendidos. Esvaziar cestos de lixo, limpar cinzeiros e transportar outros lixos e resíduos para as áreas de descarte. Varrer, esfregar, encerar ou polir pisos, utilizando vassouras, esfregões ou máquinas elétricas de limpeza e enceramento. Repor suprimentos, como copos, roupas de cama, materiais de escrita e itens de banheiro. Limpar tapetes, carpetes, móveis estofados e cortinas, utilizando aspiradores de pó e lavadoras de carpetes. Lavar janelas, paredes, tetos e peças de madeira, encerando e polindo. Tirar o pó e polir móveis e equipamentos. Desinfetar equipamentos e suprimentos, utilizando germicidas ou esterilizadores a vapor. Observar as precauções necessárias para proteger os bens do hotel e dos hóspedes e relatar danos, furtos e objetos encontrados aos supervisores. Separar, contar e etiquetar roupas de cama limpas e guardá-las nos armários. Separar roupas e outros artigos, carregar máquinas de lavar roupa e passar e dobrar peças secas. Mover e organizar móveis e virar colchões. Trocar lâmpadas. Entregar televisores, tábuas de passar roupa, berços e camas extras nos quartos. Pendurar cortinas e limpar persianas. Solicitar serviços de reparo e aguardar a chegada dos técnicos. Preparar salas para reuniões e organizar decorações, equipamentos de mídia e móveis para eventos sociais ou corporativos. Área de serviço do refeitório e buffet. Obter e comunicar aos convidados os pedidos de bebidas não alcoólicas e notificar a cozinha quando os itens do buffet estiverem acabando. Os funcionários não supervisionam outros funcionários. Observar e monitorar o buffet para garantir que a comida seja servida adequadamente. Garantir que os utensílios de servir estejam disponíveis. Substituir bandejas vazias por bandejas pré-preparadas. Não envolve o preparo de alimentos. O funcionário manipula alimentos e repõe o buffet. Remover bandejas vazias e substituí-las por bandejas pré-preparadas. Transferir alimentos preparados de recipientes de servir para bandejas. Os equipamentos incluem banhos-maria para buffet, utensílios de servir, panelas, bandejas e equipamentos básicos de limpeza. Classificação do Cargo: 37-2011.00 - Zeladores e Faxineiros, Exceto Empregadas Domésticas e Auxiliares de Limpeza. A classificação e descrição do cargo/setor inclui informações gerais sobre a posição, de acordo com o ONET/OES e o Sistema de Classificação Industrial da América do Norte. Consulte as Funções e a Ordem de Serviço para obter mais informações. Requisitos da vaga Experiência necessária: Não Requisitos especiais: Deve ser capaz de levantar/carregar 23 kg, quando necessário. Trabalho aos sábados e domingos, quando necessário. Testes toxicológicos pós-contratação, em caso de suspeita de uso, e pós-acidente, são obrigatórios para trabalhadores estrangeiros e nacionais. O empregador poderá oferecer uma carga horária superior à estipulada, dependendo das condições climáticas, necessidades da empresa e outras circunstâncias. Calor extremo, frio, chuva ou seca podem afetar o horário de trabalho exato. Número de horas por semana: 54 Horário de trabalho (início/término): 7h às 17h</v>
      </c>
    </row>
    <row r="409" ht="20.25" customHeight="1">
      <c r="A409" s="8" t="s">
        <v>2161</v>
      </c>
      <c r="B409" s="8" t="s">
        <v>1936</v>
      </c>
      <c r="C409" s="8" t="s">
        <v>197</v>
      </c>
      <c r="D409" s="8" t="s">
        <v>71</v>
      </c>
      <c r="E409" s="9" t="s">
        <v>19</v>
      </c>
      <c r="F409" s="9" t="s">
        <v>20</v>
      </c>
      <c r="G409" s="9" t="s">
        <v>524</v>
      </c>
      <c r="H409" s="8" t="s">
        <v>1937</v>
      </c>
      <c r="I409" s="8" t="s">
        <v>1938</v>
      </c>
      <c r="J409" s="9">
        <v>19.51</v>
      </c>
      <c r="K409" s="9">
        <v>3.0</v>
      </c>
      <c r="L409" s="8" t="s">
        <v>1684</v>
      </c>
      <c r="M409" s="8" t="s">
        <v>2162</v>
      </c>
      <c r="N409" s="7" t="str">
        <f>IFERROR(__xludf.DUMMYFUNCTION("GOOGLETRANSLATE(L409, ""en"", ""pt"")"),"Barman")</f>
        <v>Barman</v>
      </c>
      <c r="O409" s="7" t="str">
        <f>IFERROR(__xludf.DUMMYFUNCTION("IF(M409="""","""",GOOGLETRANSLATE(M409,""en"",""pt""))"),"Preparar e servir bebidas, registrar os pedidos no sistema POS. Manter a área do bar limpa. Abastecer o bar. (3) vagas disponíveis. Período: 01/10/2026 a 31/05/2027. Necessário 3 meses de experiência. Turnos rotativos. Dias de trabalho: segunda a domingo."&amp;" Horário: 11h às 23h. Salário: US$ 19 a US$ 20 por hora, mais gorjetas, mas não menos que US$ 19,51 por hora, US$ 29,27 por hora em horas extras. Pagamento quinzenal. 35 horas semanais. Alojamento opcional por US$ 180 por semana, com um depósito reembolsá"&amp;"vel de US$ 30 a cada duas semanas, após a conclusão do contrato e da estadia. Uniforme e refeições durante o turno fornecidos. Local de trabalho: 13535 Eastpointe Blvd, Palm Beach Gardens, FL 33418. Trabalho temporário em tempo integral. O salário será ca"&amp;"lculado com base em uma única semana de trabalho. Possibilidade de até 10 horas extras, quando disponíveis. Todas as deduções do salário do trabalhador exigidas por lei serão feitas. O empregador fornecerá aos trabalhadores, sem custo algum, todas as ferr"&amp;"amentas, suprimentos e equipamentos necessários para a execução do trabalho. O trabalhador receberá ou será reembolsado pelas despesas de transporte e subsistência (incluindo o custo razoável de hospedagem noturna, quando necessário, até US$ 110 por noite"&amp;", mediante apresentação de recibos) à taxa de US$ 16,78 por dia durante o deslocamento, até um máximo de US$ 68,00 por dia, mediante apresentação de recibos, desde o local de origem do trabalhador, seja nos EUA ou no exterior, até o local de trabalho, cas"&amp;"o o trabalhador complete 50% do período de trabalho abrangido pela ordem de serviço, em conformidade com 20 CFR 655.20(j)(1)(i), mediante inclusão no salário da semana correspondente. O empregador fornecerá ou pagará o custo do transporte de retorno e da "&amp;"subsistência diária do trabalhador, do local de trabalho até o local de onde o trabalhador partiu para trabalhar para o empregador, independentemente de empregos intermediários, caso o trabalhador complete o período de emprego certificado ou seja demitido"&amp;" do emprego por qualquer motivo pelo empregador antes do término do período, de acordo com o § 655.20(j)(1)(ii); os trabalhadores com visto H-2B serão reembolsados ​​na primeira semana de trabalho por todos os vistos, processamento de vistos, travessia de"&amp;" fronteira e outras taxas relacionadas, incluindo aquelas exigidas pelo governo (exceto taxas de passaporte). O empregador fornecerá aos trabalhadores todas as ferramentas, suprimentos e equipamentos necessários para o desempenho do trabalho, sem custo pa"&amp;"ra o trabalhador, de acordo com o 20 CFR 655.20(k). Os candidatos qualificados podem enviar o currículo para Juan Pinto, no endereço 13535 Eastpointe Blvd, Palm Beach Gardens, FL 33418, por e-mail para Eastpointe1974@gmail.com ou visitar o centro de empre"&amp;"gos local em 3400 Belvedere Road, West Palm Beach, FL 33406. *Seu depósito de segurança será reembolsado após a conclusão do contrato e a inspeção da moradia. Se um trabalhador abandonar o emprego sem a permissão do empregador ou abandonar a moradia antes"&amp;" do término do prazo de inscrição por qualquer motivo, exceto rescisão por parte do empregador, o trabalhador perderá todos os depósitos de moradia, dias de folga remunerada, férias e bônus. Após a rescisão ou demissão, o trabalhador deverá desocupar a mo"&amp;"radia imediatamente, a menos que haja acordo com o empregador.* Classificação do Cargo: 35-3011.00 - Bartenders. A classificação e descrição do cargo/setor incluem informações gerais sobre a posição, de acordo com o ONET/OES e o Sistema de Classificação I"&amp;"ndustrial da América do Norte. Consulte as Funções e a Ordem de Serviço para obter mais informações. Requisitos da vaga Experiência necessária: Sim Meses de experiência necessários: 3 Número de horas por semana: 35 Horário de trabalho (início/término): 11"&amp;":00 - 23:00")</f>
        <v>Preparar e servir bebidas, registrar os pedidos no sistema POS. Manter a área do bar limpa. Abastecer o bar. (3) vagas disponíveis. Período: 01/10/2026 a 31/05/2027. Necessário 3 meses de experiência. Turnos rotativos. Dias de trabalho: segunda a domingo. Horário: 11h às 23h. Salário: US$ 19 a US$ 20 por hora, mais gorjetas, mas não menos que US$ 19,51 por hora, US$ 29,27 por hora em horas extras. Pagamento quinzenal. 35 horas semanais. Alojamento opcional por US$ 180 por semana, com um depósito reembolsável de US$ 30 a cada duas semanas, após a conclusão do contrato e da estadia. Uniforme e refeições durante o turno fornecidos. Local de trabalho: 13535 Eastpointe Blvd, Palm Beach Gardens, FL 33418. Trabalho temporário em tempo integral. O salário será calculado com base em uma única semana de trabalho. Possibilidade de até 10 horas extras, quando disponíveis. Todas as deduções do salário do trabalhador exigidas por lei serão feitas. O empregador fornecerá aos trabalhadores, sem custo algum, todas as ferramentas, suprimentos e equipamentos necessários para a execução do trabalho. O trabalhador receberá ou será reembolsado pelas despesas de transporte e subsistência (incluindo o custo razoável de hospedagem noturna, quando necessário, até US$ 110 por noite, mediante apresentação de recibos) à taxa de US$ 16,78 por dia durante o deslocamento, até um máximo de US$ 68,00 por dia, mediante apresentação de recibos, desde o local de origem do trabalhador, seja nos EUA ou no exterior, até o local de trabalho, caso o trabalhador complete 50% do período de trabalho abrangido pela ordem de serviço, em conformidade com 20 CFR 655.20(j)(1)(i), mediante inclusão no salário da semana correspondente. O empregador fornecerá ou pagará o custo do transporte de retorno e da subsistência diária do trabalhador, do local de trabalho até o local de onde o trabalhador partiu para trabalhar para o empregador, independentemente de empregos intermediários, caso o trabalhador complete o período de emprego certificado ou seja demitido do emprego por qualquer motivo pelo empregador antes do término do período, de acordo com o § 655.20(j)(1)(ii); os trabalhadores com visto H-2B serão reembolsados ​​na primeira semana de trabalho por todos os vistos, processamento de vistos, travessia de fronteira e outras taxas relacionadas, incluindo aquelas exigidas pelo governo (exceto taxas de passaporte). O empregador fornecerá aos trabalhadores todas as ferramentas, suprimentos e equipamentos necessários para o desempenho do trabalho, sem custo para o trabalhador, de acordo com o 20 CFR 655.20(k). Os candidatos qualificados podem enviar o currículo para Juan Pinto, no endereço 13535 Eastpointe Blvd, Palm Beach Gardens, FL 33418, por e-mail para Eastpointe1974@gmail.com ou visitar o centro de empregos local em 3400 Belvedere Road, West Palm Beach, FL 33406. *Seu depósito de segurança será reembolsado após a conclusão do contrato e a inspeção da moradia. Se um trabalhador abandonar o emprego sem a permissão do empregador ou abandonar a moradia antes do término do prazo de inscrição por qualquer motivo, exceto rescisão por parte do empregador, o trabalhador perderá todos os depósitos de moradia, dias de folga remunerada, férias e bônus. Após a rescisão ou demissão, o trabalhador deverá desocupar a moradia imediatamente, a menos que haja acordo com o empregador.* Classificação do Cargo: 35-3011.00 - Bartenders. A classificação e descrição do cargo/setor incluem informações gerais sobre a posição, de acordo com o ONET/OES e o Sistema de Classificação Industrial da América do Norte. Consulte as Funções e a Ordem de Serviço para obter mais informações. Requisitos da vaga Experiência necessária: Sim Meses de experiência necessários: 3 Número de horas por semana: 35 Horário de trabalho (início/término): 11:00 - 23:00</v>
      </c>
    </row>
    <row r="410" ht="20.25" customHeight="1">
      <c r="A410" s="3" t="s">
        <v>2163</v>
      </c>
      <c r="B410" s="3" t="s">
        <v>2164</v>
      </c>
      <c r="C410" s="3" t="s">
        <v>169</v>
      </c>
      <c r="D410" s="3" t="s">
        <v>51</v>
      </c>
      <c r="E410" s="4" t="s">
        <v>19</v>
      </c>
      <c r="F410" s="4" t="s">
        <v>20</v>
      </c>
      <c r="G410" s="4" t="s">
        <v>80</v>
      </c>
      <c r="H410" s="3" t="s">
        <v>2165</v>
      </c>
      <c r="I410" s="3" t="s">
        <v>2166</v>
      </c>
      <c r="J410" s="4">
        <v>17.74</v>
      </c>
      <c r="K410" s="4">
        <v>90.0</v>
      </c>
      <c r="L410" s="3" t="s">
        <v>950</v>
      </c>
      <c r="M410" s="3" t="s">
        <v>2167</v>
      </c>
      <c r="N410" s="7" t="str">
        <f>IFERROR(__xludf.DUMMYFUNCTION("GOOGLETRANSLATE(L410, ""en"", ""pt"")"),"Plantadores de árvores")</f>
        <v>Plantadores de árvores</v>
      </c>
      <c r="O410" s="7" t="str">
        <f>IFERROR(__xludf.DUMMYFUNCTION("IF(M410="""","""",GOOGLETRANSLATE(M410,""en"",""pt""))"),"Sob supervisão, realizar trabalhos manuais necessários, utilizando ferramentas manuais, para o desenvolvimento e manutenção de áreas florestais. Plantar árvores de raiz nua ou em contêineres, utilizando pá, enxada, plantadeira manual ou enxada mecânica. T"&amp;"ransportar as árvores em sacos próprios para mudas. Selecionar o local ideal para o plantio, considerando o espaçamento, o tipo de solo e a necessidade de sombra. Cavar buracos em intervalos predeterminados e inserir as mudas. Compactar o solo ao redor da"&amp;" planta com o pé e a ferramenta de plantio. Identificar árvores doentes ou indesejáveis ​​e removê-las, utilizando serras manuais ou tesouras de poda. Como atividade secundária, realizar a capina manual para reduzir a competição com outras plantas. Essas "&amp;"funções envolvem a propagação, a proteção e o manejo de áreas florestais. Ambiente de trabalho livre de drogas. Testes aleatórios e mediante suspeita de uso de drogas serão realizados às custas do empregador. O trabalho é itinerante. Os trabalhadores temp"&amp;"orários receberão o salário vigente ou o salário e os benefícios previstos em contrato com o governo federal, o que for maior. Classificação da Função: 45-4011.00 - Trabalhadores Florestais e de Conservação. A classificação e descrição da função/setor inc"&amp;"lui informações gerais sobre o cargo, de acordo com o ONET/OES e o Sistema de Classificação Industrial da América do Norte. Consulte as Funções e a Ordem de Serviço para obter mais informações. Requisitos da Função Experiência Necessária: Não. Requisitos "&amp;"Especiais: Não é necessário escolaridade ou experiência. É preciso ter 18 anos ou mais. Requer resistência física. Exige caminhadas extensas, agachamentos e levantamento de peso, carregando um saco de árvores de 23 kg e ferramentas em terrenos acidentados"&amp;" e em condições climáticas adversas. Os trabalhadores devem estar em boa forma física. O candidato deve estar disponível para trabalhar durante todo o período do contrato. Meta de produção de 2.450 árvores plantadas corretamente por dia de 7 horas, após u"&amp;"ma semana de treinamento em serviço. O horário e os locais de trabalho dependem das condições climáticas. É necessário passar por exames toxicológicos. Viagens com pernoite são necessárias. O empregador pode oferecer mais horas de trabalho do que as estip"&amp;"uladas, dependendo do clima, das necessidades da empresa e de outras condições. Calor extremo, frio, chuva ou seca podem afetar o horário de trabalho exato. Número de horas por semana: 35 Horário de trabalho (início/término): 7h30 - 15h30")</f>
        <v>Sob supervisão, realizar trabalhos manuais necessários, utilizando ferramentas manuais, para o desenvolvimento e manutenção de áreas florestais. Plantar árvores de raiz nua ou em contêineres, utilizando pá, enxada, plantadeira manual ou enxada mecânica. Transportar as árvores em sacos próprios para mudas. Selecionar o local ideal para o plantio, considerando o espaçamento, o tipo de solo e a necessidade de sombra. Cavar buracos em intervalos predeterminados e inserir as mudas. Compactar o solo ao redor da planta com o pé e a ferramenta de plantio. Identificar árvores doentes ou indesejáveis ​​e removê-las, utilizando serras manuais ou tesouras de poda. Como atividade secundária, realizar a capina manual para reduzir a competição com outras plantas. Essas funções envolvem a propagação, a proteção e o manejo de áreas florestais. Ambiente de trabalho livre de drogas. Testes aleatórios e mediante suspeita de uso de drogas serão realizados às custas do empregador. O trabalho é itinerante. Os trabalhadores temporários receberão o salário vigente ou o salário e os benefícios previstos em contrato com o governo federal, o que for maior. Classificação da Função: 45-4011.00 - Trabalhadores Florestais e de Conservação. A classificação e descrição da função/setor inclui informações gerais sobre o cargo, de acordo com o ONET/OES e o Sistema de Classificação Industrial da América do Norte. Consulte as Funções e a Ordem de Serviço para obter mais informações. Requisitos da Função Experiência Necessária: Não. Requisitos Especiais: Não é necessário escolaridade ou experiência. É preciso ter 18 anos ou mais. Requer resistência física. Exige caminhadas extensas, agachamentos e levantamento de peso, carregando um saco de árvores de 23 kg e ferramentas em terrenos acidentados e em condições climáticas adversas. Os trabalhadores devem estar em boa forma física. O candidato deve estar disponível para trabalhar durante todo o período do contrato. Meta de produção de 2.450 árvores plantadas corretamente por dia de 7 horas, após uma semana de treinamento em serviço. O horário e os locais de trabalho dependem das condições climáticas. É necessário passar por exames toxicológicos. Viagens com pernoite são necessárias. O empregador pode oferecer mais horas de trabalho do que as estipuladas, dependendo do clima, das necessidades da empresa e de outras condições. Calor extremo, frio, chuva ou seca podem afetar o horário de trabalho exato. Número de horas por semana: 35 Horário de trabalho (início/término): 7h30 - 15h30</v>
      </c>
    </row>
    <row r="411" ht="20.25" customHeight="1">
      <c r="A411" s="8" t="s">
        <v>2168</v>
      </c>
      <c r="B411" s="8" t="s">
        <v>2169</v>
      </c>
      <c r="C411" s="8" t="s">
        <v>1440</v>
      </c>
      <c r="D411" s="8" t="s">
        <v>51</v>
      </c>
      <c r="E411" s="9" t="s">
        <v>19</v>
      </c>
      <c r="F411" s="9" t="s">
        <v>20</v>
      </c>
      <c r="G411" s="9" t="s">
        <v>146</v>
      </c>
      <c r="H411" s="8" t="s">
        <v>2170</v>
      </c>
      <c r="I411" s="8" t="s">
        <v>2171</v>
      </c>
      <c r="J411" s="9">
        <v>14.03</v>
      </c>
      <c r="K411" s="9">
        <v>25.0</v>
      </c>
      <c r="L411" s="8" t="s">
        <v>2172</v>
      </c>
      <c r="M411" s="8" t="s">
        <v>2173</v>
      </c>
      <c r="N411" s="7" t="str">
        <f>IFERROR(__xludf.DUMMYFUNCTION("GOOGLETRANSLATE(L411, ""en"", ""pt"")"),"Trabalhadores de paisagismo e manutenção de terrenos")</f>
        <v>Trabalhadores de paisagismo e manutenção de terrenos</v>
      </c>
      <c r="O411" s="7" t="str">
        <f>IFERROR(__xludf.DUMMYFUNCTION("IF(M411="""","""",GOOGLETRANSLATE(M411,""en"",""pt""))"),"Todos os candidatos devem ser capazes, dispostos e qualificados para executar o trabalho descrito neste anúncio de emprego e devem estar disponíveis durante todo o período especificado. Atividades: pulverizar fertilizantes, herbicidas e inseticidas em arb"&amp;"ustos e árvores; utilizar pulverizadores manuais/automáticos e espalhadores; pintar linhas de demarcação para garantir precisão e segurança no local de trabalho; e outras atividades relacionadas à limpeza de vegetação em faixas de servidão de utilidades, "&amp;"conforme SOC/OES 37-3011 (onetonline.org). O trabalho exige atividades físicas como levantar, equilibrar-se, caminhar, agachar-se, manusear, posicionar, mover e manipular materiais; utilizar força estática e exercer força muscular máxima para empurrar, pu"&amp;"xar e carregar objetos de até 23 kg. O empregador fornecerá ao trabalhador, sem custos, todas as ferramentas, suprimentos e equipamentos necessários. Não é necessário escolaridade. O treinamento será fornecido no local de trabalho. O empregador auxilia na"&amp;" busca de moradia opcional, sem custos para o trabalhador. Horário: 7h às 15h30, de segunda a sexta-feira. Mais de 35 horas semanais. O empregador fornece transporte diário do local designado até o local de trabalho, sem custos para o trabalhador. O empre"&amp;"gador auxilia na busca de moradia opcional sem custo para o trabalhador. Classificação do Cargo: 37-3011.00 - Trabalhadores de Paisagismo e Manutenção de Jardins. A classificação e descrição do cargo/setor incluem informações gerais sobre a posição, de ac"&amp;"ordo com o ONET/OES e o Sistema de Classificação Industrial da América do Norte (NAICS). Consulte as Funções e a Ordem de Serviço para obter mais informações. Requisitos do Cargo: Experiência Necessária: Não. Requisitos Especiais: É necessário ter no míni"&amp;"mo 18 anos de idade devido a viagens. É necessário comprovar autorização legal para trabalhar nos EUA. O trabalho deve ser realizado em uma zona livre de drogas, álcool e tabaco. Número de Horas por Semana: 35. Horário de Trabalho (Início/Término): 7h00 -"&amp;" 15h30.")</f>
        <v>Todos os candidatos devem ser capazes, dispostos e qualificados para executar o trabalho descrito neste anúncio de emprego e devem estar disponíveis durante todo o período especificado. Atividades: pulverizar fertilizantes, herbicidas e inseticidas em arbustos e árvores; utilizar pulverizadores manuais/automáticos e espalhadores; pintar linhas de demarcação para garantir precisão e segurança no local de trabalho; e outras atividades relacionadas à limpeza de vegetação em faixas de servidão de utilidades, conforme SOC/OES 37-3011 (onetonline.org). O trabalho exige atividades físicas como levantar, equilibrar-se, caminhar, agachar-se, manusear, posicionar, mover e manipular materiais; utilizar força estática e exercer força muscular máxima para empurrar, puxar e carregar objetos de até 23 kg. O empregador fornecerá ao trabalhador, sem custos, todas as ferramentas, suprimentos e equipamentos necessários. Não é necessário escolaridade. O treinamento será fornecido no local de trabalho. O empregador auxilia na busca de moradia opcional, sem custos para o trabalhador. Horário: 7h às 15h30, de segunda a sexta-feira. Mais de 35 horas semanais. O empregador fornece transporte diário do local designado até o local de trabalho, sem custos para o trabalhador. O empregador auxilia na busca de moradia opcional sem custo para o trabalhador. Classificação do Cargo: 37-3011.00 - Trabalhadores de Paisagismo e Manutenção de Jardins. A classificação e descrição do cargo/setor incluem informações gerais sobre a posição, de acordo com o ONET/OES e o Sistema de Classificação Industrial da América do Norte (NAICS). Consulte as Funções e a Ordem de Serviço para obter mais informações. Requisitos do Cargo: Experiência Necessária: Não. Requisitos Especiais: É necessário ter no mínimo 18 anos de idade devido a viagens. É necessário comprovar autorização legal para trabalhar nos EUA. O trabalho deve ser realizado em uma zona livre de drogas, álcool e tabaco. Número de Horas por Semana: 35. Horário de Trabalho (Início/Término): 7h00 - 15h30.</v>
      </c>
    </row>
    <row r="412" ht="20.25" customHeight="1">
      <c r="A412" s="3" t="s">
        <v>2174</v>
      </c>
      <c r="B412" s="3" t="s">
        <v>1719</v>
      </c>
      <c r="C412" s="3" t="s">
        <v>1000</v>
      </c>
      <c r="D412" s="3" t="s">
        <v>833</v>
      </c>
      <c r="E412" s="4" t="s">
        <v>19</v>
      </c>
      <c r="F412" s="4" t="s">
        <v>20</v>
      </c>
      <c r="G412" s="4" t="s">
        <v>2175</v>
      </c>
      <c r="H412" s="3" t="s">
        <v>1001</v>
      </c>
      <c r="I412" s="3" t="s">
        <v>1002</v>
      </c>
      <c r="J412" s="4">
        <v>15.58</v>
      </c>
      <c r="K412" s="4">
        <v>22.0</v>
      </c>
      <c r="L412" s="3" t="s">
        <v>1720</v>
      </c>
      <c r="M412" s="3" t="s">
        <v>2176</v>
      </c>
      <c r="N412" s="7" t="str">
        <f>IFERROR(__xludf.DUMMYFUNCTION("GOOGLETRANSLATE(L412, ""en"", ""pt"")"),"Ajudantes de Carpinteiro")</f>
        <v>Ajudantes de Carpinteiro</v>
      </c>
      <c r="O412" s="7" t="str">
        <f>IFERROR(__xludf.DUMMYFUNCTION("IF(M412="""","""",GOOGLETRANSLATE(M412,""en"",""pt""))"),"Executar tarefas menores, incluindo carga e descarga de materiais de construção, disposição de madeira, revestimento, treliças e outros componentes para a estrutura. Auxiliar carpinteiros líderes em tarefas básicas de carpintaria, como segurar, cortar e p"&amp;"regar madeira de acordo com as instruções do carpinteiro líder. Montar componentes preparados no canteiro de obras. Classificação da vaga: 47-3012.00 - Ajudantes de Carpinteiro. A classificação e descrição da vaga/setor inclui informações gerais sobre o c"&amp;"argo, de acordo com o ONET/OES e o Sistema de Classificação Industrial da América do Norte (NAICS). Consulte as Funções e a Ordem de Serviço para obter mais informações. Requisitos da vaga: Experiência necessária: Não. Requisitos especiais: Deve ser capaz"&amp;" de levantar e carregar 34 kg por 68 metros. Trabalho em alguns fins de semana. Deve ser capaz de lidar com temperaturas extremas. Deslocamento para locais de trabalho dentro da área de atuação pretendida. Número de horas por semana: 40. Horário de trabal"&amp;"ho (início/término): 7h às 17h.")</f>
        <v>Executar tarefas menores, incluindo carga e descarga de materiais de construção, disposição de madeira, revestimento, treliças e outros componentes para a estrutura. Auxiliar carpinteiros líderes em tarefas básicas de carpintaria, como segurar, cortar e pregar madeira de acordo com as instruções do carpinteiro líder. Montar componentes preparados no canteiro de obras. Classificação da vaga: 47-3012.00 - Ajudantes de Carpinteiro. A classificação e descrição da vaga/setor inclui informações gerais sobre o cargo, de acordo com o ONET/OES e o Sistema de Classificação Industrial da América do Norte (NAICS). Consulte as Funções e a Ordem de Serviço para obter mais informações. Requisitos da vaga: Experiência necessária: Não. Requisitos especiais: Deve ser capaz de levantar e carregar 34 kg por 68 metros. Trabalho em alguns fins de semana. Deve ser capaz de lidar com temperaturas extremas. Deslocamento para locais de trabalho dentro da área de atuação pretendida. Número de horas por semana: 40. Horário de trabalho (início/término): 7h às 17h.</v>
      </c>
    </row>
    <row r="413" ht="20.25" customHeight="1">
      <c r="A413" s="8" t="s">
        <v>2177</v>
      </c>
      <c r="B413" s="8" t="s">
        <v>2178</v>
      </c>
      <c r="C413" s="8" t="s">
        <v>197</v>
      </c>
      <c r="D413" s="8" t="s">
        <v>71</v>
      </c>
      <c r="E413" s="9" t="s">
        <v>44</v>
      </c>
      <c r="F413" s="9" t="s">
        <v>20</v>
      </c>
      <c r="G413" s="9" t="s">
        <v>524</v>
      </c>
      <c r="H413" s="8" t="s">
        <v>2179</v>
      </c>
      <c r="I413" s="8" t="s">
        <v>2180</v>
      </c>
      <c r="J413" s="9">
        <v>18.71</v>
      </c>
      <c r="K413" s="9">
        <v>8.0</v>
      </c>
      <c r="L413" s="8" t="s">
        <v>201</v>
      </c>
      <c r="M413" s="8" t="s">
        <v>2181</v>
      </c>
      <c r="N413" s="7" t="str">
        <f>IFERROR(__xludf.DUMMYFUNCTION("GOOGLETRANSLATE(L413, ""en"", ""pt"")"),"Servidores")</f>
        <v>Servidores</v>
      </c>
      <c r="O413" s="7" t="str">
        <f>IFERROR(__xludf.DUMMYFUNCTION("IF(M413="""","""",GOOGLETRANSLATE(M413,""en"",""pt""))"),"Receber pedidos, servir comidas e bebidas aos clientes. Limpar e arrumar as mesas. Receber pagamentos e emitir recibos. Manter todos os postos de trabalho abastecidos. (8) vagas disponíveis. Período: 01/10/2026 a 31/05/2027. Necessário 3 meses de experiên"&amp;"cia. Turnos rotativos. Dias de trabalho: segunda a domingo. Horário: 7h às 23h. Salário: US$ 13 a US$ 15 por hora, mais gorjetas, com um mínimo de US$ 18,71 por hora. Hora extra: US$ 28,07 por hora. Pagamento quinzenal. 35 horas semanais. Alojamento opcio"&amp;"nal por US$ 28 a US$ 35 por dia, com depósito de US$ 350 (US$ 300 reembolsáveis ​​ao término do contrato / US$ 50 não reembolsáveis). Uniformes e refeições durante o turno fornecidos. Local de trabalho: 415 E Country Club Circle, Plantation, FL, 33317. Tr"&amp;"abalho temporário em tempo integral. O salário será calculado com base em uma semana de trabalho. Possibilidade de até 10 horas extras, quando disponíveis. Todas as deduções do salário do trabalhador exigidas por lei serão feitas. O empregador fornecerá a"&amp;"os trabalhadores, sem custo algum, todas as ferramentas, suprimentos e equipamentos necessários para a execução do trabalho. O trabalhador receberá ou será reembolsado pelo transporte e subsistência (incluindo o custo razoável de hospedagem noturna, quand"&amp;"o necessário, até US$ 110 por noite, mediante apresentação de recibos) à taxa de US$ 16,78 por dia durante o deslocamento, até um máximo de US$ 68,00 por dia, mediante apresentação de recibos, desde o local de origem do trabalhador, seja nos EUA ou no ext"&amp;"erior, até o local de trabalho, caso o trabalhador complete 50% do período de trabalho coberto pela ordem de serviço, em conformidade com 20 CFR 655.20(j)(1)(i), mediante inclusão no salário da semana correspondente. O empregador fornecerá ou pagará o cus"&amp;"to do transporte de retorno e da subsistência diária do trabalhador, do local de trabalho até o local de onde o trabalhador partiu para trabalhar para o empregador, independentemente de empregos intermediários, caso o trabalhador complete o período de emp"&amp;"rego certificado ou seja demitido do emprego por qualquer motivo pelo empregador antes do término do período, de acordo com o § 655.20(j)(1)(ii); os trabalhadores com visto H-2B serão reembolsados ​​na primeira semana de trabalho por todos os vistos, proc"&amp;"essamento de vistos, travessia de fronteira e outras taxas relacionadas, incluindo aquelas exigidas pelo governo (exceto taxas de passaporte). O empregador fornecerá aos trabalhadores todas as ferramentas, suprimentos e equipamentos necessários para o des"&amp;"empenho do trabalho, sem custo para o trabalhador, de acordo com o 20 CFR 655.20(k). Os candidatos qualificados podem enviar o currículo para Joe Gamlin, no endereço 415 E Country Club Circle, Plantation, FL, 33317, por e-mail para h2bjobs@fortlauderdalec"&amp;"c.com ou visitar o centro de empregos local em 2550 West Oakland Park Boulevard, Oakland Park, FL. *Seu depósito de segurança é reembolsável após a conclusão do contrato e a inspeção da moradia. Se um trabalhador abandonar o emprego sem a permissão do emp"&amp;"regador ou abandonar a moradia antes do término do prazo de inscrição por qualquer motivo, exceto rescisão por parte do empregador, o trabalhador perderá todos os depósitos de moradia, dias de folga remunerada, férias e bônus. Após a rescisão ou demissão,"&amp;" o trabalhador deverá desocupar a moradia imediatamente, a menos que haja acordo com o empregador.* Classificação do Cargo: 35-3031.00 - Garçons e Garçonetes. A classificação e descrição do cargo/setor incluem informações gerais sobre a posição, de acordo"&amp;" com o ONET/OES e o Sistema de Classificação Industrial da América do Norte. Consulte as Funções e a Ordem de Serviço para obter mais informações. Requisitos da vaga Experiência necessária: Sim Meses de experiência necessários: 3 Número de horas por seman"&amp;"a: 35 Horário de trabalho (início/término): 7h às 23h")</f>
        <v>Receber pedidos, servir comidas e bebidas aos clientes. Limpar e arrumar as mesas. Receber pagamentos e emitir recibos. Manter todos os postos de trabalho abastecidos. (8) vagas disponíveis. Período: 01/10/2026 a 31/05/2027. Necessário 3 meses de experiência. Turnos rotativos. Dias de trabalho: segunda a domingo. Horário: 7h às 23h. Salário: US$ 13 a US$ 15 por hora, mais gorjetas, com um mínimo de US$ 18,71 por hora. Hora extra: US$ 28,07 por hora. Pagamento quinzenal. 35 horas semanais. Alojamento opcional por US$ 28 a US$ 35 por dia, com depósito de US$ 350 (US$ 300 reembolsáveis ​​ao término do contrato / US$ 50 não reembolsáveis). Uniformes e refeições durante o turno fornecidos. Local de trabalho: 415 E Country Club Circle, Plantation, FL, 33317. Trabalho temporário em tempo integral. O salário será calculado com base em uma semana de trabalho. Possibilidade de até 10 horas extras, quando disponíveis. Todas as deduções do salário do trabalhador exigidas por lei serão feitas. O empregador fornecerá aos trabalhadores, sem custo algum, todas as ferramentas, suprimentos e equipamentos necessários para a execução do trabalho. O trabalhador receberá ou será reembolsado pelo transporte e subsistência (incluindo o custo razoável de hospedagem noturna, quando necessário, até US$ 110 por noite, mediante apresentação de recibos) à taxa de US$ 16,78 por dia durante o deslocamento, até um máximo de US$ 68,00 por dia, mediante apresentação de recibos, desde o local de origem do trabalhador, seja nos EUA ou no exterior, até o local de trabalho, caso o trabalhador complete 50% do período de trabalho coberto pela ordem de serviço, em conformidade com 20 CFR 655.20(j)(1)(i), mediante inclusão no salário da semana correspondente. O empregador fornecerá ou pagará o custo do transporte de retorno e da subsistência diária do trabalhador, do local de trabalho até o local de onde o trabalhador partiu para trabalhar para o empregador, independentemente de empregos intermediários, caso o trabalhador complete o período de emprego certificado ou seja demitido do emprego por qualquer motivo pelo empregador antes do término do período, de acordo com o § 655.20(j)(1)(ii); os trabalhadores com visto H-2B serão reembolsados ​​na primeira semana de trabalho por todos os vistos, processamento de vistos, travessia de fronteira e outras taxas relacionadas, incluindo aquelas exigidas pelo governo (exceto taxas de passaporte). O empregador fornecerá aos trabalhadores todas as ferramentas, suprimentos e equipamentos necessários para o desempenho do trabalho, sem custo para o trabalhador, de acordo com o 20 CFR 655.20(k). Os candidatos qualificados podem enviar o currículo para Joe Gamlin, no endereço 415 E Country Club Circle, Plantation, FL, 33317, por e-mail para h2bjobs@fortlauderdalecc.com ou visitar o centro de empregos local em 2550 West Oakland Park Boulevard, Oakland Park, FL. *Seu depósito de segurança é reembolsável após a conclusão do contrato e a inspeção da moradia. Se um trabalhador abandonar o emprego sem a permissão do empregador ou abandonar a moradia antes do término do prazo de inscrição por qualquer motivo, exceto rescisão por parte do empregador, o trabalhador perderá todos os depósitos de moradia, dias de folga remunerada, férias e bônus. Após a rescisão ou demissão, o trabalhador deverá desocupar a moradia imediatamente, a menos que haja acordo com o empregador.* Classificação do Cargo: 35-3031.00 - Garçons e Garçonetes. A classificação e descrição do cargo/setor incluem informações gerais sobre a posição, de acordo com o ONET/OES e o Sistema de Classificação Industrial da América do Norte. Consulte as Funções e a Ordem de Serviço para obter mais informações. Requisitos da vaga Experiência necessária: Sim Meses de experiência necessários: 3 Número de horas por semana: 35 Horário de trabalho (início/término): 7h às 23h</v>
      </c>
    </row>
    <row r="414" ht="20.25" customHeight="1">
      <c r="A414" s="3" t="s">
        <v>2182</v>
      </c>
      <c r="B414" s="3" t="s">
        <v>2183</v>
      </c>
      <c r="C414" s="3" t="s">
        <v>1713</v>
      </c>
      <c r="D414" s="3" t="s">
        <v>79</v>
      </c>
      <c r="E414" s="4" t="s">
        <v>19</v>
      </c>
      <c r="F414" s="4" t="s">
        <v>20</v>
      </c>
      <c r="G414" s="4" t="s">
        <v>212</v>
      </c>
      <c r="H414" s="3" t="s">
        <v>2184</v>
      </c>
      <c r="I414" s="3" t="s">
        <v>2185</v>
      </c>
      <c r="J414" s="4">
        <v>20.65</v>
      </c>
      <c r="K414" s="4">
        <v>25.0</v>
      </c>
      <c r="L414" s="3" t="s">
        <v>83</v>
      </c>
      <c r="M414" s="3" t="s">
        <v>2186</v>
      </c>
      <c r="N414" s="7" t="str">
        <f>IFERROR(__xludf.DUMMYFUNCTION("GOOGLETRANSLATE(L414, ""en"", ""pt"")"),"Trabalhador Florestal")</f>
        <v>Trabalhador Florestal</v>
      </c>
      <c r="O414" s="7" t="str">
        <f>IFERROR(__xludf.DUMMYFUNCTION("IF(M414="""","""",GOOGLETRANSLATE(M414,""en"",""pt""))"),"As funções podem incluir: cortar e amarrar galhos de árvores e carregá-los em caminhões, plantar árvores, cavar buracos e posicionar as árvores corretamente para maximizar o sucesso do plantio. SE NECESSÁRIO, OU SOMENTE EM CASO DE INCÊNDIO IMPREVISTO: SOB"&amp;" A ORIENTAÇÃO DE OFICIAIS DE COMBATE A INCÊNDIOS OU TÉCNICOS FLORESTAIS - Combate de incêndios de menor escala por meio de limpeza/descarte de vegetação rasteira, amontoamento e outras atividades relacionadas a trabalhadores florestais, conforme SOC/OES 4"&amp;"5-4011 (onetonline.org). Horário padrão/previsto: segunda a sexta, das 7h30 às 15h. Oferecemos mais de 35 horas semanais, sem incluir almoço e/ou intervalos. Possibilidade de trabalho em fins de semana e feriados. Os horários de início e término, a carga "&amp;"horária e/ou horas extras podem variar, pois dependem de fatores como necessidades do projeto/cronograma/serviço, condições climáticas e tempo de deslocamento entre os locais de trabalho (se aplicável). Horas extras são possíveis, mas não obrigatórias nem"&amp;" garantidas. A critério exclusivo do empregador: possíveis aumentos e/ou bônus com base em fatores individuais, como desempenho no trabalho ou habilidades (não garantidos). Moradia compartilhada opcional disponível sem custo para o trabalhador. Classifica"&amp;"ção do Cargo: 45-4011.00 - Trabalhadores Florestais e de Conservação. A classificação e descrição do cargo/setor incluem informações gerais sobre a posição, de acordo com o ONET/OES e o Sistema de Classificação Industrial da América do Norte. Consulte as "&amp;"Funções e a Ordem de Serviço para obter mais informações. Requisitos do Cargo Experiência Necessária: Sim Meses de Experiência Necessários: 1 Requisitos Especiais: É necessário ter 18 anos devido a viagens. É necessário apresentar comprovante de autorizaç"&amp;"ão legal para trabalhar nos Estados Unidos. Ambiente de trabalho livre de drogas, álcool e tabaco. É necessário caminhar bastante (até 24 km/dia), além de se abaixar e se curvar carregando uma mochila (até 23 kg) em terrenos acidentados (fora de trilhas)."&amp;" Todos os candidatos devem ser capazes, estar dispostos e qualificados para executar o trabalho descrito e devem estar disponíveis durante todo o período especificado e trabalhar em todas as áreas do emprego pretendido. A critério do empregador/custo: O t"&amp;"rabalhador poderá ser submetido a testes aleatórios de drogas/álcool durante o emprego: teste positivo/recusa em cumprir o teste = demissão. O trabalho é realizado ao ar livre, exposto às intempéries; o candidato deve ser capaz de realizar trabalho fisica"&amp;"mente extenuante por longos períodos, ocasionalmente em calor ou frio extremos. As condições climáticas são variáveis; a carga horária pode sofrer alterações (+/-), podendo haver períodos de inatividade e/ou horas extras. Número de horas por semana: 40. H"&amp;"orário de trabalho (início/término): 7h30 às 15h.")</f>
        <v>As funções podem incluir: cortar e amarrar galhos de árvores e carregá-los em caminhões, plantar árvores, cavar buracos e posicionar as árvores corretamente para maximizar o sucesso do plantio. SE NECESSÁRIO, OU SOMENTE EM CASO DE INCÊNDIO IMPREVISTO: SOB A ORIENTAÇÃO DE OFICIAIS DE COMBATE A INCÊNDIOS OU TÉCNICOS FLORESTAIS - Combate de incêndios de menor escala por meio de limpeza/descarte de vegetação rasteira, amontoamento e outras atividades relacionadas a trabalhadores florestais, conforme SOC/OES 45-4011 (onetonline.org). Horário padrão/previsto: segunda a sexta, das 7h30 às 15h. Oferecemos mais de 35 horas semanais, sem incluir almoço e/ou intervalos. Possibilidade de trabalho em fins de semana e feriados. Os horários de início e término, a carga horária e/ou horas extras podem variar, pois dependem de fatores como necessidades do projeto/cronograma/serviço, condições climáticas e tempo de deslocamento entre os locais de trabalho (se aplicável). Horas extras são possíveis, mas não obrigatórias nem garantidas. A critério exclusivo do empregador: possíveis aumentos e/ou bônus com base em fatores individuais, como desempenho no trabalho ou habilidades (não garantidos). Moradia compartilhada opcional disponível sem custo para o trabalhador. Classificação do Cargo: 45-4011.00 - Trabalhadores Florestais e de Conservação. A classificação e descrição do cargo/setor incluem informações gerais sobre a posição, de acordo com o ONET/OES e o Sistema de Classificação Industrial da América do Norte. Consulte as Funções e a Ordem de Serviço para obter mais informações. Requisitos do Cargo Experiência Necessária: Sim Meses de Experiência Necessários: 1 Requisitos Especiais: É necessário ter 18 anos devido a viagens. É necessário apresentar comprovante de autorização legal para trabalhar nos Estados Unidos. Ambiente de trabalho livre de drogas, álcool e tabaco. É necessário caminhar bastante (até 24 km/dia), além de se abaixar e se curvar carregando uma mochila (até 23 kg) em terrenos acidentados (fora de trilhas). Todos os candidatos devem ser capazes, estar dispostos e qualificados para executar o trabalho descrito e devem estar disponíveis durante todo o período especificado e trabalhar em todas as áreas do emprego pretendido. A critério do empregador/custo: O trabalhador poderá ser submetido a testes aleatórios de drogas/álcool durante o emprego: teste positivo/recusa em cumprir o teste = demissão. O trabalho é realizado ao ar livre, exposto às intempéries; o candidato deve ser capaz de realizar trabalho fisicamente extenuante por longos períodos, ocasionalmente em calor ou frio extremos. As condições climáticas são variáveis; a carga horária pode sofrer alterações (+/-), podendo haver períodos de inatividade e/ou horas extras. Número de horas por semana: 40. Horário de trabalho (início/término): 7h30 às 15h.</v>
      </c>
    </row>
    <row r="415" ht="20.25" customHeight="1">
      <c r="A415" s="8" t="s">
        <v>2187</v>
      </c>
      <c r="B415" s="8" t="s">
        <v>999</v>
      </c>
      <c r="C415" s="8" t="s">
        <v>1000</v>
      </c>
      <c r="D415" s="8" t="s">
        <v>278</v>
      </c>
      <c r="E415" s="9" t="s">
        <v>44</v>
      </c>
      <c r="F415" s="9" t="s">
        <v>20</v>
      </c>
      <c r="G415" s="9" t="s">
        <v>146</v>
      </c>
      <c r="H415" s="8" t="s">
        <v>1001</v>
      </c>
      <c r="I415" s="8" t="s">
        <v>1002</v>
      </c>
      <c r="J415" s="9">
        <v>34.47</v>
      </c>
      <c r="K415" s="9">
        <v>12.0</v>
      </c>
      <c r="L415" s="8" t="s">
        <v>1464</v>
      </c>
      <c r="M415" s="8" t="s">
        <v>1465</v>
      </c>
      <c r="N415" s="7" t="str">
        <f>IFERROR(__xludf.DUMMYFUNCTION("GOOGLETRANSLATE(L415, ""en"", ""pt"")"),"Trabalhadores de vergalhão")</f>
        <v>Trabalhadores de vergalhão</v>
      </c>
      <c r="O415" s="7" t="str">
        <f>IFERROR(__xludf.DUMMYFUNCTION("IF(M415="""","""",GOOGLETRANSLATE(M415,""en"",""pt""))"),"Posicionar e fixar barras de aço ou malha em fôrmas de concreto para reforçá-lo. Capacidade de operar enrolador de arame, alicate Klein e ferramentas manuais para fixar e dobrar vergalhões. Classificação da função: 47-2171.00 - Trabalhadores de Ferro de R"&amp;"eforço e Vergalhões. A classificação e descrição da função/setor inclui informações gerais sobre o cargo, de acordo com o ONET/OES e o Sistema de Classificação Industrial da América do Norte (NAICS). Consulte as Funções e a Ordem de Serviço para obter mai"&amp;"s informações. Requisitos da vaga: Experiência necessária: Sim. Meses de experiência necessários: 6. Requisitos especiais: Trabalho em alguns fins de semana. Capacidade de lidar com temperaturas extremas. Capacidade de levantar e carregar 34 kg por 68 met"&amp;"ros. Disponibilidade para deslocamento para locais de trabalho dentro da área de atuação. Número de horas por semana: 40. Horário de trabalho (início/término): 7h às 17h.")</f>
        <v>Posicionar e fixar barras de aço ou malha em fôrmas de concreto para reforçá-lo. Capacidade de operar enrolador de arame, alicate Klein e ferramentas manuais para fixar e dobrar vergalhões. Classificação da função: 47-2171.00 - Trabalhadores de Ferro de Reforço e Vergalhões. A classificação e descrição da função/setor inclui informações gerais sobre o cargo, de acordo com o ONET/OES e o Sistema de Classificação Industrial da América do Norte (NAICS). Consulte as Funções e a Ordem de Serviço para obter mais informações. Requisitos da vaga: Experiência necessária: Sim. Meses de experiência necessários: 6. Requisitos especiais: Trabalho em alguns fins de semana. Capacidade de lidar com temperaturas extremas. Capacidade de levantar e carregar 34 kg por 68 metros. Disponibilidade para deslocamento para locais de trabalho dentro da área de atuação. Número de horas por semana: 40. Horário de trabalho (início/término): 7h às 17h.</v>
      </c>
    </row>
    <row r="416" ht="20.25" customHeight="1">
      <c r="A416" s="3" t="s">
        <v>2188</v>
      </c>
      <c r="B416" s="3" t="s">
        <v>999</v>
      </c>
      <c r="C416" s="3" t="s">
        <v>1000</v>
      </c>
      <c r="D416" s="3" t="s">
        <v>833</v>
      </c>
      <c r="E416" s="4" t="s">
        <v>19</v>
      </c>
      <c r="F416" s="4" t="s">
        <v>20</v>
      </c>
      <c r="G416" s="4" t="s">
        <v>146</v>
      </c>
      <c r="H416" s="3" t="s">
        <v>1001</v>
      </c>
      <c r="I416" s="3" t="s">
        <v>1002</v>
      </c>
      <c r="J416" s="4">
        <v>23.05</v>
      </c>
      <c r="K416" s="4">
        <v>15.0</v>
      </c>
      <c r="L416" s="3" t="s">
        <v>1003</v>
      </c>
      <c r="M416" s="3" t="s">
        <v>2189</v>
      </c>
      <c r="N416" s="7" t="str">
        <f>IFERROR(__xludf.DUMMYFUNCTION("GOOGLETRANSLATE(L416, ""en"", ""pt"")"),"Acabadores de concreto")</f>
        <v>Acabadores de concreto</v>
      </c>
      <c r="O416" s="7" t="str">
        <f>IFERROR(__xludf.DUMMYFUNCTION("IF(M416="""","""",GOOGLETRANSLATE(M416,""en"",""pt""))"),"Preparar o canteiro de obras onde o concreto será despejado, orientando os operários a posicionar os materiais no local, medir as fôrmas, verificar o nivelamento e confirmar o layout correto das fôrmas. Posicionar e alinhar com segurança as fôrmas de made"&amp;"ira e metal que conterão o concreto. Espalhar, nivelar e alisar o concreto usando rastelos, réguas de nivelamento manuais ou motorizadas, alisadoras mecânicas, pás ou ferramentas manuais. Desmontar as fôrmas e cortar o concreto com serras para concreto. L"&amp;"impar o canteiro de obras. Classificação da Função: 47-2051.00 - Pedreiros e Acabadores de Concreto. A classificação e descrição da função/setor incluem informações gerais sobre o cargo, de acordo com o ONET/OES e o Sistema de Classificação Industrial da "&amp;"América do Norte (NAICS). Consulte as Funções e a Ordem de Serviço para obter mais informações. Requisitos da Função: Experiência Necessária: Sim. Meses de Experiência Necessários: 36. Requisitos Especiais: Trabalho em alguns fins de semana. Necessário su"&amp;"portar temperaturas extremas. Necessário levantar e carregar 34 kg por 45 metros. Número de horas por semana: 40 Horário de trabalho (início/término): 7h00 - 17h00")</f>
        <v>Preparar o canteiro de obras onde o concreto será despejado, orientando os operários a posicionar os materiais no local, medir as fôrmas, verificar o nivelamento e confirmar o layout correto das fôrmas. Posicionar e alinhar com segurança as fôrmas de madeira e metal que conterão o concreto. Espalhar, nivelar e alisar o concreto usando rastelos, réguas de nivelamento manuais ou motorizadas, alisadoras mecânicas, pás ou ferramentas manuais. Desmontar as fôrmas e cortar o concreto com serras para concreto. Limpar o canteiro de obras. Classificação da Função: 47-2051.00 - Pedreiros e Acabadores de Concreto. A classificação e descrição da função/setor incluem informações gerais sobre o cargo, de acordo com o ONET/OES e o Sistema de Classificação Industrial da América do Norte (NAICS). Consulte as Funções e a Ordem de Serviço para obter mais informações. Requisitos da Função: Experiência Necessária: Sim. Meses de Experiência Necessários: 36. Requisitos Especiais: Trabalho em alguns fins de semana. Necessário suportar temperaturas extremas. Necessário levantar e carregar 34 kg por 45 metros. Número de horas por semana: 40 Horário de trabalho (início/término): 7h00 - 17h00</v>
      </c>
    </row>
    <row r="417" ht="20.25" customHeight="1">
      <c r="A417" s="8" t="s">
        <v>2190</v>
      </c>
      <c r="B417" s="8" t="s">
        <v>2018</v>
      </c>
      <c r="C417" s="8" t="s">
        <v>391</v>
      </c>
      <c r="D417" s="8" t="s">
        <v>64</v>
      </c>
      <c r="E417" s="9" t="s">
        <v>19</v>
      </c>
      <c r="F417" s="9" t="s">
        <v>20</v>
      </c>
      <c r="G417" s="9" t="s">
        <v>377</v>
      </c>
      <c r="H417" s="14" t="s">
        <v>2019</v>
      </c>
      <c r="I417" s="8" t="s">
        <v>2020</v>
      </c>
      <c r="J417" s="9">
        <v>15.45</v>
      </c>
      <c r="K417" s="9">
        <v>13.0</v>
      </c>
      <c r="L417" s="8" t="s">
        <v>354</v>
      </c>
      <c r="M417" s="8" t="s">
        <v>2191</v>
      </c>
      <c r="N417" s="7" t="str">
        <f>IFERROR(__xludf.DUMMYFUNCTION("GOOGLETRANSLATE(L417, ""en"", ""pt"")"),"Governanta")</f>
        <v>Governanta</v>
      </c>
      <c r="O417" s="7" t="str">
        <f>IFERROR(__xludf.DUMMYFUNCTION("IF(M417="""","""",GOOGLETRANSLATE(M417,""en"",""pt""))"),"Executar uma combinação de tarefas de limpeza leve para manter o hotel limpo e organizado. Limpar e tirar o pó dos quartos; limpar banheiros, incluindo pia, bancada, chuveiro, banheira e vaso sanitário. Retirar, separar e dobrar roupas de cama; arrumar as"&amp;" camas, virar os colchões; repor roupas de cama, toalhas, suprimentos e amenidades nos quartos. Limpar corredores, elevadores, escadas, saguões, vestiários, salas de conferência e outras áreas públicas. Tirar o pó de cortinas e móveis; polir e mover/reorg"&amp;"anizar móveis em quartos e salas de reunião. Limpar paredes, janelas e espelhos; passar pano e/ou aspirar o chão, lavar carpetes. Remover lixo, detritos e teias de aranha da varanda/terraço dos quartos, vasos de plantas e plantas. Recolher roupas de cama "&amp;"sujas e lixo dos pisos, áreas públicas e escritórios. Esvaziar e desinfetar lixeiras e cinzeiros. Manter o depósito de roupas de cama organizado, limpo e devidamente abastecido. Atender a pedidos especiais dos hóspedes e entregar suprimentos/amenidades so"&amp;"licitados nos quartos. Reportar quaisquer danos observados ou necessidade de manutenção/reparos ao supervisor. ***Ao limpar áreas de conferência e espaços públicos, o funcionário utiliza um aspirador de pó para aspirar carpetes, um espanador para tirar o "&amp;"pó e polir luminárias como abajures, uma vassoura e um esfregão para varrer/limpar pisos, e um pano de limpeza com produtos químicos aprovados para limpar rodapés e toda a madeira, mesas de centro, mesas de sala de reuniões, cadeiras, portas, janelas, ele"&amp;"vadores e escadas. De acordo com os padrões para aspirar espaços públicos, salas de reuniões e quartos de hóspedes, o funcionário pode levantar, empurrar ou puxar cadeiras de sala de reuniões, pufes e mesas de centro manualmente. Ele não utilizará nenhuma"&amp;" ferramenta ou equipamento para realizar essa função. As tarefas necessárias para atender às necessidades especiais dos hóspedes incluem a entrega de toalhas, ferros de passar roupa, tábuas de passar roupa, cabides, cobertores/travesseiros, sabonete, xamp"&amp;"u, lenços de papel e berços portáteis, quando solicitados. O empregador oferece 40 horas de trabalho por semana. Aberto 7 dias por semana, com escala de trabalho de 5 dias, variando de domingo a sábado. Horários normais de trabalho: 8h às 16h30 e 15h às 2"&amp;"3h30. Os turnos incluem 30 minutos de intervalo não remunerado. Os horários e turnos podem variar de acordo com a ocupação. O empregador poderá aumentar o salário com base na experiência, nas mudanças nas condições de mercado e/ou oferecer remuneração adi"&amp;"cional por desempenho e tempo de serviço. Uma refeição por turno é fornecida gratuitamente ao funcionário. Horas extras podem estar disponíveis. Um adicional de horas extras será pago quando exigido por lei federal, estadual ou local, incluindo hora e mei"&amp;"a após 40 horas semanais. Geralmente, quando houver horas extras disponíveis, elas serão pagas a US$ 23,18 por hora. O funcionário é responsável pelo seu próprio transporte diário de ida e volta ao local de trabalho. Classificação da vaga: 37-2012.00 - Ca"&amp;"mareiras e Auxiliares de Limpeza. A classificação e descrição da vaga/setor incluem informações gerais sobre o cargo, de acordo com o ONET/OES e o Sistema de Classificação Industrial da América do Norte (NAICS). Consulte as Funções e a Ordem de Serviço pa"&amp;"ra obter mais informações. Requisitos da vaga: Experiência exigida: Sim. Meses de experiência exigidos: 1. Requisitos especiais: É necessário 1 mês de experiência como camareira em hotel. É necessário falar e entender um pouco de inglês. É necessário ser "&amp;"capaz de levantar, empurrar e puxar até 23 kg. É necessário ser capaz de ficar em pé por longos períodos. É necessário ser capaz de se curvar, agachar e alcançar objetos para cima, para baixo e acima da cabeça. É necessário ter disponibilidade para trabal"&amp;"har em um horário flexível de 5 dias por semana, incluindo fins de semana e feriados, conforme necessário. É obrigatória a verificação de antecedentes pré-emprego, cujo custo é pago pelo empregador e aplicado igualmente a todos os funcionários, americanos"&amp;" e estrangeiros/H-2B. O candidato deve preencher uma ficha de emprego. O uniforme obrigatório é fornecido sem custo para o funcionário. Número de horas por semana: 40. Horário de trabalho (início/término): 8h às 16h30.")</f>
        <v>Executar uma combinação de tarefas de limpeza leve para manter o hotel limpo e organizado. Limpar e tirar o pó dos quartos; limpar banheiros, incluindo pia, bancada, chuveiro, banheira e vaso sanitário. Retirar, separar e dobrar roupas de cama; arrumar as camas, virar os colchões; repor roupas de cama, toalhas, suprimentos e amenidades nos quartos. Limpar corredores, elevadores, escadas, saguões, vestiários, salas de conferência e outras áreas públicas. Tirar o pó de cortinas e móveis; polir e mover/reorganizar móveis em quartos e salas de reunião. Limpar paredes, janelas e espelhos; passar pano e/ou aspirar o chão, lavar carpetes. Remover lixo, detritos e teias de aranha da varanda/terraço dos quartos, vasos de plantas e plantas. Recolher roupas de cama sujas e lixo dos pisos, áreas públicas e escritórios. Esvaziar e desinfetar lixeiras e cinzeiros. Manter o depósito de roupas de cama organizado, limpo e devidamente abastecido. Atender a pedidos especiais dos hóspedes e entregar suprimentos/amenidades solicitados nos quartos. Reportar quaisquer danos observados ou necessidade de manutenção/reparos ao supervisor. ***Ao limpar áreas de conferência e espaços públicos, o funcionário utiliza um aspirador de pó para aspirar carpetes, um espanador para tirar o pó e polir luminárias como abajures, uma vassoura e um esfregão para varrer/limpar pisos, e um pano de limpeza com produtos químicos aprovados para limpar rodapés e toda a madeira, mesas de centro, mesas de sala de reuniões, cadeiras, portas, janelas, elevadores e escadas. De acordo com os padrões para aspirar espaços públicos, salas de reuniões e quartos de hóspedes, o funcionário pode levantar, empurrar ou puxar cadeiras de sala de reuniões, pufes e mesas de centro manualmente. Ele não utilizará nenhuma ferramenta ou equipamento para realizar essa função. As tarefas necessárias para atender às necessidades especiais dos hóspedes incluem a entrega de toalhas, ferros de passar roupa, tábuas de passar roupa, cabides, cobertores/travesseiros, sabonete, xampu, lenços de papel e berços portáteis, quando solicitados. O empregador oferece 40 horas de trabalho por semana. Aberto 7 dias por semana, com escala de trabalho de 5 dias, variando de domingo a sábado. Horários normais de trabalho: 8h às 16h30 e 15h às 23h30. Os turnos incluem 30 minutos de intervalo não remunerado. Os horários e turnos podem variar de acordo com a ocupação. O empregador poderá aumentar o salário com base na experiência, nas mudanças nas condições de mercado e/ou oferecer remuneração adicional por desempenho e tempo de serviço. Uma refeição por turno é fornecida gratuitamente ao funcionário. Horas extras podem estar disponíveis. Um adicional de horas extras será pago quando exigido por lei federal, estadual ou local, incluindo hora e meia após 40 horas semanais. Geralmente, quando houver horas extras disponíveis, elas serão pagas a US$ 23,18 por hora. O funcionário é responsável pelo seu próprio transporte diário de ida e volta ao local de trabalho. Classificação da vaga: 37-2012.00 - Camareiras e Auxiliares de Limpeza. A classificação e descrição da vaga/setor incluem informações gerais sobre o cargo, de acordo com o ONET/OES e o Sistema de Classificação Industrial da América do Norte (NAICS). Consulte as Funções e a Ordem de Serviço para obter mais informações. Requisitos da vaga: Experiência exigida: Sim. Meses de experiência exigidos: 1. Requisitos especiais: É necessário 1 mês de experiência como camareira em hotel. É necessário falar e entender um pouco de inglês. É necessário ser capaz de levantar, empurrar e puxar até 23 kg. É necessário ser capaz de ficar em pé por longos períodos. É necessário ser capaz de se curvar, agachar e alcançar objetos para cima, para baixo e acima da cabeça. É necessário ter disponibilidade para trabalhar em um horário flexível de 5 dias por semana, incluindo fins de semana e feriados, conforme necessário. É obrigatória a verificação de antecedentes pré-emprego, cujo custo é pago pelo empregador e aplicado igualmente a todos os funcionários, americanos e estrangeiros/H-2B. O candidato deve preencher uma ficha de emprego. O uniforme obrigatório é fornecido sem custo para o funcionário. Número de horas por semana: 40. Horário de trabalho (início/término): 8h às 16h30.</v>
      </c>
    </row>
    <row r="418" ht="20.25" customHeight="1">
      <c r="A418" s="3" t="s">
        <v>2192</v>
      </c>
      <c r="B418" s="3" t="s">
        <v>1743</v>
      </c>
      <c r="C418" s="3" t="s">
        <v>125</v>
      </c>
      <c r="D418" s="3" t="s">
        <v>18</v>
      </c>
      <c r="E418" s="4" t="s">
        <v>19</v>
      </c>
      <c r="F418" s="4" t="s">
        <v>20</v>
      </c>
      <c r="G418" s="4" t="s">
        <v>146</v>
      </c>
      <c r="H418" s="3" t="s">
        <v>1744</v>
      </c>
      <c r="I418" s="3" t="s">
        <v>1745</v>
      </c>
      <c r="J418" s="4">
        <v>25.58</v>
      </c>
      <c r="K418" s="4">
        <v>10.0</v>
      </c>
      <c r="L418" s="3" t="s">
        <v>97</v>
      </c>
      <c r="M418" s="3" t="s">
        <v>2193</v>
      </c>
      <c r="N418" s="7" t="str">
        <f>IFERROR(__xludf.DUMMYFUNCTION("GOOGLETRANSLATE(L418, ""en"", ""pt"")"),"Operador de Equipamentos")</f>
        <v>Operador de Equipamentos</v>
      </c>
      <c r="O418" s="7" t="str">
        <f>IFERROR(__xludf.DUMMYFUNCTION("IF(M418="""","""",GOOGLETRANSLATE(M418,""en"",""pt""))"),"Operar um ou mais tipos de equipamentos motorizados de construção, como motoniveladoras, tratores de esteira, raspadores, compressores, bombas, guindastes, escavadeiras, tratores agrícolas ou pás carregadeiras, para escavar, movimentar e nivelar terra, er"&amp;"guer estruturas ou despejar concreto ou outro tipo de pavimento. Pode também realizar reparos e manutenção de equipamentos, além de outras tarefas. Classificação da função: 47-2073.00 - Operadores de Máquinas e Outros Equipamentos de Construção. A classif"&amp;"icação e descrição da função/setor inclui informações gerais sobre o cargo, de acordo com o ONET/OES e o Sistema de Classificação Industrial da América do Norte (NAICS). Consulte as Funções e a Ordem de Serviço para obter mais informações. Requisitos da v"&amp;"aga: Experiência exigida: Sim. Meses de experiência exigidos: 3. Requisitos especiais: Capacidade de levantar 23 kg, realizar movimentos repetitivos, empurrar/puxar com frequência, caminhar bastante, agachar-se frequentemente e estar exposto a temperatura"&amp;"s extremas. 3 meses de experiência em construção são necessários. Exame toxicológico pós-contratação por conta do empregador. Número de horas por semana: 40 Horário de trabalho (início/término): 7h00 - 16h00")</f>
        <v>Operar um ou mais tipos de equipamentos motorizados de construção, como motoniveladoras, tratores de esteira, raspadores, compressores, bombas, guindastes, escavadeiras, tratores agrícolas ou pás carregadeiras, para escavar, movimentar e nivelar terra, erguer estruturas ou despejar concreto ou outro tipo de pavimento. Pode também realizar reparos e manutenção de equipamentos, além de outras tarefas. Classificação da função: 47-2073.00 - Operadores de Máquinas e Outros Equipamentos de Construção. A classificação e descrição da função/setor inclui informações gerais sobre o cargo, de acordo com o ONET/OES e o Sistema de Classificação Industrial da América do Norte (NAICS). Consulte as Funções e a Ordem de Serviço para obter mais informações. Requisitos da vaga: Experiência exigida: Sim. Meses de experiência exigidos: 3. Requisitos especiais: Capacidade de levantar 23 kg, realizar movimentos repetitivos, empurrar/puxar com frequência, caminhar bastante, agachar-se frequentemente e estar exposto a temperaturas extremas. 3 meses de experiência em construção são necessários. Exame toxicológico pós-contratação por conta do empregador. Número de horas por semana: 40 Horário de trabalho (início/término): 7h00 - 16h00</v>
      </c>
    </row>
    <row r="419" ht="20.25" customHeight="1">
      <c r="A419" s="8" t="s">
        <v>2194</v>
      </c>
      <c r="B419" s="8" t="s">
        <v>2195</v>
      </c>
      <c r="C419" s="8" t="s">
        <v>1000</v>
      </c>
      <c r="D419" s="8" t="s">
        <v>71</v>
      </c>
      <c r="E419" s="9" t="s">
        <v>19</v>
      </c>
      <c r="F419" s="9" t="s">
        <v>20</v>
      </c>
      <c r="G419" s="9" t="s">
        <v>307</v>
      </c>
      <c r="H419" s="8" t="s">
        <v>1989</v>
      </c>
      <c r="I419" s="8" t="s">
        <v>1990</v>
      </c>
      <c r="J419" s="9">
        <v>17.73</v>
      </c>
      <c r="K419" s="9">
        <v>12.0</v>
      </c>
      <c r="L419" s="8" t="s">
        <v>2196</v>
      </c>
      <c r="M419" s="8" t="s">
        <v>2197</v>
      </c>
      <c r="N419" s="7" t="str">
        <f>IFERROR(__xludf.DUMMYFUNCTION("GOOGLETRANSLATE(L419, ""en"", ""pt"")"),"Paisagistas")</f>
        <v>Paisagistas</v>
      </c>
      <c r="O419" s="7" t="str">
        <f>IFERROR(__xludf.DUMMYFUNCTION("IF(M419="""","""",GOOGLETRANSLATE(M419,""en"",""pt""))"),"Realizar a manutenção paisagística ou de terrenos utilizando ferramentas manuais ou elétricas. As ferramentas podem incluir cortadores de grama, roçadeiras, tesouras de poda, pás, ancinhos, compactadores, sopradores, aparadores de grama manuais e elétrico"&amp;"s, motosserras (para cortes leves e podas), perfuradores e valeteiras manuais. As tarefas incluem colocar grama em placas, aplicar cobertura morta, cortar grama, aparar, fazer o acabamento das bordas, plantar, regar, fertilizar, cavar, rastelar, podar e r"&amp;"emover detritos. Os trabalhadores podem auxiliar na instalação de sistemas de irrigação e blocos de concreto pré-moldado sem argamassa. Esta é uma posição de nível inicial; as tarefas são executadas sob supervisão e não incluem trabalhos de construção mai"&amp;"s especializados. Classificação da função: 37-3011.00 - Trabalhadores de Paisagismo e Manutenção de Terrenos. A classificação e descrição da função/setor inclui informações gerais sobre o cargo, de acordo com o ONET/OES e o Sistema de Classificação Indust"&amp;"rial da América do Norte. Consulte as Funções e a Ordem de Serviço para obter mais informações. Requisitos da vaga Experiência necessária: Não. Requisitos especiais: Deve ser capaz de levantar/carregar até 23 kg, quando necessário. Trabalho aos sábados, q"&amp;"uando necessário. Exame toxicológico pago pelo empregador é obrigatório para funcionários estrangeiros e nacionais antes do início do trabalho e após a contratação, em caso de acidente. Verificação de antecedentes criminais é obrigatória para funcionários"&amp;" estrangeiros e nacionais após a contratação. Número de horas por semana: 40. Horário de trabalho (início/término): 6h30 às 17h.")</f>
        <v>Realizar a manutenção paisagística ou de terrenos utilizando ferramentas manuais ou elétricas. As ferramentas podem incluir cortadores de grama, roçadeiras, tesouras de poda, pás, ancinhos, compactadores, sopradores, aparadores de grama manuais e elétricos, motosserras (para cortes leves e podas), perfuradores e valeteiras manuais. As tarefas incluem colocar grama em placas, aplicar cobertura morta, cortar grama, aparar, fazer o acabamento das bordas, plantar, regar, fertilizar, cavar, rastelar, podar e remover detritos. Os trabalhadores podem auxiliar na instalação de sistemas de irrigação e blocos de concreto pré-moldado sem argamassa. Esta é uma posição de nível inicial; as tarefas são executadas sob supervisão e não incluem trabalhos de construção mais especializados. Classificação da função: 37-3011.00 - Trabalhadores de Paisagismo e Manutenção de Terrenos. A classificação e descrição da função/setor inclui informações gerais sobre o cargo, de acordo com o ONET/OES e o Sistema de Classificação Industrial da América do Norte. Consulte as Funções e a Ordem de Serviço para obter mais informações. Requisitos da vaga Experiência necessária: Não. Requisitos especiais: Deve ser capaz de levantar/carregar até 23 kg, quando necessário. Trabalho aos sábados, quando necessário. Exame toxicológico pago pelo empregador é obrigatório para funcionários estrangeiros e nacionais antes do início do trabalho e após a contratação, em caso de acidente. Verificação de antecedentes criminais é obrigatória para funcionários estrangeiros e nacionais após a contratação. Número de horas por semana: 40. Horário de trabalho (início/término): 6h30 às 17h.</v>
      </c>
    </row>
    <row r="420" ht="20.25" customHeight="1">
      <c r="A420" s="3" t="s">
        <v>2198</v>
      </c>
      <c r="B420" s="3" t="s">
        <v>2199</v>
      </c>
      <c r="C420" s="3" t="s">
        <v>1369</v>
      </c>
      <c r="D420" s="3" t="s">
        <v>71</v>
      </c>
      <c r="E420" s="4" t="s">
        <v>19</v>
      </c>
      <c r="F420" s="4" t="s">
        <v>20</v>
      </c>
      <c r="G420" s="4" t="s">
        <v>467</v>
      </c>
      <c r="H420" s="3" t="s">
        <v>2200</v>
      </c>
      <c r="I420" s="3" t="s">
        <v>2201</v>
      </c>
      <c r="J420" s="4">
        <v>16.71</v>
      </c>
      <c r="K420" s="4">
        <v>6.0</v>
      </c>
      <c r="L420" s="3" t="s">
        <v>406</v>
      </c>
      <c r="M420" s="3" t="s">
        <v>2202</v>
      </c>
      <c r="N420" s="7" t="str">
        <f>IFERROR(__xludf.DUMMYFUNCTION("GOOGLETRANSLATE(L420, ""en"", ""pt"")"),"Trabalhador")</f>
        <v>Trabalhador</v>
      </c>
      <c r="O420" s="7" t="str">
        <f>IFERROR(__xludf.DUMMYFUNCTION("IF(M420="""","""",GOOGLETRANSLATE(M420,""en"",""pt""))"),"Montagem de armadilhas para lagostas. Limpeza e reparo das armadilhas. Retirar as armadilhas, medir e devolver as lagostas pequenas à água. Devolver a pesca acidental à água. Limpar equipamentos e ferramentas. Descarregar a pesca ao final do dia. Classifi"&amp;"cação da função: 45-3031.00 - Trabalhadores da Pesca e Caça. A classificação e descrição da função/setor incluem informações gerais sobre o cargo, de acordo com o ONET/OES e o Sistema de Classificação Industrial da América do Norte. Consulte as Funções e "&amp;"a Ordem de Serviço para obter mais informações. Requisitos da função: Experiência necessária: Não. Requisitos especiais: Não são exigidos escolaridade, experiência ou treinamento. 35 horas/semana, sem garantia de horas extras. Número de horas por semana: "&amp;"35. Horário de trabalho (início/término): 7h às 15h.")</f>
        <v>Montagem de armadilhas para lagostas. Limpeza e reparo das armadilhas. Retirar as armadilhas, medir e devolver as lagostas pequenas à água. Devolver a pesca acidental à água. Limpar equipamentos e ferramentas. Descarregar a pesca ao final do dia. Classificação da função: 45-3031.00 - Trabalhadores da Pesca e Caça. A classificação e descrição da função/setor incluem informações gerais sobre o cargo, de acordo com o ONET/OES e o Sistema de Classificação Industrial da América do Norte. Consulte as Funções e a Ordem de Serviço para obter mais informações. Requisitos da função: Experiência necessária: Não. Requisitos especiais: Não são exigidos escolaridade, experiência ou treinamento. 35 horas/semana, sem garantia de horas extras. Número de horas por semana: 35. Horário de trabalho (início/término): 7h às 15h.</v>
      </c>
    </row>
    <row r="421" ht="20.25" customHeight="1">
      <c r="A421" s="8" t="s">
        <v>2203</v>
      </c>
      <c r="B421" s="8" t="s">
        <v>2204</v>
      </c>
      <c r="C421" s="8"/>
      <c r="D421" s="8" t="s">
        <v>126</v>
      </c>
      <c r="E421" s="9" t="s">
        <v>19</v>
      </c>
      <c r="F421" s="9" t="s">
        <v>20</v>
      </c>
      <c r="G421" s="9" t="s">
        <v>345</v>
      </c>
      <c r="H421" s="8" t="s">
        <v>2205</v>
      </c>
      <c r="I421" s="8" t="s">
        <v>2206</v>
      </c>
      <c r="J421" s="9">
        <v>25.81</v>
      </c>
      <c r="K421" s="9">
        <v>5.0</v>
      </c>
      <c r="L421" s="8" t="s">
        <v>2207</v>
      </c>
      <c r="M421" s="8" t="s">
        <v>2208</v>
      </c>
      <c r="N421" s="7" t="str">
        <f>IFERROR(__xludf.DUMMYFUNCTION("GOOGLETRANSLATE(L421, ""en"", ""pt"")"),"Trabalhador de Manutenção e Reparos (Trabalhador de Manutenção da associação de moradores)")</f>
        <v>Trabalhador de Manutenção e Reparos (Trabalhador de Manutenção da associação de moradores)</v>
      </c>
      <c r="O421" s="7" t="str">
        <f>IFERROR(__xludf.DUMMYFUNCTION("IF(M421="""","""",GOOGLETRANSLATE(M421,""en"",""pt""))"),"Executar manutenção de rotina e pequenos reparos em edifícios residenciais, áreas comuns e instalações dentro de condomínios administrados, incluindo carpintaria, hidráulica, pintura e instalações elétricas (somente trabalhos que não exigem licença). Real"&amp;"izar inspeções de propriedade, solucionar problemas nas instalações e concluir tarefas de reparo conforme designadas pelo gerente de operações do empregador. Executar tarefas de manutenção relacionadas ao inverno, incluindo remoção de neve de calçadas, en"&amp;"tradas e áreas comuns, e aplicação de materiais de degelo. Auxiliar na manutenção do acesso seguro a edifícios e instalações do condomínio durante condições climáticas de inverno. Realizar manutenção preventiva para proteger as estruturas e sistemas da pr"&amp;"opriedade durante o clima frio. Realizar manutenção e reparos pós-inverno associados a condições de congelamento e descongelamento e à transição sazonal das propriedades administradas. Responder a solicitações de serviço de manutenção enviadas por meio do"&amp;" sistema de gerenciamento de propriedades do empregador, de acordo com os contratos de gerenciamento de propriedades. Auxiliar na coordenação com fornecedores e empreiteiros para trabalhos especializados. Operar ferramentas manuais e elétricas com seguran"&amp;"ça e de acordo com os procedimentos da empresa. Manter as ferramentas, equipamentos e materiais fornecidos pelo empregador. Seguir todas as normas de segurança do trabalho e relatar riscos ou problemas de manutenção aos supervisores. Classificação da Funç"&amp;"ão: 49-9071.00 - Trabalhadores de Manutenção e Reparos, Geral. A classificação e descrição da função/setor inclui informações gerais sobre o cargo, conforme o ONET/OES e o Sistema de Classificação Industrial da América do Norte (NAICS). Consulte as Funçõe"&amp;"s e a Ordem de Serviço para obter mais informações. Requisitos da Função Experiência Necessária: Não. Requisitos Especiais: Deve ser capaz de levantar e transportar materiais ou equipamentos de até 23 kg. Deve ser capaz de realizar trabalho físico, inclui"&amp;"ndo ficar em pé, caminhar, agachar e trabalhar ao ar livre em condições climáticas de inverno. Deve ser capaz de trabalhar em temperaturas frias, neve e condições climáticas variáveis. Número de Horas por Semana: 40. Horário de Trabalho (Início/Término): "&amp;"8h às 17h.")</f>
        <v>Executar manutenção de rotina e pequenos reparos em edifícios residenciais, áreas comuns e instalações dentro de condomínios administrados, incluindo carpintaria, hidráulica, pintura e instalações elétricas (somente trabalhos que não exigem licença). Realizar inspeções de propriedade, solucionar problemas nas instalações e concluir tarefas de reparo conforme designadas pelo gerente de operações do empregador. Executar tarefas de manutenção relacionadas ao inverno, incluindo remoção de neve de calçadas, entradas e áreas comuns, e aplicação de materiais de degelo. Auxiliar na manutenção do acesso seguro a edifícios e instalações do condomínio durante condições climáticas de inverno. Realizar manutenção preventiva para proteger as estruturas e sistemas da propriedade durante o clima frio. Realizar manutenção e reparos pós-inverno associados a condições de congelamento e descongelamento e à transição sazonal das propriedades administradas. Responder a solicitações de serviço de manutenção enviadas por meio do sistema de gerenciamento de propriedades do empregador, de acordo com os contratos de gerenciamento de propriedades. Auxiliar na coordenação com fornecedores e empreiteiros para trabalhos especializados. Operar ferramentas manuais e elétricas com segurança e de acordo com os procedimentos da empresa. Manter as ferramentas, equipamentos e materiais fornecidos pelo empregador. Seguir todas as normas de segurança do trabalho e relatar riscos ou problemas de manutenção aos supervisores. Classificação da Função: 49-9071.00 - Trabalhadores de Manutenção e Reparos, Geral. A classificação e descrição da função/setor inclui informações gerais sobre o cargo, conforme o ONET/OES e o Sistema de Classificação Industrial da América do Norte (NAICS). Consulte as Funções e a Ordem de Serviço para obter mais informações. Requisitos da Função Experiência Necessária: Não. Requisitos Especiais: Deve ser capaz de levantar e transportar materiais ou equipamentos de até 23 kg. Deve ser capaz de realizar trabalho físico, incluindo ficar em pé, caminhar, agachar e trabalhar ao ar livre em condições climáticas de inverno. Deve ser capaz de trabalhar em temperaturas frias, neve e condições climáticas variáveis. Número de Horas por Semana: 40. Horário de Trabalho (Início/Término): 8h às 17h.</v>
      </c>
    </row>
    <row r="422" ht="20.25" customHeight="1">
      <c r="A422" s="3" t="s">
        <v>2209</v>
      </c>
      <c r="B422" s="3" t="s">
        <v>1534</v>
      </c>
      <c r="C422" s="3" t="s">
        <v>523</v>
      </c>
      <c r="D422" s="3" t="s">
        <v>140</v>
      </c>
      <c r="E422" s="4" t="s">
        <v>19</v>
      </c>
      <c r="F422" s="4" t="s">
        <v>20</v>
      </c>
      <c r="G422" s="4" t="s">
        <v>524</v>
      </c>
      <c r="H422" s="3" t="s">
        <v>525</v>
      </c>
      <c r="I422" s="3" t="s">
        <v>526</v>
      </c>
      <c r="J422" s="4">
        <v>16.39</v>
      </c>
      <c r="K422" s="4">
        <v>5.0</v>
      </c>
      <c r="L422" s="3" t="s">
        <v>2210</v>
      </c>
      <c r="M422" s="3" t="s">
        <v>2211</v>
      </c>
      <c r="N422" s="7" t="str">
        <f>IFERROR(__xludf.DUMMYFUNCTION("GOOGLETRANSLATE(L422, ""en"", ""pt"")"),"Preparador de Alimentos")</f>
        <v>Preparador de Alimentos</v>
      </c>
      <c r="O422" s="7" t="str">
        <f>IFERROR(__xludf.DUMMYFUNCTION("IF(M422="""","""",GOOGLETRANSLATE(M422,""en"",""pt""))"),"***Resposta à Solicitação de Informações*** 1. Tarefas, Ferramentas, Equipamentos e Materiais Específicos Utilizados A frase “Auxiliar a equipe da cozinha em diversas tarefas” refere-se explicitamente a tarefas rotineiras, repetitivas e de apoio realizada"&amp;"s antes do início das atividades na cozinha, sob a supervisão direta de cozinheiros, chefs ou gerentes de serviços de alimentação. Essas tarefas, juntamente com as ferramentas, equipamentos e materiais correspondentes, incluem: - Processamento Inicial de "&amp;"Produtos: Lavar, descascar, cortar, fatiar e retirar sementes de frutas e vegetais frescos para preparar os ingredientes para posterior cozimento ou montagem pela equipe da cozinha. Para esta tarefa, serão utilizadas as seguintes ferramentas: facas de coz"&amp;"inha, descascadores de legumes, descaroçadores, tábuas de corte comerciais, escorredores e pias de preparação de alimentos. Os materiais processados ​​incluem vegetais, frutas e grãos. - Atendimento de Pedidos de Catering: Porcionar, embalar e acondiciona"&amp;"r alimentos preparados especificamente para pedidos de catering e eventos de grande porte. Para essas tarefas, serão utilizadas as seguintes ferramentas/equipamentos/materiais: balanças de porções, copos/colheres medidoras, filme plástico, papel alumínio,"&amp;" bandejas de catering e recipientes para armazenamento de alimentos. - Higienização do Local de Trabalho: Limpeza, higienização e manutenção da higiene das áreas de trabalho, balcões de preparação de alimentos e superfícies da cozinha para garantir um amb"&amp;"iente operacional. Para essas tarefas, serão utilizadas as seguintes ferramentas/equipamentos/materiais: sprays sanitizantes, panos limpos, baldes e desinfetantes químicos seguros para alimentos. - Transporte de Ingredientes: Auxiliar o chefe de cozinha n"&amp;"a coleta e transporte de ingredientes crus, incluindo carnes, frango, frutos do mar e grãos, de câmaras frigoríficas ou depósitos secos para as estações de preparo designadas. Para essas tarefas, serão utilizadas as seguintes ferramentas/equipamentos/mate"&amp;"riais: carrinhos utilitários com rodas e recipientes para armazenamento de alimentos. 2. Esclarecimentos sobre Tarefas de Preparo e Cozimento de Alimentos O Empregador fornece os seguintes esclarecimentos com relação à interação física com alimentos e às "&amp;"tarefas de cozimento: - Preparo de Alimentos: Conforme detalhado acima, a interação do trabalhador com os alimentos se limita ao preparo rotineiro e pouco especializado antes do início das atividades na cozinha. Isso envolve o manuseio repetitivo, lavagem"&amp;", descascamento, corte e remoção de sementes de ingredientes, bem como o porcionamento e embalagem de pedidos. - Tarefas de Cozinha: O Preparador de Alimentos não executa tarefas de cozinha independentes ou especializadas, nem gerencia a execução independ"&amp;"ente de receitas. Todo o trabalho é estritamente de apoio e realizado sob a supervisão direta e constante do chefe de cozinha ou gerente de serviços de alimentação para atender às demandas de alto volume das operações de refeições no local e de catering. "&amp;"***Original*** Preparar, lavar, descascar, cortar e remover sementes de frutas e vegetais e prepará-los para o cozimento. Manter a área de trabalho e os balcões limpos e em condições sanitárias adequadas. Porcionar, embalar e acondicionar pedidos de comid"&amp;"a para catering. Auxiliar o chefe de cozinha em diversas tarefas. Classificação do Cargo: 35-2021.00 - Trabalhadores de Preparação de Alimentos. A classificação e descrição do cargo/setor inclui informações gerais sobre a posição, de acordo com o ONET/OES"&amp;" e o Sistema de Classificação Industrial da América do Norte. Consulte as Funções e a Ordem de Serviço para obter mais informações. Requisitos do Cargo Experiência Necessária: Não. Requisitos Especiais: NENHUM. Número de horas por semana: 40 Horário de tr"&amp;"abalho (início/término): 10:00 - 19:00")</f>
        <v>***Resposta à Solicitação de Informações*** 1. Tarefas, Ferramentas, Equipamentos e Materiais Específicos Utilizados A frase “Auxiliar a equipe da cozinha em diversas tarefas” refere-se explicitamente a tarefas rotineiras, repetitivas e de apoio realizadas antes do início das atividades na cozinha, sob a supervisão direta de cozinheiros, chefs ou gerentes de serviços de alimentação. Essas tarefas, juntamente com as ferramentas, equipamentos e materiais correspondentes, incluem: - Processamento Inicial de Produtos: Lavar, descascar, cortar, fatiar e retirar sementes de frutas e vegetais frescos para preparar os ingredientes para posterior cozimento ou montagem pela equipe da cozinha. Para esta tarefa, serão utilizadas as seguintes ferramentas: facas de cozinha, descascadores de legumes, descaroçadores, tábuas de corte comerciais, escorredores e pias de preparação de alimentos. Os materiais processados ​​incluem vegetais, frutas e grãos. - Atendimento de Pedidos de Catering: Porcionar, embalar e acondicionar alimentos preparados especificamente para pedidos de catering e eventos de grande porte. Para essas tarefas, serão utilizadas as seguintes ferramentas/equipamentos/materiais: balanças de porções, copos/colheres medidoras, filme plástico, papel alumínio, bandejas de catering e recipientes para armazenamento de alimentos. - Higienização do Local de Trabalho: Limpeza, higienização e manutenção da higiene das áreas de trabalho, balcões de preparação de alimentos e superfícies da cozinha para garantir um ambiente operacional. Para essas tarefas, serão utilizadas as seguintes ferramentas/equipamentos/materiais: sprays sanitizantes, panos limpos, baldes e desinfetantes químicos seguros para alimentos. - Transporte de Ingredientes: Auxiliar o chefe de cozinha na coleta e transporte de ingredientes crus, incluindo carnes, frango, frutos do mar e grãos, de câmaras frigoríficas ou depósitos secos para as estações de preparo designadas. Para essas tarefas, serão utilizadas as seguintes ferramentas/equipamentos/materiais: carrinhos utilitários com rodas e recipientes para armazenamento de alimentos. 2. Esclarecimentos sobre Tarefas de Preparo e Cozimento de Alimentos O Empregador fornece os seguintes esclarecimentos com relação à interação física com alimentos e às tarefas de cozimento: - Preparo de Alimentos: Conforme detalhado acima, a interação do trabalhador com os alimentos se limita ao preparo rotineiro e pouco especializado antes do início das atividades na cozinha. Isso envolve o manuseio repetitivo, lavagem, descascamento, corte e remoção de sementes de ingredientes, bem como o porcionamento e embalagem de pedidos. - Tarefas de Cozinha: O Preparador de Alimentos não executa tarefas de cozinha independentes ou especializadas, nem gerencia a execução independente de receitas. Todo o trabalho é estritamente de apoio e realizado sob a supervisão direta e constante do chefe de cozinha ou gerente de serviços de alimentação para atender às demandas de alto volume das operações de refeições no local e de catering. ***Original*** Preparar, lavar, descascar, cortar e remover sementes de frutas e vegetais e prepará-los para o cozimento. Manter a área de trabalho e os balcões limpos e em condições sanitárias adequadas. Porcionar, embalar e acondicionar pedidos de comida para catering. Auxiliar o chefe de cozinha em diversas tarefas. Classificação do Cargo: 35-2021.00 - Trabalhadores de Preparação de Alimentos. A classificação e descrição do cargo/setor inclui informações gerais sobre a posição, de acordo com o ONET/OES e o Sistema de Classificação Industrial da América do Norte. Consulte as Funções e a Ordem de Serviço para obter mais informações. Requisitos do Cargo Experiência Necessária: Não. Requisitos Especiais: NENHUM. Número de horas por semana: 40 Horário de trabalho (início/término): 10:00 - 19:00</v>
      </c>
    </row>
    <row r="423" ht="20.25" customHeight="1">
      <c r="A423" s="8" t="s">
        <v>2212</v>
      </c>
      <c r="B423" s="8" t="s">
        <v>1548</v>
      </c>
      <c r="C423" s="8" t="s">
        <v>376</v>
      </c>
      <c r="D423" s="8" t="s">
        <v>28</v>
      </c>
      <c r="E423" s="9" t="s">
        <v>19</v>
      </c>
      <c r="F423" s="9" t="s">
        <v>20</v>
      </c>
      <c r="G423" s="9" t="s">
        <v>94</v>
      </c>
      <c r="H423" s="8" t="s">
        <v>1549</v>
      </c>
      <c r="I423" s="8" t="s">
        <v>1550</v>
      </c>
      <c r="J423" s="9">
        <v>19.99</v>
      </c>
      <c r="K423" s="9">
        <v>5.0</v>
      </c>
      <c r="L423" s="8" t="s">
        <v>2213</v>
      </c>
      <c r="M423" s="8" t="s">
        <v>2214</v>
      </c>
      <c r="N423" s="7" t="str">
        <f>IFERROR(__xludf.DUMMYFUNCTION("GOOGLETRANSLATE(L423, ""en"", ""pt"")"),"Operador de caminhão e trator industrial")</f>
        <v>Operador de caminhão e trator industrial</v>
      </c>
      <c r="O423" s="7" t="str">
        <f>IFERROR(__xludf.DUMMYFUNCTION("IF(M423="""","""",GOOGLETRANSLATE(M423,""en"",""pt""))"),"Operador de Caminhão e Trator Industrial – 5 vagas temporárias em tempo integral disponíveis de 01/10/2026 a 31/01/2027 em Thibodaux, LA, na Lafourche Sugars, LLC. Auxiliar os trabalhadores da produção realizando tarefas que exigem menos habilidade. As fu"&amp;"nções incluem o fornecimento e o transporte de materiais para o destino correto. Os trabalhadores transportarão a cana-de-açúcar colhida, trazida dos agricultores, da área de descarregamento até a usina para processamento. Eles carregarão a mesa de alimen"&amp;"tação da usina assim que a cana for entregue ou a empilharão para alimentação posterior. Operarão um trator (trator com pá carregadeira) no pátio da usina, transportando a cana-de-açúcar colhida do local de descarregamento do agricultor até o local na fáb"&amp;"rica para iniciar o processo de fabricação. O trator com pá carregadeira opera somente no pátio da usina e nunca é usado em vias públicas. A usina recebe uma estimativa de 12.000 toneladas de cana-de-açúcar colhida por dia. Os caminhões dos agricultores s"&amp;"ão pesados ​​e, em seguida, descarregados em um local designado, de onde os operadores transportam a cana colhida para a usina, tudo isso nas imediações da usina de açúcar. O processo funciona 24 horas por dia, 7 dias por semana, durante a safra de colhei"&amp;"ta e processamento da cana-de-açúcar na Louisiana. A manutenção básica da pá carregadeira (trator) pode incluir a verificação dos níveis de fluidos, abastecimento de combustível, verificação do nível de óleo e lubrificação das peças mecânicas. A pá carreg"&amp;"adeira é limpa diariamente, removendo-se os detritos com vassouras, toalhas, mangueira de água ou manualmente. Salário: US$ 19,99/hora; US$ 29,99/hora para horas extras (pagas a cada duas semanas por cheque). Será necessário trabalhar em turnos rotativos "&amp;"de 8 horas, incluindo (6h-14h; 14h-22h; 22h-6h); 56 horas semanais durante a safra de colheita, 40 horas semanais após a safra de colheita. Horas extras são pagas após 48 horas durante a colheita e após 40 horas após a colheita. É necessário ter disponibi"&amp;"lidade para trabalhar 7 dias por semana. As horas extras podem variar e não são garantidas. O empregador fará todos os descontos exigidos por lei no salário do trabalhador. O trabalhador terá 30 minutos de intervalo para almoço remunerado durante o expedi"&amp;"ente. É exigida experiência mínima de 3 meses na função oferecida em uma usina de açúcar bruto. Não há exigência de escolaridade mínima. Não será oferecido treinamento no local de trabalho. Alojamento opcional no local será oferecido gratuitamente a cada "&amp;"funcionário temporário contratado para a vaga. A Lafourche fornecerá aos trabalhadores americanos pelo menos os mesmos benefícios, salários e condições de trabalho oferecidos aos trabalhadores com visto H-2B. A Lafourche fornecerá ao trabalhador, sem cust"&amp;"o ou depósito, todas as ferramentas, suprimentos e equipamentos necessários para o desempenho das funções atribuídas. O empregador garante oferecer emprego equivalente a pelo menos três quartos (3/4) dos dias úteis de cada período de 12 semanas do período"&amp;" total de emprego; e, caso a garantia não seja cumprida, o empregador pagará ao trabalhador o que ele teria recebido se o empregador tivesse oferecido o número de dias garantido. O período de 12 semanas começará no primeiro dia útil após a chegada do trab"&amp;"alhador ou na primeira data de necessidade contratual anunciada, o que ocorrer por último. O trabalhador será reembolsado pelas despesas de transporte e subsistência do local de onde se deslocou para trabalhar para o empregador, seja nos EUA ou no exterio"&amp;"r, até o local de trabalho, por meio de cheque emitido pelo empregador, após a conclusão de 50% do período de emprego coberto pela ordem de serviço ou antes, se aplicável. Isso inclui um mínimo de US$ 16,78 por dia durante a viagem, até um máximo de US$ 6"&amp;"8,00 por dia, mediante comprovação das despesas reais. O empregador fornecerá ou pagará o transporte e a subsistência do trabalhador na ida, caso este complete o período da ordem de serviço ou seja dispensado antecipadamente pelo empregador, por qualquer "&amp;"motivo, antes do término do período. O empregador reembolsará o trabalhador com visto H-2B na primeira semana de trabalho pelo custo total de todos os vistos, processamento de vistos, travessia de fronteira e outras taxas relacionadas, incluindo aquelas e"&amp;"xigidas pelo governo. A Lafourche fornecerá ou reembolsará os custos de transporte de ida e volta e a subsistência diária para os trabalhadores americanos correspondentes que não puderem retornar à sua residência no mesmo dia de trabalho. Quando aplicável"&amp;", o transporte diário de ida e volta do local de trabalho será fornecido pelo empregador. Salários mais altos podem estar disponíveis para trabalhadores com vasta experiência. Classificação do Cargo: 53-7051.00 - Operadores de Caminhões e Tratores Industr"&amp;"iais. A classificação e descrição do cargo/setor incluem informações gerais sobre a posição, de acordo com o ONET/OES e o Sistema de Classificação Industrial da América do Norte (NAICS). Consulte as Funções e a Ordem de Serviço para obter mais informações"&amp;". Requisitos do Cargo: Experiência Necessária: Sim. Meses de Experiência Necessários: 3. Número de Horas por Semana: 56. Horário de Trabalho (Início/Término): 6h às 14h.")</f>
        <v>Operador de Caminhão e Trator Industrial – 5 vagas temporárias em tempo integral disponíveis de 01/10/2026 a 31/01/2027 em Thibodaux, LA, na Lafourche Sugars, LLC. Auxiliar os trabalhadores da produção realizando tarefas que exigem menos habilidade. As funções incluem o fornecimento e o transporte de materiais para o destino correto. Os trabalhadores transportarão a cana-de-açúcar colhida, trazida dos agricultores, da área de descarregamento até a usina para processamento. Eles carregarão a mesa de alimentação da usina assim que a cana for entregue ou a empilharão para alimentação posterior. Operarão um trator (trator com pá carregadeira) no pátio da usina, transportando a cana-de-açúcar colhida do local de descarregamento do agricultor até o local na fábrica para iniciar o processo de fabricação. O trator com pá carregadeira opera somente no pátio da usina e nunca é usado em vias públicas. A usina recebe uma estimativa de 12.000 toneladas de cana-de-açúcar colhida por dia. Os caminhões dos agricultores são pesados ​​e, em seguida, descarregados em um local designado, de onde os operadores transportam a cana colhida para a usina, tudo isso nas imediações da usina de açúcar. O processo funciona 24 horas por dia, 7 dias por semana, durante a safra de colheita e processamento da cana-de-açúcar na Louisiana. A manutenção básica da pá carregadeira (trator) pode incluir a verificação dos níveis de fluidos, abastecimento de combustível, verificação do nível de óleo e lubrificação das peças mecânicas. A pá carregadeira é limpa diariamente, removendo-se os detritos com vassouras, toalhas, mangueira de água ou manualmente. Salário: US$ 19,99/hora; US$ 29,99/hora para horas extras (pagas a cada duas semanas por cheque). Será necessário trabalhar em turnos rotativos de 8 horas, incluindo (6h-14h; 14h-22h; 22h-6h); 56 horas semanais durante a safra de colheita, 40 horas semanais após a safra de colheita. Horas extras são pagas após 48 horas durante a colheita e após 40 horas após a colheita. É necessário ter disponibilidade para trabalhar 7 dias por semana. As horas extras podem variar e não são garantidas. O empregador fará todos os descontos exigidos por lei no salário do trabalhador. O trabalhador terá 30 minutos de intervalo para almoço remunerado durante o expediente. É exigida experiência mínima de 3 meses na função oferecida em uma usina de açúcar bruto. Não há exigência de escolaridade mínima. Não será oferecido treinamento no local de trabalho. Alojamento opcional no local será oferecido gratuitamente a cada funcionário temporário contratado para a vaga. A Lafourche fornecerá aos trabalhadores americanos pelo menos os mesmos benefícios, salários e condições de trabalho oferecidos aos trabalhadores com visto H-2B. A Lafourche fornecerá ao trabalhador, sem custo ou depósito, todas as ferramentas, suprimentos e equipamentos necessários para o desempenho das funções atribuídas. O empregador garante oferecer emprego equivalente a pelo menos três quartos (3/4) dos dias úteis de cada período de 12 semanas do período total de emprego; e, caso a garantia não seja cumprida, o empregador pagará ao trabalhador o que ele teria recebido se o empregador tivesse oferecido o número de dias garantido. O período de 12 semanas começará no primeiro dia útil após a chegada do trabalhador ou na primeira data de necessidade contratual anunciada, o que ocorrer por último. O trabalhador será reembolsado pelas despesas de transporte e subsistência do local de onde se deslocou para trabalhar para o empregador, seja nos EUA ou no exterior, até o local de trabalho, por meio de cheque emitido pelo empregador, após a conclusão de 50% do período de emprego coberto pela ordem de serviço ou antes, se aplicável. Isso inclui um mínimo de US$ 16,78 por dia durante a viagem, até um máximo de US$ 68,00 por dia, mediante comprovação das despesas reais. O empregador fornecerá ou pagará o transporte e a subsistência do trabalhador na ida, caso este complete o período da ordem de serviço ou seja dispensado antecipadamente pelo empregador, por qualquer motivo, antes do término do período. O empregador reembolsará o trabalhador com visto H-2B na primeira semana de trabalho pelo custo total de todos os vistos, processamento de vistos, travessia de fronteira e outras taxas relacionadas, incluindo aquelas exigidas pelo governo. A Lafourche fornecerá ou reembolsará os custos de transporte de ida e volta e a subsistência diária para os trabalhadores americanos correspondentes que não puderem retornar à sua residência no mesmo dia de trabalho. Quando aplicável, o transporte diário de ida e volta do local de trabalho será fornecido pelo empregador. Salários mais altos podem estar disponíveis para trabalhadores com vasta experiência. Classificação do Cargo: 53-7051.00 - Operadores de Caminhões e Tratores Industriais. A classificação e descrição do cargo/setor incluem informações gerais sobre a posição, de acordo com o ONET/OES e o Sistema de Classificação Industrial da América do Norte (NAICS). Consulte as Funções e a Ordem de Serviço para obter mais informações. Requisitos do Cargo: Experiência Necessária: Sim. Meses de Experiência Necessários: 3. Número de Horas por Semana: 56. Horário de Trabalho (Início/Término): 6h às 14h.</v>
      </c>
    </row>
    <row r="424" ht="20.25" customHeight="1">
      <c r="A424" s="3" t="s">
        <v>2215</v>
      </c>
      <c r="B424" s="3" t="s">
        <v>2216</v>
      </c>
      <c r="C424" s="3" t="s">
        <v>1713</v>
      </c>
      <c r="D424" s="3" t="s">
        <v>79</v>
      </c>
      <c r="E424" s="4" t="s">
        <v>19</v>
      </c>
      <c r="F424" s="4" t="s">
        <v>20</v>
      </c>
      <c r="G424" s="4" t="s">
        <v>1007</v>
      </c>
      <c r="H424" s="3" t="s">
        <v>2217</v>
      </c>
      <c r="I424" s="3" t="s">
        <v>2218</v>
      </c>
      <c r="J424" s="4">
        <v>17.72</v>
      </c>
      <c r="K424" s="4">
        <v>24.0</v>
      </c>
      <c r="L424" s="3" t="s">
        <v>83</v>
      </c>
      <c r="M424" s="3" t="s">
        <v>2219</v>
      </c>
      <c r="N424" s="7" t="str">
        <f>IFERROR(__xludf.DUMMYFUNCTION("GOOGLETRANSLATE(L424, ""en"", ""pt"")"),"Trabalhador Florestal")</f>
        <v>Trabalhador Florestal</v>
      </c>
      <c r="O424" s="7" t="str">
        <f>IFERROR(__xludf.DUMMYFUNCTION("IF(M424="""","""",GOOGLETRANSLATE(M424,""en"",""pt""))"),"As funções podem incluir: Reunir-se com outros trabalhadores para discutir assuntos como segurança, altura de corte, instruções de plantio e necessidades de trabalho. Garantir o funcionamento adequado dos equipamentos. Separar e selecionar mudas, preparar"&amp;" o solo e plantar as árvores. Examinar as árvores de acordo com tabelas padrão e identificar e remover árvores doentes ou indesejáveis. Selecionar ou cortar árvores de acordo com as marcações. Desbastar, espaçar, podar ou tosquiar árvores, utilizando serr"&amp;"as de desbaste e outras ferramentas manuais ou elétricas. SOB A SUPERVISÃO DIRETA DE OFICIAIS DE COMBATE A INCÊNDIOS, executar tarefas de proteção ou combate a incêndios, como a construção de aceiros ou o descarte de vegetação rasteira e outras atividades"&amp;" relacionadas ao trabalho florestal, conforme SOC/OES 45-4011 (onetonline.org). Horário padrão/esperado: Segunda a sexta, das 7h às 15h. Oferecendo mais de 40 horas semanais, sem incluir o horário de almoço e/ou intervalos. Possibilidade de trabalho nos f"&amp;"ins de semana e feriados. Os horários de início e término, a carga horária oferecida e/ou a possibilidade de horas extras podem variar, pois dependem de fatores como necessidades do projeto/cronograma/serviço, condições climáticas e tempo de deslocamento "&amp;"entre os locais de trabalho (se aplicável). Horas extras são possíveis, mas não obrigatórias nem garantidas. A critério exclusivo do empregador: aumentos salariais e/ou bônus podem ser concedidos com base em fatores individuais, como desempenho ou habilid"&amp;"ades (não garantidos). Moradia compartilhada opcional disponível sem custo para o trabalhador. Classificação da vaga: 45-4011.00 - Trabalhadores Florestais e de Conservação. A classificação e a descrição da vaga/setor incluem informações gerais sobre o ca"&amp;"rgo, de acordo com o ONET/OES e o Sistema de Classificação Industrial da América do Norte. Consulte as Funções e a Ordem de Serviço para obter mais informações. Requisitos da vaga: Experiência exigida: Não. Requisitos especiais: É necessário ter 18 anos o"&amp;"u mais devido a viagens. É necessário apresentar comprovante de autorização legal para trabalhar nos Estados Unidos. Ambiente de trabalho livre de drogas, álcool e tabaco. Executar atividades físicas, como levantar, equilibrar-se, caminhar, abaixar-se, ma"&amp;"nusear, posicionar, mover e manipular materiais; usar força estática para exercer força muscular máxima para levantar, empurrar, puxar e carregar objetos de até 23 kg. Todos os candidatos devem ser capazes, dispostos e qualificados para executar o trabalh"&amp;"o descrito e devem estar disponíveis durante todo o período especificado e trabalhar em todas as áreas da empresa. Possível verificação de antecedentes após a contratação, às custas do empregador. O trabalho é realizado ao ar livre, exposto às intempéries"&amp;"; o candidato deve ser capaz de realizar trabalho fisicamente extenuante por longos períodos, ocasionalmente em calor ou frio extremos. Condições climáticas variáveis ​​se aplicam; a carga horária pode sofrer alterações (+/-), com possibilidade de período"&amp;"s de inatividade e/ou horas extras. Número de horas por semana: 40. Horário de trabalho (início/término): 7h às 15h.")</f>
        <v>As funções podem incluir: Reunir-se com outros trabalhadores para discutir assuntos como segurança, altura de corte, instruções de plantio e necessidades de trabalho. Garantir o funcionamento adequado dos equipamentos. Separar e selecionar mudas, preparar o solo e plantar as árvores. Examinar as árvores de acordo com tabelas padrão e identificar e remover árvores doentes ou indesejáveis. Selecionar ou cortar árvores de acordo com as marcações. Desbastar, espaçar, podar ou tosquiar árvores, utilizando serras de desbaste e outras ferramentas manuais ou elétricas. SOB A SUPERVISÃO DIRETA DE OFICIAIS DE COMBATE A INCÊNDIOS, executar tarefas de proteção ou combate a incêndios, como a construção de aceiros ou o descarte de vegetação rasteira e outras atividades relacionadas ao trabalho florestal, conforme SOC/OES 45-4011 (onetonline.org). Horário padrão/esperado: Segunda a sexta, das 7h às 15h. Oferecendo mais de 40 horas semanais, sem incluir o horário de almoço e/ou intervalos. Possibilidade de trabalho nos fins de semana e feriados. Os horários de início e término, a carga horária oferecida e/ou a possibilidade de horas extras podem variar, pois dependem de fatores como necessidades do projeto/cronograma/serviço, condições climáticas e tempo de deslocamento entre os locais de trabalho (se aplicável). Horas extras são possíveis, mas não obrigatórias nem garantidas. A critério exclusivo do empregador: aumentos salariais e/ou bônus podem ser concedidos com base em fatores individuais, como desempenho ou habilidades (não garantidos). Moradia compartilhada opcional disponível sem custo para o trabalhador. Classificação da vaga: 45-4011.00 - Trabalhadores Florestais e de Conservação. A classificação e a descrição da vaga/setor incluem informações gerais sobre o cargo, de acordo com o ONET/OES e o Sistema de Classificação Industrial da América do Norte. Consulte as Funções e a Ordem de Serviço para obter mais informações. Requisitos da vaga: Experiência exigida: Não. Requisitos especiais: É necessário ter 18 anos ou mais devido a viagens. É necessário apresentar comprovante de autorização legal para trabalhar nos Estados Unidos. Ambiente de trabalho livre de drogas, álcool e tabaco. Executar atividades físicas, como levantar, equilibrar-se, caminhar, abaixar-se, manusear, posicionar, mover e manipular materiais; usar força estática para exercer força muscular máxima para levantar, empurrar, puxar e carregar objetos de até 23 kg. Todos os candidatos devem ser capazes, dispostos e qualificados para executar o trabalho descrito e devem estar disponíveis durante todo o período especificado e trabalhar em todas as áreas da empresa. Possível verificação de antecedentes após a contratação, às custas do empregador. O trabalho é realizado ao ar livre, exposto às intempéries; o candidato deve ser capaz de realizar trabalho fisicamente extenuante por longos períodos, ocasionalmente em calor ou frio extremos. Condições climáticas variáveis ​​se aplicam; a carga horária pode sofrer alterações (+/-), com possibilidade de períodos de inatividade e/ou horas extras. Número de horas por semana: 40. Horário de trabalho (início/término): 7h às 15h.</v>
      </c>
    </row>
    <row r="425" ht="20.25" customHeight="1">
      <c r="A425" s="8" t="s">
        <v>2220</v>
      </c>
      <c r="B425" s="8" t="s">
        <v>2221</v>
      </c>
      <c r="C425" s="8" t="s">
        <v>583</v>
      </c>
      <c r="D425" s="8" t="s">
        <v>2222</v>
      </c>
      <c r="E425" s="9" t="s">
        <v>19</v>
      </c>
      <c r="F425" s="9" t="s">
        <v>20</v>
      </c>
      <c r="G425" s="9" t="s">
        <v>377</v>
      </c>
      <c r="H425" s="8" t="s">
        <v>2223</v>
      </c>
      <c r="I425" s="8" t="s">
        <v>2224</v>
      </c>
      <c r="J425" s="9">
        <v>27.81</v>
      </c>
      <c r="K425" s="9">
        <v>10.0</v>
      </c>
      <c r="L425" s="8" t="s">
        <v>1636</v>
      </c>
      <c r="M425" s="8" t="s">
        <v>2225</v>
      </c>
      <c r="N425" s="7" t="str">
        <f>IFERROR(__xludf.DUMMYFUNCTION("GOOGLETRANSLATE(L425, ""en"", ""pt"")"),"Mordomo")</f>
        <v>Mordomo</v>
      </c>
      <c r="O425" s="7" t="str">
        <f>IFERROR(__xludf.DUMMYFUNCTION("IF(M425="""","""",GOOGLETRANSLATE(M425,""en"",""pt""))"),"*** Resposta à Solicitação de Informações *** Os Stewards prepararão, transportarão e montarão aquecedores, rechauds, utensílios, máquinas de estenografia, aquecedores verticais, etc., para eventos dentro da propriedade, manualmente, com carrinhos de mão "&amp;"ou carrinhos elétricos. Os Stewards desmontarão o espaço do evento e limparão os equipamentos utilizados (aquecedores, rechauds, utensílios, queimadores Sterno, aquecedores verticais, etc.) usando máquinas de lavar louça, lavadoras de alta pressão, polido"&amp;"ras, vassouras e esfregões. Os Stewards também limparão equipamentos em restaurantes e cozinhas, como aquecedores de alimentos, câmaras frigoríficas, racks de velocidade, grelhas, freezers portáteis e queimadores a gás, usando lavagem manual, máquinas de "&amp;"lavar louça e lavadoras de alta pressão. Os Stewards, quando necessário, auxiliarão na reposição dos alimentos no salão de festas da propriedade, em eventos ao ar livre (ex.: Luau) e no refeitório dos funcionários. *** Original F.a.2 *** Lavar pratos, ute"&amp;"nsílios de cozinha, equipamentos de preparação de alimentos ou utensílios usando lava-louças ou manualmente; manter as áreas de trabalho da cozinha, equipamentos ou utensílios limpos e organizados; colocar pratos, utensílios ou equipamentos de cozinha lim"&amp;"pos nas áreas de armazenamento; separar e remover o lixo, colocando-o nas áreas de coleta designadas; estocar e transferir suprimentos para estações de serviço, armários, geladeiras, áreas de armazenamento e de trabalho; retirar o lixo; preparar e embalar"&amp;" conjuntos individuais de talheres; auxiliar na montagem e distribuição de alimentos; levar alimentos e equipamentos dos espaços de armazenamento de banquetes para vários locais da propriedade; limpar equipamentos de cozinha e outros equipamentos usados ​"&amp;"​no departamento de limpeza; auxiliar na coleta de bandejas sujas; montar mesas de banquetes e auxiliar na preparação do espaço para reuniões, conforme designado; e auxiliar na limpeza do hotel, recolhendo lixo, varrendo e realizando outras tarefas de lim"&amp;"peza, conforme designado. Classificação do Cargo: 35-9011.00 - Atendentes de Refeitório e Cafeteria e Auxiliares de Barman. A classificação e descrição do cargo/setor inclui informações gerais sobre a posição da ONET/OES e do Sistema de Classificação Indu"&amp;"strial da América do Norte. Consulte a Descrição das Funções e a Ordem de Serviço para obter mais informações. Requisitos da Vaga Experiência Necessária: Não Requisitos Especiais: Deve ser capaz de levantar, puxar ou empurrar entre 13 e 23 kg de equipamen"&amp;"tos ou lixo. Deve ter disponibilidade para trabalhar em todos os turnos, incluindo fins de semana, noites, madrugadas e feriados. Todos os funcionários do Hotel nesta posição são obrigados a se filiar ao Sindicato dos Trabalhadores da Construção Civil (IL"&amp;"WU Local 142). Número de Horas por Semana: 40 Horário de Trabalho (Início/Término): 6h às 14h")</f>
        <v>*** Resposta à Solicitação de Informações *** Os Stewards prepararão, transportarão e montarão aquecedores, rechauds, utensílios, máquinas de estenografia, aquecedores verticais, etc., para eventos dentro da propriedade, manualmente, com carrinhos de mão ou carrinhos elétricos. Os Stewards desmontarão o espaço do evento e limparão os equipamentos utilizados (aquecedores, rechauds, utensílios, queimadores Sterno, aquecedores verticais, etc.) usando máquinas de lavar louça, lavadoras de alta pressão, polidoras, vassouras e esfregões. Os Stewards também limparão equipamentos em restaurantes e cozinhas, como aquecedores de alimentos, câmaras frigoríficas, racks de velocidade, grelhas, freezers portáteis e queimadores a gás, usando lavagem manual, máquinas de lavar louça e lavadoras de alta pressão. Os Stewards, quando necessário, auxiliarão na reposição dos alimentos no salão de festas da propriedade, em eventos ao ar livre (ex.: Luau) e no refeitório dos funcionários. *** Original F.a.2 *** Lavar pratos, utensílios de cozinha, equipamentos de preparação de alimentos ou utensílios usando lava-louças ou manualmente; manter as áreas de trabalho da cozinha, equipamentos ou utensílios limpos e organizados; colocar pratos, utensílios ou equipamentos de cozinha limpos nas áreas de armazenamento; separar e remover o lixo, colocando-o nas áreas de coleta designadas; estocar e transferir suprimentos para estações de serviço, armários, geladeiras, áreas de armazenamento e de trabalho; retirar o lixo; preparar e embalar conjuntos individuais de talheres; auxiliar na montagem e distribuição de alimentos; levar alimentos e equipamentos dos espaços de armazenamento de banquetes para vários locais da propriedade; limpar equipamentos de cozinha e outros equipamentos usados ​​no departamento de limpeza; auxiliar na coleta de bandejas sujas; montar mesas de banquetes e auxiliar na preparação do espaço para reuniões, conforme designado; e auxiliar na limpeza do hotel, recolhendo lixo, varrendo e realizando outras tarefas de limpeza, conforme designado. Classificação do Cargo: 35-9011.00 - Atendentes de Refeitório e Cafeteria e Auxiliares de Barman. A classificação e descrição do cargo/setor inclui informações gerais sobre a posição da ONET/OES e do Sistema de Classificação Industrial da América do Norte. Consulte a Descrição das Funções e a Ordem de Serviço para obter mais informações. Requisitos da Vaga Experiência Necessária: Não Requisitos Especiais: Deve ser capaz de levantar, puxar ou empurrar entre 13 e 23 kg de equipamentos ou lixo. Deve ter disponibilidade para trabalhar em todos os turnos, incluindo fins de semana, noites, madrugadas e feriados. Todos os funcionários do Hotel nesta posição são obrigados a se filiar ao Sindicato dos Trabalhadores da Construção Civil (ILWU Local 142). Número de Horas por Semana: 40 Horário de Trabalho (Início/Término): 6h às 14h</v>
      </c>
    </row>
    <row r="426" ht="20.25" customHeight="1">
      <c r="A426" s="3" t="s">
        <v>2226</v>
      </c>
      <c r="B426" s="3" t="s">
        <v>2221</v>
      </c>
      <c r="C426" s="3" t="s">
        <v>583</v>
      </c>
      <c r="D426" s="3" t="s">
        <v>2222</v>
      </c>
      <c r="E426" s="4" t="s">
        <v>44</v>
      </c>
      <c r="F426" s="4" t="s">
        <v>20</v>
      </c>
      <c r="G426" s="4" t="s">
        <v>377</v>
      </c>
      <c r="H426" s="3" t="s">
        <v>2223</v>
      </c>
      <c r="I426" s="3" t="s">
        <v>2224</v>
      </c>
      <c r="J426" s="4">
        <v>27.26</v>
      </c>
      <c r="K426" s="4">
        <v>12.0</v>
      </c>
      <c r="L426" s="3" t="s">
        <v>1865</v>
      </c>
      <c r="M426" s="3" t="s">
        <v>2227</v>
      </c>
      <c r="N426" s="7" t="str">
        <f>IFERROR(__xludf.DUMMYFUNCTION("GOOGLETRANSLATE(L426, ""en"", ""pt"")"),"Atendente")</f>
        <v>Atendente</v>
      </c>
      <c r="O426" s="7" t="str">
        <f>IFERROR(__xludf.DUMMYFUNCTION("IF(M426="""","""",GOOGLETRANSLATE(M426,""en"",""pt""))"),"Limpar e arrumar quartos de hóspedes, áreas comuns do resort e outras seções designadas; remover e trocar lençóis, aspirar, tirar o pó, limpar banheiros, reabastecer os carrinhos de limpeza com materiais de limpeza e trabalhar com produtos químicos de lim"&amp;"peza; polir acessórios de prata e peças de metal, como luminárias e acessórios; separar, contar e etiquetar lençóis limpos e guardá-los em armários de roupa de cama; remover detritos dos corredores; e executar outras tarefas de limpeza e higienização conf"&amp;"orme necessário. Classificação do Cargo: 37-2012.00 - Camareiras e Auxiliares de Limpeza. A classificação e descrição do cargo/setor inclui informações gerais sobre a posição, de acordo com o ONET/OES e o Sistema de Classificação Industrial da América do "&amp;"Norte. Consulte as Funções e a Ordem de Serviço para obter mais informações. Requisitos do Cargo Experiência Necessária: Não. Requisitos Especiais: Deve ser capaz de levantar, puxar ou empurrar mais de 23 kg de equipamentos ou lixo. Deve ter disponibilida"&amp;"de para trabalhar em todos os turnos, incluindo fins de semana, noites, madrugadas e feriados. Todos os funcionários do Hotel nesta posição são obrigados a se filiar ao Sindicato dos Trabalhadores da Construção Civil (ILWU Local 142). Número de horas por "&amp;"semana: 40 Horário de trabalho (início/término): 6h00 - 14h00")</f>
        <v>Limpar e arrumar quartos de hóspedes, áreas comuns do resort e outras seções designadas; remover e trocar lençóis, aspirar, tirar o pó, limpar banheiros, reabastecer os carrinhos de limpeza com materiais de limpeza e trabalhar com produtos químicos de limpeza; polir acessórios de prata e peças de metal, como luminárias e acessórios; separar, contar e etiquetar lençóis limpos e guardá-los em armários de roupa de cama; remover detritos dos corredores; e executar outras tarefas de limpeza e higienização conforme necessário. Classificação do Cargo: 37-2012.00 - Camareiras e Auxiliares de Limpeza. A classificação e descrição do cargo/setor inclui informações gerais sobre a posição, de acordo com o ONET/OES e o Sistema de Classificação Industrial da América do Norte. Consulte as Funções e a Ordem de Serviço para obter mais informações. Requisitos do Cargo Experiência Necessária: Não. Requisitos Especiais: Deve ser capaz de levantar, puxar ou empurrar mais de 23 kg de equipamentos ou lixo. Deve ter disponibilidade para trabalhar em todos os turnos, incluindo fins de semana, noites, madrugadas e feriados. Todos os funcionários do Hotel nesta posição são obrigados a se filiar ao Sindicato dos Trabalhadores da Construção Civil (ILWU Local 142). Número de horas por semana: 40 Horário de trabalho (início/término): 6h00 - 14h00</v>
      </c>
    </row>
    <row r="427" ht="20.25" customHeight="1">
      <c r="A427" s="8" t="s">
        <v>2228</v>
      </c>
      <c r="B427" s="8" t="s">
        <v>2229</v>
      </c>
      <c r="C427" s="8" t="s">
        <v>93</v>
      </c>
      <c r="D427" s="8" t="s">
        <v>109</v>
      </c>
      <c r="E427" s="9" t="s">
        <v>44</v>
      </c>
      <c r="F427" s="9" t="s">
        <v>20</v>
      </c>
      <c r="G427" s="9" t="s">
        <v>65</v>
      </c>
      <c r="H427" s="8" t="s">
        <v>2230</v>
      </c>
      <c r="I427" s="8" t="s">
        <v>2231</v>
      </c>
      <c r="J427" s="9">
        <v>19.86</v>
      </c>
      <c r="K427" s="9">
        <v>9.0</v>
      </c>
      <c r="L427" s="8" t="s">
        <v>1021</v>
      </c>
      <c r="M427" s="8" t="s">
        <v>2232</v>
      </c>
      <c r="N427" s="7" t="str">
        <f>IFERROR(__xludf.DUMMYFUNCTION("GOOGLETRANSLATE(L427, ""en"", ""pt"")"),"Paisagista")</f>
        <v>Paisagista</v>
      </c>
      <c r="O427" s="7" t="str">
        <f>IFERROR(__xludf.DUMMYFUNCTION("IF(M427="""","""",GOOGLETRANSLATE(M427,""en"",""pt""))"),"Auxiliar na execução de diversas tarefas de paisagismo para apoiar o desenvolvimento, a instalação e a manutenção de espaços externos. As funções incluem cortar a grama; aparar, podar e podar árvores, arbustos e outras plantas; colocar cobertura morta nos"&amp;" canteiros; plantar flores, arbustos e árvores; capinar; fertilizar; e auxiliar na manutenção geral do terreno para garantir condições paisagísticas saudáveis. Outras funções incluem auxiliar na instalação de elementos paisagísticos, carregando blocos, es"&amp;"palhando cascalho, varrendo areia para as juntas, colocando pinos em blocos de concreto e limpando a área de trabalho, bem como auxiliar a equipe especializada na aplicação de cobertura vegetal, nivelamento e preparação do terreno, e instalação de soluçõe"&amp;"s de drenagem de água e iluminação paisagística. Os trabalhadores utilizam ferramentas manuais e elétricas, como pás, ancinhos, carrinhos de mão, vassouras, marretas, cortadores de grama, roçadeiras e sopradores a gasolina para concluir as tarefas com seg"&amp;"urança e eficiência. Classificação da Função: 37-3011.00 - Trabalhadores de Paisagismo e Manutenção de Jardins. A classificação e descrição da função/setor inclui informações gerais sobre o cargo, de acordo com o ONET/OES e o Sistema de Classificação Indu"&amp;"strial da América do Norte (NAICS). Consulte as Funções e a Ordem de Serviço para obter mais informações. Requisitos da Função Experiência Necessária: Sim Meses de Experiência Necessária: 3 Requisitos Especiais: Requer três meses de experiência prévia em "&amp;"paisagismo ou áreas afins. Deve ser capaz de levantar/carregar 23 kg, quando necessário. Trabalho aos sábados e domingos, quando necessário. O empregador poderá oferecer mais horas de trabalho do que as estipuladas, dependendo do clima, das necessidades d"&amp;"a empresa e de outras condições. Calor extremo, frio, chuva ou seca podem afetar o horário de trabalho exato. Número de Horas por Semana: 45 Horário de Trabalho (Início/Término): 6h30 - 17h00")</f>
        <v>Auxiliar na execução de diversas tarefas de paisagismo para apoiar o desenvolvimento, a instalação e a manutenção de espaços externos. As funções incluem cortar a grama; aparar, podar e podar árvores, arbustos e outras plantas; colocar cobertura morta nos canteiros; plantar flores, arbustos e árvores; capinar; fertilizar; e auxiliar na manutenção geral do terreno para garantir condições paisagísticas saudáveis. Outras funções incluem auxiliar na instalação de elementos paisagísticos, carregando blocos, espalhando cascalho, varrendo areia para as juntas, colocando pinos em blocos de concreto e limpando a área de trabalho, bem como auxiliar a equipe especializada na aplicação de cobertura vegetal, nivelamento e preparação do terreno, e instalação de soluções de drenagem de água e iluminação paisagística. Os trabalhadores utilizam ferramentas manuais e elétricas, como pás, ancinhos, carrinhos de mão, vassouras, marretas, cortadores de grama, roçadeiras e sopradores a gasolina para concluir as tarefas com segurança e eficiência. Classificação da Função: 37-3011.00 - Trabalhadores de Paisagismo e Manutenção de Jardins. A classificação e descrição da função/setor inclui informações gerais sobre o cargo, de acordo com o ONET/OES e o Sistema de Classificação Industrial da América do Norte (NAICS). Consulte as Funções e a Ordem de Serviço para obter mais informações. Requisitos da Função Experiência Necessária: Sim Meses de Experiência Necessária: 3 Requisitos Especiais: Requer três meses de experiência prévia em paisagismo ou áreas afins. Deve ser capaz de levantar/carregar 23 kg, quando necessário. Trabalho aos sábados e domingos, quando necessário. O empregador poderá oferecer mais horas de trabalho do que as estipuladas, dependendo do clima, das necessidades da empresa e de outras condições. Calor extremo, frio, chuva ou seca podem afetar o horário de trabalho exato. Número de Horas por Semana: 45 Horário de Trabalho (Início/Término): 6h30 - 17h00</v>
      </c>
    </row>
    <row r="428" ht="20.25" customHeight="1">
      <c r="A428" s="3" t="s">
        <v>2233</v>
      </c>
      <c r="B428" s="3" t="s">
        <v>2234</v>
      </c>
      <c r="C428" s="3" t="s">
        <v>169</v>
      </c>
      <c r="D428" s="3" t="s">
        <v>109</v>
      </c>
      <c r="E428" s="4" t="s">
        <v>44</v>
      </c>
      <c r="F428" s="4" t="s">
        <v>20</v>
      </c>
      <c r="G428" s="4" t="s">
        <v>118</v>
      </c>
      <c r="H428" s="3" t="s">
        <v>2235</v>
      </c>
      <c r="I428" s="3" t="s">
        <v>2236</v>
      </c>
      <c r="J428" s="4">
        <v>25.91</v>
      </c>
      <c r="K428" s="4">
        <v>3.0</v>
      </c>
      <c r="L428" s="3" t="s">
        <v>165</v>
      </c>
      <c r="M428" s="3" t="s">
        <v>2237</v>
      </c>
      <c r="N428" s="7" t="str">
        <f>IFERROR(__xludf.DUMMYFUNCTION("GOOGLETRANSLATE(L428, ""en"", ""pt"")"),"Trabalhador de remoção de neve")</f>
        <v>Trabalhador de remoção de neve</v>
      </c>
      <c r="O428" s="7" t="str">
        <f>IFERROR(__xludf.DUMMYFUNCTION("IF(M428="""","""",GOOGLETRANSLATE(M428,""en"",""pt""))"),"Os trabalhadores realizarão a limpeza de propriedades comerciais e residenciais, incluindo coleta de lixo/detritos; limpeza de folhas caídas e poda de inverno de árvores/arbustos dormentes; e instalação de estacas de marcação de neve como parte da prepara"&amp;"ção do local antes da temporada de remoção de neve. Os trabalhadores realizam a manutenção de neve/gelo em propriedades comerciais e residenciais, incluindo limpeza após tempestades de inverno, coleta de lixo/detritos orgânicos e remoção de neve/gelo. Rem"&amp;"ovem neve de calçadas, entradas de garagem ou estacionamentos usando arados de neve, sopradores de neve ou pás de neve, ou espalham produtos químicos para derretimento de neve. Limpam e realizam manutenção de rotina e/ou pequenos reparos em equipamentos e"&amp;" ferramentas quando não estiverem em uso. Nível inicial; requer supervisão. Classificação do Cargo: 47-4051.00 - Trabalhadores de Manutenção de Rodovias. A classificação e descrição do cargo/setor inclui informações gerais sobre a posição, de acordo com o"&amp;" ONET/OES e o Sistema de Classificação Industrial da América do Norte. Consulte as Funções e a Ordem de Serviço para obter mais informações. Requisitos do Cargo: Experiência Necessária: Não. Requisitos Especiais: Deve levantar/carregar 23 kg, quando neces"&amp;"sário. Trabalho aos sábados e domingos, quando necessário. O empregador exige que trabalhadores estrangeiros e nacionais se submetam a testes de drogas pagos pelo empregador antes do início do trabalho e, após a contratação, aleatoriamente, em caso de sus"&amp;"peita de uso e após acidentes. É necessário possuir ou ser capaz de obter carteira de habilitação americana em até 30 dias após a contratação. O empregador poderá oferecer uma jornada de trabalho superior à estipulada, dependendo das condições climáticas,"&amp;" das necessidades da empresa e de outros fatores. Calor extremo, frio, chuva ou seca podem afetar o horário de trabalho exato. Número de horas por semana: 40. Horário de trabalho (início/término): 8h às 17h.")</f>
        <v>Os trabalhadores realizarão a limpeza de propriedades comerciais e residenciais, incluindo coleta de lixo/detritos; limpeza de folhas caídas e poda de inverno de árvores/arbustos dormentes; e instalação de estacas de marcação de neve como parte da preparação do local antes da temporada de remoção de neve. Os trabalhadores realizam a manutenção de neve/gelo em propriedades comerciais e residenciais, incluindo limpeza após tempestades de inverno, coleta de lixo/detritos orgânicos e remoção de neve/gelo. Removem neve de calçadas, entradas de garagem ou estacionamentos usando arados de neve, sopradores de neve ou pás de neve, ou espalham produtos químicos para derretimento de neve. Limpam e realizam manutenção de rotina e/ou pequenos reparos em equipamentos e ferramentas quando não estiverem em uso. Nível inicial; requer supervisão. Classificação do Cargo: 47-4051.00 - Trabalhadores de Manutenção de Rodovias. A classificação e descrição do cargo/setor inclui informações gerais sobre a posição, de acordo com o ONET/OES e o Sistema de Classificação Industrial da América do Norte. Consulte as Funções e a Ordem de Serviço para obter mais informações. Requisitos do Cargo: Experiência Necessária: Não. Requisitos Especiais: Deve levantar/carregar 23 kg, quando necessário. Trabalho aos sábados e domingos, quando necessário. O empregador exige que trabalhadores estrangeiros e nacionais se submetam a testes de drogas pagos pelo empregador antes do início do trabalho e, após a contratação, aleatoriamente, em caso de suspeita de uso e após acidentes. É necessário possuir ou ser capaz de obter carteira de habilitação americana em até 30 dias após a contratação. O empregador poderá oferecer uma jornada de trabalho superior à estipulada, dependendo das condições climáticas, das necessidades da empresa e de outros fatores. Calor extremo, frio, chuva ou seca podem afetar o horário de trabalho exato. Número de horas por semana: 40. Horário de trabalho (início/término): 8h às 17h.</v>
      </c>
    </row>
    <row r="429" ht="20.25" customHeight="1">
      <c r="A429" s="8" t="s">
        <v>2238</v>
      </c>
      <c r="B429" s="8" t="s">
        <v>2239</v>
      </c>
      <c r="C429" s="8" t="s">
        <v>363</v>
      </c>
      <c r="D429" s="8" t="s">
        <v>344</v>
      </c>
      <c r="E429" s="9" t="s">
        <v>19</v>
      </c>
      <c r="F429" s="9" t="s">
        <v>20</v>
      </c>
      <c r="G429" s="9" t="s">
        <v>307</v>
      </c>
      <c r="H429" s="8" t="s">
        <v>2240</v>
      </c>
      <c r="I429" s="8" t="s">
        <v>2241</v>
      </c>
      <c r="J429" s="9">
        <v>21.26</v>
      </c>
      <c r="K429" s="9">
        <v>24.0</v>
      </c>
      <c r="L429" s="8" t="s">
        <v>2242</v>
      </c>
      <c r="M429" s="8" t="s">
        <v>2243</v>
      </c>
      <c r="N429" s="7" t="str">
        <f>IFERROR(__xludf.DUMMYFUNCTION("GOOGLETRANSLATE(L429, ""en"", ""pt"")"),"Zelador")</f>
        <v>Zelador</v>
      </c>
      <c r="O429" s="7" t="str">
        <f>IFERROR(__xludf.DUMMYFUNCTION("IF(M429="""","""",GOOGLETRANSLATE(M429,""en"",""pt""))"),"As funções podem incluir: Manutenção e execução de tarefas relacionadas a áreas ajardinadas existentes durante o outono e inverno. Recolhimento de detritos como folhas e aplicação de cobertura vegetal conforme necessário. Limpeza de detritos naturais. Tra"&amp;"nsporte de materiais como pedras, terra e/ou rochas utilizando pás, carrinhos de mão, carrinhos de transporte, plataformas rolantes e realizando outras atividades relacionadas à manutenção de áreas verdes, conforme SOC/OES 37-3011 (onetonline.org). Horári"&amp;"o padrão/esperado: Segunda a sexta, das 6h45 às 14h45. Oferecemos mais de 40 horas semanais, sem incluir o horário de almoço e/ou intervalos. Possibilidade de trabalho em fins de semana e feriados. Os horários de início e término, a carga horária oferecid"&amp;"a e/ou a possibilidade de horas extras podem variar, pois dependem de fatores como projetos/cronograma/necessidades do serviço, condições climáticas e tempo de deslocamento entre os locais de trabalho (se aplicável). Horas extras são possíveis, mas não ob"&amp;"rigatórias ou garantidas. A critério exclusivo do empregador: possíveis aumentos e/ou bônus com base em fatores individuais, como desempenho no trabalho ou habilidades (não garantidos). Classificação do Cargo: 37-3011.00 - Trabalhadores de Paisagismo e Ma"&amp;"nutenção de Jardins. A classificação e descrição do cargo/setor inclui informações gerais sobre a posição, conforme o ONET/OES e o Sistema de Classificação Industrial da América do Norte. Consulte as Funções e a Ordem de Serviço para obter mais informaçõe"&amp;"s. Requisitos do Cargo Experiência Necessária: Não. Requisitos Especiais: Deve apresentar comprovante de autorização legal para trabalhar nos Estados Unidos. Ambiente de trabalho livre de drogas, álcool e tabaco. Executar atividades físicas como: levantar"&amp;", equilibrar, caminhar, abaixar, manusear, posicionar, mover e manipular materiais; usar força estática para exercer força muscular máxima para levantar, empurrar, puxar e carregar objetos de até 34 kg (possivelmente com a ajuda de outra pessoa). Todos os"&amp;" candidatos devem ser capazes, dispostos e qualificados para executar o trabalho descrito e devem estar disponíveis durante todo o período especificado e trabalhar em todas as áreas da vaga. O trabalho é realizado ao ar livre, exposto às intempéries. O ca"&amp;"ndidato deve ser capaz de realizar trabalhos fisicamente extenuantes por longos períodos, ocasionalmente em condições de calor ou frio extremos. As condições climáticas são variáveis; a carga horária pode sofrer alterações (+/-), podendo haver períodos de"&amp;" inatividade e/ou horas extras. Número de horas por semana: 40. Horário de trabalho (início/término): 6h45 às 14h45.")</f>
        <v>As funções podem incluir: Manutenção e execução de tarefas relacionadas a áreas ajardinadas existentes durante o outono e inverno. Recolhimento de detritos como folhas e aplicação de cobertura vegetal conforme necessário. Limpeza de detritos naturais. Transporte de materiais como pedras, terra e/ou rochas utilizando pás, carrinhos de mão, carrinhos de transporte, plataformas rolantes e realizando outras atividades relacionadas à manutenção de áreas verdes, conforme SOC/OES 37-3011 (onetonline.org). Horário padrão/esperado: Segunda a sexta, das 6h45 às 14h45. Oferecemos mais de 40 horas semanais, sem incluir o horário de almoço e/ou intervalos. Possibilidade de trabalho em fins de semana e feriados. Os horários de início e término, a carga horária oferecida e/ou a possibilidade de horas extras podem variar, pois dependem de fatores como projetos/cronograma/necessidades do serviço, condições climáticas e tempo de deslocamento entre os locais de trabalho (se aplicável). Horas extras são possíveis, mas não obrigatórias ou garantidas. A critério exclusivo do empregador: possíveis aumentos e/ou bônus com base em fatores individuais, como desempenho no trabalho ou habilidades (não garantidos). Classificação do Cargo: 37-3011.00 - Trabalhadores de Paisagismo e Manutenção de Jardins. A classificação e descrição do cargo/setor inclui informações gerais sobre a posição, conforme o ONET/OES e o Sistema de Classificação Industrial da América do Norte. Consulte as Funções e a Ordem de Serviço para obter mais informações. Requisitos do Cargo Experiência Necessária: Não. Requisitos Especiais: Deve apresentar comprovante de autorização legal para trabalhar nos Estados Unidos. Ambiente de trabalho livre de drogas, álcool e tabaco. Executar atividades físicas como: levantar, equilibrar, caminhar, abaixar, manusear, posicionar, mover e manipular materiais; usar força estática para exercer força muscular máxima para levantar, empurrar, puxar e carregar objetos de até 34 kg (possivelmente com a ajuda de outra pessoa). Todos os candidatos devem ser capazes, dispostos e qualificados para executar o trabalho descrito e devem estar disponíveis durante todo o período especificado e trabalhar em todas as áreas da vaga. O trabalho é realizado ao ar livre, exposto às intempéries. O candidato deve ser capaz de realizar trabalhos fisicamente extenuantes por longos períodos, ocasionalmente em condições de calor ou frio extremos. As condições climáticas são variáveis; a carga horária pode sofrer alterações (+/-), podendo haver períodos de inatividade e/ou horas extras. Número de horas por semana: 40. Horário de trabalho (início/término): 6h45 às 14h45.</v>
      </c>
    </row>
    <row r="430" ht="20.25" customHeight="1">
      <c r="A430" s="3" t="s">
        <v>2244</v>
      </c>
      <c r="B430" s="3" t="s">
        <v>2245</v>
      </c>
      <c r="C430" s="3" t="s">
        <v>125</v>
      </c>
      <c r="D430" s="3" t="s">
        <v>306</v>
      </c>
      <c r="E430" s="4" t="s">
        <v>44</v>
      </c>
      <c r="F430" s="4" t="s">
        <v>20</v>
      </c>
      <c r="G430" s="4" t="s">
        <v>146</v>
      </c>
      <c r="H430" s="3" t="s">
        <v>2246</v>
      </c>
      <c r="I430" s="3" t="s">
        <v>2247</v>
      </c>
      <c r="J430" s="4">
        <v>19.35</v>
      </c>
      <c r="K430" s="4">
        <v>16.0</v>
      </c>
      <c r="L430" s="3" t="s">
        <v>129</v>
      </c>
      <c r="M430" s="3" t="s">
        <v>2248</v>
      </c>
      <c r="N430" s="7" t="str">
        <f>IFERROR(__xludf.DUMMYFUNCTION("GOOGLETRANSLATE(L430, ""en"", ""pt"")"),"Trabalhador de paisagismo e manutenção de jardins")</f>
        <v>Trabalhador de paisagismo e manutenção de jardins</v>
      </c>
      <c r="O430" s="7" t="str">
        <f>IFERROR(__xludf.DUMMYFUNCTION("IF(M430="""","""",GOOGLETRANSLATE(M430,""en"",""pt""))"),"As funções incluem a instalação de árvores, arbustos ou flores durante o período de dormência, seguindo o padrão de design apropriado. Isso inclui descarregar materiais, cavar buracos para o sistema radicular, cobrir os buracos adequadamente e, às vezes, "&amp;"colocar grama em placas, plantar sementes de grama ou conectar a irrigação. Também envolve a remoção de folhas, plantio de sementes e palha, aeração do gramado, plantio de arbustos, escavação, rastelagem e instalação de blocos de concreto pré-moldados sem"&amp;" argamassa. Os trabalhadores podem coletar e remover lixo, regar gramados, árvores e plantas semeadas, além de podar árvores, arbustos ou sebes. Podem operar equipamentos motorizados e dirigir veículos até os locais dos clientes. As tarefas podem incluir "&amp;"colocação de grama em placas, corte de grama, rega de plantas e gramados, transplante de plantas, fertilização, escavação, rastelagem e instalação de aspersores. Os funcionários cavarão valas com no máximo 15 a 30 cm de profundidade e 15 a 30 cm de largur"&amp;"a com pás e ferramentas manuais. Essas valas são usadas para acomodar a tubulação utilizada na instalação de sistemas de irrigação. Toda a poda/aparamento será feita no solo. Os trabalhadores não realizarão nenhuma atividade de poda ou corte acima do níve"&amp;"l do solo. O trabalhador poderá transportar outros trabalhadores de e para os locais de trabalho ocasionalmente, porém essa não será sua principal função. Os trabalhadores poderão operar equipamentos motorizados de jardinagem, incluindo cortadores de gram"&amp;"a, aparadores de borda, sopradores, roçadeiras, roçadeiras de jardim, tratores pequenos e equipamentos similares. Os trabalhadores poderão dirigir veículos da empresa, incluindo caminhonetes Ford F350 e Ford F250, de e para os locais de trabalho dos clien"&amp;"tes. Os trabalhadores poderão ocasionalmente transportar outros trabalhadores de e para os locais de trabalho; no entanto, o transporte de trabalhadores não é uma função principal. Os trabalhadores também poderão ocasionalmente transportar materiais, ferr"&amp;"amentas e equipamentos de jardinagem de e para os locais de trabalho, incluindo cobertura morta, plantas em vasos, pás, ancinhos, cortadores de grama, sopradores e roçadeiras de jardim. Nenhum material perigoso será transportado pelos trabalhadores. Todos"&amp;" os veículos e equipamentos operados têm peso bruto total inferior a 26.000 libras (aproximadamente 11.800 kg), incluindo quaisquer reboques acoplados ou materiais transportados. Classificação da Função: 37-3011.00 - Trabalhadores de Paisagismo e Manutenç"&amp;"ão de Jardins. A classificação e descrição da função/setor inclui informações gerais sobre o cargo, de acordo com o ONET/OES e o Sistema de Classificação Industrial da América do Norte (NAICS). Consulte as Funções e a Ordem de Serviço para obter mais info"&amp;"rmações. Requisitos da Função Experiência Necessária: Sim Meses de Experiência Necessários: 3 Requisitos Especiais: Capacidade de levantar 23 kg, realizar movimentos repetitivos, empurrar/puxar com frequência, caminhar bastante, agachar-se frequentemente "&amp;"e estar exposto a temperaturas extremas. 3 meses de experiência são necessários. De acordo com a legislação estadual de Michigan, Lei 338 de Licença Médica Remunerada, os empregadores são obrigados a fornecer licença médica remunerada aos seus funcionário"&amp;"s. A quantidade de licença médica remunerada concedida pode variar dependendo do porte da empresa. Número de Horas por Semana: 40 Horário de Trabalho (Início/Término): 7h às 16h.")</f>
        <v>As funções incluem a instalação de árvores, arbustos ou flores durante o período de dormência, seguindo o padrão de design apropriado. Isso inclui descarregar materiais, cavar buracos para o sistema radicular, cobrir os buracos adequadamente e, às vezes, colocar grama em placas, plantar sementes de grama ou conectar a irrigação. Também envolve a remoção de folhas, plantio de sementes e palha, aeração do gramado, plantio de arbustos, escavação, rastelagem e instalação de blocos de concreto pré-moldados sem argamassa. Os trabalhadores podem coletar e remover lixo, regar gramados, árvores e plantas semeadas, além de podar árvores, arbustos ou sebes. Podem operar equipamentos motorizados e dirigir veículos até os locais dos clientes. As tarefas podem incluir colocação de grama em placas, corte de grama, rega de plantas e gramados, transplante de plantas, fertilização, escavação, rastelagem e instalação de aspersores. Os funcionários cavarão valas com no máximo 15 a 30 cm de profundidade e 15 a 30 cm de largura com pás e ferramentas manuais. Essas valas são usadas para acomodar a tubulação utilizada na instalação de sistemas de irrigação. Toda a poda/aparamento será feita no solo. Os trabalhadores não realizarão nenhuma atividade de poda ou corte acima do nível do solo. O trabalhador poderá transportar outros trabalhadores de e para os locais de trabalho ocasionalmente, porém essa não será sua principal função. Os trabalhadores poderão operar equipamentos motorizados de jardinagem, incluindo cortadores de grama, aparadores de borda, sopradores, roçadeiras, roçadeiras de jardim, tratores pequenos e equipamentos similares. Os trabalhadores poderão dirigir veículos da empresa, incluindo caminhonetes Ford F350 e Ford F250, de e para os locais de trabalho dos clientes. Os trabalhadores poderão ocasionalmente transportar outros trabalhadores de e para os locais de trabalho; no entanto, o transporte de trabalhadores não é uma função principal. Os trabalhadores também poderão ocasionalmente transportar materiais, ferramentas e equipamentos de jardinagem de e para os locais de trabalho, incluindo cobertura morta, plantas em vasos, pás, ancinhos, cortadores de grama, sopradores e roçadeiras de jardim. Nenhum material perigoso será transportado pelos trabalhadores. Todos os veículos e equipamentos operados têm peso bruto total inferior a 26.000 libras (aproximadamente 11.800 kg), incluindo quaisquer reboques acoplados ou materiais transportados. Classificação da Função: 37-3011.00 - Trabalhadores de Paisagismo e Manutenção de Jardins. A classificação e descrição da função/setor inclui informações gerais sobre o cargo, de acordo com o ONET/OES e o Sistema de Classificação Industrial da América do Norte (NAICS). Consulte as Funções e a Ordem de Serviço para obter mais informações. Requisitos da Função Experiência Necessária: Sim Meses de Experiência Necessários: 3 Requisitos Especiais: Capacidade de levantar 23 kg, realizar movimentos repetitivos, empurrar/puxar com frequência, caminhar bastante, agachar-se frequentemente e estar exposto a temperaturas extremas. 3 meses de experiência são necessários. De acordo com a legislação estadual de Michigan, Lei 338 de Licença Médica Remunerada, os empregadores são obrigados a fornecer licença médica remunerada aos seus funcionários. A quantidade de licença médica remunerada concedida pode variar dependendo do porte da empresa. Número de Horas por Semana: 40 Horário de Trabalho (Início/Término): 7h às 16h.</v>
      </c>
    </row>
    <row r="431" ht="20.25" customHeight="1">
      <c r="A431" s="8" t="s">
        <v>2249</v>
      </c>
      <c r="B431" s="8" t="s">
        <v>2250</v>
      </c>
      <c r="C431" s="8" t="s">
        <v>125</v>
      </c>
      <c r="D431" s="8" t="s">
        <v>344</v>
      </c>
      <c r="E431" s="9" t="s">
        <v>44</v>
      </c>
      <c r="F431" s="9" t="s">
        <v>20</v>
      </c>
      <c r="G431" s="9" t="s">
        <v>2251</v>
      </c>
      <c r="H431" s="8" t="s">
        <v>2252</v>
      </c>
      <c r="I431" s="8" t="s">
        <v>2253</v>
      </c>
      <c r="J431" s="9">
        <v>19.8</v>
      </c>
      <c r="K431" s="9">
        <v>10.0</v>
      </c>
      <c r="L431" s="8" t="s">
        <v>129</v>
      </c>
      <c r="M431" s="8" t="s">
        <v>1128</v>
      </c>
      <c r="N431" s="7" t="str">
        <f>IFERROR(__xludf.DUMMYFUNCTION("GOOGLETRANSLATE(L431, ""en"", ""pt"")"),"Trabalhador de paisagismo e manutenção de jardins")</f>
        <v>Trabalhador de paisagismo e manutenção de jardins</v>
      </c>
      <c r="O431" s="7" t="str">
        <f>IFERROR(__xludf.DUMMYFUNCTION("IF(M431="""","""",GOOGLETRANSLATE(M431,""en"",""pt""))"),"As funções incluem a instalação de árvores, arbustos ou flores durante o período de dormência, seguindo o padrão de design apropriado. Isso inclui descarregar materiais, cavar buracos para o sistema radicular, cobrir os buracos adequadamente e, às vezes, "&amp;"colocar grama em placas, plantar sementes de grama ou conectar a irrigação. Também envolve a remoção de folhas, plantio de sementes e palha, aeração do gramado, plantio de arbustos, escavação, rastelagem e instalação de blocos de concreto pré-moldados sem"&amp;" argamassa. Os trabalhadores podem coletar e remover lixo, regar gramados, árvores e plantas semeadas, além de podar árvores, arbustos ou sebes. Podem operar equipamentos motorizados e dirigir veículos até os locais dos clientes. As tarefas podem incluir "&amp;"colocação de grama em placas, corte de grama, rega de plantas e gramados, transplante de plantas, fertilização, escavação, rastelagem e instalação de aspersores. Os funcionários cavarão valas com no máximo 15 a 30 cm de profundidade e 15 a 30 cm de largur"&amp;"a com pás e ferramentas manuais. Essas valas são usadas para acomodar a tubulação utilizada na instalação de sistemas de irrigação. Toda a poda/aparamento será feita no solo. Os trabalhadores não realizarão nenhuma atividade de poda ou corte acima do níve"&amp;"l do solo. O trabalhador poderá transportar outros trabalhadores de e para os locais de trabalho ocasionalmente, porém essa não será sua principal função. Os trabalhadores poderão operar equipamentos motorizados de jardinagem, incluindo cortadores de gram"&amp;"a, aparadores de borda, sopradores, roçadeiras, roçadeiras de jardim, pequenos tratores e equipamentos similares. Os trabalhadores poderão dirigir caminhonetes e outros veículos leves da empresa para ir e voltar dos locais de trabalho dos clientes. Os tra"&amp;"balhadores poderão ocasionalmente transportar outros trabalhadores de e para os locais de trabalho; no entanto, o transporte de trabalhadores não é uma função principal. Os trabalhadores também poderão ocasionalmente transportar materiais, ferramentas e e"&amp;"quipamentos de jardinagem de e para os locais de trabalho, incluindo cobertura morta, plantas em vasos, pás, ancinhos, cortadores de grama, sopradores e roçadeiras de jardim. Nenhum material perigoso será transportado pelos trabalhadores. Todos os veículo"&amp;"s e equipamentos operados têm peso bruto total inferior a 26.000 libras (aproximadamente 11.800 kg), incluindo quaisquer reboques acoplados ou materiais transportados. Classificação da Função: 37-3011.00 - Trabalhadores de Paisagismo e Manutenção de Jardi"&amp;"ns. A classificação e descrição da função/setor inclui informações gerais sobre o cargo, de acordo com o ONET/OES e o Sistema de Classificação Industrial da América do Norte (NAICS). Consulte as Funções e a Ordem de Serviço para obter mais informações. Re"&amp;"quisitos da Função Experiência Necessária: Não. Requisitos Especiais: Capacidade de levantar 23 kg, realizar movimentos repetitivos, empurrar/puxar com frequência, caminhar bastante, agachar-se frequentemente e estar exposto a temperaturas extremas. Carte"&amp;"ira de habilitação válida é obrigatória. Número de Horas por Semana: 40. Horário de Trabalho (Início/Término): 7h às 16h.")</f>
        <v>As funções incluem a instalação de árvores, arbustos ou flores durante o período de dormência, seguindo o padrão de design apropriado. Isso inclui descarregar materiais, cavar buracos para o sistema radicular, cobrir os buracos adequadamente e, às vezes, colocar grama em placas, plantar sementes de grama ou conectar a irrigação. Também envolve a remoção de folhas, plantio de sementes e palha, aeração do gramado, plantio de arbustos, escavação, rastelagem e instalação de blocos de concreto pré-moldados sem argamassa. Os trabalhadores podem coletar e remover lixo, regar gramados, árvores e plantas semeadas, além de podar árvores, arbustos ou sebes. Podem operar equipamentos motorizados e dirigir veículos até os locais dos clientes. As tarefas podem incluir colocação de grama em placas, corte de grama, rega de plantas e gramados, transplante de plantas, fertilização, escavação, rastelagem e instalação de aspersores. Os funcionários cavarão valas com no máximo 15 a 30 cm de profundidade e 15 a 30 cm de largura com pás e ferramentas manuais. Essas valas são usadas para acomodar a tubulação utilizada na instalação de sistemas de irrigação. Toda a poda/aparamento será feita no solo. Os trabalhadores não realizarão nenhuma atividade de poda ou corte acima do nível do solo. O trabalhador poderá transportar outros trabalhadores de e para os locais de trabalho ocasionalmente, porém essa não será sua principal função. Os trabalhadores poderão operar equipamentos motorizados de jardinagem, incluindo cortadores de grama, aparadores de borda, sopradores, roçadeiras, roçadeiras de jardim, pequenos tratores e equipamentos similares. Os trabalhadores poderão dirigir caminhonetes e outros veículos leves da empresa para ir e voltar dos locais de trabalho dos clientes. Os trabalhadores poderão ocasionalmente transportar outros trabalhadores de e para os locais de trabalho; no entanto, o transporte de trabalhadores não é uma função principal. Os trabalhadores também poderão ocasionalmente transportar materiais, ferramentas e equipamentos de jardinagem de e para os locais de trabalho, incluindo cobertura morta, plantas em vasos, pás, ancinhos, cortadores de grama, sopradores e roçadeiras de jardim. Nenhum material perigoso será transportado pelos trabalhadores. Todos os veículos e equipamentos operados têm peso bruto total inferior a 26.000 libras (aproximadamente 11.800 kg), incluindo quaisquer reboques acoplados ou materiais transportados. Classificação da Função: 37-3011.00 - Trabalhadores de Paisagismo e Manutenção de Jardins. A classificação e descrição da função/setor inclui informações gerais sobre o cargo, de acordo com o ONET/OES e o Sistema de Classificação Industrial da América do Norte (NAICS). Consulte as Funções e a Ordem de Serviço para obter mais informações. Requisitos da Função Experiência Necessária: Não. Requisitos Especiais: Capacidade de levantar 23 kg, realizar movimentos repetitivos, empurrar/puxar com frequência, caminhar bastante, agachar-se frequentemente e estar exposto a temperaturas extremas. Carteira de habilitação válida é obrigatória. Número de Horas por Semana: 40. Horário de Trabalho (Início/Término): 7h às 16h.</v>
      </c>
    </row>
    <row r="432" ht="20.25" customHeight="1">
      <c r="A432" s="3" t="s">
        <v>2254</v>
      </c>
      <c r="B432" s="3" t="s">
        <v>2255</v>
      </c>
      <c r="C432" s="3" t="s">
        <v>169</v>
      </c>
      <c r="D432" s="3" t="s">
        <v>140</v>
      </c>
      <c r="E432" s="4" t="s">
        <v>44</v>
      </c>
      <c r="F432" s="4" t="s">
        <v>20</v>
      </c>
      <c r="G432" s="4" t="s">
        <v>2256</v>
      </c>
      <c r="H432" s="3" t="s">
        <v>2257</v>
      </c>
      <c r="I432" s="3" t="s">
        <v>2258</v>
      </c>
      <c r="J432" s="4">
        <v>19.35</v>
      </c>
      <c r="K432" s="4">
        <v>6.0</v>
      </c>
      <c r="L432" s="3" t="s">
        <v>2259</v>
      </c>
      <c r="M432" s="3" t="s">
        <v>2260</v>
      </c>
      <c r="N432" s="7" t="str">
        <f>IFERROR(__xludf.DUMMYFUNCTION("GOOGLETRANSLATE(L432, ""en"", ""pt"")"),"Operário de Armazém")</f>
        <v>Operário de Armazém</v>
      </c>
      <c r="O432" s="7" t="str">
        <f>IFERROR(__xludf.DUMMYFUNCTION("IF(M432="""","""",GOOGLETRANSLATE(M432,""en"",""pt""))"),"Os trabalhadores geralmente executam uma variedade de tarefas em instalações de produção sem climatização, embalando e movimentando sementes de grama/fertilizantes. As funções podem incluir: coletar e preparar misturas despejando sementes de grama em um f"&amp;"unil, encher manualmente sacos com a mistura de sementes de grama ou fertilizante, selar sacos, movimentar o estoque manualmente e empilhar sacos em paletes ou embalá-los em caixas. Observar os rótulos e a data de cada unidade produzida para garantir a ra"&amp;"streabilidade e a qualidade. Manter a área de trabalho e os equipamentos limpos. Pode haver exposição a temperaturas extremas, poeira e produtos químicos no ambiente de trabalho. Nível inicial; requer supervisão. Classificação da vaga: 53-7062.00 - Operár"&amp;"ios e Movimentadores de Carga, Estoque e Materiais. A classificação e a descrição da vaga/setor incluem informações gerais sobre o cargo, de acordo com o ONET/OES e o Sistema de Classificação Industrial da América do Norte (NAICS). Consulte as Funções e a"&amp;" Ordem de Serviço para obter mais informações. Requisitos da vaga: Experiência necessária: Não. Requisitos especiais: Deve ser capaz de levantar/carregar 25 kg, quando necessário. Trabalho aos sábados, quando necessário. O empregador exige que todos os tr"&amp;"abalhadores, estrangeiros e nacionais, se submetam a testes de drogas pagos pela empresa antes do início do trabalho e após a contratação, em caso de suspeita de uso ou acidente. A verificação de antecedentes e a verificação de elegibilidade para emprego "&amp;"(e-Verify) são obrigatórias para todos os trabalhadores, estrangeiros e nacionais, após a contratação. Treinamento de segurança obrigatório para todos os novos contratados, estrangeiros e nacionais. Somos uma empresa que oferece igualdade de oportunidades"&amp;" de emprego e todos os candidatos qualificados serão considerados para a vaga, independentemente de raça, cor, religião, sexo, nacionalidade, deficiência, condição de veterano protegido, orientação sexual, identidade de gênero ou qualquer outra caracterís"&amp;"tica protegida por lei. O empregador poderá oferecer uma jornada de trabalho superior à estipulada, dependendo das condições climáticas, das necessidades da empresa e de outras circunstâncias. Número de horas por semana: 40. Horário de trabalho (início/té"&amp;"rmino): 7h às 15h30.")</f>
        <v>Os trabalhadores geralmente executam uma variedade de tarefas em instalações de produção sem climatização, embalando e movimentando sementes de grama/fertilizantes. As funções podem incluir: coletar e preparar misturas despejando sementes de grama em um funil, encher manualmente sacos com a mistura de sementes de grama ou fertilizante, selar sacos, movimentar o estoque manualmente e empilhar sacos em paletes ou embalá-los em caixas. Observar os rótulos e a data de cada unidade produzida para garantir a rastreabilidade e a qualidade. Manter a área de trabalho e os equipamentos limpos. Pode haver exposição a temperaturas extremas, poeira e produtos químicos no ambiente de trabalho. Nível inicial; requer supervisão. Classificação da vaga: 53-7062.00 - Operários e Movimentadores de Carga, Estoque e Materiais. A classificação e a descrição da vaga/setor incluem informações gerais sobre o cargo, de acordo com o ONET/OES e o Sistema de Classificação Industrial da América do Norte (NAICS). Consulte as Funções e a Ordem de Serviço para obter mais informações. Requisitos da vaga: Experiência necessária: Não. Requisitos especiais: Deve ser capaz de levantar/carregar 25 kg, quando necessário. Trabalho aos sábados, quando necessário. O empregador exige que todos os trabalhadores, estrangeiros e nacionais, se submetam a testes de drogas pagos pela empresa antes do início do trabalho e após a contratação, em caso de suspeita de uso ou acidente. A verificação de antecedentes e a verificação de elegibilidade para emprego (e-Verify) são obrigatórias para todos os trabalhadores, estrangeiros e nacionais, após a contratação. Treinamento de segurança obrigatório para todos os novos contratados, estrangeiros e nacionais. Somos uma empresa que oferece igualdade de oportunidades de emprego e todos os candidatos qualificados serão considerados para a vaga, independentemente de raça, cor, religião, sexo, nacionalidade, deficiência, condição de veterano protegido, orientação sexual, identidade de gênero ou qualquer outra característica protegida por lei. O empregador poderá oferecer uma jornada de trabalho superior à estipulada, dependendo das condições climáticas, das necessidades da empresa e de outras circunstâncias. Número de horas por semana: 40. Horário de trabalho (início/término): 7h às 15h30.</v>
      </c>
    </row>
    <row r="433" ht="20.25" customHeight="1">
      <c r="A433" s="8" t="s">
        <v>2261</v>
      </c>
      <c r="B433" s="8" t="s">
        <v>2262</v>
      </c>
      <c r="C433" s="8" t="s">
        <v>2263</v>
      </c>
      <c r="D433" s="8" t="s">
        <v>596</v>
      </c>
      <c r="E433" s="9" t="s">
        <v>44</v>
      </c>
      <c r="F433" s="9" t="s">
        <v>20</v>
      </c>
      <c r="G433" s="9" t="s">
        <v>80</v>
      </c>
      <c r="H433" s="8" t="s">
        <v>2264</v>
      </c>
      <c r="I433" s="8" t="s">
        <v>2265</v>
      </c>
      <c r="J433" s="9">
        <v>27.56</v>
      </c>
      <c r="K433" s="9">
        <v>4.0</v>
      </c>
      <c r="L433" s="8" t="s">
        <v>2266</v>
      </c>
      <c r="M433" s="8" t="s">
        <v>2267</v>
      </c>
      <c r="N433" s="7" t="str">
        <f>IFERROR(__xludf.DUMMYFUNCTION("GOOGLETRANSLATE(L433, ""en"", ""pt"")"),"Auxiliares - trabalhadores de instalação, manutenção e reparo.")</f>
        <v>Auxiliares - trabalhadores de instalação, manutenção e reparo.</v>
      </c>
      <c r="O433" s="7" t="str">
        <f>IFERROR(__xludf.DUMMYFUNCTION("IF(M433="""","""",GOOGLETRANSLATE(M433,""en"",""pt""))"),"Executar tarefas como fornecer ferramentas, materiais e suprimentos a outros trabalhadores; limpar áreas de trabalho, máquinas e ferramentas; e segurar materiais ou ferramentas para outros trabalhadores. Auxiliar os trabalhadores de instalação, manutenção"&amp;" e reparo na manutenção e substituição de peças de máquinas industriais, incluindo equipamentos de cozinha comercial e máquinas de processamento de alimentos, e equipamentos elétricos e eletrônicos, incluindo controladores eletrônicos. O trabalho é realiz"&amp;"ado em refeitórios de escolas públicas e privadas, refeitórios universitários, restaurantes de rede e privados, centros de distribuição de alimentos, casas de repouso, hospitais, aeroportos, hotéis, cassinos e arenas. Examinar e testar máquinas, equipamen"&amp;"tos, componentes e peças de refrigeração para detectar defeitos e garantir o funcionamento adequado sob a supervisão dos trabalhadores de manutenção. Operar e observar equipamentos e máquinas para verificar a operação eficiente e segura. Ajustar, conectar"&amp;" ou desconectar fiação, tubulação e outras peças, usando ferramentas manuais ou elétricas. Desmontar equipamentos quebrados ou defeituosos para facilitar o reparo e remontá-los após a conclusão dos reparos. Ajustar, manter e reparar equipamentos e auxilia"&amp;"r trabalhadores mais qualificados em tarefas semelhantes. Aplicar materiais de proteção em equipamentos, componentes e peças para evitar defeitos e corrosão. Preparar as estações de trabalho para uso por mecânicos e reparadores. Realizar manutenção, repar"&amp;"o, calibração, regulagem, ajuste fino ou teste de máquinas, dispositivos e equipamentos que operam principalmente com base em princípios elétricos ou eletrônicos. As ferramentas utilizadas incluem ferramentas manuais, conjuntos de brocas, esmerilhadeira, "&amp;"óculos de proteção, luvas, joelheiras, cintos, martelo, cinzel, chaves de fenda, chaves Allen, martelo de borracha, corda longa, alicates, chave de cano, alicate de pressão, multímetro, decapador de fios, chave ajustável, conjunto de chaves de soquete, tr"&amp;"ena e nível. Os equipamentos utilizados incluem: carrinhos de transporte, carrinho de mão, elevador de carga manual, paleteira, rodízios e caminhões de serviço. Materiais: fita isolante, materiais hidráulicos, materiais elétricos, peças de reposição origi"&amp;"nais para equipamentos de cozinha, selantes, produtos de limpeza, lubrificantes de grau alimentício e ferragens de aço inoxidável de grau alimentício. Não é necessário possuir carteira de habilitação como condição de emprego para esta vaga. Caso o candida"&amp;"to já possua uma carteira de habilitação padrão, não comercial, poderá ser solicitado a dirigir um veículo, conforme necessário. Se o trabalhador possuir carteira de habilitação, poderá dirigir o veículo da equipe até os locais de trabalho para executar a"&amp;"s principais tarefas dos projetos, conforme necessário. Classificação da função: 49-9099.00 - Trabalhadores de Instalação, Manutenção e Reparo, Outros. A classificação e descrição da função/setor inclui informações gerais sobre o cargo, de acordo com o ON"&amp;"ET/OES e o Sistema de Classificação Industrial da América do Norte (NAICS). Consulte as Funções e a Ordem de Serviço para obter mais informações. Requisitos da função: Experiência necessária: Não. Requisitos especiais: Levantar de 23 a 34 kg com ou sem au"&amp;"xílio. Subir até 2,4 m com escada. Acesso ocasional ao telhado pode ser necessário. Ajoelhar, agachar, curvar-se, empurrar/puxar. Exposição a ruído, calor, frio, piso escorregadio e molhado. Trabalho aos sábados e domingos, quando necessário. Testes de dr"&amp;"ogas podem ser exigidos de trabalhadores estrangeiros e nacionais após a contratação, mediante suspeita, aleatoriamente e após acidentes, sem custo para os trabalhadores. Número de horas por semana: 40. Horário de trabalho (início/término): 7h. - 16:00")</f>
        <v>Executar tarefas como fornecer ferramentas, materiais e suprimentos a outros trabalhadores; limpar áreas de trabalho, máquinas e ferramentas; e segurar materiais ou ferramentas para outros trabalhadores. Auxiliar os trabalhadores de instalação, manutenção e reparo na manutenção e substituição de peças de máquinas industriais, incluindo equipamentos de cozinha comercial e máquinas de processamento de alimentos, e equipamentos elétricos e eletrônicos, incluindo controladores eletrônicos. O trabalho é realizado em refeitórios de escolas públicas e privadas, refeitórios universitários, restaurantes de rede e privados, centros de distribuição de alimentos, casas de repouso, hospitais, aeroportos, hotéis, cassinos e arenas. Examinar e testar máquinas, equipamentos, componentes e peças de refrigeração para detectar defeitos e garantir o funcionamento adequado sob a supervisão dos trabalhadores de manutenção. Operar e observar equipamentos e máquinas para verificar a operação eficiente e segura. Ajustar, conectar ou desconectar fiação, tubulação e outras peças, usando ferramentas manuais ou elétricas. Desmontar equipamentos quebrados ou defeituosos para facilitar o reparo e remontá-los após a conclusão dos reparos. Ajustar, manter e reparar equipamentos e auxiliar trabalhadores mais qualificados em tarefas semelhantes. Aplicar materiais de proteção em equipamentos, componentes e peças para evitar defeitos e corrosão. Preparar as estações de trabalho para uso por mecânicos e reparadores. Realizar manutenção, reparo, calibração, regulagem, ajuste fino ou teste de máquinas, dispositivos e equipamentos que operam principalmente com base em princípios elétricos ou eletrônicos. As ferramentas utilizadas incluem ferramentas manuais, conjuntos de brocas, esmerilhadeira, óculos de proteção, luvas, joelheiras, cintos, martelo, cinzel, chaves de fenda, chaves Allen, martelo de borracha, corda longa, alicates, chave de cano, alicate de pressão, multímetro, decapador de fios, chave ajustável, conjunto de chaves de soquete, trena e nível. Os equipamentos utilizados incluem: carrinhos de transporte, carrinho de mão, elevador de carga manual, paleteira, rodízios e caminhões de serviço. Materiais: fita isolante, materiais hidráulicos, materiais elétricos, peças de reposição originais para equipamentos de cozinha, selantes, produtos de limpeza, lubrificantes de grau alimentício e ferragens de aço inoxidável de grau alimentício. Não é necessário possuir carteira de habilitação como condição de emprego para esta vaga. Caso o candidato já possua uma carteira de habilitação padrão, não comercial, poderá ser solicitado a dirigir um veículo, conforme necessário. Se o trabalhador possuir carteira de habilitação, poderá dirigir o veículo da equipe até os locais de trabalho para executar as principais tarefas dos projetos, conforme necessário. Classificação da função: 49-9099.00 - Trabalhadores de Instalação, Manutenção e Reparo, Outros. A classificação e descrição da função/setor inclui informações gerais sobre o cargo, de acordo com o ONET/OES e o Sistema de Classificação Industrial da América do Norte (NAICS). Consulte as Funções e a Ordem de Serviço para obter mais informações. Requisitos da função: Experiência necessária: Não. Requisitos especiais: Levantar de 23 a 34 kg com ou sem auxílio. Subir até 2,4 m com escada. Acesso ocasional ao telhado pode ser necessário. Ajoelhar, agachar, curvar-se, empurrar/puxar. Exposição a ruído, calor, frio, piso escorregadio e molhado. Trabalho aos sábados e domingos, quando necessário. Testes de drogas podem ser exigidos de trabalhadores estrangeiros e nacionais após a contratação, mediante suspeita, aleatoriamente e após acidentes, sem custo para os trabalhadores. Número de horas por semana: 40. Horário de trabalho (início/término): 7h. - 16:00</v>
      </c>
    </row>
    <row r="434" ht="20.25" customHeight="1">
      <c r="A434" s="3" t="s">
        <v>2268</v>
      </c>
      <c r="B434" s="3" t="s">
        <v>2269</v>
      </c>
      <c r="C434" s="3" t="s">
        <v>125</v>
      </c>
      <c r="D434" s="3" t="s">
        <v>109</v>
      </c>
      <c r="E434" s="4" t="s">
        <v>19</v>
      </c>
      <c r="F434" s="4" t="s">
        <v>20</v>
      </c>
      <c r="G434" s="4" t="s">
        <v>56</v>
      </c>
      <c r="H434" s="3" t="s">
        <v>2270</v>
      </c>
      <c r="I434" s="3" t="s">
        <v>2271</v>
      </c>
      <c r="J434" s="4">
        <v>18.69</v>
      </c>
      <c r="K434" s="4">
        <v>4.0</v>
      </c>
      <c r="L434" s="3" t="s">
        <v>129</v>
      </c>
      <c r="M434" s="3" t="s">
        <v>2272</v>
      </c>
      <c r="N434" s="7" t="str">
        <f>IFERROR(__xludf.DUMMYFUNCTION("GOOGLETRANSLATE(L434, ""en"", ""pt"")"),"Trabalhador de paisagismo e manutenção de jardins")</f>
        <v>Trabalhador de paisagismo e manutenção de jardins</v>
      </c>
      <c r="O434" s="7" t="str">
        <f>IFERROR(__xludf.DUMMYFUNCTION("IF(M434="""","""",GOOGLETRANSLATE(M434,""en"",""pt""))"),"As funções incluem a instalação de árvores, arbustos ou flores durante o período de dormência, seguindo o padrão de design apropriado. Isso inclui descarregar materiais, cavar buracos para o sistema radicular, cobrir os buracos adequadamente e, às vezes, "&amp;"colocar grama em placas, plantar sementes de grama ou conectar a irrigação. Também envolve a remoção de folhas, plantio de sementes e palha, aeração do gramado, plantio de arbustos, escavação, rastelagem e instalação de blocos de concreto pré-moldados sem"&amp;" argamassa. Os trabalhadores podem coletar e remover lixo, regar gramados, árvores e plantas semeadas, além de podar árvores, arbustos ou sebes. Podem operar equipamentos motorizados e dirigir veículos até os locais dos clientes. As tarefas podem incluir "&amp;"colocação de grama em placas, corte de grama, rega de plantas e gramados, transplante de plantas, fertilização, escavação, rastelagem e instalação de aspersores. Os funcionários cavarão valas com no máximo 15 a 30 cm de profundidade e 15 a 30 cm de largur"&amp;"a com pás e ferramentas manuais. Essas valas são usadas para acomodar a tubulação utilizada na instalação de sistemas de irrigação. Toda a poda/aparamento será feita no solo. Os trabalhadores não realizarão nenhuma atividade de poda ou corte acima do níve"&amp;"l do solo. O trabalhador poderá transportar outros trabalhadores de e para os locais de trabalho ocasionalmente, porém essa não será sua principal função. Os trabalhadores poderão operar equipamentos motorizados de jardinagem, incluindo cortadores de gram"&amp;"a, aparadores de borda, sopradores, roçadeiras, roçadeiras de jardim, pequenos tratores e equipamentos similares. Os trabalhadores poderão dirigir caminhonetes e outros veículos leves da empresa para ir e voltar dos locais de trabalho dos clientes. Os tra"&amp;"balhadores poderão ocasionalmente transportar outros trabalhadores de e para os locais de trabalho; no entanto, o transporte de trabalhadores não é uma função principal. Os trabalhadores também poderão ocasionalmente transportar materiais, ferramentas e e"&amp;"quipamentos de jardinagem de e para os locais de trabalho, incluindo cobertura morta, plantas em vasos, pás, ancinhos, cortadores de grama, sopradores e roçadeiras de jardim. Nenhum material perigoso será transportado pelos trabalhadores. Todos os veículo"&amp;"s e equipamentos operados têm peso bruto total inferior a 26.000 libras (aproximadamente 11.800 kg), incluindo quaisquer reboques acoplados ou materiais transportados. Classificação da Função: 37-3011.00 - Trabalhadores de Paisagismo e Manutenção de Jardi"&amp;"ns. A classificação e descrição da função/setor inclui informações gerais sobre o cargo, de acordo com o ONET/OES e o Sistema de Classificação Industrial da América do Norte (NAICS). Consulte as Funções e a Ordem de Serviço para obter mais informações. Re"&amp;"quisitos da Função Experiência Necessária: Não. Requisitos Especiais: Capacidade de levantar 23 kg, realizar movimentos repetitivos, empurrar/puxar com frequência, caminhar bastante, agachar-se frequentemente e estar exposto a temperaturas extremas. Númer"&amp;"o de Horas por Semana: 40. Horário de Trabalho (Início/Término): 7h às 16h.")</f>
        <v>As funções incluem a instalação de árvores, arbustos ou flores durante o período de dormência, seguindo o padrão de design apropriado. Isso inclui descarregar materiais, cavar buracos para o sistema radicular, cobrir os buracos adequadamente e, às vezes, colocar grama em placas, plantar sementes de grama ou conectar a irrigação. Também envolve a remoção de folhas, plantio de sementes e palha, aeração do gramado, plantio de arbustos, escavação, rastelagem e instalação de blocos de concreto pré-moldados sem argamassa. Os trabalhadores podem coletar e remover lixo, regar gramados, árvores e plantas semeadas, além de podar árvores, arbustos ou sebes. Podem operar equipamentos motorizados e dirigir veículos até os locais dos clientes. As tarefas podem incluir colocação de grama em placas, corte de grama, rega de plantas e gramados, transplante de plantas, fertilização, escavação, rastelagem e instalação de aspersores. Os funcionários cavarão valas com no máximo 15 a 30 cm de profundidade e 15 a 30 cm de largura com pás e ferramentas manuais. Essas valas são usadas para acomodar a tubulação utilizada na instalação de sistemas de irrigação. Toda a poda/aparamento será feita no solo. Os trabalhadores não realizarão nenhuma atividade de poda ou corte acima do nível do solo. O trabalhador poderá transportar outros trabalhadores de e para os locais de trabalho ocasionalmente, porém essa não será sua principal função. Os trabalhadores poderão operar equipamentos motorizados de jardinagem, incluindo cortadores de grama, aparadores de borda, sopradores, roçadeiras, roçadeiras de jardim, pequenos tratores e equipamentos similares. Os trabalhadores poderão dirigir caminhonetes e outros veículos leves da empresa para ir e voltar dos locais de trabalho dos clientes. Os trabalhadores poderão ocasionalmente transportar outros trabalhadores de e para os locais de trabalho; no entanto, o transporte de trabalhadores não é uma função principal. Os trabalhadores também poderão ocasionalmente transportar materiais, ferramentas e equipamentos de jardinagem de e para os locais de trabalho, incluindo cobertura morta, plantas em vasos, pás, ancinhos, cortadores de grama, sopradores e roçadeiras de jardim. Nenhum material perigoso será transportado pelos trabalhadores. Todos os veículos e equipamentos operados têm peso bruto total inferior a 26.000 libras (aproximadamente 11.800 kg), incluindo quaisquer reboques acoplados ou materiais transportados. Classificação da Função: 37-3011.00 - Trabalhadores de Paisagismo e Manutenção de Jardins. A classificação e descrição da função/setor inclui informações gerais sobre o cargo, de acordo com o ONET/OES e o Sistema de Classificação Industrial da América do Norte (NAICS). Consulte as Funções e a Ordem de Serviço para obter mais informações. Requisitos da Função Experiência Necessária: Não. Requisitos Especiais: Capacidade de levantar 23 kg, realizar movimentos repetitivos, empurrar/puxar com frequência, caminhar bastante, agachar-se frequentemente e estar exposto a temperaturas extremas. Número de Horas por Semana: 40. Horário de Trabalho (Início/Término): 7h às 16h.</v>
      </c>
    </row>
    <row r="435" ht="20.25" customHeight="1">
      <c r="A435" s="8" t="s">
        <v>2273</v>
      </c>
      <c r="B435" s="8" t="s">
        <v>2274</v>
      </c>
      <c r="C435" s="8" t="s">
        <v>363</v>
      </c>
      <c r="D435" s="8" t="s">
        <v>87</v>
      </c>
      <c r="E435" s="9" t="s">
        <v>19</v>
      </c>
      <c r="F435" s="9" t="s">
        <v>20</v>
      </c>
      <c r="G435" s="9" t="s">
        <v>307</v>
      </c>
      <c r="H435" s="8" t="s">
        <v>2275</v>
      </c>
      <c r="I435" s="8" t="s">
        <v>2276</v>
      </c>
      <c r="J435" s="9">
        <v>18.53</v>
      </c>
      <c r="K435" s="9">
        <v>42.0</v>
      </c>
      <c r="L435" s="8" t="s">
        <v>1490</v>
      </c>
      <c r="M435" s="8" t="s">
        <v>2277</v>
      </c>
      <c r="N435" s="7" t="str">
        <f>IFERROR(__xludf.DUMMYFUNCTION("GOOGLETRANSLATE(L435, ""en"", ""pt"")"),"Zelador")</f>
        <v>Zelador</v>
      </c>
      <c r="O435" s="7" t="str">
        <f>IFERROR(__xludf.DUMMYFUNCTION("IF(M435="""","""",GOOGLETRANSLATE(M435,""en"",""pt""))"),"As funções podem incluir: rastelar, juntar e enfardar palha de pinheiro; limpar ao redor das árvores para moldar e melhorar o crescimento (poda/aparar). Rastelar, triturar e compostar folhas. Recolher e remover lixo/detritos. Carregar/descarregar manualme"&amp;"nte caminhões com fardos e/ou ferramentas/equipamentos necessários. Varrer e limpar os locais de trabalho. Aplicar palha de pinheiro e/ou cobertura vegetal para fins paisagísticos e outras atividades relacionadas à manutenção de áreas verdes, conforme SOC"&amp;"/OES 37-3011 (onetonline.org). Horário padrão/esperado: segunda a sexta, das 7h às 17h. Oferecemos mais de 40 horas semanais, sem incluir almoço e/ou intervalos. Possibilidade de trabalho nos fins de semana e feriados. Os horários de início e término, a c"&amp;"arga horária e/ou horas extras podem variar, pois dependem de fatores como projetos/cronograma/necessidades do serviço, condições climáticas e tempo de deslocamento entre os locais de trabalho (se aplicável). Horas extras são possíveis, mas não obrigatóri"&amp;"as ou garantidas. A critério exclusivo do empregador: possíveis aumentos e/ou bônus com base em fatores individuais, como desempenho no trabalho ou habilidades (não garantidos). Classificação do Cargo: 37-3011.00 - Trabalhadores de Paisagismo e Manutenção"&amp;" de Jardins. A classificação e descrição do cargo/setor inclui informações gerais sobre a posição, conforme o ONET/OES e o Sistema de Classificação Industrial da América do Norte. Consulte as Funções e a Ordem de Serviço para obter mais informações. Requi"&amp;"sitos do Cargo Experiência Necessária: Não. Requisitos Especiais: É necessário ter 18 anos devido a questões de seguro. É necessário apresentar comprovante de autorização legal para trabalhar nos Estados Unidos. Ambiente de trabalho livre de drogas, álcoo"&amp;"l e tabaco. Executar atividades físicas, como levantar, equilibrar-se, caminhar, abaixar-se, manusear, posicionar, mover e manipular materiais, utilizando força estática para exercer força muscular máxima para levantar, empurrar, puxar e carregar objetos "&amp;"de até 23 kg. Todos os candidatos devem ser capazes, dispostos e qualificados para executar o trabalho descrito e devem estar disponíveis durante todo o período especificado e trabalhar em todas as áreas da vaga. O trabalho é realizado ao ar livre, expost"&amp;"o às intempéries. O candidato deve ser capaz de realizar trabalhos fisicamente extenuantes por longos períodos, ocasionalmente em condições de calor ou frio extremos. As condições climáticas são variáveis; a carga horária pode sofrer alterações, com possi"&amp;"bilidade de períodos de inatividade e/ou horas extras. Número de horas por semana: 40. Horário de trabalho (início/término): 7h às 17h.")</f>
        <v>As funções podem incluir: rastelar, juntar e enfardar palha de pinheiro; limpar ao redor das árvores para moldar e melhorar o crescimento (poda/aparar). Rastelar, triturar e compostar folhas. Recolher e remover lixo/detritos. Carregar/descarregar manualmente caminhões com fardos e/ou ferramentas/equipamentos necessários. Varrer e limpar os locais de trabalho. Aplicar palha de pinheiro e/ou cobertura vegetal para fins paisagísticos e outras atividades relacionadas à manutenção de áreas verdes, conforme SOC/OES 37-3011 (onetonline.org). Horário padrão/esperado: segunda a sexta, das 7h às 17h. Oferecemos mais de 40 horas semanais, sem incluir almoço e/ou intervalos. Possibilidade de trabalho nos fins de semana e feriados. Os horários de início e término, a carga horária e/ou horas extras podem variar, pois dependem de fatores como projetos/cronograma/necessidades do serviço, condições climáticas e tempo de deslocamento entre os locais de trabalho (se aplicável). Horas extras são possíveis, mas não obrigatórias ou garantidas. A critério exclusivo do empregador: possíveis aumentos e/ou bônus com base em fatores individuais, como desempenho no trabalho ou habilidades (não garantidos). Classificação do Cargo: 37-3011.00 - Trabalhadores de Paisagismo e Manutenção de Jardins. A classificação e descrição do cargo/setor inclui informações gerais sobre a posição, conforme o ONET/OES e o Sistema de Classificação Industrial da América do Norte. Consulte as Funções e a Ordem de Serviço para obter mais informações. Requisitos do Cargo Experiência Necessária: Não. Requisitos Especiais: É necessário ter 18 anos devido a questões de seguro. É necessário apresentar comprovante de autorização legal para trabalhar nos Estados Unidos. Ambiente de trabalho livre de drogas, álcool e tabaco. Executar atividades físicas, como levantar, equilibrar-se, caminhar, abaixar-se, manusear, posicionar, mover e manipular materiais, utilizando força estática para exercer força muscular máxima para levantar, empurrar, puxar e carregar objetos de até 23 kg. Todos os candidatos devem ser capazes, dispostos e qualificados para executar o trabalho descrito e devem estar disponíveis durante todo o período especificado e trabalhar em todas as áreas da vaga. O trabalho é realizado ao ar livre, exposto às intempéries. O candidato deve ser capaz de realizar trabalhos fisicamente extenuantes por longos períodos, ocasionalmente em condições de calor ou frio extremos. As condições climáticas são variáveis; a carga horária pode sofrer alterações, com possibilidade de períodos de inatividade e/ou horas extras. Número de horas por semana: 40. Horário de trabalho (início/término): 7h às 17h.</v>
      </c>
    </row>
    <row r="436" ht="20.25" customHeight="1">
      <c r="A436" s="3" t="s">
        <v>2278</v>
      </c>
      <c r="B436" s="3" t="s">
        <v>2279</v>
      </c>
      <c r="C436" s="3" t="s">
        <v>662</v>
      </c>
      <c r="D436" s="3" t="s">
        <v>36</v>
      </c>
      <c r="E436" s="4" t="s">
        <v>44</v>
      </c>
      <c r="F436" s="4" t="s">
        <v>20</v>
      </c>
      <c r="G436" s="4" t="s">
        <v>377</v>
      </c>
      <c r="H436" s="3" t="s">
        <v>2280</v>
      </c>
      <c r="I436" s="3" t="s">
        <v>2281</v>
      </c>
      <c r="J436" s="4">
        <v>17.87</v>
      </c>
      <c r="K436" s="4">
        <v>40.0</v>
      </c>
      <c r="L436" s="3" t="s">
        <v>83</v>
      </c>
      <c r="M436" s="3" t="s">
        <v>2282</v>
      </c>
      <c r="N436" s="7" t="str">
        <f>IFERROR(__xludf.DUMMYFUNCTION("GOOGLETRANSLATE(L436, ""en"", ""pt"")"),"Trabalhador Florestal")</f>
        <v>Trabalhador Florestal</v>
      </c>
      <c r="O436" s="7" t="str">
        <f>IFERROR(__xludf.DUMMYFUNCTION("IF(M436="""","""",GOOGLETRANSLATE(M436,""en"",""pt""))"),"As funções podem incluir: plantar manualmente mudas de árvores sem raiz J/U e compactar o solo para fixar as mudas usando diversas ferramentas de plantio. Manusear barras de plantio e enxadas. Manter a vegetação ao redor, realizando podas, limpeza, desbas"&amp;"te, pulverização e remoção de detritos. Desbaste pré-comercial. Compactar o solo para fixar as mudas usando ferramentas de plantio e outras atividades relacionadas a Trabalhador Florestal, conforme SOC/OES 45-4011 (onetonline.org). Horário padrão/esperado"&amp;": segunda a sexta, das 8h às 17h. Oferecemos mais de 40 horas semanais, sem incluir almoço e/ou intervalos. Possibilidade de trabalho em fins de semana e feriados. Os horários de início e término, a carga horária e/ou horas extras podem variar, pois depen"&amp;"dem de fatores como projeto/cronograma/necessidades do serviço, condições climáticas e tempo de deslocamento entre os locais de trabalho (se aplicável). Horas extras são possíveis, mas não obrigatórias ou garantidas. A critério exclusivo do empregador: po"&amp;"ssíveis aumentos e/ou bônus com base em fatores individuais, como desempenho no trabalho ou habilidades (não garantidos). Moradia compartilhada opcional disponível sem custo para o trabalhador. Classificação do Cargo: 45-4011.00 - Trabalhadores Florestais"&amp;" e de Conservação. A classificação e descrição do cargo/setor incluem informações gerais sobre a posição, de acordo com o ONET/OES e o Sistema de Classificação Industrial da América do Norte. Consulte as Funções e a Ordem de Serviço para obter mais inform"&amp;"ações. Requisitos do Cargo Experiência Necessária: Sim Meses de Experiência Necessários: 3 Requisitos Especiais: É necessário ter 18 anos devido a viagens. É necessário apresentar comprovante de autorização legal para trabalhar nos Estados Unidos. Ambient"&amp;"e de trabalho livre de drogas, álcool e tabaco. É necessário caminhar bastante (até 24 km/dia), além de se abaixar e se curvar carregando uma mochila (até 23 kg) em terrenos acidentados (fora de trilhas). Todos os candidatos devem ser capazes, dispostos e"&amp;" qualificados para executar o trabalho descrito e devem estar disponíveis durante todo o período especificado e trabalhar em todas as áreas de atuação pretendidas. O trabalho é realizado ao ar livre, exposto às intempéries. O candidato deve ser capaz de r"&amp;"ealizar trabalhos fisicamente extenuantes por longos períodos, ocasionalmente em condições de calor ou frio extremos. As condições climáticas são variáveis; a carga horária pode sofrer alterações, com possibilidade de períodos de inatividade e/ou horas ex"&amp;"tras. Número de horas por semana: 40. Horário de trabalho (início/término): 8h às 17h.")</f>
        <v>As funções podem incluir: plantar manualmente mudas de árvores sem raiz J/U e compactar o solo para fixar as mudas usando diversas ferramentas de plantio. Manusear barras de plantio e enxadas. Manter a vegetação ao redor, realizando podas, limpeza, desbaste, pulverização e remoção de detritos. Desbaste pré-comercial. Compactar o solo para fixar as mudas usando ferramentas de plantio e outras atividades relacionadas a Trabalhador Florestal, conforme SOC/OES 45-4011 (onetonline.org). Horário padrão/esperado: segunda a sexta, das 8h às 17h. Oferecemos mais de 40 horas semanais, sem incluir almoço e/ou intervalos. Possibilidade de trabalho em fins de semana e feriados. Os horários de início e término, a carga horária e/ou horas extras podem variar, pois dependem de fatores como projeto/cronograma/necessidades do serviço, condições climáticas e tempo de deslocamento entre os locais de trabalho (se aplicável). Horas extras são possíveis, mas não obrigatórias ou garantidas. A critério exclusivo do empregador: possíveis aumentos e/ou bônus com base em fatores individuais, como desempenho no trabalho ou habilidades (não garantidos). Moradia compartilhada opcional disponível sem custo para o trabalhador. Classificação do Cargo: 45-4011.00 - Trabalhadores Florestais e de Conservação. A classificação e descrição do cargo/setor incluem informações gerais sobre a posição, de acordo com o ONET/OES e o Sistema de Classificação Industrial da América do Norte. Consulte as Funções e a Ordem de Serviço para obter mais informações. Requisitos do Cargo Experiência Necessária: Sim Meses de Experiência Necessários: 3 Requisitos Especiais: É necessário ter 18 anos devido a viagens. É necessário apresentar comprovante de autorização legal para trabalhar nos Estados Unidos. Ambiente de trabalho livre de drogas, álcool e tabaco. É necessário caminhar bastante (até 24 km/dia), além de se abaixar e se curvar carregando uma mochila (até 23 kg) em terrenos acidentados (fora de trilhas). Todos os candidatos devem ser capazes, dispostos e qualificados para executar o trabalho descrito e devem estar disponíveis durante todo o período especificado e trabalhar em todas as áreas de atuação pretendidas. O trabalho é realizado ao ar livre, exposto às intempéries. O candidato deve ser capaz de realizar trabalhos fisicamente extenuantes por longos períodos, ocasionalmente em condições de calor ou frio extremos. As condições climáticas são variáveis; a carga horária pode sofrer alterações, com possibilidade de períodos de inatividade e/ou horas extras. Número de horas por semana: 40. Horário de trabalho (início/término): 8h às 17h.</v>
      </c>
    </row>
    <row r="437" ht="20.25" customHeight="1">
      <c r="A437" s="8" t="s">
        <v>2283</v>
      </c>
      <c r="B437" s="8" t="s">
        <v>2284</v>
      </c>
      <c r="C437" s="8" t="s">
        <v>662</v>
      </c>
      <c r="D437" s="8" t="s">
        <v>186</v>
      </c>
      <c r="E437" s="9" t="s">
        <v>19</v>
      </c>
      <c r="F437" s="9" t="s">
        <v>20</v>
      </c>
      <c r="G437" s="9" t="s">
        <v>198</v>
      </c>
      <c r="H437" s="8" t="s">
        <v>2285</v>
      </c>
      <c r="I437" s="8" t="s">
        <v>2286</v>
      </c>
      <c r="J437" s="9">
        <v>16.73</v>
      </c>
      <c r="K437" s="9">
        <v>160.0</v>
      </c>
      <c r="L437" s="8" t="s">
        <v>83</v>
      </c>
      <c r="M437" s="8" t="s">
        <v>2287</v>
      </c>
      <c r="N437" s="7" t="str">
        <f>IFERROR(__xludf.DUMMYFUNCTION("GOOGLETRANSLATE(L437, ""en"", ""pt"")"),"Trabalhador Florestal")</f>
        <v>Trabalhador Florestal</v>
      </c>
      <c r="O437" s="7" t="str">
        <f>IFERROR(__xludf.DUMMYFUNCTION("IF(M437="""","""",GOOGLETRANSLATE(M437,""en"",""pt""))"),"As funções podem incluir: Plantar mudas/árvores para reflorestamento de áreas florestais: plantar árvores de raiz nua ou em contêineres, sem raízes em J ou U. Cultivar, transportar e selecionar as mudas para escolher o local ideal de plantio, considerando"&amp;" as necessidades de sombra e solo. Reduzir a vegetação concorrente. Utilizar: pá, enxada, furador de solo, enxada mecânica ou perfurador de solo motorizado. Verificar o funcionamento adequado dos equipamentos. Dirigir ocasionalmente e realizar outras ativ"&amp;"idades relacionadas ao trabalho florestal, conforme SOC/OES 45-4011 (onetonline.org). Horário padrão/esperado: Segunda a sexta, das 8h às 16h. Oferecemos 35 horas ou mais por semana, sem incluir almoço e/ou intervalos. Possibilidade de trabalho nos fins d"&amp;"e semana e feriados. Os horários de início e término, a carga horária e/ou horas extras podem variar, dependendo de fatores como projeto/cronograma/necessidades do serviço, condições climáticas e tempo de deslocamento entre os locais de trabalho (se aplic"&amp;"ável). Horas extras são possíveis, mas não obrigatórias ou garantidas. A critério exclusivo do empregador: possíveis aumentos e/ou bônus com base em fatores individuais, como desempenho ou habilidade (não garantidos). Pagamento por produção pode ser aplic"&amp;"ado: o trabalhador nunca receberá menos do que o Salário Vigente ou o salário mínimo federal/estadual/municipal. Moradia compartilhada opcional disponível sem custo para o trabalhador. Classificação do Cargo: 45-4011.00 - Trabalhadores Florestais e de Con"&amp;"servação. A classificação e descrição do cargo/setor incluem informações gerais sobre a posição, de acordo com o ONET/OES e o Sistema de Classificação Industrial da América do Norte. Consulte as Funções e a Ordem de Serviço para obter mais informações. Re"&amp;"quisitos do Cargo Experiência Necessária: Não. Requisitos Especiais: Deve ter 18 anos devido a viagens. Deve apresentar comprovante de autorização legal para trabalhar nos Estados Unidos. Ambiente de trabalho livre de drogas, álcool e tabaco. Deve caminha"&amp;"r bastante (até 24 km/dia), além de se abaixar e se curvar carregando uma mochila (até 23 kg) em terrenos acidentados (fora de trilhas). Todos os candidatos devem ser capazes, estar dispostos e qualificados para executar o trabalho descrito e devem estar "&amp;"disponíveis durante todo o período especificado e trabalhar em todas as áreas do emprego pretendido. A critério do empregador/custo: o trabalhador poderá ser submetido a testes aleatórios de drogas/álcool durante o emprego: teste positivo/recusa em cumpri"&amp;"r o teste = demissão. Possível verificação de antecedentes após a contratação, às custas do empregador. O trabalho é realizado ao ar livre, exposto às intempéries; o candidato deve ser capaz de realizar trabalho fisicamente extenuante por longas horas, oc"&amp;"asionalmente em calor ou frio extremos. As condições climáticas são variáveis; a carga horária pode sofrer alterações (+/-), podendo haver períodos de inatividade e/ou horas extras. Número de horas por semana: 40. Horário de trabalho (início/término): 8h "&amp;"às 16h.")</f>
        <v>As funções podem incluir: Plantar mudas/árvores para reflorestamento de áreas florestais: plantar árvores de raiz nua ou em contêineres, sem raízes em J ou U. Cultivar, transportar e selecionar as mudas para escolher o local ideal de plantio, considerando as necessidades de sombra e solo. Reduzir a vegetação concorrente. Utilizar: pá, enxada, furador de solo, enxada mecânica ou perfurador de solo motorizado. Verificar o funcionamento adequado dos equipamentos. Dirigir ocasionalmente e realizar outras atividades relacionadas ao trabalho florestal, conforme SOC/OES 45-4011 (onetonline.org). Horário padrão/esperado: Segunda a sexta, das 8h às 16h. Oferecemos 35 horas ou mais por semana, sem incluir almoço e/ou intervalos. Possibilidade de trabalho nos fins de semana e feriados. Os horários de início e término, a carga horária e/ou horas extras podem variar, dependendo de fatores como projeto/cronograma/necessidades do serviço, condições climáticas e tempo de deslocamento entre os locais de trabalho (se aplicável). Horas extras são possíveis, mas não obrigatórias ou garantidas. A critério exclusivo do empregador: possíveis aumentos e/ou bônus com base em fatores individuais, como desempenho ou habilidade (não garantidos). Pagamento por produção pode ser aplicado: o trabalhador nunca receberá menos do que o Salário Vigente ou o salário mínimo federal/estadual/municipal. Moradia compartilhada opcional disponível sem custo para o trabalhador. Classificação do Cargo: 45-4011.00 - Trabalhadores Florestais e de Conservação. A classificação e descrição do cargo/setor incluem informações gerais sobre a posição, de acordo com o ONET/OES e o Sistema de Classificação Industrial da América do Norte. Consulte as Funções e a Ordem de Serviço para obter mais informações. Requisitos do Cargo Experiência Necessária: Não. Requisitos Especiais: Deve ter 18 anos devido a viagens. Deve apresentar comprovante de autorização legal para trabalhar nos Estados Unidos. Ambiente de trabalho livre de drogas, álcool e tabaco. Deve caminhar bastante (até 24 km/dia), além de se abaixar e se curvar carregando uma mochila (até 23 kg) em terrenos acidentados (fora de trilhas). Todos os candidatos devem ser capazes, estar dispostos e qualificados para executar o trabalho descrito e devem estar disponíveis durante todo o período especificado e trabalhar em todas as áreas do emprego pretendido. A critério do empregador/custo: o trabalhador poderá ser submetido a testes aleatórios de drogas/álcool durante o emprego: teste positivo/recusa em cumprir o teste = demissão. Possível verificação de antecedentes após a contratação, às custas do empregador. O trabalho é realizado ao ar livre, exposto às intempéries; o candidato deve ser capaz de realizar trabalho fisicamente extenuante por longas horas, ocasionalmente em calor ou frio extremos. As condições climáticas são variáveis; a carga horária pode sofrer alterações (+/-), podendo haver períodos de inatividade e/ou horas extras. Número de horas por semana: 40. Horário de trabalho (início/término): 8h às 16h.</v>
      </c>
    </row>
    <row r="438" ht="20.25" customHeight="1">
      <c r="A438" s="3" t="s">
        <v>2288</v>
      </c>
      <c r="B438" s="3" t="s">
        <v>2289</v>
      </c>
      <c r="C438" s="3" t="s">
        <v>363</v>
      </c>
      <c r="D438" s="3" t="s">
        <v>505</v>
      </c>
      <c r="E438" s="4" t="s">
        <v>19</v>
      </c>
      <c r="F438" s="4" t="s">
        <v>20</v>
      </c>
      <c r="G438" s="4" t="s">
        <v>56</v>
      </c>
      <c r="H438" s="3" t="s">
        <v>2290</v>
      </c>
      <c r="I438" s="3" t="s">
        <v>2291</v>
      </c>
      <c r="J438" s="4">
        <v>19.19</v>
      </c>
      <c r="K438" s="4">
        <v>50.0</v>
      </c>
      <c r="L438" s="3" t="s">
        <v>59</v>
      </c>
      <c r="M438" s="3" t="s">
        <v>2292</v>
      </c>
      <c r="N438" s="7" t="str">
        <f>IFERROR(__xludf.DUMMYFUNCTION("GOOGLETRANSLATE(L438, ""en"", ""pt"")"),"Trabalhador de paisagismo")</f>
        <v>Trabalhador de paisagismo</v>
      </c>
      <c r="O438" s="7" t="str">
        <f>IFERROR(__xludf.DUMMYFUNCTION("IF(M438="""","""",GOOGLETRANSLATE(M438,""en"",""pt""))"),"As funções podem incluir: cuidar de propriedades já estabelecidas, cortando grama, capinando, aplicando cobertura morta, aparando/acabando, limpando canteiros (incluindo recolher e remover lixo), rastelando, podando (aparar/moldar) e fertilizando/aplicand"&amp;"o inseticida. Seguir o projeto paisagístico planejado para plantar: sementes, bulbos, folhagens, grama, árvores e arbustos. Inicialização e preparação do sistema de irrigação para o inverno e outras atividades relacionadas a serviços de paisagismo, confor"&amp;"me SOC/OES 37-3011 (onetonline.org). Horário padrão/esperado: segunda a sexta, das 7h às 16h30. Oferecemos mais de 40 horas semanais, sem incluir almoço e/ou intervalos. Possibilidade de trabalho nos fins de semana e feriados. Os horários de início e térm"&amp;"ino, a carga horária e/ou horas extras podem variar, pois dependem de fatores como projeto/cronograma/necessidades do serviço, clima e tempo de deslocamento entre os locais de trabalho (se aplicável). Horas extras são possíveis, mas não obrigatórias ou ga"&amp;"rantidas. A critério exclusivo do empregador: possíveis aumentos e/ou bônus com base em fatores individuais, como desempenho no trabalho ou habilidades (não garantidos). Classificação do Cargo: 37-3011.00 - Trabalhadores de Paisagismo e Manutenção de Jard"&amp;"ins. A classificação e descrição do cargo/setor inclui informações gerais sobre a posição, conforme o ONET/OES e o Sistema de Classificação Industrial da América do Norte. Consulte as Funções e a Ordem de Serviço para obter mais informações. Requisitos do"&amp;" Cargo Experiência Necessária: Não. Requisitos Especiais: É necessário ter 18 anos devido a questões de seguro. É necessário apresentar comprovante de autorização legal para trabalhar nos Estados Unidos. Ambiente de trabalho livre de drogas, álcool e taba"&amp;"co. Executar atividades físicas, como levantar, equilibrar-se, caminhar, abaixar-se, manusear, posicionar, mover e manipular materiais; usar força estática para exercer força muscular máxima para levantar, empurrar, puxar e carregar objetos de até 23 kg. "&amp;"Todos os candidatos devem ser capazes, estar dispostos e qualificados para executar o trabalho descrito e devem estar disponíveis durante todo o período especificado e trabalhar em todas as áreas do emprego pretendido. A critério do empregador/custo: o tr"&amp;"abalhador poderá ser submetido a testes aleatórios de drogas/álcool durante o emprego: teste positivo/recusa em cumprir o teste = demissão. O trabalho é realizado ao ar livre, exposto às intempéries; o candidato deve ser capaz de realizar trabalho fisicam"&amp;"ente extenuante por longos períodos, ocasionalmente em calor ou frio extremos. As condições climáticas são variáveis; a carga horária pode sofrer alterações (+/-), podendo haver períodos de inatividade e/ou horas extras. Número de horas por semana: 40. Ho"&amp;"rário de trabalho (início/término): 7h00 - 16h30.")</f>
        <v>As funções podem incluir: cuidar de propriedades já estabelecidas, cortando grama, capinando, aplicando cobertura morta, aparando/acabando, limpando canteiros (incluindo recolher e remover lixo), rastelando, podando (aparar/moldar) e fertilizando/aplicando inseticida. Seguir o projeto paisagístico planejado para plantar: sementes, bulbos, folhagens, grama, árvores e arbustos. Inicialização e preparação do sistema de irrigação para o inverno e outras atividades relacionadas a serviços de paisagismo, conforme SOC/OES 37-3011 (onetonline.org). Horário padrão/esperado: segunda a sexta, das 7h às 16h30. Oferecemos mais de 40 horas semanais, sem incluir almoço e/ou intervalos. Possibilidade de trabalho nos fins de semana e feriados. Os horários de início e término, a carga horária e/ou horas extras podem variar, pois dependem de fatores como projeto/cronograma/necessidades do serviço, clima e tempo de deslocamento entre os locais de trabalho (se aplicável). Horas extras são possíveis, mas não obrigatórias ou garantidas. A critério exclusivo do empregador: possíveis aumentos e/ou bônus com base em fatores individuais, como desempenho no trabalho ou habilidades (não garantidos). Classificação do Cargo: 37-3011.00 - Trabalhadores de Paisagismo e Manutenção de Jardins. A classificação e descrição do cargo/setor inclui informações gerais sobre a posição, conforme o ONET/OES e o Sistema de Classificação Industrial da América do Norte. Consulte as Funções e a Ordem de Serviço para obter mais informações. Requisitos do Cargo Experiência Necessária: Não. Requisitos Especiais: É necessário ter 18 anos devido a questões de seguro. É necessário apresentar comprovante de autorização legal para trabalhar nos Estados Unidos. Ambiente de trabalho livre de drogas, álcool e tabaco. Executar atividades físicas, como levantar, equilibrar-se, caminhar, abaixar-se, manusear, posicionar, mover e manipular materiais; usar força estática para exercer força muscular máxima para levantar, empurrar, puxar e carregar objetos de até 23 kg. Todos os candidatos devem ser capazes, estar dispostos e qualificados para executar o trabalho descrito e devem estar disponíveis durante todo o período especificado e trabalhar em todas as áreas do emprego pretendido. A critério do empregador/custo: o trabalhador poderá ser submetido a testes aleatórios de drogas/álcool durante o emprego: teste positivo/recusa em cumprir o teste = demissão. O trabalho é realizado ao ar livre, exposto às intempéries; o candidato deve ser capaz de realizar trabalho fisicamente extenuante por longos períodos, ocasionalmente em calor ou frio extremos. As condições climáticas são variáveis; a carga horária pode sofrer alterações (+/-), podendo haver períodos de inatividade e/ou horas extras. Número de horas por semana: 40. Horário de trabalho (início/término): 7h00 - 16h30.</v>
      </c>
    </row>
    <row r="439" ht="20.25" customHeight="1">
      <c r="A439" s="8" t="s">
        <v>2293</v>
      </c>
      <c r="B439" s="8" t="s">
        <v>1879</v>
      </c>
      <c r="C439" s="8" t="s">
        <v>27</v>
      </c>
      <c r="D439" s="8" t="s">
        <v>284</v>
      </c>
      <c r="E439" s="9" t="s">
        <v>19</v>
      </c>
      <c r="F439" s="9" t="s">
        <v>20</v>
      </c>
      <c r="G439" s="9" t="s">
        <v>1280</v>
      </c>
      <c r="H439" s="8" t="s">
        <v>1880</v>
      </c>
      <c r="I439" s="8" t="s">
        <v>1881</v>
      </c>
      <c r="J439" s="9">
        <v>17.83</v>
      </c>
      <c r="K439" s="9">
        <v>20.0</v>
      </c>
      <c r="L439" s="8" t="s">
        <v>1490</v>
      </c>
      <c r="M439" s="8" t="s">
        <v>2294</v>
      </c>
      <c r="N439" s="7" t="str">
        <f>IFERROR(__xludf.DUMMYFUNCTION("GOOGLETRANSLATE(L439, ""en"", ""pt"")"),"Zelador")</f>
        <v>Zelador</v>
      </c>
      <c r="O439" s="7" t="str">
        <f>IFERROR(__xludf.DUMMYFUNCTION("IF(M439="""","""",GOOGLETRANSLATE(M439,""en"",""pt""))"),"As funções podem incluir: limpeza de locais e áreas de trabalho, removendo galhos, gravetos, ervas daninhas e arbustos; enfardamento de palha de pinheiro com enfardadeira; carga e descarga de fardos de palha de pinheiro; condução de quadriciclos e outras "&amp;"atividades relacionadas à manutenção de áreas verdes, conforme SOC/OES 37-3011 (onetonline.org). Horário padrão/esperado: segunda a sexta, das 8h às 17h. Oferecemos 35 horas semanais ou mais, sem incluir almoço e/ou intervalos. Possibilidade de trabalho a"&amp;"os fins de semana e feriados. Os horários de início e término, a carga horária e/ou horas extras podem variar, dependendo de fatores como necessidades do projeto/cronograma/serviço, condições climáticas e tempo de deslocamento entre os locais de trabalho "&amp;"(se aplicável). Horas extras são possíveis, mas não obrigatórias nem garantidas. A critério exclusivo do empregador: aumentos salariais e/ou bônus podem ser concedidos com base em fatores individuais, como desempenho ou habilidades (não garantidos). Pagam"&amp;"ento por peça produzida: US$ 0,75 por rolo para rastelar, US$ 0,20 por rolo para enfardar, US$ 0,30 por rolo para carregar. O salário nunca será inferior ao salário mínimo vigente/federal/estadual/local. Classificação da vaga: 37-3011.00 - Trabalhadores d"&amp;"e Paisagismo e Manutenção de Áreas Verdes. A classificação e descrição da vaga/setor incluem informações gerais sobre o cargo, conforme o ONET/OES e o Sistema de Classificação Industrial da América do Norte (NAICS). Consulte as Funções e a Ordem de Serviç"&amp;"o para obter mais informações. Requisitos da vaga: Experiência exigida: Não. Requisitos especiais: É necessário comprovar autorização legal para trabalhar nos Estados Unidos. Ambiente de trabalho livre de drogas, álcool e tabaco. Executar atividades físic"&amp;"as, como levantar, equilibrar-se, caminhar, abaixar-se, manusear, posicionar, mover e manipular materiais, utilizando força estática para exercer força muscular máxima para levantar, empurrar, puxar e carregar objetos de até 20 kg. Todos os candidatos dev"&amp;"em ser capazes, estar dispostos e qualificados para executar o trabalho descrito e devem estar disponíveis durante todo o período especificado e trabalhar em todas as áreas do emprego pretendido. A critério do empregador/custo: O trabalhador poderá ser su"&amp;"bmetido a testes aleatórios de drogas/álcool durante o emprego: teste positivo/recusa em cumprir o teste = demissão. O trabalho é realizado ao ar livre, exposto às intempéries; o candidato deve ser capaz de realizar trabalho fisicamente extenuante por lon"&amp;"gos períodos, ocasionalmente em calor ou frio extremos. As condições climáticas são variáveis; a carga horária pode sofrer alterações (+/-), podendo haver períodos de inatividade e/ou horas extras. Número de horas por semana: 40. Horário de trabalho (iníc"&amp;"io/término): 8h às 17h.")</f>
        <v>As funções podem incluir: limpeza de locais e áreas de trabalho, removendo galhos, gravetos, ervas daninhas e arbustos; enfardamento de palha de pinheiro com enfardadeira; carga e descarga de fardos de palha de pinheiro; condução de quadriciclos e outras atividades relacionadas à manutenção de áreas verdes, conforme SOC/OES 37-3011 (onetonline.org). Horário padrão/esperado: segunda a sexta, das 8h às 17h. Oferecemos 35 horas semanais ou mais, sem incluir almoço e/ou intervalos. Possibilidade de trabalho aos fins de semana e feriados. Os horários de início e término, a carga horária e/ou horas extras podem variar, dependendo de fatores como necessidades do projeto/cronograma/serviço, condições climáticas e tempo de deslocamento entre os locais de trabalho (se aplicável). Horas extras são possíveis, mas não obrigatórias nem garantidas. A critério exclusivo do empregador: aumentos salariais e/ou bônus podem ser concedidos com base em fatores individuais, como desempenho ou habilidades (não garantidos). Pagamento por peça produzida: US$ 0,75 por rolo para rastelar, US$ 0,20 por rolo para enfardar, US$ 0,30 por rolo para carregar. O salário nunca será inferior ao salário mínimo vigente/federal/estadual/local. Classificação da vaga: 37-3011.00 - Trabalhadores de Paisagismo e Manutenção de Áreas Verdes. A classificação e descrição da vaga/setor incluem informações gerais sobre o cargo, conforme o ONET/OES e o Sistema de Classificação Industrial da América do Norte (NAICS). Consulte as Funções e a Ordem de Serviço para obter mais informações. Requisitos da vaga: Experiência exigida: Não. Requisitos especiais: É necessário comprovar autorização legal para trabalhar nos Estados Unidos. Ambiente de trabalho livre de drogas, álcool e tabaco. Executar atividades físicas, como levantar, equilibrar-se, caminhar, abaixar-se, manusear, posicionar, mover e manipular materiais, utilizando força estática para exercer força muscular máxima para levantar, empurrar, puxar e carregar objetos de até 20 kg. Todos os candidatos devem ser capazes, estar dispostos e qualificados para executar o trabalho descrito e devem estar disponíveis durante todo o período especificado e trabalhar em todas as áreas do emprego pretendido. A critério do empregador/custo: O trabalhador poderá ser submetido a testes aleatórios de drogas/álcool durante o emprego: teste positivo/recusa em cumprir o teste = demissão. O trabalho é realizado ao ar livre, exposto às intempéries; o candidato deve ser capaz de realizar trabalho fisicamente extenuante por longos períodos, ocasionalmente em calor ou frio extremos. As condições climáticas são variáveis; a carga horária pode sofrer alterações (+/-), podendo haver períodos de inatividade e/ou horas extras. Número de horas por semana: 40. Horário de trabalho (início/término): 8h às 17h.</v>
      </c>
    </row>
    <row r="440" ht="20.25" customHeight="1">
      <c r="A440" s="3" t="s">
        <v>2295</v>
      </c>
      <c r="B440" s="3" t="s">
        <v>1410</v>
      </c>
      <c r="C440" s="3" t="s">
        <v>1411</v>
      </c>
      <c r="D440" s="3" t="s">
        <v>663</v>
      </c>
      <c r="E440" s="4" t="s">
        <v>19</v>
      </c>
      <c r="F440" s="4" t="s">
        <v>20</v>
      </c>
      <c r="G440" s="4" t="s">
        <v>1412</v>
      </c>
      <c r="H440" s="3" t="s">
        <v>1413</v>
      </c>
      <c r="I440" s="3" t="s">
        <v>1414</v>
      </c>
      <c r="J440" s="4">
        <v>22.55</v>
      </c>
      <c r="K440" s="4">
        <v>2.0</v>
      </c>
      <c r="L440" s="3" t="s">
        <v>2101</v>
      </c>
      <c r="M440" s="3" t="s">
        <v>2102</v>
      </c>
      <c r="N440" s="7" t="str">
        <f>IFERROR(__xludf.DUMMYFUNCTION("GOOGLETRANSLATE(L440, ""en"", ""pt"")"),"Técnico de Manutenção")</f>
        <v>Técnico de Manutenção</v>
      </c>
      <c r="O440" s="7" t="str">
        <f>IFERROR(__xludf.DUMMYFUNCTION("IF(M440="""","""",GOOGLETRANSLATE(M440,""en"",""pt""))"),"Auxiliar mecânicos experientes em tarefas menos complexas relacionadas à manutenção e reparo de veículos. Auxiliar os mecânicos no diagnóstico, exame, teste, ajuste e reparo de diversos veículos e equipamentos comerciais, como caminhonetes, conjuntos de c"&amp;"aminhão-trator pesado, caminhões com Peso Bruto Total (PBT) superior a 11.793 kg (26.001 libras), carregadeiras, reboques e outras máquinas e equipamentos relacionados, conforme necessário. Segurar ou fornecer ferramentas e peças para trabalhadores mais q"&amp;"ualificados. Posicionar veículos e outros objetos, como ferramentas, equipamentos de diagnóstico, suprimentos, etc., conforme necessário. As funções diárias podem incluir inspecionar veículos, máquinas e equipamentos para garantir seu pleno funcionamento;"&amp;" limpar e lubrificar veículos e outros equipamentos e ferramentas; manter a área de manutenção limpa e segura, garantindo que todos os equipamentos de diagnóstico, suprimentos, ferramentas, equipamentos de manutenção grandes e pequenos, fluidos e suprimen"&amp;"tos estejam armazenados e posicionados conforme necessário. Classificação da Função: 49-9098.00 - Ajudantes - Trabalhadores de Instalação, Manutenção e Reparo. A classificação e descrição da função/setor inclui informações gerais sobre o cargo, de acordo "&amp;"com o ONET/OES e o Sistema de Classificação Industrial da América do Norte (NAICS). Consulte as Funções e a Ordem de Serviço para obter mais informações. Requisitos da Função: Experiência Necessária: Sim. Meses de Experiência Necessários: 6. Requisitos Es"&amp;"peciais: Carteira de Habilitação. Aprovação em verificação de antecedentes e teste toxicológico. Número de Horas por Semana: 45. Horário de Trabalho (Início/Término): 16h00 - 01h00.")</f>
        <v>Auxiliar mecânicos experientes em tarefas menos complexas relacionadas à manutenção e reparo de veículos. Auxiliar os mecânicos no diagnóstico, exame, teste, ajuste e reparo de diversos veículos e equipamentos comerciais, como caminhonetes, conjuntos de caminhão-trator pesado, caminhões com Peso Bruto Total (PBT) superior a 11.793 kg (26.001 libras), carregadeiras, reboques e outras máquinas e equipamentos relacionados, conforme necessário. Segurar ou fornecer ferramentas e peças para trabalhadores mais qualificados. Posicionar veículos e outros objetos, como ferramentas, equipamentos de diagnóstico, suprimentos, etc., conforme necessário. As funções diárias podem incluir inspecionar veículos, máquinas e equipamentos para garantir seu pleno funcionamento; limpar e lubrificar veículos e outros equipamentos e ferramentas; manter a área de manutenção limpa e segura, garantindo que todos os equipamentos de diagnóstico, suprimentos, ferramentas, equipamentos de manutenção grandes e pequenos, fluidos e suprimentos estejam armazenados e posicionados conforme necessário. Classificação da Função: 49-9098.00 - Ajudantes - Trabalhadores de Instalação, Manutenção e Reparo. A classificação e descrição da função/setor inclui informações gerais sobre o cargo, de acordo com o ONET/OES e o Sistema de Classificação Industrial da América do Norte (NAICS). Consulte as Funções e a Ordem de Serviço para obter mais informações. Requisitos da Função: Experiência Necessária: Sim. Meses de Experiência Necessários: 6. Requisitos Especiais: Carteira de Habilitação. Aprovação em verificação de antecedentes e teste toxicológico. Número de Horas por Semana: 45. Horário de Trabalho (Início/Término): 16h00 - 01h00.</v>
      </c>
    </row>
    <row r="441" ht="20.25" customHeight="1">
      <c r="A441" s="8" t="s">
        <v>2296</v>
      </c>
      <c r="B441" s="8" t="s">
        <v>1410</v>
      </c>
      <c r="C441" s="8" t="s">
        <v>1411</v>
      </c>
      <c r="D441" s="8" t="s">
        <v>663</v>
      </c>
      <c r="E441" s="9" t="s">
        <v>44</v>
      </c>
      <c r="F441" s="9" t="s">
        <v>20</v>
      </c>
      <c r="G441" s="9" t="s">
        <v>1412</v>
      </c>
      <c r="H441" s="8" t="s">
        <v>1413</v>
      </c>
      <c r="I441" s="8" t="s">
        <v>1414</v>
      </c>
      <c r="J441" s="9">
        <v>20.55</v>
      </c>
      <c r="K441" s="9">
        <v>4.0</v>
      </c>
      <c r="L441" s="8" t="s">
        <v>2101</v>
      </c>
      <c r="M441" s="8" t="s">
        <v>2102</v>
      </c>
      <c r="N441" s="7" t="str">
        <f>IFERROR(__xludf.DUMMYFUNCTION("GOOGLETRANSLATE(L441, ""en"", ""pt"")"),"Técnico de Manutenção")</f>
        <v>Técnico de Manutenção</v>
      </c>
      <c r="O441" s="7" t="str">
        <f>IFERROR(__xludf.DUMMYFUNCTION("IF(M441="""","""",GOOGLETRANSLATE(M441,""en"",""pt""))"),"Auxiliar mecânicos experientes em tarefas menos complexas relacionadas à manutenção e reparo de veículos. Auxiliar os mecânicos no diagnóstico, exame, teste, ajuste e reparo de diversos veículos e equipamentos comerciais, como caminhonetes, conjuntos de c"&amp;"aminhão-trator pesado, caminhões com Peso Bruto Total (PBT) superior a 11.793 kg (26.001 libras), carregadeiras, reboques e outras máquinas e equipamentos relacionados, conforme necessário. Segurar ou fornecer ferramentas e peças para trabalhadores mais q"&amp;"ualificados. Posicionar veículos e outros objetos, como ferramentas, equipamentos de diagnóstico, suprimentos, etc., conforme necessário. As funções diárias podem incluir inspecionar veículos, máquinas e equipamentos para garantir seu pleno funcionamento;"&amp;" limpar e lubrificar veículos e outros equipamentos e ferramentas; manter a área de manutenção limpa e segura, garantindo que todos os equipamentos de diagnóstico, suprimentos, ferramentas, equipamentos de manutenção grandes e pequenos, fluidos e suprimen"&amp;"tos estejam armazenados e posicionados conforme necessário. Classificação da Função: 49-9098.00 - Ajudantes - Trabalhadores de Instalação, Manutenção e Reparo. A classificação e descrição da função/setor inclui informações gerais sobre o cargo, de acordo "&amp;"com o ONET/OES e o Sistema de Classificação Industrial da América do Norte (NAICS). Consulte as Funções e a Ordem de Serviço para obter mais informações. Requisitos da Função: Experiência Necessária: Sim. Meses de Experiência Necessários: 6. Requisitos Es"&amp;"peciais: Carteira de Habilitação. Aprovação em verificação de antecedentes e teste toxicológico. Número de Horas por Semana: 45. Horário de Trabalho (Início/Término): 16h00 - 01h00.")</f>
        <v>Auxiliar mecânicos experientes em tarefas menos complexas relacionadas à manutenção e reparo de veículos. Auxiliar os mecânicos no diagnóstico, exame, teste, ajuste e reparo de diversos veículos e equipamentos comerciais, como caminhonetes, conjuntos de caminhão-trator pesado, caminhões com Peso Bruto Total (PBT) superior a 11.793 kg (26.001 libras), carregadeiras, reboques e outras máquinas e equipamentos relacionados, conforme necessário. Segurar ou fornecer ferramentas e peças para trabalhadores mais qualificados. Posicionar veículos e outros objetos, como ferramentas, equipamentos de diagnóstico, suprimentos, etc., conforme necessário. As funções diárias podem incluir inspecionar veículos, máquinas e equipamentos para garantir seu pleno funcionamento; limpar e lubrificar veículos e outros equipamentos e ferramentas; manter a área de manutenção limpa e segura, garantindo que todos os equipamentos de diagnóstico, suprimentos, ferramentas, equipamentos de manutenção grandes e pequenos, fluidos e suprimentos estejam armazenados e posicionados conforme necessário. Classificação da Função: 49-9098.00 - Ajudantes - Trabalhadores de Instalação, Manutenção e Reparo. A classificação e descrição da função/setor inclui informações gerais sobre o cargo, de acordo com o ONET/OES e o Sistema de Classificação Industrial da América do Norte (NAICS). Consulte as Funções e a Ordem de Serviço para obter mais informações. Requisitos da Função: Experiência Necessária: Sim. Meses de Experiência Necessários: 6. Requisitos Especiais: Carteira de Habilitação. Aprovação em verificação de antecedentes e teste toxicológico. Número de Horas por Semana: 45. Horário de Trabalho (Início/Término): 16h00 - 01h00.</v>
      </c>
    </row>
    <row r="442" ht="20.25" customHeight="1">
      <c r="A442" s="3" t="s">
        <v>2297</v>
      </c>
      <c r="B442" s="3" t="s">
        <v>2104</v>
      </c>
      <c r="C442" s="3" t="s">
        <v>17</v>
      </c>
      <c r="D442" s="3" t="s">
        <v>602</v>
      </c>
      <c r="E442" s="4" t="s">
        <v>19</v>
      </c>
      <c r="F442" s="4" t="s">
        <v>20</v>
      </c>
      <c r="G442" s="4" t="s">
        <v>404</v>
      </c>
      <c r="H442" s="3" t="s">
        <v>2105</v>
      </c>
      <c r="I442" s="3"/>
      <c r="J442" s="4">
        <v>22.07</v>
      </c>
      <c r="K442" s="4">
        <v>1.0</v>
      </c>
      <c r="L442" s="3" t="s">
        <v>2298</v>
      </c>
      <c r="M442" s="3" t="s">
        <v>2299</v>
      </c>
      <c r="N442" s="7" t="str">
        <f>IFERROR(__xludf.DUMMYFUNCTION("GOOGLETRANSLATE(L442, ""en"", ""pt"")"),"Sommelier")</f>
        <v>Sommelier</v>
      </c>
      <c r="O442" s="7" t="str">
        <f>IFERROR(__xludf.DUMMYFUNCTION("IF(M442="""","""",GOOGLETRANSLATE(M442,""en"",""pt""))"),"As funções de um sommelier incluem auxiliar clientes e garçons na seleção de harmonizações de vinhos, adquirir e gerenciar vinhos e conduzir o serviço de vinhos. Um sommelier de sucesso possui um conhecimento profundo de vinhos, bem como a capacidade de r"&amp;"ecordar e compartilhar rapidamente informações complexas sobre diferentes tipos de vinhos, harmonizações e notas de degustação. Sua principal responsabilidade é promover as vendas de vinhos por meio da educação da equipe e dos clientes, encomendando vinho"&amp;"s, mantendo o estoque, criando cartas de vinhos e escrevendo descrições, sugerindo harmonizações de comida e vinho para garçons e clientes, recomendando vinhos com base nas preferências dos clientes e conduzindo degustações para a equipe e os clientes. Cl"&amp;"assificação da Função: 35-3031.00 - Garçons e Garçonetes. A classificação e descrição da função/setor inclui informações gerais sobre o cargo, de acordo com o ONET/OES e o Sistema de Classificação Industrial da América do Norte. Consulte as Funções e a Or"&amp;"dem de Serviço para obter mais informações. Requisitos da Função: Experiência Necessária: Sim. Meses de Experiência Necessários: 12. Requisitos Especiais: Requer doze meses de experiência como sommelier ou em função similar de atendimento ao cliente. É ne"&amp;"cessário falar inglês fluentemente. É preciso ser capaz de levantar/carregar até 23 kg (50 lbs), quando necessário. O empregador pagará o exame toxicológico pós-contratação para funcionários estrangeiros e nacionais em caso de suspeita de uso. A jornada d"&amp;"e trabalho será variável e incluirá noites, feriados, sábados e domingos. O trabalho poderá ser realizado em qualquer dia da semana, de segunda a domingo. Os turnos podem variar. O empregador poderá oferecer mais horas de trabalho do que as estipuladas, d"&amp;"ependendo das condições climáticas, das necessidades da empresa e de outras circunstâncias. Calor extremo, frio, chuva ou seca podem afetar o horário de trabalho exato. Número de horas por semana: 35. Horário de trabalho (início/término): 15h00 - 22h30.")</f>
        <v>As funções de um sommelier incluem auxiliar clientes e garçons na seleção de harmonizações de vinhos, adquirir e gerenciar vinhos e conduzir o serviço de vinhos. Um sommelier de sucesso possui um conhecimento profundo de vinhos, bem como a capacidade de recordar e compartilhar rapidamente informações complexas sobre diferentes tipos de vinhos, harmonizações e notas de degustação. Sua principal responsabilidade é promover as vendas de vinhos por meio da educação da equipe e dos clientes, encomendando vinhos, mantendo o estoque, criando cartas de vinhos e escrevendo descrições, sugerindo harmonizações de comida e vinho para garçons e clientes, recomendando vinhos com base nas preferências dos clientes e conduzindo degustações para a equipe e os clientes. Classificação da Função: 35-3031.00 - Garçons e Garçonetes. A classificação e descrição da função/setor inclui informações gerais sobre o cargo, de acordo com o ONET/OES e o Sistema de Classificação Industrial da América do Norte. Consulte as Funções e a Ordem de Serviço para obter mais informações. Requisitos da Função: Experiência Necessária: Sim. Meses de Experiência Necessários: 12. Requisitos Especiais: Requer doze meses de experiência como sommelier ou em função similar de atendimento ao cliente. É necessário falar inglês fluentemente. É preciso ser capaz de levantar/carregar até 23 kg (50 lbs), quando necessário. O empregador pagará o exame toxicológico pós-contratação para funcionários estrangeiros e nacionais em caso de suspeita de uso. A jornada de trabalho será variável e incluirá noites, feriados, sábados e domingos. O trabalho poderá ser realizado em qualquer dia da semana, de segunda a domingo. Os turnos podem variar. O empregador poderá oferecer mais horas de trabalho do que as estipuladas, dependendo das condições climáticas, das necessidades da empresa e de outras circunstâncias. Calor extremo, frio, chuva ou seca podem afetar o horário de trabalho exato. Número de horas por semana: 35. Horário de trabalho (início/término): 15h00 - 22h30.</v>
      </c>
    </row>
    <row r="443" ht="20.25" customHeight="1">
      <c r="A443" s="8" t="s">
        <v>2300</v>
      </c>
      <c r="B443" s="8" t="s">
        <v>2301</v>
      </c>
      <c r="C443" s="8" t="s">
        <v>63</v>
      </c>
      <c r="D443" s="8" t="s">
        <v>306</v>
      </c>
      <c r="E443" s="9" t="s">
        <v>44</v>
      </c>
      <c r="F443" s="9" t="s">
        <v>20</v>
      </c>
      <c r="G443" s="9" t="s">
        <v>896</v>
      </c>
      <c r="H443" s="8" t="s">
        <v>2302</v>
      </c>
      <c r="I443" s="8" t="s">
        <v>2303</v>
      </c>
      <c r="J443" s="9">
        <v>19.93</v>
      </c>
      <c r="K443" s="9">
        <v>24.0</v>
      </c>
      <c r="L443" s="8" t="s">
        <v>2304</v>
      </c>
      <c r="M443" s="8" t="s">
        <v>2305</v>
      </c>
      <c r="N443" s="7" t="str">
        <f>IFERROR(__xludf.DUMMYFUNCTION("GOOGLETRANSLATE(L443, ""en"", ""pt"")"),"Técnico de Irrigação")</f>
        <v>Técnico de Irrigação</v>
      </c>
      <c r="O443" s="7" t="str">
        <f>IFERROR(__xludf.DUMMYFUNCTION("IF(M443="""","""",GOOGLETRANSLATE(M443,""en"",""pt""))"),"Paisagismo e manutenção de terrenos utilizando ferramentas manuais ou elétricas. Os trabalhadores geralmente executam uma variedade de tarefas, que podem incluir qualquer combinação das seguintes: preparação de sistemas de irrigação de gramados para o inv"&amp;"erno e realização de reparos nos sistemas, conforme necessário. Nível inicial, requer supervisão. Classificação do Cargo: 37-3011.00 - Trabalhadores de Paisagismo e Manutenção de Terrenos. A classificação e descrição do cargo/setor incluem informações ger"&amp;"ais sobre a posição, de acordo com o ONET/OES e o Sistema de Classificação Industrial da América do Norte (NAICS). Consulte as Funções e a Ordem de Serviço para obter mais informações. Requisitos do Cargo Experiência Necessária: Não. Requisitos Especiais:"&amp;" Deve ser capaz de levantar/carregar 23 kg, quando necessário. Trabalho aos sábados, quando necessário. O empregador pode oferecer mais horas de trabalho do que as indicadas, dependendo do clima, das necessidades da empresa e de outras condições. Calor ex"&amp;"tremo, frio, chuva ou seca podem afetar o horário de trabalho exato. Número de Horas por Semana: 40. Horário de Trabalho (Início/Término): 6h30 - 15h.")</f>
        <v>Paisagismo e manutenção de terrenos utilizando ferramentas manuais ou elétricas. Os trabalhadores geralmente executam uma variedade de tarefas, que podem incluir qualquer combinação das seguintes: preparação de sistemas de irrigação de gramados para o inverno e realização de reparos nos sistemas, conforme necessário. Nível inicial, requer supervisão. Classificação do Cargo: 37-3011.00 - Trabalhadores de Paisagismo e Manutenção de Terrenos. A classificação e descrição do cargo/setor incluem informações gerais sobre a posição, de acordo com o ONET/OES e o Sistema de Classificação Industrial da América do Norte (NAICS). Consulte as Funções e a Ordem de Serviço para obter mais informações. Requisitos do Cargo Experiência Necessária: Não. Requisitos Especiais: Deve ser capaz de levantar/carregar 23 kg, quando necessário. Trabalho aos sábados, quando necessário. O empregador pode oferecer mais horas de trabalho do que as indicadas, dependendo do clima, das necessidades da empresa e de outras condições. Calor extremo, frio, chuva ou seca podem afetar o horário de trabalho exato. Número de Horas por Semana: 40. Horário de Trabalho (Início/Término): 6h30 - 15h.</v>
      </c>
    </row>
    <row r="444" ht="20.25" customHeight="1">
      <c r="A444" s="3" t="s">
        <v>2306</v>
      </c>
      <c r="B444" s="3" t="s">
        <v>2307</v>
      </c>
      <c r="C444" s="3" t="s">
        <v>708</v>
      </c>
      <c r="D444" s="3" t="s">
        <v>71</v>
      </c>
      <c r="E444" s="4" t="s">
        <v>44</v>
      </c>
      <c r="F444" s="4" t="s">
        <v>20</v>
      </c>
      <c r="G444" s="4" t="s">
        <v>345</v>
      </c>
      <c r="H444" s="3" t="s">
        <v>2308</v>
      </c>
      <c r="I444" s="3" t="s">
        <v>2309</v>
      </c>
      <c r="J444" s="4">
        <v>18.44</v>
      </c>
      <c r="K444" s="4">
        <v>14.0</v>
      </c>
      <c r="L444" s="3" t="s">
        <v>586</v>
      </c>
      <c r="M444" s="3" t="s">
        <v>2310</v>
      </c>
      <c r="N444" s="7" t="str">
        <f>IFERROR(__xludf.DUMMYFUNCTION("GOOGLETRANSLATE(L444, ""en"", ""pt"")"),"Cozinheiro de linha")</f>
        <v>Cozinheiro de linha</v>
      </c>
      <c r="O444" s="7" t="str">
        <f>IFERROR(__xludf.DUMMYFUNCTION("IF(M444="""","""",GOOGLETRANSLATE(M444,""en"",""pt""))"),"O cozinheiro de linha será responsável por preparar, temperar e cozinhar sopas, carnes, legumes, sobremesas e outros itens alimentícios em um restaurante. Também será responsável pela limpeza da cozinha, incluindo a lavagem de louças, panelas e outros ute"&amp;"nsílios necessários para o bom funcionamento da cozinha. Além disso, poderá preparar alimentos frescos em estações de serviço rápido e buffets durante refeições e eventos. Suas responsabilidades podem incluir auxiliar na montagem e desmontagem de áreas pa"&amp;"ra banquetes e eventos, organizando mesas e cadeiras, colocando toalhas de mesa, talheres, copos, utensílios de servir, centros de mesa e estações de buffet, recolhendo itens de serviço, guardando equipamentos e limpando a área. Os funcionários utilizam e"&amp;"quipamentos e materiais padrão, incluindo mesas, cadeiras, toalhas de mesa, estações de serviço, bandejas, carrinhos, copos, talheres, louças, utensílios de servir, centros de mesa e produtos de limpeza. Não são utilizadas máquinas ou equipamentos especia"&amp;"lizados. Classificação da Função: 53-7062.00 - Operários e Movimentadores de Carga, Estoque e Materiais. A classificação e descrição da função/setor inclui informações gerais sobre o cargo, de acordo com o ONET/OES e o Sistema de Classificação Industrial "&amp;"da América do Norte (NAICS). Consulte as Funções e a Ordem de Serviço para obter mais informações. Requisitos da Função Experiência Necessária: Sim Meses de Experiência Necessários: 6 Requisitos Especiais: Aprovação em exame toxicológico pré-admissional, "&amp;"conforme a política de contratação da empresa vigente no momento da admissão. Capacidade de ler, escrever e se comunicar com clareza. Número de Horas por Semana: 35 Horário de Trabalho (Início/Término): 8h30 - 21h00")</f>
        <v>O cozinheiro de linha será responsável por preparar, temperar e cozinhar sopas, carnes, legumes, sobremesas e outros itens alimentícios em um restaurante. Também será responsável pela limpeza da cozinha, incluindo a lavagem de louças, panelas e outros utensílios necessários para o bom funcionamento da cozinha. Além disso, poderá preparar alimentos frescos em estações de serviço rápido e buffets durante refeições e eventos. Suas responsabilidades podem incluir auxiliar na montagem e desmontagem de áreas para banquetes e eventos, organizando mesas e cadeiras, colocando toalhas de mesa, talheres, copos, utensílios de servir, centros de mesa e estações de buffet, recolhendo itens de serviço, guardando equipamentos e limpando a área. Os funcionários utilizam equipamentos e materiais padrão, incluindo mesas, cadeiras, toalhas de mesa, estações de serviço, bandejas, carrinhos, copos, talheres, louças, utensílios de servir, centros de mesa e produtos de limpeza. Não são utilizadas máquinas ou equipamentos especializados. Classificação da Função: 53-7062.00 - Operários e Movimentadores de Carga, Estoque e Materiais. A classificação e descrição da função/setor inclui informações gerais sobre o cargo, de acordo com o ONET/OES e o Sistema de Classificação Industrial da América do Norte (NAICS). Consulte as Funções e a Ordem de Serviço para obter mais informações. Requisitos da Função Experiência Necessária: Sim Meses de Experiência Necessários: 6 Requisitos Especiais: Aprovação em exame toxicológico pré-admissional, conforme a política de contratação da empresa vigente no momento da admissão. Capacidade de ler, escrever e se comunicar com clareza. Número de Horas por Semana: 35 Horário de Trabalho (Início/Término): 8h30 - 21h00</v>
      </c>
    </row>
    <row r="445" ht="20.25" customHeight="1">
      <c r="A445" s="3" t="s">
        <v>2311</v>
      </c>
      <c r="B445" s="3" t="s">
        <v>2312</v>
      </c>
      <c r="C445" s="3" t="s">
        <v>93</v>
      </c>
      <c r="D445" s="3" t="s">
        <v>109</v>
      </c>
      <c r="E445" s="4" t="s">
        <v>19</v>
      </c>
      <c r="F445" s="4" t="s">
        <v>20</v>
      </c>
      <c r="G445" s="4" t="s">
        <v>146</v>
      </c>
      <c r="H445" s="19" t="s">
        <v>2313</v>
      </c>
      <c r="I445" s="3" t="s">
        <v>2314</v>
      </c>
      <c r="J445" s="4">
        <v>19.86</v>
      </c>
      <c r="K445" s="4">
        <v>6.0</v>
      </c>
      <c r="L445" s="3" t="s">
        <v>59</v>
      </c>
      <c r="M445" s="3" t="s">
        <v>2315</v>
      </c>
      <c r="N445" s="7" t="str">
        <f>IFERROR(__xludf.DUMMYFUNCTION("GOOGLETRANSLATE(L445, ""en"", ""pt"")"),"Trabalhador de paisagismo")</f>
        <v>Trabalhador de paisagismo</v>
      </c>
      <c r="O445" s="7" t="str">
        <f>IFERROR(__xludf.DUMMYFUNCTION("IF(M445="""","""",GOOGLETRANSLATE(M445,""en"",""pt""))"),"Cortar grama, podar arbustos/sebes, plantar flores/árvores, capinar, aplicar cobertura morta, cavar buracos para plantas/flores, remover detritos, operar equipamentos motorizados como cortadores de grama e aparadores, fazer manutenção de sistemas de irrig"&amp;"ação. Classificação da vaga: 37-3011.00 - Trabalhadores de Paisagismo e Jardinagem. A classificação e descrição da vaga/setor incluem informações gerais sobre o cargo, de acordo com o ONET/OES e o Sistema de Classificação Industrial da América do Norte. C"&amp;"onsulte as Funções e a Ordem de Serviço para obter mais informações. Requisitos da vaga: Experiência necessária: Sim. Meses de experiência necessários: 3. Requisitos especiais: Requer três meses de experiência prévia em paisagismo. Deve ser capaz de levan"&amp;"tar/carregar 23 kg, quando necessário. Trabalho aos sábados e domingos, quando necessário. Testes aleatórios de drogas após a contratação, após acidentes e em caso de suspeita de uso são obrigatórios para trabalhadores estrangeiros e nacionais. O empregad"&amp;"or pode oferecer mais horas de trabalho do que as estipuladas, dependendo do clima, das necessidades da empresa e de outras condições. Calor extremo, frio, chuva ou seca podem afetar o horário de trabalho exato. Número de horas por semana: 40 Horário de t"&amp;"rabalho (início/término): 7h00 - 16h00")</f>
        <v>Cortar grama, podar arbustos/sebes, plantar flores/árvores, capinar, aplicar cobertura morta, cavar buracos para plantas/flores, remover detritos, operar equipamentos motorizados como cortadores de grama e aparadores, fazer manutenção de sistemas de irrigação. Classificação da vaga: 37-3011.00 - Trabalhadores de Paisagismo e Jardinagem. A classificação e descrição da vaga/setor incluem informações gerais sobre o cargo, de acordo com o ONET/OES e o Sistema de Classificação Industrial da América do Norte. Consulte as Funções e a Ordem de Serviço para obter mais informações. Requisitos da vaga: Experiência necessária: Sim. Meses de experiência necessários: 3. Requisitos especiais: Requer três meses de experiência prévia em paisagismo. Deve ser capaz de levantar/carregar 23 kg, quando necessário. Trabalho aos sábados e domingos, quando necessário. Testes aleatórios de drogas após a contratação, após acidentes e em caso de suspeita de uso são obrigatórios para trabalhadores estrangeiros e nacionais. O empregador pode oferecer mais horas de trabalho do que as estipuladas, dependendo do clima, das necessidades da empresa e de outras condições. Calor extremo, frio, chuva ou seca podem afetar o horário de trabalho exato. Número de horas por semana: 40 Horário de trabalho (início/término): 7h00 - 16h00</v>
      </c>
    </row>
    <row r="446" ht="20.25" customHeight="1">
      <c r="A446" s="3" t="s">
        <v>2316</v>
      </c>
      <c r="B446" s="3" t="s">
        <v>2317</v>
      </c>
      <c r="C446" s="3" t="s">
        <v>17</v>
      </c>
      <c r="D446" s="3" t="s">
        <v>71</v>
      </c>
      <c r="E446" s="4" t="s">
        <v>19</v>
      </c>
      <c r="F446" s="4" t="s">
        <v>20</v>
      </c>
      <c r="G446" s="4" t="s">
        <v>56</v>
      </c>
      <c r="H446" s="3" t="s">
        <v>2318</v>
      </c>
      <c r="I446" s="3" t="s">
        <v>2319</v>
      </c>
      <c r="J446" s="4">
        <v>18.23</v>
      </c>
      <c r="K446" s="4">
        <v>3.0</v>
      </c>
      <c r="L446" s="3" t="s">
        <v>2320</v>
      </c>
      <c r="M446" s="3" t="s">
        <v>2321</v>
      </c>
      <c r="N446" s="7" t="str">
        <f>IFERROR(__xludf.DUMMYFUNCTION("GOOGLETRANSLATE(L446, ""en"", ""pt"")"),"Trabalhadores de manutenção de terrenos")</f>
        <v>Trabalhadores de manutenção de terrenos</v>
      </c>
      <c r="O446" s="7" t="str">
        <f>IFERROR(__xludf.DUMMYFUNCTION("IF(M446="""","""",GOOGLETRANSLATE(M446,""en"",""pt""))"),"Paisagismo e manutenção de terrenos utilizando ferramentas manuais ou elétricas. Os trabalhadores geralmente executam uma variedade de tarefas, que podem incluir qualquer combinação das seguintes: colocação de grama, nivelamento, semeadura, corte de grama"&amp;", poda, plantio, irrigação, fertilização, escavação e rastelagem. Nível inicial, requer supervisão. Classificação da vaga: 37-3011.00 - Trabalhadores de Paisagismo e Manutenção de Terrenos. A classificação e descrição da vaga/setor incluem informações ger"&amp;"ais sobre o cargo, de acordo com o ONET/OES e o Sistema de Classificação Industrial da América do Norte (NAICS). Consulte as Funções e a Ordem de Serviço para obter mais informações. Requisitos da vaga: Experiência necessária: Não. Requisitos especiais: D"&amp;"eve ser capaz de levantar/carregar 23 kg, quando necessário. Trabalho aos sábados e domingos, quando necessário. O empregador pode oferecer mais horas de trabalho do que as indicadas, dependendo do clima, das necessidades da empresa e de outras condições."&amp;" Calor extremo, frio, chuva ou seca podem afetar o horário de trabalho exato. Número de horas por semana: 40. Horário de trabalho (início/término): 6h. - 14h30")</f>
        <v>Paisagismo e manutenção de terrenos utilizando ferramentas manuais ou elétricas. Os trabalhadores geralmente executam uma variedade de tarefas, que podem incluir qualquer combinação das seguintes: colocação de grama, nivelamento, semeadura, corte de grama, poda, plantio, irrigação, fertilização, escavação e rastelagem. Nível inicial, requer supervisão. Classificação da vaga: 37-3011.00 - Trabalhadores de Paisagismo e Manutenção de Terrenos. A classificação e descrição da vaga/setor incluem informações gerais sobre o cargo, de acordo com o ONET/OES e o Sistema de Classificação Industrial da América do Norte (NAICS). Consulte as Funções e a Ordem de Serviço para obter mais informações. Requisitos da vaga: Experiência necessária: Não. Requisitos especiais: Deve ser capaz de levantar/carregar 23 kg, quando necessário. Trabalho aos sábados e domingos, quando necessário. O empregador pode oferecer mais horas de trabalho do que as indicadas, dependendo do clima, das necessidades da empresa e de outras condições. Calor extremo, frio, chuva ou seca podem afetar o horário de trabalho exato. Número de horas por semana: 40. Horário de trabalho (início/término): 6h. - 14h30</v>
      </c>
    </row>
    <row r="447" ht="20.25" customHeight="1">
      <c r="A447" s="8" t="s">
        <v>2322</v>
      </c>
      <c r="B447" s="8" t="s">
        <v>2323</v>
      </c>
      <c r="C447" s="8" t="s">
        <v>2324</v>
      </c>
      <c r="D447" s="8" t="s">
        <v>36</v>
      </c>
      <c r="E447" s="9" t="s">
        <v>19</v>
      </c>
      <c r="F447" s="9" t="s">
        <v>20</v>
      </c>
      <c r="G447" s="9" t="s">
        <v>345</v>
      </c>
      <c r="H447" s="8" t="s">
        <v>2325</v>
      </c>
      <c r="I447" s="8" t="s">
        <v>2326</v>
      </c>
      <c r="J447" s="9">
        <v>18.5</v>
      </c>
      <c r="K447" s="9">
        <v>75.0</v>
      </c>
      <c r="L447" s="8" t="s">
        <v>83</v>
      </c>
      <c r="M447" s="8" t="s">
        <v>2327</v>
      </c>
      <c r="N447" s="7" t="str">
        <f>IFERROR(__xludf.DUMMYFUNCTION("GOOGLETRANSLATE(L447, ""en"", ""pt"")"),"Trabalhador Florestal")</f>
        <v>Trabalhador Florestal</v>
      </c>
      <c r="O447" s="7" t="str">
        <f>IFERROR(__xludf.DUMMYFUNCTION("IF(M447="""","""",GOOGLETRANSLATE(M447,""en"",""pt""))"),"As funções podem incluir: Classificar mudas de árvores, descartando as de qualidade inferior, de acordo com tabelas padrão ou instruções verbais. Selecionar mudas de árvores, preparar o solo e plantá-las em áreas de reflorestamento. Manter áreas florestai"&amp;"s, identificando e removendo árvores doentes ou indesejáveis, além de realizar o desbaste pré-comercial. Utilizar ferramentas manuais como alavancas, enxadas, picaretas, ancinhos e pás. Poderá operar pequenas caminhonetes, motosserras, serras de poda e ou"&amp;"tras ferramentas relacionadas às atividades de Trabalhador Florestal, conforme SOC/OES 45-4011 (onetonline.org). Horário padrão/esperado: Segunda a sábado, das 8h às 16h. Oferece-se mais de 40 horas semanais, sem incluir o horário de almoço e/ou intervalo"&amp;"s. Possibilidade de trabalho em fins de semana e feriados. Os horários de início e término, a carga horária e/ou horas extras podem variar, pois dependem de fatores como projetos/cronograma/necessidades do serviço, condições climáticas e tempo de deslocam"&amp;"ento entre os locais de trabalho (se aplicável). Possibilidade de horas extras, mas não obrigatórias nem garantidas. A critério exclusivo do empregador: possíveis aumentos e/ou bônus com base em fatores individuais, como desempenho ou habilidades (não gar"&amp;"antidos). Os trabalhadores podem ser pagos por produção, a uma taxa de US$ 25,00 por acre. Moradia compartilhada opcional disponível sem custo para o trabalhador. Classificação da vaga: 45-4011.00 - Trabalhadores Florestais e de Conservação. A classificaç"&amp;"ão e a descrição da vaga/setor incluem informações gerais sobre o cargo, de acordo com o ONET/OES e o Sistema de Classificação Industrial da América do Norte. Consulte as Funções e a Ordem de Serviço para obter mais informações. Requisitos da vaga: Experi"&amp;"ência exigida: Não. Requisitos especiais: É necessário ter 18 anos devido a contratos governamentais. É necessário apresentar comprovante de autorização legal para trabalhar nos Estados Unidos. Ambiente de trabalho livre de drogas, álcool e tabaco. É nece"&amp;"ssário caminhar bastante (até 24 km/dia), além de se abaixar e se curvar carregando uma mochila (até 27 kg) em terrenos acidentados (fora de trilhas). Todos os candidatos devem ser capazes, estar dispostos e qualificados para executar o trabalho descrito "&amp;"e devem estar disponíveis durante todo o período especificado e trabalhar em todas as áreas da função pretendida. O trabalho é realizado ao ar livre, exposto às intempéries; o candidato deve ser capaz de realizar trabalho fisicamente extenuante por longos"&amp;" períodos, ocasionalmente em calor ou frio extremos. As condições climáticas são variáveis; a carga horária pode sofrer alterações (+/-), podendo haver períodos de inatividade e/ou horas extras. Número de horas por semana: 40. Horário de trabalho (início/"&amp;"término): 8h às 16h.")</f>
        <v>As funções podem incluir: Classificar mudas de árvores, descartando as de qualidade inferior, de acordo com tabelas padrão ou instruções verbais. Selecionar mudas de árvores, preparar o solo e plantá-las em áreas de reflorestamento. Manter áreas florestais, identificando e removendo árvores doentes ou indesejáveis, além de realizar o desbaste pré-comercial. Utilizar ferramentas manuais como alavancas, enxadas, picaretas, ancinhos e pás. Poderá operar pequenas caminhonetes, motosserras, serras de poda e outras ferramentas relacionadas às atividades de Trabalhador Florestal, conforme SOC/OES 45-4011 (onetonline.org). Horário padrão/esperado: Segunda a sábado, das 8h às 16h. Oferece-se mais de 40 horas semanais, sem incluir o horário de almoço e/ou intervalos. Possibilidade de trabalho em fins de semana e feriados. Os horários de início e término, a carga horária e/ou horas extras podem variar, pois dependem de fatores como projetos/cronograma/necessidades do serviço, condições climáticas e tempo de deslocamento entre os locais de trabalho (se aplicável). Possibilidade de horas extras, mas não obrigatórias nem garantidas. A critério exclusivo do empregador: possíveis aumentos e/ou bônus com base em fatores individuais, como desempenho ou habilidades (não garantidos). Os trabalhadores podem ser pagos por produção, a uma taxa de US$ 25,00 por acre. Moradia compartilhada opcional disponível sem custo para o trabalhador. Classificação da vaga: 45-4011.00 - Trabalhadores Florestais e de Conservação. A classificação e a descrição da vaga/setor incluem informações gerais sobre o cargo, de acordo com o ONET/OES e o Sistema de Classificação Industrial da América do Norte. Consulte as Funções e a Ordem de Serviço para obter mais informações. Requisitos da vaga: Experiência exigida: Não. Requisitos especiais: É necessário ter 18 anos devido a contratos governamentais. É necessário apresentar comprovante de autorização legal para trabalhar nos Estados Unidos. Ambiente de trabalho livre de drogas, álcool e tabaco. É necessário caminhar bastante (até 24 km/dia), além de se abaixar e se curvar carregando uma mochila (até 27 kg) em terrenos acidentados (fora de trilhas). Todos os candidatos devem ser capazes, estar dispostos e qualificados para executar o trabalho descrito e devem estar disponíveis durante todo o período especificado e trabalhar em todas as áreas da função pretendida. O trabalho é realizado ao ar livre, exposto às intempéries; o candidato deve ser capaz de realizar trabalho fisicamente extenuante por longos períodos, ocasionalmente em calor ou frio extremos. As condições climáticas são variáveis; a carga horária pode sofrer alterações (+/-), podendo haver períodos de inatividade e/ou horas extras. Número de horas por semana: 40. Horário de trabalho (início/término): 8h às 16h.</v>
      </c>
    </row>
    <row r="448" ht="20.25" customHeight="1">
      <c r="A448" s="3" t="s">
        <v>2328</v>
      </c>
      <c r="B448" s="3" t="s">
        <v>2329</v>
      </c>
      <c r="C448" s="3" t="s">
        <v>63</v>
      </c>
      <c r="D448" s="3" t="s">
        <v>71</v>
      </c>
      <c r="E448" s="4" t="s">
        <v>44</v>
      </c>
      <c r="F448" s="4" t="s">
        <v>20</v>
      </c>
      <c r="G448" s="4" t="s">
        <v>56</v>
      </c>
      <c r="H448" s="3" t="s">
        <v>1896</v>
      </c>
      <c r="I448" s="3" t="s">
        <v>2330</v>
      </c>
      <c r="J448" s="4">
        <v>17.78</v>
      </c>
      <c r="K448" s="4">
        <v>20.0</v>
      </c>
      <c r="L448" s="3" t="s">
        <v>321</v>
      </c>
      <c r="M448" s="3" t="s">
        <v>2331</v>
      </c>
      <c r="N448" s="7" t="str">
        <f>IFERROR(__xludf.DUMMYFUNCTION("GOOGLETRANSLATE(L448, ""en"", ""pt"")"),"Trabalhadores de paisagismo")</f>
        <v>Trabalhadores de paisagismo</v>
      </c>
      <c r="O448" s="7" t="str">
        <f>IFERROR(__xludf.DUMMYFUNCTION("IF(M448="""","""",GOOGLETRANSLATE(M448,""en"",""pt""))"),"Paisagismo e manutenção de terrenos utilizando ferramentas manuais ou elétricas. Os trabalhadores geralmente executam uma variedade de tarefas, que podem incluir qualquer combinação das seguintes: colocação de grama, cobertura morta, corte de grama, poda,"&amp;" plantio, rega, fertilização, escavação, rastelamento, remoção de lixo/detritos e instalação de blocos de concreto pré-moldado sem argamassa. Manutenção/reparo de ferramentas/equipamentos conforme necessário. Nível inicial; requer supervisão. Classificaçã"&amp;"o da vaga: 37-3011.00 - Trabalhadores de Paisagismo e Manutenção de Terrenos. A classificação e descrição da vaga/setor incluem informações gerais sobre o cargo, de acordo com o ONET/OES e o Sistema de Classificação Industrial da América do Norte (NAICS)."&amp;" Consulte as Funções e a Ordem de Serviço para obter mais informações. Requisitos da vaga: Experiência exigida: Não. Requisitos especiais: Deve ser capaz de levantar/carregar 23 kg, quando necessário. Trabalho aos sábados e domingos, quando necessário. Te"&amp;"ste antidrogas pago pelo empregador é obrigatório para trabalhadores estrangeiros e nacionais antes do início do trabalho e após a contratação, em caso de suspeita de uso e após acidente. A verificação de antecedentes após a contratação pode ser exigida d"&amp;"e trabalhadores estrangeiros e nacionais, de acordo com os requisitos contratuais. A verificação de elegibilidade para emprego (e-Verify) é obrigatória para trabalhadores estrangeiros e nacionais. A verificação do histórico de condução após a contratação "&amp;"é exigida apenas para trabalhadores estrangeiros e nacionais que dirigem veículos da empresa (dirigir não é um requisito para todos os funcionários da função). O empregador pode oferecer mais horas de trabalho do que as estipuladas, dependendo do clima, d"&amp;"as necessidades da empresa e de outras condições. Calor extremo, frio, chuva ou seca podem afetar o horário de trabalho exato. Número de horas por semana: 40. Horário de trabalho (início/término): 7h às 16h.")</f>
        <v>Paisagismo e manutenção de terrenos utilizando ferramentas manuais ou elétricas. Os trabalhadores geralmente executam uma variedade de tarefas, que podem incluir qualquer combinação das seguintes: colocação de grama, cobertura morta, corte de grama, poda, plantio, rega, fertilização, escavação, rastelamento, remoção de lixo/detritos e instalação de blocos de concreto pré-moldado sem argamassa. Manutenção/reparo de ferramentas/equipamentos conforme necessário. Nível inicial; requer supervisão. Classificação da vaga: 37-3011.00 - Trabalhadores de Paisagismo e Manutenção de Terrenos. A classificação e descrição da vaga/setor incluem informações gerais sobre o cargo, de acordo com o ONET/OES e o Sistema de Classificação Industrial da América do Norte (NAICS). Consulte as Funções e a Ordem de Serviço para obter mais informações. Requisitos da vaga: Experiência exigida: Não. Requisitos especiais: Deve ser capaz de levantar/carregar 23 kg, quando necessário. Trabalho aos sábados e domingos, quando necessário. Teste antidrogas pago pelo empregador é obrigatório para trabalhadores estrangeiros e nacionais antes do início do trabalho e após a contratação, em caso de suspeita de uso e após acidente. A verificação de antecedentes após a contratação pode ser exigida de trabalhadores estrangeiros e nacionais, de acordo com os requisitos contratuais. A verificação de elegibilidade para emprego (e-Verify) é obrigatória para trabalhadores estrangeiros e nacionais. A verificação do histórico de condução após a contratação é exigida apenas para trabalhadores estrangeiros e nacionais que dirigem veículos da empresa (dirigir não é um requisito para todos os funcionários da função). O empregador pode oferecer mais horas de trabalho do que as estipuladas, dependendo do clima, das necessidades da empresa e de outras condições. Calor extremo, frio, chuva ou seca podem afetar o horário de trabalho exato. Número de horas por semana: 40. Horário de trabalho (início/término): 7h às 16h.</v>
      </c>
    </row>
    <row r="449" ht="20.25" customHeight="1">
      <c r="A449" s="8" t="s">
        <v>2332</v>
      </c>
      <c r="B449" s="8" t="s">
        <v>2333</v>
      </c>
      <c r="C449" s="8" t="s">
        <v>63</v>
      </c>
      <c r="D449" s="8" t="s">
        <v>87</v>
      </c>
      <c r="E449" s="9" t="s">
        <v>19</v>
      </c>
      <c r="F449" s="9" t="s">
        <v>20</v>
      </c>
      <c r="G449" s="9" t="s">
        <v>56</v>
      </c>
      <c r="H449" s="8" t="s">
        <v>1896</v>
      </c>
      <c r="I449" s="8" t="s">
        <v>2128</v>
      </c>
      <c r="J449" s="9">
        <v>18.07</v>
      </c>
      <c r="K449" s="9">
        <v>12.0</v>
      </c>
      <c r="L449" s="8" t="s">
        <v>321</v>
      </c>
      <c r="M449" s="8" t="s">
        <v>2331</v>
      </c>
      <c r="N449" s="7" t="str">
        <f>IFERROR(__xludf.DUMMYFUNCTION("GOOGLETRANSLATE(L449, ""en"", ""pt"")"),"Trabalhadores de paisagismo")</f>
        <v>Trabalhadores de paisagismo</v>
      </c>
      <c r="O449" s="7" t="str">
        <f>IFERROR(__xludf.DUMMYFUNCTION("IF(M449="""","""",GOOGLETRANSLATE(M449,""en"",""pt""))"),"Paisagismo e manutenção de terrenos utilizando ferramentas manuais ou elétricas. Os trabalhadores geralmente executam uma variedade de tarefas, que podem incluir qualquer combinação das seguintes: colocação de grama, cobertura morta, corte de grama, poda,"&amp;" plantio, rega, fertilização, escavação, rastelamento, remoção de lixo/detritos e instalação de blocos de concreto pré-moldado sem argamassa. Manutenção/reparo de ferramentas/equipamentos conforme necessário. Nível inicial; requer supervisão. Classificaçã"&amp;"o da vaga: 37-3011.00 - Trabalhadores de Paisagismo e Manutenção de Terrenos. A classificação e descrição da vaga/setor incluem informações gerais sobre o cargo, de acordo com o ONET/OES e o Sistema de Classificação Industrial da América do Norte (NAICS)."&amp;" Consulte as Funções e a Ordem de Serviço para obter mais informações. Requisitos da vaga: Experiência exigida: Não. Requisitos especiais: Deve ser capaz de levantar/carregar 23 kg, quando necessário. Trabalho aos sábados e domingos, quando necessário. Te"&amp;"ste antidrogas pago pelo empregador é obrigatório para trabalhadores estrangeiros e nacionais antes do início do trabalho e após a contratação, em caso de suspeita de uso e após acidente. A verificação de antecedentes após a contratação pode ser exigida d"&amp;"e trabalhadores estrangeiros e nacionais, de acordo com os requisitos contratuais. A verificação de elegibilidade para emprego (e-Verify) é obrigatória para trabalhadores estrangeiros e nacionais. A verificação do histórico de condução após a contratação "&amp;"é exigida apenas para trabalhadores estrangeiros e nacionais que dirigem veículos da empresa (dirigir não é um requisito para todos os funcionários da função). O empregador pode oferecer mais horas de trabalho do que as estipuladas, dependendo do clima, d"&amp;"as necessidades da empresa e de outras condições. Calor extremo, frio, chuva ou seca podem afetar o horário de trabalho exato. Número de horas por semana: 40. Horário de trabalho (início/término): 7h às 16h.")</f>
        <v>Paisagismo e manutenção de terrenos utilizando ferramentas manuais ou elétricas. Os trabalhadores geralmente executam uma variedade de tarefas, que podem incluir qualquer combinação das seguintes: colocação de grama, cobertura morta, corte de grama, poda, plantio, rega, fertilização, escavação, rastelamento, remoção de lixo/detritos e instalação de blocos de concreto pré-moldado sem argamassa. Manutenção/reparo de ferramentas/equipamentos conforme necessário. Nível inicial; requer supervisão. Classificação da vaga: 37-3011.00 - Trabalhadores de Paisagismo e Manutenção de Terrenos. A classificação e descrição da vaga/setor incluem informações gerais sobre o cargo, de acordo com o ONET/OES e o Sistema de Classificação Industrial da América do Norte (NAICS). Consulte as Funções e a Ordem de Serviço para obter mais informações. Requisitos da vaga: Experiência exigida: Não. Requisitos especiais: Deve ser capaz de levantar/carregar 23 kg, quando necessário. Trabalho aos sábados e domingos, quando necessário. Teste antidrogas pago pelo empregador é obrigatório para trabalhadores estrangeiros e nacionais antes do início do trabalho e após a contratação, em caso de suspeita de uso e após acidente. A verificação de antecedentes após a contratação pode ser exigida de trabalhadores estrangeiros e nacionais, de acordo com os requisitos contratuais. A verificação de elegibilidade para emprego (e-Verify) é obrigatória para trabalhadores estrangeiros e nacionais. A verificação do histórico de condução após a contratação é exigida apenas para trabalhadores estrangeiros e nacionais que dirigem veículos da empresa (dirigir não é um requisito para todos os funcionários da função). O empregador pode oferecer mais horas de trabalho do que as estipuladas, dependendo do clima, das necessidades da empresa e de outras condições. Calor extremo, frio, chuva ou seca podem afetar o horário de trabalho exato. Número de horas por semana: 40. Horário de trabalho (início/término): 7h às 16h.</v>
      </c>
    </row>
    <row r="450" ht="20.25" customHeight="1">
      <c r="A450" s="3" t="s">
        <v>2334</v>
      </c>
      <c r="B450" s="3" t="s">
        <v>2335</v>
      </c>
      <c r="C450" s="3" t="s">
        <v>63</v>
      </c>
      <c r="D450" s="3" t="s">
        <v>18</v>
      </c>
      <c r="E450" s="4" t="s">
        <v>44</v>
      </c>
      <c r="F450" s="4" t="s">
        <v>20</v>
      </c>
      <c r="G450" s="4" t="s">
        <v>56</v>
      </c>
      <c r="H450" s="3" t="s">
        <v>1896</v>
      </c>
      <c r="I450" s="3" t="s">
        <v>2128</v>
      </c>
      <c r="J450" s="4">
        <v>17.55</v>
      </c>
      <c r="K450" s="4">
        <v>31.0</v>
      </c>
      <c r="L450" s="3" t="s">
        <v>321</v>
      </c>
      <c r="M450" s="3" t="s">
        <v>2129</v>
      </c>
      <c r="N450" s="7" t="str">
        <f>IFERROR(__xludf.DUMMYFUNCTION("GOOGLETRANSLATE(L450, ""en"", ""pt"")"),"Trabalhadores de paisagismo")</f>
        <v>Trabalhadores de paisagismo</v>
      </c>
      <c r="O450" s="7" t="str">
        <f>IFERROR(__xludf.DUMMYFUNCTION("IF(M450="""","""",GOOGLETRANSLATE(M450,""en"",""pt""))"),"Paisagismo e manutenção de terrenos utilizando ferramentas manuais ou elétricas. Os trabalhadores geralmente executam uma variedade de tarefas, que podem incluir qualquer combinação das seguintes: colocação de grama, corte de grama, cobertura morta, poda,"&amp;" plantio, irrigação, escavação e rastelagem; auxílio na instalação de sprinklers e na instalação de blocos de concreto pré-moldados sem argamassa. Manutenção/reparo de ferramentas/equipamentos conforme necessário. Nível inicial; requer supervisão. Classif"&amp;"icação da vaga: 37-3011.00 - Trabalhadores de Paisagismo e Manutenção de Terrenos. A classificação e descrição da vaga/setor incluem informações gerais sobre o cargo, de acordo com o ONET/OES e o Sistema de Classificação Industrial da América do Norte (NA"&amp;"ICS). Consulte as Funções e a Ordem de Serviço para obter mais informações. Requisitos da vaga: Experiência exigida: Não. Requisitos especiais: Deve ser capaz de levantar/carregar 23 kg, quando necessário. Trabalho aos sábados e domingos, quando necessári"&amp;"o. Teste antidrogas pago pelo empregador é obrigatório para trabalhadores estrangeiros e nacionais antes do início do trabalho e após a contratação, em caso de suspeita de uso e após acidente. A verificação de antecedentes após a contratação pode ser exig"&amp;"ida de trabalhadores estrangeiros e nacionais, de acordo com os requisitos contratuais. A verificação de elegibilidade para emprego (e-Verify) é obrigatória para trabalhadores estrangeiros e nacionais. A verificação do histórico de condução após a contrat"&amp;"ação é exigida apenas para trabalhadores estrangeiros e nacionais que dirigem veículos da empresa (dirigir não é um requisito para todos os funcionários da função). O empregador pode oferecer mais horas de trabalho do que as estipuladas, dependendo do cli"&amp;"ma, das necessidades da empresa e de outras condições. Calor extremo, frio, chuva ou seca podem afetar o horário de trabalho exato. Número de horas por semana: 40. Horário de trabalho (início/término): 7h às 16h.")</f>
        <v>Paisagismo e manutenção de terrenos utilizando ferramentas manuais ou elétricas. Os trabalhadores geralmente executam uma variedade de tarefas, que podem incluir qualquer combinação das seguintes: colocação de grama, corte de grama, cobertura morta, poda, plantio, irrigação, escavação e rastelagem; auxílio na instalação de sprinklers e na instalação de blocos de concreto pré-moldados sem argamassa. Manutenção/reparo de ferramentas/equipamentos conforme necessário. Nível inicial; requer supervisão. Classificação da vaga: 37-3011.00 - Trabalhadores de Paisagismo e Manutenção de Terrenos. A classificação e descrição da vaga/setor incluem informações gerais sobre o cargo, de acordo com o ONET/OES e o Sistema de Classificação Industrial da América do Norte (NAICS). Consulte as Funções e a Ordem de Serviço para obter mais informações. Requisitos da vaga: Experiência exigida: Não. Requisitos especiais: Deve ser capaz de levantar/carregar 23 kg, quando necessário. Trabalho aos sábados e domingos, quando necessário. Teste antidrogas pago pelo empregador é obrigatório para trabalhadores estrangeiros e nacionais antes do início do trabalho e após a contratação, em caso de suspeita de uso e após acidente. A verificação de antecedentes após a contratação pode ser exigida de trabalhadores estrangeiros e nacionais, de acordo com os requisitos contratuais. A verificação de elegibilidade para emprego (e-Verify) é obrigatória para trabalhadores estrangeiros e nacionais. A verificação do histórico de condução após a contratação é exigida apenas para trabalhadores estrangeiros e nacionais que dirigem veículos da empresa (dirigir não é um requisito para todos os funcionários da função). O empregador pode oferecer mais horas de trabalho do que as estipuladas, dependendo do clima, das necessidades da empresa e de outras condições. Calor extremo, frio, chuva ou seca podem afetar o horário de trabalho exato. Número de horas por semana: 40. Horário de trabalho (início/término): 7h às 16h.</v>
      </c>
    </row>
    <row r="451" ht="20.25" customHeight="1">
      <c r="A451" s="8" t="s">
        <v>2336</v>
      </c>
      <c r="B451" s="8" t="s">
        <v>2337</v>
      </c>
      <c r="C451" s="8" t="s">
        <v>2338</v>
      </c>
      <c r="D451" s="8" t="s">
        <v>71</v>
      </c>
      <c r="E451" s="9" t="s">
        <v>19</v>
      </c>
      <c r="F451" s="9" t="s">
        <v>20</v>
      </c>
      <c r="G451" s="9" t="s">
        <v>2339</v>
      </c>
      <c r="H451" s="8" t="s">
        <v>2340</v>
      </c>
      <c r="I451" s="8" t="s">
        <v>2341</v>
      </c>
      <c r="J451" s="9">
        <v>18.57</v>
      </c>
      <c r="K451" s="9">
        <v>9.0</v>
      </c>
      <c r="L451" s="8" t="s">
        <v>2342</v>
      </c>
      <c r="M451" s="8" t="s">
        <v>2343</v>
      </c>
      <c r="N451" s="7" t="str">
        <f>IFERROR(__xludf.DUMMYFUNCTION("GOOGLETRANSLATE(L451, ""en"", ""pt"")"),"Tratador de cavalos/cuidador de estábulo")</f>
        <v>Tratador de cavalos/cuidador de estábulo</v>
      </c>
      <c r="O451" s="7" t="str">
        <f>IFERROR(__xludf.DUMMYFUNCTION("IF(M451="""","""",GOOGLETRANSLATE(M451,""en"",""pt""))"),"Como tratador/auxiliar de estábulo, o profissional será responsável por auxiliar nos cuidados diários dos cavalos e na preparação para o treinamento. Suas responsabilidades incluem alimentar e dar água aos cavalos, limpar os arreios, dar banho, escovar e "&amp;"tosar os animais, colocar botas ortopédicas e prepará-los para o treinamento. Também será responsável por limpar os cascos, colocar e remover bandagens/botas e selar os cavalos para o treinamento. Além disso, deverá dar banho e refrescar os cavalos após o"&amp;" treinamento e exercício. Auxiliará o veterinário durante os exames físicos, mantendo o animal calmo e sob controle. Auxiliará os ferradores na inspeção, remoção, aplicação, ajuste e manutenção dos cascos e ferraduras, mantendo o animal calmo e sob contro"&amp;"le. Deverá limpar e trocar a cama das baias, refrescar os cavalos com água fria ou morna, aplicar bandagens ortopédicas ou compressas, conforme necessário, e exercitar/montar os cavalos, auxiliando o treinador na preparação dos animais para o treinamento "&amp;"diário. Classificação da Função: 39-2021.00 - Cuidadores de Animais. A classificação e descrição da função/setor inclui informações gerais sobre o cargo, de acordo com o ONET/OES e o Sistema de Classificação Industrial da América do Norte. Consulte as Fun"&amp;"ções e a Ordem de Serviço para obter mais informações. Requisitos da Função: Experiência Necessária: Sim. Meses de Experiência Necessários: 3. Requisitos Especiais: Turno dividido, das 5h às 10h e das 14h30 às 16h30 (de terça a domingo). Horas opcionais d"&amp;"isponíveis na segunda-feira, mas não obrigatórias. O horário pode variar de acordo com as condições climáticas e o calendário de corridas. Os funcionários devem ser capazes de levantar e carregar pesos de até 68 kg (150 lbs) com auxílio. Os funcionários d"&amp;"evem ter capacidade para levantar, carregar e movimentar equipamentos e materiais necessários para a execução das tarefas designadas. O empregador se baseará nas autodeclarações e observações dos funcionários para avaliar se eles atendem a esse requisito."&amp;" Não será oferecido treinamento no local de trabalho. O empregador fornecerá ao trabalhador, sem custos ou taxas de depósito, todas as ferramentas, suprimentos e equipamentos necessários para o desempenho das funções atribuídas, de acordo com o 20 CFR 655"&amp;".20(k). Testes aleatórios de drogas poderão ser exigidos após a contratação para todos os trabalhadores, tanto americanos/nacionais quanto trabalhadores com visto H-2B, às custas do empregador. Número de horas por semana: 40. Horário de trabalho (início/t"&amp;"érmino): 5h00 às 16h30.")</f>
        <v>Como tratador/auxiliar de estábulo, o profissional será responsável por auxiliar nos cuidados diários dos cavalos e na preparação para o treinamento. Suas responsabilidades incluem alimentar e dar água aos cavalos, limpar os arreios, dar banho, escovar e tosar os animais, colocar botas ortopédicas e prepará-los para o treinamento. Também será responsável por limpar os cascos, colocar e remover bandagens/botas e selar os cavalos para o treinamento. Além disso, deverá dar banho e refrescar os cavalos após o treinamento e exercício. Auxiliará o veterinário durante os exames físicos, mantendo o animal calmo e sob controle. Auxiliará os ferradores na inspeção, remoção, aplicação, ajuste e manutenção dos cascos e ferraduras, mantendo o animal calmo e sob controle. Deverá limpar e trocar a cama das baias, refrescar os cavalos com água fria ou morna, aplicar bandagens ortopédicas ou compressas, conforme necessário, e exercitar/montar os cavalos, auxiliando o treinador na preparação dos animais para o treinamento diário. Classificação da Função: 39-2021.00 - Cuidadores de Animais. A classificação e descrição da função/setor inclui informações gerais sobre o cargo, de acordo com o ONET/OES e o Sistema de Classificação Industrial da América do Norte. Consulte as Funções e a Ordem de Serviço para obter mais informações. Requisitos da Função: Experiência Necessária: Sim. Meses de Experiência Necessários: 3. Requisitos Especiais: Turno dividido, das 5h às 10h e das 14h30 às 16h30 (de terça a domingo). Horas opcionais disponíveis na segunda-feira, mas não obrigatórias. O horário pode variar de acordo com as condições climáticas e o calendário de corridas. Os funcionários devem ser capazes de levantar e carregar pesos de até 68 kg (150 lbs) com auxílio. Os funcionários devem ter capacidade para levantar, carregar e movimentar equipamentos e materiais necessários para a execução das tarefas designadas. O empregador se baseará nas autodeclarações e observações dos funcionários para avaliar se eles atendem a esse requisito. Não será oferecido treinamento no local de trabalho. O empregador fornecerá ao trabalhador, sem custos ou taxas de depósito, todas as ferramentas, suprimentos e equipamentos necessários para o desempenho das funções atribuídas, de acordo com o 20 CFR 655.20(k). Testes aleatórios de drogas poderão ser exigidos após a contratação para todos os trabalhadores, tanto americanos/nacionais quanto trabalhadores com visto H-2B, às custas do empregador. Número de horas por semana: 40. Horário de trabalho (início/término): 5h00 às 16h30.</v>
      </c>
    </row>
    <row r="452" ht="20.25" customHeight="1">
      <c r="A452" s="3" t="s">
        <v>2344</v>
      </c>
      <c r="B452" s="3" t="s">
        <v>2345</v>
      </c>
      <c r="C452" s="3" t="s">
        <v>2324</v>
      </c>
      <c r="D452" s="3" t="s">
        <v>79</v>
      </c>
      <c r="E452" s="4" t="s">
        <v>19</v>
      </c>
      <c r="F452" s="4" t="s">
        <v>20</v>
      </c>
      <c r="G452" s="4" t="s">
        <v>80</v>
      </c>
      <c r="H452" s="3" t="s">
        <v>2346</v>
      </c>
      <c r="I452" s="3" t="s">
        <v>2347</v>
      </c>
      <c r="J452" s="4">
        <v>17.68</v>
      </c>
      <c r="K452" s="4">
        <v>60.0</v>
      </c>
      <c r="L452" s="3" t="s">
        <v>83</v>
      </c>
      <c r="M452" s="3" t="s">
        <v>2348</v>
      </c>
      <c r="N452" s="7" t="str">
        <f>IFERROR(__xludf.DUMMYFUNCTION("GOOGLETRANSLATE(L452, ""en"", ""pt"")"),"Trabalhador Florestal")</f>
        <v>Trabalhador Florestal</v>
      </c>
      <c r="O452" s="7" t="str">
        <f>IFERROR(__xludf.DUMMYFUNCTION("IF(M452="""","""",GOOGLETRANSLATE(M452,""en"",""pt""))"),"As funções podem incluir: Sob supervisão, executar tarefas de apoio florestal, incluindo o cultivo e a seleção de mudas, o descarte de mudas de qualidade inferior de acordo com tabelas padrão ou instruções verbais e o transporte de mudas. Plantar mudas e "&amp;"árvores. Promover o crescimento por meio da aplicação de herbicidas e inseticidas para controlar vegetação concorrente e pragas. Podar árvores ou outra vegetação; cortar toras ou árvores. Reduzir o acúmulo de combustível para prevenção de incêndios por me"&amp;"io da limpeza, descarte e empilhamento de galhos. Abrir e construir aceiros. Pode operar veículos de trabalho e realizar outras atividades relacionadas ao trabalho florestal, conforme SOC/OES 45-4011 (onetonline.org). Horário padrão/esperado: Segunda a se"&amp;"xta, das 7h às 14h. Oferecendo mais de 40 horas semanais, sem incluir o horário de almoço e/ou intervalos. Possibilidade de trabalho nos fins de semana e feriados. Os horários de início e término, a carga horária e/ou horas extras podem variar, pois podem"&amp;" depender de outros fatores, como necessidades do projeto/cronograma/serviço, condições climáticas e tempo de deslocamento entre os locais de trabalho (se aplicável). Possibilidade de horas extras, mas não obrigatórias nem garantidas. A critério exclusivo"&amp;" do empregador: possíveis aumentos e/ou bônus com base em fatores individuais, como desempenho ou habilidades (não garantidos). Pagamento por produção pode ser aplicado: o trabalhador nunca receberá menos do que o Salário Vigente ou o salário mínimo feder"&amp;"al/estadual/municipal. Moradia compartilhada opcional disponível sem custo para o trabalhador. Classificação da vaga: 45-4011.00 - Trabalhadores Florestais e de Conservação. A classificação e descrição da vaga/setor incluem informações gerais sobre o carg"&amp;"o, de acordo com o ONET/OES e o Sistema de Classificação Industrial da América do Norte. Consulte as Funções e a Ordem de Serviço para obter mais informações. Requisitos da vaga: Experiência exigida: Não. Requisitos especiais: É necessário ter 18 anos dev"&amp;"ido ao seguro. É necessário apresentar comprovante de autorização legal para trabalhar nos Estados Unidos. Ambiente de trabalho livre de drogas, álcool e tabaco. É necessário caminhar bastante (até 24 km/dia), além de se abaixar e se curvar carregando uma"&amp;" mochila (até 18 kg) em terrenos acidentados (fora de trilhas). Todos os candidatos devem ser capazes, estar dispostos e qualificados para executar o trabalho descrito e devem estar disponíveis durante todo o período especificado e trabalhar em todas as á"&amp;"reas da empresa. O trabalho é realizado ao ar livre, exposto às intempéries; o candidato deve ser capaz de realizar trabalho fisicamente extenuante por longos períodos, ocasionalmente em calor ou frio extremos. As condições climáticas são variáveis; a car"&amp;"ga horária pode sofrer alterações (+/-), podendo haver períodos de inatividade e/ou horas extras. Número de horas por semana: 40. Horário de trabalho (início/término): 7h às 14h.")</f>
        <v>As funções podem incluir: Sob supervisão, executar tarefas de apoio florestal, incluindo o cultivo e a seleção de mudas, o descarte de mudas de qualidade inferior de acordo com tabelas padrão ou instruções verbais e o transporte de mudas. Plantar mudas e árvores. Promover o crescimento por meio da aplicação de herbicidas e inseticidas para controlar vegetação concorrente e pragas. Podar árvores ou outra vegetação; cortar toras ou árvores. Reduzir o acúmulo de combustível para prevenção de incêndios por meio da limpeza, descarte e empilhamento de galhos. Abrir e construir aceiros. Pode operar veículos de trabalho e realizar outras atividades relacionadas ao trabalho florestal, conforme SOC/OES 45-4011 (onetonline.org). Horário padrão/esperado: Segunda a sexta, das 7h às 14h. Oferecendo mais de 40 horas semanais, sem incluir o horário de almoço e/ou intervalos. Possibilidade de trabalho nos fins de semana e feriados. Os horários de início e término, a carga horária e/ou horas extras podem variar, pois podem depender de outros fatores, como necessidades do projeto/cronograma/serviço, condições climáticas e tempo de deslocamento entre os locais de trabalho (se aplicável). Possibilidade de horas extras, mas não obrigatórias nem garantidas. A critério exclusivo do empregador: possíveis aumentos e/ou bônus com base em fatores individuais, como desempenho ou habilidades (não garantidos). Pagamento por produção pode ser aplicado: o trabalhador nunca receberá menos do que o Salário Vigente ou o salário mínimo federal/estadual/municipal. Moradia compartilhada opcional disponível sem custo para o trabalhador. Classificação da vaga: 45-4011.00 - Trabalhadores Florestais e de Conservação. A classificação e descrição da vaga/setor incluem informações gerais sobre o cargo, de acordo com o ONET/OES e o Sistema de Classificação Industrial da América do Norte. Consulte as Funções e a Ordem de Serviço para obter mais informações. Requisitos da vaga: Experiência exigida: Não. Requisitos especiais: É necessário ter 18 anos devido ao seguro. É necessário apresentar comprovante de autorização legal para trabalhar nos Estados Unidos. Ambiente de trabalho livre de drogas, álcool e tabaco. É necessário caminhar bastante (até 24 km/dia), além de se abaixar e se curvar carregando uma mochila (até 18 kg) em terrenos acidentados (fora de trilhas). Todos os candidatos devem ser capazes, estar dispostos e qualificados para executar o trabalho descrito e devem estar disponíveis durante todo o período especificado e trabalhar em todas as áreas da empresa. O trabalho é realizado ao ar livre, exposto às intempéries; o candidato deve ser capaz de realizar trabalho fisicamente extenuante por longos períodos, ocasionalmente em calor ou frio extremos. As condições climáticas são variáveis; a carga horária pode sofrer alterações (+/-), podendo haver períodos de inatividade e/ou horas extras. Número de horas por semana: 40. Horário de trabalho (início/término): 7h às 14h.</v>
      </c>
    </row>
    <row r="453" ht="20.25" customHeight="1">
      <c r="A453" s="8" t="s">
        <v>2349</v>
      </c>
      <c r="B453" s="8" t="s">
        <v>2350</v>
      </c>
      <c r="C453" s="8" t="s">
        <v>169</v>
      </c>
      <c r="D453" s="8" t="s">
        <v>71</v>
      </c>
      <c r="E453" s="9" t="s">
        <v>19</v>
      </c>
      <c r="F453" s="9" t="s">
        <v>20</v>
      </c>
      <c r="G453" s="9" t="s">
        <v>94</v>
      </c>
      <c r="H453" s="8" t="s">
        <v>2351</v>
      </c>
      <c r="I453" s="8" t="s">
        <v>2352</v>
      </c>
      <c r="J453" s="9">
        <v>18.25</v>
      </c>
      <c r="K453" s="9">
        <v>8.0</v>
      </c>
      <c r="L453" s="8" t="s">
        <v>394</v>
      </c>
      <c r="M453" s="8" t="s">
        <v>2353</v>
      </c>
      <c r="N453" s="7" t="str">
        <f>IFERROR(__xludf.DUMMYFUNCTION("GOOGLETRANSLATE(L453, ""en"", ""pt"")"),"Membro da tripulação")</f>
        <v>Membro da tripulação</v>
      </c>
      <c r="O453" s="7" t="str">
        <f>IFERROR(__xludf.DUMMYFUNCTION("IF(M453="""","""",GOOGLETRANSLATE(M453,""en"",""pt""))"),"Instalar cobertura vegetal conforme designado nos canteiros. Instalar fibra de madeira engenheirada em playgrounds. Limpar as áreas onde a instalação da cobertura vegetal foi concluída com um soprador de folhas. Auxiliar os colegas de equipe puxando as ma"&amp;"ngueiras do soprador ao redor de obstáculos. Manter os equipamentos limpos e organizados. Carregar caminhões com material para instalação. Classificação do Cargo: 37-3011.00 - Trabalhadores de Paisagismo e Manutenção de Áreas Verdes. A classificação e des"&amp;"crição do cargo/setor inclui informações gerais sobre a posição, de acordo com o ONET/OES e o Sistema de Classificação Industrial da América do Norte (NAICS). Consulte as Funções e a Ordem de Serviço para obter mais informações. Requisitos do Cargo Experi"&amp;"ência Necessária: Não. Requisitos Especiais: Deve ser capaz de levantar/carregar 23 kg, quando necessário. Trabalho aos sábados e domingos, quando necessário. Testes aleatórios de drogas após a contratação são obrigatórios para trabalhadores estrangeiros "&amp;"e nacionais. Verificação de antecedentes e elegibilidade para emprego (e-Verify) após a contratação são obrigatórias para trabalhadores estrangeiros e nacionais. O empregador pode oferecer mais horas de trabalho do que as indicadas, dependendo do clima, d"&amp;"as necessidades da empresa e de outras condições. Calor extremo, frio, chuva ou seca podem afetar o horário de trabalho exato. Número de horas por semana: 52 Horário de trabalho (início/término): 6h00 - 17h00")</f>
        <v>Instalar cobertura vegetal conforme designado nos canteiros. Instalar fibra de madeira engenheirada em playgrounds. Limpar as áreas onde a instalação da cobertura vegetal foi concluída com um soprador de folhas. Auxiliar os colegas de equipe puxando as mangueiras do soprador ao redor de obstáculos. Manter os equipamentos limpos e organizados. Carregar caminhões com material para instalação. Classificação do Cargo: 37-3011.00 - Trabalhadores de Paisagismo e Manutenção de Áreas Verdes. A classificação e descrição do cargo/setor inclui informações gerais sobre a posição, de acordo com o ONET/OES e o Sistema de Classificação Industrial da América do Norte (NAICS). Consulte as Funções e a Ordem de Serviço para obter mais informações. Requisitos do Cargo Experiência Necessária: Não. Requisitos Especiais: Deve ser capaz de levantar/carregar 23 kg, quando necessário. Trabalho aos sábados e domingos, quando necessário. Testes aleatórios de drogas após a contratação são obrigatórios para trabalhadores estrangeiros e nacionais. Verificação de antecedentes e elegibilidade para emprego (e-Verify) após a contratação são obrigatórias para trabalhadores estrangeiros e nacionais. O empregador pode oferecer mais horas de trabalho do que as indicadas, dependendo do clima, das necessidades da empresa e de outras condições. Calor extremo, frio, chuva ou seca podem afetar o horário de trabalho exato. Número de horas por semana: 52 Horário de trabalho (início/término): 6h00 - 17h00</v>
      </c>
    </row>
    <row r="454" ht="20.25" customHeight="1">
      <c r="A454" s="3" t="s">
        <v>2354</v>
      </c>
      <c r="B454" s="3" t="s">
        <v>2355</v>
      </c>
      <c r="C454" s="3" t="s">
        <v>169</v>
      </c>
      <c r="D454" s="3" t="s">
        <v>64</v>
      </c>
      <c r="E454" s="4" t="s">
        <v>19</v>
      </c>
      <c r="F454" s="4" t="s">
        <v>20</v>
      </c>
      <c r="G454" s="4" t="s">
        <v>2356</v>
      </c>
      <c r="H454" s="3" t="s">
        <v>2357</v>
      </c>
      <c r="I454" s="3" t="s">
        <v>2358</v>
      </c>
      <c r="J454" s="4">
        <v>14.9</v>
      </c>
      <c r="K454" s="4">
        <v>45.0</v>
      </c>
      <c r="L454" s="3" t="s">
        <v>950</v>
      </c>
      <c r="M454" s="3" t="s">
        <v>2359</v>
      </c>
      <c r="N454" s="7" t="str">
        <f>IFERROR(__xludf.DUMMYFUNCTION("GOOGLETRANSLATE(L454, ""en"", ""pt"")"),"Plantadores de árvores")</f>
        <v>Plantadores de árvores</v>
      </c>
      <c r="O454" s="7" t="str">
        <f>IFERROR(__xludf.DUMMYFUNCTION("IF(M454="""","""",GOOGLETRANSLATE(M454,""en"",""pt""))"),"Trabalho manual itinerante de plantio de árvores, desbaste pré-comercial e aplicação de herbicidas para reflorestamento e manutenção de áreas florestais. Plantar mudas de árvores em padrões específicos, utilizando pá, enxada, plantador ou plantador manual"&amp;". Transportar as árvores em sacos próprios. Cavar buracos em intervalos predeterminados e inserir as mudas. Compactar o solo ao redor da planta com o pé e uma ferramenta de plantio. Selecionar o local ideal para o plantio, considerando o espaçamento, o ti"&amp;"po de solo e a necessidade de sombra. Deixar o solo exposto. Utilizar motosserra, roçadeira, serras de desbaste motorizadas ou outros equipamentos manuais para remover, desbastar e espaçar o excesso de árvores e outras vegetações. Limpar e cortar arbustos"&amp;" e outras vegetações das áreas de plantio. Pulverizar ou injetar herbicidas em árvores, arbustos e ervas daninhas para combater insetos, pragas e doenças prejudiciais, utilizando pulverizadores manuais ou motorizados ou uma ferramenta injetora. Cortar árv"&amp;"ores doentes, fracas ou indesejáveis ​​e, como atividade secundária, podar ou aparar as copas e os galhos das árvores para controlar o crescimento e aumentar a densidade, utilizando serra manual, serra elétrica e ferramentas de poda ou outros equipamentos"&amp;" manuais. Essas funções envolvem a propagação, proteção e manejo de áreas florestais. Contagem e verificação. O empregador pode pagar um valor fixo de US$ 25,00 por acre plantado corretamente ou o salário vigente na área de atuação pretendida, o que for m"&amp;"aior. Classificação da função: 45-4011.00 - Trabalhadores Florestais e de Conservação. A classificação e descrição da função/setor incluem informações gerais sobre o cargo, de acordo com o ONET/OES e o Sistema de Classificação Industrial da América do Nor"&amp;"te. Consulte as Funções e a Ordem de Serviço para obter mais informações. Requisitos da função: Experiência necessária: Não. Requisitos especiais: Não são necessários escolaridade ou experiência. É preciso ter 18 anos ou mais. Requer resistência física. C"&amp;"aminhadas extensas em terrenos acidentados. O trabalho é realizado ao ar livre, em temperaturas extremas e condições climáticas adversas. É preciso levantar e carregar 23 kg. Meta de produção de 1750 árvores plantadas corretamente por dia de 7 horas, após"&amp;" uma semana de treinamento em serviço. O horário e os locais de trabalho dependem das condições climáticas. Viagens com pernoite são necessárias. O empregador pode oferecer mais horas de trabalho do que as estipuladas, dependendo do clima, das necessidade"&amp;"s da empresa e de outras condições. Calor extremo, frio, chuva ou seca podem afetar o horário de trabalho exato. Número de horas por semana: 35. Horário de trabalho (início/término): 8h00 - 15h30.")</f>
        <v>Trabalho manual itinerante de plantio de árvores, desbaste pré-comercial e aplicação de herbicidas para reflorestamento e manutenção de áreas florestais. Plantar mudas de árvores em padrões específicos, utilizando pá, enxada, plantador ou plantador manual. Transportar as árvores em sacos próprios. Cavar buracos em intervalos predeterminados e inserir as mudas. Compactar o solo ao redor da planta com o pé e uma ferramenta de plantio. Selecionar o local ideal para o plantio, considerando o espaçamento, o tipo de solo e a necessidade de sombra. Deixar o solo exposto. Utilizar motosserra, roçadeira, serras de desbaste motorizadas ou outros equipamentos manuais para remover, desbastar e espaçar o excesso de árvores e outras vegetações. Limpar e cortar arbustos e outras vegetações das áreas de plantio. Pulverizar ou injetar herbicidas em árvores, arbustos e ervas daninhas para combater insetos, pragas e doenças prejudiciais, utilizando pulverizadores manuais ou motorizados ou uma ferramenta injetora. Cortar árvores doentes, fracas ou indesejáveis ​​e, como atividade secundária, podar ou aparar as copas e os galhos das árvores para controlar o crescimento e aumentar a densidade, utilizando serra manual, serra elétrica e ferramentas de poda ou outros equipamentos manuais. Essas funções envolvem a propagação, proteção e manejo de áreas florestais. Contagem e verificação. O empregador pode pagar um valor fixo de US$ 25,00 por acre plantado corretamente ou o salário vigente na área de atuação pretendida, o que for maior. Classificação da função: 45-4011.00 - Trabalhadores Florestais e de Conservação. A classificação e descrição da função/setor incluem informações gerais sobre o cargo, de acordo com o ONET/OES e o Sistema de Classificação Industrial da América do Norte. Consulte as Funções e a Ordem de Serviço para obter mais informações. Requisitos da função: Experiência necessária: Não. Requisitos especiais: Não são necessários escolaridade ou experiência. É preciso ter 18 anos ou mais. Requer resistência física. Caminhadas extensas em terrenos acidentados. O trabalho é realizado ao ar livre, em temperaturas extremas e condições climáticas adversas. É preciso levantar e carregar 23 kg. Meta de produção de 1750 árvores plantadas corretamente por dia de 7 horas, após uma semana de treinamento em serviço. O horário e os locais de trabalho dependem das condições climáticas. Viagens com pernoite são necessárias. O empregador pode oferecer mais horas de trabalho do que as estipuladas, dependendo do clima, das necessidades da empresa e de outras condições. Calor extremo, frio, chuva ou seca podem afetar o horário de trabalho exato. Número de horas por semana: 35. Horário de trabalho (início/término): 8h00 - 15h30.</v>
      </c>
    </row>
    <row r="455" ht="20.25" customHeight="1">
      <c r="A455" s="8" t="s">
        <v>2360</v>
      </c>
      <c r="B455" s="8" t="s">
        <v>2361</v>
      </c>
      <c r="C455" s="8" t="s">
        <v>169</v>
      </c>
      <c r="D455" s="8" t="s">
        <v>102</v>
      </c>
      <c r="E455" s="9" t="s">
        <v>44</v>
      </c>
      <c r="F455" s="9" t="s">
        <v>20</v>
      </c>
      <c r="G455" s="9" t="s">
        <v>377</v>
      </c>
      <c r="H455" s="8" t="s">
        <v>2362</v>
      </c>
      <c r="I455" s="8" t="s">
        <v>2363</v>
      </c>
      <c r="J455" s="9">
        <v>23.71</v>
      </c>
      <c r="K455" s="9">
        <v>34.0</v>
      </c>
      <c r="L455" s="8" t="s">
        <v>59</v>
      </c>
      <c r="M455" s="8" t="s">
        <v>2364</v>
      </c>
      <c r="N455" s="7" t="str">
        <f>IFERROR(__xludf.DUMMYFUNCTION("GOOGLETRANSLATE(L455, ""en"", ""pt"")"),"Trabalhador de paisagismo")</f>
        <v>Trabalhador de paisagismo</v>
      </c>
      <c r="O455" s="7" t="str">
        <f>IFERROR(__xludf.DUMMYFUNCTION("IF(M455="""","""",GOOGLETRANSLATE(M455,""en"",""pt""))"),"Realizar trabalhos de paisagismo ou manutenção de terrenos utilizando ferramentas manuais ou elétricas. Os trabalhadores geralmente executam uma variedade de tarefas, que podem incluir qualquer combinação das seguintes: colocação de grama, corte de grama,"&amp;" poda, plantio, irrigação, fertilização, escavação e rastelagem. Rastelar, enfardar e carregar manualmente fardos de palha de pinheiro em reboque. Utilizar ferramentas manuais como rastelos e enxadas. Essas tarefas serão realizadas em propriedades florest"&amp;"ais, especificamente em áreas arborizadas onde os pinheiros naturalmente perdem suas agulhas. Operar tratores pequenos com menos de 30 HP, com mini-enfardadeira. Manter a limpeza das áreas de trabalho, removendo o excesso de palha e detritos. Auxiliar na "&amp;"preparação do local, incluindo a limpeza de vegetação rasteira ou a manutenção das áreas de colheita. Classificação da função: 45-4011.00 - Trabalhadores Florestais e de Conservação. A classificação e descrição da função/indústria incluem informações gera"&amp;"is sobre o cargo, de acordo com o ONET/OES e o Sistema de Classificação Industrial da América do Norte. Consulte as Funções e a Ordem de Serviço para obter mais informações. Requisitos da vaga Experiência necessária: Não Requisitos especiais: Deve ser cap"&amp;"az de levantar/carregar 23 kg, quando necessário. Trabalho aos sábados e domingos, quando necessário. Exame toxicológico pós-contratação obrigatório para trabalhadores estrangeiros e nacionais. Verificação de elegibilidade de emprego (e-Verify) obrigatóri"&amp;"a para trabalhadores estrangeiros e nacionais. O empregador poderá oferecer mais horas de trabalho do que as estipuladas, dependendo do clima, das necessidades da empresa e de outras condições. Calor extremo, frio, chuva ou seca podem afetar o horário de "&amp;"trabalho exato. Número de horas por semana: 45 Horário de trabalho (início/término): 7h às 17h")</f>
        <v>Realizar trabalhos de paisagismo ou manutenção de terrenos utilizando ferramentas manuais ou elétricas. Os trabalhadores geralmente executam uma variedade de tarefas, que podem incluir qualquer combinação das seguintes: colocação de grama, corte de grama, poda, plantio, irrigação, fertilização, escavação e rastelagem. Rastelar, enfardar e carregar manualmente fardos de palha de pinheiro em reboque. Utilizar ferramentas manuais como rastelos e enxadas. Essas tarefas serão realizadas em propriedades florestais, especificamente em áreas arborizadas onde os pinheiros naturalmente perdem suas agulhas. Operar tratores pequenos com menos de 30 HP, com mini-enfardadeira. Manter a limpeza das áreas de trabalho, removendo o excesso de palha e detritos. Auxiliar na preparação do local, incluindo a limpeza de vegetação rasteira ou a manutenção das áreas de colheita. Classificação da função: 45-4011.00 - Trabalhadores Florestais e de Conservação. A classificação e descrição da função/indústria incluem informações gerais sobre o cargo, de acordo com o ONET/OES e o Sistema de Classificação Industrial da América do Norte. Consulte as Funções e a Ordem de Serviço para obter mais informações. Requisitos da vaga Experiência necessária: Não Requisitos especiais: Deve ser capaz de levantar/carregar 23 kg, quando necessário. Trabalho aos sábados e domingos, quando necessário. Exame toxicológico pós-contratação obrigatório para trabalhadores estrangeiros e nacionais. Verificação de elegibilidade de emprego (e-Verify) obrigatória para trabalhadores estrangeiros e nacionais. O empregador poderá oferecer mais horas de trabalho do que as estipuladas, dependendo do clima, das necessidades da empresa e de outras condições. Calor extremo, frio, chuva ou seca podem afetar o horário de trabalho exato. Número de horas por semana: 45 Horário de trabalho (início/término): 7h às 17h</v>
      </c>
    </row>
    <row r="456" ht="20.25" customHeight="1">
      <c r="A456" s="3" t="s">
        <v>2365</v>
      </c>
      <c r="B456" s="3" t="s">
        <v>2366</v>
      </c>
      <c r="C456" s="3" t="s">
        <v>169</v>
      </c>
      <c r="D456" s="3" t="s">
        <v>87</v>
      </c>
      <c r="E456" s="4" t="s">
        <v>19</v>
      </c>
      <c r="F456" s="4" t="s">
        <v>20</v>
      </c>
      <c r="G456" s="4" t="s">
        <v>1869</v>
      </c>
      <c r="H456" s="3" t="s">
        <v>2367</v>
      </c>
      <c r="I456" s="3"/>
      <c r="J456" s="4">
        <v>20.76</v>
      </c>
      <c r="K456" s="4">
        <v>6.0</v>
      </c>
      <c r="L456" s="3" t="s">
        <v>2368</v>
      </c>
      <c r="M456" s="3" t="s">
        <v>2369</v>
      </c>
      <c r="N456" s="7" t="str">
        <f>IFERROR(__xludf.DUMMYFUNCTION("GOOGLETRANSLATE(L456, ""en"", ""pt"")"),"Saneamento")</f>
        <v>Saneamento</v>
      </c>
      <c r="O456" s="7" t="str">
        <f>IFERROR(__xludf.DUMMYFUNCTION("IF(M456="""","""",GOOGLETRANSLATE(M456,""en"",""pt""))"),"Limpar, secar e armazenar amendoim manualmente. Recolher amendoim com pá. Varrer amendoim derramado. Observar o movimento contínuo do amendoim durante as diferentes etapas do processo de limpeza para garantir uma operação estável e ininterrupta, de modo q"&amp;"ue as falhas possam ser detectadas. Como parte do processo de produção, despejar amendoim em reboques pressionando um botão que despeja eletronicamente o amendoim nos vagões. Conectar o secador de amendoim aos reboques. Coletar amostras. Limpar fossas. Tr"&amp;"ocar pneus de reboques e vagões. Lavar vagões/reboques manualmente com mangueira. Limpar amendoim derramado e realizar qualquer outra higienização pós-colheita necessária - limpeza geral. Classificação do Cargo: 53-7063.00 - Alimentadores e Descarregadore"&amp;"s de Máquinas. A classificação e descrição do cargo/setor inclui informações gerais sobre a posição, de acordo com o ONET/OES e o Sistema de Classificação Industrial da América do Norte. Consulte as Funções e a Ordem de Serviço para obter mais informações"&amp;". Requisitos do Cargo: Experiência Necessária: Não. Requisitos Especiais: Não é necessário escolaridade ou experiência. Deve ser capaz de levantar/carregar 23 kg, quando necessário. O empregador exige que trabalhadores estrangeiros e nacionais se submetam"&amp;" a testes de drogas pagos pelo empregador antes do início do trabalho e após a contratação, em caso de suspeita de uso ou acidente. A verificação de antecedentes e de elegibilidade para emprego (e-Verify) após a contratação também é obrigatória para traba"&amp;"lhadores estrangeiros e nacionais. Trabalho aos sábados e domingos é exigido quando necessário. O empregador pode oferecer uma jornada de trabalho maior do que a estipulada, dependendo das condições climáticas, das necessidades da empresa e de outras circ"&amp;"unstâncias. Calor extremo, frio, chuva ou seca podem afetar o horário de trabalho exato. Número de horas por semana: 42. Horário de trabalho (início/término): 7h às 16h.")</f>
        <v>Limpar, secar e armazenar amendoim manualmente. Recolher amendoim com pá. Varrer amendoim derramado. Observar o movimento contínuo do amendoim durante as diferentes etapas do processo de limpeza para garantir uma operação estável e ininterrupta, de modo que as falhas possam ser detectadas. Como parte do processo de produção, despejar amendoim em reboques pressionando um botão que despeja eletronicamente o amendoim nos vagões. Conectar o secador de amendoim aos reboques. Coletar amostras. Limpar fossas. Trocar pneus de reboques e vagões. Lavar vagões/reboques manualmente com mangueira. Limpar amendoim derramado e realizar qualquer outra higienização pós-colheita necessária - limpeza geral. Classificação do Cargo: 53-7063.00 - Alimentadores e Descarregadores de Máquinas. A classificação e descrição do cargo/setor inclui informações gerais sobre a posição, de acordo com o ONET/OES e o Sistema de Classificação Industrial da América do Norte. Consulte as Funções e a Ordem de Serviço para obter mais informações. Requisitos do Cargo: Experiência Necessária: Não. Requisitos Especiais: Não é necessário escolaridade ou experiência. Deve ser capaz de levantar/carregar 23 kg, quando necessário. O empregador exige que trabalhadores estrangeiros e nacionais se submetam a testes de drogas pagos pelo empregador antes do início do trabalho e após a contratação, em caso de suspeita de uso ou acidente. A verificação de antecedentes e de elegibilidade para emprego (e-Verify) após a contratação também é obrigatória para trabalhadores estrangeiros e nacionais. Trabalho aos sábados e domingos é exigido quando necessário. O empregador pode oferecer uma jornada de trabalho maior do que a estipulada, dependendo das condições climáticas, das necessidades da empresa e de outras circunstâncias. Calor extremo, frio, chuva ou seca podem afetar o horário de trabalho exato. Número de horas por semana: 42. Horário de trabalho (início/término): 7h às 16h.</v>
      </c>
    </row>
    <row r="457" ht="20.25" customHeight="1">
      <c r="A457" s="8" t="s">
        <v>2370</v>
      </c>
      <c r="B457" s="8" t="s">
        <v>2371</v>
      </c>
      <c r="C457" s="8" t="s">
        <v>169</v>
      </c>
      <c r="D457" s="8" t="s">
        <v>102</v>
      </c>
      <c r="E457" s="9" t="s">
        <v>19</v>
      </c>
      <c r="F457" s="9" t="s">
        <v>20</v>
      </c>
      <c r="G457" s="9" t="s">
        <v>307</v>
      </c>
      <c r="H457" s="8" t="s">
        <v>2372</v>
      </c>
      <c r="I457" s="8"/>
      <c r="J457" s="9">
        <v>17.14</v>
      </c>
      <c r="K457" s="9">
        <v>8.0</v>
      </c>
      <c r="L457" s="8" t="s">
        <v>121</v>
      </c>
      <c r="M457" s="8" t="s">
        <v>2373</v>
      </c>
      <c r="N457" s="7" t="str">
        <f>IFERROR(__xludf.DUMMYFUNCTION("GOOGLETRANSLATE(L457, ""en"", ""pt"")"),"Trabalhador braçal")</f>
        <v>Trabalhador braçal</v>
      </c>
      <c r="O457" s="7" t="str">
        <f>IFERROR(__xludf.DUMMYFUNCTION("IF(M457="""","""",GOOGLETRANSLATE(M457,""en"",""pt""))"),"Trabalho geral de limpeza, secagem e armazenamento de amendoim. Higienização pós-colheita. Pá para amendoim. Varrição de amendoim derramado. Descarga de amendoim de caminhões. Monitoramento do fluxo de amendoim pelo silo até o elevador, passando por todo "&amp;"o sistema de limpeza. Carregamento de amendoim limpo de volta nos caminhões. Conexão do secador de amendoim aos caminhões. Coleta de amostras. Limpeza dos silos. Troca de pneus de caminhões e vagões. Lavagem de caminhões/caminhões. Carregamento de armazén"&amp;"s e descarga de vagões pelos silos, monitoramento e posicionamento das esteiras transportadoras para carregamento adequado do armazém. Reposição de estoque no armazém (limpeza de amendoim das passarelas, limpeza dos silos – higienização geral). Limpeza de"&amp;" amendoim derramado e qualquer outra higienização pós-colheita necessária. Higienização (limpeza de derramamentos, varrição, limpeza geral). Classificação da função: 53-7063.00 - Alimentadores e Descarregadores de Máquinas. A classificação e descrição da "&amp;"função/indústria incluem informações gerais sobre o cargo, de acordo com o ONET/OES e o Sistema de Classificação Industrial da América do Norte. Consulte as Funções e a Ordem de Serviço para obter mais informações. Requisitos da vaga Experiência necessári"&amp;"a: Não. Requisitos especiais: Deve ser capaz de levantar/carregar 23 kg (50 lbs), quando necessário. O empregador exige teste antidrogas para trabalhadores estrangeiros e nacionais antes do início do trabalho e após a contratação, em caso de suspeita de u"&amp;"so ou acidente. A verificação de antecedentes e de elegibilidade para emprego (e-Verify) é obrigatória para trabalhadores estrangeiros e nacionais após a contratação. O empregador pode oferecer uma jornada de trabalho superior à estipulada, dependendo das"&amp;" condições climáticas, das necessidades da empresa e de outros fatores. Calor extremo, frio, chuva ou seca podem afetar o horário de trabalho exato. Número de horas por semana: 42. Horário de trabalho (início/término): 7h às 16h.")</f>
        <v>Trabalho geral de limpeza, secagem e armazenamento de amendoim. Higienização pós-colheita. Pá para amendoim. Varrição de amendoim derramado. Descarga de amendoim de caminhões. Monitoramento do fluxo de amendoim pelo silo até o elevador, passando por todo o sistema de limpeza. Carregamento de amendoim limpo de volta nos caminhões. Conexão do secador de amendoim aos caminhões. Coleta de amostras. Limpeza dos silos. Troca de pneus de caminhões e vagões. Lavagem de caminhões/caminhões. Carregamento de armazéns e descarga de vagões pelos silos, monitoramento e posicionamento das esteiras transportadoras para carregamento adequado do armazém. Reposição de estoque no armazém (limpeza de amendoim das passarelas, limpeza dos silos – higienização geral). Limpeza de amendoim derramado e qualquer outra higienização pós-colheita necessária. Higienização (limpeza de derramamentos, varrição, limpeza geral). Classificação da função: 53-7063.00 - Alimentadores e Descarregadores de Máquinas. A classificação e descrição da função/indústria incluem informações gerais sobre o cargo, de acordo com o ONET/OES e o Sistema de Classificação Industrial da América do Norte. Consulte as Funções e a Ordem de Serviço para obter mais informações. Requisitos da vaga Experiência necessária: Não. Requisitos especiais: Deve ser capaz de levantar/carregar 23 kg (50 lbs), quando necessário. O empregador exige teste antidrogas para trabalhadores estrangeiros e nacionais antes do início do trabalho e após a contratação, em caso de suspeita de uso ou acidente. A verificação de antecedentes e de elegibilidade para emprego (e-Verify) é obrigatória para trabalhadores estrangeiros e nacionais após a contratação. O empregador pode oferecer uma jornada de trabalho superior à estipulada, dependendo das condições climáticas, das necessidades da empresa e de outros fatores. Calor extremo, frio, chuva ou seca podem afetar o horário de trabalho exato. Número de horas por semana: 42. Horário de trabalho (início/término): 7h às 16h.</v>
      </c>
    </row>
    <row r="458" ht="20.25" customHeight="1">
      <c r="A458" s="3" t="s">
        <v>2374</v>
      </c>
      <c r="B458" s="3" t="s">
        <v>2375</v>
      </c>
      <c r="C458" s="3" t="s">
        <v>1946</v>
      </c>
      <c r="D458" s="3" t="s">
        <v>1051</v>
      </c>
      <c r="E458" s="4" t="s">
        <v>19</v>
      </c>
      <c r="F458" s="4" t="s">
        <v>20</v>
      </c>
      <c r="G458" s="4" t="s">
        <v>377</v>
      </c>
      <c r="H458" s="3" t="s">
        <v>2376</v>
      </c>
      <c r="I458" s="3" t="s">
        <v>2377</v>
      </c>
      <c r="J458" s="4">
        <v>19.83</v>
      </c>
      <c r="K458" s="4">
        <v>60.0</v>
      </c>
      <c r="L458" s="3" t="s">
        <v>1054</v>
      </c>
      <c r="M458" s="3" t="s">
        <v>2378</v>
      </c>
      <c r="N458" s="7" t="str">
        <f>IFERROR(__xludf.DUMMYFUNCTION("GOOGLETRANSLATE(L458, ""en"", ""pt"")"),"Trabalhador Florestal e de Conservação")</f>
        <v>Trabalhador Florestal e de Conservação</v>
      </c>
      <c r="O458" s="7" t="str">
        <f>IFERROR(__xludf.DUMMYFUNCTION("IF(M458="""","""",GOOGLETRANSLATE(M458,""en"",""pt""))"),"Plantio comercial de árvores e desbaste pré-comercial. Ambas as atividades são realizadas em terrenos íngremes, com inclinação de 40% a 50%. Plantio de árvores: Limpe uma área no solo com o auxílio de uma pá de plantio, cave um buraco com profundidade suf"&amp;"iciente para que, ao plantar a muda, não haja raízes em forma de J, coloque a muda no solo e cubra as raízes com terra, compactando-a para fixá-la. O peso combinado das mudas e do saco de plantio é de 22,7 kg (50 lbs), dependendo do tamanho das mudas. Des"&amp;"baste pré-comercial: O desbaste é realizado com o uso de uma motosserra, cortando árvores indesejáveis ​​e doentes, removendo arbustos e empilhando o material manualmente de maneira prescrita para descarte futuro. O funcionário deve realizar a manutenção "&amp;"da motosserra, afiar a corrente e garantir que os níveis de fluido estejam corretos. Peso da motosserra e fluidos: 13,6 kg (30 lbs) Classificação da função: 45-4011.00 - Trabalhadores Florestais e de Conservação A classificação e descrição da função/setor"&amp;" incluem informações gerais sobre o cargo, de acordo com o ONET/OES e o Sistema de Classificação Industrial da América do Norte. Consulte as Funções e a Ordem de Serviço para obter mais informações. Requisitos da função Experiência necessária: Sim Meses d"&amp;"e experiência necessários: 3 Requisitos especiais: DEVE SER CAPAZ DE PLANTAR O SEGUINTE NÚMERO DE ÁRVORES EM UM DIA DE 8 HORAS: ATÉ O FINAL DA 1ª SEMANA, 800. ATÉ O FINAL DA 2ª SEMANA, 900. ATÉ O FINAL DA 3ª SEMANA, 1.000. TODO O PLANTIO DEVE SER FEITO EM"&amp;" TERRENO ÍNGREME, DE 40% A 50%. Número de horas por semana: 40 Horário de trabalho (início/término): 7h00 - 15h30")</f>
        <v>Plantio comercial de árvores e desbaste pré-comercial. Ambas as atividades são realizadas em terrenos íngremes, com inclinação de 40% a 50%. Plantio de árvores: Limpe uma área no solo com o auxílio de uma pá de plantio, cave um buraco com profundidade suficiente para que, ao plantar a muda, não haja raízes em forma de J, coloque a muda no solo e cubra as raízes com terra, compactando-a para fixá-la. O peso combinado das mudas e do saco de plantio é de 22,7 kg (50 lbs), dependendo do tamanho das mudas. Desbaste pré-comercial: O desbaste é realizado com o uso de uma motosserra, cortando árvores indesejáveis ​​e doentes, removendo arbustos e empilhando o material manualmente de maneira prescrita para descarte futuro. O funcionário deve realizar a manutenção da motosserra, afiar a corrente e garantir que os níveis de fluido estejam corretos. Peso da motosserra e fluidos: 13,6 kg (30 lbs) Classificação da função: 45-4011.00 - Trabalhadores Florestais e de Conservação A classificação e descrição da função/setor incluem informações gerais sobre o cargo, de acordo com o ONET/OES e o Sistema de Classificação Industrial da América do Norte. Consulte as Funções e a Ordem de Serviço para obter mais informações. Requisitos da função Experiência necessária: Sim Meses de experiência necessários: 3 Requisitos especiais: DEVE SER CAPAZ DE PLANTAR O SEGUINTE NÚMERO DE ÁRVORES EM UM DIA DE 8 HORAS: ATÉ O FINAL DA 1ª SEMANA, 800. ATÉ O FINAL DA 2ª SEMANA, 900. ATÉ O FINAL DA 3ª SEMANA, 1.000. TODO O PLANTIO DEVE SER FEITO EM TERRENO ÍNGREME, DE 40% A 50%. Número de horas por semana: 40 Horário de trabalho (início/término): 7h00 - 15h30</v>
      </c>
    </row>
    <row r="459" ht="20.25" customHeight="1">
      <c r="A459" s="8" t="s">
        <v>2379</v>
      </c>
      <c r="B459" s="8" t="s">
        <v>2380</v>
      </c>
      <c r="C459" s="8" t="s">
        <v>1946</v>
      </c>
      <c r="D459" s="8" t="s">
        <v>1051</v>
      </c>
      <c r="E459" s="9" t="s">
        <v>19</v>
      </c>
      <c r="F459" s="9" t="s">
        <v>20</v>
      </c>
      <c r="G459" s="9" t="s">
        <v>80</v>
      </c>
      <c r="H459" s="8" t="s">
        <v>2381</v>
      </c>
      <c r="I459" s="8" t="s">
        <v>2382</v>
      </c>
      <c r="J459" s="9">
        <v>19.83</v>
      </c>
      <c r="K459" s="9">
        <v>15.0</v>
      </c>
      <c r="L459" s="8" t="s">
        <v>1054</v>
      </c>
      <c r="M459" s="8" t="s">
        <v>2383</v>
      </c>
      <c r="N459" s="7" t="str">
        <f>IFERROR(__xludf.DUMMYFUNCTION("GOOGLETRANSLATE(L459, ""en"", ""pt"")"),"Trabalhador Florestal e de Conservação")</f>
        <v>Trabalhador Florestal e de Conservação</v>
      </c>
      <c r="O459" s="7" t="str">
        <f>IFERROR(__xludf.DUMMYFUNCTION("IF(M459="""","""",GOOGLETRANSLATE(M459,""en"",""pt""))"),"O trabalho será realizado em áreas remotas, executando atividades de reflorestamento, incluindo corte de vegetação rasteira, poda de árvores, desbaste e aplicação de herbicidas. PULVERIZAÇÃO: (Somente herbicidas registrados para aplicações florestais são "&amp;"utilizados. Esta função não envolve a mistura ou o carregamento de herbicidas. A mistura e o carregamento são realizados por um aplicador de herbicidas licenciado, que supervisiona todos os aspectos da aplicação. Cada trabalhador que pulveriza herbicida d"&amp;"eve possuir licença do Departamento de Agricultura de Washington. Os trabalhadores recebem treinamento tanto em segurança quanto em procedimentos técnicos. O trabalhador será treinado, após a contratação, para obter a licença de pulverização.) O TRABALHO "&amp;"EXIGE O USO DE UMA MOTOSSERRA QUE PESA 13,6 KG, O TRANSPORTE DE COMBUSTÍVEL E ÓLEO PARA CORREIA PESANDO APROXIMADAMENTE 4,5 KG, EM TERRENOS ÍNGREMES, COM INCLINAÇÃO DE 30 A 50%. PULVERIZAÇÃO CONFORME NECESSÁRIO. O TRABALHO É REALIZADO EM CONDIÇÕES CLIMÁTI"&amp;"CAS ADVERSAS, INCLUINDO ÁREAS COBERTAS DE NEVE E ENCOSTAS MOLHADAS E ESCORREGADIAS. DEVE SER CAPAZ DE DESMONTAR A SERRA PARA LIMPEZA E REPARO EM CAMPO QUANDO NECESSÁRIO. Classificação da Função: 45-4011.00 - Trabalhadores Florestais e de Conservação. A cl"&amp;"assificação e descrição da função/setor inclui informações gerais sobre o cargo, de acordo com o ONET/OES e o Sistema de Classificação Industrial da América do Norte. Consulte as Funções e a Ordem de Serviço para obter mais informações. Requisitos da Funç"&amp;"ão: Experiência Necessária: Sim. Meses de Experiência Necessária: 3. Número de Horas por Semana: 40. Horário de Trabalho (Início/Término): 7h00 - 15h30.")</f>
        <v>O trabalho será realizado em áreas remotas, executando atividades de reflorestamento, incluindo corte de vegetação rasteira, poda de árvores, desbaste e aplicação de herbicidas. PULVERIZAÇÃO: (Somente herbicidas registrados para aplicações florestais são utilizados. Esta função não envolve a mistura ou o carregamento de herbicidas. A mistura e o carregamento são realizados por um aplicador de herbicidas licenciado, que supervisiona todos os aspectos da aplicação. Cada trabalhador que pulveriza herbicida deve possuir licença do Departamento de Agricultura de Washington. Os trabalhadores recebem treinamento tanto em segurança quanto em procedimentos técnicos. O trabalhador será treinado, após a contratação, para obter a licença de pulverização.) O TRABALHO EXIGE O USO DE UMA MOTOSSERRA QUE PESA 13,6 KG, O TRANSPORTE DE COMBUSTÍVEL E ÓLEO PARA CORREIA PESANDO APROXIMADAMENTE 4,5 KG, EM TERRENOS ÍNGREMES, COM INCLINAÇÃO DE 30 A 50%. PULVERIZAÇÃO CONFORME NECESSÁRIO. O TRABALHO É REALIZADO EM CONDIÇÕES CLIMÁTICAS ADVERSAS, INCLUINDO ÁREAS COBERTAS DE NEVE E ENCOSTAS MOLHADAS E ESCORREGADIAS. DEVE SER CAPAZ DE DESMONTAR A SERRA PARA LIMPEZA E REPARO EM CAMPO QUANDO NECESSÁRIO. Classificação da Função: 45-4011.00 - Trabalhadores Florestais e de Conservação. A classificação e descrição da função/setor inclui informações gerais sobre o cargo, de acordo com o ONET/OES e o Sistema de Classificação Industrial da América do Norte. Consulte as Funções e a Ordem de Serviço para obter mais informações. Requisitos da Função: Experiência Necessária: Sim. Meses de Experiência Necessária: 3. Número de Horas por Semana: 40. Horário de Trabalho (Início/Término): 7h00 - 15h30.</v>
      </c>
    </row>
    <row r="460" ht="20.25" customHeight="1">
      <c r="A460" s="3" t="s">
        <v>2384</v>
      </c>
      <c r="B460" s="3" t="s">
        <v>2385</v>
      </c>
      <c r="C460" s="3" t="s">
        <v>63</v>
      </c>
      <c r="D460" s="3" t="s">
        <v>55</v>
      </c>
      <c r="E460" s="4" t="s">
        <v>19</v>
      </c>
      <c r="F460" s="4" t="s">
        <v>20</v>
      </c>
      <c r="G460" s="4" t="s">
        <v>307</v>
      </c>
      <c r="H460" s="3" t="s">
        <v>2386</v>
      </c>
      <c r="I460" s="3" t="s">
        <v>2387</v>
      </c>
      <c r="J460" s="4">
        <v>15.29</v>
      </c>
      <c r="K460" s="4">
        <v>5.0</v>
      </c>
      <c r="L460" s="3" t="s">
        <v>387</v>
      </c>
      <c r="M460" s="3" t="s">
        <v>2388</v>
      </c>
      <c r="N460" s="7" t="str">
        <f>IFERROR(__xludf.DUMMYFUNCTION("GOOGLETRANSLATE(L460, ""en"", ""pt"")"),"Ordem de serviço não disponível")</f>
        <v>Ordem de serviço não disponível</v>
      </c>
      <c r="O460" s="7" t="str">
        <f>IFERROR(__xludf.DUMMYFUNCTION("IF(M460="""","""",GOOGLETRANSLATE(M460,""en"",""pt""))"),"Preparar e cozinhar alimentos em um restaurante de fast-food com cardápio limitado. As funções se restringem ao preparo de alguns itens básicos e normalmente envolvem a operação de equipamentos de cozinha de grande volume e uso específico, o preparo e a m"&amp;"ontagem de sanduíches, saladas e wraps, além da embalagem do produto final. Outras responsabilidades incluem o pedido de produtos, o descarregamento de entregas, a manutenção da limpeza do ambiente da loja e o cumprimento de todas as políticas de seguranç"&amp;"a e normas sanitárias da empresa. Classificação da vaga: 35-2011.00 - Cozinheiros, Fast Food. A classificação e a descrição da vaga/setor incluem informações gerais sobre o cargo, de acordo com o ONET/OES e o Sistema de Classificação Industrial da América"&amp;" do Norte (NAICS). Consulte a Descrição das Funções e a Ordem de Serviço para obter mais informações. Requisitos da vaga: Experiência necessária: Não. Requisitos especiais: Capacidade de levantar/carregar até 23 kg, quando necessário. Trabalho aos sábados"&amp;" obrigatório. O horário típico é das 5h30 às 14h30 ou das 14h30 às 22h30, de segunda a sábado. O empregador poderá oferecer uma jornada de trabalho maior do que a estipulada, dependendo das condições climáticas, das necessidades da empresa e de outros fat"&amp;"ores. Calor extremo, frio, chuva ou seca podem afetar o horário de trabalho exato. Número de horas por semana: 40. Horário de trabalho (início/término): 5h30 às 14h30.")</f>
        <v>Preparar e cozinhar alimentos em um restaurante de fast-food com cardápio limitado. As funções se restringem ao preparo de alguns itens básicos e normalmente envolvem a operação de equipamentos de cozinha de grande volume e uso específico, o preparo e a montagem de sanduíches, saladas e wraps, além da embalagem do produto final. Outras responsabilidades incluem o pedido de produtos, o descarregamento de entregas, a manutenção da limpeza do ambiente da loja e o cumprimento de todas as políticas de segurança e normas sanitárias da empresa. Classificação da vaga: 35-2011.00 - Cozinheiros, Fast Food. A classificação e a descrição da vaga/setor incluem informações gerais sobre o cargo, de acordo com o ONET/OES e o Sistema de Classificação Industrial da América do Norte (NAICS). Consulte a Descrição das Funções e a Ordem de Serviço para obter mais informações. Requisitos da vaga: Experiência necessária: Não. Requisitos especiais: Capacidade de levantar/carregar até 23 kg, quando necessário. Trabalho aos sábados obrigatório. O horário típico é das 5h30 às 14h30 ou das 14h30 às 22h30, de segunda a sábado. O empregador poderá oferecer uma jornada de trabalho maior do que a estipulada, dependendo das condições climáticas, das necessidades da empresa e de outros fatores. Calor extremo, frio, chuva ou seca podem afetar o horário de trabalho exato. Número de horas por semana: 40. Horário de trabalho (início/término): 5h30 às 14h30.</v>
      </c>
    </row>
    <row r="461" ht="20.25" customHeight="1">
      <c r="A461" s="8" t="s">
        <v>2389</v>
      </c>
      <c r="B461" s="8" t="s">
        <v>2390</v>
      </c>
      <c r="C461" s="8" t="s">
        <v>2391</v>
      </c>
      <c r="D461" s="8" t="s">
        <v>55</v>
      </c>
      <c r="E461" s="9" t="s">
        <v>44</v>
      </c>
      <c r="F461" s="9" t="s">
        <v>20</v>
      </c>
      <c r="G461" s="9" t="s">
        <v>1829</v>
      </c>
      <c r="H461" s="8" t="s">
        <v>2392</v>
      </c>
      <c r="I461" s="8" t="s">
        <v>2393</v>
      </c>
      <c r="J461" s="9">
        <v>28.2</v>
      </c>
      <c r="K461" s="9">
        <v>5.0</v>
      </c>
      <c r="L461" s="8" t="s">
        <v>2394</v>
      </c>
      <c r="M461" s="8" t="s">
        <v>2395</v>
      </c>
      <c r="N461" s="7" t="str">
        <f>IFERROR(__xludf.DUMMYFUNCTION("GOOGLETRANSLATE(L461, ""en"", ""pt"")"),"Trabalhador de Iluminação Natalina")</f>
        <v>Trabalhador de Iluminação Natalina</v>
      </c>
      <c r="O461" s="7" t="str">
        <f>IFERROR(__xludf.DUMMYFUNCTION("IF(M461="""","""",GOOGLETRANSLATE(M461,""en"",""pt""))"),"A vaga oferecida é para um auxiliar de iluminação natalina experiente, com no mínimo três meses de experiência na área. As responsabilidades incluem organizar e preparar o estoque de materiais de decoração natalina, instalar e/ou remover materiais dos loc"&amp;"ais de trabalho, carregar e descarregar materiais e prepará-los para armazenamento. É necessário ter capacidade para carregar e descarregar materiais e equipamentos que podem pesar até 23 kg. As exigências físicas descritas aqui são representativas daquel"&amp;"as que um empregador deve atender para desempenhar com sucesso as funções essenciais deste cargo. Classificação do Cargo: 49-9099.00 - Trabalhadores de Instalação, Manutenção e Reparo, Outros. A classificação e descrição do cargo/setor incluem informações"&amp;" gerais sobre a posição, de acordo com o ONET/OES e o Sistema de Classificação Industrial da América do Norte (NAICS). Consulte as Funções e a Ordem de Serviço para obter mais informações. Requisitos do Cargo Experiência Necessária: Sim Meses de Experiênc"&amp;"ia Necessários: 3 Requisitos Especiais: 3 meses de experiência anterior. Capacidade de levantar até 23 kg. Horas extras conforme necessário. Os turnos são das 8h às 17h e das 21h às 6h, de domingo a sábado. Os turnos serão atribuídos com base nas demandas"&amp;" do projeto. Gostaríamos de esclarecer as informações do item F.a.5. Durante a semana de trabalho, que vai de domingo a sábado, os funcionários têm uma jornada de 40 horas semanais. O item F.a.5 não permite inserir essa jornada de trabalho. Se inserirmos "&amp;"8 horas por dia, o sistema mostrará 56 horas semanais, o que não reflete com precisão a jornada de trabalho real. Número de horas por semana: 40. Horário de trabalho (início/término): 8h às 17h.")</f>
        <v>A vaga oferecida é para um auxiliar de iluminação natalina experiente, com no mínimo três meses de experiência na área. As responsabilidades incluem organizar e preparar o estoque de materiais de decoração natalina, instalar e/ou remover materiais dos locais de trabalho, carregar e descarregar materiais e prepará-los para armazenamento. É necessário ter capacidade para carregar e descarregar materiais e equipamentos que podem pesar até 23 kg. As exigências físicas descritas aqui são representativas daquelas que um empregador deve atender para desempenhar com sucesso as funções essenciais deste cargo. Classificação do Cargo: 49-9099.00 - Trabalhadores de Instalação, Manutenção e Reparo, Outros. A classificação e descrição do cargo/setor incluem informações gerais sobre a posição, de acordo com o ONET/OES e o Sistema de Classificação Industrial da América do Norte (NAICS). Consulte as Funções e a Ordem de Serviço para obter mais informações. Requisitos do Cargo Experiência Necessária: Sim Meses de Experiência Necessários: 3 Requisitos Especiais: 3 meses de experiência anterior. Capacidade de levantar até 23 kg. Horas extras conforme necessário. Os turnos são das 8h às 17h e das 21h às 6h, de domingo a sábado. Os turnos serão atribuídos com base nas demandas do projeto. Gostaríamos de esclarecer as informações do item F.a.5. Durante a semana de trabalho, que vai de domingo a sábado, os funcionários têm uma jornada de 40 horas semanais. O item F.a.5 não permite inserir essa jornada de trabalho. Se inserirmos 8 horas por dia, o sistema mostrará 56 horas semanais, o que não reflete com precisão a jornada de trabalho real. Número de horas por semana: 40. Horário de trabalho (início/término): 8h às 17h.</v>
      </c>
    </row>
    <row r="462" ht="20.25" customHeight="1">
      <c r="A462" s="3" t="s">
        <v>2396</v>
      </c>
      <c r="B462" s="3" t="s">
        <v>2397</v>
      </c>
      <c r="C462" s="3" t="s">
        <v>197</v>
      </c>
      <c r="D462" s="3" t="s">
        <v>71</v>
      </c>
      <c r="E462" s="4" t="s">
        <v>19</v>
      </c>
      <c r="F462" s="4" t="s">
        <v>20</v>
      </c>
      <c r="G462" s="4" t="s">
        <v>524</v>
      </c>
      <c r="H462" s="3" t="s">
        <v>2398</v>
      </c>
      <c r="I462" s="3" t="s">
        <v>2399</v>
      </c>
      <c r="J462" s="4">
        <v>20.0</v>
      </c>
      <c r="K462" s="4">
        <v>6.0</v>
      </c>
      <c r="L462" s="3" t="s">
        <v>387</v>
      </c>
      <c r="M462" s="3" t="s">
        <v>2400</v>
      </c>
      <c r="N462" s="7" t="str">
        <f>IFERROR(__xludf.DUMMYFUNCTION("GOOGLETRANSLATE(L462, ""en"", ""pt"")"),"Ordem de serviço não disponível")</f>
        <v>Ordem de serviço não disponível</v>
      </c>
      <c r="O462" s="7" t="str">
        <f>IFERROR(__xludf.DUMMYFUNCTION("IF(M462="""","""",GOOGLETRANSLATE(M462,""en"",""pt""))"),"Preparar, cozinhar, refogar, grelhar e fritar itens como frutos do mar, carnes, aves, legumes, massas e sopas. Manter as áreas da cozinha limpas e higienizadas. Armazenar todos os produtos em locais adequados. (6) vagas disponíveis. Período: 01/10/2026 a "&amp;"31/05/2027. Necessário 3 meses de experiência. Turnos rotativos. Dias de trabalho: segunda a domingo. Horário de trabalho: 6h às 22h. Salário: US$ 20 a US$ 25 por hora, com base no desempenho; US$ 30 a US$ 37,50 por hora para horas extras. Pagamento quinz"&amp;"enal. 35 horas semanais. Moradia opcional por US$ 700 por mês, com depósito de US$ 350 (US$ 300 reembolsáveis ​​após a assinatura do contrato e inspeção da moradia; US$ 50 não reembolsáveis). Refeições durante o turno fornecidas. Local de trabalho: 1403 G"&amp;"len Eagle Blvd, Naples, FL 34104. Trabalho temporário em tempo integral. O salário será calculado com base em uma única semana de trabalho. Poderá ser feito até 10 horas extras, quando disponíveis. Todos os descontos exigidos por lei serão efetuados no co"&amp;"ntracheque do trabalhador. O empregador fornecerá ao trabalhador, sem custos, todas as ferramentas, materiais e equipamentos necessários para a execução do trabalho. O trabalhador receberá ou será reembolsado pelas despesas de transporte e alimentação (in"&amp;"cluindo o custo razoável de hospedagem, quando necessário, até US$ 110 por noite, mediante apresentação de recibos) no valor de US$ 16,78 por dia durante o deslocamento, até um máximo de US$ 68,00 por dia, mediante apresentação de recibos, desde o local d"&amp;"e origem do trabalhador, seja nos EUA ou no exterior, até o local de trabalho, caso o trabalhador complete 50% do período de trabalho abrangido pela ordem de serviço, em conformidade com o 20 CFR 655.20(j)(1)(i), mediante inclusão no contracheque da seman"&amp;"a correspondente. O empregador fornecerá ou pagará o custo do transporte de retorno e da subsistência diária do trabalhador, do local de trabalho até o local de onde o trabalhador partiu para trabalhar para o empregador, independentemente de empregos inte"&amp;"rmediários, caso o trabalhador complete o período de emprego certificado ou seja demitido do emprego por qualquer motivo pelo empregador antes do término do período, de acordo com o § 655.20(j)(1)(ii); os trabalhadores com visto H-2B serão reembolsados ​​"&amp;"na primeira semana de trabalho por todos os vistos, processamento de vistos, travessia de fronteira e outras taxas relacionadas, incluindo aquelas exigidas pelo governo (exceto taxas de passaporte). O empregador fornecerá aos trabalhadores todas as ferram"&amp;"entas, suprimentos e equipamentos necessários para o desempenho do trabalho, sem custo para o trabalhador, de acordo com o 20 CFR 655.20(k). Os candidatos qualificados podem enviar o currículo para Jeff Keeler, no endereço 1403 Glen Eagle Blvd, Naples, FL"&amp;" 34104, por e-mail para H2Bjobs@gleneaglecountryclub.com ou visitar o centro de empregos local em 3050 Horseshoe Drive North, Building A, Suite 110, Naples, FL 34104. *Seu depósito de segurança é reembolsável após a conclusão do contrato e a inspeção da m"&amp;"oradia. Se um trabalhador abandonar o emprego sem a permissão do empregador ou abandonar a moradia antes do término do prazo de inscrição por qualquer motivo, exceto rescisão por parte do empregador, o trabalhador perderá todos os depósitos de moradia, di"&amp;"as de folga remunerada, férias e bônus. Após a rescisão ou demissão, o trabalhador deverá desocupar a moradia imediatamente, a menos que haja acordo com o empregador.* Classificação do Cargo: 35-2014.00 - Cozinheiros, Restaurante. A classificação e descri"&amp;"ção do cargo/setor incluem informações gerais sobre a posição, de acordo com o ONET/OES e o Sistema de Classificação Industrial da América do Norte. Consulte as Funções e a Ordem de Serviço para obter mais informações. Requisitos da vaga Experiência neces"&amp;"sária: Sim Meses de experiência necessários: 3 Número de horas por semana: 35 Horário de trabalho (início/término): 6h às 22h")</f>
        <v>Preparar, cozinhar, refogar, grelhar e fritar itens como frutos do mar, carnes, aves, legumes, massas e sopas. Manter as áreas da cozinha limpas e higienizadas. Armazenar todos os produtos em locais adequados. (6) vagas disponíveis. Período: 01/10/2026 a 31/05/2027. Necessário 3 meses de experiência. Turnos rotativos. Dias de trabalho: segunda a domingo. Horário de trabalho: 6h às 22h. Salário: US$ 20 a US$ 25 por hora, com base no desempenho; US$ 30 a US$ 37,50 por hora para horas extras. Pagamento quinzenal. 35 horas semanais. Moradia opcional por US$ 700 por mês, com depósito de US$ 350 (US$ 300 reembolsáveis ​​após a assinatura do contrato e inspeção da moradia; US$ 50 não reembolsáveis). Refeições durante o turno fornecidas. Local de trabalho: 1403 Glen Eagle Blvd, Naples, FL 34104. Trabalho temporário em tempo integral. O salário será calculado com base em uma única semana de trabalho. Poderá ser feito até 10 horas extras, quando disponíveis. Todos os descontos exigidos por lei serão efetuados no contracheque do trabalhador. O empregador fornecerá ao trabalhador, sem custos, todas as ferramentas, materiais e equipamentos necessários para a execução do trabalho. O trabalhador receberá ou será reembolsado pelas despesas de transporte e alimentação (incluindo o custo razoável de hospedagem, quando necessário, até US$ 110 por noite, mediante apresentação de recibos) no valor de US$ 16,78 por dia durante o deslocamento, até um máximo de US$ 68,00 por dia, mediante apresentação de recibos, desde o local de origem do trabalhador, seja nos EUA ou no exterior, até o local de trabalho, caso o trabalhador complete 50% do período de trabalho abrangido pela ordem de serviço, em conformidade com o 20 CFR 655.20(j)(1)(i), mediante inclusão no contracheque da semana correspondente. O empregador fornecerá ou pagará o custo do transporte de retorno e da subsistência diária do trabalhador, do local de trabalho até o local de onde o trabalhador partiu para trabalhar para o empregador, independentemente de empregos intermediários, caso o trabalhador complete o período de emprego certificado ou seja demitido do emprego por qualquer motivo pelo empregador antes do término do período, de acordo com o § 655.20(j)(1)(ii); os trabalhadores com visto H-2B serão reembolsados ​​na primeira semana de trabalho por todos os vistos, processamento de vistos, travessia de fronteira e outras taxas relacionadas, incluindo aquelas exigidas pelo governo (exceto taxas de passaporte). O empregador fornecerá aos trabalhadores todas as ferramentas, suprimentos e equipamentos necessários para o desempenho do trabalho, sem custo para o trabalhador, de acordo com o 20 CFR 655.20(k). Os candidatos qualificados podem enviar o currículo para Jeff Keeler, no endereço 1403 Glen Eagle Blvd, Naples, FL 34104, por e-mail para H2Bjobs@gleneaglecountryclub.com ou visitar o centro de empregos local em 3050 Horseshoe Drive North, Building A, Suite 110, Naples, FL 34104. *Seu depósito de segurança é reembolsável após a conclusão do contrato e a inspeção da moradia. Se um trabalhador abandonar o emprego sem a permissão do empregador ou abandonar a moradia antes do término do prazo de inscrição por qualquer motivo, exceto rescisão por parte do empregador, o trabalhador perderá todos os depósitos de moradia, dias de folga remunerada, férias e bônus. Após a rescisão ou demissão, o trabalhador deverá desocupar a moradia imediatamente, a menos que haja acordo com o empregador.* Classificação do Cargo: 35-2014.00 - Cozinheiros, Restaurante. A classificação e descrição do cargo/setor incluem informações gerais sobre a posição, de acordo com o ONET/OES e o Sistema de Classificação Industrial da América do Norte. Consulte as Funções e a Ordem de Serviço para obter mais informações. Requisitos da vaga Experiência necessária: Sim Meses de experiência necessários: 3 Número de horas por semana: 35 Horário de trabalho (início/término): 6h às 22h</v>
      </c>
    </row>
    <row r="463" ht="20.25" customHeight="1">
      <c r="A463" s="8" t="s">
        <v>2401</v>
      </c>
      <c r="B463" s="8" t="s">
        <v>2397</v>
      </c>
      <c r="C463" s="8" t="s">
        <v>197</v>
      </c>
      <c r="D463" s="8" t="s">
        <v>71</v>
      </c>
      <c r="E463" s="9" t="s">
        <v>44</v>
      </c>
      <c r="F463" s="9" t="s">
        <v>20</v>
      </c>
      <c r="G463" s="9" t="s">
        <v>524</v>
      </c>
      <c r="H463" s="8" t="s">
        <v>2398</v>
      </c>
      <c r="I463" s="8" t="s">
        <v>2399</v>
      </c>
      <c r="J463" s="9">
        <v>20.13</v>
      </c>
      <c r="K463" s="9">
        <v>6.0</v>
      </c>
      <c r="L463" s="8" t="s">
        <v>201</v>
      </c>
      <c r="M463" s="8" t="s">
        <v>2402</v>
      </c>
      <c r="N463" s="7" t="str">
        <f>IFERROR(__xludf.DUMMYFUNCTION("GOOGLETRANSLATE(L463, ""en"", ""pt"")"),"Servidores")</f>
        <v>Servidores</v>
      </c>
      <c r="O463" s="7" t="str">
        <f>IFERROR(__xludf.DUMMYFUNCTION("IF(M463="""","""",GOOGLETRANSLATE(M463,""en"",""pt""))"),"Receber pedidos, servir comidas e bebidas aos clientes. Limpar e arrumar as mesas. Receber pagamentos e fornecer recibos. Manter todos os postos de trabalho abastecidos. (6) vagas disponíveis. Período: 01/10/2026 a 31/05/2027. Necessário 3 meses de experi"&amp;"ência. Turnos rotativos. Dias de trabalho: segunda a domingo. Horário: 6h às 22h. Salário: US$ 12 a US$ 14 por hora, mais gorjetas, mas não menos que US$ 20,13 por hora, US$ 30,20 por hora para horas extras. Pagamento quinzenal. 35 horas semanais. Alojame"&amp;"nto opcional por US$ 700 por mês, com depósito de US$ 350 (US$ 300 reembolsáveis ​​após a assinatura do contrato e vistoria do imóvel / US$ 50 não reembolsáveis). Refeições durante o turno fornecidas. Local de trabalho: 1403 Glen Eagle Blvd, Naples, FL 34"&amp;"104. Trabalho temporário em tempo integral. O salário será calculado com base em uma semana de trabalho. Possibilidade de até 10 horas extras, quando disponíveis. Todas as deduções do salário do trabalhador exigidas por lei serão feitas. O empregador forn"&amp;"ecerá aos trabalhadores, sem custo algum, todas as ferramentas, suprimentos e equipamentos necessários para a execução do trabalho. O trabalhador receberá ou será reembolsado pelas despesas de transporte e subsistência (incluindo o custo razoável de hospe"&amp;"dagem noturna, quando necessário, até US$ 110 por noite, mediante apresentação de recibos) à taxa de US$ 16,78 por dia durante o deslocamento, até um máximo de US$ 68,00 por dia, mediante apresentação de recibos, desde o local de origem do trabalhador, se"&amp;"ja nos EUA ou no exterior, até o local de trabalho, caso o trabalhador complete 50% do período de trabalho abrangido pela ordem de serviço, em conformidade com 20 CFR 655.20(j)(1)(i), mediante inclusão no salário da semana correspondente. O empregador for"&amp;"necerá ou pagará o custo do transporte de retorno e da subsistência diária do trabalhador, do local de trabalho até o local de onde o trabalhador partiu para trabalhar para o empregador, independentemente de empregos intermediários, caso o trabalhador com"&amp;"plete o período de emprego certificado ou seja demitido do emprego por qualquer motivo pelo empregador antes do término do período, de acordo com o § 655.20(j)(1)(ii); os trabalhadores com visto H-2B serão reembolsados ​​na primeira semana de trabalho por"&amp;" todos os vistos, processamento de vistos, travessia de fronteira e outras taxas relacionadas, incluindo aquelas exigidas pelo governo (exceto taxas de passaporte). O empregador fornecerá aos trabalhadores todas as ferramentas, suprimentos e equipamentos "&amp;"necessários para o desempenho do trabalho, sem custo para o trabalhador, de acordo com o 20 CFR 655.20(k). Os candidatos qualificados podem enviar o currículo para Jeff Keeler, no endereço 1403 Glen Eagle Blvd, Naples, FL 34104, por e-mail para H2Bjobs@gl"&amp;"eneaglecountryclub.com ou visitar o centro de empregos local em 3050 Horseshoe Drive North, Building A, Suite 110, Naples, FL 34104. *Seu depósito de segurança é reembolsável após a conclusão do contrato e a inspeção da moradia. Se um trabalhador abandona"&amp;"r o emprego sem a permissão do empregador ou abandonar a moradia antes do término do prazo de inscrição por qualquer motivo, exceto rescisão por parte do empregador, o trabalhador perderá todos os depósitos de moradia, dias de folga remunerada, férias e b"&amp;"ônus. Após a rescisão ou demissão, o trabalhador deverá desocupar a moradia imediatamente, a menos que haja acordo com o empregador.* Classificação do Cargo: 35-3031.00 - Garçons e Garçonetes. A classificação e descrição do cargo/setor incluem informações"&amp;" gerais sobre a posição, de acordo com o ONET/OES e o Sistema de Classificação Industrial da América do Norte. Consulte as Funções e a Ordem de Serviço para obter mais informações. Requisitos da vaga Experiência necessária: Sim Meses de experiência necess"&amp;"ários: 3 Número de horas por semana: 35 Horário de trabalho (início/término): 6h às 22h")</f>
        <v>Receber pedidos, servir comidas e bebidas aos clientes. Limpar e arrumar as mesas. Receber pagamentos e fornecer recibos. Manter todos os postos de trabalho abastecidos. (6) vagas disponíveis. Período: 01/10/2026 a 31/05/2027. Necessário 3 meses de experiência. Turnos rotativos. Dias de trabalho: segunda a domingo. Horário: 6h às 22h. Salário: US$ 12 a US$ 14 por hora, mais gorjetas, mas não menos que US$ 20,13 por hora, US$ 30,20 por hora para horas extras. Pagamento quinzenal. 35 horas semanais. Alojamento opcional por US$ 700 por mês, com depósito de US$ 350 (US$ 300 reembolsáveis ​​após a assinatura do contrato e vistoria do imóvel / US$ 50 não reembolsáveis). Refeições durante o turno fornecidas. Local de trabalho: 1403 Glen Eagle Blvd, Naples, FL 34104. Trabalho temporário em tempo integral. O salário será calculado com base em uma semana de trabalho. Possibilidade de até 10 horas extras, quando disponíveis. Todas as deduções do salário do trabalhador exigidas por lei serão feitas. O empregador fornecerá aos trabalhadores, sem custo algum, todas as ferramentas, suprimentos e equipamentos necessários para a execução do trabalho. O trabalhador receberá ou será reembolsado pelas despesas de transporte e subsistência (incluindo o custo razoável de hospedagem noturna, quando necessário, até US$ 110 por noite, mediante apresentação de recibos) à taxa de US$ 16,78 por dia durante o deslocamento, até um máximo de US$ 68,00 por dia, mediante apresentação de recibos, desde o local de origem do trabalhador, seja nos EUA ou no exterior, até o local de trabalho, caso o trabalhador complete 50% do período de trabalho abrangido pela ordem de serviço, em conformidade com 20 CFR 655.20(j)(1)(i), mediante inclusão no salário da semana correspondente. O empregador fornecerá ou pagará o custo do transporte de retorno e da subsistência diária do trabalhador, do local de trabalho até o local de onde o trabalhador partiu para trabalhar para o empregador, independentemente de empregos intermediários, caso o trabalhador complete o período de emprego certificado ou seja demitido do emprego por qualquer motivo pelo empregador antes do término do período, de acordo com o § 655.20(j)(1)(ii); os trabalhadores com visto H-2B serão reembolsados ​​na primeira semana de trabalho por todos os vistos, processamento de vistos, travessia de fronteira e outras taxas relacionadas, incluindo aquelas exigidas pelo governo (exceto taxas de passaporte). O empregador fornecerá aos trabalhadores todas as ferramentas, suprimentos e equipamentos necessários para o desempenho do trabalho, sem custo para o trabalhador, de acordo com o 20 CFR 655.20(k). Os candidatos qualificados podem enviar o currículo para Jeff Keeler, no endereço 1403 Glen Eagle Blvd, Naples, FL 34104, por e-mail para H2Bjobs@gleneaglecountryclub.com ou visitar o centro de empregos local em 3050 Horseshoe Drive North, Building A, Suite 110, Naples, FL 34104. *Seu depósito de segurança é reembolsável após a conclusão do contrato e a inspeção da moradia. Se um trabalhador abandonar o emprego sem a permissão do empregador ou abandonar a moradia antes do término do prazo de inscrição por qualquer motivo, exceto rescisão por parte do empregador, o trabalhador perderá todos os depósitos de moradia, dias de folga remunerada, férias e bônus. Após a rescisão ou demissão, o trabalhador deverá desocupar a moradia imediatamente, a menos que haja acordo com o empregador.* Classificação do Cargo: 35-3031.00 - Garçons e Garçonetes. A classificação e descrição do cargo/setor incluem informações gerais sobre a posição, de acordo com o ONET/OES e o Sistema de Classificação Industrial da América do Norte. Consulte as Funções e a Ordem de Serviço para obter mais informações. Requisitos da vaga Experiência necessária: Sim Meses de experiência necessários: 3 Número de horas por semana: 35 Horário de trabalho (início/término): 6h às 22h</v>
      </c>
    </row>
    <row r="464" ht="20.25" customHeight="1">
      <c r="A464" s="3" t="s">
        <v>2403</v>
      </c>
      <c r="B464" s="3" t="s">
        <v>2404</v>
      </c>
      <c r="C464" s="3" t="s">
        <v>125</v>
      </c>
      <c r="D464" s="3" t="s">
        <v>55</v>
      </c>
      <c r="E464" s="4" t="s">
        <v>44</v>
      </c>
      <c r="F464" s="4" t="s">
        <v>20</v>
      </c>
      <c r="G464" s="4" t="s">
        <v>2405</v>
      </c>
      <c r="H464" s="3" t="s">
        <v>2406</v>
      </c>
      <c r="I464" s="3" t="s">
        <v>2407</v>
      </c>
      <c r="J464" s="4">
        <v>18.31</v>
      </c>
      <c r="K464" s="4">
        <v>24.0</v>
      </c>
      <c r="L464" s="3" t="s">
        <v>129</v>
      </c>
      <c r="M464" s="3" t="s">
        <v>2408</v>
      </c>
      <c r="N464" s="7" t="str">
        <f>IFERROR(__xludf.DUMMYFUNCTION("GOOGLETRANSLATE(L464, ""en"", ""pt"")"),"Trabalhador de paisagismo e manutenção de jardins")</f>
        <v>Trabalhador de paisagismo e manutenção de jardins</v>
      </c>
      <c r="O464" s="7" t="str">
        <f>IFERROR(__xludf.DUMMYFUNCTION("IF(M464="""","""",GOOGLETRANSLATE(M464,""en"",""pt""))"),"As funções incluem a instalação de árvores, arbustos ou flores durante o período de dormência, seguindo o padrão de design apropriado. Isso inclui descarregar materiais, cavar buracos para o sistema radicular, cobrir os buracos adequadamente e, às vezes, "&amp;"colocar grama em placas, plantar sementes de grama ou conectar a irrigação. Também envolve a remoção de folhas, plantio de sementes e palha, aeração do gramado, plantio de arbustos, escavação, rastelagem e instalação de blocos de concreto pré-moldados sem"&amp;" argamassa. Os trabalhadores podem coletar e remover lixo, regar gramados, árvores e plantas semeadas, além de podar árvores, arbustos ou sebes. Podem operar equipamentos motorizados e dirigir veículos até os locais dos clientes. As tarefas podem incluir "&amp;"colocação de grama em placas, corte de grama, rega de plantas e gramados, transplante de plantas, fertilização, escavação, rastelagem e instalação de aspersores. Os funcionários cavarão valas com no máximo 15 a 30 cm de profundidade e 15 a 30 cm de largur"&amp;"a com pás e ferramentas manuais. Essas valas são usadas para acomodar a tubulação utilizada na instalação de sistemas de irrigação. Toda a poda/aparamento será feita no solo. Os trabalhadores não realizarão nenhuma atividade de poda ou corte acima do níve"&amp;"l do solo. O trabalhador poderá transportar outros trabalhadores de e para os locais de trabalho ocasionalmente, porém esta não será sua principal função. Classificação da Função: 37-3011.00 - Trabalhadores de Paisagismo e Manutenção de Jardins. A classif"&amp;"icação e descrição da função/setor inclui informações gerais sobre o cargo, de acordo com o ONET/OES e o Sistema de Classificação Industrial da América do Norte (NAICS). Consulte as Funções e a Ordem de Serviço para obter mais informações. Requisitos da F"&amp;"unção Experiência Necessária: Não. Requisitos Especiais: Deve ser capaz de levantar 23 kg, realizar movimentos repetitivos, empurrar/puxar com frequência, caminhar bastante, agachar-se frequentemente e estar exposto a temperaturas extremas. Exame toxicoló"&amp;"gico pós-contratação por conta do empregador. Treinamento de 10 horas para obtenção do cartão OSHA (Administração de Segurança e Saúde Ocupacional) pós-contratação, pago pelo empregador. Verificação de antecedentes criminais pós-contratação por conta do e"&amp;"mpregador, conforme exigido por obrigações contratuais com os clientes. Número de Horas por Semana: 40. Horário de Trabalho (Início/Término): 7h às 16h.")</f>
        <v>As funções incluem a instalação de árvores, arbustos ou flores durante o período de dormência, seguindo o padrão de design apropriado. Isso inclui descarregar materiais, cavar buracos para o sistema radicular, cobrir os buracos adequadamente e, às vezes, colocar grama em placas, plantar sementes de grama ou conectar a irrigação. Também envolve a remoção de folhas, plantio de sementes e palha, aeração do gramado, plantio de arbustos, escavação, rastelagem e instalação de blocos de concreto pré-moldados sem argamassa. Os trabalhadores podem coletar e remover lixo, regar gramados, árvores e plantas semeadas, além de podar árvores, arbustos ou sebes. Podem operar equipamentos motorizados e dirigir veículos até os locais dos clientes. As tarefas podem incluir colocação de grama em placas, corte de grama, rega de plantas e gramados, transplante de plantas, fertilização, escavação, rastelagem e instalação de aspersores. Os funcionários cavarão valas com no máximo 15 a 30 cm de profundidade e 15 a 30 cm de largura com pás e ferramentas manuais. Essas valas são usadas para acomodar a tubulação utilizada na instalação de sistemas de irrigação. Toda a poda/aparamento será feita no solo. Os trabalhadores não realizarão nenhuma atividade de poda ou corte acima do nível do solo. O trabalhador poderá transportar outros trabalhadores de e para os locais de trabalho ocasionalmente, porém esta não será sua principal função. Classificação da Função: 37-3011.00 - Trabalhadores de Paisagismo e Manutenção de Jardins. A classificação e descrição da função/setor inclui informações gerais sobre o cargo, de acordo com o ONET/OES e o Sistema de Classificação Industrial da América do Norte (NAICS). Consulte as Funções e a Ordem de Serviço para obter mais informações. Requisitos da Função Experiência Necessária: Não. Requisitos Especiais: Deve ser capaz de levantar 23 kg, realizar movimentos repetitivos, empurrar/puxar com frequência, caminhar bastante, agachar-se frequentemente e estar exposto a temperaturas extremas. Exame toxicológico pós-contratação por conta do empregador. Treinamento de 10 horas para obtenção do cartão OSHA (Administração de Segurança e Saúde Ocupacional) pós-contratação, pago pelo empregador. Verificação de antecedentes criminais pós-contratação por conta do empregador, conforme exigido por obrigações contratuais com os clientes. Número de Horas por Semana: 40. Horário de Trabalho (Início/Término): 7h às 16h.</v>
      </c>
    </row>
    <row r="465" ht="20.25" customHeight="1">
      <c r="A465" s="8" t="s">
        <v>2409</v>
      </c>
      <c r="B465" s="8" t="s">
        <v>999</v>
      </c>
      <c r="C465" s="8" t="s">
        <v>1000</v>
      </c>
      <c r="D465" s="8" t="s">
        <v>833</v>
      </c>
      <c r="E465" s="9" t="s">
        <v>19</v>
      </c>
      <c r="F465" s="9" t="s">
        <v>20</v>
      </c>
      <c r="G465" s="9" t="s">
        <v>146</v>
      </c>
      <c r="H465" s="8" t="s">
        <v>1001</v>
      </c>
      <c r="I465" s="8" t="s">
        <v>1002</v>
      </c>
      <c r="J465" s="9">
        <v>20.75</v>
      </c>
      <c r="K465" s="9">
        <v>28.0</v>
      </c>
      <c r="L465" s="8" t="s">
        <v>302</v>
      </c>
      <c r="M465" s="8" t="s">
        <v>2410</v>
      </c>
      <c r="N465" s="7" t="str">
        <f>IFERROR(__xludf.DUMMYFUNCTION("GOOGLETRANSLATE(L465, ""en"", ""pt"")"),"Operários da construção civil")</f>
        <v>Operários da construção civil</v>
      </c>
      <c r="O465" s="7" t="str">
        <f>IFERROR(__xludf.DUMMYFUNCTION("IF(M465="""","""",GOOGLETRANSLATE(M465,""en"",""pt""))"),"Executar tarefas menores que envolvam trabalho braçal em canteiro de obras de concreto. Preparar o local para a concretagem, carregando e descarregando materiais, utilizando linhas de referência, cortando madeira com serra circular, utilizando marreta par"&amp;"a cravar estacas no solo, cavando e nivelando a terra com pás, picaretas e compactadores de solo. Sob supervisão, levantar, carregar, fixar, remover, lubrificar e posicionar fôrmas de concreto de madeira e metal utilizando ferramentas manuais e elétricas "&amp;"simples. Auxiliar na concretagem utilizando carrinhos de mão, rastelos de concreto, pás e vibrador de concreto manual. Limpar resíduos e selar juntas. Classificação da Função: 47-2061.00 - Auxiliares de Construção. A classificação e descrição da função/se"&amp;"tor incluem informações gerais sobre o cargo, conforme ONET/OES e o Sistema de Classificação Industrial da América do Norte (NAICS). Consulte as Funções e a Ordem de Serviço para obter mais informações. Requisitos da Função: Experiência Necessária: Sim. M"&amp;"eses de Experiência Necessários: 3. Requisitos Especiais: Trabalho em alguns fins de semana. Necessário suportar temperaturas extremas. Deve ser capaz de levantar e carregar 34 kg por 45 metros. Número de horas por semana: 40. Horário de trabalho (início/"&amp;"término): 7h às 17h.")</f>
        <v>Executar tarefas menores que envolvam trabalho braçal em canteiro de obras de concreto. Preparar o local para a concretagem, carregando e descarregando materiais, utilizando linhas de referência, cortando madeira com serra circular, utilizando marreta para cravar estacas no solo, cavando e nivelando a terra com pás, picaretas e compactadores de solo. Sob supervisão, levantar, carregar, fixar, remover, lubrificar e posicionar fôrmas de concreto de madeira e metal utilizando ferramentas manuais e elétricas simples. Auxiliar na concretagem utilizando carrinhos de mão, rastelos de concreto, pás e vibrador de concreto manual. Limpar resíduos e selar juntas. Classificação da Função: 47-2061.00 - Auxiliares de Construção. A classificação e descrição da função/setor incluem informações gerais sobre o cargo, conforme ONET/OES e o Sistema de Classificação Industrial da América do Norte (NAICS). Consulte as Funções e a Ordem de Serviço para obter mais informações. Requisitos da Função: Experiência Necessária: Sim. Meses de Experiência Necessários: 3. Requisitos Especiais: Trabalho em alguns fins de semana. Necessário suportar temperaturas extremas. Deve ser capaz de levantar e carregar 34 kg por 45 metros. Número de horas por semana: 40. Horário de trabalho (início/término): 7h às 17h.</v>
      </c>
    </row>
    <row r="466" ht="20.25" customHeight="1">
      <c r="A466" s="3" t="s">
        <v>2411</v>
      </c>
      <c r="B466" s="3" t="s">
        <v>999</v>
      </c>
      <c r="C466" s="3" t="s">
        <v>1000</v>
      </c>
      <c r="D466" s="3" t="s">
        <v>833</v>
      </c>
      <c r="E466" s="4" t="s">
        <v>19</v>
      </c>
      <c r="F466" s="4" t="s">
        <v>20</v>
      </c>
      <c r="G466" s="4" t="s">
        <v>146</v>
      </c>
      <c r="H466" s="3" t="s">
        <v>1001</v>
      </c>
      <c r="I466" s="3" t="s">
        <v>1002</v>
      </c>
      <c r="J466" s="4">
        <v>30.11</v>
      </c>
      <c r="K466" s="4">
        <v>6.0</v>
      </c>
      <c r="L466" s="3" t="s">
        <v>1464</v>
      </c>
      <c r="M466" s="3" t="s">
        <v>1465</v>
      </c>
      <c r="N466" s="7" t="str">
        <f>IFERROR(__xludf.DUMMYFUNCTION("GOOGLETRANSLATE(L466, ""en"", ""pt"")"),"Trabalhadores de vergalhão")</f>
        <v>Trabalhadores de vergalhão</v>
      </c>
      <c r="O466" s="7" t="str">
        <f>IFERROR(__xludf.DUMMYFUNCTION("IF(M466="""","""",GOOGLETRANSLATE(M466,""en"",""pt""))"),"Posicionar e fixar barras de aço ou malha em fôrmas de concreto para reforçá-lo. Capacidade de operar enrolador de arame, alicate Klein e ferramentas manuais para fixar e dobrar vergalhões. Classificação da função: 47-2171.00 - Trabalhadores de Ferro de R"&amp;"eforço e Vergalhões. A classificação e descrição da função/setor inclui informações gerais sobre o cargo, de acordo com o ONET/OES e o Sistema de Classificação Industrial da América do Norte (NAICS). Consulte as Funções e a Ordem de Serviço para obter mai"&amp;"s informações. Requisitos da vaga: Experiência necessária: Sim. Meses de experiência necessários: 6. Requisitos especiais: Trabalho em alguns fins de semana. Capacidade de lidar com temperaturas extremas. Capacidade de levantar e carregar 34 kg por 68 met"&amp;"ros. Disponibilidade para deslocamento para locais de trabalho dentro da área de atuação. Número de horas por semana: 40. Horário de trabalho (início/término): 7h às 17h.")</f>
        <v>Posicionar e fixar barras de aço ou malha em fôrmas de concreto para reforçá-lo. Capacidade de operar enrolador de arame, alicate Klein e ferramentas manuais para fixar e dobrar vergalhões. Classificação da função: 47-2171.00 - Trabalhadores de Ferro de Reforço e Vergalhões. A classificação e descrição da função/setor inclui informações gerais sobre o cargo, de acordo com o ONET/OES e o Sistema de Classificação Industrial da América do Norte (NAICS). Consulte as Funções e a Ordem de Serviço para obter mais informações. Requisitos da vaga: Experiência necessária: Sim. Meses de experiência necessários: 6. Requisitos especiais: Trabalho em alguns fins de semana. Capacidade de lidar com temperaturas extremas. Capacidade de levantar e carregar 34 kg por 68 metros. Disponibilidade para deslocamento para locais de trabalho dentro da área de atuação. Número de horas por semana: 40. Horário de trabalho (início/término): 7h às 17h.</v>
      </c>
    </row>
    <row r="467" ht="20.25" customHeight="1">
      <c r="A467" s="8" t="s">
        <v>2412</v>
      </c>
      <c r="B467" s="8" t="s">
        <v>999</v>
      </c>
      <c r="C467" s="8" t="s">
        <v>1000</v>
      </c>
      <c r="D467" s="8" t="s">
        <v>833</v>
      </c>
      <c r="E467" s="9" t="s">
        <v>19</v>
      </c>
      <c r="F467" s="9" t="s">
        <v>20</v>
      </c>
      <c r="G467" s="9" t="s">
        <v>146</v>
      </c>
      <c r="H467" s="8" t="s">
        <v>1001</v>
      </c>
      <c r="I467" s="8" t="s">
        <v>1002</v>
      </c>
      <c r="J467" s="9">
        <v>22.18</v>
      </c>
      <c r="K467" s="9">
        <v>20.0</v>
      </c>
      <c r="L467" s="8" t="s">
        <v>1003</v>
      </c>
      <c r="M467" s="8" t="s">
        <v>1004</v>
      </c>
      <c r="N467" s="7" t="str">
        <f>IFERROR(__xludf.DUMMYFUNCTION("GOOGLETRANSLATE(L467, ""en"", ""pt"")"),"Acabadores de concreto")</f>
        <v>Acabadores de concreto</v>
      </c>
      <c r="O467" s="7" t="str">
        <f>IFERROR(__xludf.DUMMYFUNCTION("IF(M467="""","""",GOOGLETRANSLATE(M467,""en"",""pt""))"),"Preparar o canteiro de obras onde o concreto será despejado, orientando os operários a posicionar os materiais no local, medir as fôrmas, verificar o nivelamento e confirmar o layout correto das fôrmas. Posicionar e alinhar com segurança as fôrmas de made"&amp;"ira e metal que conterão o concreto. Espalhar, nivelar e alisar o concreto usando rastelos, réguas de nivelamento manuais ou motorizadas, alisadoras mecânicas, pás ou ferramentas manuais. Desmontar as fôrmas e cortar o concreto com serras para concreto. L"&amp;"impar o canteiro de obras. Classificação da Função: 47-2051.00 - Pedreiros e Acabadores de Concreto. A classificação e descrição da função/setor incluem informações gerais sobre o cargo, de acordo com o ONET/OES e o Sistema de Classificação Industrial da "&amp;"América do Norte (NAICS). Consulte as Funções e a Ordem de Serviço para obter mais informações. Requisitos da Função: Experiência Necessária: Sim. Meses de Experiência Necessários: 36. Requisitos Especiais: Trabalho em alguns fins de semana. Capacidade de"&amp;" levantar e carregar 34 kg por 45 metros. Capacidade de suportar temperaturas extremas. Disponibilidade para viagens a locais de trabalho dentro da área de atuação pretendida. Número de horas por semana: 40 Horário de trabalho (início/término): 7h00 - 17h"&amp;"00")</f>
        <v>Preparar o canteiro de obras onde o concreto será despejado, orientando os operários a posicionar os materiais no local, medir as fôrmas, verificar o nivelamento e confirmar o layout correto das fôrmas. Posicionar e alinhar com segurança as fôrmas de madeira e metal que conterão o concreto. Espalhar, nivelar e alisar o concreto usando rastelos, réguas de nivelamento manuais ou motorizadas, alisadoras mecânicas, pás ou ferramentas manuais. Desmontar as fôrmas e cortar o concreto com serras para concreto. Limpar o canteiro de obras. Classificação da Função: 47-2051.00 - Pedreiros e Acabadores de Concreto. A classificação e descrição da função/setor incluem informações gerais sobre o cargo, de acordo com o ONET/OES e o Sistema de Classificação Industrial da América do Norte (NAICS). Consulte as Funções e a Ordem de Serviço para obter mais informações. Requisitos da Função: Experiência Necessária: Sim. Meses de Experiência Necessários: 36. Requisitos Especiais: Trabalho em alguns fins de semana. Capacidade de levantar e carregar 34 kg por 45 metros. Capacidade de suportar temperaturas extremas. Disponibilidade para viagens a locais de trabalho dentro da área de atuação pretendida. Número de horas por semana: 40 Horário de trabalho (início/término): 7h00 - 17h00</v>
      </c>
    </row>
    <row r="468" ht="20.25" customHeight="1">
      <c r="A468" s="3" t="s">
        <v>2413</v>
      </c>
      <c r="B468" s="3" t="s">
        <v>999</v>
      </c>
      <c r="C468" s="3" t="s">
        <v>1000</v>
      </c>
      <c r="D468" s="3" t="s">
        <v>833</v>
      </c>
      <c r="E468" s="4" t="s">
        <v>19</v>
      </c>
      <c r="F468" s="4" t="s">
        <v>20</v>
      </c>
      <c r="G468" s="4" t="s">
        <v>146</v>
      </c>
      <c r="H468" s="3" t="s">
        <v>1001</v>
      </c>
      <c r="I468" s="3" t="s">
        <v>1002</v>
      </c>
      <c r="J468" s="4">
        <v>19.58</v>
      </c>
      <c r="K468" s="4">
        <v>36.0</v>
      </c>
      <c r="L468" s="3" t="s">
        <v>302</v>
      </c>
      <c r="M468" s="3" t="s">
        <v>1214</v>
      </c>
      <c r="N468" s="7" t="str">
        <f>IFERROR(__xludf.DUMMYFUNCTION("GOOGLETRANSLATE(L468, ""en"", ""pt"")"),"Operários da construção civil")</f>
        <v>Operários da construção civil</v>
      </c>
      <c r="O468" s="7" t="str">
        <f>IFERROR(__xludf.DUMMYFUNCTION("IF(M468="""","""",GOOGLETRANSLATE(M468,""en"",""pt""))"),"Executar tarefas menores que envolvam trabalho braçal em canteiro de obras de concreto. Preparar o local para a concretagem, carregando e descarregando materiais, utilizando linhas de referência, cortando madeira com serra circular, utilizando marreta par"&amp;"a cravar estacas no solo, cavando e nivelando a terra com pás, picaretas e compactadores de solo. Sob supervisão, levantar, carregar, fixar, remover, lubrificar e posicionar fôrmas de concreto de madeira e metal utilizando ferramentas manuais e elétricas "&amp;"simples. Auxiliar na concretagem utilizando carrinhos de mão, rastelos de concreto, pás e vibrador de concreto manual. Limpar resíduos e selar juntas. Classificação da Função: 47-2061.00 - Auxiliares de Construção. A classificação e descrição da função/se"&amp;"tor incluem informações gerais sobre o cargo, conforme ONET/OES e o Sistema de Classificação Industrial da América do Norte (NAICS). Consulte as Funções e a Ordem de Serviço para obter mais informações. Requisitos da Função: Experiência Necessária: Sim. M"&amp;"eses de Experiência Necessários: 3. Requisitos Especiais: Trabalho em alguns fins de semana. Necessário suportar temperaturas extremas. Deve ser capaz de levantar e carregar 34 kg por 45 metros. Deslocamentos para locais de trabalho dentro da área de atua"&amp;"ção pretendida. Número de horas por semana: 40. Horário de trabalho (início/término): 7h às 17h.")</f>
        <v>Executar tarefas menores que envolvam trabalho braçal em canteiro de obras de concreto. Preparar o local para a concretagem, carregando e descarregando materiais, utilizando linhas de referência, cortando madeira com serra circular, utilizando marreta para cravar estacas no solo, cavando e nivelando a terra com pás, picaretas e compactadores de solo. Sob supervisão, levantar, carregar, fixar, remover, lubrificar e posicionar fôrmas de concreto de madeira e metal utilizando ferramentas manuais e elétricas simples. Auxiliar na concretagem utilizando carrinhos de mão, rastelos de concreto, pás e vibrador de concreto manual. Limpar resíduos e selar juntas. Classificação da Função: 47-2061.00 - Auxiliares de Construção. A classificação e descrição da função/setor incluem informações gerais sobre o cargo, conforme ONET/OES e o Sistema de Classificação Industrial da América do Norte (NAICS). Consulte as Funções e a Ordem de Serviço para obter mais informações. Requisitos da Função: Experiência Necessária: Sim. Meses de Experiência Necessários: 3. Requisitos Especiais: Trabalho em alguns fins de semana. Necessário suportar temperaturas extremas. Deve ser capaz de levantar e carregar 34 kg por 45 metros. Deslocamentos para locais de trabalho dentro da área de atuação pretendida. Número de horas por semana: 40. Horário de trabalho (início/término): 7h às 17h.</v>
      </c>
    </row>
    <row r="469" ht="20.25" customHeight="1">
      <c r="A469" s="8" t="s">
        <v>2414</v>
      </c>
      <c r="B469" s="8" t="s">
        <v>2415</v>
      </c>
      <c r="C469" s="8" t="s">
        <v>1904</v>
      </c>
      <c r="D469" s="8" t="s">
        <v>1978</v>
      </c>
      <c r="E469" s="9" t="s">
        <v>19</v>
      </c>
      <c r="F469" s="9" t="s">
        <v>20</v>
      </c>
      <c r="G469" s="9" t="s">
        <v>1280</v>
      </c>
      <c r="H469" s="8" t="s">
        <v>2416</v>
      </c>
      <c r="I469" s="8" t="s">
        <v>2417</v>
      </c>
      <c r="J469" s="9">
        <v>17.68</v>
      </c>
      <c r="K469" s="9">
        <v>25.0</v>
      </c>
      <c r="L469" s="8" t="s">
        <v>1140</v>
      </c>
      <c r="M469" s="8" t="s">
        <v>2418</v>
      </c>
      <c r="N469" s="7" t="str">
        <f>IFERROR(__xludf.DUMMYFUNCTION("GOOGLETRANSLATE(L469, ""en"", ""pt"")"),"Trabalhadores Florestais")</f>
        <v>Trabalhadores Florestais</v>
      </c>
      <c r="O469" s="7" t="str">
        <f>IFERROR(__xludf.DUMMYFUNCTION("IF(M469="""","""",GOOGLETRANSLATE(M469,""en"",""pt""))"),"As funções podem incluir: Cultivo e transporte de mudas, seleção de mudas de árvores, descarte de mudas abaixo do padrão, de acordo com tabelas padrão ou instruções verbais. Plantio: Mudas/árvores, pulverização ou injeção de inseticidas na vegetação para "&amp;"matar insetos ou proteger contra doenças, ou herbicidas para reduzir a vegetação concorrente ou estimular o crescimento. Poda de árvores ou outras vegetações; corte de árvores ou toras. Empilhamento, trituração ou poda e dispersão dos resíduos gerados. Ma"&amp;"nutenção dos equipamentos utilizados em campo. SE NECESSÁRIO (SOMENTE EM CASO DE INCÊNDIO IMPREVISTO) E SOB A SUPERVISÃO DIRETA DE OFICIAIS DE COMBATE A INCÊNDIOS OU TÉCNICOS FLORESTAIS: combate a incêndios de menor escala por meio de limpeza/descarte de "&amp;"vegetação rasteira e empilhamento e escavação de aceiros/construção de ""faixas corta-fogo"" (escavação manual de pequenas trincheiras, conforme necessário). Possibilidade de condução ocasional e outras atividades relacionadas a trabalhadores florestais, "&amp;"conforme SOC/OES 45-4011 (onetonline.org). Horário padrão/previsto: Segunda a sexta, das 6h às 15h. Oferecemos mais de 40 horas semanais, sem incluir almoço e/ou intervalos. Possibilidade de trabalho aos fins de semana. Os horários de início e término, a "&amp;"carga horária e/ou horas extras podem variar, dependendo de fatores como necessidades do projeto/cronograma/serviço, condições climáticas e tempo de deslocamento entre os locais de trabalho (se aplicável). Horas extras são possíveis, mas não obrigatórias "&amp;"nem garantidas. A critério exclusivo do empregador: aumentos salariais e/ou bônus podem ser concedidos com base em fatores individuais, como desempenho ou habilidades (não garantidos). Moradia compartilhada opcional, sem custo para o trabalhador. Classifi"&amp;"cação da vaga: 45-4011.00 - Trabalhadores Florestais e de Conservação. A classificação e descrição da vaga/setor incluem informações gerais sobre o cargo, conforme ONET/OES e o Sistema de Classificação Industrial da América do Norte. Consulte as atribuiçõ"&amp;"es e a ordem de serviço para obter mais informações. Requisitos da vaga: Experiência necessária: Sim. Meses de experiência necessários: 3. Requisitos especiais: Idade mínima de 18 anos devido a viagens. É necessário apresentar comprovante de autorização l"&amp;"egal para trabalhar nos Estados Unidos. Ambiente de trabalho livre de drogas, álcool e tabaco. Atividades físicas incluem levantar, equilibrar-se, caminhar, agachar-se, manusear, posicionar, mover e manipular materiais, utilizando força estática para exer"&amp;"cer força muscular máxima para levantar, empurrar, puxar e carregar objetos de até 18 kg. Todos os candidatos devem ser capazes, dispostos e qualificados para realizar o trabalho descrito e devem estar disponíveis durante todo o período especificado e tra"&amp;"balhar em todas as áreas da empresa. O trabalho é realizado ao ar livre, exposto às intempéries; o candidato deve ser capaz de realizar trabalho fisicamente extenuante por longos períodos, ocasionalmente em calor ou frio extremos. Condições climáticas var"&amp;"iáveis ​​se aplicam; a carga horária pode sofrer alterações (+/-), com possibilidade de períodos de inatividade e/ou horas extras. Número de horas por semana: 40. Horário de trabalho (início/término): 6h às 15h.")</f>
        <v>As funções podem incluir: Cultivo e transporte de mudas, seleção de mudas de árvores, descarte de mudas abaixo do padrão, de acordo com tabelas padrão ou instruções verbais. Plantio: Mudas/árvores, pulverização ou injeção de inseticidas na vegetação para matar insetos ou proteger contra doenças, ou herbicidas para reduzir a vegetação concorrente ou estimular o crescimento. Poda de árvores ou outras vegetações; corte de árvores ou toras. Empilhamento, trituração ou poda e dispersão dos resíduos gerados. Manutenção dos equipamentos utilizados em campo. SE NECESSÁRIO (SOMENTE EM CASO DE INCÊNDIO IMPREVISTO) E SOB A SUPERVISÃO DIRETA DE OFICIAIS DE COMBATE A INCÊNDIOS OU TÉCNICOS FLORESTAIS: combate a incêndios de menor escala por meio de limpeza/descarte de vegetação rasteira e empilhamento e escavação de aceiros/construção de "faixas corta-fogo" (escavação manual de pequenas trincheiras, conforme necessário). Possibilidade de condução ocasional e outras atividades relacionadas a trabalhadores florestais, conforme SOC/OES 45-4011 (onetonline.org). Horário padrão/previsto: Segunda a sexta, das 6h às 15h. Oferecemos mais de 40 horas semanais, sem incluir almoço e/ou intervalos. Possibilidade de trabalho aos fins de semana. Os horários de início e término, a carga horária e/ou horas extras podem variar, dependendo de fatores como necessidades do projeto/cronograma/serviço, condições climáticas e tempo de deslocamento entre os locais de trabalho (se aplicável). Horas extras são possíveis, mas não obrigatórias nem garantidas. A critério exclusivo do empregador: aumentos salariais e/ou bônus podem ser concedidos com base em fatores individuais, como desempenho ou habilidades (não garantidos). Moradia compartilhada opcional, sem custo para o trabalhador. Classificação da vaga: 45-4011.00 - Trabalhadores Florestais e de Conservação. A classificação e descrição da vaga/setor incluem informações gerais sobre o cargo, conforme ONET/OES e o Sistema de Classificação Industrial da América do Norte. Consulte as atribuições e a ordem de serviço para obter mais informações. Requisitos da vaga: Experiência necessária: Sim. Meses de experiência necessários: 3. Requisitos especiais: Idade mínima de 18 anos devido a viagens. É necessário apresentar comprovante de autorização legal para trabalhar nos Estados Unidos. Ambiente de trabalho livre de drogas, álcool e tabaco. Atividades físicas incluem levantar, equilibrar-se, caminhar, agachar-se, manusear, posicionar, mover e manipular materiais, utilizando força estática para exercer força muscular máxima para levantar, empurrar, puxar e carregar objetos de até 18 kg. Todos os candidatos devem ser capazes, dispostos e qualificados para realizar o trabalho descrito e devem estar disponíveis durante todo o período especificado e trabalhar em todas as áreas da empresa. O trabalho é realizado ao ar livre, exposto às intempéries; o candidato deve ser capaz de realizar trabalho fisicamente extenuante por longos períodos, ocasionalmente em calor ou frio extremos. Condições climáticas variáveis ​​se aplicam; a carga horária pode sofrer alterações (+/-), com possibilidade de períodos de inatividade e/ou horas extras. Número de horas por semana: 40. Horário de trabalho (início/término): 6h às 15h.</v>
      </c>
    </row>
    <row r="470" ht="20.25" customHeight="1">
      <c r="A470" s="3" t="s">
        <v>2419</v>
      </c>
      <c r="B470" s="3" t="s">
        <v>2420</v>
      </c>
      <c r="C470" s="3" t="s">
        <v>2421</v>
      </c>
      <c r="D470" s="3" t="s">
        <v>140</v>
      </c>
      <c r="E470" s="4" t="s">
        <v>19</v>
      </c>
      <c r="F470" s="4" t="s">
        <v>20</v>
      </c>
      <c r="G470" s="4" t="s">
        <v>404</v>
      </c>
      <c r="H470" s="3" t="s">
        <v>2422</v>
      </c>
      <c r="I470" s="3" t="s">
        <v>2423</v>
      </c>
      <c r="J470" s="4">
        <v>17.86</v>
      </c>
      <c r="K470" s="4">
        <v>19.0</v>
      </c>
      <c r="L470" s="3" t="s">
        <v>83</v>
      </c>
      <c r="M470" s="3" t="s">
        <v>2424</v>
      </c>
      <c r="N470" s="7" t="str">
        <f>IFERROR(__xludf.DUMMYFUNCTION("GOOGLETRANSLATE(L470, ""en"", ""pt"")"),"Trabalhador Florestal")</f>
        <v>Trabalhador Florestal</v>
      </c>
      <c r="O470" s="7" t="str">
        <f>IFERROR(__xludf.DUMMYFUNCTION("IF(M470="""","""",GOOGLETRANSLATE(M470,""en"",""pt""))"),"As funções podem incluir: plantio de mudas para reflorestamento de áreas florestais. Plantio mecanizado. As mudas são plantadas de acordo com as especificações do proprietário da terra e outras atividades relacionadas ao trabalho florestal, conforme SOC/O"&amp;"ES 45-4011 (onetonline.org). Horário padrão/esperado: segunda a sexta, das 8h às 17h. Oferecemos mais de 40 horas semanais, sem incluir almoço e/ou intervalos. Possibilidade de trabalho em fins de semana e feriados. Os horários de início e término, a carg"&amp;"a horária e/ou horas extras podem variar, pois dependem de fatores como projeto/cronograma/necessidades do serviço, condições climáticas e tempo de deslocamento entre os locais de trabalho (se aplicável). Horas extras são possíveis, mas não obrigatórias n"&amp;"em garantidas. A critério exclusivo do empregador: aumentos salariais e/ou bônus podem ser concedidos com base em fatores individuais, como desempenho ou habilidades (não garantidos). Moradia compartilhada opcional, sem custo para o trabalhador. Classific"&amp;"ação da Função: 45-4011.00 - Trabalhadores Florestais e de Conservação. A classificação e descrição da função/setor inclui informações gerais sobre o cargo, de acordo com o ONET/OES e o Sistema de Classificação Industrial da América do Norte. Consulte as "&amp;"Funções e a Ordem de Serviço para obter mais informações. Requisitos da Função Experiência Necessária: Sim Meses de Experiência Necessários: 3 Requisitos Especiais: É necessário ter 18 anos devido a viagens. É necessário apresentar comprovante de autoriza"&amp;"ção legal para trabalhar nos Estados Unidos. Ambiente de trabalho livre de drogas, álcool e tabaco. É necessário caminhar bastante (até 24 km/dia), além de se abaixar e se curvar carregando uma mochila (até 23 kg) em terrenos acidentados (fora de trilhas)"&amp;". Todos os candidatos devem ser capazes, dispostos e qualificados para executar o trabalho descrito e devem estar disponíveis durante todo o período especificado e trabalhar em todas as áreas de atuação pretendidas. O trabalho é realizado ao ar livre, exp"&amp;"osto às intempéries; o candidato deve ser capaz de realizar trabalho fisicamente extenuante por longos períodos, ocasionalmente em calor ou frio extremos. Condições climáticas variáveis ​​se aplicam. O horário de trabalho pode variar (+/-), podendo haver "&amp;"períodos de inatividade e/ou horas extras. Número de horas por semana: 40. Horário de trabalho (início/término): 8h às 17h.")</f>
        <v>As funções podem incluir: plantio de mudas para reflorestamento de áreas florestais. Plantio mecanizado. As mudas são plantadas de acordo com as especificações do proprietário da terra e outras atividades relacionadas ao trabalho florestal, conforme SOC/OES 45-4011 (onetonline.org). Horário padrão/esperado: segunda a sexta, das 8h às 17h. Oferecemos mais de 40 horas semanais, sem incluir almoço e/ou intervalos. Possibilidade de trabalho em fins de semana e feriados. Os horários de início e término, a carga horária e/ou horas extras podem variar, pois dependem de fatores como projeto/cronograma/necessidades do serviço, condições climáticas e tempo de deslocamento entre os locais de trabalho (se aplicável). Horas extras são possíveis, mas não obrigatórias nem garantidas. A critério exclusivo do empregador: aumentos salariais e/ou bônus podem ser concedidos com base em fatores individuais, como desempenho ou habilidades (não garantidos). Moradia compartilhada opcional, sem custo para o trabalhador. Classificação da Função: 45-4011.00 - Trabalhadores Florestais e de Conservação. A classificação e descrição da função/setor inclui informações gerais sobre o cargo, de acordo com o ONET/OES e o Sistema de Classificação Industrial da América do Norte. Consulte as Funções e a Ordem de Serviço para obter mais informações. Requisitos da Função Experiência Necessária: Sim Meses de Experiência Necessários: 3 Requisitos Especiais: É necessário ter 18 anos devido a viagens. É necessário apresentar comprovante de autorização legal para trabalhar nos Estados Unidos. Ambiente de trabalho livre de drogas, álcool e tabaco. É necessário caminhar bastante (até 24 km/dia), além de se abaixar e se curvar carregando uma mochila (até 23 kg) em terrenos acidentados (fora de trilhas). Todos os candidatos devem ser capazes, dispostos e qualificados para executar o trabalho descrito e devem estar disponíveis durante todo o período especificado e trabalhar em todas as áreas de atuação pretendidas. O trabalho é realizado ao ar livre, exposto às intempéries; o candidato deve ser capaz de realizar trabalho fisicamente extenuante por longos períodos, ocasionalmente em calor ou frio extremos. Condições climáticas variáveis ​​se aplicam. O horário de trabalho pode variar (+/-), podendo haver períodos de inatividade e/ou horas extras. Número de horas por semana: 40. Horário de trabalho (início/término): 8h às 17h.</v>
      </c>
    </row>
    <row r="471" ht="20.25" customHeight="1">
      <c r="A471" s="8" t="s">
        <v>2425</v>
      </c>
      <c r="B471" s="8" t="s">
        <v>2426</v>
      </c>
      <c r="C471" s="8" t="s">
        <v>2338</v>
      </c>
      <c r="D471" s="8" t="s">
        <v>71</v>
      </c>
      <c r="E471" s="9" t="s">
        <v>19</v>
      </c>
      <c r="F471" s="9" t="s">
        <v>20</v>
      </c>
      <c r="G471" s="9" t="s">
        <v>2339</v>
      </c>
      <c r="H471" s="8" t="s">
        <v>2340</v>
      </c>
      <c r="I471" s="8" t="s">
        <v>2341</v>
      </c>
      <c r="J471" s="9">
        <v>16.29</v>
      </c>
      <c r="K471" s="9">
        <v>12.0</v>
      </c>
      <c r="L471" s="8" t="s">
        <v>2342</v>
      </c>
      <c r="M471" s="8" t="s">
        <v>2427</v>
      </c>
      <c r="N471" s="7" t="str">
        <f>IFERROR(__xludf.DUMMYFUNCTION("GOOGLETRANSLATE(L471, ""en"", ""pt"")"),"Tratador de cavalos/cuidador de estábulo")</f>
        <v>Tratador de cavalos/cuidador de estábulo</v>
      </c>
      <c r="O471" s="7" t="str">
        <f>IFERROR(__xludf.DUMMYFUNCTION("IF(M471="""","""",GOOGLETRANSLATE(M471,""en"",""pt""))"),"Como tratador/auxiliar de estábulo, o profissional será responsável por auxiliar nos cuidados diários dos cavalos e na preparação para o treinamento. Suas responsabilidades incluem alimentar e dar água aos cavalos, limpá-los, selá-los, banhá-los, escová-l"&amp;"os e tosquiá-los, colocar botas ortopédicas e prepará-los para o treinamento. Também será responsável por limpar os cascos, colocar e remover bandagens/botas ortopédicas e selá-los para o treinamento. Além disso, deverá banhar e refrescar os cavalos após "&amp;"o treinamento e exercício. Auxiliará o veterinário durante os exames físicos, mantendo o cavalo calmo e sob controle. Auxiliará os ferradores na inspeção, remoção, aplicação, ajuste e manutenção dos cascos e ferraduras, mantendo o cavalo calmo e sob contr"&amp;"ole. Limpará e trocará a cama das baias. Enxaguará os cavalos com água fria ou morna. Enfaixará os cavalos com talas ou bandagens de compressão, conforme necessário. Exercitará e montará os cavalos, auxiliando os treinadores na preparação dos animais para"&amp;" o treinamento diário. Classificação da Função: 39-2021.00 - Cuidadores de Animais. A classificação e descrição da função/setor inclui informações gerais sobre o cargo, de acordo com o ONET/OES e o Sistema de Classificação Industrial da América do Norte. "&amp;"Consulte as Funções e a Ordem de Serviço para obter mais informações. Requisitos da Função: Experiência Necessária: Sim. Meses de Experiência Necessários: 3. Requisitos Especiais: Turno dividido, das 5h às 10h e das 14h30 às 16h30 (de terça a domingo). Ho"&amp;"ras opcionais disponíveis na segunda-feira, mas não obrigatórias. O horário pode variar de acordo com as condições climáticas e o calendário de corridas. Os funcionários devem ser capazes de levantar e carregar pesos de até 68 kg (150 lbs) com auxílio. Os"&amp;" funcionários devem ter capacidade para levantar, carregar e movimentar equipamentos e materiais necessários para a execução das tarefas designadas. O empregador se baseará nas autodeclarações e observações dos funcionários para avaliar se eles atendem a "&amp;"esse requisito. Não será oferecido treinamento no local de trabalho. O empregador fornecerá ao trabalhador, sem custos ou taxas de depósito, todas as ferramentas, suprimentos e equipamentos necessários para o desempenho das funções atribuídas, de acordo c"&amp;"om o 20 CFR 655.20(k). Testes aleatórios de drogas poderão ser exigidos após a contratação para todos os trabalhadores, tanto americanos/nacionais quanto trabalhadores com visto H-2B, às custas do empregador. Número de horas por semana: 40. Horário de tra"&amp;"balho (início/término): 5h00 às 16h30.")</f>
        <v>Como tratador/auxiliar de estábulo, o profissional será responsável por auxiliar nos cuidados diários dos cavalos e na preparação para o treinamento. Suas responsabilidades incluem alimentar e dar água aos cavalos, limpá-los, selá-los, banhá-los, escová-los e tosquiá-los, colocar botas ortopédicas e prepará-los para o treinamento. Também será responsável por limpar os cascos, colocar e remover bandagens/botas ortopédicas e selá-los para o treinamento. Além disso, deverá banhar e refrescar os cavalos após o treinamento e exercício. Auxiliará o veterinário durante os exames físicos, mantendo o cavalo calmo e sob controle. Auxiliará os ferradores na inspeção, remoção, aplicação, ajuste e manutenção dos cascos e ferraduras, mantendo o cavalo calmo e sob controle. Limpará e trocará a cama das baias. Enxaguará os cavalos com água fria ou morna. Enfaixará os cavalos com talas ou bandagens de compressão, conforme necessário. Exercitará e montará os cavalos, auxiliando os treinadores na preparação dos animais para o treinamento diário. Classificação da Função: 39-2021.00 - Cuidadores de Animais. A classificação e descrição da função/setor inclui informações gerais sobre o cargo, de acordo com o ONET/OES e o Sistema de Classificação Industrial da América do Norte. Consulte as Funções e a Ordem de Serviço para obter mais informações. Requisitos da Função: Experiência Necessária: Sim. Meses de Experiência Necessários: 3. Requisitos Especiais: Turno dividido, das 5h às 10h e das 14h30 às 16h30 (de terça a domingo). Horas opcionais disponíveis na segunda-feira, mas não obrigatórias. O horário pode variar de acordo com as condições climáticas e o calendário de corridas. Os funcionários devem ser capazes de levantar e carregar pesos de até 68 kg (150 lbs) com auxílio. Os funcionários devem ter capacidade para levantar, carregar e movimentar equipamentos e materiais necessários para a execução das tarefas designadas. O empregador se baseará nas autodeclarações e observações dos funcionários para avaliar se eles atendem a esse requisito. Não será oferecido treinamento no local de trabalho. O empregador fornecerá ao trabalhador, sem custos ou taxas de depósito, todas as ferramentas, suprimentos e equipamentos necessários para o desempenho das funções atribuídas, de acordo com o 20 CFR 655.20(k). Testes aleatórios de drogas poderão ser exigidos após a contratação para todos os trabalhadores, tanto americanos/nacionais quanto trabalhadores com visto H-2B, às custas do empregador. Número de horas por semana: 40. Horário de trabalho (início/término): 5h00 às 16h30.</v>
      </c>
    </row>
    <row r="472" ht="20.25" customHeight="1">
      <c r="A472" s="3" t="s">
        <v>2428</v>
      </c>
      <c r="B472" s="3" t="s">
        <v>1548</v>
      </c>
      <c r="C472" s="3" t="s">
        <v>376</v>
      </c>
      <c r="D472" s="3" t="s">
        <v>28</v>
      </c>
      <c r="E472" s="4" t="s">
        <v>44</v>
      </c>
      <c r="F472" s="4" t="s">
        <v>20</v>
      </c>
      <c r="G472" s="4" t="s">
        <v>94</v>
      </c>
      <c r="H472" s="3" t="s">
        <v>1549</v>
      </c>
      <c r="I472" s="3" t="s">
        <v>1550</v>
      </c>
      <c r="J472" s="4">
        <v>18.37</v>
      </c>
      <c r="K472" s="4">
        <v>8.0</v>
      </c>
      <c r="L472" s="3" t="s">
        <v>501</v>
      </c>
      <c r="M472" s="3" t="s">
        <v>2429</v>
      </c>
      <c r="N472" s="7" t="str">
        <f>IFERROR(__xludf.DUMMYFUNCTION("GOOGLETRANSLATE(L472, ""en"", ""pt"")"),"Auxiliar de Manutenção")</f>
        <v>Auxiliar de Manutenção</v>
      </c>
      <c r="O472" s="7" t="str">
        <f>IFERROR(__xludf.DUMMYFUNCTION("IF(M472="""","""",GOOGLETRANSLATE(M472,""en"",""pt""))"),"Auxiliar de Manutenção – Oito (8) vagas temporárias em tempo integral disponíveis de 01/10/2026 a 31/01/2027 em Thibodaux, Louisiana, na Lafourche Sugars, LLC. Auxiliar os trabalhadores de instalação, manutenção e reparo na manutenção, substituição de peç"&amp;"as e reparo de equipamentos industriais utilizados no processamento de açúcar bruto. Executar tarefas como fornecer ferramentas, materiais e suprimentos para outros trabalhadores mais experientes. Limpar a área de trabalho, máquinas e ferramentas, e segur"&amp;"ar materiais ou ferramentas para outros trabalhadores mais experientes durante a época da colheita. $ 18,37/hora; $ 27,55/hora de hora extra paga a cada 2 semanas por cheque. Será necessário trabalhar em turnos rotativos de 8 horas, incluindo (6h-14h; 14h"&amp;"-22h; 22h-6h); 56 horas por semana durante a época da colheita, 40 horas por semana após a época da colheita, hora extra paga após 48 horas durante a colheita e após 40 horas após a colheita. É necessário ter disponibilidade para trabalhar 7 dias por sema"&amp;"na durante a moagem/colheita. As horas extras serão variáveis ​​e não são garantidas. O empregador fará todos os descontos exigidos por lei no contracheque do trabalhador. O trabalhador terá 30 minutos de intervalo para almoço remunerado durante o expedie"&amp;"nte. É necessário ter no mínimo 3 meses de experiência na função oferecida, com equipamentos de usina de açúcar. Não há exigência de escolaridade mínima. Não será oferecido treinamento no local de trabalho. Alojamento opcional no local de trabalho será of"&amp;"erecido gratuitamente a cada funcionário temporário contratado para a função. A Lafourche oferecerá aos trabalhadores americanos pelo menos os mesmos benefícios, salários e condições de trabalho oferecidos aos trabalhadores com visto H-2B. A Lafourche for"&amp;"necerá ao trabalhador, sem custo ou depósito, todas as ferramentas, suprimentos e equipamentos necessários para o desempenho das funções atribuídas. O empregador garante oferecer emprego equivalente a pelo menos três quartos (3/4) dos dias úteis de cada p"&amp;"eríodo de 12 semanas do período total de emprego. E, caso a garantia não seja cumprida, o empregador pagará ao trabalhador o valor que ele teria recebido se o empregador tivesse oferecido o número de dias garantido. O período de 12 semanas terá início no "&amp;"primeiro dia útil após a chegada do trabalhador ou na primeira data de necessidade contratual anunciada, o que ocorrer por último. O trabalhador será reembolsado pelas despesas de transporte e subsistência do local de onde veio trabalhar para o empregador"&amp;", seja nos EUA ou no exterior, até o local de trabalho, por meio de cheque emitido pelo empregador, após a conclusão de 50% do período de trabalho coberto pela ordem de serviço ou antes, se for o caso. Isso inclui um mínimo de US$ 16,78 por dia durante a "&amp;"viagem, até um máximo de US$ 68,00 por dia, mediante comprovação das despesas reais. Além disso, o empregador fornecerá ou pagará o transporte e a subsistência do trabalhador na saída do país de origem, caso este complete o período da ordem de serviço ou "&amp;"seja dispensado antecipadamente pelo empregador, por qualquer motivo, antes do término do período. O empregador reembolsará o trabalhador com visto H-2B na primeira semana de trabalho, cobrindo integralmente os custos com visto, processamento de visto, tr"&amp;"avessia de fronteira e outras taxas relacionadas, incluindo as exigidas pelo governo. A Lafourche fornecerá ou reembolsará o transporte de ida e volta, bem como as despesas diárias de subsistência, para os trabalhadores americanos correspondentes que não "&amp;"puderem retornar à sua residência no mesmo dia de trabalho. Quando aplicável, o transporte diário de ida e volta ao local de trabalho será fornecido pelo empregador. Salários mais altos podem estar disponíveis para trabalhadores com vasta experiência. Env"&amp;"ie seu currículo ou entre em contato com o Sr. Ben LeBlanc na Lafourche Sugars, LLC, 141 Leighton Quarters Rd, Thibodaux, LA 70301. Tel.: (985) 447-3210. E-mail: bl@lafourchesugars.com. Os candidatos podem obter informações sobre a vaga ou enviar currícul"&amp;"os/candidaturas diretamente para Lafourche AJC, 1425 Tiger Drive, Thibodaux, LA 70301. Tel.: 985-227-7119. E-mail: Hire_Houma@lwc.la.gov; mencione o número da vaga: 1641114. Classificação da vaga: 49-9098.00 - Ajudantes - Trabalhadores de Instalação, Manu"&amp;"tenção e Reparo. A classificação e descrição da vaga/setor incluem informações gerais sobre o cargo, de acordo com o ONET/OES e o Sistema de Classificação Industrial da América do Norte (NAICS). Consulte as atribuições e a descrição da vaga para obter mai"&amp;"s informações. Requisitos da vaga: Experiência exigida: Sim. Meses de experiência exigidos: 3. Número de horas por semana: 56. Horário de trabalho (início/término): 6h às 14h.")</f>
        <v>Auxiliar de Manutenção – Oito (8) vagas temporárias em tempo integral disponíveis de 01/10/2026 a 31/01/2027 em Thibodaux, Louisiana, na Lafourche Sugars, LLC. Auxiliar os trabalhadores de instalação, manutenção e reparo na manutenção, substituição de peças e reparo de equipamentos industriais utilizados no processamento de açúcar bruto. Executar tarefas como fornecer ferramentas, materiais e suprimentos para outros trabalhadores mais experientes. Limpar a área de trabalho, máquinas e ferramentas, e segurar materiais ou ferramentas para outros trabalhadores mais experientes durante a época da colheita. $ 18,37/hora; $ 27,55/hora de hora extra paga a cada 2 semanas por cheque. Será necessário trabalhar em turnos rotativos de 8 horas, incluindo (6h-14h; 14h-22h; 22h-6h); 56 horas por semana durante a época da colheita, 40 horas por semana após a época da colheita, hora extra paga após 48 horas durante a colheita e após 40 horas após a colheita. É necessário ter disponibilidade para trabalhar 7 dias por semana durante a moagem/colheita. As horas extras serão variáveis ​​e não são garantidas. O empregador fará todos os descontos exigidos por lei no contracheque do trabalhador. O trabalhador terá 30 minutos de intervalo para almoço remunerado durante o expediente. É necessário ter no mínimo 3 meses de experiência na função oferecida, com equipamentos de usina de açúcar. Não há exigência de escolaridade mínima. Não será oferecido treinamento no local de trabalho. Alojamento opcional no local de trabalho será oferecido gratuitamente a cada funcionário temporário contratado para a função. A Lafourche oferecerá aos trabalhadores americanos pelo menos os mesmos benefícios, salários e condições de trabalho oferecidos aos trabalhadores com visto H-2B. A Lafourche fornecerá ao trabalhador, sem custo ou depósito, todas as ferramentas, suprimentos e equipamentos necessários para o desempenho das funções atribuídas. O empregador garante oferecer emprego equivalente a pelo menos três quartos (3/4) dos dias úteis de cada período de 12 semanas do período total de emprego. E, caso a garantia não seja cumprida, o empregador pagará ao trabalhador o valor que ele teria recebido se o empregador tivesse oferecido o número de dias garantido. O período de 12 semanas terá início no primeiro dia útil após a chegada do trabalhador ou na primeira data de necessidade contratual anunciada, o que ocorrer por último. O trabalhador será reembolsado pelas despesas de transporte e subsistência do local de onde veio trabalhar para o empregador, seja nos EUA ou no exterior, até o local de trabalho, por meio de cheque emitido pelo empregador, após a conclusão de 50% do período de trabalho coberto pela ordem de serviço ou antes, se for o caso. Isso inclui um mínimo de US$ 16,78 por dia durante a viagem, até um máximo de US$ 68,00 por dia, mediante comprovação das despesas reais. Além disso, o empregador fornecerá ou pagará o transporte e a subsistência do trabalhador na saída do país de origem, caso este complete o período da ordem de serviço ou seja dispensado antecipadamente pelo empregador, por qualquer motivo, antes do término do período. O empregador reembolsará o trabalhador com visto H-2B na primeira semana de trabalho, cobrindo integralmente os custos com visto, processamento de visto, travessia de fronteira e outras taxas relacionadas, incluindo as exigidas pelo governo. A Lafourche fornecerá ou reembolsará o transporte de ida e volta, bem como as despesas diárias de subsistência, para os trabalhadores americanos correspondentes que não puderem retornar à sua residência no mesmo dia de trabalho. Quando aplicável, o transporte diário de ida e volta ao local de trabalho será fornecido pelo empregador. Salários mais altos podem estar disponíveis para trabalhadores com vasta experiência. Envie seu currículo ou entre em contato com o Sr. Ben LeBlanc na Lafourche Sugars, LLC, 141 Leighton Quarters Rd, Thibodaux, LA 70301. Tel.: (985) 447-3210. E-mail: bl@lafourchesugars.com. Os candidatos podem obter informações sobre a vaga ou enviar currículos/candidaturas diretamente para Lafourche AJC, 1425 Tiger Drive, Thibodaux, LA 70301. Tel.: 985-227-7119. E-mail: Hire_Houma@lwc.la.gov; mencione o número da vaga: 1641114. Classificação da vaga: 49-9098.00 - Ajudantes - Trabalhadores de Instalação, Manutenção e Reparo. A classificação e descrição da vaga/setor incluem informações gerais sobre o cargo, de acordo com o ONET/OES e o Sistema de Classificação Industrial da América do Norte (NAICS). Consulte as atribuições e a descrição da vaga para obter mais informações. Requisitos da vaga: Experiência exigida: Sim. Meses de experiência exigidos: 3. Número de horas por semana: 56. Horário de trabalho (início/término): 6h às 14h.</v>
      </c>
    </row>
    <row r="473" ht="20.25" customHeight="1">
      <c r="A473" s="8" t="s">
        <v>2430</v>
      </c>
      <c r="B473" s="8" t="s">
        <v>1291</v>
      </c>
      <c r="C473" s="8" t="s">
        <v>376</v>
      </c>
      <c r="D473" s="8" t="s">
        <v>28</v>
      </c>
      <c r="E473" s="9" t="s">
        <v>44</v>
      </c>
      <c r="F473" s="9" t="s">
        <v>20</v>
      </c>
      <c r="G473" s="9" t="s">
        <v>94</v>
      </c>
      <c r="H473" s="8" t="s">
        <v>1292</v>
      </c>
      <c r="I473" s="8" t="s">
        <v>1293</v>
      </c>
      <c r="J473" s="9">
        <v>21.68</v>
      </c>
      <c r="K473" s="9">
        <v>6.0</v>
      </c>
      <c r="L473" s="8" t="s">
        <v>2213</v>
      </c>
      <c r="M473" s="8" t="s">
        <v>2431</v>
      </c>
      <c r="N473" s="7" t="str">
        <f>IFERROR(__xludf.DUMMYFUNCTION("GOOGLETRANSLATE(L473, ""en"", ""pt"")"),"Operador de caminhão e trator industrial")</f>
        <v>Operador de caminhão e trator industrial</v>
      </c>
      <c r="O473" s="7" t="str">
        <f>IFERROR(__xludf.DUMMYFUNCTION("IF(M473="""","""",GOOGLETRANSLATE(M473,""en"",""pt""))"),"Operador de Caminhão e Trator Industrial - As funções incluem o fornecimento de material e o transporte da cana-de-açúcar colhida para o destino correto. Os trabalhadores transportarão a cana-de-açúcar colhida, trazida dos agricultores, da área de descarr"&amp;"egamento até a usina para processamento. Os funcionários operarão um trator com pá carregadeira frontal para mover a cana da área de descarregamento (alimentar e empilhar a cana). Eles carregarão a mesa de alimentação para processamento na usina assim que"&amp;" a cana for entregue ou a empilharão para alimentação posterior. Realizarão manutenção básica nos tratores com pá carregadeira frontal, conforme necessário. Seis (6) vagas temporárias em tempo integral, com duração aproximada de 4 meses; disponibilidade p"&amp;"ara trabalhar 7 dias por semana, em turnos variados de 12 horas (12h-00h; 00h-12h); $ 21,68/hora; $ 32,52/hora; 84 horas semanais durante a safra, 40 horas semanais após a safra até o término do contrato, com pagamento de horas extras após 48 horas durant"&amp;"e a safra e após 40 horas após a safra. As horas extras serão variáveis ​​e não são garantidas; o trabalhador terá 30 minutos de intervalo para almoço remunerado durante o expediente; o trabalho começará em 01/10/2026 e terminará em 31/01/2027. É necessár"&amp;"io um mínimo de 3 meses de experiência na função oferecida. Não há exigência mínima de escolaridade. Não será oferecido treinamento no local de trabalho. Uma única semana de trabalho será utilizada para o cálculo dos salários devidos. Os salários serão pa"&amp;"gos quinzenalmente. Alojamento opcional no local de trabalho é oferecido gratuitamente aos trabalhadores contratados para esta vaga temporária sazonal. Todos os impostos locais, estaduais e federais serão deduzidos do salário do funcionário, conforme exig"&amp;"ido por lei. O empregador garante oferecer trabalho por um número de horas equivalente a pelo menos três quartos dos dias úteis em cada período de 12 semanas do período total de emprego. O período de 12 semanas começará no primeiro dia útil após a chegada"&amp;" do trabalhador ou na primeira data de necessidade contratual anunciada, o que ocorrer por último. Quando aplicável, o transporte diário de ida e volta para o local de trabalho será fornecido pelo empregador. O trabalhador será reembolsado pelas despesas "&amp;"de transporte e subsistência do local de onde veio trabalhar para o empregador, seja nos EUA ou no exterior, até o local de trabalho, por meio de cheque emitido pelo empregador, após a conclusão de 50% do período de trabalho coberto pela ordem de serviço "&amp;"ou antes, se for o caso. Isso inclui pelo menos US$ 16,78 por dia durante a viagem, até um máximo de US$ 68,00 por dia, mediante apresentação de recibos. Além disso, o empregador fornecerá ou pagará o transporte e a subsistência do trabalhador na ida, cas"&amp;"o este complete o período da ordem de serviço ou seja dispensado antecipadamente. O empregador reembolsará o trabalhador com visto H-2B na primeira semana de trabalho pelo custo total de todos os vistos, processamento de vistos, travessia de fronteira e o"&amp;"utras taxas relacionadas, incluindo as exigidas pelo governo. O empregador fornecerá ou reembolsará os custos de transporte de ida e volta e a subsistência diária para os trabalhadores americanos correspondentes que não puderem retornar à sua residência n"&amp;"o mesmo dia de trabalho. A M.A. Patout &amp; Son, Ltd., localizada em 3512 J. Patout Burns Rd., Jeanerette, LA 70544, na Paróquia de Iberia, Louisiana, oferece vaga de emprego. A empresa fornecerá aos trabalhadores, sem custo algum, todas as ferramentas, mate"&amp;"riais e equipamentos necessários para a execução do trabalho. Envie seu currículo ou entre em contato com o Sr. Luis Acevedo na M.A. Patout &amp; Son, LLC, 3512 J. Patout Burns Rd., Jeanerette, LA 70544, pelo telefone 337-276-4592 ou pelo e-mail lacevedo@mapa"&amp;"tout.com. Os candidatos também podem obter mais informações sobre a vaga ou enviar seus currículos/formulários de inscrição diretamente para o Iberia American Job Center, 609 Ember Drive, New Iberia, LA 70560; pelo telefone 337-347-9537 ou pelo e-mail inf"&amp;"o@acadianaworkforce.org. Referência da ordem de serviço: 1641087. Classificação da função: 53-7051.00 - Operadores de Empilhadeiras e Tratores Industriais. A classificação e descrição da função/setor incluem informações gerais sobre o cargo, de acordo com"&amp;" o ONET/OES e o Sistema de Classificação Industrial da América do Norte (NAICS). Consulte as atribuições e a Ordem de Serviço para obter mais informações. Requisitos da vaga: Experiência necessária: Sim. Meses de experiência necessários: 3. Número de hora"&amp;"s por semana: 84. Horário de trabalho (início/término): 12:00 - 00:00.")</f>
        <v>Operador de Caminhão e Trator Industrial - As funções incluem o fornecimento de material e o transporte da cana-de-açúcar colhida para o destino correto. Os trabalhadores transportarão a cana-de-açúcar colhida, trazida dos agricultores, da área de descarregamento até a usina para processamento. Os funcionários operarão um trator com pá carregadeira frontal para mover a cana da área de descarregamento (alimentar e empilhar a cana). Eles carregarão a mesa de alimentação para processamento na usina assim que a cana for entregue ou a empilharão para alimentação posterior. Realizarão manutenção básica nos tratores com pá carregadeira frontal, conforme necessário. Seis (6) vagas temporárias em tempo integral, com duração aproximada de 4 meses; disponibilidade para trabalhar 7 dias por semana, em turnos variados de 12 horas (12h-00h; 00h-12h); $ 21,68/hora; $ 32,52/hora; 84 horas semanais durante a safra, 40 horas semanais após a safra até o término do contrato, com pagamento de horas extras após 48 horas durante a safra e após 40 horas após a safra. As horas extras serão variáveis ​​e não são garantidas; o trabalhador terá 30 minutos de intervalo para almoço remunerado durante o expediente; o trabalho começará em 01/10/2026 e terminará em 31/01/2027. É necessário um mínimo de 3 meses de experiência na função oferecida. Não há exigência mínima de escolaridade. Não será oferecido treinamento no local de trabalho. Uma única semana de trabalho será utilizada para o cálculo dos salários devidos. Os salários serão pagos quinzenalmente. Alojamento opcional no local de trabalho é oferecido gratuitamente aos trabalhadores contratados para esta vaga temporária sazonal. Todos os impostos locais, estaduais e federais serão deduzidos do salário do funcionário, conforme exigido por lei. O empregador garante oferecer trabalho por um número de horas equivalente a pelo menos três quartos dos dias úteis em cada período de 12 semanas do período total de emprego. O período de 12 semanas começará no primeiro dia útil após a chegada do trabalhador ou na primeira data de necessidade contratual anunciada, o que ocorrer por último. Quando aplicável, o transporte diário de ida e volta para o local de trabalho será fornecido pelo empregador. O trabalhador será reembolsado pelas despesas de transporte e subsistência do local de onde veio trabalhar para o empregador, seja nos EUA ou no exterior, até o local de trabalho, por meio de cheque emitido pelo empregador, após a conclusão de 50% do período de trabalho coberto pela ordem de serviço ou antes, se for o caso. Isso inclui pelo menos US$ 16,78 por dia durante a viagem, até um máximo de US$ 68,00 por dia, mediante apresentação de recibos. Além disso, o empregador fornecerá ou pagará o transporte e a subsistência do trabalhador na ida, caso este complete o período da ordem de serviço ou seja dispensado antecipadamente. O empregador reembolsará o trabalhador com visto H-2B na primeira semana de trabalho pelo custo total de todos os vistos, processamento de vistos, travessia de fronteira e outras taxas relacionadas, incluindo as exigidas pelo governo. O empregador fornecerá ou reembolsará os custos de transporte de ida e volta e a subsistência diária para os trabalhadores americanos correspondentes que não puderem retornar à sua residência no mesmo dia de trabalho. A M.A. Patout &amp; Son, Ltd., localizada em 3512 J. Patout Burns Rd., Jeanerette, LA 70544, na Paróquia de Iberia, Louisiana, oferece vaga de emprego. A empresa fornecerá aos trabalhadores, sem custo algum, todas as ferramentas, materiais e equipamentos necessários para a execução do trabalho. Envie seu currículo ou entre em contato com o Sr. Luis Acevedo na M.A. Patout &amp; Son, LLC, 3512 J. Patout Burns Rd., Jeanerette, LA 70544, pelo telefone 337-276-4592 ou pelo e-mail lacevedo@mapatout.com. Os candidatos também podem obter mais informações sobre a vaga ou enviar seus currículos/formulários de inscrição diretamente para o Iberia American Job Center, 609 Ember Drive, New Iberia, LA 70560; pelo telefone 337-347-9537 ou pelo e-mail info@acadianaworkforce.org. Referência da ordem de serviço: 1641087. Classificação da função: 53-7051.00 - Operadores de Empilhadeiras e Tratores Industriais. A classificação e descrição da função/setor incluem informações gerais sobre o cargo, de acordo com o ONET/OES e o Sistema de Classificação Industrial da América do Norte (NAICS). Consulte as atribuições e a Ordem de Serviço para obter mais informações. Requisitos da vaga: Experiência necessária: Sim. Meses de experiência necessários: 3. Número de horas por semana: 84. Horário de trabalho (início/término): 12:00 - 00:00.</v>
      </c>
    </row>
    <row r="474" ht="20.25" customHeight="1">
      <c r="A474" s="3" t="s">
        <v>2432</v>
      </c>
      <c r="B474" s="3" t="s">
        <v>2433</v>
      </c>
      <c r="C474" s="3" t="s">
        <v>1946</v>
      </c>
      <c r="D474" s="3" t="s">
        <v>1051</v>
      </c>
      <c r="E474" s="4" t="s">
        <v>19</v>
      </c>
      <c r="F474" s="4" t="s">
        <v>20</v>
      </c>
      <c r="G474" s="4" t="s">
        <v>377</v>
      </c>
      <c r="H474" s="3" t="s">
        <v>2434</v>
      </c>
      <c r="I474" s="3" t="s">
        <v>2435</v>
      </c>
      <c r="J474" s="4">
        <v>19.83</v>
      </c>
      <c r="K474" s="4">
        <v>36.0</v>
      </c>
      <c r="L474" s="3" t="s">
        <v>1054</v>
      </c>
      <c r="M474" s="3" t="s">
        <v>2436</v>
      </c>
      <c r="N474" s="7" t="str">
        <f>IFERROR(__xludf.DUMMYFUNCTION("GOOGLETRANSLATE(L474, ""en"", ""pt"")"),"Trabalhador Florestal e de Conservação")</f>
        <v>Trabalhador Florestal e de Conservação</v>
      </c>
      <c r="O474" s="7" t="str">
        <f>IFERROR(__xludf.DUMMYFUNCTION("IF(M474="""","""",GOOGLETRANSLATE(M474,""en"",""pt""))"),"O plantio comercial de árvores será realizado em terrenos íngremes, com inclinação de 40% a 50%, utilizando uma pá de plantio. O funcionário deverá limpar um espaço no solo, cavar um buraco, posicionar corretamente a muda no buraco, sem que esta forme uma"&amp;" raiz em ""J"", cobrir as raízes com terra e compactar a terra ao redor da muda recém-plantada. O funcionário deverá carregar um saco de plantio contendo as mudas, cujo peso total é de aproximadamente 23 a 27 kg, dependendo do tamanho das mudas, para cima"&amp;" e para baixo do terreno íngreme em áreas montanhosas remotas. DESBASTE PRÉ-COMERCIAL: CORTE DE ÁRVORES INDESEJÁVEIS E DOENTES. PULVERIZAÇÃO DA VEGETAÇÃO PARA ELIMINAR O ARBUSTO INDESEJADO. PULVERIZAÇÃO: (Somente herbicidas registrados para aplicações flo"&amp;"restais são utilizados. O funcionário não mistura ou carrega nenhum herbicida. A mistura e o carregamento são feitos por um aplicador de herbicidas licenciado, que supervisiona todos os aspectos da aplicação. Cada trabalhador que pulveriza herbicida deve "&amp;"ser licenciado pelo Departamento de Agricultura de Washington. Os trabalhadores recebem treinamento em segurança e procedimentos técnicos. O trabalhador será treinado, após a contratação, para obter a licença de pulverização.) O CORTE/EMPILHAMENTO DE ARBU"&amp;"STO E O CORTE DE GALHOS DA MADEIRA COMERCIAL SERÃO REALIZADOS PARA PROMOVER O CRESCIMENTO DA MADEIRA EM PÉ. OS GALHOS DE ÁRVORES E O ARBUSTO SERÃO EMPILHADOS DE MANEIRA PRESCRITA PARA DESCARTE FUTURO. O desbaste será realizado com o uso de motosserra. Os "&amp;"funcionários deverão realizar a manutenção da motosserra, afiar a corrente no local, manter os níveis corretos de fluidos e desmontá-la adequadamente para limpeza. O peso combinado da motosserra, combustível e óleo é de aproximadamente 13,6 kg (30 libras)"&amp;" e deverá ser transportado em terrenos difíceis, com inclinação variando de 40% a 50%. Uma pequena quantidade de pulverização será realizada, se necessário. O funcionário deverá demonstrar capacidade de trabalhar de forma segura e eficaz. O acesso a essas"&amp;" áreas remotas é feito por meio de estradas florestais abandonadas, sem nome ou número, que recebem manutenção. Classificação da função: 45-4011.00 - Trabalhadores Florestais e de Conservação. A classificação e descrição da função/setor incluem informaçõe"&amp;"s gerais sobre o cargo, de acordo com o ONET/OES e o Sistema de Classificação Industrial da América do Norte. Consulte as atribuições e a ordem de serviço para obter mais informações. Requisitos da função: Experiência necessária: Não. Requisitos especiais"&amp;": DEVE SER CAPAZ DE PLANTAR O SEGUINTE NÚMERO DE ÁRVORES EM UM DIA DE 8 HORAS: ATÉ O FINAL DA 1ª SEMANA - 800, ATÉ O FINAL DA 2ª SEMANA - 900, ATÉ O FINAL DA 3ª SEMANA - 1000 ÁRVORES. Número de horas por semana: 40. Horário de trabalho (início/término): 7"&amp;"h. - 15h30")</f>
        <v>O plantio comercial de árvores será realizado em terrenos íngremes, com inclinação de 40% a 50%, utilizando uma pá de plantio. O funcionário deverá limpar um espaço no solo, cavar um buraco, posicionar corretamente a muda no buraco, sem que esta forme uma raiz em "J", cobrir as raízes com terra e compactar a terra ao redor da muda recém-plantada. O funcionário deverá carregar um saco de plantio contendo as mudas, cujo peso total é de aproximadamente 23 a 27 kg, dependendo do tamanho das mudas, para cima e para baixo do terreno íngreme em áreas montanhosas remotas. DESBASTE PRÉ-COMERCIAL: CORTE DE ÁRVORES INDESEJÁVEIS E DOENTES. PULVERIZAÇÃO DA VEGETAÇÃO PARA ELIMINAR O ARBUSTO INDESEJADO. PULVERIZAÇÃO: (Somente herbicidas registrados para aplicações florestais são utilizados. O funcionário não mistura ou carrega nenhum herbicida. A mistura e o carregamento são feitos por um aplicador de herbicidas licenciado, que supervisiona todos os aspectos da aplicação. Cada trabalhador que pulveriza herbicida deve ser licenciado pelo Departamento de Agricultura de Washington. Os trabalhadores recebem treinamento em segurança e procedimentos técnicos. O trabalhador será treinado, após a contratação, para obter a licença de pulverização.) O CORTE/EMPILHAMENTO DE ARBUSTO E O CORTE DE GALHOS DA MADEIRA COMERCIAL SERÃO REALIZADOS PARA PROMOVER O CRESCIMENTO DA MADEIRA EM PÉ. OS GALHOS DE ÁRVORES E O ARBUSTO SERÃO EMPILHADOS DE MANEIRA PRESCRITA PARA DESCARTE FUTURO. O desbaste será realizado com o uso de motosserra. Os funcionários deverão realizar a manutenção da motosserra, afiar a corrente no local, manter os níveis corretos de fluidos e desmontá-la adequadamente para limpeza. O peso combinado da motosserra, combustível e óleo é de aproximadamente 13,6 kg (30 libras) e deverá ser transportado em terrenos difíceis, com inclinação variando de 40% a 50%. Uma pequena quantidade de pulverização será realizada, se necessário. O funcionário deverá demonstrar capacidade de trabalhar de forma segura e eficaz. O acesso a essas áreas remotas é feito por meio de estradas florestais abandonadas, sem nome ou número, que recebem manutenção. Classificação da função: 45-4011.00 - Trabalhadores Florestais e de Conservação. A classificação e descrição da função/setor incluem informações gerais sobre o cargo, de acordo com o ONET/OES e o Sistema de Classificação Industrial da América do Norte. Consulte as atribuições e a ordem de serviço para obter mais informações. Requisitos da função: Experiência necessária: Não. Requisitos especiais: DEVE SER CAPAZ DE PLANTAR O SEGUINTE NÚMERO DE ÁRVORES EM UM DIA DE 8 HORAS: ATÉ O FINAL DA 1ª SEMANA - 800, ATÉ O FINAL DA 2ª SEMANA - 900, ATÉ O FINAL DA 3ª SEMANA - 1000 ÁRVORES. Número de horas por semana: 40. Horário de trabalho (início/término): 7h. - 15h30</v>
      </c>
    </row>
    <row r="475" ht="20.25" customHeight="1">
      <c r="A475" s="8" t="s">
        <v>2437</v>
      </c>
      <c r="B475" s="8" t="s">
        <v>2438</v>
      </c>
      <c r="C475" s="8" t="s">
        <v>63</v>
      </c>
      <c r="D475" s="8" t="s">
        <v>18</v>
      </c>
      <c r="E475" s="9" t="s">
        <v>19</v>
      </c>
      <c r="F475" s="9" t="s">
        <v>20</v>
      </c>
      <c r="G475" s="9" t="s">
        <v>524</v>
      </c>
      <c r="H475" s="8" t="s">
        <v>2439</v>
      </c>
      <c r="I475" s="8"/>
      <c r="J475" s="9">
        <v>14.22</v>
      </c>
      <c r="K475" s="9">
        <v>2.0</v>
      </c>
      <c r="L475" s="8" t="s">
        <v>2440</v>
      </c>
      <c r="M475" s="8" t="s">
        <v>2441</v>
      </c>
      <c r="N475" s="7" t="str">
        <f>IFERROR(__xludf.DUMMYFUNCTION("GOOGLETRANSLATE(L475, ""en"", ""pt"")"),"Trabalhadores de lavanderia e lavagem a seco")</f>
        <v>Trabalhadores de lavanderia e lavagem a seco</v>
      </c>
      <c r="O475" s="7" t="str">
        <f>IFERROR(__xludf.DUMMYFUNCTION("IF(M475="""","""",GOOGLETRANSLATE(M475,""en"",""pt""))"),"Operar ou cuidar de máquinas de lavar ou de limpeza a seco para lavar ou limpar a seco artigos industriais ou domésticos, como roupas de tecido, camurça, couro, peles, cobertores, cortinas, lençóis, tapetes e carpetes. Inclui a remoção de manchas e a seca"&amp;"gem desses artigos. Classificação da função: 51-6011.00 - Trabalhadores de Lavanderia e Limpeza a Seco. A classificação e a descrição da função/setor incluem informações gerais sobre o cargo, de acordo com o ONET/OES e o Sistema de Classificação Industria"&amp;"l da América do Norte. Consulte as Funções e a Ordem de Serviço para obter mais informações. Requisitos da função: Experiência necessária: Não. Requisitos especiais: Deve ser capaz de levantar 14 kg quando necessário. O empregador pode oferecer mais horas"&amp;" de trabalho do que as indicadas, dependendo do clima, das necessidades da empresa e de outras condições. Calor extremo, frio, chuva ou seca podem afetar o horário de trabalho exato. Número de horas por semana: 35. Horário de trabalho (início/término): 7h"&amp;" às 16h.")</f>
        <v>Operar ou cuidar de máquinas de lavar ou de limpeza a seco para lavar ou limpar a seco artigos industriais ou domésticos, como roupas de tecido, camurça, couro, peles, cobertores, cortinas, lençóis, tapetes e carpetes. Inclui a remoção de manchas e a secagem desses artigos. Classificação da função: 51-6011.00 - Trabalhadores de Lavanderia e Limpeza a Seco. A classificação e a descrição da função/setor incluem informações gerais sobre o cargo, de acordo com o ONET/OES e o Sistema de Classificação Industrial da América do Norte. Consulte as Funções e a Ordem de Serviço para obter mais informações. Requisitos da função: Experiência necessária: Não. Requisitos especiais: Deve ser capaz de levantar 14 kg quando necessário. O empregador pode oferecer mais horas de trabalho do que as indicadas, dependendo do clima, das necessidades da empresa e de outras condições. Calor extremo, frio, chuva ou seca podem afetar o horário de trabalho exato. Número de horas por semana: 35. Horário de trabalho (início/término): 7h às 16h.</v>
      </c>
    </row>
    <row r="476" ht="20.25" customHeight="1">
      <c r="A476" s="3" t="s">
        <v>2442</v>
      </c>
      <c r="B476" s="3" t="s">
        <v>2221</v>
      </c>
      <c r="C476" s="3" t="s">
        <v>583</v>
      </c>
      <c r="D476" s="3" t="s">
        <v>2222</v>
      </c>
      <c r="E476" s="4" t="s">
        <v>19</v>
      </c>
      <c r="F476" s="4" t="s">
        <v>20</v>
      </c>
      <c r="G476" s="4" t="s">
        <v>377</v>
      </c>
      <c r="H476" s="3" t="s">
        <v>2223</v>
      </c>
      <c r="I476" s="3" t="s">
        <v>2224</v>
      </c>
      <c r="J476" s="4">
        <v>31.31</v>
      </c>
      <c r="K476" s="4">
        <v>12.0</v>
      </c>
      <c r="L476" s="3" t="s">
        <v>2443</v>
      </c>
      <c r="M476" s="3" t="s">
        <v>2444</v>
      </c>
      <c r="N476" s="7" t="str">
        <f>IFERROR(__xludf.DUMMYFUNCTION("GOOGLETRANSLATE(L476, ""en"", ""pt"")"),"Cook IV")</f>
        <v>Cook IV</v>
      </c>
      <c r="O476" s="7" t="str">
        <f>IFERROR(__xludf.DUMMYFUNCTION("IF(M476="""","""",GOOGLETRANSLATE(M476,""en"",""pt""))"),"Executar todos os métodos de preparo, controle de porções e decoração de todos os pratos de acordo com os padrões estabelecidos pelo chef executivo; manter altos padrões de qualidade na produção de alimentos para garantir a satisfação dos clientes; inspec"&amp;"ionar e limpar as áreas de preparo de alimentos, como equipamentos e áreas de serviço, para garantir práticas seguras e higiênicas de manipulação de alimentos; preparar, cozinhar e temperar os alimentos de acordo com as receitas; assar, grelhar e cozinhar"&amp;" no vapor carnes, peixes, legumes, pães, sobremesas e outros alimentos; garantir que os alimentos sejam armazenados e cozidos na temperatura correta, regulando a temperatura de fornos, grelhas e assadeiras; e garantir o frescor dos alimentos e ingrediente"&amp;"s, verificando a qualidade, controlando os itens novos e antigos e fazendo o rodízio do estoque. Classificação da vaga: 35-2014.00 - Cozinheiros, Restaurante. A classificação e descrição da vaga/setor incluem informações gerais sobre o cargo, de acordo co"&amp;"m o ONET/OES e o Sistema de Classificação Industrial da América do Norte. Consulte as Funções e a Ordem de Serviço para obter mais informações. Requisitos da vaga: Experiência necessária: Não. Requisitos especiais: Deve ser capaz de levantar, puxar ou emp"&amp;"urrar entre 13 e 23 kg de equipamentos ou lixo. Disponibilidade para trabalhar em todos os turnos, incluindo fins de semana, noites, madrugadas e feriados. Todos os funcionários do hotel nesta função devem se filiar ao Sindicato dos Trabalhadores da Const"&amp;"rução Civil (ILWU Local 142). Número de horas semanais: 40. Horário de trabalho (início/término): 6h às 14h.")</f>
        <v>Executar todos os métodos de preparo, controle de porções e decoração de todos os pratos de acordo com os padrões estabelecidos pelo chef executivo; manter altos padrões de qualidade na produção de alimentos para garantir a satisfação dos clientes; inspecionar e limpar as áreas de preparo de alimentos, como equipamentos e áreas de serviço, para garantir práticas seguras e higiênicas de manipulação de alimentos; preparar, cozinhar e temperar os alimentos de acordo com as receitas; assar, grelhar e cozinhar no vapor carnes, peixes, legumes, pães, sobremesas e outros alimentos; garantir que os alimentos sejam armazenados e cozidos na temperatura correta, regulando a temperatura de fornos, grelhas e assadeiras; e garantir o frescor dos alimentos e ingredientes, verificando a qualidade, controlando os itens novos e antigos e fazendo o rodízio do estoque. Classificação da vaga: 35-2014.00 - Cozinheiros, Restaurante. A classificação e descrição da vaga/setor incluem informações gerais sobre o cargo, de acordo com o ONET/OES e o Sistema de Classificação Industrial da América do Norte. Consulte as Funções e a Ordem de Serviço para obter mais informações. Requisitos da vaga: Experiência necessária: Não. Requisitos especiais: Deve ser capaz de levantar, puxar ou empurrar entre 13 e 23 kg de equipamentos ou lixo. Disponibilidade para trabalhar em todos os turnos, incluindo fins de semana, noites, madrugadas e feriados. Todos os funcionários do hotel nesta função devem se filiar ao Sindicato dos Trabalhadores da Construção Civil (ILWU Local 142). Número de horas semanais: 40. Horário de trabalho (início/término): 6h às 14h.</v>
      </c>
    </row>
    <row r="477" ht="20.25" customHeight="1">
      <c r="A477" s="8" t="s">
        <v>2445</v>
      </c>
      <c r="B477" s="8" t="s">
        <v>2446</v>
      </c>
      <c r="C477" s="8" t="s">
        <v>93</v>
      </c>
      <c r="D477" s="8" t="s">
        <v>602</v>
      </c>
      <c r="E477" s="9" t="s">
        <v>44</v>
      </c>
      <c r="F477" s="9" t="s">
        <v>20</v>
      </c>
      <c r="G477" s="9" t="s">
        <v>1286</v>
      </c>
      <c r="H477" s="8" t="s">
        <v>2447</v>
      </c>
      <c r="I477" s="8"/>
      <c r="J477" s="9">
        <v>21.53</v>
      </c>
      <c r="K477" s="9">
        <v>3.0</v>
      </c>
      <c r="L477" s="8" t="s">
        <v>406</v>
      </c>
      <c r="M477" s="8" t="s">
        <v>2448</v>
      </c>
      <c r="N477" s="7" t="str">
        <f>IFERROR(__xludf.DUMMYFUNCTION("GOOGLETRANSLATE(L477, ""en"", ""pt"")"),"Trabalhador")</f>
        <v>Trabalhador</v>
      </c>
      <c r="O477" s="7" t="str">
        <f>IFERROR(__xludf.DUMMYFUNCTION("IF(M477="""","""",GOOGLETRANSLATE(M477,""en"",""pt""))"),"Os trabalhadores irão carregar e descarregar caminhões com mudas e materiais de viveiro; auxiliar os clientes no carregamento de plantas e suprimentos; e realizar trabalhos gerais de viveiro, incluindo o plantio em pé, etiquetagem de pedidos, redistribuiç"&amp;"ão e agrupamento de plantas, reembalagem de torrões e juta, cobertura e descoberta de estufas, corte de grama, roçada, poda, corte de amarras, rega manual, irrigação, capina e colocação de placas de sinalização. Os trabalhadores também serão responsáveis "&amp;"​​pela manutenção de ferramentas e equipamentos, limpeza e organização das áreas de trabalho, incluindo escritórios, banheiros, áreas de exposição externas, passarelas, galpões e áreas de armazenamento, varrendo, lavando, esvaziando lixeiras e removendo m"&amp;"ateriais danificados ou inutilizáveis. Os trabalhadores não plantarão, cultivarão ou colherão culturas destinadas ao consumo. Todo o trabalho é realizado no viveiro e pátio de varejo do empregador, em conexão com a venda e distribuição comercial de mudas."&amp;" Classificação da Função: 45-2092.00 - Trabalhadores Rurais e Auxiliares de Cultivo, Viveiro e Estufa. A classificação e descrição da função/setor inclui informações gerais sobre o cargo, de acordo com o ONET/OES e o Sistema de Classificação Industrial da"&amp;" América do Norte (NAICS). Consulte as Funções e a Ordem de Serviço para obter mais informações. Requisitos da Função Experiência Necessária: Não. Requisitos Especiais: Deve ser capaz de levantar/carregar 23 kg, quando necessário. Trabalho aos sábados e d"&amp;"omingos, quando necessário. Verificação de antecedentes criminais após a contratação é obrigatória para trabalhadores estrangeiros e nacionais. Deve ser capaz de trabalhar em um ambiente dinâmico com alta demanda de trabalho, seguir instruções e executar "&amp;"tarefas de forma independente com supervisão mínima. Deve estar disposto a trabalhar ao ar livre em todas as condições climáticas. O empregador pode oferecer mais horas de trabalho do que as indicadas, dependendo do clima, das necessidades da empresa e de"&amp;" outras condições. Calor extremo, frio, chuva ou seca podem afetar o horário de trabalho exato. Número de Horas por Semana: 45. Horário de Trabalho (Início/Término): 7h00 - 16h30.")</f>
        <v>Os trabalhadores irão carregar e descarregar caminhões com mudas e materiais de viveiro; auxiliar os clientes no carregamento de plantas e suprimentos; e realizar trabalhos gerais de viveiro, incluindo o plantio em pé, etiquetagem de pedidos, redistribuição e agrupamento de plantas, reembalagem de torrões e juta, cobertura e descoberta de estufas, corte de grama, roçada, poda, corte de amarras, rega manual, irrigação, capina e colocação de placas de sinalização. Os trabalhadores também serão responsáveis ​​pela manutenção de ferramentas e equipamentos, limpeza e organização das áreas de trabalho, incluindo escritórios, banheiros, áreas de exposição externas, passarelas, galpões e áreas de armazenamento, varrendo, lavando, esvaziando lixeiras e removendo materiais danificados ou inutilizáveis. Os trabalhadores não plantarão, cultivarão ou colherão culturas destinadas ao consumo. Todo o trabalho é realizado no viveiro e pátio de varejo do empregador, em conexão com a venda e distribuição comercial de mudas. Classificação da Função: 45-2092.00 - Trabalhadores Rurais e Auxiliares de Cultivo, Viveiro e Estufa. A classificação e descrição da função/setor inclui informações gerais sobre o cargo, de acordo com o ONET/OES e o Sistema de Classificação Industrial da América do Norte (NAICS). Consulte as Funções e a Ordem de Serviço para obter mais informações. Requisitos da Função Experiência Necessária: Não. Requisitos Especiais: Deve ser capaz de levantar/carregar 23 kg, quando necessário. Trabalho aos sábados e domingos, quando necessário. Verificação de antecedentes criminais após a contratação é obrigatória para trabalhadores estrangeiros e nacionais. Deve ser capaz de trabalhar em um ambiente dinâmico com alta demanda de trabalho, seguir instruções e executar tarefas de forma independente com supervisão mínima. Deve estar disposto a trabalhar ao ar livre em todas as condições climáticas. O empregador pode oferecer mais horas de trabalho do que as indicadas, dependendo do clima, das necessidades da empresa e de outras condições. Calor extremo, frio, chuva ou seca podem afetar o horário de trabalho exato. Número de Horas por Semana: 45. Horário de Trabalho (Início/Término): 7h00 - 16h30.</v>
      </c>
    </row>
    <row r="478" ht="20.25" customHeight="1">
      <c r="A478" s="3" t="s">
        <v>2449</v>
      </c>
      <c r="B478" s="3" t="s">
        <v>2450</v>
      </c>
      <c r="C478" s="3" t="s">
        <v>2324</v>
      </c>
      <c r="D478" s="3" t="s">
        <v>79</v>
      </c>
      <c r="E478" s="4" t="s">
        <v>19</v>
      </c>
      <c r="F478" s="4" t="s">
        <v>20</v>
      </c>
      <c r="G478" s="4" t="s">
        <v>80</v>
      </c>
      <c r="H478" s="3" t="s">
        <v>2451</v>
      </c>
      <c r="I478" s="3" t="s">
        <v>2452</v>
      </c>
      <c r="J478" s="4">
        <v>20.36</v>
      </c>
      <c r="K478" s="4">
        <v>27.0</v>
      </c>
      <c r="L478" s="3" t="s">
        <v>83</v>
      </c>
      <c r="M478" s="3" t="s">
        <v>2453</v>
      </c>
      <c r="N478" s="7" t="str">
        <f>IFERROR(__xludf.DUMMYFUNCTION("GOOGLETRANSLATE(L478, ""en"", ""pt"")"),"Trabalhador Florestal")</f>
        <v>Trabalhador Florestal</v>
      </c>
      <c r="O478" s="7" t="str">
        <f>IFERROR(__xludf.DUMMYFUNCTION("IF(M478="""","""",GOOGLETRANSLATE(M478,""en"",""pt""))"),"As funções podem incluir: Selecionar, preparar e plantar mudas de árvores em áreas de reflorestamento. Manter e desenvolver áreas florestais por meio de desbaste pré-comercial, poda, empilhamento de galhos, cobertura de pilhas, corte superficial e constru"&amp;"ção de trilhas. Redução de combustível para prevenção de incêndios por meio de limpeza, descarte e empilhamento de galhos. Escavação e construção de aceiros. Utilizar ferramentas manuais como alavancas, enxadas, picaretas, ancinhos e pás. Pode operar veíc"&amp;"ulos e equipamentos motorizados, como caminhonetes, motosserras, trituradores, serras de poda e outras atividades relacionadas ao trabalho florestal, conforme SOC/OES 45-4011 (onetonline.org). Horário padrão/esperado: Segunda a sexta, das 6h30 às 15h. Ofe"&amp;"recendo mais de 40 horas semanais, sem incluir almoço e/ou intervalos. Possibilidade de trabalho em fins de semana e feriados. Os horários de início e término, a carga horária oferecida e/ou a possibilidade de horas extras podem variar, pois dependem de f"&amp;"atores como necessidades do projeto/cronograma/serviço, condições climáticas e tempo de deslocamento entre os locais de trabalho (se aplicável). Horas extras são possíveis, mas não obrigatórias nem garantidas. A critério exclusivo do empregador: aumentos "&amp;"salariais e/ou bônus podem ser concedidos com base em fatores individuais, como desempenho ou habilidades (não garantidos). Moradia compartilhada opcional disponível sem custo para o trabalhador. Classificação da vaga: 45-4011.00 - Trabalhadores Florestai"&amp;"s e de Conservação. A classificação e a descrição da vaga/setor incluem informações gerais sobre o cargo, de acordo com o ONET/OES e o Sistema de Classificação Industrial da América do Norte. Consulte as Funções e a Ordem de Serviço para obter mais inform"&amp;"ações. Requisitos da vaga: Experiência exigida: Sim. Meses de experiência exigidos: 3. Requisitos especiais: É necessário ter 18 anos devido a viagens. É necessário apresentar comprovante de autorização legal para trabalhar nos Estados Unidos. Ambiente de"&amp;" trabalho livre de drogas, álcool e tabaco. O candidato deverá caminhar bastante (até 24 km/dia), além de se abaixar e se curvar carregando uma mochila (até 23 kg) em terrenos acidentados (fora de trilhas). Todos os candidatos devem ser capazes, dispostos"&amp;" e qualificados para realizar o trabalho descrito e devem estar disponíveis durante todo o período especificado e trabalhar em todas as áreas da vaga. A critério do empregador e de acordo com seus custos, o trabalhador poderá ser submetido a testes aleató"&amp;"rios de drogas/álcool durante o emprego: teste positivo/recusa em cumprir o teste resultará em demissão. O trabalho é realizado ao ar livre, exposto às intempéries; o candidato deve ser capaz de realizar trabalho fisicamente extenuante por longos períodos"&amp;", ocasionalmente em calor ou frio extremos. As condições climáticas são variáveis; a carga horária pode sofrer alterações, com possibilidade de períodos de inatividade e/ou horas extras. Número de horas por semana: 40. Horário de trabalho (início/término)"&amp;": 6h30 às 15h.")</f>
        <v>As funções podem incluir: Selecionar, preparar e plantar mudas de árvores em áreas de reflorestamento. Manter e desenvolver áreas florestais por meio de desbaste pré-comercial, poda, empilhamento de galhos, cobertura de pilhas, corte superficial e construção de trilhas. Redução de combustível para prevenção de incêndios por meio de limpeza, descarte e empilhamento de galhos. Escavação e construção de aceiros. Utilizar ferramentas manuais como alavancas, enxadas, picaretas, ancinhos e pás. Pode operar veículos e equipamentos motorizados, como caminhonetes, motosserras, trituradores, serras de poda e outras atividades relacionadas ao trabalho florestal, conforme SOC/OES 45-4011 (onetonline.org). Horário padrão/esperado: Segunda a sexta, das 6h30 às 15h. Oferecendo mais de 40 horas semanais, sem incluir almoço e/ou intervalos. Possibilidade de trabalho em fins de semana e feriados. Os horários de início e término, a carga horária oferecida e/ou a possibilidade de horas extras podem variar, pois dependem de fatores como necessidades do projeto/cronograma/serviço, condições climáticas e tempo de deslocamento entre os locais de trabalho (se aplicável). Horas extras são possíveis, mas não obrigatórias nem garantidas. A critério exclusivo do empregador: aumentos salariais e/ou bônus podem ser concedidos com base em fatores individuais, como desempenho ou habilidades (não garantidos). Moradia compartilhada opcional disponível sem custo para o trabalhador. Classificação da vaga: 45-4011.00 - Trabalhadores Florestais e de Conservação. A classificação e a descrição da vaga/setor incluem informações gerais sobre o cargo, de acordo com o ONET/OES e o Sistema de Classificação Industrial da América do Norte. Consulte as Funções e a Ordem de Serviço para obter mais informações. Requisitos da vaga: Experiência exigida: Sim. Meses de experiência exigidos: 3. Requisitos especiais: É necessário ter 18 anos devido a viagens. É necessário apresentar comprovante de autorização legal para trabalhar nos Estados Unidos. Ambiente de trabalho livre de drogas, álcool e tabaco. O candidato deverá caminhar bastante (até 24 km/dia), além de se abaixar e se curvar carregando uma mochila (até 23 kg) em terrenos acidentados (fora de trilhas). Todos os candidatos devem ser capazes, dispostos e qualificados para realizar o trabalho descrito e devem estar disponíveis durante todo o período especificado e trabalhar em todas as áreas da vaga. A critério do empregador e de acordo com seus custos, o trabalhador poderá ser submetido a testes aleatórios de drogas/álcool durante o emprego: teste positivo/recusa em cumprir o teste resultará em demissão. O trabalho é realizado ao ar livre, exposto às intempéries; o candidato deve ser capaz de realizar trabalho fisicamente extenuante por longos períodos, ocasionalmente em calor ou frio extremos. As condições climáticas são variáveis; a carga horária pode sofrer alterações, com possibilidade de períodos de inatividade e/ou horas extras. Número de horas por semana: 40. Horário de trabalho (início/término): 6h30 às 15h.</v>
      </c>
    </row>
    <row r="479" ht="20.25" customHeight="1">
      <c r="A479" s="8" t="s">
        <v>2454</v>
      </c>
      <c r="B479" s="8" t="s">
        <v>2455</v>
      </c>
      <c r="C479" s="8" t="s">
        <v>93</v>
      </c>
      <c r="D479" s="8" t="s">
        <v>663</v>
      </c>
      <c r="E479" s="9" t="s">
        <v>19</v>
      </c>
      <c r="F479" s="9" t="s">
        <v>20</v>
      </c>
      <c r="G479" s="9" t="s">
        <v>2339</v>
      </c>
      <c r="H479" s="8" t="s">
        <v>2456</v>
      </c>
      <c r="I479" s="8" t="s">
        <v>2457</v>
      </c>
      <c r="J479" s="9">
        <v>14.64</v>
      </c>
      <c r="K479" s="9">
        <v>54.0</v>
      </c>
      <c r="L479" s="8" t="s">
        <v>2458</v>
      </c>
      <c r="M479" s="8" t="s">
        <v>2459</v>
      </c>
      <c r="N479" s="7" t="str">
        <f>IFERROR(__xludf.DUMMYFUNCTION("GOOGLETRANSLATE(L479, ""en"", ""pt"")"),"Operário de linha")</f>
        <v>Operário de linha</v>
      </c>
      <c r="O479" s="7" t="str">
        <f>IFERROR(__xludf.DUMMYFUNCTION("IF(M479="""","""",GOOGLETRANSLATE(M479,""en"",""pt""))"),"Trabalho em uma unidade de processamento de cebolas. As funções incluem classificar, selecionar e embalar cebolas em sacos/caixas manualmente. Outras tarefas incluem descascar, cortar as pontas e retirar as folhas das cebolas manualmente. É necessário man"&amp;"ter a estação de trabalho limpa e organizada e seguir as normas de segurança alimentar. As tarefas de limpeza podem incluir a higienização das áreas de trabalho. Classificação da vaga: 53-7064.00 - Embaladores e empacotadores manuais. A classificação e de"&amp;"scrição da vaga/setor incluem informações gerais sobre o cargo, de acordo com o ONET/OES e o Sistema de Classificação Industrial da América do Norte (NAICS). Consulte a Descrição das Funções e a Ordem de Serviço para obter mais informações. Requisitos da "&amp;"vaga: Experiência necessária: Não. Requisitos especiais: Trabalho aos sábados e domingos, quando necessário. Testes aleatórios de drogas após a contratação, após acidentes e em caso de suspeita de uso são obrigatórios para trabalhadores estrangeiros e nac"&amp;"ionais. É necessário ser capaz de ficar em pé por longos períodos. É necessário ter alta tolerância a odores e ser capaz de trabalhar em um ambiente úmido e frio. É necessário ter disponibilidade para trabalhar em qualquer turno de 8 horas. (7h às 15h30; "&amp;"15h30 às 23h) O empregador poderá oferecer uma jornada de trabalho superior à estipulada, dependendo das condições climáticas, das necessidades da empresa e de outros fatores. Calor extremo, frio intenso, chuva ou seca podem afetar o horário de trabalho e"&amp;"xato. Número de horas por semana: 40. Horário de trabalho (início/término): 7h às 15h30.")</f>
        <v>Trabalho em uma unidade de processamento de cebolas. As funções incluem classificar, selecionar e embalar cebolas em sacos/caixas manualmente. Outras tarefas incluem descascar, cortar as pontas e retirar as folhas das cebolas manualmente. É necessário manter a estação de trabalho limpa e organizada e seguir as normas de segurança alimentar. As tarefas de limpeza podem incluir a higienização das áreas de trabalho. Classificação da vaga: 53-7064.00 - Embaladores e empacotadores manuais. A classificação e descrição da vaga/setor incluem informações gerais sobre o cargo, de acordo com o ONET/OES e o Sistema de Classificação Industrial da América do Norte (NAICS). Consulte a Descrição das Funções e a Ordem de Serviço para obter mais informações. Requisitos da vaga: Experiência necessária: Não. Requisitos especiais: Trabalho aos sábados e domingos, quando necessário. Testes aleatórios de drogas após a contratação, após acidentes e em caso de suspeita de uso são obrigatórios para trabalhadores estrangeiros e nacionais. É necessário ser capaz de ficar em pé por longos períodos. É necessário ter alta tolerância a odores e ser capaz de trabalhar em um ambiente úmido e frio. É necessário ter disponibilidade para trabalhar em qualquer turno de 8 horas. (7h às 15h30; 15h30 às 23h) O empregador poderá oferecer uma jornada de trabalho superior à estipulada, dependendo das condições climáticas, das necessidades da empresa e de outros fatores. Calor extremo, frio intenso, chuva ou seca podem afetar o horário de trabalho exato. Número de horas por semana: 40. Horário de trabalho (início/término): 7h às 15h30.</v>
      </c>
    </row>
    <row r="480" ht="20.25" customHeight="1">
      <c r="A480" s="3" t="s">
        <v>2460</v>
      </c>
      <c r="B480" s="3" t="s">
        <v>2461</v>
      </c>
      <c r="C480" s="3" t="s">
        <v>169</v>
      </c>
      <c r="D480" s="3" t="s">
        <v>55</v>
      </c>
      <c r="E480" s="4" t="s">
        <v>19</v>
      </c>
      <c r="F480" s="4" t="s">
        <v>20</v>
      </c>
      <c r="G480" s="4" t="s">
        <v>2256</v>
      </c>
      <c r="H480" s="3" t="s">
        <v>2257</v>
      </c>
      <c r="I480" s="3" t="s">
        <v>2258</v>
      </c>
      <c r="J480" s="4">
        <v>18.14</v>
      </c>
      <c r="K480" s="4">
        <v>40.0</v>
      </c>
      <c r="L480" s="3" t="s">
        <v>2462</v>
      </c>
      <c r="M480" s="3" t="s">
        <v>2463</v>
      </c>
      <c r="N480" s="7" t="str">
        <f>IFERROR(__xludf.DUMMYFUNCTION("GOOGLETRANSLATE(L480, ""en"", ""pt"")"),"Auxiliar de Linha de Produção")</f>
        <v>Auxiliar de Linha de Produção</v>
      </c>
      <c r="O480" s="7" t="str">
        <f>IFERROR(__xludf.DUMMYFUNCTION("IF(M480="""","""",GOOGLETRANSLATE(M480,""en"",""pt""))"),"Os funcionários geralmente executam uma variedade de tarefas em instalações de produção sem climatização, embalando e movimentando sementes de grama/fertilizantes. As funções podem incluir: coletar e preparar misturas despejando sementes de grama em um fu"&amp;"nil, encher manualmente sacos com a mistura de sementes de grama ou fertilizante, selar os sacos, movimentar o estoque manualmente e empilhar os sacos em paletes ou embalá-los em caixas. Observar os rótulos e a data de cada unidade produzida para garantir"&amp;" a rastreabilidade e a qualidade. Manter a área de trabalho e os equipamentos limpos. Pode haver exposição a temperaturas extremas, poeira e produtos químicos no ambiente de trabalho. Nível inicial; requer supervisão. Classificação da vaga: 53-7064.00 - E"&amp;"mbaladores e empacotadores manuais. A classificação e a descrição da vaga/setor incluem informações gerais sobre o cargo, de acordo com o ONET/OES e o Sistema de Classificação Industrial da América do Norte (NAICS). Consulte as funções e a ordem de serviç"&amp;"o para obter mais informações. Requisitos da vaga: Experiência necessária: Não. Requisitos especiais: Deve ser capaz de levantar/carregar 25 kg, quando necessário. Trabalho aos sábados, quando necessário. O empregador exige que todos os trabalhadores, est"&amp;"rangeiros e nacionais, se submetam a testes de drogas pagos pela empresa antes do início do trabalho e, após a contratação, aleatoriamente, em caso de suspeita de uso e após acidentes. A verificação de antecedentes e a verificação de elegibilidade para em"&amp;"prego (e-Verify) são obrigatórias para todos os trabalhadores, estrangeiros e nacionais, após a contratação. Treinamento de segurança obrigatório para todos os novos contratados, estrangeiros e nacionais. Somos uma empresa que oferece igualdade de oportun"&amp;"idades de emprego e todos os candidatos qualificados serão considerados para a vaga, independentemente de raça, cor, religião, sexo, nacionalidade, deficiência, condição de veterano protegido, orientação sexual, identidade de gênero ou qualquer outra cara"&amp;"cterística protegida por lei. O empregador poderá oferecer uma jornada de trabalho superior à estipulada, dependendo das condições climáticas, das necessidades da empresa e de outras circunstâncias. Número de horas por semana: 40. Horário de trabalho (iní"&amp;"cio/término): 8h às 16h30.")</f>
        <v>Os funcionários geralmente executam uma variedade de tarefas em instalações de produção sem climatização, embalando e movimentando sementes de grama/fertilizantes. As funções podem incluir: coletar e preparar misturas despejando sementes de grama em um funil, encher manualmente sacos com a mistura de sementes de grama ou fertilizante, selar os sacos, movimentar o estoque manualmente e empilhar os sacos em paletes ou embalá-los em caixas. Observar os rótulos e a data de cada unidade produzida para garantir a rastreabilidade e a qualidade. Manter a área de trabalho e os equipamentos limpos. Pode haver exposição a temperaturas extremas, poeira e produtos químicos no ambiente de trabalho. Nível inicial; requer supervisão. Classificação da vaga: 53-7064.00 - Embaladores e empacotadores manuais. A classificação e a descrição da vaga/setor incluem informações gerais sobre o cargo, de acordo com o ONET/OES e o Sistema de Classificação Industrial da América do Norte (NAICS). Consulte as funções e a ordem de serviço para obter mais informações. Requisitos da vaga: Experiência necessária: Não. Requisitos especiais: Deve ser capaz de levantar/carregar 25 kg, quando necessário. Trabalho aos sábados, quando necessário. O empregador exige que todos os trabalhadores, estrangeiros e nacionais, se submetam a testes de drogas pagos pela empresa antes do início do trabalho e, após a contratação, aleatoriamente, em caso de suspeita de uso e após acidentes. A verificação de antecedentes e a verificação de elegibilidade para emprego (e-Verify) são obrigatórias para todos os trabalhadores, estrangeiros e nacionais, após a contratação. Treinamento de segurança obrigatório para todos os novos contratados, estrangeiros e nacionais. Somos uma empresa que oferece igualdade de oportunidades de emprego e todos os candidatos qualificados serão considerados para a vaga, independentemente de raça, cor, religião, sexo, nacionalidade, deficiência, condição de veterano protegido, orientação sexual, identidade de gênero ou qualquer outra característica protegida por lei. O empregador poderá oferecer uma jornada de trabalho superior à estipulada, dependendo das condições climáticas, das necessidades da empresa e de outras circunstâncias. Número de horas por semana: 40. Horário de trabalho (início/término): 8h às 16h30.</v>
      </c>
    </row>
    <row r="481" ht="20.25" customHeight="1">
      <c r="A481" s="8" t="s">
        <v>2464</v>
      </c>
      <c r="B481" s="8" t="s">
        <v>2465</v>
      </c>
      <c r="C481" s="8" t="s">
        <v>1946</v>
      </c>
      <c r="D481" s="8" t="s">
        <v>1051</v>
      </c>
      <c r="E481" s="9" t="s">
        <v>19</v>
      </c>
      <c r="F481" s="9" t="s">
        <v>20</v>
      </c>
      <c r="G481" s="9" t="s">
        <v>377</v>
      </c>
      <c r="H481" s="8" t="s">
        <v>2466</v>
      </c>
      <c r="I481" s="8" t="s">
        <v>2467</v>
      </c>
      <c r="J481" s="9">
        <v>19.83</v>
      </c>
      <c r="K481" s="9">
        <v>80.0</v>
      </c>
      <c r="L481" s="8" t="s">
        <v>1054</v>
      </c>
      <c r="M481" s="8" t="s">
        <v>2468</v>
      </c>
      <c r="N481" s="7" t="str">
        <f>IFERROR(__xludf.DUMMYFUNCTION("GOOGLETRANSLATE(L481, ""en"", ""pt"")"),"Trabalhador Florestal e de Conservação")</f>
        <v>Trabalhador Florestal e de Conservação</v>
      </c>
      <c r="O481" s="7" t="str">
        <f>IFERROR(__xludf.DUMMYFUNCTION("IF(M481="""","""",GOOGLETRANSLATE(M481,""en"",""pt""))"),"Executar trabalho braçal para desenvolver e proteger áreas florestais destinadas à extração de madeira comercial no futuro. O plantio de árvores comerciais será realizado em terrenos íngremes, com inclinação de 40% a 50%, utilizando uma pá de plantio. O f"&amp;"uncionário deverá limpar um espaço no solo, cavar um buraco, posicionar corretamente a muda no buraco, certificando-se de que a muda não tenha raízes em forma de ""J"", cobrir as raízes com terra e, em seguida, compactar a terra ao redor da muda recém-pla"&amp;"ntada. O funcionário deverá carregar um saco de plantio contendo as mudas, com peso total entre 22 e 27 kg, dependendo do tamanho das mudas, subindo e descendo o terreno íngreme em áreas montanhosas remotas. O acesso a essas áreas remotas é feito por meio"&amp;" de estradas madeireiras abandonadas, sem nome ou numeração, que não recebem manutenção. Será realizado o corte de árvores indesejáveis ​​e doentes, o corte/empilhamento de arbustos e a poda de galhos da madeira comercial para estimular o crescimento da m"&amp;"esma. O trabalho será realizado em áreas que foram desmatadas há cerca de 12 a 15 anos, e o crescimento indesejado será eliminado para que a madeira existente possa amadurecer mais rapidamente. Quando necessário, galhos selecionados das árvores remanescen"&amp;"tes serão cortados. Todos os cortes, de árvores e arbustos, serão realizados com o uso de motosserra. Os funcionários deverão fazer a manutenção da motosserra, afiar a corrente no local, manter os níveis corretos de fluido e desmontar a motosserra adequad"&amp;"amente para limpeza. O peso combinado da motosserra, combustível e óleo é de aproximadamente 13,6 kg (30 libras) e deve ser transportado em terrenos difíceis, com inclinações que variam de 40% a 50%. O funcionário deve demonstrar capacidade de trabalhar d"&amp;"e forma segura e eficaz. Classificação da função: 45-4011.00 - Trabalhadores Florestais e de Conservação. A classificação e descrição da função/setor incluem informações gerais sobre o cargo, conforme o ONET/OES e o Sistema de Classificação Industrial da "&amp;"América do Norte (NAICS). Consulte as atribuições e a ordem de serviço para obter mais informações. Requisitos da vaga Experiência necessária: Sim Meses de experiência necessários: 3 Requisitos especiais: DEVE SER CAPAZ DE PLANTAR O SEGUINTE NÚMERO DE ÁRV"&amp;"ORES EM UM DIA DE 8 HORAS: ATÉ O FINAL DA 1ª SEMANA - 800, ATÉ O FINAL DA 2ª SEMANA - 900, ATÉ O FINAL DA 3ª SEMANA - 1000 ÁRVORES EM TERRENO COM INCLINAÇÃO DE 40% A 50% Número de horas por semana: 40 Horário de trabalho (início/término): 7h00 - 15h30")</f>
        <v>Executar trabalho braçal para desenvolver e proteger áreas florestais destinadas à extração de madeira comercial no futuro. O plantio de árvores comerciais será realizado em terrenos íngremes, com inclinação de 40% a 50%, utilizando uma pá de plantio. O funcionário deverá limpar um espaço no solo, cavar um buraco, posicionar corretamente a muda no buraco, certificando-se de que a muda não tenha raízes em forma de "J", cobrir as raízes com terra e, em seguida, compactar a terra ao redor da muda recém-plantada. O funcionário deverá carregar um saco de plantio contendo as mudas, com peso total entre 22 e 27 kg, dependendo do tamanho das mudas, subindo e descendo o terreno íngreme em áreas montanhosas remotas. O acesso a essas áreas remotas é feito por meio de estradas madeireiras abandonadas, sem nome ou numeração, que não recebem manutenção. Será realizado o corte de árvores indesejáveis ​​e doentes, o corte/empilhamento de arbustos e a poda de galhos da madeira comercial para estimular o crescimento da mesma. O trabalho será realizado em áreas que foram desmatadas há cerca de 12 a 15 anos, e o crescimento indesejado será eliminado para que a madeira existente possa amadurecer mais rapidamente. Quando necessário, galhos selecionados das árvores remanescentes serão cortados. Todos os cortes, de árvores e arbustos, serão realizados com o uso de motosserra. Os funcionários deverão fazer a manutenção da motosserra, afiar a corrente no local, manter os níveis corretos de fluido e desmontar a motosserra adequadamente para limpeza. O peso combinado da motosserra, combustível e óleo é de aproximadamente 13,6 kg (30 libras) e deve ser transportado em terrenos difíceis, com inclinações que variam de 40% a 50%. O funcionário deve demonstrar capacidade de trabalhar de forma segura e eficaz. Classificação da função: 45-4011.00 - Trabalhadores Florestais e de Conservação. A classificação e descrição da função/setor incluem informações gerais sobre o cargo, conforme o ONET/OES e o Sistema de Classificação Industrial da América do Norte (NAICS). Consulte as atribuições e a ordem de serviço para obter mais informações. Requisitos da vaga Experiência necessária: Sim Meses de experiência necessários: 3 Requisitos especiais: DEVE SER CAPAZ DE PLANTAR O SEGUINTE NÚMERO DE ÁRVORES EM UM DIA DE 8 HORAS: ATÉ O FINAL DA 1ª SEMANA - 800, ATÉ O FINAL DA 2ª SEMANA - 900, ATÉ O FINAL DA 3ª SEMANA - 1000 ÁRVORES EM TERRENO COM INCLINAÇÃO DE 40% A 50% Número de horas por semana: 40 Horário de trabalho (início/término): 7h00 - 15h30</v>
      </c>
    </row>
    <row r="482" ht="20.25" customHeight="1">
      <c r="A482" s="3" t="s">
        <v>2469</v>
      </c>
      <c r="B482" s="3" t="s">
        <v>2470</v>
      </c>
      <c r="C482" s="3" t="s">
        <v>169</v>
      </c>
      <c r="D482" s="3" t="s">
        <v>109</v>
      </c>
      <c r="E482" s="4" t="s">
        <v>19</v>
      </c>
      <c r="F482" s="4" t="s">
        <v>20</v>
      </c>
      <c r="G482" s="4" t="s">
        <v>524</v>
      </c>
      <c r="H482" s="3" t="s">
        <v>2471</v>
      </c>
      <c r="I482" s="3"/>
      <c r="J482" s="4">
        <v>16.07</v>
      </c>
      <c r="K482" s="4">
        <v>2.0</v>
      </c>
      <c r="L482" s="3" t="s">
        <v>489</v>
      </c>
      <c r="M482" s="3" t="s">
        <v>2472</v>
      </c>
      <c r="N482" s="7" t="str">
        <f>IFERROR(__xludf.DUMMYFUNCTION("GOOGLETRANSLATE(L482, ""en"", ""pt"")"),"Cozinheiros de linha")</f>
        <v>Cozinheiros de linha</v>
      </c>
      <c r="O482" s="7" t="str">
        <f>IFERROR(__xludf.DUMMYFUNCTION("IF(M482="""","""",GOOGLETRANSLATE(M482,""en"",""pt""))"),"***Resposta à Solicitação de Informações*** Os cozinheiros de linha desempenham uma variedade de tarefas associadas aos serviços de cozinha em um restaurante de alta gastronomia. Preparam os alimentos com precisão e eficiência, seguindo o cardápio e em co"&amp;"ordenação com os demais cozinheiros e a gerência, de acordo com as especificações exatas do restaurante. Trabalham com uma lista de preparo diária: preparam vegetais, frutas e caldos/sopas/molhos, aperitivos, hors d'oeuvres e sobremesas do zero; porcionam"&amp;" carnes e frutos do mar/peixes; leem e preparam os pedidos em tempo hábil, trabalhando nas linhas de grelha, refogados e pratos frios. Organizam e abastecem as estações com os suprimentos necessários. Preparam as estações de comida para eventos e auxiliam"&amp;" no preparo, montagem e apresentação dos pratos. Limpam os equipamentos da estação, higienizam todas as superfícies, guardam todas as tigelas, panelas, frigideiras e utensílios usados ​​no preparo dos alimentos e armazenam as sobras de comida adequadament"&amp;"e. Executam os procedimentos de segurança alimentar e sanitização, incluindo o cumprimento de todas as diretrizes de saúde e segurança. Auxiliam na remoção do lixo da cozinha para os recipientes externos apropriados. Auxiliam na limpeza das áreas do piso "&amp;"da cozinha e do interior dos refrigeradores. Auxiliam no recebimento e armazenamento de entregas de alimentos e bebidas. Rotacionam os produtos para garantir ingredientes frescos e seguros. Poderá também auxiliar no salão de jantar quando necessário, incl"&amp;"uindo: limpeza de mesas; remoção de pratos sujos; troca de toalhas de mesa sujas; arrumação de mesas; reposição de toalhas de mesa limpas, talheres, copos e pratos. ***Atribuições Originais*** Cozinhar e preparar uma variedade de alimentos de acordo com a"&amp;"s diretrizes de produção e receitas padronizadas. Utilizar com segurança uma variedade de utensílios e equipamentos para preparar e cozinhar todos os tipos de alimentos. Organizar, decorar e porcionar os alimentos de acordo com as diretrizes estabelecidas"&amp;". Armazenar os alimentos adequadamente, seguindo as políticas e procedimentos de segurança alimentar. Limpar e higienizar as áreas de trabalho, equipamentos e utensílios. Classificação do Cargo: 35-2014.00 - Cozinheiros, Restaurante. A classificação e des"&amp;"crição do cargo/setor inclui informações gerais sobre a posição, de acordo com o ONET/OES e o Sistema de Classificação Industrial da América do Norte. Consulte as Atribuições e a Ordem de Serviço para obter mais informações. Requisitos do Cargo Experiênci"&amp;"a Necessária: Não. Requisitos Especiais: Deve ser capaz de levantar/carregar 23 kg, quando necessário. A semana de trabalho padrão é de quarta a domingo. Testes toxicológicos são obrigatórios após a contratação, em caso de suspeita de uso, e após acidente"&amp;"s, tanto para trabalhadores estrangeiros quanto nacionais. O empregador poderá oferecer uma carga horária superior à estipulada, dependendo das condições climáticas, das necessidades da empresa e de outros fatores. Número de horas semanais: 37. Horário de"&amp;" trabalho (início/término): 14h às 22h.")</f>
        <v>***Resposta à Solicitação de Informações*** Os cozinheiros de linha desempenham uma variedade de tarefas associadas aos serviços de cozinha em um restaurante de alta gastronomia. Preparam os alimentos com precisão e eficiência, seguindo o cardápio e em coordenação com os demais cozinheiros e a gerência, de acordo com as especificações exatas do restaurante. Trabalham com uma lista de preparo diária: preparam vegetais, frutas e caldos/sopas/molhos, aperitivos, hors d'oeuvres e sobremesas do zero; porcionam carnes e frutos do mar/peixes; leem e preparam os pedidos em tempo hábil, trabalhando nas linhas de grelha, refogados e pratos frios. Organizam e abastecem as estações com os suprimentos necessários. Preparam as estações de comida para eventos e auxiliam no preparo, montagem e apresentação dos pratos. Limpam os equipamentos da estação, higienizam todas as superfícies, guardam todas as tigelas, panelas, frigideiras e utensílios usados ​​no preparo dos alimentos e armazenam as sobras de comida adequadamente. Executam os procedimentos de segurança alimentar e sanitização, incluindo o cumprimento de todas as diretrizes de saúde e segurança. Auxiliam na remoção do lixo da cozinha para os recipientes externos apropriados. Auxiliam na limpeza das áreas do piso da cozinha e do interior dos refrigeradores. Auxiliam no recebimento e armazenamento de entregas de alimentos e bebidas. Rotacionam os produtos para garantir ingredientes frescos e seguros. Poderá também auxiliar no salão de jantar quando necessário, incluindo: limpeza de mesas; remoção de pratos sujos; troca de toalhas de mesa sujas; arrumação de mesas; reposição de toalhas de mesa limpas, talheres, copos e pratos. ***Atribuições Originais*** Cozinhar e preparar uma variedade de alimentos de acordo com as diretrizes de produção e receitas padronizadas. Utilizar com segurança uma variedade de utensílios e equipamentos para preparar e cozinhar todos os tipos de alimentos. Organizar, decorar e porcionar os alimentos de acordo com as diretrizes estabelecidas. Armazenar os alimentos adequadamente, seguindo as políticas e procedimentos de segurança alimentar. Limpar e higienizar as áreas de trabalho, equipamentos e utensílios. Classificação do Cargo: 35-2014.00 - Cozinheiros, Restaurante. A classificação e descrição do cargo/setor inclui informações gerais sobre a posição, de acordo com o ONET/OES e o Sistema de Classificação Industrial da América do Norte. Consulte as Atribuições e a Ordem de Serviço para obter mais informações. Requisitos do Cargo Experiência Necessária: Não. Requisitos Especiais: Deve ser capaz de levantar/carregar 23 kg, quando necessário. A semana de trabalho padrão é de quarta a domingo. Testes toxicológicos são obrigatórios após a contratação, em caso de suspeita de uso, e após acidentes, tanto para trabalhadores estrangeiros quanto nacionais. O empregador poderá oferecer uma carga horária superior à estipulada, dependendo das condições climáticas, das necessidades da empresa e de outros fatores. Número de horas semanais: 37. Horário de trabalho (início/término): 14h às 22h.</v>
      </c>
    </row>
    <row r="483" ht="20.25" customHeight="1">
      <c r="A483" s="8" t="s">
        <v>2473</v>
      </c>
      <c r="B483" s="8" t="s">
        <v>2474</v>
      </c>
      <c r="C483" s="8" t="s">
        <v>1904</v>
      </c>
      <c r="D483" s="8" t="s">
        <v>140</v>
      </c>
      <c r="E483" s="9" t="s">
        <v>44</v>
      </c>
      <c r="F483" s="9" t="s">
        <v>20</v>
      </c>
      <c r="G483" s="9" t="s">
        <v>2475</v>
      </c>
      <c r="H483" s="8" t="s">
        <v>2476</v>
      </c>
      <c r="I483" s="8" t="s">
        <v>2477</v>
      </c>
      <c r="J483" s="9">
        <v>17.77</v>
      </c>
      <c r="K483" s="9">
        <v>85.0</v>
      </c>
      <c r="L483" s="8" t="s">
        <v>83</v>
      </c>
      <c r="M483" s="8" t="s">
        <v>2478</v>
      </c>
      <c r="N483" s="7" t="str">
        <f>IFERROR(__xludf.DUMMYFUNCTION("GOOGLETRANSLATE(L483, ""en"", ""pt"")"),"Trabalhador Florestal")</f>
        <v>Trabalhador Florestal</v>
      </c>
      <c r="O483" s="7" t="str">
        <f>IFERROR(__xludf.DUMMYFUNCTION("IF(M483="""","""",GOOGLETRANSLATE(M483,""en"",""pt""))"),"As funções podem incluir: Plantio manual de mudas de árvores. Manutenção da vegetação circundante através de poda, limpeza, desbaste e remoção de detritos. Aplicação de herbicidas para reduzir a vegetação concorrente. Identificação e remoção de árvores do"&amp;"entes ou indesejáveis, utilizando serras elétricas ou manuais. Seleção de árvores a serem cortadas de acordo com marcas, tamanho, tipo ou qualidade, e outras atividades relacionadas ao trabalho florestal, conforme SOC/OES 45-4011 (onetonline.org). Horário"&amp;" padrão/esperado: Segunda a sexta, das 7h30 às 16h30. Oferecemos mais de 40 horas semanais, sem incluir almoço e/ou intervalos. Possibilidade de trabalho aos fins de semana e feriados. Os horários de início e término, a carga horária e/ou horas extras pod"&amp;"em variar, dependendo de fatores como projetos/cronograma/necessidades do serviço, condições climáticas e tempo de deslocamento entre os locais de trabalho (se aplicável). Horas extras são possíveis, mas não obrigatórias ou garantidas. A critério exclusiv"&amp;"o do empregador: possíveis aumentos e/ou bônus com base em fatores individuais, como desempenho no trabalho ou habilidades (não garantidos). Moradia compartilhada opcional disponível sem custo para o trabalhador. Classificação do Cargo: 45-4011.00 - Traba"&amp;"lhadores Florestais e de Conservação. A classificação e descrição do cargo/setor incluem informações gerais sobre a posição, de acordo com o ONET/OES e o Sistema de Classificação Industrial da América do Norte. Consulte as Funções e a Ordem de Serviço par"&amp;"a obter mais informações. Requisitos do Cargo Experiência Necessária: Não. Requisitos Especiais: É necessário ter 18 anos devido a viagens. É necessário apresentar comprovante de autorização legal para trabalhar nos Estados Unidos. Ambiente de trabalho li"&amp;"vre de drogas, álcool e tabaco. É necessário caminhar bastante (até 24 km/dia), além de se abaixar e se curvar carregando uma mochila (até 23 kg) em terrenos acidentados (fora de trilhas). Todos os candidatos devem ser capazes, dispostos e qualificados pa"&amp;"ra executar o trabalho descrito e devem estar disponíveis durante todo o período especificado e trabalhar em todas as áreas de atuação pretendidas. O trabalho é realizado ao ar livre, exposto às intempéries. O candidato deve ser capaz de realizar trabalho"&amp;"s fisicamente extenuantes por longos períodos, ocasionalmente em condições de calor ou frio extremos. As condições climáticas são variáveis; a carga horária pode sofrer alterações, com possibilidade de períodos de inatividade e/ou horas extras. Número de "&amp;"horas semanais: 40. Horário de trabalho (início/término): 7h30 às 16h30.")</f>
        <v>As funções podem incluir: Plantio manual de mudas de árvores. Manutenção da vegetação circundante através de poda, limpeza, desbaste e remoção de detritos. Aplicação de herbicidas para reduzir a vegetação concorrente. Identificação e remoção de árvores doentes ou indesejáveis, utilizando serras elétricas ou manuais. Seleção de árvores a serem cortadas de acordo com marcas, tamanho, tipo ou qualidade, e outras atividades relacionadas ao trabalho florestal, conforme SOC/OES 45-4011 (onetonline.org). Horário padrão/esperado: Segunda a sexta, das 7h30 às 16h30. Oferecemos mais de 40 horas semanais, sem incluir almoço e/ou intervalos. Possibilidade de trabalho aos fins de semana e feriados. Os horários de início e término, a carga horária e/ou horas extras podem variar, dependendo de fatores como projetos/cronograma/necessidades do serviço, condições climáticas e tempo de deslocamento entre os locais de trabalho (se aplicável). Horas extras são possíveis, mas não obrigatórias ou garantidas. A critério exclusivo do empregador: possíveis aumentos e/ou bônus com base em fatores individuais, como desempenho no trabalho ou habilidades (não garantidos). Moradia compartilhada opcional disponível sem custo para o trabalhador. Classificação do Cargo: 45-4011.00 - Trabalhadores Florestais e de Conservação. A classificação e descrição do cargo/setor incluem informações gerais sobre a posição, de acordo com o ONET/OES e o Sistema de Classificação Industrial da América do Norte. Consulte as Funções e a Ordem de Serviço para obter mais informações. Requisitos do Cargo Experiência Necessária: Não. Requisitos Especiais: É necessário ter 18 anos devido a viagens. É necessário apresentar comprovante de autorização legal para trabalhar nos Estados Unidos. Ambiente de trabalho livre de drogas, álcool e tabaco. É necessário caminhar bastante (até 24 km/dia), além de se abaixar e se curvar carregando uma mochila (até 23 kg) em terrenos acidentados (fora de trilhas). Todos os candidatos devem ser capazes, dispostos e qualificados para executar o trabalho descrito e devem estar disponíveis durante todo o período especificado e trabalhar em todas as áreas de atuação pretendidas. O trabalho é realizado ao ar livre, exposto às intempéries. O candidato deve ser capaz de realizar trabalhos fisicamente extenuantes por longos períodos, ocasionalmente em condições de calor ou frio extremos. As condições climáticas são variáveis; a carga horária pode sofrer alterações, com possibilidade de períodos de inatividade e/ou horas extras. Número de horas semanais: 40. Horário de trabalho (início/término): 7h30 às 16h30.</v>
      </c>
    </row>
    <row r="484" ht="20.25" customHeight="1">
      <c r="A484" s="3" t="s">
        <v>2479</v>
      </c>
      <c r="B484" s="3" t="s">
        <v>2480</v>
      </c>
      <c r="C484" s="3" t="s">
        <v>1369</v>
      </c>
      <c r="D484" s="3" t="s">
        <v>64</v>
      </c>
      <c r="E484" s="4" t="s">
        <v>19</v>
      </c>
      <c r="F484" s="4" t="s">
        <v>20</v>
      </c>
      <c r="G484" s="4" t="s">
        <v>2481</v>
      </c>
      <c r="H484" s="3" t="s">
        <v>2482</v>
      </c>
      <c r="I484" s="3" t="s">
        <v>2483</v>
      </c>
      <c r="J484" s="4">
        <v>19.28</v>
      </c>
      <c r="K484" s="4">
        <v>60.0</v>
      </c>
      <c r="L484" s="3" t="s">
        <v>2484</v>
      </c>
      <c r="M484" s="3" t="s">
        <v>2485</v>
      </c>
      <c r="N484" s="7" t="str">
        <f>IFERROR(__xludf.DUMMYFUNCTION("GOOGLETRANSLATE(L484, ""en"", ""pt"")"),"Marinheiros")</f>
        <v>Marinheiros</v>
      </c>
      <c r="O484" s="7" t="str">
        <f>IFERROR(__xludf.DUMMYFUNCTION("IF(M484="""","""",GOOGLETRANSLATE(M484,""en"",""pt""))"),"Conectar e desconectar dispositivos de equipamentos em cabos, guindastes, linhas e redes. Carregar e descarregar equipamentos e suprimentos, como cordas, redes, sacos de ostras, lixo e pescado, do barco, no início e no final de cada dia de trabalho. Recol"&amp;"her e processar/separar a pesca. Devolver ao mar os itens específicos pescados. Abrir ostras. Armazenar a pesca no gelo. Lavar o convés e os equipamentos. Pode levantar até 32 kg. Classificação da vaga: 45-3031.00 - Trabalhadores da Pesca e Caça. A classi"&amp;"ficação e descrição da vaga/setor incluem informações gerais sobre o cargo, de acordo com o ONET/OES e o Sistema de Classificação Industrial da América do Norte. Consulte as Funções e a Ordem de Serviço para obter mais informações. Requisitos da vaga: Exp"&amp;"eriência necessária: Não. Requisitos especiais: Sem garantia de horas extras. O horário de trabalho varia devido às condições climáticas, imprevistos e reparos mecânicos. Número de horas por semana: 35. Horário de trabalho (início/término): 6h às 13h.")</f>
        <v>Conectar e desconectar dispositivos de equipamentos em cabos, guindastes, linhas e redes. Carregar e descarregar equipamentos e suprimentos, como cordas, redes, sacos de ostras, lixo e pescado, do barco, no início e no final de cada dia de trabalho. Recolher e processar/separar a pesca. Devolver ao mar os itens específicos pescados. Abrir ostras. Armazenar a pesca no gelo. Lavar o convés e os equipamentos. Pode levantar até 32 kg. Classificação da vaga: 45-3031.00 - Trabalhadores da Pesca e Caça. A classificação e descrição da vaga/setor incluem informações gerais sobre o cargo, de acordo com o ONET/OES e o Sistema de Classificação Industrial da América do Norte. Consulte as Funções e a Ordem de Serviço para obter mais informações. Requisitos da vaga: Experiência necessária: Não. Requisitos especiais: Sem garantia de horas extras. O horário de trabalho varia devido às condições climáticas, imprevistos e reparos mecânicos. Número de horas por semana: 35. Horário de trabalho (início/término): 6h às 13h.</v>
      </c>
    </row>
    <row r="485" ht="20.25" customHeight="1">
      <c r="A485" s="8" t="s">
        <v>2486</v>
      </c>
      <c r="B485" s="8" t="s">
        <v>2487</v>
      </c>
      <c r="C485" s="8" t="s">
        <v>662</v>
      </c>
      <c r="D485" s="8" t="s">
        <v>109</v>
      </c>
      <c r="E485" s="9" t="s">
        <v>19</v>
      </c>
      <c r="F485" s="9" t="s">
        <v>20</v>
      </c>
      <c r="G485" s="9" t="s">
        <v>56</v>
      </c>
      <c r="H485" s="8" t="s">
        <v>2488</v>
      </c>
      <c r="I485" s="8" t="s">
        <v>2489</v>
      </c>
      <c r="J485" s="9">
        <v>18.7</v>
      </c>
      <c r="K485" s="9">
        <v>3.0</v>
      </c>
      <c r="L485" s="8" t="s">
        <v>394</v>
      </c>
      <c r="M485" s="8" t="s">
        <v>2490</v>
      </c>
      <c r="N485" s="7" t="str">
        <f>IFERROR(__xludf.DUMMYFUNCTION("GOOGLETRANSLATE(L485, ""en"", ""pt"")"),"Membro da tripulação")</f>
        <v>Membro da tripulação</v>
      </c>
      <c r="O485" s="7" t="str">
        <f>IFERROR(__xludf.DUMMYFUNCTION("IF(M485="""","""",GOOGLETRANSLATE(M485,""en"",""pt""))"),"As funções podem incluir: cuidar de gramados já estabelecidos, cortando, aparando, aparando as bordas, aplicando cobertura morta, aerando, capinando, removendo palha, lixo, folhas e detritos. Seguir projetos paisagísticos planejados para o plantio de árvo"&amp;"res, arbustos, folhagens, flores, grama em placas ou sementes. Podar, aparar e regar árvores, arbustos, folhagens e flores. Manter sistemas de irrigação residenciais e comerciais. Garantir a manutenção adequada de canteiros de flores, calçadas, entradas d"&amp;"e garagem e estacionamentos. Utilizar ferramentas manuais, como pás, ancinhos, carrinhos de mão, tesouras de poda e serras de poda. Operar equipamentos motorizados, como cortadores de grama, aparadores, bordadeiras e sopradores de folhas, e outras ativida"&amp;"des relacionadas à função de membro da equipe, conforme SOC/OES 37-3011 (onetonline.org). Horário padrão/esperado: segunda a sexta, das 7h às 15h30. Oferecemos mais de 40 horas semanais, sem incluir o horário de almoço e/ou intervalos. Possibilidade de tr"&amp;"abalho aos fins de semana/feriados. Os horários de início e término, a carga horária oferecida e/ou as horas extras podem variar, pois dependem de fatores como necessidades do projeto/cronograma/serviço, condições climáticas e tempo de deslocamento entre "&amp;"os locais de trabalho (se aplicável). Horas extras são possíveis, mas não obrigatórias nem garantidas. A critério exclusivo do empregador: aumentos salariais e/ou bônus podem ser concedidos com base em fatores individuais, como desempenho ou habilidades ("&amp;"não garantidos). Classificação da vaga: 37-3011.00 - Trabalhadores de Paisagismo e Manutenção de Áreas Verdes. A classificação e a descrição da vaga/setor incluem informações gerais sobre o cargo, conforme o ONET/OES e o Sistema de Classificação Industria"&amp;"l da América do Norte. Consulte as Funções e a Ordem de Serviço para obter mais informações. Requisitos da vaga: Experiência exigida: Não. Requisitos especiais: É necessário comprovar autorização legal para trabalhar nos Estados Unidos. Ambiente de trabal"&amp;"ho livre de drogas, álcool e tabaco. Executar atividades físicas, como levantar, equilibrar-se, caminhar, abaixar-se, manusear, posicionar, mover e manipular materiais; usar força estática para exercer força muscular máxima para levantar, empurrar, puxar "&amp;"e carregar objetos de até 18 kg. Todos os candidatos devem ser capazes, dispostos e qualificados para executar o trabalho descrito e devem estar disponíveis durante todo o período especificado e trabalhar em todas as áreas da empresa. O trabalho é realiza"&amp;"do ao ar livre, exposto às intempéries; o candidato deve ser capaz de realizar trabalho fisicamente extenuante por longos períodos, ocasionalmente em calor ou frio extremos. As condições climáticas são variáveis; a carga horária pode sofrer alterações (+/"&amp;"-), com possibilidade de períodos de inatividade e/ou horas extras. Número de horas por semana: 40. Horário de trabalho (início/término): 7h às 15h30.")</f>
        <v>As funções podem incluir: cuidar de gramados já estabelecidos, cortando, aparando, aparando as bordas, aplicando cobertura morta, aerando, capinando, removendo palha, lixo, folhas e detritos. Seguir projetos paisagísticos planejados para o plantio de árvores, arbustos, folhagens, flores, grama em placas ou sementes. Podar, aparar e regar árvores, arbustos, folhagens e flores. Manter sistemas de irrigação residenciais e comerciais. Garantir a manutenção adequada de canteiros de flores, calçadas, entradas de garagem e estacionamentos. Utilizar ferramentas manuais, como pás, ancinhos, carrinhos de mão, tesouras de poda e serras de poda. Operar equipamentos motorizados, como cortadores de grama, aparadores, bordadeiras e sopradores de folhas, e outras atividades relacionadas à função de membro da equipe, conforme SOC/OES 37-3011 (onetonline.org). Horário padrão/esperado: segunda a sexta, das 7h às 15h30. Oferecemos mais de 40 horas semanais, sem incluir o horário de almoço e/ou intervalos. Possibilidade de trabalho aos fins de semana/feriados. Os horários de início e término, a carga horária oferecida e/ou as horas extras podem variar, pois dependem de fatores como necessidades do projeto/cronograma/serviço, condições climáticas e tempo de deslocamento entre os locais de trabalho (se aplicável). Horas extras são possíveis, mas não obrigatórias nem garantidas. A critério exclusivo do empregador: aumentos salariais e/ou bônus podem ser concedidos com base em fatores individuais, como desempenho ou habilidades (não garantidos). Classificação da vaga: 37-3011.00 - Trabalhadores de Paisagismo e Manutenção de Áreas Verdes. A classificação e a descrição da vaga/setor incluem informações gerais sobre o cargo, conforme o ONET/OES e o Sistema de Classificação Industrial da América do Norte. Consulte as Funções e a Ordem de Serviço para obter mais informações. Requisitos da vaga: Experiência exigida: Não. Requisitos especiais: É necessário comprovar autorização legal para trabalhar nos Estados Unidos. Ambiente de trabalho livre de drogas, álcool e tabaco. Executar atividades físicas, como levantar, equilibrar-se, caminhar, abaixar-se, manusear, posicionar, mover e manipular materiais; usar força estática para exercer força muscular máxima para levantar, empurrar, puxar e carregar objetos de até 18 kg. Todos os candidatos devem ser capazes, dispostos e qualificados para executar o trabalho descrito e devem estar disponíveis durante todo o período especificado e trabalhar em todas as áreas da empresa. O trabalho é realizado ao ar livre, exposto às intempéries; o candidato deve ser capaz de realizar trabalho fisicamente extenuante por longos períodos, ocasionalmente em calor ou frio extremos. As condições climáticas são variáveis; a carga horária pode sofrer alterações (+/-), com possibilidade de períodos de inatividade e/ou horas extras. Número de horas por semana: 40. Horário de trabalho (início/término): 7h às 15h30.</v>
      </c>
    </row>
    <row r="486" ht="20.25" customHeight="1">
      <c r="A486" s="3" t="s">
        <v>2491</v>
      </c>
      <c r="B486" s="3" t="s">
        <v>2492</v>
      </c>
      <c r="C486" s="3" t="s">
        <v>2493</v>
      </c>
      <c r="D486" s="3" t="s">
        <v>2494</v>
      </c>
      <c r="E486" s="4" t="s">
        <v>19</v>
      </c>
      <c r="F486" s="4" t="s">
        <v>20</v>
      </c>
      <c r="G486" s="4" t="s">
        <v>94</v>
      </c>
      <c r="H486" s="3" t="s">
        <v>2495</v>
      </c>
      <c r="I486" s="3"/>
      <c r="J486" s="4">
        <v>19.57</v>
      </c>
      <c r="K486" s="4">
        <v>1.0</v>
      </c>
      <c r="L486" s="3" t="s">
        <v>2496</v>
      </c>
      <c r="M486" s="3" t="s">
        <v>2497</v>
      </c>
      <c r="N486" s="7" t="str">
        <f>IFERROR(__xludf.DUMMYFUNCTION("GOOGLETRANSLATE(L486, ""en"", ""pt"")"),"Processador de carne")</f>
        <v>Processador de carne</v>
      </c>
      <c r="O486" s="7" t="str">
        <f>IFERROR(__xludf.DUMMYFUNCTION("IF(M486="""","""",GOOGLETRANSLATE(M486,""en"",""pt""))"),"Os funcionários usarão as mãos ou facas para realizar o corte, aparagem e embalagem rotineiros de carne. Utilizarão guindastes mecânicos para auxiliar na esfolagem dos animais. Carregarão e levantarão recipientes de carne de 13 a 18 kg. Classificação da f"&amp;"unção: 51-3023.00 - Abatedores e Embaladores de Carne. A classificação e descrição da função/setor inclui informações gerais sobre o cargo, de acordo com o ONET/OES e o Sistema de Classificação Industrial da América do Norte. Consulte as Funções e a Ordem"&amp;" de Serviço para obter mais informações. Requisitos da vaga: Experiência necessária: Sim. Meses de experiência necessários: 3. Requisitos especiais: Requer três meses de experiência em processamento de carne. Deve ser capaz de levantar/carregar 23 kg, qua"&amp;"ndo necessário. Trabalho aos sábados e domingos, quando necessário. O empregador poderá oferecer mais horas de trabalho do que as indicadas, dependendo do clima, das necessidades da empresa e de outras condições. Calor extremo, frio, chuva ou seca podem a"&amp;"fetar o horário de trabalho exato. Número de horas por semana: 50. Horário de trabalho (início/término): 7h. - 17h30")</f>
        <v>Os funcionários usarão as mãos ou facas para realizar o corte, aparagem e embalagem rotineiros de carne. Utilizarão guindastes mecânicos para auxiliar na esfolagem dos animais. Carregarão e levantarão recipientes de carne de 13 a 18 kg. Classificação da função: 51-3023.00 - Abatedores e Embaladores de Carne. A classificação e descrição da função/setor inclui informações gerais sobre o cargo, de acordo com o ONET/OES e o Sistema de Classificação Industrial da América do Norte. Consulte as Funções e a Ordem de Serviço para obter mais informações. Requisitos da vaga: Experiência necessária: Sim. Meses de experiência necessários: 3. Requisitos especiais: Requer três meses de experiência em processamento de carne. Deve ser capaz de levantar/carregar 23 kg, quando necessário. Trabalho aos sábados e domingos, quando necessário. O empregador poderá oferecer mais horas de trabalho do que as indicadas, dependendo do clima, das necessidades da empresa e de outras condições. Calor extremo, frio, chuva ou seca podem afetar o horário de trabalho exato. Número de horas por semana: 50. Horário de trabalho (início/término): 7h. - 17h30</v>
      </c>
    </row>
    <row r="487" ht="20.25" customHeight="1">
      <c r="A487" s="8" t="s">
        <v>2498</v>
      </c>
      <c r="B487" s="8" t="s">
        <v>2499</v>
      </c>
      <c r="C487" s="8" t="s">
        <v>205</v>
      </c>
      <c r="D487" s="8" t="s">
        <v>87</v>
      </c>
      <c r="E487" s="9" t="s">
        <v>19</v>
      </c>
      <c r="F487" s="9" t="s">
        <v>20</v>
      </c>
      <c r="G487" s="9" t="s">
        <v>377</v>
      </c>
      <c r="H487" s="8" t="s">
        <v>2500</v>
      </c>
      <c r="I487" s="8" t="s">
        <v>2501</v>
      </c>
      <c r="J487" s="9">
        <v>15.94</v>
      </c>
      <c r="K487" s="9">
        <v>30.0</v>
      </c>
      <c r="L487" s="8" t="s">
        <v>59</v>
      </c>
      <c r="M487" s="8" t="s">
        <v>2502</v>
      </c>
      <c r="N487" s="7" t="str">
        <f>IFERROR(__xludf.DUMMYFUNCTION("GOOGLETRANSLATE(L487, ""en"", ""pt"")"),"Trabalhador de paisagismo")</f>
        <v>Trabalhador de paisagismo</v>
      </c>
      <c r="O487" s="7" t="str">
        <f>IFERROR(__xludf.DUMMYFUNCTION("IF(M487="""","""",GOOGLETRANSLATE(M487,""en"",""pt""))"),"As funções podem incluir: Sob a supervisão do supervisor/líder de equipe, seguir os projetos paisagísticos definidos para determinar onde colocar grama em placas, semear grama ou plantar flores ou folhagens. Transportar e/ou espalhar terra vegetal ou palh"&amp;"a sobre o solo semeado para fixá-lo. Plantar sementes, bulbos, folhagens, plantas floríferas, grama, forrações, árvores ou arbustos e aplicar cobertura morta para proteção, utilizando ferramentas de jardinagem como pás, ancinhos ou ferramentas manuais. In"&amp;"stalar jardins de pedra, sistemas de drenagem, sistemas de irrigação e floreiras. Fixar os fios das árvores plantadas às estacas de suporte. Podar ou colher flores, limpar e cultivar gramados, jardins e/ou canteiros de flores utilizando serras de poda, se"&amp;"rras, aparadores de cerca viva ou arbustos ou machados. Rastelar, cobrir com cobertura morta e compostar folhas e outras atividades relacionadas ao trabalho de paisagista, conforme SOC/OES 37-3011 (onetonline.org). Horário padrão/esperado: Segunda a sexta"&amp;", das 7h às 15h30. Oferecemos 40 horas semanais ou mais, sem incluir almoço e/ou intervalos. Possibilidade de trabalho aos fins de semana e feriados. Os horários de início e término, a carga horária e/ou horas extras podem variar, dependendo de fatores co"&amp;"mo necessidades do projeto/cronograma/serviço, condições climáticas e tempo de deslocamento entre os locais de trabalho (se aplicável). Horas extras são possíveis, mas não obrigatórias nem garantidas. A critério exclusivo do empregador: aumentos salariais"&amp;" e/ou bônus podem ser concedidos com base em fatores individuais, como desempenho ou habilidades (não garantidos). Classificação da vaga: 37-3011.00 - Trabalhadores de Paisagismo e Manutenção de Jardins. A classificação e descrição da vaga/setor incluem i"&amp;"nformações gerais sobre o cargo, conforme ONET/OES e o Sistema de Classificação Industrial da América do Norte (NAICS). Consulte as Funções e a Ordem de Serviço para obter mais informações. Requisitos da vaga: Experiência exigida: Não. Requisitos especiai"&amp;"s: É necessário ter 18 anos ou mais, devido às leis trabalhistas estaduais. É necessário apresentar comprovante de autorização legal para trabalhar nos Estados Unidos. Ambiente de trabalho livre de drogas, álcool e tabaco. Executar atividades físicas, com"&amp;"o levantar, equilibrar-se, caminhar, abaixar-se, manusear, posicionar, mover e manipular materiais; usar força estática para exercer força muscular máxima para levantar, empurrar, puxar e carregar objetos de até 23 kg. Todos os candidatos devem ser capaze"&amp;"s, dispostos e qualificados para executar o trabalho descrito e devem estar disponíveis durante todo o período especificado e trabalhar em todas as áreas da empresa. O trabalho é realizado ao ar livre, exposto às intempéries; o candidato deve ser capaz de"&amp;" realizar trabalho fisicamente extenuante por longos períodos, ocasionalmente em calor ou frio extremos. As condições climáticas são variáveis; a carga horária pode sofrer alterações (+/-), com possibilidade de períodos de inatividade e/ou horas extras. N"&amp;"úmero de horas por semana: 40. Horário de trabalho (início/término): 7h às 15h30.")</f>
        <v>As funções podem incluir: Sob a supervisão do supervisor/líder de equipe, seguir os projetos paisagísticos definidos para determinar onde colocar grama em placas, semear grama ou plantar flores ou folhagens. Transportar e/ou espalhar terra vegetal ou palha sobre o solo semeado para fixá-lo. Plantar sementes, bulbos, folhagens, plantas floríferas, grama, forrações, árvores ou arbustos e aplicar cobertura morta para proteção, utilizando ferramentas de jardinagem como pás, ancinhos ou ferramentas manuais. Instalar jardins de pedra, sistemas de drenagem, sistemas de irrigação e floreiras. Fixar os fios das árvores plantadas às estacas de suporte. Podar ou colher flores, limpar e cultivar gramados, jardins e/ou canteiros de flores utilizando serras de poda, serras, aparadores de cerca viva ou arbustos ou machados. Rastelar, cobrir com cobertura morta e compostar folhas e outras atividades relacionadas ao trabalho de paisagista, conforme SOC/OES 37-3011 (onetonline.org). Horário padrão/esperado: Segunda a sexta, das 7h às 15h30. Oferecemos 40 horas semanais ou mais, sem incluir almoço e/ou intervalos. Possibilidade de trabalho aos fins de semana e feriados. Os horários de início e término, a carga horária e/ou horas extras podem variar, dependendo de fatores como necessidades do projeto/cronograma/serviço, condições climáticas e tempo de deslocamento entre os locais de trabalho (se aplicável). Horas extras são possíveis, mas não obrigatórias nem garantidas. A critério exclusivo do empregador: aumentos salariais e/ou bônus podem ser concedidos com base em fatores individuais, como desempenho ou habilidades (não garantidos). Classificação da vaga: 37-3011.00 - Trabalhadores de Paisagismo e Manutenção de Jardins. A classificação e descrição da vaga/setor incluem informações gerais sobre o cargo, conforme ONET/OES e o Sistema de Classificação Industrial da América do Norte (NAICS). Consulte as Funções e a Ordem de Serviço para obter mais informações. Requisitos da vaga: Experiência exigida: Não. Requisitos especiais: É necessário ter 18 anos ou mais, devido às leis trabalhistas estaduais. É necessário apresentar comprovante de autorização legal para trabalhar nos Estados Unidos. Ambiente de trabalho livre de drogas, álcool e tabaco. Executar atividades físicas, como levantar, equilibrar-se, caminhar, abaixar-se, manusear, posicionar, mover e manipular materiais; usar força estática para exercer força muscular máxima para levantar, empurrar, puxar e carregar objetos de até 23 kg. Todos os candidatos devem ser capazes, dispostos e qualificados para executar o trabalho descrito e devem estar disponíveis durante todo o período especificado e trabalhar em todas as áreas da empresa. O trabalho é realizado ao ar livre, exposto às intempéries; o candidato deve ser capaz de realizar trabalho fisicamente extenuante por longos períodos, ocasionalmente em calor ou frio extremos. As condições climáticas são variáveis; a carga horária pode sofrer alterações (+/-), com possibilidade de períodos de inatividade e/ou horas extras. Número de horas por semana: 40. Horário de trabalho (início/término): 7h às 15h30.</v>
      </c>
    </row>
    <row r="488" ht="20.25" customHeight="1">
      <c r="A488" s="3" t="s">
        <v>2503</v>
      </c>
      <c r="B488" s="3" t="s">
        <v>1879</v>
      </c>
      <c r="C488" s="3" t="s">
        <v>27</v>
      </c>
      <c r="D488" s="3" t="s">
        <v>71</v>
      </c>
      <c r="E488" s="4" t="s">
        <v>44</v>
      </c>
      <c r="F488" s="4" t="s">
        <v>20</v>
      </c>
      <c r="G488" s="4" t="s">
        <v>1280</v>
      </c>
      <c r="H488" s="3" t="s">
        <v>1880</v>
      </c>
      <c r="I488" s="3" t="s">
        <v>1881</v>
      </c>
      <c r="J488" s="4">
        <v>18.23</v>
      </c>
      <c r="K488" s="4">
        <v>35.0</v>
      </c>
      <c r="L488" s="3" t="s">
        <v>149</v>
      </c>
      <c r="M488" s="3" t="s">
        <v>2504</v>
      </c>
      <c r="N488" s="7" t="str">
        <f>IFERROR(__xludf.DUMMYFUNCTION("GOOGLETRANSLATE(L488, ""en"", ""pt"")"),"Trabalhador de paisagismo")</f>
        <v>Trabalhador de paisagismo</v>
      </c>
      <c r="O488" s="7" t="str">
        <f>IFERROR(__xludf.DUMMYFUNCTION("IF(M488="""","""",GOOGLETRANSLATE(M488,""en"",""pt""))"),"As funções podem incluir: aplicação de cobertura morta, palha de pinheiro, espalhamento de palha de pinheiro, abertura de valas e fixação de canteiros, limpeza de canteiros com soprador e fixação do produto final. Carregamento e descarregamento de fardos "&amp;"e cobertura morta, além de outras atividades relacionadas ao trabalho de paisagista, conforme SOC/OES 37-3011 (onetonline.org). Horário padrão/esperado: segunda a sexta, das 8h às 17h. Oferecemos 35 horas semanais ou mais, sem incluir almoço e/ou interval"&amp;"os. Possibilidade de trabalho nos fins de semana e feriados. Os horários de início e término, a carga horária e/ou horas extras podem variar, pois dependem de fatores como projeto/cronograma/necessidades do serviço, condições climáticas e tempo de desloca"&amp;"mento entre os locais de trabalho (se aplicável). Horas extras são possíveis, mas não obrigatórias nem garantidas. A critério exclusivo do empregador: aumentos salariais e/ou bônus podem ser concedidos com base em fatores individuais, como desempenho ou h"&amp;"abilidades (não garantidos). Pagamento por peça produzida: US$ 0,75 por rolo para rastelar, US$ 0,20 por rolo para enfardar, US$ 0,30 por rolo para carregar, US$ 0,80 por fardo instalado, US$ 0,20 por fardo enterrado, US$ 7,50 por área de cobertura vegeta"&amp;"l instalada, US$ 2,00 por área de cobertura vegetal enterrada. O pagamento nunca será inferior ao salário mínimo vigente/federal/estadual/local. Classificação da vaga: 37-3011.00 - Trabalhadores de Paisagismo e Manutenção de Áreas Verdes. A classificação "&amp;"e descrição da vaga/setor incluem informações gerais sobre o cargo, conforme o ONET/OES e o Sistema de Classificação Industrial da América do Norte (NAICS). Consulte as Funções e a Ordem de Serviço para obter mais informações. Requisitos da vaga: Experiên"&amp;"cia exigida: Não. Requisitos especiais: É necessário comprovar autorização legal para trabalhar nos Estados Unidos. Ambiente de trabalho livre de drogas, álcool e tabaco. Executar atividades físicas, como levantar, equilibrar-se, caminhar, abaixar-se, man"&amp;"usear, posicionar, mover e manipular materiais; usar força estática para exercer força muscular máxima para levantar, empurrar, puxar e carregar objetos de até 20 kg. Todos os candidatos devem ser capazes, dispostos e qualificados para executar o trabalho"&amp;" descrito e devem estar disponíveis durante todo o período especificado e trabalhar em todas as áreas do emprego pretendido. A critério do empregador/custo: o trabalhador poderá ser submetido a testes aleatórios de drogas/álcool durante o emprego: teste p"&amp;"ositivo/recusa em cumprir o teste = demissão. O trabalho é realizado ao ar livre, exposto às intempéries; o trabalhador deve ser capaz de realizar trabalho fisicamente extenuante por longos períodos, ocasionalmente em calor ou frio extremos. Condições cli"&amp;"máticas variáveis ​​se aplicam; a carga horária pode sofrer alterações (+/-), com possibilidade de tempo de inatividade e/ou horas extras. Número de horas por semana: 40. Horário de trabalho (início/término): 8h às 17h.")</f>
        <v>As funções podem incluir: aplicação de cobertura morta, palha de pinheiro, espalhamento de palha de pinheiro, abertura de valas e fixação de canteiros, limpeza de canteiros com soprador e fixação do produto final. Carregamento e descarregamento de fardos e cobertura morta, além de outras atividades relacionadas ao trabalho de paisagista, conforme SOC/OES 37-3011 (onetonline.org). Horário padrão/esperado: segunda a sexta, das 8h às 17h. Oferecemos 35 horas semanais ou mais, sem incluir almoço e/ou intervalos. Possibilidade de trabalho nos fins de semana e feriados. Os horários de início e término, a carga horária e/ou horas extras podem variar, pois dependem de fatores como projeto/cronograma/necessidades do serviço, condições climáticas e tempo de deslocamento entre os locais de trabalho (se aplicável). Horas extras são possíveis, mas não obrigatórias nem garantidas. A critério exclusivo do empregador: aumentos salariais e/ou bônus podem ser concedidos com base em fatores individuais, como desempenho ou habilidades (não garantidos). Pagamento por peça produzida: US$ 0,75 por rolo para rastelar, US$ 0,20 por rolo para enfardar, US$ 0,30 por rolo para carregar, US$ 0,80 por fardo instalado, US$ 0,20 por fardo enterrado, US$ 7,50 por área de cobertura vegetal instalada, US$ 2,00 por área de cobertura vegetal enterrada. O pagamento nunca será inferior ao salário mínimo vigente/federal/estadual/local. Classificação da vaga: 37-3011.00 - Trabalhadores de Paisagismo e Manutenção de Áreas Verdes. A classificação e descrição da vaga/setor incluem informações gerais sobre o cargo, conforme o ONET/OES e o Sistema de Classificação Industrial da América do Norte (NAICS). Consulte as Funções e a Ordem de Serviço para obter mais informações. Requisitos da vaga: Experiência exigida: Não. Requisitos especiais: É necessário comprovar autorização legal para trabalhar nos Estados Unidos. Ambiente de trabalho livre de drogas, álcool e tabaco. Executar atividades físicas, como levantar, equilibrar-se, caminhar, abaixar-se, manusear, posicionar, mover e manipular materiais; usar força estática para exercer força muscular máxima para levantar, empurrar, puxar e carregar objetos de até 20 kg. Todos os candidatos devem ser capazes, dispostos e qualificados para executar o trabalho descrito e devem estar disponíveis durante todo o período especificado e trabalhar em todas as áreas do emprego pretendido. A critério do empregador/custo: o trabalhador poderá ser submetido a testes aleatórios de drogas/álcool durante o emprego: teste positivo/recusa em cumprir o teste = demissão. O trabalho é realizado ao ar livre, exposto às intempéries; o trabalhador deve ser capaz de realizar trabalho fisicamente extenuante por longos períodos, ocasionalmente em calor ou frio extremos. Condições climáticas variáveis ​​se aplicam; a carga horária pode sofrer alterações (+/-), com possibilidade de tempo de inatividade e/ou horas extras. Número de horas por semana: 40. Horário de trabalho (início/término): 8h às 17h.</v>
      </c>
    </row>
    <row r="489" ht="20.25" customHeight="1">
      <c r="A489" s="8" t="s">
        <v>2505</v>
      </c>
      <c r="B489" s="8" t="s">
        <v>1879</v>
      </c>
      <c r="C489" s="8" t="s">
        <v>27</v>
      </c>
      <c r="D489" s="8" t="s">
        <v>140</v>
      </c>
      <c r="E489" s="9" t="s">
        <v>19</v>
      </c>
      <c r="F489" s="9" t="s">
        <v>20</v>
      </c>
      <c r="G489" s="9" t="s">
        <v>1280</v>
      </c>
      <c r="H489" s="8" t="s">
        <v>1880</v>
      </c>
      <c r="I489" s="8" t="s">
        <v>1881</v>
      </c>
      <c r="J489" s="9">
        <v>18.84</v>
      </c>
      <c r="K489" s="9">
        <v>40.0</v>
      </c>
      <c r="L489" s="8" t="s">
        <v>149</v>
      </c>
      <c r="M489" s="8" t="s">
        <v>2506</v>
      </c>
      <c r="N489" s="7" t="str">
        <f>IFERROR(__xludf.DUMMYFUNCTION("GOOGLETRANSLATE(L489, ""en"", ""pt"")"),"Trabalhador de paisagismo")</f>
        <v>Trabalhador de paisagismo</v>
      </c>
      <c r="O489" s="7" t="str">
        <f>IFERROR(__xludf.DUMMYFUNCTION("IF(M489="""","""",GOOGLETRANSLATE(M489,""en"",""pt""))"),"As funções podem incluir: aplicação de cobertura morta, palha de pinheiro, espalhamento de palha de pinheiro, abertura de valas e fixação de canteiros, limpeza de canteiros com soprador e fixação do produto final. Carregamento e descarregamento de fardos "&amp;"e cobertura morta, além de outras atividades relacionadas ao trabalho de paisagista, conforme SOC/OES 37-3011 (onetonline.org). Horário padrão/esperado: segunda a sexta, das 8h às 17h. Oferecemos 35 horas semanais ou mais, sem incluir almoço e/ou interval"&amp;"os. Possibilidade de trabalho nos fins de semana e feriados. Os horários de início e término, a carga horária e/ou horas extras podem variar, pois dependem de fatores como projeto/cronograma/necessidades do serviço, condições climáticas e tempo de desloca"&amp;"mento entre os locais de trabalho (se aplicável). Horas extras são possíveis, mas não obrigatórias nem garantidas. A critério exclusivo do empregador: aumentos salariais e/ou bônus podem ser concedidos com base em fatores individuais, como desempenho ou h"&amp;"abilidades (não garantidos). Pagamento por peça produzida: US$ 0,80 por fardo instalado, US$ 0,20 por fardo enterrado, US$ 7,50 por área de cobertura vegetal instalada, US$ 2,00 por área de cobertura vegetal enterrada. O pagamento nunca será inferior ao s"&amp;"alário mínimo vigente/federal/estadual/local. Classificação da vaga: 37-3011.00 - Trabalhadores de Paisagismo e Manutenção de Áreas Verdes. A classificação e descrição da vaga/setor incluem informações gerais sobre o cargo, conforme o ONET/OES e o Sistema"&amp;" de Classificação Industrial da América do Norte (NAICS). Consulte as atribuições e a ordem de serviço para obter mais informações. Requisitos da vaga: Experiência necessária: Não. Requisitos especiais: É necessário comprovar autorização legal para trabal"&amp;"har nos Estados Unidos. Ambiente de trabalho livre de drogas, álcool e tabaco. Executar atividades físicas como: levantar, equilibrar-se, caminhar, abaixar-se, manusear, posicionar, mover e manipular materiais; usar força estática para exercer força muscu"&amp;"lar máxima para levantar, empurrar, puxar e carregar objetos de até 34 kg (possivelmente com a ajuda de outra pessoa). Todos os candidatos devem ser capazes, estar dispostos e qualificados para executar o trabalho descrito e devem estar disponíveis durant"&amp;"e todo o período especificado e trabalhar em todas as áreas do emprego pretendido. A critério do empregador/custo: O trabalhador poderá ser submetido a testes aleatórios de drogas/álcool durante o emprego: teste positivo/recusa em cumprir o teste = demiss"&amp;"ão. O trabalho é realizado ao ar livre, exposto às intempéries; o candidato deve ser capaz de realizar trabalho fisicamente extenuante por longos períodos, ocasionalmente em calor ou frio extremos. As condições climáticas são variáveis; a carga horária po"&amp;"de sofrer alterações (+/-), podendo haver períodos de inatividade e/ou horas extras. Número de horas por semana: 40. Horário de trabalho (início/término): 8h às 17h.")</f>
        <v>As funções podem incluir: aplicação de cobertura morta, palha de pinheiro, espalhamento de palha de pinheiro, abertura de valas e fixação de canteiros, limpeza de canteiros com soprador e fixação do produto final. Carregamento e descarregamento de fardos e cobertura morta, além de outras atividades relacionadas ao trabalho de paisagista, conforme SOC/OES 37-3011 (onetonline.org). Horário padrão/esperado: segunda a sexta, das 8h às 17h. Oferecemos 35 horas semanais ou mais, sem incluir almoço e/ou intervalos. Possibilidade de trabalho nos fins de semana e feriados. Os horários de início e término, a carga horária e/ou horas extras podem variar, pois dependem de fatores como projeto/cronograma/necessidades do serviço, condições climáticas e tempo de deslocamento entre os locais de trabalho (se aplicável). Horas extras são possíveis, mas não obrigatórias nem garantidas. A critério exclusivo do empregador: aumentos salariais e/ou bônus podem ser concedidos com base em fatores individuais, como desempenho ou habilidades (não garantidos). Pagamento por peça produzida: US$ 0,80 por fardo instalado, US$ 0,20 por fardo enterrado, US$ 7,50 por área de cobertura vegetal instalada, US$ 2,00 por área de cobertura vegetal enterrada. O pagamento nunca será inferior ao salário mínimo vigente/federal/estadual/local. Classificação da vaga: 37-3011.00 - Trabalhadores de Paisagismo e Manutenção de Áreas Verdes. A classificação e descrição da vaga/setor incluem informações gerais sobre o cargo, conforme o ONET/OES e o Sistema de Classificação Industrial da América do Norte (NAICS). Consulte as atribuições e a ordem de serviço para obter mais informações. Requisitos da vaga: Experiência necessária: Não. Requisitos especiais: É necessário comprovar autorização legal para trabalhar nos Estados Unidos. Ambiente de trabalho livre de drogas, álcool e tabaco. Executar atividades físicas como: levantar, equilibrar-se, caminhar, abaixar-se, manusear, posicionar, mover e manipular materiais; usar força estática para exercer força muscular máxima para levantar, empurrar, puxar e carregar objetos de até 34 kg (possivelmente com a ajuda de outra pessoa). Todos os candidatos devem ser capazes, estar dispostos e qualificados para executar o trabalho descrito e devem estar disponíveis durante todo o período especificado e trabalhar em todas as áreas do emprego pretendido. A critério do empregador/custo: O trabalhador poderá ser submetido a testes aleatórios de drogas/álcool durante o emprego: teste positivo/recusa em cumprir o teste = demissão. O trabalho é realizado ao ar livre, exposto às intempéries; o candidato deve ser capaz de realizar trabalho fisicamente extenuante por longos períodos, ocasionalmente em calor ou frio extremos. As condições climáticas são variáveis; a carga horária pode sofrer alterações (+/-), podendo haver períodos de inatividade e/ou horas extras. Número de horas por semana: 40. Horário de trabalho (início/término): 8h às 17h.</v>
      </c>
    </row>
    <row r="490" ht="20.25" customHeight="1">
      <c r="A490" s="3" t="s">
        <v>2507</v>
      </c>
      <c r="B490" s="3" t="s">
        <v>1879</v>
      </c>
      <c r="C490" s="3" t="s">
        <v>27</v>
      </c>
      <c r="D490" s="3" t="s">
        <v>18</v>
      </c>
      <c r="E490" s="4" t="s">
        <v>19</v>
      </c>
      <c r="F490" s="4" t="s">
        <v>20</v>
      </c>
      <c r="G490" s="4" t="s">
        <v>1280</v>
      </c>
      <c r="H490" s="3" t="s">
        <v>1880</v>
      </c>
      <c r="I490" s="3" t="s">
        <v>1881</v>
      </c>
      <c r="J490" s="4">
        <v>19.47</v>
      </c>
      <c r="K490" s="4">
        <v>10.0</v>
      </c>
      <c r="L490" s="3" t="s">
        <v>149</v>
      </c>
      <c r="M490" s="3" t="s">
        <v>2506</v>
      </c>
      <c r="N490" s="7" t="str">
        <f>IFERROR(__xludf.DUMMYFUNCTION("GOOGLETRANSLATE(L490, ""en"", ""pt"")"),"Trabalhador de paisagismo")</f>
        <v>Trabalhador de paisagismo</v>
      </c>
      <c r="O490" s="7" t="str">
        <f>IFERROR(__xludf.DUMMYFUNCTION("IF(M490="""","""",GOOGLETRANSLATE(M490,""en"",""pt""))"),"As funções podem incluir: aplicação de cobertura morta, palha de pinheiro, espalhamento de palha de pinheiro, abertura de valas e fixação de canteiros, limpeza de canteiros com soprador e fixação do produto final. Carregamento e descarregamento de fardos "&amp;"e cobertura morta, além de outras atividades relacionadas ao trabalho de paisagista, conforme SOC/OES 37-3011 (onetonline.org). Horário padrão/esperado: segunda a sexta, das 8h às 17h. Oferecemos 35 horas semanais ou mais, sem incluir almoço e/ou interval"&amp;"os. Possibilidade de trabalho nos fins de semana e feriados. Os horários de início e término, a carga horária e/ou horas extras podem variar, pois dependem de fatores como projeto/cronograma/necessidades do serviço, condições climáticas e tempo de desloca"&amp;"mento entre os locais de trabalho (se aplicável). Horas extras são possíveis, mas não obrigatórias nem garantidas. A critério exclusivo do empregador: aumentos salariais e/ou bônus podem ser concedidos com base em fatores individuais, como desempenho ou h"&amp;"abilidades (não garantidos). Pagamento por peça produzida: US$ 0,80 por fardo instalado, US$ 0,20 por fardo enterrado, US$ 7,50 por área de cobertura vegetal instalada, US$ 2,00 por área de cobertura vegetal enterrada. O pagamento nunca será inferior ao s"&amp;"alário mínimo vigente/federal/estadual/local. Classificação da vaga: 37-3011.00 - Trabalhadores de Paisagismo e Manutenção de Áreas Verdes. A classificação e descrição da vaga/setor incluem informações gerais sobre o cargo, conforme o ONET/OES e o Sistema"&amp;" de Classificação Industrial da América do Norte (NAICS). Consulte as atribuições e a ordem de serviço para obter mais informações. Requisitos da vaga: Experiência necessária: Não. Requisitos especiais: É necessário comprovar autorização legal para trabal"&amp;"har nos Estados Unidos. Ambiente de trabalho livre de drogas, álcool e tabaco. Executar atividades físicas como: levantar, equilibrar-se, caminhar, abaixar-se, manusear, posicionar, mover e manipular materiais; usar força estática para exercer força muscu"&amp;"lar máxima para levantar, empurrar, puxar e carregar objetos de até 34 kg (possivelmente com a ajuda de outra pessoa). Todos os candidatos devem ser capazes, estar dispostos e qualificados para executar o trabalho descrito e devem estar disponíveis durant"&amp;"e todo o período especificado e trabalhar em todas as áreas do emprego pretendido. A critério do empregador/custo: O trabalhador poderá ser submetido a testes aleatórios de drogas/álcool durante o emprego: teste positivo/recusa em cumprir o teste = demiss"&amp;"ão. O trabalho é realizado ao ar livre, exposto às intempéries; o candidato deve ser capaz de realizar trabalho fisicamente extenuante por longos períodos, ocasionalmente em calor ou frio extremos. As condições climáticas são variáveis; a carga horária po"&amp;"de sofrer alterações (+/-), podendo haver períodos de inatividade e/ou horas extras. Número de horas por semana: 40. Horário de trabalho (início/término): 8h às 17h.")</f>
        <v>As funções podem incluir: aplicação de cobertura morta, palha de pinheiro, espalhamento de palha de pinheiro, abertura de valas e fixação de canteiros, limpeza de canteiros com soprador e fixação do produto final. Carregamento e descarregamento de fardos e cobertura morta, além de outras atividades relacionadas ao trabalho de paisagista, conforme SOC/OES 37-3011 (onetonline.org). Horário padrão/esperado: segunda a sexta, das 8h às 17h. Oferecemos 35 horas semanais ou mais, sem incluir almoço e/ou intervalos. Possibilidade de trabalho nos fins de semana e feriados. Os horários de início e término, a carga horária e/ou horas extras podem variar, pois dependem de fatores como projeto/cronograma/necessidades do serviço, condições climáticas e tempo de deslocamento entre os locais de trabalho (se aplicável). Horas extras são possíveis, mas não obrigatórias nem garantidas. A critério exclusivo do empregador: aumentos salariais e/ou bônus podem ser concedidos com base em fatores individuais, como desempenho ou habilidades (não garantidos). Pagamento por peça produzida: US$ 0,80 por fardo instalado, US$ 0,20 por fardo enterrado, US$ 7,50 por área de cobertura vegetal instalada, US$ 2,00 por área de cobertura vegetal enterrada. O pagamento nunca será inferior ao salário mínimo vigente/federal/estadual/local. Classificação da vaga: 37-3011.00 - Trabalhadores de Paisagismo e Manutenção de Áreas Verdes. A classificação e descrição da vaga/setor incluem informações gerais sobre o cargo, conforme o ONET/OES e o Sistema de Classificação Industrial da América do Norte (NAICS). Consulte as atribuições e a ordem de serviço para obter mais informações. Requisitos da vaga: Experiência necessária: Não. Requisitos especiais: É necessário comprovar autorização legal para trabalhar nos Estados Unidos. Ambiente de trabalho livre de drogas, álcool e tabaco. Executar atividades físicas como: levantar, equilibrar-se, caminhar, abaixar-se, manusear, posicionar, mover e manipular materiais; usar força estática para exercer força muscular máxima para levantar, empurrar, puxar e carregar objetos de até 34 kg (possivelmente com a ajuda de outra pessoa). Todos os candidatos devem ser capazes, estar dispostos e qualificados para executar o trabalho descrito e devem estar disponíveis durante todo o período especificado e trabalhar em todas as áreas do emprego pretendido. A critério do empregador/custo: O trabalhador poderá ser submetido a testes aleatórios de drogas/álcool durante o emprego: teste positivo/recusa em cumprir o teste = demissão. O trabalho é realizado ao ar livre, exposto às intempéries; o candidato deve ser capaz de realizar trabalho fisicamente extenuante por longos períodos, ocasionalmente em calor ou frio extremos. As condições climáticas são variáveis; a carga horária pode sofrer alterações (+/-), podendo haver períodos de inatividade e/ou horas extras. Número de horas por semana: 40. Horário de trabalho (início/término): 8h às 17h.</v>
      </c>
    </row>
    <row r="491" ht="20.25" customHeight="1">
      <c r="A491" s="8" t="s">
        <v>2508</v>
      </c>
      <c r="B491" s="8" t="s">
        <v>2509</v>
      </c>
      <c r="C491" s="8" t="s">
        <v>169</v>
      </c>
      <c r="D491" s="8" t="s">
        <v>596</v>
      </c>
      <c r="E491" s="9" t="s">
        <v>44</v>
      </c>
      <c r="F491" s="9" t="s">
        <v>20</v>
      </c>
      <c r="G491" s="9" t="s">
        <v>146</v>
      </c>
      <c r="H491" s="8" t="s">
        <v>2510</v>
      </c>
      <c r="I491" s="8" t="s">
        <v>2511</v>
      </c>
      <c r="J491" s="9">
        <v>24.03</v>
      </c>
      <c r="K491" s="9">
        <v>4.0</v>
      </c>
      <c r="L491" s="8" t="s">
        <v>2512</v>
      </c>
      <c r="M491" s="8" t="s">
        <v>2513</v>
      </c>
      <c r="N491" s="7" t="str">
        <f>IFERROR(__xludf.DUMMYFUNCTION("GOOGLETRANSLATE(L491, ""en"", ""pt"")"),"Pavimentação Segmentada")</f>
        <v>Pavimentação Segmentada</v>
      </c>
      <c r="O491" s="7" t="str">
        <f>IFERROR(__xludf.DUMMYFUNCTION("IF(M491="""","""",GOOGLETRANSLATE(M491,""en"",""pt""))"),"Os trabalhadores irão assentar, cortar e instalar blocos de pavimentação segmentados para áreas externas. Isso inclui a instalação de materiais de base e contenção para os blocos de pavimentação. Conforme a Classificação ONET 47-4091.00, os trabalhadores "&amp;"utilizarão ferramentas manuais e elétricas, incluindo divisor de blocos e serra para alvenaria. Deverão limpar os locais de trabalho, removendo detritos, e carregar/descarregar equipamentos dos caminhões. Classificação da Função: 47-4091.00 - Pavimentador"&amp;"es Segmentados. A classificação e descrição da função/setor inclui informações gerais sobre o cargo, de acordo com a ONET/OES e o Sistema de Classificação Industrial da América do Norte (NAICS). Consulte as Funções e a Ordem de Serviço para obter mais inf"&amp;"ormações. Requisitos da Função: Experiência Necessária: Sim. Meses de Experiência Necessários: 3. Requisitos Especiais: Requer três meses de experiência com pavimentação segmentada. Deve ser capaz de levantar/carregar 23 kg, quando necessário. Trabalho ao"&amp;"s sábados e domingos, quando necessário. Testes toxicológicos pós-contratação, em caso de suspeita de uso, e pós-acidente, são obrigatórios para trabalhadores estrangeiros e nacionais. O empregador poderá oferecer uma jornada de trabalho superior à estipu"&amp;"lada, dependendo das condições climáticas, das necessidades da empresa e de outros fatores. Calor extremo, frio intenso, chuva ou seca podem afetar o horário de trabalho exato. Número de horas por semana: 35. Horário de trabalho (início/término): 8h00 às "&amp;"15h30.")</f>
        <v>Os trabalhadores irão assentar, cortar e instalar blocos de pavimentação segmentados para áreas externas. Isso inclui a instalação de materiais de base e contenção para os blocos de pavimentação. Conforme a Classificação ONET 47-4091.00, os trabalhadores utilizarão ferramentas manuais e elétricas, incluindo divisor de blocos e serra para alvenaria. Deverão limpar os locais de trabalho, removendo detritos, e carregar/descarregar equipamentos dos caminhões. Classificação da Função: 47-4091.00 - Pavimentadores Segmentados. A classificação e descrição da função/setor inclui informações gerais sobre o cargo, de acordo com a ONET/OES e o Sistema de Classificação Industrial da América do Norte (NAICS). Consulte as Funções e a Ordem de Serviço para obter mais informações. Requisitos da Função: Experiência Necessária: Sim. Meses de Experiência Necessários: 3. Requisitos Especiais: Requer três meses de experiência com pavimentação segmentada. Deve ser capaz de levantar/carregar 23 kg, quando necessário. Trabalho aos sábados e domingos, quando necessário. Testes toxicológicos pós-contratação, em caso de suspeita de uso, e pós-acidente, são obrigatórios para trabalhadores estrangeiros e nacionais. O empregador poderá oferecer uma jornada de trabalho superior à estipulada, dependendo das condições climáticas, das necessidades da empresa e de outros fatores. Calor extremo, frio intenso, chuva ou seca podem afetar o horário de trabalho exato. Número de horas por semana: 35. Horário de trabalho (início/término): 8h00 às 15h30.</v>
      </c>
    </row>
    <row r="492" ht="20.25" customHeight="1">
      <c r="A492" s="3" t="s">
        <v>2514</v>
      </c>
      <c r="B492" s="3" t="s">
        <v>1410</v>
      </c>
      <c r="C492" s="3" t="s">
        <v>1411</v>
      </c>
      <c r="D492" s="3" t="s">
        <v>663</v>
      </c>
      <c r="E492" s="4" t="s">
        <v>19</v>
      </c>
      <c r="F492" s="4" t="s">
        <v>20</v>
      </c>
      <c r="G492" s="4" t="s">
        <v>1412</v>
      </c>
      <c r="H492" s="3" t="s">
        <v>1413</v>
      </c>
      <c r="I492" s="3" t="s">
        <v>1414</v>
      </c>
      <c r="J492" s="4">
        <v>22.43</v>
      </c>
      <c r="K492" s="4">
        <v>6.0</v>
      </c>
      <c r="L492" s="3" t="s">
        <v>406</v>
      </c>
      <c r="M492" s="3" t="s">
        <v>2515</v>
      </c>
      <c r="N492" s="7" t="str">
        <f>IFERROR(__xludf.DUMMYFUNCTION("GOOGLETRANSLATE(L492, ""en"", ""pt"")"),"Trabalhador")</f>
        <v>Trabalhador</v>
      </c>
      <c r="O492" s="7" t="str">
        <f>IFERROR(__xludf.DUMMYFUNCTION("IF(M492="""","""",GOOGLETRANSLATE(M492,""en"",""pt""))"),"Descarregar beterrabas de um caminhão-tanque. Não é necessário o uso de ferramentas ou levantamento de peso. O caminhão é descarregado com um botão na lateral do reboque que o trabalhador aciona para ativar a abertura das comportas, permitindo que as bete"&amp;"rrabas caiam pela parte inferior do reboque na tremonha. O trabalhador caminha lentamente ao lado do reboque enquanto as beterrabas caem na tremonha. Ocasionalmente, algumas beterrabas não chegam à tremonha. Nesse caso, o trabalhador as empurra para dentr"&amp;"o da tremonha com uma pá. Classificação da função: 53-7199.00 - Trabalhadores de Movimentação de Materiais, Outros. A classificação e descrição da função/setor incluem informações gerais sobre o cargo, de acordo com o ONET/OES e o Sistema de Classificação"&amp;" Industrial da América do Norte (NAICS). Consulte as Funções e a Ordem de Serviço para obter mais informações. Requisitos da função: Experiência necessária: Não. Requisitos especiais: Aprovação na verificação de antecedentes e no teste toxicológico padrão"&amp;" exigidos pela empresa. Número de horas por semana: 48. Horário de trabalho (início/término): 00h00. - 12:00 PM")</f>
        <v>Descarregar beterrabas de um caminhão-tanque. Não é necessário o uso de ferramentas ou levantamento de peso. O caminhão é descarregado com um botão na lateral do reboque que o trabalhador aciona para ativar a abertura das comportas, permitindo que as beterrabas caiam pela parte inferior do reboque na tremonha. O trabalhador caminha lentamente ao lado do reboque enquanto as beterrabas caem na tremonha. Ocasionalmente, algumas beterrabas não chegam à tremonha. Nesse caso, o trabalhador as empurra para dentro da tremonha com uma pá. Classificação da função: 53-7199.00 - Trabalhadores de Movimentação de Materiais, Outros. A classificação e descrição da função/setor incluem informações gerais sobre o cargo, de acordo com o ONET/OES e o Sistema de Classificação Industrial da América do Norte (NAICS). Consulte as Funções e a Ordem de Serviço para obter mais informações. Requisitos da função: Experiência necessária: Não. Requisitos especiais: Aprovação na verificação de antecedentes e no teste toxicológico padrão exigidos pela empresa. Número de horas por semana: 48. Horário de trabalho (início/término): 00h00. - 12:00 PM</v>
      </c>
    </row>
    <row r="493" ht="20.25" customHeight="1">
      <c r="A493" s="8" t="s">
        <v>2516</v>
      </c>
      <c r="B493" s="8" t="s">
        <v>1410</v>
      </c>
      <c r="C493" s="8" t="s">
        <v>1411</v>
      </c>
      <c r="D493" s="8" t="s">
        <v>299</v>
      </c>
      <c r="E493" s="9" t="s">
        <v>19</v>
      </c>
      <c r="F493" s="9" t="s">
        <v>20</v>
      </c>
      <c r="G493" s="9" t="s">
        <v>467</v>
      </c>
      <c r="H493" s="8" t="s">
        <v>1413</v>
      </c>
      <c r="I493" s="8" t="s">
        <v>1414</v>
      </c>
      <c r="J493" s="9">
        <v>21.21</v>
      </c>
      <c r="K493" s="9">
        <v>4.0</v>
      </c>
      <c r="L493" s="8" t="s">
        <v>2517</v>
      </c>
      <c r="M493" s="8" t="s">
        <v>2102</v>
      </c>
      <c r="N493" s="7" t="str">
        <f>IFERROR(__xludf.DUMMYFUNCTION("GOOGLETRANSLATE(L493, ""en"", ""pt"")"),"Ir para o conteúdo principal")</f>
        <v>Ir para o conteúdo principal</v>
      </c>
      <c r="O493" s="7" t="str">
        <f>IFERROR(__xludf.DUMMYFUNCTION("IF(M493="""","""",GOOGLETRANSLATE(M493,""en"",""pt""))"),"Auxiliar mecânicos experientes em tarefas menos complexas relacionadas à manutenção e reparo de veículos. Auxiliar os mecânicos no diagnóstico, exame, teste, ajuste e reparo de diversos veículos e equipamentos comerciais, como caminhonetes, conjuntos de c"&amp;"aminhão-trator pesado, caminhões com Peso Bruto Total (PBT) superior a 11.793 kg (26.001 libras), carregadeiras, reboques e outras máquinas e equipamentos relacionados, conforme necessário. Segurar ou fornecer ferramentas e peças para trabalhadores mais q"&amp;"ualificados. Posicionar veículos e outros objetos, como ferramentas, equipamentos de diagnóstico, suprimentos, etc., conforme necessário. As funções diárias podem incluir inspecionar veículos, máquinas e equipamentos para garantir seu pleno funcionamento;"&amp;" limpar e lubrificar veículos e outros equipamentos e ferramentas; manter a área de manutenção limpa e segura, garantindo que todos os equipamentos de diagnóstico, suprimentos, ferramentas, equipamentos de manutenção grandes e pequenos, fluidos e suprimen"&amp;"tos estejam armazenados e posicionados conforme necessário. Classificação da Função: 49-9098.00 - Ajudantes - Trabalhadores de Instalação, Manutenção e Reparo. A classificação e descrição da função/setor inclui informações gerais sobre o cargo, de acordo "&amp;"com o ONET/OES e o Sistema de Classificação Industrial da América do Norte (NAICS). Consulte as Funções e a Ordem de Serviço para obter mais informações. Requisitos da Função: Experiência Necessária: Sim. Meses de Experiência Necessários: 6. Requisitos Es"&amp;"peciais: Carteira de Habilitação. Aprovação em verificação de antecedentes e teste toxicológico. Número de Horas por Semana: 45. Horário de Trabalho (Início/Término): 16h00 - 01h00.")</f>
        <v>Auxiliar mecânicos experientes em tarefas menos complexas relacionadas à manutenção e reparo de veículos. Auxiliar os mecânicos no diagnóstico, exame, teste, ajuste e reparo de diversos veículos e equipamentos comerciais, como caminhonetes, conjuntos de caminhão-trator pesado, caminhões com Peso Bruto Total (PBT) superior a 11.793 kg (26.001 libras), carregadeiras, reboques e outras máquinas e equipamentos relacionados, conforme necessário. Segurar ou fornecer ferramentas e peças para trabalhadores mais qualificados. Posicionar veículos e outros objetos, como ferramentas, equipamentos de diagnóstico, suprimentos, etc., conforme necessário. As funções diárias podem incluir inspecionar veículos, máquinas e equipamentos para garantir seu pleno funcionamento; limpar e lubrificar veículos e outros equipamentos e ferramentas; manter a área de manutenção limpa e segura, garantindo que todos os equipamentos de diagnóstico, suprimentos, ferramentas, equipamentos de manutenção grandes e pequenos, fluidos e suprimentos estejam armazenados e posicionados conforme necessário. Classificação da Função: 49-9098.00 - Ajudantes - Trabalhadores de Instalação, Manutenção e Reparo. A classificação e descrição da função/setor inclui informações gerais sobre o cargo, de acordo com o ONET/OES e o Sistema de Classificação Industrial da América do Norte (NAICS). Consulte as Funções e a Ordem de Serviço para obter mais informações. Requisitos da Função: Experiência Necessária: Sim. Meses de Experiência Necessários: 6. Requisitos Especiais: Carteira de Habilitação. Aprovação em verificação de antecedentes e teste toxicológico. Número de Horas por Semana: 45. Horário de Trabalho (Início/Término): 16h00 - 01h00.</v>
      </c>
    </row>
    <row r="494" ht="20.25" customHeight="1">
      <c r="A494" s="3" t="s">
        <v>2518</v>
      </c>
      <c r="B494" s="3" t="s">
        <v>1410</v>
      </c>
      <c r="C494" s="3" t="s">
        <v>1411</v>
      </c>
      <c r="D494" s="3" t="s">
        <v>299</v>
      </c>
      <c r="E494" s="4" t="s">
        <v>19</v>
      </c>
      <c r="F494" s="4" t="s">
        <v>20</v>
      </c>
      <c r="G494" s="4" t="s">
        <v>2519</v>
      </c>
      <c r="H494" s="3" t="s">
        <v>1413</v>
      </c>
      <c r="I494" s="3" t="s">
        <v>1414</v>
      </c>
      <c r="J494" s="4">
        <v>20.0</v>
      </c>
      <c r="K494" s="4">
        <v>2.0</v>
      </c>
      <c r="L494" s="3" t="s">
        <v>2101</v>
      </c>
      <c r="M494" s="3" t="s">
        <v>2102</v>
      </c>
      <c r="N494" s="7" t="str">
        <f>IFERROR(__xludf.DUMMYFUNCTION("GOOGLETRANSLATE(L494, ""en"", ""pt"")"),"Técnico de Manutenção")</f>
        <v>Técnico de Manutenção</v>
      </c>
      <c r="O494" s="7" t="str">
        <f>IFERROR(__xludf.DUMMYFUNCTION("IF(M494="""","""",GOOGLETRANSLATE(M494,""en"",""pt""))"),"Auxiliar mecânicos experientes em tarefas menos complexas relacionadas à manutenção e reparo de veículos. Auxiliar os mecânicos no diagnóstico, exame, teste, ajuste e reparo de diversos veículos e equipamentos comerciais, como caminhonetes, conjuntos de c"&amp;"aminhão-trator pesado, caminhões com Peso Bruto Total (PBT) superior a 11.793 kg (26.001 libras), carregadeiras, reboques e outras máquinas e equipamentos relacionados, conforme necessário. Segurar ou fornecer ferramentas e peças para trabalhadores mais q"&amp;"ualificados. Posicionar veículos e outros objetos, como ferramentas, equipamentos de diagnóstico, suprimentos, etc., conforme necessário. As funções diárias podem incluir inspecionar veículos, máquinas e equipamentos para garantir seu pleno funcionamento;"&amp;" limpar e lubrificar veículos e outros equipamentos e ferramentas; manter a área de manutenção limpa e segura, garantindo que todos os equipamentos de diagnóstico, suprimentos, ferramentas, equipamentos de manutenção grandes e pequenos, fluidos e suprimen"&amp;"tos estejam armazenados e posicionados conforme necessário. Classificação da Função: 49-9098.00 - Ajudantes - Trabalhadores de Instalação, Manutenção e Reparo. A classificação e descrição da função/setor inclui informações gerais sobre o cargo, de acordo "&amp;"com o ONET/OES e o Sistema de Classificação Industrial da América do Norte (NAICS). Consulte as Funções e a Ordem de Serviço para obter mais informações. Requisitos da Função: Experiência Necessária: Sim. Meses de Experiência Necessários: 6. Requisitos Es"&amp;"peciais: Carteira de Habilitação. Aprovação em verificação de antecedentes e teste toxicológico. Número de Horas por Semana: 45. Horário de Trabalho (Início/Término): 16h00 - 01h00.")</f>
        <v>Auxiliar mecânicos experientes em tarefas menos complexas relacionadas à manutenção e reparo de veículos. Auxiliar os mecânicos no diagnóstico, exame, teste, ajuste e reparo de diversos veículos e equipamentos comerciais, como caminhonetes, conjuntos de caminhão-trator pesado, caminhões com Peso Bruto Total (PBT) superior a 11.793 kg (26.001 libras), carregadeiras, reboques e outras máquinas e equipamentos relacionados, conforme necessário. Segurar ou fornecer ferramentas e peças para trabalhadores mais qualificados. Posicionar veículos e outros objetos, como ferramentas, equipamentos de diagnóstico, suprimentos, etc., conforme necessário. As funções diárias podem incluir inspecionar veículos, máquinas e equipamentos para garantir seu pleno funcionamento; limpar e lubrificar veículos e outros equipamentos e ferramentas; manter a área de manutenção limpa e segura, garantindo que todos os equipamentos de diagnóstico, suprimentos, ferramentas, equipamentos de manutenção grandes e pequenos, fluidos e suprimentos estejam armazenados e posicionados conforme necessário. Classificação da Função: 49-9098.00 - Ajudantes - Trabalhadores de Instalação, Manutenção e Reparo. A classificação e descrição da função/setor inclui informações gerais sobre o cargo, de acordo com o ONET/OES e o Sistema de Classificação Industrial da América do Norte (NAICS). Consulte as Funções e a Ordem de Serviço para obter mais informações. Requisitos da Função: Experiência Necessária: Sim. Meses de Experiência Necessários: 6. Requisitos Especiais: Carteira de Habilitação. Aprovação em verificação de antecedentes e teste toxicológico. Número de Horas por Semana: 45. Horário de Trabalho (Início/Término): 16h00 - 01h00.</v>
      </c>
    </row>
    <row r="495" ht="20.25" customHeight="1">
      <c r="A495" s="8" t="s">
        <v>2520</v>
      </c>
      <c r="B495" s="8" t="s">
        <v>2521</v>
      </c>
      <c r="C495" s="8" t="s">
        <v>93</v>
      </c>
      <c r="D495" s="8" t="s">
        <v>64</v>
      </c>
      <c r="E495" s="9" t="s">
        <v>19</v>
      </c>
      <c r="F495" s="9" t="s">
        <v>20</v>
      </c>
      <c r="G495" s="9" t="s">
        <v>307</v>
      </c>
      <c r="H495" s="8" t="s">
        <v>2522</v>
      </c>
      <c r="I495" s="8"/>
      <c r="J495" s="9">
        <v>17.28</v>
      </c>
      <c r="K495" s="9">
        <v>8.0</v>
      </c>
      <c r="L495" s="8" t="s">
        <v>2523</v>
      </c>
      <c r="M495" s="8" t="s">
        <v>2524</v>
      </c>
      <c r="N495" s="7" t="str">
        <f>IFERROR(__xludf.DUMMYFUNCTION("GOOGLETRANSLATE(L495, ""en"", ""pt"")"),"Trabalhador diário")</f>
        <v>Trabalhador diário</v>
      </c>
      <c r="O495" s="7" t="str">
        <f>IFERROR(__xludf.DUMMYFUNCTION("IF(M495="""","""",GOOGLETRANSLATE(M495,""en"",""pt""))"),"Executar tarefas manuais em uma unidade de embalagem de amendoim, relacionadas às operações de armazenagem. Os trabalhadores carregarão, descarregarão, movimentarão e manusearão amendoim e materiais relacionados. As tarefas incluem descarregar caminhões d"&amp;"e amendoim, carregar e movimentar o produto dentro do armazém e áreas de armazenamento, receber amendoim classificado, ensacar e empilhar amendoim, e organizar e movimentar o produto e os materiais armazenados dentro do armazém. Os trabalhadores auxiliarã"&amp;"o no desenrolamento manual das lonas dos caminhões, no levantamento e travamento das travas das portas dos caminhões para as operações de descarregamento de amendoim, na limpeza dos caminhões com sopradores e vassouras e na manutenção de áreas de trabalho"&amp;" e armazenamento limpas e seguras. Os trabalhadores poderão auxiliar na manutenção básica dos caminhões e operar caminhões/tratores de pátio usados ​​para movimentar o produto dentro do local de trabalho, de forma segura e conforme instruções. Os trabalha"&amp;"dores não plantarão, cultivarão ou colherão culturas agrícolas destinadas ao consumo. Classificação da função: 53-7062.00 - Trabalhadores braçais e movimentadores de carga, estoque e materiais. A classificação e descrição da função/indústria inclui inform"&amp;"ações gerais sobre o cargo, de acordo com o ONET/OES e o Sistema de Classificação Industrial da América do Norte (NAICS). Consulte a Descrição das Funções e a Ordem de Serviço para obter mais informações. Requisitos da Vaga Experiência Necessária: Não Req"&amp;"uisitos Especiais: Deve ser capaz de levantar/carregar 23 kg, quando necessário. Trabalho aos sábados e domingos, quando necessário. A função exige esforço físico, incluindo levantamento de peso, movimentos repetitivos, trabalho em ambientes internos e ex"&amp;"ternos e horários prolongados durante o período de pico da colheita. Funcionários que possuírem carteira de habilitação válida nos EUA poderão dirigir veículos da empresa (dirigir não é um requisito para todos os funcionários da função). O empregador pode"&amp;"rá oferecer uma jornada de trabalho superior à estipulada, dependendo das condições climáticas, das necessidades da empresa e de outras circunstâncias. Calor extremo, frio, chuva ou seca podem afetar o horário de trabalho exato. Número de Horas por Semana"&amp;": 40 Horário de Trabalho (Início/Término): 8h às 17h")</f>
        <v>Executar tarefas manuais em uma unidade de embalagem de amendoim, relacionadas às operações de armazenagem. Os trabalhadores carregarão, descarregarão, movimentarão e manusearão amendoim e materiais relacionados. As tarefas incluem descarregar caminhões de amendoim, carregar e movimentar o produto dentro do armazém e áreas de armazenamento, receber amendoim classificado, ensacar e empilhar amendoim, e organizar e movimentar o produto e os materiais armazenados dentro do armazém. Os trabalhadores auxiliarão no desenrolamento manual das lonas dos caminhões, no levantamento e travamento das travas das portas dos caminhões para as operações de descarregamento de amendoim, na limpeza dos caminhões com sopradores e vassouras e na manutenção de áreas de trabalho e armazenamento limpas e seguras. Os trabalhadores poderão auxiliar na manutenção básica dos caminhões e operar caminhões/tratores de pátio usados ​​para movimentar o produto dentro do local de trabalho, de forma segura e conforme instruções. Os trabalhadores não plantarão, cultivarão ou colherão culturas agrícolas destinadas ao consumo. Classificação da função: 53-7062.00 - Trabalhadores braçais e movimentadores de carga, estoque e materiais. A classificação e descrição da função/indústria inclui informações gerais sobre o cargo, de acordo com o ONET/OES e o Sistema de Classificação Industrial da América do Norte (NAICS). Consulte a Descrição das Funções e a Ordem de Serviço para obter mais informações. Requisitos da Vaga Experiência Necessária: Não Requisitos Especiais: Deve ser capaz de levantar/carregar 23 kg, quando necessário. Trabalho aos sábados e domingos, quando necessário. A função exige esforço físico, incluindo levantamento de peso, movimentos repetitivos, trabalho em ambientes internos e externos e horários prolongados durante o período de pico da colheita. Funcionários que possuírem carteira de habilitação válida nos EUA poderão dirigir veículos da empresa (dirigir não é um requisito para todos os funcionários da função). O empregador poderá oferecer uma jornada de trabalho superior à estipulada, dependendo das condições climáticas, das necessidades da empresa e de outras circunstâncias. Calor extremo, frio, chuva ou seca podem afetar o horário de trabalho exato. Número de Horas por Semana: 40 Horário de Trabalho (Início/Término): 8h às 17h</v>
      </c>
    </row>
    <row r="496" ht="20.25" customHeight="1">
      <c r="A496" s="3" t="s">
        <v>2525</v>
      </c>
      <c r="B496" s="3" t="s">
        <v>2526</v>
      </c>
      <c r="C496" s="3" t="s">
        <v>1131</v>
      </c>
      <c r="D496" s="3" t="s">
        <v>1197</v>
      </c>
      <c r="E496" s="4" t="s">
        <v>19</v>
      </c>
      <c r="F496" s="4" t="s">
        <v>20</v>
      </c>
      <c r="G496" s="4" t="s">
        <v>404</v>
      </c>
      <c r="H496" s="3" t="s">
        <v>2527</v>
      </c>
      <c r="I496" s="3" t="s">
        <v>2528</v>
      </c>
      <c r="J496" s="4">
        <v>17.28</v>
      </c>
      <c r="K496" s="4">
        <v>16.0</v>
      </c>
      <c r="L496" s="3" t="s">
        <v>354</v>
      </c>
      <c r="M496" s="3" t="s">
        <v>2529</v>
      </c>
      <c r="N496" s="7" t="str">
        <f>IFERROR(__xludf.DUMMYFUNCTION("GOOGLETRANSLATE(L496, ""en"", ""pt"")"),"Governanta")</f>
        <v>Governanta</v>
      </c>
      <c r="O496" s="7" t="str">
        <f>IFERROR(__xludf.DUMMYFUNCTION("IF(M496="""","""",GOOGLETRANSLATE(M496,""en"",""pt""))"),"Executar diversas atividades de limpeza, como varrer, passar pano, tirar o pó e polir, arrumar camas, repor roupas de cama e aspirar. Garantir que todos os quartos sejam cuidados e inspecionados de acordo com os padrões. Notificar os superiores sobre quai"&amp;"squer danos, deficiências ou perturbações. Lidar com reclamações/solicitações razoáveis ​​com profissionalismo e paciência. Verificar os níveis de estoque de todos os materiais de limpeza e repor quando necessário. Seguir rigorosamente as normas de saúde "&amp;"e segurança e estar ciente de todas as práticas da empresa. Classificação da vaga: 37-2012.00 - Camareiras e Auxiliares de Limpeza. A classificação e descrição da vaga/setor inclui informações gerais sobre o cargo, de acordo com o ONET/OES e o Sistema de "&amp;"Classificação Industrial da América do Norte. Consulte as Funções e a Ordem de Serviço para obter mais informações. Requisitos da vaga: Experiência necessária: Não. Requisitos especiais: Deve ser capaz de levantar/carregar 18 kg, quando necessário. Trabal"&amp;"ho aos sábados e domingos, quando necessário. Número de horas por semana: 35. Horário de trabalho (início/término): 8h. - 18h00")</f>
        <v>Executar diversas atividades de limpeza, como varrer, passar pano, tirar o pó e polir, arrumar camas, repor roupas de cama e aspirar. Garantir que todos os quartos sejam cuidados e inspecionados de acordo com os padrões. Notificar os superiores sobre quaisquer danos, deficiências ou perturbações. Lidar com reclamações/solicitações razoáveis ​​com profissionalismo e paciência. Verificar os níveis de estoque de todos os materiais de limpeza e repor quando necessário. Seguir rigorosamente as normas de saúde e segurança e estar ciente de todas as práticas da empresa. Classificação da vaga: 37-2012.00 - Camareiras e Auxiliares de Limpeza. A classificação e descrição da vaga/setor inclui informações gerais sobre o cargo, de acordo com o ONET/OES e o Sistema de Classificação Industrial da América do Norte. Consulte as Funções e a Ordem de Serviço para obter mais informações. Requisitos da vaga: Experiência necessária: Não. Requisitos especiais: Deve ser capaz de levantar/carregar 18 kg, quando necessário. Trabalho aos sábados e domingos, quando necessário. Número de horas por semana: 35. Horário de trabalho (início/término): 8h. - 18h00</v>
      </c>
    </row>
    <row r="497" ht="20.25" customHeight="1">
      <c r="A497" s="8" t="s">
        <v>2530</v>
      </c>
      <c r="B497" s="8" t="s">
        <v>2307</v>
      </c>
      <c r="C497" s="8" t="s">
        <v>708</v>
      </c>
      <c r="D497" s="8" t="s">
        <v>71</v>
      </c>
      <c r="E497" s="9" t="s">
        <v>19</v>
      </c>
      <c r="F497" s="9" t="s">
        <v>20</v>
      </c>
      <c r="G497" s="9" t="s">
        <v>345</v>
      </c>
      <c r="H497" s="8" t="s">
        <v>2308</v>
      </c>
      <c r="I497" s="8" t="s">
        <v>2309</v>
      </c>
      <c r="J497" s="9">
        <v>19.39</v>
      </c>
      <c r="K497" s="9">
        <v>15.0</v>
      </c>
      <c r="L497" s="8" t="s">
        <v>2531</v>
      </c>
      <c r="M497" s="8" t="s">
        <v>2532</v>
      </c>
      <c r="N497" s="7" t="str">
        <f>IFERROR(__xludf.DUMMYFUNCTION("GOOGLETRANSLATE(L497, ""en"", ""pt"")"),"Garçom/Garçonete")</f>
        <v>Garçom/Garçonete</v>
      </c>
      <c r="O497" s="7" t="str">
        <f>IFERROR(__xludf.DUMMYFUNCTION("IF(M497="""","""",GOOGLETRANSLATE(M497,""en"",""pt""))"),"Garçons/Garçonetes recepcionarão os sócios e convidados, apresentarão os cardápios, responderão a perguntas sobre os itens do menu, farão recomendações quando solicitados, anotarão os pedidos de comida e bebida, registrarão os pedidos para transmissão à e"&amp;"quipe da cozinha, prepararão as contas discriminando os custos da refeição e os impostos sobre vendas, receberão os pagamentos, verificarão a identificação dos clientes para garantir que atendam aos requisitos de idade mínima para o consumo de bebidas alc"&amp;"oólicas, servirão comida e bebida aos clientes, prepararão ou servirão pratos especiais nas mesas conforme necessário, prepararão bebidas quentes, frias e mistas, resfriarão garrafas de vinho, reabastecerão as bebidas, verificarão se os sócios e convidado"&amp;"s estão satisfeitos com suas refeições e tomarão medidas para corrigir problemas, se necessário, limparão e higienizarão as mesas e balcões após os clientes terminarem de comer e executarão outras tarefas relacionadas. Garçons/Garçonetes darão suporte a t"&amp;"odos os pontos de venda de alimentos e bebidas, banquetes, eventos de golfe, eventos para sócios, eventos ao ar livre, operações do refeitório, suporte ao campo de golfe e eventos sazonais especiais, conforme designado. As funções incluem entregar a comid"&amp;"a com precisão e rapidez, utilizando os números dos assentos e os padrões de posição da mesa; retirar pratos, copos e utensílios de serviço utilizando a etiqueta de serviço adequada; arrumar e preparar as mesas de acordo com os padrões do clube; Auxiliar "&amp;"garçons e bartenders no serviço de água, café, pão e outras bebidas; preparar bebidas alcoólicas e não alcoólicas; auxiliar no gerenciamento do estoque de bebidas; manter os postos de serviço com os níveis de estoque adequados durante todo o turno; abaste"&amp;"cer e repor suprimentos; transportar alimentos e bebidas para os locais de serviço designados; comunicar-se com a equipe da cozinha e do serviço sobre o tempo de preparo dos pedidos e as necessidades dos clientes; seguir as listas de verificação de tarefa"&amp;"s secundárias, abertura e fechamento; seguir todas as políticas de segurança alimentar, higiene, segurança no trabalho, segurança do trabalho e código de conduta; apoiar os colegas de equipe além dos postos designados quando as demandas do negócio exigire"&amp;"m; e manter os padrões de aparência do clube, incluindo uniforme, higiene pessoal, profissionalismo e tratar os membros, convidados e colegas de equipe com cordialidade e respeito em todos os momentos. Garçons/Garçonetes também auxiliam na montagem e desm"&amp;"ontagem do salão de banquetes, organizando e reconfigurando os espaços para banquetes e eventos, incluindo a colocação de mesas, cadeiras, toalhas de mesa, talheres, copos, centros de mesa e decoração, restaurando os espaços de eventos após a conclusão do"&amp;" serviço de alimentação, preparando os salões entre eventos, dobrando guardanapos, agrupando talheres e arrumando as mesas. Os funcionários utilizam ferramentas, equipamentos e materiais padrão de serviço de alimentação, incluindo sistemas de ponto de ven"&amp;"da (PDV), bandejas, blocos de pedidos, mesas de banquete, cadeiras, toalhas de mesa, estações de serviço, carrinhos de serviço, estações de serviço portáteis, dispensadores de bebidas, refrigeradores, copos, talheres, louças, utensílios de servir, centros"&amp;" de mesa e produtos de limpeza. É necessário saber ler e escrever em inglês. Classificação da vaga: 35-3011.00 - Bartenders. A classificação e descrição da vaga/setor incluem informações gerais sobre o cargo, de acordo com o ONET/OES e o Sistema de Classi"&amp;"ficação Industrial da América do Norte (NAICS). Consulte as Funções e a Ordem de Serviço para obter mais informações. Requisitos da vaga: Experiência necessária: Sim. Meses de experiência necessários: 6. Requisitos especiais: É necessário passar no teste "&amp;"antidrogas pré-admissional, de acordo com a política de contratação da empresa vigente no momento da contratação. É necessário saber ler, escrever e se comunicar de forma eficaz para desempenhar as tarefas do trabalho. Número de horas por semana: 35. Horá"&amp;"rio de trabalho (início/término): 8h30. - 21h00")</f>
        <v>Garçons/Garçonetes recepcionarão os sócios e convidados, apresentarão os cardápios, responderão a perguntas sobre os itens do menu, farão recomendações quando solicitados, anotarão os pedidos de comida e bebida, registrarão os pedidos para transmissão à equipe da cozinha, prepararão as contas discriminando os custos da refeição e os impostos sobre vendas, receberão os pagamentos, verificarão a identificação dos clientes para garantir que atendam aos requisitos de idade mínima para o consumo de bebidas alcoólicas, servirão comida e bebida aos clientes, prepararão ou servirão pratos especiais nas mesas conforme necessário, prepararão bebidas quentes, frias e mistas, resfriarão garrafas de vinho, reabastecerão as bebidas, verificarão se os sócios e convidados estão satisfeitos com suas refeições e tomarão medidas para corrigir problemas, se necessário, limparão e higienizarão as mesas e balcões após os clientes terminarem de comer e executarão outras tarefas relacionadas. Garçons/Garçonetes darão suporte a todos os pontos de venda de alimentos e bebidas, banquetes, eventos de golfe, eventos para sócios, eventos ao ar livre, operações do refeitório, suporte ao campo de golfe e eventos sazonais especiais, conforme designado. As funções incluem entregar a comida com precisão e rapidez, utilizando os números dos assentos e os padrões de posição da mesa; retirar pratos, copos e utensílios de serviço utilizando a etiqueta de serviço adequada; arrumar e preparar as mesas de acordo com os padrões do clube; Auxiliar garçons e bartenders no serviço de água, café, pão e outras bebidas; preparar bebidas alcoólicas e não alcoólicas; auxiliar no gerenciamento do estoque de bebidas; manter os postos de serviço com os níveis de estoque adequados durante todo o turno; abastecer e repor suprimentos; transportar alimentos e bebidas para os locais de serviço designados; comunicar-se com a equipe da cozinha e do serviço sobre o tempo de preparo dos pedidos e as necessidades dos clientes; seguir as listas de verificação de tarefas secundárias, abertura e fechamento; seguir todas as políticas de segurança alimentar, higiene, segurança no trabalho, segurança do trabalho e código de conduta; apoiar os colegas de equipe além dos postos designados quando as demandas do negócio exigirem; e manter os padrões de aparência do clube, incluindo uniforme, higiene pessoal, profissionalismo e tratar os membros, convidados e colegas de equipe com cordialidade e respeito em todos os momentos. Garçons/Garçonetes também auxiliam na montagem e desmontagem do salão de banquetes, organizando e reconfigurando os espaços para banquetes e eventos, incluindo a colocação de mesas, cadeiras, toalhas de mesa, talheres, copos, centros de mesa e decoração, restaurando os espaços de eventos após a conclusão do serviço de alimentação, preparando os salões entre eventos, dobrando guardanapos, agrupando talheres e arrumando as mesas. Os funcionários utilizam ferramentas, equipamentos e materiais padrão de serviço de alimentação, incluindo sistemas de ponto de venda (PDV), bandejas, blocos de pedidos, mesas de banquete, cadeiras, toalhas de mesa, estações de serviço, carrinhos de serviço, estações de serviço portáteis, dispensadores de bebidas, refrigeradores, copos, talheres, louças, utensílios de servir, centros de mesa e produtos de limpeza. É necessário saber ler e escrever em inglês. Classificação da vaga: 35-3011.00 - Bartenders. A classificação e descrição da vaga/setor incluem informações gerais sobre o cargo, de acordo com o ONET/OES e o Sistema de Classificação Industrial da América do Norte (NAICS). Consulte as Funções e a Ordem de Serviço para obter mais informações. Requisitos da vaga: Experiência necessária: Sim. Meses de experiência necessários: 6. Requisitos especiais: É necessário passar no teste antidrogas pré-admissional, de acordo com a política de contratação da empresa vigente no momento da contratação. É necessário saber ler, escrever e se comunicar de forma eficaz para desempenhar as tarefas do trabalho. Número de horas por semana: 35. Horário de trabalho (início/término): 8h30. - 21h00</v>
      </c>
    </row>
    <row r="498" ht="20.25" customHeight="1">
      <c r="A498" s="3" t="s">
        <v>2533</v>
      </c>
      <c r="B498" s="3" t="s">
        <v>2534</v>
      </c>
      <c r="C498" s="3" t="s">
        <v>93</v>
      </c>
      <c r="D498" s="3" t="s">
        <v>133</v>
      </c>
      <c r="E498" s="4" t="s">
        <v>19</v>
      </c>
      <c r="F498" s="4" t="s">
        <v>20</v>
      </c>
      <c r="G498" s="4" t="s">
        <v>56</v>
      </c>
      <c r="H498" s="3" t="s">
        <v>2535</v>
      </c>
      <c r="I498" s="3" t="s">
        <v>2536</v>
      </c>
      <c r="J498" s="4">
        <v>22.32</v>
      </c>
      <c r="K498" s="4">
        <v>10.0</v>
      </c>
      <c r="L498" s="3" t="s">
        <v>59</v>
      </c>
      <c r="M498" s="3" t="s">
        <v>2537</v>
      </c>
      <c r="N498" s="7" t="str">
        <f>IFERROR(__xludf.DUMMYFUNCTION("GOOGLETRANSLATE(L498, ""en"", ""pt"")"),"Trabalhador de paisagismo")</f>
        <v>Trabalhador de paisagismo</v>
      </c>
      <c r="O498" s="7" t="str">
        <f>IFERROR(__xludf.DUMMYFUNCTION("IF(M498="""","""",GOOGLETRANSLATE(M498,""en"",""pt""))"),"Os trabalhadores realizarão uma variedade de tarefas de paisagismo e manutenção de áreas externas para conservar e embelezar esses espaços. Eles cortarão, apararão e farão a manutenção de gramados e relvados utilizando cortadores de grama, aparadores e fe"&amp;"rramentas de acabamento, além de prestar serviços de cuidados com o gramado, incluindo aeração, semeadura, fertilização, escarificação e controle de ervas daninhas. Os trabalhadores instalarão e farão a manutenção de elementos paisagísticos, como grama em"&amp;" placas, plantas, arbustos, cobertura morta e canteiros decorativos, bem como podarão árvores, arbustos e sebes para garantir o crescimento e a aparência adequados. As tarefas também incluem a remoção de ervas daninhas, detritos e lixo das áreas ajardinad"&amp;"as. Os trabalhadores operarão e farão a manutenção de equipamentos de paisagismo, como cortadores de grama, sopradores, aparadores de sebes e roçadeiras, e carregarão e descarregarão ferramentas, materiais e equipamentos em cada local de trabalho. Classif"&amp;"icação da função: 37-3011.00 - Trabalhadores de Paisagismo e Manutenção de Áreas Externas. A classificação e a descrição da função/indústria incluem informações gerais sobre o cargo, de acordo com o ONET/OES e o Sistema de Classificação Industrial da Amér"&amp;"ica do Norte (NAICS). Consulte a Descrição das Funções e a Ordem de Serviço para obter mais informações. Requisitos da Vaga Experiência Necessária: Não Requisitos Especiais: Deve ser capaz de levantar/carregar 23 kg, quando necessário. Trabalho aos sábado"&amp;"s e domingos, quando necessário. O empregador poderá oferecer mais horas de trabalho do que as estipuladas, dependendo do clima, das necessidades da empresa e de outras condições. Calor extremo, frio, chuva ou seca podem afetar o horário de trabalho exato"&amp;". Número de Horas por Semana: 40 Horário de Trabalho (Início/Término): 8h00 - 16h30")</f>
        <v>Os trabalhadores realizarão uma variedade de tarefas de paisagismo e manutenção de áreas externas para conservar e embelezar esses espaços. Eles cortarão, apararão e farão a manutenção de gramados e relvados utilizando cortadores de grama, aparadores e ferramentas de acabamento, além de prestar serviços de cuidados com o gramado, incluindo aeração, semeadura, fertilização, escarificação e controle de ervas daninhas. Os trabalhadores instalarão e farão a manutenção de elementos paisagísticos, como grama em placas, plantas, arbustos, cobertura morta e canteiros decorativos, bem como podarão árvores, arbustos e sebes para garantir o crescimento e a aparência adequados. As tarefas também incluem a remoção de ervas daninhas, detritos e lixo das áreas ajardinadas. Os trabalhadores operarão e farão a manutenção de equipamentos de paisagismo, como cortadores de grama, sopradores, aparadores de sebes e roçadeiras, e carregarão e descarregarão ferramentas, materiais e equipamentos em cada local de trabalho. Classificação da função: 37-3011.00 - Trabalhadores de Paisagismo e Manutenção de Áreas Externas. A classificação e a descrição da função/indústria incluem informações gerais sobre o cargo, de acordo com o ONET/OES e o Sistema de Classificação Industrial da América do Norte (NAICS). Consulte a Descrição das Funções e a Ordem de Serviço para obter mais informações. Requisitos da Vaga Experiência Necessária: Não Requisitos Especiais: Deve ser capaz de levantar/carregar 23 kg, quando necessário. Trabalho aos sábados e domingos, quando necessário. O empregador poderá oferecer mais horas de trabalho do que as estipuladas, dependendo do clima, das necessidades da empresa e de outras condições. Calor extremo, frio, chuva ou seca podem afetar o horário de trabalho exato. Número de Horas por Semana: 40 Horário de Trabalho (Início/Término): 8h00 - 16h30</v>
      </c>
    </row>
    <row r="499" ht="20.25" customHeight="1">
      <c r="A499" s="8" t="s">
        <v>2538</v>
      </c>
      <c r="B499" s="8" t="s">
        <v>2539</v>
      </c>
      <c r="C499" s="8" t="s">
        <v>63</v>
      </c>
      <c r="D499" s="8" t="s">
        <v>18</v>
      </c>
      <c r="E499" s="9" t="s">
        <v>44</v>
      </c>
      <c r="F499" s="9" t="s">
        <v>20</v>
      </c>
      <c r="G499" s="9" t="s">
        <v>56</v>
      </c>
      <c r="H499" s="8" t="s">
        <v>1896</v>
      </c>
      <c r="I499" s="8" t="s">
        <v>2128</v>
      </c>
      <c r="J499" s="9">
        <v>18.22</v>
      </c>
      <c r="K499" s="9">
        <v>31.0</v>
      </c>
      <c r="L499" s="8" t="s">
        <v>321</v>
      </c>
      <c r="M499" s="8" t="s">
        <v>2129</v>
      </c>
      <c r="N499" s="7" t="str">
        <f>IFERROR(__xludf.DUMMYFUNCTION("GOOGLETRANSLATE(L499, ""en"", ""pt"")"),"Trabalhadores de paisagismo")</f>
        <v>Trabalhadores de paisagismo</v>
      </c>
      <c r="O499" s="7" t="str">
        <f>IFERROR(__xludf.DUMMYFUNCTION("IF(M499="""","""",GOOGLETRANSLATE(M499,""en"",""pt""))"),"Paisagismo e manutenção de terrenos utilizando ferramentas manuais ou elétricas. Os trabalhadores geralmente executam uma variedade de tarefas, que podem incluir qualquer combinação das seguintes: colocação de grama, corte de grama, cobertura morta, poda,"&amp;" plantio, irrigação, escavação e rastelagem; auxílio na instalação de sprinklers e na instalação de blocos de concreto pré-moldados sem argamassa. Manutenção/reparo de ferramentas/equipamentos conforme necessário. Nível inicial; requer supervisão. Classif"&amp;"icação da vaga: 37-3011.00 - Trabalhadores de Paisagismo e Manutenção de Terrenos. A classificação e descrição da vaga/setor incluem informações gerais sobre o cargo, de acordo com o ONET/OES e o Sistema de Classificação Industrial da América do Norte (NA"&amp;"ICS). Consulte as Funções e a Ordem de Serviço para obter mais informações. Requisitos da vaga: Experiência exigida: Não. Requisitos especiais: Deve ser capaz de levantar/carregar 23 kg, quando necessário. Trabalho aos sábados e domingos, quando necessári"&amp;"o. Teste antidrogas pago pelo empregador é obrigatório para trabalhadores estrangeiros e nacionais antes do início do trabalho e após a contratação, em caso de suspeita de uso e após acidente. A verificação de antecedentes após a contratação pode ser exig"&amp;"ida de trabalhadores estrangeiros e nacionais, de acordo com os requisitos contratuais. A verificação de elegibilidade para emprego (e-Verify) é obrigatória para trabalhadores estrangeiros e nacionais. A verificação do histórico de condução após a contrat"&amp;"ação é exigida apenas para trabalhadores estrangeiros e nacionais que dirigem veículos da empresa (dirigir não é um requisito para todos os funcionários da função). O empregador pode oferecer mais horas de trabalho do que as estipuladas, dependendo do cli"&amp;"ma, das necessidades da empresa e de outras condições. Calor extremo, frio, chuva ou seca podem afetar o horário de trabalho exato. Número de horas por semana: 40. Horário de trabalho (início/término): 7h às 16h.")</f>
        <v>Paisagismo e manutenção de terrenos utilizando ferramentas manuais ou elétricas. Os trabalhadores geralmente executam uma variedade de tarefas, que podem incluir qualquer combinação das seguintes: colocação de grama, corte de grama, cobertura morta, poda, plantio, irrigação, escavação e rastelagem; auxílio na instalação de sprinklers e na instalação de blocos de concreto pré-moldados sem argamassa. Manutenção/reparo de ferramentas/equipamentos conforme necessário. Nível inicial; requer supervisão. Classificação da vaga: 37-3011.00 - Trabalhadores de Paisagismo e Manutenção de Terrenos. A classificação e descrição da vaga/setor incluem informações gerais sobre o cargo, de acordo com o ONET/OES e o Sistema de Classificação Industrial da América do Norte (NAICS). Consulte as Funções e a Ordem de Serviço para obter mais informações. Requisitos da vaga: Experiência exigida: Não. Requisitos especiais: Deve ser capaz de levantar/carregar 23 kg, quando necessário. Trabalho aos sábados e domingos, quando necessário. Teste antidrogas pago pelo empregador é obrigatório para trabalhadores estrangeiros e nacionais antes do início do trabalho e após a contratação, em caso de suspeita de uso e após acidente. A verificação de antecedentes após a contratação pode ser exigida de trabalhadores estrangeiros e nacionais, de acordo com os requisitos contratuais. A verificação de elegibilidade para emprego (e-Verify) é obrigatória para trabalhadores estrangeiros e nacionais. A verificação do histórico de condução após a contratação é exigida apenas para trabalhadores estrangeiros e nacionais que dirigem veículos da empresa (dirigir não é um requisito para todos os funcionários da função). O empregador pode oferecer mais horas de trabalho do que as estipuladas, dependendo do clima, das necessidades da empresa e de outras condições. Calor extremo, frio, chuva ou seca podem afetar o horário de trabalho exato. Número de horas por semana: 40. Horário de trabalho (início/término): 7h às 16h.</v>
      </c>
    </row>
    <row r="500" ht="20.25" customHeight="1">
      <c r="A500" s="3" t="s">
        <v>2540</v>
      </c>
      <c r="B500" s="3" t="s">
        <v>2541</v>
      </c>
      <c r="C500" s="3" t="s">
        <v>63</v>
      </c>
      <c r="D500" s="3" t="s">
        <v>71</v>
      </c>
      <c r="E500" s="4" t="s">
        <v>19</v>
      </c>
      <c r="F500" s="4" t="s">
        <v>20</v>
      </c>
      <c r="G500" s="4" t="s">
        <v>56</v>
      </c>
      <c r="H500" s="3" t="s">
        <v>1896</v>
      </c>
      <c r="I500" s="3" t="s">
        <v>2330</v>
      </c>
      <c r="J500" s="4">
        <v>19.3</v>
      </c>
      <c r="K500" s="4">
        <v>100.0</v>
      </c>
      <c r="L500" s="3" t="s">
        <v>321</v>
      </c>
      <c r="M500" s="3" t="s">
        <v>2129</v>
      </c>
      <c r="N500" s="7" t="str">
        <f>IFERROR(__xludf.DUMMYFUNCTION("GOOGLETRANSLATE(L500, ""en"", ""pt"")"),"Trabalhadores de paisagismo")</f>
        <v>Trabalhadores de paisagismo</v>
      </c>
      <c r="O500" s="7" t="str">
        <f>IFERROR(__xludf.DUMMYFUNCTION("IF(M500="""","""",GOOGLETRANSLATE(M500,""en"",""pt""))"),"Paisagismo e manutenção de terrenos utilizando ferramentas manuais ou elétricas. Os trabalhadores geralmente executam uma variedade de tarefas, que podem incluir qualquer combinação das seguintes: colocação de grama, corte de grama, cobertura morta, poda,"&amp;" plantio, irrigação, escavação e rastelagem; auxílio na instalação de sprinklers e na instalação de blocos de concreto pré-moldados sem argamassa. Manutenção/reparo de ferramentas/equipamentos conforme necessário. Nível inicial; requer supervisão. Classif"&amp;"icação da vaga: 37-3011.00 - Trabalhadores de Paisagismo e Manutenção de Terrenos. A classificação e descrição da vaga/setor incluem informações gerais sobre o cargo, de acordo com o ONET/OES e o Sistema de Classificação Industrial da América do Norte (NA"&amp;"ICS). Consulte as Funções e a Ordem de Serviço para obter mais informações. Requisitos da vaga: Experiência exigida: Não. Requisitos especiais: Deve ser capaz de levantar/carregar 23 kg, quando necessário. Trabalho aos sábados e domingos, quando necessári"&amp;"o. Teste antidrogas pago pelo empregador é obrigatório para trabalhadores estrangeiros e nacionais antes do início do trabalho e após a contratação, em caso de suspeita de uso e após acidente. A verificação de antecedentes após a contratação pode ser exig"&amp;"ida de trabalhadores estrangeiros e nacionais, de acordo com os requisitos contratuais. A verificação de elegibilidade para emprego (e-Verify) é obrigatória para trabalhadores estrangeiros e nacionais. A verificação do histórico de condução após a contrat"&amp;"ação é exigida apenas para trabalhadores estrangeiros e nacionais que dirigem veículos da empresa (dirigir não é um requisito para todos os funcionários da função). O empregador pode oferecer mais horas de trabalho do que as estipuladas, dependendo do cli"&amp;"ma, das necessidades da empresa e de outras condições. Calor extremo, frio, chuva ou seca podem afetar o horário de trabalho exato. Número de horas por semana: 40. Horário de trabalho (início/término): 7h às 16h.")</f>
        <v>Paisagismo e manutenção de terrenos utilizando ferramentas manuais ou elétricas. Os trabalhadores geralmente executam uma variedade de tarefas, que podem incluir qualquer combinação das seguintes: colocação de grama, corte de grama, cobertura morta, poda, plantio, irrigação, escavação e rastelagem; auxílio na instalação de sprinklers e na instalação de blocos de concreto pré-moldados sem argamassa. Manutenção/reparo de ferramentas/equipamentos conforme necessário. Nível inicial; requer supervisão. Classificação da vaga: 37-3011.00 - Trabalhadores de Paisagismo e Manutenção de Terrenos. A classificação e descrição da vaga/setor incluem informações gerais sobre o cargo, de acordo com o ONET/OES e o Sistema de Classificação Industrial da América do Norte (NAICS). Consulte as Funções e a Ordem de Serviço para obter mais informações. Requisitos da vaga: Experiência exigida: Não. Requisitos especiais: Deve ser capaz de levantar/carregar 23 kg, quando necessário. Trabalho aos sábados e domingos, quando necessário. Teste antidrogas pago pelo empregador é obrigatório para trabalhadores estrangeiros e nacionais antes do início do trabalho e após a contratação, em caso de suspeita de uso e após acidente. A verificação de antecedentes após a contratação pode ser exigida de trabalhadores estrangeiros e nacionais, de acordo com os requisitos contratuais. A verificação de elegibilidade para emprego (e-Verify) é obrigatória para trabalhadores estrangeiros e nacionais. A verificação do histórico de condução após a contratação é exigida apenas para trabalhadores estrangeiros e nacionais que dirigem veículos da empresa (dirigir não é um requisito para todos os funcionários da função). O empregador pode oferecer mais horas de trabalho do que as estipuladas, dependendo do clima, das necessidades da empresa e de outras condições. Calor extremo, frio, chuva ou seca podem afetar o horário de trabalho exato. Número de horas por semana: 40. Horário de trabalho (início/término): 7h às 16h.</v>
      </c>
    </row>
    <row r="501" ht="20.25" customHeight="1">
      <c r="A501" s="8" t="s">
        <v>2542</v>
      </c>
      <c r="B501" s="8" t="s">
        <v>2543</v>
      </c>
      <c r="C501" s="8" t="s">
        <v>1375</v>
      </c>
      <c r="D501" s="8" t="s">
        <v>64</v>
      </c>
      <c r="E501" s="9" t="s">
        <v>19</v>
      </c>
      <c r="F501" s="9" t="s">
        <v>20</v>
      </c>
      <c r="G501" s="9" t="s">
        <v>1280</v>
      </c>
      <c r="H501" s="8" t="s">
        <v>2544</v>
      </c>
      <c r="I501" s="8" t="s">
        <v>2545</v>
      </c>
      <c r="J501" s="9">
        <v>17.49</v>
      </c>
      <c r="K501" s="9">
        <v>65.0</v>
      </c>
      <c r="L501" s="8" t="s">
        <v>83</v>
      </c>
      <c r="M501" s="8" t="s">
        <v>2546</v>
      </c>
      <c r="N501" s="7" t="str">
        <f>IFERROR(__xludf.DUMMYFUNCTION("GOOGLETRANSLATE(L501, ""en"", ""pt"")"),"Trabalhador Florestal")</f>
        <v>Trabalhador Florestal</v>
      </c>
      <c r="O501" s="7" t="str">
        <f>IFERROR(__xludf.DUMMYFUNCTION("IF(M501="""","""",GOOGLETRANSLATE(M501,""en"",""pt""))"),"As funções podem incluir: Desenvolver e reflorestar áreas florestais. Plantar árvores/mudas: cultivar, selecionar, levantar e transportar mudas/árvores para, em seguida, escolher o local de plantio ideal para atender aos requisitos de sombra/solo, aplicar"&amp;" cobertura morta/rede/tubulação conforme necessário. Marcar o produto florestal para identificação/delimitação. Preparar o local/reduzir a vegetação concorrente por meio de poda, desbaste, limpeza e aplicação de herbicidas/fertilizantes e outras atividade"&amp;"s relacionadas ao trabalho florestal, conforme SOC/OES 45-4011 (onetonline.org). Horário padrão/esperado: Segunda a sexta, das 8h às 17h. Oferecemos mais de 40 horas semanais, sem incluir almoço e/ou intervalos. Possibilidade de trabalho em fins de semana"&amp;"/feriados. Os horários de início e término, a carga horária e/ou horas extras podem variar, pois podem depender de outros fatores, como necessidades do projeto/cronograma/serviço, clima e tempo de deslocamento entre os locais de trabalho (se aplicável). H"&amp;"oras extras são possíveis, mas não obrigatórias ou garantidas. A critério exclusivo do empregador: possíveis aumentos e/ou bônus com base em fatores individuais, como desempenho ou habilidade (não garantidos). Pagamento por produção pode ser aplicado: o t"&amp;"rabalhador nunca receberá menos do que o Salário Vigente ou o salário mínimo federal/estadual/municipal. Moradia compartilhada opcional disponível sem custo para o trabalhador. Classificação do Cargo: 45-4011.00 - Trabalhadores Florestais e de Conservação"&amp;". A classificação e descrição do cargo/setor incluem informações gerais sobre a posição, de acordo com o ONET/OES e o Sistema de Classificação Industrial da América do Norte. Consulte as Funções e a Ordem de Serviço para obter mais informações. Requisitos"&amp;" do Cargo Experiência Necessária: Não. Requisitos Especiais: Deve ter 18 anos devido a viagens. Deve apresentar comprovante de autorização legal para trabalhar nos Estados Unidos. Ambiente de trabalho livre de drogas, álcool e tabaco. Deve caminhar bastan"&amp;"te (até 24 km/dia), além de se abaixar e se curvar carregando uma mochila (até 23 kg) em terrenos acidentados (fora de trilhas). Todos os candidatos devem ser capazes, estar dispostos e qualificados para executar o trabalho descrito e devem estar disponív"&amp;"eis durante todo o período especificado e trabalhar em todas as áreas da empresa. O trabalho é realizado ao ar livre, exposto às intempéries; o candidato deve ser capaz de realizar trabalho fisicamente extenuante por longos períodos, ocasionalmente em cal"&amp;"or ou frio extremos. As condições climáticas são variáveis; a carga horária pode sofrer alterações (+/-), podendo haver períodos de inatividade e/ou horas extras. Número de horas por semana: 40. Horário de trabalho (início/término): 8h às 17h.")</f>
        <v>As funções podem incluir: Desenvolver e reflorestar áreas florestais. Plantar árvores/mudas: cultivar, selecionar, levantar e transportar mudas/árvores para, em seguida, escolher o local de plantio ideal para atender aos requisitos de sombra/solo, aplicar cobertura morta/rede/tubulação conforme necessário. Marcar o produto florestal para identificação/delimitação. Preparar o local/reduzir a vegetação concorrente por meio de poda, desbaste, limpeza e aplicação de herbicidas/fertilizantes e outras atividades relacionadas ao trabalho florestal, conforme SOC/OES 45-4011 (onetonline.org). Horário padrão/esperado: Segunda a sexta, das 8h às 17h. Oferecemos mais de 40 horas semanais, sem incluir almoço e/ou intervalos. Possibilidade de trabalho em fins de semana/feriados. Os horários de início e término, a carga horária e/ou horas extras podem variar, pois podem depender de outros fatores, como necessidades do projeto/cronograma/serviço, clima e tempo de deslocamento entre os locais de trabalho (se aplicável). Horas extras são possíveis, mas não obrigatórias ou garantidas. A critério exclusivo do empregador: possíveis aumentos e/ou bônus com base em fatores individuais, como desempenho ou habilidade (não garantidos). Pagamento por produção pode ser aplicado: o trabalhador nunca receberá menos do que o Salário Vigente ou o salário mínimo federal/estadual/municipal. Moradia compartilhada opcional disponível sem custo para o trabalhador. Classificação do Cargo: 45-4011.00 - Trabalhadores Florestais e de Conservação. A classificação e descrição do cargo/setor incluem informações gerais sobre a posição, de acordo com o ONET/OES e o Sistema de Classificação Industrial da América do Norte. Consulte as Funções e a Ordem de Serviço para obter mais informações. Requisitos do Cargo Experiência Necessária: Não. Requisitos Especiais: Deve ter 18 anos devido a viagens. Deve apresentar comprovante de autorização legal para trabalhar nos Estados Unidos. Ambiente de trabalho livre de drogas, álcool e tabaco. Deve caminhar bastante (até 24 km/dia), além de se abaixar e se curvar carregando uma mochila (até 23 kg) em terrenos acidentados (fora de trilhas). Todos os candidatos devem ser capazes, estar dispostos e qualificados para executar o trabalho descrito e devem estar disponíveis durante todo o período especificado e trabalhar em todas as áreas da empresa. O trabalho é realizado ao ar livre, exposto às intempéries; o candidato deve ser capaz de realizar trabalho fisicamente extenuante por longos períodos, ocasionalmente em calor ou frio extremos. As condições climáticas são variáveis; a carga horária pode sofrer alterações (+/-), podendo haver períodos de inatividade e/ou horas extras. Número de horas por semana: 40. Horário de trabalho (início/término): 8h às 17h.</v>
      </c>
    </row>
    <row r="502" ht="20.25" customHeight="1">
      <c r="A502" s="3" t="s">
        <v>2547</v>
      </c>
      <c r="B502" s="3" t="s">
        <v>2548</v>
      </c>
      <c r="C502" s="3" t="s">
        <v>1000</v>
      </c>
      <c r="D502" s="3" t="s">
        <v>117</v>
      </c>
      <c r="E502" s="4" t="s">
        <v>19</v>
      </c>
      <c r="F502" s="4" t="s">
        <v>20</v>
      </c>
      <c r="G502" s="4" t="s">
        <v>307</v>
      </c>
      <c r="H502" s="3" t="s">
        <v>2549</v>
      </c>
      <c r="I502" s="3" t="s">
        <v>2550</v>
      </c>
      <c r="J502" s="4">
        <v>22.35</v>
      </c>
      <c r="K502" s="4">
        <v>28.0</v>
      </c>
      <c r="L502" s="3" t="s">
        <v>302</v>
      </c>
      <c r="M502" s="3" t="s">
        <v>2551</v>
      </c>
      <c r="N502" s="7" t="str">
        <f>IFERROR(__xludf.DUMMYFUNCTION("GOOGLETRANSLATE(L502, ""en"", ""pt"")"),"Operários da construção civil")</f>
        <v>Operários da construção civil</v>
      </c>
      <c r="O502" s="7" t="str">
        <f>IFERROR(__xludf.DUMMYFUNCTION("IF(M502="""","""",GOOGLETRANSLATE(M502,""en"",""pt""))"),"***Resposta à Solicitação de Informações*** ""Colocar concreto"" refere-se exclusivamente ao trabalho braçal associado à movimentação e posicionamento do concreto sob supervisão. Operários da Construção Civil: ● Utilizam marreta para cravar estacas ou pin"&amp;"os para as fôrmas de concreto; ● Seguram e guiam a mangueira da bomba durante o bombeamento do concreto; ● Movem e espalham o concreto utilizando rastelos, pás e ferramentas manuais; ● Consolidam o concreto utilizando vibradores manuais ou de piso; ● Util"&amp;"izam réguas vibratórias manuais ou réguas de nivelamento para auxiliar no nivelamento inicial do concreto; ● Limpam as ferramentas e organizam os materiais de acabamento para os acabadores qualificados. Os operários não realizam nenhum acabamento especial"&amp;"izado em concreto, como alisamento, desempenadeira, acabamento de bordas ou aplicação de tratamentos superficiais. Essas tarefas são executadas exclusivamente por acabadores de concreto qualificados, e não por operários da construção civil. ***Original***"&amp;" Executar tarefas que envolvam trabalho braçal em canteiro de obras de concreto. Preparar o local para a colocação do concreto, carregando e descarregando materiais, cavando e nivelando o solo, colocando materiais de reforço no concreto, e Levantar, carre"&amp;"gar e posicionar formas de concreto. Colocar concreto. Recolher resíduos. Limpar canteiros de obras. Classificação da função: 47-2061.00 - Auxiliares de Construção. A classificação e descrição da função/setor inclui informações gerais sobre o cargo, de ac"&amp;"ordo com o ONET/OES e o Sistema de Classificação Industrial da América do Norte (NAICS). Consulte as Funções e a Ordem de Serviço para obter mais informações. Requisitos da vaga: Experiência necessária: Sim. Meses de experiência necessários: 3. Requisitos"&amp;" especiais: Deve ser capaz de levantar e carregar 34 kg por 68 metros. Deve ser capaz de lidar com temperaturas extremas. 3 meses de experiência em construção com concreto são necessários. Trabalho em alguns fins de semana. Número de horas por semana: 40."&amp;" Horário de trabalho (início/término): 7h às 17h.")</f>
        <v>***Resposta à Solicitação de Informações*** "Colocar concreto" refere-se exclusivamente ao trabalho braçal associado à movimentação e posicionamento do concreto sob supervisão. Operários da Construção Civil: ● Utilizam marreta para cravar estacas ou pinos para as fôrmas de concreto; ● Seguram e guiam a mangueira da bomba durante o bombeamento do concreto; ● Movem e espalham o concreto utilizando rastelos, pás e ferramentas manuais; ● Consolidam o concreto utilizando vibradores manuais ou de piso; ● Utilizam réguas vibratórias manuais ou réguas de nivelamento para auxiliar no nivelamento inicial do concreto; ● Limpam as ferramentas e organizam os materiais de acabamento para os acabadores qualificados. Os operários não realizam nenhum acabamento especializado em concreto, como alisamento, desempenadeira, acabamento de bordas ou aplicação de tratamentos superficiais. Essas tarefas são executadas exclusivamente por acabadores de concreto qualificados, e não por operários da construção civil. ***Original*** Executar tarefas que envolvam trabalho braçal em canteiro de obras de concreto. Preparar o local para a colocação do concreto, carregando e descarregando materiais, cavando e nivelando o solo, colocando materiais de reforço no concreto, e Levantar, carregar e posicionar formas de concreto. Colocar concreto. Recolher resíduos. Limpar canteiros de obras. Classificação da função: 47-2061.00 - Auxiliares de Construção. A classificação e descrição da função/setor inclui informações gerais sobre o cargo, de acordo com o ONET/OES e o Sistema de Classificação Industrial da América do Norte (NAICS). Consulte as Funções e a Ordem de Serviço para obter mais informações. Requisitos da vaga: Experiência necessária: Sim. Meses de experiência necessários: 3. Requisitos especiais: Deve ser capaz de levantar e carregar 34 kg por 68 metros. Deve ser capaz de lidar com temperaturas extremas. 3 meses de experiência em construção com concreto são necessários. Trabalho em alguns fins de semana. Número de horas por semana: 40. Horário de trabalho (início/término): 7h às 17h.</v>
      </c>
    </row>
    <row r="503" ht="20.25" customHeight="1">
      <c r="A503" s="8" t="s">
        <v>2552</v>
      </c>
      <c r="B503" s="8" t="s">
        <v>2553</v>
      </c>
      <c r="C503" s="8" t="s">
        <v>1904</v>
      </c>
      <c r="D503" s="8" t="s">
        <v>663</v>
      </c>
      <c r="E503" s="9" t="s">
        <v>19</v>
      </c>
      <c r="F503" s="9" t="s">
        <v>20</v>
      </c>
      <c r="G503" s="9" t="s">
        <v>524</v>
      </c>
      <c r="H503" s="8" t="s">
        <v>2554</v>
      </c>
      <c r="I503" s="8" t="s">
        <v>2555</v>
      </c>
      <c r="J503" s="9">
        <v>16.55</v>
      </c>
      <c r="K503" s="9">
        <v>86.0</v>
      </c>
      <c r="L503" s="8" t="s">
        <v>83</v>
      </c>
      <c r="M503" s="8" t="s">
        <v>2556</v>
      </c>
      <c r="N503" s="7" t="str">
        <f>IFERROR(__xludf.DUMMYFUNCTION("GOOGLETRANSLATE(L503, ""en"", ""pt"")"),"Trabalhador Florestal")</f>
        <v>Trabalhador Florestal</v>
      </c>
      <c r="O503" s="7" t="str">
        <f>IFERROR(__xludf.DUMMYFUNCTION("IF(M503="""","""",GOOGLETRANSLATE(M503,""en"",""pt""))"),"As funções podem incluir: plantio manual de mudas com pás e enxadas, limpeza de mato e detritos manualmente e por meios mecânicos, aplicação de herbicidas com pulverizadores costais de 20 litros, uso de motosserras para limpeza de mato e vegetação em dive"&amp;"rsos locais e outras atividades relacionadas ao trabalho florestal, conforme SOC/OES 45-4011 (onetonline.org). Horário padrão/esperado: segunda a sexta, das 7h às 15h30. Oferecemos mais de 40 horas semanais, sem incluir almoço e/ou intervalos. Possibilida"&amp;"de de trabalho em fins de semana e feriados. Os horários de início e término, a carga horária e/ou horas extras podem variar, pois dependem de fatores como projeto/cronograma/necessidades do serviço, condições climáticas e tempo de deslocamento entre os l"&amp;"ocais de trabalho (se aplicável). Horas extras são possíveis, mas não obrigatórias nem garantidas. A critério exclusivo do empregador: aumentos salariais e/ou bônus podem ser concedidos com base em fatores individuais, como desempenho ou habilidades (não "&amp;"garantidos). Pagamento por produção: o trabalhador nunca receberá menos do que o Salário Vigente ou o salário mínimo federal/estadual/municipal. Moradia compartilhada opcional disponível sem custo para o trabalhador. Classificação da vaga: 45-4011.00 - Tr"&amp;"abalhadores Florestais e de Conservação. A classificação e descrição da vaga/setor incluem informações gerais sobre o cargo, de acordo com o ONET/OES e o Sistema de Classificação Industrial da América do Norte (NAICS). Consulte as Funções e a Ordem de Ser"&amp;"viço para obter mais informações. Requisitos da vaga: Experiência exigida: Sim. Meses de experiência exigidos: 2. Requisitos especiais: É necessário ter 18 anos devido a viagens. É necessário comprovar autorização legal para trabalhar nos Estados Unidos. "&amp;"Ambiente de trabalho livre de drogas, álcool e tabaco. É necessário caminhar bastante (até 24 km/dia), além de se abaixar e se curvar carregando uma mochila (até 25 kg) em terrenos acidentados (fora de trilhas). Todos os candidatos devem ser capazes, disp"&amp;"ostos e qualificados para executar o trabalho descrito e devem estar disponíveis durante todo o período especificado e trabalhar em todas as áreas de atuação pretendidas. Possível verificação de antecedentes após a contratação, às custas do empregador. O "&amp;"trabalho é realizado ao ar livre, exposto às intempéries; o candidato deve ser capaz de realizar trabalho fisicamente extenuante por longos períodos, ocasionalmente em calor ou frio extremos. Condições climáticas variáveis ​​se aplicam; a carga horária po"&amp;"de sofrer alterações (+/-), com possibilidade de períodos de inatividade e/ou horas extras. Número de horas por semana: 40. Horário de trabalho (início/término): 7h às 15h30.")</f>
        <v>As funções podem incluir: plantio manual de mudas com pás e enxadas, limpeza de mato e detritos manualmente e por meios mecânicos, aplicação de herbicidas com pulverizadores costais de 20 litros, uso de motosserras para limpeza de mato e vegetação em diversos locais e outras atividades relacionadas ao trabalho florestal, conforme SOC/OES 45-4011 (onetonline.org). Horário padrão/esperado: segunda a sexta, das 7h às 15h30. Oferecemos mais de 40 horas semanais, sem incluir almoço e/ou intervalos. Possibilidade de trabalho em fins de semana e feriados. Os horários de início e término, a carga horária e/ou horas extras podem variar, pois dependem de fatores como projeto/cronograma/necessidades do serviço, condições climáticas e tempo de deslocamento entre os locais de trabalho (se aplicável). Horas extras são possíveis, mas não obrigatórias nem garantidas. A critério exclusivo do empregador: aumentos salariais e/ou bônus podem ser concedidos com base em fatores individuais, como desempenho ou habilidades (não garantidos). Pagamento por produção: o trabalhador nunca receberá menos do que o Salário Vigente ou o salário mínimo federal/estadual/municipal. Moradia compartilhada opcional disponível sem custo para o trabalhador. Classificação da vaga: 45-4011.00 - Trabalhadores Florestais e de Conservação. A classificação e descrição da vaga/setor incluem informações gerais sobre o cargo, de acordo com o ONET/OES e o Sistema de Classificação Industrial da América do Norte (NAICS). Consulte as Funções e a Ordem de Serviço para obter mais informações. Requisitos da vaga: Experiência exigida: Sim. Meses de experiência exigidos: 2. Requisitos especiais: É necessário ter 18 anos devido a viagens. É necessário comprovar autorização legal para trabalhar nos Estados Unidos. Ambiente de trabalho livre de drogas, álcool e tabaco. É necessário caminhar bastante (até 24 km/dia), além de se abaixar e se curvar carregando uma mochila (até 25 kg) em terrenos acidentados (fora de trilhas). Todos os candidatos devem ser capazes, dispostos e qualificados para executar o trabalho descrito e devem estar disponíveis durante todo o período especificado e trabalhar em todas as áreas de atuação pretendidas. Possível verificação de antecedentes após a contratação, às custas do empregador. O trabalho é realizado ao ar livre, exposto às intempéries; o candidato deve ser capaz de realizar trabalho fisicamente extenuante por longos períodos, ocasionalmente em calor ou frio extremos. Condições climáticas variáveis ​​se aplicam; a carga horária pode sofrer alterações (+/-), com possibilidade de períodos de inatividade e/ou horas extras. Número de horas por semana: 40. Horário de trabalho (início/término): 7h às 15h30.</v>
      </c>
    </row>
    <row r="504" ht="20.25" customHeight="1">
      <c r="A504" s="3" t="s">
        <v>2557</v>
      </c>
      <c r="B504" s="3" t="s">
        <v>2558</v>
      </c>
      <c r="C504" s="3" t="s">
        <v>169</v>
      </c>
      <c r="D504" s="3" t="s">
        <v>284</v>
      </c>
      <c r="E504" s="4" t="s">
        <v>19</v>
      </c>
      <c r="F504" s="4" t="s">
        <v>20</v>
      </c>
      <c r="G504" s="4" t="s">
        <v>377</v>
      </c>
      <c r="H504" s="3" t="s">
        <v>2559</v>
      </c>
      <c r="I504" s="3"/>
      <c r="J504" s="4">
        <v>16.55</v>
      </c>
      <c r="K504" s="4">
        <v>180.0</v>
      </c>
      <c r="L504" s="3" t="s">
        <v>950</v>
      </c>
      <c r="M504" s="3" t="s">
        <v>2560</v>
      </c>
      <c r="N504" s="7" t="str">
        <f>IFERROR(__xludf.DUMMYFUNCTION("GOOGLETRANSLATE(L504, ""en"", ""pt"")"),"Plantadores de árvores")</f>
        <v>Plantadores de árvores</v>
      </c>
      <c r="O504" s="7" t="str">
        <f>IFERROR(__xludf.DUMMYFUNCTION("IF(M504="""","""",GOOGLETRANSLATE(M504,""en"",""pt""))"),"Trabalho manual itinerante para plantar mudas de árvores manualmente e/ou com máquina. Realizar desbaste pré-comercial, aplicar fertilizantes e repelentes e operar máquinas para reflorestamento e manutenção de áreas florestais. Plantar árvores de raiz nua"&amp;" ou em contêineres em um padrão específico usando enxada, plantadeira de solo, enxada de mão ou pá. Cavar buracos em intervalos predeterminados e inserir a muda. Compactar o solo ao redor da planta com o pé e ferramenta de plantio. Selecionar o local idea"&amp;"l de plantio para atender aos requisitos de espaçamento, solo e sombra. Deixar o solo exposto. Usar uma lâmina de roçadeira ou outro equipamento manual, incluindo aplicadores químicos, para pulverizar ou injetar a vegetação com inseticidas pré-misturados "&amp;"para matar insetos ou proteger contra doenças, ou com herbicidas pré-misturados para reduzir a vegetação concorrente. Aplicar repelente ou fertilizante nas mudas. Atividades menores incluem o seguinte: atividades de viveiro, selecionar ou cortar árvores d"&amp;"e acordo com marcações ou tamanhos, tipos ou classificações, desbastar e espaçar árvores usando serras elétricas; marcar e manter linhas de divisa; e classificar mudas de árvores, descartando mudas abaixo do padrão, de acordo com tabelas padrão ou instruç"&amp;"ões verbais, realizar pulverização em faixas de servidão de serviços públicos. Consulte outros trabalhadores para discutir questões como segurança, altura de corte ou necessidades de trabalho. Essas funções envolvem a propagação, proteção e manejo de área"&amp;"s florestais. Os trabalhadores que solicitarem e obtiverem um certificado de registro FLC ou FLCE com autorização para dirigir, emitido pela Divisão de Salários e Horas do Departamento do Trabalho dos EUA (USDOL), durante o período de emprego, poderão tra"&amp;"nsportar outros trabalhadores, realizar contagens e verificações, e poderão receber horas extras de trabalho. Em caso de suspeita, será realizado um teste de drogas após a contratação, às custas do empregador, e este não faz parte do processo de entrevist"&amp;"a. O teste de drogas será realizado igualmente entre trabalhadores americanos e trabalhadores com visto H-2B, às custas do empregador. O empregador poderá pagar uma taxa por produção de US$ 20,00 a US$ 100,00 por 1.000 árvores plantadas manualmente de for"&amp;"ma correta ou de US$ 10,00 a US$ 100,00 por 1.000 árvores plantadas mecanicamente de forma correta, ou o salário vigente para a área de atuação, conforme estipulado pelo NPWC (National Park Wildlife Commission), o que for maior. Aumentos salariais e/ou bô"&amp;"nus poderão ser oferecidos a critério do empregador, com base em fatores individuais como desempenho, habilidades e tempo de serviço. Classificação da Função: 45-4011.00 - Trabalhadores Florestais e de Conservação. A classificação e descrição da função/se"&amp;"tor inclui informações gerais sobre o cargo, de acordo com o ONET/OES e o Sistema de Classificação Industrial da América do Norte. Consulte as Funções e a Ordem de Serviço para obter mais informações. Requisitos da Função Experiência Necessária: Não. Requ"&amp;"isitos Especiais: Não é necessário escolaridade ou experiência. É preciso ter 18 anos ou mais. Requer resistência física. Caminhadas extensas em terrenos acidentados. O trabalho é realizado ao ar livre, em temperaturas extremas e condições climáticas adve"&amp;"rsas. É necessário levantar e carregar 23 kg. O horário e os locais de trabalho dependem das condições climáticas. É necessário passar por exames toxicológicos. Viagens com pernoite são necessárias. Meta de produção de 2.000 mudas de árvores plantadas man"&amp;"ualmente e corretamente por dia de oito horas, após uma semana de treinamento em serviço. Meta de produção de 8.000 mudas plantadas mecanicamente por dia de 8 horas, após uma semana de treinamento em serviço. Número de Horas por Semana: 40. Horário de Tra"&amp;"balho (Início/Término): 8h às 17h.")</f>
        <v>Trabalho manual itinerante para plantar mudas de árvores manualmente e/ou com máquina. Realizar desbaste pré-comercial, aplicar fertilizantes e repelentes e operar máquinas para reflorestamento e manutenção de áreas florestais. Plantar árvores de raiz nua ou em contêineres em um padrão específico usando enxada, plantadeira de solo, enxada de mão ou pá. Cavar buracos em intervalos predeterminados e inserir a muda. Compactar o solo ao redor da planta com o pé e ferramenta de plantio. Selecionar o local ideal de plantio para atender aos requisitos de espaçamento, solo e sombra. Deixar o solo exposto. Usar uma lâmina de roçadeira ou outro equipamento manual, incluindo aplicadores químicos, para pulverizar ou injetar a vegetação com inseticidas pré-misturados para matar insetos ou proteger contra doenças, ou com herbicidas pré-misturados para reduzir a vegetação concorrente. Aplicar repelente ou fertilizante nas mudas. Atividades menores incluem o seguinte: atividades de viveiro, selecionar ou cortar árvores de acordo com marcações ou tamanhos, tipos ou classificações, desbastar e espaçar árvores usando serras elétricas; marcar e manter linhas de divisa; e classificar mudas de árvores, descartando mudas abaixo do padrão, de acordo com tabelas padrão ou instruções verbais, realizar pulverização em faixas de servidão de serviços públicos. Consulte outros trabalhadores para discutir questões como segurança, altura de corte ou necessidades de trabalho. Essas funções envolvem a propagação, proteção e manejo de áreas florestais. Os trabalhadores que solicitarem e obtiverem um certificado de registro FLC ou FLCE com autorização para dirigir, emitido pela Divisão de Salários e Horas do Departamento do Trabalho dos EUA (USDOL), durante o período de emprego, poderão transportar outros trabalhadores, realizar contagens e verificações, e poderão receber horas extras de trabalho. Em caso de suspeita, será realizado um teste de drogas após a contratação, às custas do empregador, e este não faz parte do processo de entrevista. O teste de drogas será realizado igualmente entre trabalhadores americanos e trabalhadores com visto H-2B, às custas do empregador. O empregador poderá pagar uma taxa por produção de US$ 20,00 a US$ 100,00 por 1.000 árvores plantadas manualmente de forma correta ou de US$ 10,00 a US$ 100,00 por 1.000 árvores plantadas mecanicamente de forma correta, ou o salário vigente para a área de atuação, conforme estipulado pelo NPWC (National Park Wildlife Commission), o que for maior. Aumentos salariais e/ou bônus poderão ser oferecidos a critério do empregador, com base em fatores individuais como desempenho, habilidades e tempo de serviço. Classificação da Função: 45-4011.00 - Trabalhadores Florestais e de Conservação. A classificação e descrição da função/setor inclui informações gerais sobre o cargo, de acordo com o ONET/OES e o Sistema de Classificação Industrial da América do Norte. Consulte as Funções e a Ordem de Serviço para obter mais informações. Requisitos da Função Experiência Necessária: Não. Requisitos Especiais: Não é necessário escolaridade ou experiência. É preciso ter 18 anos ou mais. Requer resistência física. Caminhadas extensas em terrenos acidentados. O trabalho é realizado ao ar livre, em temperaturas extremas e condições climáticas adversas. É necessário levantar e carregar 23 kg. O horário e os locais de trabalho dependem das condições climáticas. É necessário passar por exames toxicológicos. Viagens com pernoite são necessárias. Meta de produção de 2.000 mudas de árvores plantadas manualmente e corretamente por dia de oito horas, após uma semana de treinamento em serviço. Meta de produção de 8.000 mudas plantadas mecanicamente por dia de 8 horas, após uma semana de treinamento em serviço. Número de Horas por Semana: 40. Horário de Trabalho (Início/Término): 8h às 17h.</v>
      </c>
    </row>
    <row r="505" ht="20.25" customHeight="1">
      <c r="A505" s="8" t="s">
        <v>2561</v>
      </c>
      <c r="B505" s="8" t="s">
        <v>2562</v>
      </c>
      <c r="C505" s="8" t="s">
        <v>1440</v>
      </c>
      <c r="D505" s="8" t="s">
        <v>284</v>
      </c>
      <c r="E505" s="9" t="s">
        <v>19</v>
      </c>
      <c r="F505" s="9" t="s">
        <v>20</v>
      </c>
      <c r="G505" s="9" t="s">
        <v>345</v>
      </c>
      <c r="H505" s="8" t="s">
        <v>2563</v>
      </c>
      <c r="I505" s="8" t="s">
        <v>2564</v>
      </c>
      <c r="J505" s="9">
        <v>16.55</v>
      </c>
      <c r="K505" s="9">
        <v>75.0</v>
      </c>
      <c r="L505" s="8" t="s">
        <v>83</v>
      </c>
      <c r="M505" s="8" t="s">
        <v>2565</v>
      </c>
      <c r="N505" s="7" t="str">
        <f>IFERROR(__xludf.DUMMYFUNCTION("GOOGLETRANSLATE(L505, ""en"", ""pt"")"),"Trabalhador Florestal")</f>
        <v>Trabalhador Florestal</v>
      </c>
      <c r="O505" s="7" t="str">
        <f>IFERROR(__xludf.DUMMYFUNCTION("IF(M505="""","""",GOOGLETRANSLATE(M505,""en"",""pt""))"),"Todos os candidatos devem ser capazes, estar dispostos e qualificados para executar o trabalho descrito neste anúncio de emprego e ter disponibilidade durante todo o período especificado. Sob supervisão, o trabalho consiste em desenvolver, manter e proteg"&amp;"er áreas como florestas, áreas florestadas, bosques e pastagens, realizando diversas atividades, como cavar buracos com ferramentas de plantio, plantar mudas de árvores (sem raízes em J ou U), preencher o buraco com terra e fixar a muda. O trabalho também"&amp;" inclui o combate a insetos, pragas e doenças prejudiciais às mudas. Pode ser necessário caminhar longas distâncias em áreas densamente arborizadas e remotas; o candidato deve ser capaz de caminhar extensivamente (aproximadamente 24 km/dia), agachar e cur"&amp;"var-se enquanto carrega uma mochila de 23 kg e ferramentas, em condições climáticas e de terreno variáveis, além de realizar outras atividades florestais conforme SOC/OES 45-4011. O horário de trabalho é de segunda a sexta, das 8h às 16h, com possibilidad"&amp;"e de horas extras semanais (mais de 35 horas). Treinamento no local de trabalho será fornecido. O transporte diário do local designado até o local de trabalho é fornecido gratuitamente ao trabalhador. O empregador fornece ferramentas e equipamentos sem cu"&amp;"sto para o trabalhador. Não é necessário ter experiência ou escolaridade mínima. O empregador fornecerá alojamento opcional sem custo para o trabalhador. Classificação da vaga: 45-4011.00 - Trabalhadores Florestais e de Conservação. A classificação e desc"&amp;"rição da vaga/setor incluem informações gerais sobre o cargo, de acordo com o ONET/OES e o Sistema de Classificação Industrial da América do Norte (NAICS). Consulte as Funções e a Ordem de Serviço para obter mais informações. Requisitos da vaga: Experiênc"&amp;"ia exigida: Não. Requisitos especiais: Ambiente de trabalho livre de drogas, álcool e tabaco. É necessário comprovar autorização legal para trabalhar nos EUA. É necessário ter mais de 18 anos devido a viagens. Número de horas por semana: 35. Horário de tr"&amp;"abalho (início/término): 8h às 16h.")</f>
        <v>Todos os candidatos devem ser capazes, estar dispostos e qualificados para executar o trabalho descrito neste anúncio de emprego e ter disponibilidade durante todo o período especificado. Sob supervisão, o trabalho consiste em desenvolver, manter e proteger áreas como florestas, áreas florestadas, bosques e pastagens, realizando diversas atividades, como cavar buracos com ferramentas de plantio, plantar mudas de árvores (sem raízes em J ou U), preencher o buraco com terra e fixar a muda. O trabalho também inclui o combate a insetos, pragas e doenças prejudiciais às mudas. Pode ser necessário caminhar longas distâncias em áreas densamente arborizadas e remotas; o candidato deve ser capaz de caminhar extensivamente (aproximadamente 24 km/dia), agachar e curvar-se enquanto carrega uma mochila de 23 kg e ferramentas, em condições climáticas e de terreno variáveis, além de realizar outras atividades florestais conforme SOC/OES 45-4011. O horário de trabalho é de segunda a sexta, das 8h às 16h, com possibilidade de horas extras semanais (mais de 35 horas). Treinamento no local de trabalho será fornecido. O transporte diário do local designado até o local de trabalho é fornecido gratuitamente ao trabalhador. O empregador fornece ferramentas e equipamentos sem custo para o trabalhador. Não é necessário ter experiência ou escolaridade mínima. O empregador fornecerá alojamento opcional sem custo para o trabalhador. Classificação da vaga: 45-4011.00 - Trabalhadores Florestais e de Conservação. A classificação e descrição da vaga/setor incluem informações gerais sobre o cargo, de acordo com o ONET/OES e o Sistema de Classificação Industrial da América do Norte (NAICS). Consulte as Funções e a Ordem de Serviço para obter mais informações. Requisitos da vaga: Experiência exigida: Não. Requisitos especiais: Ambiente de trabalho livre de drogas, álcool e tabaco. É necessário comprovar autorização legal para trabalhar nos EUA. É necessário ter mais de 18 anos devido a viagens. Número de horas por semana: 35. Horário de trabalho (início/término): 8h às 16h.</v>
      </c>
    </row>
    <row r="506" ht="20.25" customHeight="1">
      <c r="A506" s="3" t="s">
        <v>2566</v>
      </c>
      <c r="B506" s="3" t="s">
        <v>2567</v>
      </c>
      <c r="C506" s="3" t="s">
        <v>169</v>
      </c>
      <c r="D506" s="3" t="s">
        <v>102</v>
      </c>
      <c r="E506" s="4" t="s">
        <v>19</v>
      </c>
      <c r="F506" s="4" t="s">
        <v>20</v>
      </c>
      <c r="G506" s="4" t="s">
        <v>307</v>
      </c>
      <c r="H506" s="3" t="s">
        <v>2568</v>
      </c>
      <c r="I506" s="3"/>
      <c r="J506" s="4">
        <v>16.72</v>
      </c>
      <c r="K506" s="4">
        <v>8.0</v>
      </c>
      <c r="L506" s="3" t="s">
        <v>121</v>
      </c>
      <c r="M506" s="3" t="s">
        <v>2569</v>
      </c>
      <c r="N506" s="7" t="str">
        <f>IFERROR(__xludf.DUMMYFUNCTION("GOOGLETRANSLATE(L506, ""en"", ""pt"")"),"Trabalhador braçal")</f>
        <v>Trabalhador braçal</v>
      </c>
      <c r="O506" s="7" t="str">
        <f>IFERROR(__xludf.DUMMYFUNCTION("IF(M506="""","""",GOOGLETRANSLATE(M506,""en"",""pt""))"),"Limpar, secar e armazenar amendoins manualmente. Recolher amendoins com uma pá. Varrer amendoins derramados. Observar o movimento contínuo dos amendoins à medida que passam pelas diferentes etapas do processo de limpeza para garantir uma operação constant"&amp;"e e ininterrupta, de modo que as falhas possam ser detectadas. Como parte do processo de produção, despejar amendoins em reboques pressionando um botão que despeja eletronicamente os amendoins nos vagões. Conectar o secador de amendoins aos reboques. Cole"&amp;"tar amostras. Limpar fossas. Trocar pneus de reboques e vagões. Lavar vagões/reboques manualmente com uma mangueira de água. Classificação do Cargo: 53-7063.00 - Alimentadores e Descarregadores de Máquinas. A classificação e descrição do cargo/setor inclu"&amp;"i informações gerais sobre a posição, de acordo com o ONET/OES e o Sistema de Classificação Industrial da América do Norte. Consulte as Funções e a Ordem de Serviço para obter mais informações. Requisitos do Cargo: Experiência Necessária: Não. Requisitos "&amp;"Especiais: Não é necessário escolaridade ou experiência. Deve ser capaz de levantar/carregar 23 kg, quando necessário. O empregador exige que trabalhadores estrangeiros e nacionais se submetam a testes de drogas pagos pelo empregador antes do início do tr"&amp;"abalho e após a contratação, em caso de suspeita de uso ou acidente. O empregador poderá oferecer uma jornada de trabalho superior à estipulada, dependendo das condições climáticas, das necessidades da empresa e de outros fatores. Calor extremo, frio, chu"&amp;"va ou seca podem afetar o horário de trabalho exato. Número de horas por semana: 42. Horário de trabalho (início/término): 7h às 16h.")</f>
        <v>Limpar, secar e armazenar amendoins manualmente. Recolher amendoins com uma pá. Varrer amendoins derramados. Observar o movimento contínuo dos amendoins à medida que passam pelas diferentes etapas do processo de limpeza para garantir uma operação constante e ininterrupta, de modo que as falhas possam ser detectadas. Como parte do processo de produção, despejar amendoins em reboques pressionando um botão que despeja eletronicamente os amendoins nos vagões. Conectar o secador de amendoins aos reboques. Coletar amostras. Limpar fossas. Trocar pneus de reboques e vagões. Lavar vagões/reboques manualmente com uma mangueira de água. Classificação do Cargo: 53-7063.00 - Alimentadores e Descarregadores de Máquinas. A classificação e descrição do cargo/setor inclui informações gerais sobre a posição, de acordo com o ONET/OES e o Sistema de Classificação Industrial da América do Norte. Consulte as Funções e a Ordem de Serviço para obter mais informações. Requisitos do Cargo: Experiência Necessária: Não. Requisitos Especiais: Não é necessário escolaridade ou experiência. Deve ser capaz de levantar/carregar 23 kg, quando necessário. O empregador exige que trabalhadores estrangeiros e nacionais se submetam a testes de drogas pagos pelo empregador antes do início do trabalho e após a contratação, em caso de suspeita de uso ou acidente. O empregador poderá oferecer uma jornada de trabalho superior à estipulada, dependendo das condições climáticas, das necessidades da empresa e de outros fatores. Calor extremo, frio, chuva ou seca podem afetar o horário de trabalho exato. Número de horas por semana: 42. Horário de trabalho (início/término): 7h às 16h.</v>
      </c>
    </row>
    <row r="507" ht="20.25" customHeight="1">
      <c r="A507" s="8" t="s">
        <v>2570</v>
      </c>
      <c r="B507" s="8" t="s">
        <v>2571</v>
      </c>
      <c r="C507" s="8" t="s">
        <v>1000</v>
      </c>
      <c r="D507" s="8" t="s">
        <v>117</v>
      </c>
      <c r="E507" s="9" t="s">
        <v>19</v>
      </c>
      <c r="F507" s="9" t="s">
        <v>20</v>
      </c>
      <c r="G507" s="9" t="s">
        <v>307</v>
      </c>
      <c r="H507" s="8" t="s">
        <v>2572</v>
      </c>
      <c r="I507" s="8" t="s">
        <v>2573</v>
      </c>
      <c r="J507" s="9">
        <v>20.23</v>
      </c>
      <c r="K507" s="9">
        <v>8.0</v>
      </c>
      <c r="L507" s="8" t="s">
        <v>2574</v>
      </c>
      <c r="M507" s="8" t="s">
        <v>2575</v>
      </c>
      <c r="N507" s="7" t="str">
        <f>IFERROR(__xludf.DUMMYFUNCTION("GOOGLETRANSLATE(L507, ""en"", ""pt"")"),"Ajudantes--- Telhadores")</f>
        <v>Ajudantes--- Telhadores</v>
      </c>
      <c r="O507" s="7" t="str">
        <f>IFERROR(__xludf.DUMMYFUNCTION("IF(M507="""","""",GOOGLETRANSLATE(M507,""en"",""pt""))"),"Auxiliar os telhadistas realizando tarefas que exigem menos habilidade, como usar, fornecer ou segurar materiais ou ferramentas e realizar pequenos trabalhos de carpintaria na preparação e durante a instalação de telhados. Cobrir telhados com camadas de f"&amp;"eltro asfáltico ou tiras de asfalto antes da instalação de telhas, ardósia, madeira ou materiais compostos, e remover e substituir materiais de cobertura antigos. Classificação da função: 47-3016.00 - Ajudantes de Telhadista. A classificação e descrição d"&amp;"a função/setor inclui informações gerais sobre o cargo, de acordo com o ONET/OES e o Sistema de Classificação Industrial da América do Norte (NAICS). Consulte as Funções e a Ordem de Serviço para obter mais informações. Requisitos da vaga: Experiência nec"&amp;"essária: Sim. Meses de experiência necessários: 3. Requisitos especiais: 3 meses de experiência em telhados. Deve ser capaz de levantar e carregar 34 kg por 68 metros. Deve ser capaz de lidar com temperaturas extremas. Trabalho em alguns fins de semana. N"&amp;"úmero de horas por semana: 40. Horário de trabalho (início/término): 6h às 18h.")</f>
        <v>Auxiliar os telhadistas realizando tarefas que exigem menos habilidade, como usar, fornecer ou segurar materiais ou ferramentas e realizar pequenos trabalhos de carpintaria na preparação e durante a instalação de telhados. Cobrir telhados com camadas de feltro asfáltico ou tiras de asfalto antes da instalação de telhas, ardósia, madeira ou materiais compostos, e remover e substituir materiais de cobertura antigos. Classificação da função: 47-3016.00 - Ajudantes de Telhadista. A classificação e descrição da função/setor inclui informações gerais sobre o cargo, de acordo com o ONET/OES e o Sistema de Classificação Industrial da América do Norte (NAICS). Consulte as Funções e a Ordem de Serviço para obter mais informações. Requisitos da vaga: Experiência necessária: Sim. Meses de experiência necessários: 3. Requisitos especiais: 3 meses de experiência em telhados. Deve ser capaz de levantar e carregar 34 kg por 68 metros. Deve ser capaz de lidar com temperaturas extremas. Trabalho em alguns fins de semana. Número de horas por semana: 40. Horário de trabalho (início/término): 6h às 18h.</v>
      </c>
    </row>
    <row r="508" ht="20.25" customHeight="1">
      <c r="A508" s="3" t="s">
        <v>2576</v>
      </c>
      <c r="B508" s="3" t="s">
        <v>2577</v>
      </c>
      <c r="C508" s="3" t="s">
        <v>1000</v>
      </c>
      <c r="D508" s="3" t="s">
        <v>64</v>
      </c>
      <c r="E508" s="4" t="s">
        <v>19</v>
      </c>
      <c r="F508" s="4" t="s">
        <v>20</v>
      </c>
      <c r="G508" s="4" t="s">
        <v>307</v>
      </c>
      <c r="H508" s="3" t="s">
        <v>2578</v>
      </c>
      <c r="I508" s="3" t="s">
        <v>2579</v>
      </c>
      <c r="J508" s="4">
        <v>19.81</v>
      </c>
      <c r="K508" s="4">
        <v>5.0</v>
      </c>
      <c r="L508" s="3" t="s">
        <v>302</v>
      </c>
      <c r="M508" s="3" t="s">
        <v>2580</v>
      </c>
      <c r="N508" s="7" t="str">
        <f>IFERROR(__xludf.DUMMYFUNCTION("GOOGLETRANSLATE(L508, ""en"", ""pt"")"),"Operários da construção civil")</f>
        <v>Operários da construção civil</v>
      </c>
      <c r="O508" s="7" t="str">
        <f>IFERROR(__xludf.DUMMYFUNCTION("IF(M508="""","""",GOOGLETRANSLATE(M508,""en"",""pt""))"),"Executar tarefas menores que envolvam trabalho braçal em canteiros de obras de concreto. Preparar os locais para a concretagem, carregando e descarregando materiais, utilizando linhas de referência, cortando madeira com serras circulares, utilizando marre"&amp;"ta para cravar estacas no solo, cavando e nivelando a terra com pás e compactadores de placa. Sob supervisão, levantar, carregar, fixar, remover, lubrificar e posicionar fôrmas de concreto de madeira e metal utilizando ferramentas manuais e elétricas simp"&amp;"les. Auxiliar na concretagem utilizando carrinhos de mão, rastelos de concreto, pás e vibradores de concreto manuais. Limpar resíduos e selar juntas. Classificação da Função: 47-2061.00 - Auxiliares de Construção. A classificação e descrição da função/set"&amp;"or inclui informações gerais sobre o cargo, conforme o ONET/OES e o Sistema de Classificação Industrial da América do Norte (NAICS). Consulte as Funções e a Ordem de Serviço para obter mais informações. Requisitos da Função: Experiência Necessária: Sim. M"&amp;"eses de Experiência Necessários: 6. Requisitos Especiais: Trabalho em alguns fins de semana. Necessário suportar temperaturas extremas. Deve ser capaz de levantar e carregar 34 kg por 45 metros. É necessário ter 6 meses de experiência em construção com co"&amp;"ncreto. Número de horas por semana: 40. Horário de trabalho (início/término): 7h às 18h.")</f>
        <v>Executar tarefas menores que envolvam trabalho braçal em canteiros de obras de concreto. Preparar os locais para a concretagem, carregando e descarregando materiais, utilizando linhas de referência, cortando madeira com serras circulares, utilizando marreta para cravar estacas no solo, cavando e nivelando a terra com pás e compactadores de placa. Sob supervisão, levantar, carregar, fixar, remover, lubrificar e posicionar fôrmas de concreto de madeira e metal utilizando ferramentas manuais e elétricas simples. Auxiliar na concretagem utilizando carrinhos de mão, rastelos de concreto, pás e vibradores de concreto manuais. Limpar resíduos e selar juntas. Classificação da Função: 47-2061.00 - Auxiliares de Construção. A classificação e descrição da função/setor inclui informações gerais sobre o cargo, conforme o ONET/OES e o Sistema de Classificação Industrial da América do Norte (NAICS). Consulte as Funções e a Ordem de Serviço para obter mais informações. Requisitos da Função: Experiência Necessária: Sim. Meses de Experiência Necessários: 6. Requisitos Especiais: Trabalho em alguns fins de semana. Necessário suportar temperaturas extremas. Deve ser capaz de levantar e carregar 34 kg por 45 metros. É necessário ter 6 meses de experiência em construção com concreto. Número de horas por semana: 40. Horário de trabalho (início/término): 7h às 18h.</v>
      </c>
    </row>
    <row r="509" ht="20.25" customHeight="1">
      <c r="A509" s="8" t="s">
        <v>2581</v>
      </c>
      <c r="B509" s="8" t="s">
        <v>2582</v>
      </c>
      <c r="C509" s="8" t="s">
        <v>1946</v>
      </c>
      <c r="D509" s="8" t="s">
        <v>1051</v>
      </c>
      <c r="E509" s="9" t="s">
        <v>19</v>
      </c>
      <c r="F509" s="9" t="s">
        <v>20</v>
      </c>
      <c r="G509" s="9" t="s">
        <v>377</v>
      </c>
      <c r="H509" s="8" t="s">
        <v>2583</v>
      </c>
      <c r="I509" s="8" t="s">
        <v>2584</v>
      </c>
      <c r="J509" s="9">
        <v>19.83</v>
      </c>
      <c r="K509" s="9">
        <v>50.0</v>
      </c>
      <c r="L509" s="8" t="s">
        <v>1054</v>
      </c>
      <c r="M509" s="8" t="s">
        <v>2585</v>
      </c>
      <c r="N509" s="7" t="str">
        <f>IFERROR(__xludf.DUMMYFUNCTION("GOOGLETRANSLATE(L509, ""en"", ""pt"")"),"Trabalhador Florestal e de Conservação")</f>
        <v>Trabalhador Florestal e de Conservação</v>
      </c>
      <c r="O509" s="7" t="str">
        <f>IFERROR(__xludf.DUMMYFUNCTION("IF(M509="""","""",GOOGLETRANSLATE(M509,""en"",""pt""))"),"O plantio comercial de árvores será realizado em terrenos íngremes, com inclinação de 30% a 50%, utilizando uma pá de plantio. O funcionário deverá limpar o solo, cavar um buraco, posicionar corretamente a muda, cobrir as raízes com terra e compactar o so"&amp;"lo ao redor da muda recém-plantada. O funcionário deverá garantir que a muda plantada não fique com formato de ""J"". O funcionário deverá carregar um saco de plantio contendo as mudas, cujo peso total é de aproximadamente 23 a 27 kg, dependendo do tamanh"&amp;"o das mudas, subindo e descendo o terreno íngreme em áreas montanhosas remotas. Desbaste pré-comercial: corte de árvores indesejáveis ​​e doentes. O corte/empilhamento de arbustos e o corte de galhos da madeira comercial serão realizados para promover o c"&amp;"rescimento da madeira existente. Os galhos cortados e os arbustos serão empilhados de maneira prescrita para descarte futuro. O desbaste será realizado com o uso de uma motosserra. Espera-se que os funcionários façam a manutenção da motosserra, afiem a co"&amp;"rrente em campo, mantenham os níveis corretos de fluidos e desmontem a motosserra adequadamente para limpeza. O peso combinado da motosserra, combustível e óleo é de aproximadamente 13,6 kg (30 libras) e ela deve ser transportada em terrenos difíceis, com"&amp;" inclinações que variam de 30% a 50%. O funcionário deve demonstrar que consegue trabalhar de forma segura e eficaz. O acesso a essas áreas remotas é feito por meio de estradas florestais abandonadas, sem nome ou número, que recebem manutenção. Classifica"&amp;"ção da função: 45-4011.00 - Trabalhadores Florestais e de Conservação. A classificação e a descrição da função/setor incluem informações gerais sobre o cargo, conforme o ONET/OES e o Sistema de Classificação Industrial da América do Norte. Consulte as atr"&amp;"ibuições e a ordem de serviço para obter mais informações. Requisitos da vaga Experiência necessária: Sim Meses de experiência necessários: 1 Requisitos especiais: DEVE SER CAPAZ DE PLANTAR O SEGUINTE NÚMERO DE ÁRVORES EM UM DIA DE 8 HORAS: ATÉ O FINAL DA"&amp;" 1ª SEMANA - 800, ATÉ O FINAL DA 2ª SEMANA - 900, ATÉ O FINAL DA 3ª SEMANA - 1000 ÁRVORES EM TERRENO COM INCLINAÇÃO DE 30% A 50% Número de horas por semana: 40 Horário de trabalho (início/término): 7h00 - 15h30")</f>
        <v>O plantio comercial de árvores será realizado em terrenos íngremes, com inclinação de 30% a 50%, utilizando uma pá de plantio. O funcionário deverá limpar o solo, cavar um buraco, posicionar corretamente a muda, cobrir as raízes com terra e compactar o solo ao redor da muda recém-plantada. O funcionário deverá garantir que a muda plantada não fique com formato de "J". O funcionário deverá carregar um saco de plantio contendo as mudas, cujo peso total é de aproximadamente 23 a 27 kg, dependendo do tamanho das mudas, subindo e descendo o terreno íngreme em áreas montanhosas remotas. Desbaste pré-comercial: corte de árvores indesejáveis ​​e doentes. O corte/empilhamento de arbustos e o corte de galhos da madeira comercial serão realizados para promover o crescimento da madeira existente. Os galhos cortados e os arbustos serão empilhados de maneira prescrita para descarte futuro. O desbaste será realizado com o uso de uma motosserra. Espera-se que os funcionários façam a manutenção da motosserra, afiem a corrente em campo, mantenham os níveis corretos de fluidos e desmontem a motosserra adequadamente para limpeza. O peso combinado da motosserra, combustível e óleo é de aproximadamente 13,6 kg (30 libras) e ela deve ser transportada em terrenos difíceis, com inclinações que variam de 30% a 50%. O funcionário deve demonstrar que consegue trabalhar de forma segura e eficaz. O acesso a essas áreas remotas é feito por meio de estradas florestais abandonadas, sem nome ou número, que recebem manutenção. Classificação da função: 45-4011.00 - Trabalhadores Florestais e de Conservação. A classificação e a descrição da função/setor incluem informações gerais sobre o cargo, conforme o ONET/OES e o Sistema de Classificação Industrial da América do Norte. Consulte as atribuições e a ordem de serviço para obter mais informações. Requisitos da vaga Experiência necessária: Sim Meses de experiência necessários: 1 Requisitos especiais: DEVE SER CAPAZ DE PLANTAR O SEGUINTE NÚMERO DE ÁRVORES EM UM DIA DE 8 HORAS: ATÉ O FINAL DA 1ª SEMANA - 800, ATÉ O FINAL DA 2ª SEMANA - 900, ATÉ O FINAL DA 3ª SEMANA - 1000 ÁRVORES EM TERRENO COM INCLINAÇÃO DE 30% A 50% Número de horas por semana: 40 Horário de trabalho (início/término): 7h00 - 15h30</v>
      </c>
    </row>
    <row r="510" ht="20.25" customHeight="1">
      <c r="A510" s="3" t="s">
        <v>2586</v>
      </c>
      <c r="B510" s="3" t="s">
        <v>1676</v>
      </c>
      <c r="C510" s="3" t="s">
        <v>376</v>
      </c>
      <c r="D510" s="3" t="s">
        <v>28</v>
      </c>
      <c r="E510" s="4" t="s">
        <v>19</v>
      </c>
      <c r="F510" s="4" t="s">
        <v>20</v>
      </c>
      <c r="G510" s="4" t="s">
        <v>94</v>
      </c>
      <c r="H510" s="3" t="s">
        <v>1677</v>
      </c>
      <c r="I510" s="3" t="s">
        <v>1678</v>
      </c>
      <c r="J510" s="4">
        <v>24.29</v>
      </c>
      <c r="K510" s="4">
        <v>3.0</v>
      </c>
      <c r="L510" s="3" t="s">
        <v>2587</v>
      </c>
      <c r="M510" s="3" t="s">
        <v>2588</v>
      </c>
      <c r="N510" s="7" t="str">
        <f>IFERROR(__xludf.DUMMYFUNCTION("GOOGLETRANSLATE(L510, ""en"", ""pt"")"),"Operador de evaporador")</f>
        <v>Operador de evaporador</v>
      </c>
      <c r="O510" s="7" t="str">
        <f>IFERROR(__xludf.DUMMYFUNCTION("IF(M510="""","""",GOOGLETRANSLATE(M510,""en"",""pt""))"),"Operadores de Evaporador – Três (3) vagas temporárias em tempo integral disponíveis de 01/10/2026 a 31/01/2027 em New Iberia, Louisiana, na Cajun Sugar Company, LLC. O objetivo é operar a estação de evaporação de forma eficiente e manter o teor de açúcar "&amp;"(Brix) desejado no xarope. O profissional será responsável por manter o pH do caldo dentro dos valores ideais no evaporador durante a produção de açúcar bruto. Salário: US$ 24,29/hora; US$ 36,44/hora para horas extras (pagas quinzenalmente por cheque). É "&amp;"necessário trabalhar em turnos rotativos de 8 horas, incluindo 11h às 19h, 19h às 3h e 3h às 11h. A carga horária é de 56 horas semanais durante a temporada de colheita e 40 horas semanais após a temporada de colheita. Horas extras são pagas após 48 horas"&amp;" durante a colheita e após 40 horas após a colheita. Disponibilidade para trabalhar 7 dias por semana é imprescindível. As horas extras serão variáveis ​​e não são garantidas. O empregador fará todos os descontos exigidos por lei no contracheque do trabal"&amp;"hador. O trabalhador terá 30 minutos de intervalo para almoço remunerado durante o expediente. É exigida experiência mínima de 3 meses na função oferecida. Não há exigência de escolaridade mínima. Não será oferecido treinamento no local de trabalho. Aloja"&amp;"mento opcional no local de trabalho será oferecido gratuitamente a cada funcionário temporário contratado para a vaga. A Cajun oferecerá aos trabalhadores americanos pelo menos os mesmos benefícios, salários e condições de trabalho oferecidos aos trabalha"&amp;"dores com visto H-2B. A Cajun fornecerá ao trabalhador, sem custo ou depósito, todas as ferramentas, suprimentos e equipamentos necessários para o desempenho das funções atribuídas. O empregador garante oferecer emprego equivalente a pelo menos três quart"&amp;"os (3/4) dos dias de trabalho de cada período de 12 semanas do período total de emprego; e, caso a garantia não seja cumprida, o empregador pagará ao trabalhador o valor que ele teria recebido se o empregador tivesse oferecido o número de dias garantido. "&amp;"O período de 12 semanas terá início no primeiro dia útil após a chegada do trabalhador ou na data contratual de necessidade anunciada, o que ocorrer por último. O trabalhador será reembolsado pelas despesas de transporte e subsistência do local de origem,"&amp;" seja nos EUA ou no exterior, até o local de trabalho, por meio de cheque emitido pelo empregador, após a conclusão de 50% do período de trabalho coberto pela ordem de serviço ou antes, se for o caso. Isso inclui um mínimo de US$ 16,78 por dia durante a v"&amp;"iagem, até um máximo de US$ 68,00 por dia, mediante comprovação das despesas reais. Além disso, o empregador fornecerá ou pagará o transporte e a subsistência do trabalhador na saída do país de origem, caso este conclua o período da ordem de serviço ou se"&amp;"ja dispensado antecipadamente pelo empregador, por qualquer motivo, antes do término do período. O empregador reembolsará o trabalhador H-2B na primeira semana de trabalho pelo custo total de todos os vistos, processamento de vistos, travessia de fronteir"&amp;"a e outras taxas relacionadas, incluindo as exigidas pelo governo. A Cajun fornecerá ou reembolsará os custos de transporte de ida e volta, bem como as despesas diárias de subsistência, para os trabalhadores americanos correspondentes que não puderem reto"&amp;"rnar à sua residência no mesmo dia de trabalho. Quando aplicável, o transporte diário de ida e volta ao local de trabalho será fornecido pelo empregador. Salários mais altos podem estar disponíveis para trabalhadores com vasta experiência. Envie seu currí"&amp;"culo ou entre em contato com o Sr. Dirk Boudreaux na Cajun Sugar Company, LLC, 2711 Northside Road, New Iberia, LA 70563. Tel.: 337-365-3401. Fax: 337-365-7820. E-mail: info@cajunsugar.net. Site: https://www.cajunsugar.net/. Os candidatos podem obter mais"&amp;" informações sobre a vaga ou enviar currículos/candidaturas diretamente para o Iberia American Job Center, 609 Ember Drive, New Iberia, LA 70560; Tel.: 337-347-9537. Envie um e-mail para info@acadianaworkforce.org, mencionando o número da vaga #1641089. C"&amp;"lassificação da vaga: 51-9012.00 - Operadores, preparadores e auxiliares de máquinas de separação, filtragem, clarificação, precipitação e destilação. A classificação e a descrição da vaga/setor incluem informações gerais sobre o cargo, de acordo com o ON"&amp;"ET/OES e o Sistema de Classificação Industrial da América do Norte (NAICS). Consulte as atribuições e a descrição da vaga para obter mais informações. Requisitos da vaga: Experiência necessária: Sim. Meses de experiência necessários: 3. Número de horas po"&amp;"r semana: 56. Horário de trabalho (início/término): 11h às 19h.")</f>
        <v>Operadores de Evaporador – Três (3) vagas temporárias em tempo integral disponíveis de 01/10/2026 a 31/01/2027 em New Iberia, Louisiana, na Cajun Sugar Company, LLC. O objetivo é operar a estação de evaporação de forma eficiente e manter o teor de açúcar (Brix) desejado no xarope. O profissional será responsável por manter o pH do caldo dentro dos valores ideais no evaporador durante a produção de açúcar bruto. Salário: US$ 24,29/hora; US$ 36,44/hora para horas extras (pagas quinzenalmente por cheque). É necessário trabalhar em turnos rotativos de 8 horas, incluindo 11h às 19h, 19h às 3h e 3h às 11h. A carga horária é de 56 horas semanais durante a temporada de colheita e 40 horas semanais após a temporada de colheita. Horas extras são pagas após 48 horas durante a colheita e após 40 horas após a colheita. Disponibilidade para trabalhar 7 dias por semana é imprescindível. As horas extras serão variáveis ​​e não são garantidas. O empregador fará todos os descontos exigidos por lei no contracheque do trabalhador. O trabalhador terá 30 minutos de intervalo para almoço remunerado durante o expediente. É exigida experiência mínima de 3 meses na função oferecida. Não há exigência de escolaridade mínima. Não será oferecido treinamento no local de trabalho. Alojamento opcional no local de trabalho será oferecido gratuitamente a cada funcionário temporário contratado para a vaga. A Cajun oferecerá aos trabalhadores americanos pelo menos os mesmos benefícios, salários e condições de trabalho oferecidos aos trabalhadores com visto H-2B. A Cajun fornecerá ao trabalhador, sem custo ou depósito, todas as ferramentas, suprimentos e equipamentos necessários para o desempenho das funções atribuídas. O empregador garante oferecer emprego equivalente a pelo menos três quartos (3/4) dos dias de trabalho de cada período de 12 semanas do período total de emprego; e, caso a garantia não seja cumprida, o empregador pagará ao trabalhador o valor que ele teria recebido se o empregador tivesse oferecido o número de dias garantido. O período de 12 semanas terá início no primeiro dia útil após a chegada do trabalhador ou na data contratual de necessidade anunciada, o que ocorrer por último. O trabalhador será reembolsado pelas despesas de transporte e subsistência do local de origem, seja nos EUA ou no exterior, até o local de trabalho, por meio de cheque emitido pelo empregador, após a conclusão de 50% do período de trabalho coberto pela ordem de serviço ou antes, se for o caso. Isso inclui um mínimo de US$ 16,78 por dia durante a viagem, até um máximo de US$ 68,00 por dia, mediante comprovação das despesas reais. Além disso, o empregador fornecerá ou pagará o transporte e a subsistência do trabalhador na saída do país de origem, caso este conclua o período da ordem de serviço ou seja dispensado antecipadamente pelo empregador, por qualquer motivo, antes do término do período. O empregador reembolsará o trabalhador H-2B na primeira semana de trabalho pelo custo total de todos os vistos, processamento de vistos, travessia de fronteira e outras taxas relacionadas, incluindo as exigidas pelo governo. A Cajun fornecerá ou reembolsará os custos de transporte de ida e volta, bem como as despesas diárias de subsistência, para os trabalhadores americanos correspondentes que não puderem retornar à sua residência no mesmo dia de trabalho. Quando aplicável, o transporte diário de ida e volta ao local de trabalho será fornecido pelo empregador. Salários mais altos podem estar disponíveis para trabalhadores com vasta experiência. Envie seu currículo ou entre em contato com o Sr. Dirk Boudreaux na Cajun Sugar Company, LLC, 2711 Northside Road, New Iberia, LA 70563. Tel.: 337-365-3401. Fax: 337-365-7820. E-mail: info@cajunsugar.net. Site: https://www.cajunsugar.net/. Os candidatos podem obter mais informações sobre a vaga ou enviar currículos/candidaturas diretamente para o Iberia American Job Center, 609 Ember Drive, New Iberia, LA 70560; Tel.: 337-347-9537. Envie um e-mail para info@acadianaworkforce.org, mencionando o número da vaga #1641089. Classificação da vaga: 51-9012.00 - Operadores, preparadores e auxiliares de máquinas de separação, filtragem, clarificação, precipitação e destilação. A classificação e a descrição da vaga/setor incluem informações gerais sobre o cargo, de acordo com o ONET/OES e o Sistema de Classificação Industrial da América do Norte (NAICS). Consulte as atribuições e a descrição da vaga para obter mais informações. Requisitos da vaga: Experiência necessária: Sim. Meses de experiência necessários: 3. Número de horas por semana: 56. Horário de trabalho (início/término): 11h às 19h.</v>
      </c>
    </row>
    <row r="511" ht="20.25" customHeight="1">
      <c r="A511" s="8" t="s">
        <v>2589</v>
      </c>
      <c r="B511" s="8" t="s">
        <v>2590</v>
      </c>
      <c r="C511" s="8" t="s">
        <v>391</v>
      </c>
      <c r="D511" s="8" t="s">
        <v>71</v>
      </c>
      <c r="E511" s="9" t="s">
        <v>44</v>
      </c>
      <c r="F511" s="9" t="s">
        <v>20</v>
      </c>
      <c r="G511" s="9" t="s">
        <v>524</v>
      </c>
      <c r="H511" s="8" t="s">
        <v>2591</v>
      </c>
      <c r="I511" s="8" t="s">
        <v>2592</v>
      </c>
      <c r="J511" s="9">
        <v>17.49</v>
      </c>
      <c r="K511" s="9">
        <v>3.0</v>
      </c>
      <c r="L511" s="8" t="s">
        <v>387</v>
      </c>
      <c r="M511" s="8" t="s">
        <v>2593</v>
      </c>
      <c r="N511" s="7" t="str">
        <f>IFERROR(__xludf.DUMMYFUNCTION("GOOGLETRANSLATE(L511, ""en"", ""pt"")"),"Ordem de serviço não disponível")</f>
        <v>Ordem de serviço não disponível</v>
      </c>
      <c r="O511" s="7" t="str">
        <f>IFERROR(__xludf.DUMMYFUNCTION("IF(M511="""","""",GOOGLETRANSLATE(M511,""en"",""pt""))"),"Preparar, temperar e cozinhar sopas, carnes, legumes, sobremesas e outros alimentos. Medir e misturar ingredientes de acordo com a receita; utilizar diversos utensílios e equipamentos de cozinha, como liquidificadores, batedeiras, moedores, fatiadores, fo"&amp;"rnos elétricos, fritadeiras elétricas e facas. Limpar e organizar refrigeradores e congeladores; guardar os itens de estoque encomendados. Limpar as áreas de preparação de alimentos, como bancadas e áreas de serviço; manter a área de trabalho limpa, inclu"&amp;"indo lavar a louça e limpar o chão da cozinha; retirar o lixo. Seguir todas as normas e procedimentos de higiene. O empregador oferece um mínimo de 40 horas semanais. O estabelecimento funciona 7 dias por semana. Os dias de trabalho variam de domingo a sá"&amp;"bado, incluindo feriados. O horário normal de trabalho é das 10h às 18h30. O turno inclui 30 minutos de intervalo não remunerado. Os dias, horários e turnos de trabalho podem variar de acordo com as necessidades da empresa. O empregador pode aumentar o sa"&amp;"lário com base na experiência, nas condições de mercado e/ou oferecer remuneração adicional por desempenho e tempo de serviço. É possível o pagamento de bônus de feriado. Uma refeição é fornecida gratuitamente durante o turno. Horas extras podem estar dis"&amp;"poníveis. Será pago adicional por horas extras quando exigido por lei federal, estadual ou local, incluindo hora e meia após 40 horas semanais. Geralmente, quando houver horas extras disponíveis, o pagamento será de US$ 26,24 por hora. O empregador fornec"&amp;"erá uma bicicleta para o transporte diário de ida e volta ao local de trabalho. Classificação da vaga: 35-2014.00 - Cozinheiros, Restaurante. A classificação e descrição da vaga/setor incluem informações gerais sobre o cargo, de acordo com o ONET/OES e o "&amp;"Sistema de Classificação Industrial da América do Norte (NAICS). Consulte as Funções e a Ordem de Serviço para obter mais informações. Requisitos da vaga: Experiência exigida: Sim. Meses de experiência exigidos: 3. Requisitos especiais: Ter no mínimo 18 a"&amp;"nos de idade. Ser capaz de levantar até 23 kg, agachar, levantar, mover, empurrar, puxar e carregar caixas. Ser capaz de trabalhar e ficar em pé em um ambiente de cozinha quente. Possuir ou estar disposto a obter um certificado válido de Manipulador de Al"&amp;"imentos após a contratação (fornecido pelo empregador). É obrigatória a verificação de antecedentes criminais e o exame toxicológico pré-admissional, cujo custo é pago pelo empregador e aplicado igualmente a todos os funcionários, sejam eles americanos ou"&amp;" estrangeiros/H-2B. Os funcionários estão sujeitos a exames toxicológicos pós-admissional, após acidentes/acidentes, cujo custo também é pago pelo empregador e aplicado igualmente a todos os funcionários, sejam eles americanos ou estrangeiros/H-2B. É nece"&amp;"ssário ter disponibilidade para trabalhar em um horário flexível de 5 dias por semana, incluindo fins de semana e feriados. O candidato deve preencher uma ficha de inscrição. O uniforme obrigatório é fornecido gratuitamente ao funcionário. Número de horas"&amp;" por semana: 40. Horário de trabalho (início/término): 10h00 - 18h30.")</f>
        <v>Preparar, temperar e cozinhar sopas, carnes, legumes, sobremesas e outros alimentos. Medir e misturar ingredientes de acordo com a receita; utilizar diversos utensílios e equipamentos de cozinha, como liquidificadores, batedeiras, moedores, fatiadores, fornos elétricos, fritadeiras elétricas e facas. Limpar e organizar refrigeradores e congeladores; guardar os itens de estoque encomendados. Limpar as áreas de preparação de alimentos, como bancadas e áreas de serviço; manter a área de trabalho limpa, incluindo lavar a louça e limpar o chão da cozinha; retirar o lixo. Seguir todas as normas e procedimentos de higiene. O empregador oferece um mínimo de 40 horas semanais. O estabelecimento funciona 7 dias por semana. Os dias de trabalho variam de domingo a sábado, incluindo feriados. O horário normal de trabalho é das 10h às 18h30. O turno inclui 30 minutos de intervalo não remunerado. Os dias, horários e turnos de trabalho podem variar de acordo com as necessidades da empresa. O empregador pode aumentar o salário com base na experiência, nas condições de mercado e/ou oferecer remuneração adicional por desempenho e tempo de serviço. É possível o pagamento de bônus de feriado. Uma refeição é fornecida gratuitamente durante o turno. Horas extras podem estar disponíveis. Será pago adicional por horas extras quando exigido por lei federal, estadual ou local, incluindo hora e meia após 40 horas semanais. Geralmente, quando houver horas extras disponíveis, o pagamento será de US$ 26,24 por hora. O empregador fornecerá uma bicicleta para o transporte diário de ida e volta ao local de trabalho. Classificação da vaga: 35-2014.00 - Cozinheiros, Restaurante. A classificação e descrição da vaga/setor incluem informações gerais sobre o cargo, de acordo com o ONET/OES e o Sistema de Classificação Industrial da América do Norte (NAICS). Consulte as Funções e a Ordem de Serviço para obter mais informações. Requisitos da vaga: Experiência exigida: Sim. Meses de experiência exigidos: 3. Requisitos especiais: Ter no mínimo 18 anos de idade. Ser capaz de levantar até 23 kg, agachar, levantar, mover, empurrar, puxar e carregar caixas. Ser capaz de trabalhar e ficar em pé em um ambiente de cozinha quente. Possuir ou estar disposto a obter um certificado válido de Manipulador de Alimentos após a contratação (fornecido pelo empregador). É obrigatória a verificação de antecedentes criminais e o exame toxicológico pré-admissional, cujo custo é pago pelo empregador e aplicado igualmente a todos os funcionários, sejam eles americanos ou estrangeiros/H-2B. Os funcionários estão sujeitos a exames toxicológicos pós-admissional, após acidentes/acidentes, cujo custo também é pago pelo empregador e aplicado igualmente a todos os funcionários, sejam eles americanos ou estrangeiros/H-2B. É necessário ter disponibilidade para trabalhar em um horário flexível de 5 dias por semana, incluindo fins de semana e feriados. O candidato deve preencher uma ficha de inscrição. O uniforme obrigatório é fornecido gratuitamente ao funcionário. Número de horas por semana: 40. Horário de trabalho (início/término): 10h00 - 18h30.</v>
      </c>
    </row>
    <row r="512" ht="20.25" customHeight="1">
      <c r="A512" s="3" t="s">
        <v>2594</v>
      </c>
      <c r="B512" s="3" t="s">
        <v>2595</v>
      </c>
      <c r="C512" s="3" t="s">
        <v>1946</v>
      </c>
      <c r="D512" s="3" t="s">
        <v>1051</v>
      </c>
      <c r="E512" s="4" t="s">
        <v>19</v>
      </c>
      <c r="F512" s="4" t="s">
        <v>20</v>
      </c>
      <c r="G512" s="4" t="s">
        <v>377</v>
      </c>
      <c r="H512" s="3" t="s">
        <v>2596</v>
      </c>
      <c r="I512" s="3" t="s">
        <v>2597</v>
      </c>
      <c r="J512" s="4">
        <v>19.83</v>
      </c>
      <c r="K512" s="4">
        <v>36.0</v>
      </c>
      <c r="L512" s="3" t="s">
        <v>1054</v>
      </c>
      <c r="M512" s="3" t="s">
        <v>2598</v>
      </c>
      <c r="N512" s="7" t="str">
        <f>IFERROR(__xludf.DUMMYFUNCTION("GOOGLETRANSLATE(L512, ""en"", ""pt"")"),"Trabalhador Florestal e de Conservação")</f>
        <v>Trabalhador Florestal e de Conservação</v>
      </c>
      <c r="O512" s="7" t="str">
        <f>IFERROR(__xludf.DUMMYFUNCTION("IF(M512="""","""",GOOGLETRANSLATE(M512,""en"",""pt""))"),"Plantio de mudas em áreas designadas como zonas de exploração madeireira comercial. Conforme necessário, o solo é preparado antes do plantio, removendo-se a vegetação rasteira com o auxílio de uma pá de plantio. Em seguida, cava-se um buraco e planta-se a"&amp;" muda. Após o plantio, o trabalhador utiliza a pá para preencher o buraco com terra e garante que a muda esteja firme, compactando o solo ao redor da árvore recém-plantada. São tomadas medidas para proteger as mudas, como pulverização e/ou colocação de re"&amp;"des/tubos ao redor da base. PULVERIZAÇÃO: (Somente herbicidas registrados para aplicações florestais são utilizados. O funcionário não mistura ou carrega nenhum herbicida. A mistura e o carregamento são feitos por um aplicador de herbicidas licenciado, qu"&amp;"e supervisiona todos os aspectos da aplicação. Cada trabalhador que pulveriza herbicida deve ser licenciado pelo Departamento de Agricultura de Washington. Os trabalhadores recebem treinamento tanto em segurança quanto em procedimentos técnicos. O trabalh"&amp;"ador será treinado, após a contratação, para obter a licença de pulverização.) O trabalhador deve ser capaz de carregar as árvores em um saco de plantio que, quando cheio de árvores, pode pesar até 23 kg. O desbaste será realizado com o uso de uma motosse"&amp;"rra. O trabalhador deve ser capaz de carregar a motosserra, combustível e óleo, pesando cerca de 14 kg, em terrenos íngremes, cortando árvores indesejáveis ​​e mortas, limpando a vegetação rasteira e empilhando o material manualmente para descarte futuro."&amp;" A pulverização será realizada conforme necessário. Todo o trabalho será realizado em terreno íngreme, com inclinação de 30% a 50%. É imprescindível trabalhar de forma segura. Classificação da função: 45-4011.00 - Trabalhadores Florestais e de Conservação"&amp;". A classificação e descrição da função/setor incluem informações gerais sobre o cargo, de acordo com o ONET/OES e o Sistema de Classificação Industrial da América do Norte (NAICS). Consulte as Funções e a Ordem de Serviço para obter mais informações. Req"&amp;"uisitos da vaga: Experiência necessária: Sim. Meses de experiência necessários: 3. Requisitos especiais: É OBRIGATÓRIO PLANTAR O SEGUINTE NÚMERO DE MUDAS DE ÁRVORES EM UM DIA DE 8 HORAS: ATÉ O FINAL DA 1ª SEMANA, 800 ÁRVORES. ATÉ O FINAL DA 2ª SEMANA, 900"&amp;" ÁRVORES. ATÉ O FINAL DA 3ª SEMANA, 1.000 ÁRVORES. Número de horas por semana: 40. Horário de trabalho (início/término): 7h. - 15h30")</f>
        <v>Plantio de mudas em áreas designadas como zonas de exploração madeireira comercial. Conforme necessário, o solo é preparado antes do plantio, removendo-se a vegetação rasteira com o auxílio de uma pá de plantio. Em seguida, cava-se um buraco e planta-se a muda. Após o plantio, o trabalhador utiliza a pá para preencher o buraco com terra e garante que a muda esteja firme, compactando o solo ao redor da árvore recém-plantada. São tomadas medidas para proteger as mudas, como pulverização e/ou colocação de redes/tubos ao redor da base. PULVERIZAÇÃO: (Somente herbicidas registrados para aplicações florestais são utilizados. O funcionário não mistura ou carrega nenhum herbicida. A mistura e o carregamento são feitos por um aplicador de herbicidas licenciado, que supervisiona todos os aspectos da aplicação. Cada trabalhador que pulveriza herbicida deve ser licenciado pelo Departamento de Agricultura de Washington. Os trabalhadores recebem treinamento tanto em segurança quanto em procedimentos técnicos. O trabalhador será treinado, após a contratação, para obter a licença de pulverização.) O trabalhador deve ser capaz de carregar as árvores em um saco de plantio que, quando cheio de árvores, pode pesar até 23 kg. O desbaste será realizado com o uso de uma motosserra. O trabalhador deve ser capaz de carregar a motosserra, combustível e óleo, pesando cerca de 14 kg, em terrenos íngremes, cortando árvores indesejáveis ​​e mortas, limpando a vegetação rasteira e empilhando o material manualmente para descarte futuro. A pulverização será realizada conforme necessário. Todo o trabalho será realizado em terreno íngreme, com inclinação de 30% a 50%. É imprescindível trabalhar de forma segura. Classificação da função: 45-4011.00 - Trabalhadores Florestais e de Conservação. A classificação e descrição da função/setor incluem informações gerais sobre o cargo, de acordo com o ONET/OES e o Sistema de Classificação Industrial da América do Norte (NAICS). Consulte as Funções e a Ordem de Serviço para obter mais informações. Requisitos da vaga: Experiência necessária: Sim. Meses de experiência necessários: 3. Requisitos especiais: É OBRIGATÓRIO PLANTAR O SEGUINTE NÚMERO DE MUDAS DE ÁRVORES EM UM DIA DE 8 HORAS: ATÉ O FINAL DA 1ª SEMANA, 800 ÁRVORES. ATÉ O FINAL DA 2ª SEMANA, 900 ÁRVORES. ATÉ O FINAL DA 3ª SEMANA, 1.000 ÁRVORES. Número de horas por semana: 40. Horário de trabalho (início/término): 7h. - 15h30</v>
      </c>
    </row>
    <row r="513" ht="20.25" customHeight="1">
      <c r="A513" s="8" t="s">
        <v>2599</v>
      </c>
      <c r="B513" s="8" t="s">
        <v>2600</v>
      </c>
      <c r="C513" s="8" t="s">
        <v>2324</v>
      </c>
      <c r="D513" s="8" t="s">
        <v>79</v>
      </c>
      <c r="E513" s="9" t="s">
        <v>44</v>
      </c>
      <c r="F513" s="9" t="s">
        <v>20</v>
      </c>
      <c r="G513" s="9" t="s">
        <v>2601</v>
      </c>
      <c r="H513" s="8" t="s">
        <v>2602</v>
      </c>
      <c r="I513" s="8" t="s">
        <v>2603</v>
      </c>
      <c r="J513" s="9">
        <v>20.36</v>
      </c>
      <c r="K513" s="9">
        <v>10.0</v>
      </c>
      <c r="L513" s="8" t="s">
        <v>83</v>
      </c>
      <c r="M513" s="8" t="s">
        <v>2604</v>
      </c>
      <c r="N513" s="7" t="str">
        <f>IFERROR(__xludf.DUMMYFUNCTION("GOOGLETRANSLATE(L513, ""en"", ""pt"")"),"Trabalhador Florestal")</f>
        <v>Trabalhador Florestal</v>
      </c>
      <c r="O513" s="7" t="str">
        <f>IFERROR(__xludf.DUMMYFUNCTION("IF(M513="""","""",GOOGLETRANSLATE(M513,""en"",""pt""))"),"As funções podem incluir: Trabalho manual ao ar livre para reflorestamento: manutenção e desenvolvimento de bosques, plantio manual de mudas de árvores sem raízes em J ou U; manutenção da vegetação circundante: poda, limpeza, pulverização, empilhamento, r"&amp;"emoção de detritos, remoção de íctio e outras atividades relacionadas a Trabalhador Florestal, conforme SOC/OES 45-4011 (onetonline.org). Horário padrão/esperado: Segunda a sexta, das 6h às 14h30. Oferecemos mais de 40 horas semanais, sem incluir almoço e"&amp;"/ou intervalos. Possibilidade de trabalho em fins de semana e feriados. Os horários de início e término, a carga horária e/ou horas extras podem variar, pois dependem de fatores como necessidades do projeto/cronograma/serviço, condições climáticas e tempo"&amp;" de deslocamento entre os locais de trabalho (se aplicável). Horas extras são possíveis, mas não obrigatórias ou garantidas. A critério exclusivo do empregador: possíveis aumentos e/ou bônus com base em fatores individuais, como desempenho ou habilidades "&amp;"(não garantidos). Moradia compartilhada opcional disponível sem custo para o trabalhador. Classificação da Função: 45-4011.00 - Trabalhadores Florestais e de Conservação. A classificação e descrição da função/setor inclui informações gerais sobre o cargo,"&amp;" de acordo com o ONET/OES e o Sistema de Classificação Industrial da América do Norte. Consulte as Funções e a Ordem de Serviço para obter mais informações. Requisitos da Função Experiência Necessária: Sim Meses de Experiência Necessários: 3 Requisitos Es"&amp;"peciais: É necessário ter 18 anos devido a viagens. É necessário apresentar comprovante de autorização legal para trabalhar nos Estados Unidos. Ambiente de trabalho livre de drogas, álcool e tabaco. É necessário caminhar bastante (até 24 km/dia), além de "&amp;"se abaixar e se curvar carregando uma mochila (até 23 kg) em terrenos acidentados (fora de trilhas). Todos os candidatos devem ser capazes, dispostos e qualificados para executar o trabalho descrito e devem estar disponíveis durante todo o período especif"&amp;"icado e trabalhar em todas as áreas de atuação pretendidas. O trabalho é realizado ao ar livre, exposto às intempéries; o candidato deve ser capaz de realizar trabalho fisicamente extenuante por longos períodos, ocasionalmente em calor ou frio extremos. C"&amp;"ondições climáticas variáveis ​​se aplicam. O horário de trabalho pode variar (+/-), podendo haver períodos de inatividade e/ou horas extras. Número de horas por semana: 40. Horário de trabalho (início/término): 6h00 - 14h30.")</f>
        <v>As funções podem incluir: Trabalho manual ao ar livre para reflorestamento: manutenção e desenvolvimento de bosques, plantio manual de mudas de árvores sem raízes em J ou U; manutenção da vegetação circundante: poda, limpeza, pulverização, empilhamento, remoção de detritos, remoção de íctio e outras atividades relacionadas a Trabalhador Florestal, conforme SOC/OES 45-4011 (onetonline.org). Horário padrão/esperado: Segunda a sexta, das 6h às 14h30. Oferecemos mais de 40 horas semanais, sem incluir almoço e/ou intervalos. Possibilidade de trabalho em fins de semana e feriados. Os horários de início e término, a carga horária e/ou horas extras podem variar, pois dependem de fatores como necessidades do projeto/cronograma/serviço, condições climáticas e tempo de deslocamento entre os locais de trabalho (se aplicável). Horas extras são possíveis, mas não obrigatórias ou garantidas. A critério exclusivo do empregador: possíveis aumentos e/ou bônus com base em fatores individuais, como desempenho ou habilidades (não garantidos). Moradia compartilhada opcional disponível sem custo para o trabalhador. Classificação da Função: 45-4011.00 - Trabalhadores Florestais e de Conservação. A classificação e descrição da função/setor inclui informações gerais sobre o cargo, de acordo com o ONET/OES e o Sistema de Classificação Industrial da América do Norte. Consulte as Funções e a Ordem de Serviço para obter mais informações. Requisitos da Função Experiência Necessária: Sim Meses de Experiência Necessários: 3 Requisitos Especiais: É necessário ter 18 anos devido a viagens. É necessário apresentar comprovante de autorização legal para trabalhar nos Estados Unidos. Ambiente de trabalho livre de drogas, álcool e tabaco. É necessário caminhar bastante (até 24 km/dia), além de se abaixar e se curvar carregando uma mochila (até 23 kg) em terrenos acidentados (fora de trilhas). Todos os candidatos devem ser capazes, dispostos e qualificados para executar o trabalho descrito e devem estar disponíveis durante todo o período especificado e trabalhar em todas as áreas de atuação pretendidas. O trabalho é realizado ao ar livre, exposto às intempéries; o candidato deve ser capaz de realizar trabalho fisicamente extenuante por longos períodos, ocasionalmente em calor ou frio extremos. Condições climáticas variáveis ​​se aplicam. O horário de trabalho pode variar (+/-), podendo haver períodos de inatividade e/ou horas extras. Número de horas por semana: 40. Horário de trabalho (início/término): 6h00 - 14h30.</v>
      </c>
    </row>
    <row r="514" ht="20.25" customHeight="1">
      <c r="A514" s="3" t="s">
        <v>2605</v>
      </c>
      <c r="B514" s="3" t="s">
        <v>2606</v>
      </c>
      <c r="C514" s="3" t="s">
        <v>1946</v>
      </c>
      <c r="D514" s="3" t="s">
        <v>1051</v>
      </c>
      <c r="E514" s="4" t="s">
        <v>19</v>
      </c>
      <c r="F514" s="4" t="s">
        <v>20</v>
      </c>
      <c r="G514" s="4" t="s">
        <v>377</v>
      </c>
      <c r="H514" s="3" t="s">
        <v>2607</v>
      </c>
      <c r="I514" s="3" t="s">
        <v>2608</v>
      </c>
      <c r="J514" s="4">
        <v>19.83</v>
      </c>
      <c r="K514" s="4">
        <v>12.0</v>
      </c>
      <c r="L514" s="3" t="s">
        <v>1054</v>
      </c>
      <c r="M514" s="3" t="s">
        <v>2609</v>
      </c>
      <c r="N514" s="7" t="str">
        <f>IFERROR(__xludf.DUMMYFUNCTION("GOOGLETRANSLATE(L514, ""en"", ""pt"")"),"Trabalhador Florestal e de Conservação")</f>
        <v>Trabalhador Florestal e de Conservação</v>
      </c>
      <c r="O514" s="7" t="str">
        <f>IFERROR(__xludf.DUMMYFUNCTION("IF(M514="""","""",GOOGLETRANSLATE(M514,""en"",""pt""))"),"O plantio comercial de árvores será realizado em terrenos íngremes, com inclinação de 40% a 50%, utilizando uma pá de plantio. O funcionário deverá limpar um espaço no solo, cavar um buraco, posicionar corretamente a muda no buraco, sem que esta forme uma"&amp;" raiz em ""J"", cobrir as raízes com terra e compactar a terra ao redor da muda recém-plantada. O funcionário deverá carregar um saco de plantio contendo as mudas, cujo peso total é de aproximadamente 23 a 27 kg, dependendo do tamanho das mudas, para cima"&amp;" e para baixo do terreno íngreme em áreas montanhosas remotas. DESBASTE PRÉ-COMERCIAL: CORTE DE ÁRVORES INDESEJÁVEIS E DOENTES. PULVERIZAÇÃO DA VEGETAÇÃO PARA ELIMINAR O ARBUSTO INDESEJADO. PULVERIZAÇÃO: (Somente herbicidas registrados para aplicações flo"&amp;"restais são utilizados. O funcionário não mistura ou carrega nenhum herbicida. A mistura e o carregamento são feitos por um aplicador de herbicidas licenciado, que supervisiona todos os aspectos da aplicação. Cada trabalhador que pulveriza herbicida deve "&amp;"ser licenciado pelo Departamento de Agricultura de Washington. Os trabalhadores recebem treinamento em segurança e procedimentos técnicos. O trabalhador será treinado, após a contratação, para obter a licença de pulverização.) O CORTE/EMPILHAMENTO DE ARBU"&amp;"STO E O CORTE DE GALHOS DA MADEIRA COMERCIAL SERÃO REALIZADOS PARA PROMOVER O CRESCIMENTO DA MADEIRA EM PÉ. OS GALHOS DE ÁRVORES CORTADOS E O ARBUSTO SERÃO EMPILHADOS DE MANEIRA PRESCRITA PARA DESCARTE FUTURO. O desbaste será realizado com o uso de motoss"&amp;"erra. Os funcionários deverão realizar a manutenção da motosserra, afiar a corrente no local, manter os níveis corretos de fluidos e desmontá-la adequadamente para limpeza. O peso combinado da motosserra, combustível e óleo é de aproximadamente 13,6 kg (3"&amp;"0 libras) e deverá ser transportado em terrenos difíceis, com inclinações que variam de 40% a 50%. O funcionário deverá demonstrar capacidade de trabalhar de forma segura e eficaz. O acesso a essas áreas remotas é feito por meio de estradas florestais aba"&amp;"ndonadas, sem nome ou numeração, que recebem manutenção. Classificação da Função: 45-4011.00 - Trabalhadores Florestais e de Conservação. A classificação e descrição da função/setor inclui informações gerais sobre o cargo, conforme o ONET/OES e o Sistema "&amp;"de Classificação Industrial da América do Norte. Consulte as Funções e a Ordem de Serviço para obter mais informações. Requisitos da Função Experiência Necessária: Não. Requisitos Especiais: DEVE SER CAPAZ DE PLANTAR O SEGUINTE NÚMERO DE ÁRVORES EM UM DIA"&amp;" DE 8 HORAS: ATÉ O FINAL DA 1ª SEMANA: 800; 2ª SEMANA: 900; 3ª SEMANA: 1000. Número de Horas por Semana: 40. Horário de Trabalho (Início/Término): 7h00 - 15h30.")</f>
        <v>O plantio comercial de árvores será realizado em terrenos íngremes, com inclinação de 40% a 50%, utilizando uma pá de plantio. O funcionário deverá limpar um espaço no solo, cavar um buraco, posicionar corretamente a muda no buraco, sem que esta forme uma raiz em "J", cobrir as raízes com terra e compactar a terra ao redor da muda recém-plantada. O funcionário deverá carregar um saco de plantio contendo as mudas, cujo peso total é de aproximadamente 23 a 27 kg, dependendo do tamanho das mudas, para cima e para baixo do terreno íngreme em áreas montanhosas remotas. DESBASTE PRÉ-COMERCIAL: CORTE DE ÁRVORES INDESEJÁVEIS E DOENTES. PULVERIZAÇÃO DA VEGETAÇÃO PARA ELIMINAR O ARBUSTO INDESEJADO. PULVERIZAÇÃO: (Somente herbicidas registrados para aplicações florestais são utilizados. O funcionário não mistura ou carrega nenhum herbicida. A mistura e o carregamento são feitos por um aplicador de herbicidas licenciado, que supervisiona todos os aspectos da aplicação. Cada trabalhador que pulveriza herbicida deve ser licenciado pelo Departamento de Agricultura de Washington. Os trabalhadores recebem treinamento em segurança e procedimentos técnicos. O trabalhador será treinado, após a contratação, para obter a licença de pulverização.) O CORTE/EMPILHAMENTO DE ARBUSTO E O CORTE DE GALHOS DA MADEIRA COMERCIAL SERÃO REALIZADOS PARA PROMOVER O CRESCIMENTO DA MADEIRA EM PÉ. OS GALHOS DE ÁRVORES CORTADOS E O ARBUSTO SERÃO EMPILHADOS DE MANEIRA PRESCRITA PARA DESCARTE FUTURO. O desbaste será realizado com o uso de motosserra. Os funcionários deverão realizar a manutenção da motosserra, afiar a corrente no local, manter os níveis corretos de fluidos e desmontá-la adequadamente para limpeza. O peso combinado da motosserra, combustível e óleo é de aproximadamente 13,6 kg (30 libras) e deverá ser transportado em terrenos difíceis, com inclinações que variam de 40% a 50%. O funcionário deverá demonstrar capacidade de trabalhar de forma segura e eficaz. O acesso a essas áreas remotas é feito por meio de estradas florestais abandonadas, sem nome ou numeração, que recebem manutenção. Classificação da Função: 45-4011.00 - Trabalhadores Florestais e de Conservação. A classificação e descrição da função/setor inclui informações gerais sobre o cargo, conforme o ONET/OES e o Sistema de Classificação Industrial da América do Norte. Consulte as Funções e a Ordem de Serviço para obter mais informações. Requisitos da Função Experiência Necessária: Não. Requisitos Especiais: DEVE SER CAPAZ DE PLANTAR O SEGUINTE NÚMERO DE ÁRVORES EM UM DIA DE 8 HORAS: ATÉ O FINAL DA 1ª SEMANA: 800; 2ª SEMANA: 900; 3ª SEMANA: 1000. Número de Horas por Semana: 40. Horário de Trabalho (Início/Término): 7h00 - 15h30.</v>
      </c>
    </row>
    <row r="515" ht="20.25" customHeight="1">
      <c r="A515" s="8" t="s">
        <v>2610</v>
      </c>
      <c r="B515" s="8" t="s">
        <v>2611</v>
      </c>
      <c r="C515" s="8" t="s">
        <v>736</v>
      </c>
      <c r="D515" s="8" t="s">
        <v>36</v>
      </c>
      <c r="E515" s="9" t="s">
        <v>19</v>
      </c>
      <c r="F515" s="9" t="s">
        <v>20</v>
      </c>
      <c r="G515" s="9" t="s">
        <v>29</v>
      </c>
      <c r="H515" s="8" t="s">
        <v>2612</v>
      </c>
      <c r="I515" s="8" t="s">
        <v>2613</v>
      </c>
      <c r="J515" s="9">
        <v>16.65</v>
      </c>
      <c r="K515" s="9">
        <v>9.0</v>
      </c>
      <c r="L515" s="8" t="s">
        <v>59</v>
      </c>
      <c r="M515" s="8" t="s">
        <v>2614</v>
      </c>
      <c r="N515" s="7" t="str">
        <f>IFERROR(__xludf.DUMMYFUNCTION("GOOGLETRANSLATE(L515, ""en"", ""pt"")"),"Trabalhador de paisagismo")</f>
        <v>Trabalhador de paisagismo</v>
      </c>
      <c r="O515" s="7" t="str">
        <f>IFERROR(__xludf.DUMMYFUNCTION("IF(M515="""","""",GOOGLETRANSLATE(M515,""en"",""pt""))"),"As funções podem incluir: Limpar os locais de trabalho, removendo galhos, gravetos, ervas daninhas, lixo e detritos. Rastelar, juntar e enfardar palha de pinheiro. Carregar/descarregar caminhões com fardos e/ou ferramentas e equipamentos necessários. Poda"&amp;"r, aparar e cortar as bordas das árvores para moldar e melhorar o crescimento, utilizando tesouras de poda. Aplicar palha de pinheiro e/ou cobertura morta para fins paisagísticos. Rastelar, cobrir e compostar folhas. Utilizar ferramentas manuais, como pás"&amp;", rastelos, serras ou aparadores. Operar veículos ou equipamentos motorizados, como enfardadeiras móveis, cortadores de grama, tratores, veículos de dois eixos ou sopradores. Varrer, limpar e manter as ferramentas e o espaço de trabalho para garantir a se"&amp;"gurança e outras atividades relacionadas ao trabalho de paisagista, conforme SOC/OES 37-3011 (onetonline.org). Horário padrão/esperado: Segunda a sábado, das 7h às 17h30 ou das 7h às 12h30. Oferecemos 55 horas semanais ou mais, sem incluir almoço e/ou int"&amp;"ervalos. Possibilidade de trabalho aos fins de semana. Os horários de início e término, a carga horária e/ou horas extras podem variar, dependendo de fatores como projetos/cronogramas/necessidades de serviço, condições climáticas e tempo de deslocamento e"&amp;"ntre os locais de trabalho (se aplicável). Horas extras são possíveis, mas não obrigatórias nem garantidas. A critério exclusivo do empregador: aumentos salariais e/ou bônus podem ser concedidos com base em fatores individuais, como desempenho ou habilida"&amp;"des (não garantidos). Classificação da vaga: 37-3011.00 - Trabalhadores de Paisagismo e Manutenção de Áreas Verdes. A classificação e descrição da vaga/setor incluem informações gerais sobre o cargo, conforme o ONET/OES e o Sistema de Classificação Indust"&amp;"rial da América do Norte (NAICS). Consulte as Funções e a Ordem de Serviço para obter mais informações. Requisitos da vaga: Experiência exigida: Sim. Meses de experiência exigidos: 1. Requisitos especiais: É necessário ter 18 anos devido ao uso de equipam"&amp;"entos. É necessário apresentar comprovante de autorização legal para trabalhar nos Estados Unidos. Ambiente de trabalho livre de drogas, álcool e tabaco. Executar atividades físicas, como levantar, equilibrar-se, caminhar, abaixar-se, manusear, posicionar"&amp;", mover e manipular materiais; usar força estática para exercer força muscular máxima para levantar, empurrar, puxar e carregar objetos de até 23 kg. Todos os candidatos devem ser capazes, dispostos e qualificados para executar o trabalho descrito e devem"&amp;" estar disponíveis durante todo o período especificado e trabalhar em todas as áreas da empresa. O trabalho é realizado ao ar livre, exposto às intempéries; o candidato deve ser capaz de realizar trabalho fisicamente extenuante por longos períodos, ocasio"&amp;"nalmente em calor ou frio extremos. As condições climáticas são variáveis; a carga horária pode sofrer alterações (+/-), com possibilidade de períodos de inatividade e/ou horas extras. Número de horas por semana: 55. Horário de trabalho (início/término): "&amp;"7h às 17h30.")</f>
        <v>As funções podem incluir: Limpar os locais de trabalho, removendo galhos, gravetos, ervas daninhas, lixo e detritos. Rastelar, juntar e enfardar palha de pinheiro. Carregar/descarregar caminhões com fardos e/ou ferramentas e equipamentos necessários. Podar, aparar e cortar as bordas das árvores para moldar e melhorar o crescimento, utilizando tesouras de poda. Aplicar palha de pinheiro e/ou cobertura morta para fins paisagísticos. Rastelar, cobrir e compostar folhas. Utilizar ferramentas manuais, como pás, rastelos, serras ou aparadores. Operar veículos ou equipamentos motorizados, como enfardadeiras móveis, cortadores de grama, tratores, veículos de dois eixos ou sopradores. Varrer, limpar e manter as ferramentas e o espaço de trabalho para garantir a segurança e outras atividades relacionadas ao trabalho de paisagista, conforme SOC/OES 37-3011 (onetonline.org). Horário padrão/esperado: Segunda a sábado, das 7h às 17h30 ou das 7h às 12h30. Oferecemos 55 horas semanais ou mais, sem incluir almoço e/ou intervalos. Possibilidade de trabalho aos fins de semana. Os horários de início e término, a carga horária e/ou horas extras podem variar, dependendo de fatores como projetos/cronogramas/necessidades de serviço, condições climáticas e tempo de deslocamento entre os locais de trabalho (se aplicável). Horas extras são possíveis, mas não obrigatórias nem garantidas. A critério exclusivo do empregador: aumentos salariais e/ou bônus podem ser concedidos com base em fatores individuais, como desempenho ou habilidades (não garantidos). Classificação da vaga: 37-3011.00 - Trabalhadores de Paisagismo e Manutenção de Áreas Verdes. A classificação e descrição da vaga/setor incluem informações gerais sobre o cargo, conforme o ONET/OES e o Sistema de Classificação Industrial da América do Norte (NAICS). Consulte as Funções e a Ordem de Serviço para obter mais informações. Requisitos da vaga: Experiência exigida: Sim. Meses de experiência exigidos: 1. Requisitos especiais: É necessário ter 18 anos devido ao uso de equipamentos. É necessário apresentar comprovante de autorização legal para trabalhar nos Estados Unidos. Ambiente de trabalho livre de drogas, álcool e tabaco. Executar atividades físicas, como levantar, equilibrar-se, caminhar, abaixar-se, manusear, posicionar, mover e manipular materiais; usar força estática para exercer força muscular máxima para levantar, empurrar, puxar e carregar objetos de até 23 kg. Todos os candidatos devem ser capazes, dispostos e qualificados para executar o trabalho descrito e devem estar disponíveis durante todo o período especificado e trabalhar em todas as áreas da empresa. O trabalho é realizado ao ar livre, exposto às intempéries; o candidato deve ser capaz de realizar trabalho fisicamente extenuante por longos períodos, ocasionalmente em calor ou frio extremos. As condições climáticas são variáveis; a carga horária pode sofrer alterações (+/-), com possibilidade de períodos de inatividade e/ou horas extras. Número de horas por semana: 55. Horário de trabalho (início/término): 7h às 17h30.</v>
      </c>
    </row>
    <row r="516" ht="20.25" customHeight="1">
      <c r="A516" s="3" t="s">
        <v>2615</v>
      </c>
      <c r="B516" s="3" t="s">
        <v>2616</v>
      </c>
      <c r="C516" s="3" t="s">
        <v>583</v>
      </c>
      <c r="D516" s="3" t="s">
        <v>2222</v>
      </c>
      <c r="E516" s="4" t="s">
        <v>19</v>
      </c>
      <c r="F516" s="4" t="s">
        <v>20</v>
      </c>
      <c r="G516" s="4" t="s">
        <v>377</v>
      </c>
      <c r="H516" s="3" t="s">
        <v>2617</v>
      </c>
      <c r="I516" s="3" t="s">
        <v>2618</v>
      </c>
      <c r="J516" s="4">
        <v>23.65</v>
      </c>
      <c r="K516" s="4">
        <v>18.0</v>
      </c>
      <c r="L516" s="3" t="s">
        <v>1865</v>
      </c>
      <c r="M516" s="3" t="s">
        <v>2619</v>
      </c>
      <c r="N516" s="7" t="str">
        <f>IFERROR(__xludf.DUMMYFUNCTION("GOOGLETRANSLATE(L516, ""en"", ""pt"")"),"Atendente")</f>
        <v>Atendente</v>
      </c>
      <c r="O516" s="7" t="str">
        <f>IFERROR(__xludf.DUMMYFUNCTION("IF(M516="""","""",GOOGLETRANSLATE(M516,""en"",""pt""))"),"Limpar e arrumar quartos de hóspedes, áreas comuns do resort e outras seções designadas; remover e trocar lençóis, aspirar, tirar o pó, limpar banheiros, reabastecer os carrinhos de limpeza com materiais de limpeza e trabalhar com produtos químicos de lim"&amp;"peza; polir acessórios de prata e peças de metal, como luminárias e acessórios; separar, contar e etiquetar lençóis limpos e guardá-los em armários de roupa de cama; remover detritos dos corredores; e executar outras tarefas de limpeza e higienização conf"&amp;"orme necessário. Classificação do Cargo: 37-2012.00 - Camareiras e Auxiliares de Limpeza. A classificação e descrição do cargo/setor inclui informações gerais sobre a posição, de acordo com o ONET/OES e o Sistema de Classificação Industrial da América do "&amp;"Norte. Consulte as Funções e a Ordem de Serviço para obter mais informações. Requisitos do Cargo: Experiência Necessária: Sim. Meses de Experiência Necessários: 6. Requisitos Especiais: 6 meses de experiência como camareira são necessários. Todos os candi"&amp;"datos devem passar por uma verificação de antecedentes pré-emprego antes de iniciar (de acordo com as políticas de contratação da empresa), incluindo vagas sazonais e anuais em tempo integral, independentemente de sua nacionalidade, raça, sexo ou status d"&amp;"e visto. Deve ser capaz de levantar, puxar ou empurrar entre 13 e 23 kg de equipamentos ou lixo. Deve ter disponibilidade para trabalhar em todos os turnos, incluindo fins de semana, noites, madrugadas e feriados. Todos os funcionários do hotel nesta funç"&amp;"ão são obrigados a se filiar ao Sindicato dos Trabalhadores da Construção Civil (ILWU Local 142). Número de horas por semana: 35. Horário de trabalho (início/término): 8h às 16h.")</f>
        <v>Limpar e arrumar quartos de hóspedes, áreas comuns do resort e outras seções designadas; remover e trocar lençóis, aspirar, tirar o pó, limpar banheiros, reabastecer os carrinhos de limpeza com materiais de limpeza e trabalhar com produtos químicos de limpeza; polir acessórios de prata e peças de metal, como luminárias e acessórios; separar, contar e etiquetar lençóis limpos e guardá-los em armários de roupa de cama; remover detritos dos corredores; e executar outras tarefas de limpeza e higienização conforme necessário. Classificação do Cargo: 37-2012.00 - Camareiras e Auxiliares de Limpeza. A classificação e descrição do cargo/setor inclui informações gerais sobre a posição, de acordo com o ONET/OES e o Sistema de Classificação Industrial da América do Norte. Consulte as Funções e a Ordem de Serviço para obter mais informações. Requisitos do Cargo: Experiência Necessária: Sim. Meses de Experiência Necessários: 6. Requisitos Especiais: 6 meses de experiência como camareira são necessários. Todos os candidatos devem passar por uma verificação de antecedentes pré-emprego antes de iniciar (de acordo com as políticas de contratação da empresa), incluindo vagas sazonais e anuais em tempo integral, independentemente de sua nacionalidade, raça, sexo ou status de visto. Deve ser capaz de levantar, puxar ou empurrar entre 13 e 23 kg de equipamentos ou lixo. Deve ter disponibilidade para trabalhar em todos os turnos, incluindo fins de semana, noites, madrugadas e feriados. Todos os funcionários do hotel nesta função são obrigados a se filiar ao Sindicato dos Trabalhadores da Construção Civil (ILWU Local 142). Número de horas por semana: 35. Horário de trabalho (início/término): 8h às 16h.</v>
      </c>
    </row>
    <row r="517" ht="20.25" customHeight="1">
      <c r="A517" s="8" t="s">
        <v>2620</v>
      </c>
      <c r="B517" s="8" t="s">
        <v>2616</v>
      </c>
      <c r="C517" s="8" t="s">
        <v>583</v>
      </c>
      <c r="D517" s="8" t="s">
        <v>2222</v>
      </c>
      <c r="E517" s="9" t="s">
        <v>19</v>
      </c>
      <c r="F517" s="9" t="s">
        <v>20</v>
      </c>
      <c r="G517" s="9" t="s">
        <v>377</v>
      </c>
      <c r="H517" s="8" t="s">
        <v>2617</v>
      </c>
      <c r="I517" s="8" t="s">
        <v>2618</v>
      </c>
      <c r="J517" s="9">
        <v>23.65</v>
      </c>
      <c r="K517" s="9">
        <v>12.0</v>
      </c>
      <c r="L517" s="8" t="s">
        <v>1636</v>
      </c>
      <c r="M517" s="8" t="s">
        <v>2621</v>
      </c>
      <c r="N517" s="7" t="str">
        <f>IFERROR(__xludf.DUMMYFUNCTION("GOOGLETRANSLATE(L517, ""en"", ""pt"")"),"Mordomo")</f>
        <v>Mordomo</v>
      </c>
      <c r="O517" s="7" t="str">
        <f>IFERROR(__xludf.DUMMYFUNCTION("IF(M517="""","""",GOOGLETRANSLATE(M517,""en"",""pt""))"),"Lavar pratos, utensílios de cozinha, equipamentos de preparação de alimentos e outros utensílios usando lava-louças ou manualmente; manter as áreas de trabalho da cozinha, equipamentos e utensílios limpos e organizados; guardar pratos, utensílios e equipa"&amp;"mentos de cozinha limpos nas áreas de armazenamento; separar e remover o lixo, colocando-o nas áreas de coleta designadas; estocar e transferir suprimentos para estações de serviço, armários, geladeiras, áreas de armazenamento e de trabalho; retirar o lix"&amp;"o; preparar e embalar conjuntos individuais de talheres; auxiliar na montagem e distribuição de alimentos; transportar alimentos e equipamentos dos espaços de armazenamento de banquetes para diversos locais da propriedade; limpar equipamentos de cozinha e"&amp;" outros equipamentos utilizados no departamento de limpeza; auxiliar na coleta de bandejas sujas; montar mesas de banquetes e auxiliar na preparação do espaço para reuniões, conforme designado; e auxiliar na limpeza do hotel, recolhendo lixo, varrendo e r"&amp;"ealizando outras tarefas de limpeza, conforme designado. Classificação do Cargo: 35-9011.00 - Atendentes de Refeitório e Cafeteria e Auxiliares de Bar. A classificação e descrição do cargo/setor inclui informações gerais sobre a posição, de acordo com o O"&amp;"NET/OES e o Sistema de Classificação Industrial da América do Norte. Consulte as Funções e a Ordem de Serviço para obter mais informações. Requisitos da vaga Experiência necessária: Não Requisitos especiais: Todos os candidatos devem passar por uma verifi"&amp;"cação de antecedentes pré-admissional antes de iniciar o trabalho (de acordo com as políticas de contratação da empresa), incluindo vagas sazonais e anuais em tempo integral, independentemente de nacionalidade, raça, sexo ou status de visto. É necessário "&amp;"ser capaz de levantar, puxar ou empurrar entre 13 e 23 kg de equipamentos ou lixo. Disponibilidade para trabalhar em todos os turnos, incluindo fins de semana, noites, madrugadas e feriados. Todos os funcionários do hotel nesta posição devem se filiar ao "&amp;"Sindicato dos Trabalhadores da Construção Civil (ILWU Local 142). Número de horas por semana: 35 Horário de trabalho (início/término): 8h às 16h")</f>
        <v>Lavar pratos, utensílios de cozinha, equipamentos de preparação de alimentos e outros utensílios usando lava-louças ou manualmente; manter as áreas de trabalho da cozinha, equipamentos e utensílios limpos e organizados; guardar pratos, utensílios e equipamentos de cozinha limpos nas áreas de armazenamento; separar e remover o lixo, colocando-o nas áreas de coleta designadas; estocar e transferir suprimentos para estações de serviço, armários, geladeiras, áreas de armazenamento e de trabalho; retirar o lixo; preparar e embalar conjuntos individuais de talheres; auxiliar na montagem e distribuição de alimentos; transportar alimentos e equipamentos dos espaços de armazenamento de banquetes para diversos locais da propriedade; limpar equipamentos de cozinha e outros equipamentos utilizados no departamento de limpeza; auxiliar na coleta de bandejas sujas; montar mesas de banquetes e auxiliar na preparação do espaço para reuniões, conforme designado; e auxiliar na limpeza do hotel, recolhendo lixo, varrendo e realizando outras tarefas de limpeza, conforme designado. Classificação do Cargo: 35-9011.00 - Atendentes de Refeitório e Cafeteria e Auxiliares de Bar. A classificação e descrição do cargo/setor inclui informações gerais sobre a posição, de acordo com o ONET/OES e o Sistema de Classificação Industrial da América do Norte. Consulte as Funções e a Ordem de Serviço para obter mais informações. Requisitos da vaga Experiência necessária: Não Requisitos especiais: Todos os candidatos devem passar por uma verificação de antecedentes pré-admissional antes de iniciar o trabalho (de acordo com as políticas de contratação da empresa), incluindo vagas sazonais e anuais em tempo integral, independentemente de nacionalidade, raça, sexo ou status de visto. É necessário ser capaz de levantar, puxar ou empurrar entre 13 e 23 kg de equipamentos ou lixo. Disponibilidade para trabalhar em todos os turnos, incluindo fins de semana, noites, madrugadas e feriados. Todos os funcionários do hotel nesta posição devem se filiar ao Sindicato dos Trabalhadores da Construção Civil (ILWU Local 142). Número de horas por semana: 35 Horário de trabalho (início/término): 8h às 16h</v>
      </c>
    </row>
    <row r="518" ht="20.25" customHeight="1">
      <c r="A518" s="3" t="s">
        <v>2622</v>
      </c>
      <c r="B518" s="3" t="s">
        <v>1719</v>
      </c>
      <c r="C518" s="3" t="s">
        <v>1000</v>
      </c>
      <c r="D518" s="3" t="s">
        <v>55</v>
      </c>
      <c r="E518" s="4" t="s">
        <v>19</v>
      </c>
      <c r="F518" s="4" t="s">
        <v>20</v>
      </c>
      <c r="G518" s="4" t="s">
        <v>118</v>
      </c>
      <c r="H518" s="3" t="s">
        <v>1001</v>
      </c>
      <c r="I518" s="3" t="s">
        <v>1002</v>
      </c>
      <c r="J518" s="4">
        <v>25.13</v>
      </c>
      <c r="K518" s="4">
        <v>6.0</v>
      </c>
      <c r="L518" s="3" t="s">
        <v>1953</v>
      </c>
      <c r="M518" s="3" t="s">
        <v>2623</v>
      </c>
      <c r="N518" s="7" t="str">
        <f>IFERROR(__xludf.DUMMYFUNCTION("GOOGLETRANSLATE(L518, ""en"", ""pt"")"),"Carpinteiros")</f>
        <v>Carpinteiros</v>
      </c>
      <c r="O518" s="7" t="str">
        <f>IFERROR(__xludf.DUMMYFUNCTION("IF(M518="""","""",GOOGLETRANSLATE(M518,""en"",""pt""))"),"Ler e seguir plantas e medidas para construir, erguer, instalar ou reparar estruturas; estruturas de edifícios, incluindo paredes, janelas e batentes de portas. Instalar revestimento metálico e janelas. Instruir trabalhadores menos qualificados sobre as t"&amp;"arefas do trabalho. Estará exposto a alturas, temperaturas extremas, atividades físicas extenuantes e movimentos repetitivos. É necessário o uso correto e preciso de trena. Classificação da função: 47-2031.00 - Carpinteiros. A classificação e descrição da"&amp;" função/setor inclui informações gerais sobre o cargo, de acordo com o ONET/OES e o Sistema de Classificação Industrial da América do Norte. Consulte as Funções e a Ordem de Serviço para obter mais informações. Requisitos da vaga: Experiência necessária: "&amp;"Sim. Meses de experiência necessários: 12. Requisitos especiais: Deve ser capaz de levantar e carregar 34 kg por 68 metros. Trabalho em alguns fins de semana. Deve ser capaz de lidar com temperaturas extremas. Deslocamento para locais de trabalho dentro d"&amp;"a área de emprego pretendida. Número de horas por semana: 40. Horário de trabalho (início/término): 7h. - 17h00")</f>
        <v>Ler e seguir plantas e medidas para construir, erguer, instalar ou reparar estruturas; estruturas de edifícios, incluindo paredes, janelas e batentes de portas. Instalar revestimento metálico e janelas. Instruir trabalhadores menos qualificados sobre as tarefas do trabalho. Estará exposto a alturas, temperaturas extremas, atividades físicas extenuantes e movimentos repetitivos. É necessário o uso correto e preciso de trena. Classificação da função: 47-2031.00 - Carpinteiros. A classificação e descrição da função/setor inclui informações gerais sobre o cargo, de acordo com o ONET/OES e o Sistema de Classificação Industrial da América do Norte. Consulte as Funções e a Ordem de Serviço para obter mais informações. Requisitos da vaga: Experiência necessária: Sim. Meses de experiência necessários: 12. Requisitos especiais: Deve ser capaz de levantar e carregar 34 kg por 68 metros. Trabalho em alguns fins de semana. Deve ser capaz de lidar com temperaturas extremas. Deslocamento para locais de trabalho dentro da área de emprego pretendida. Número de horas por semana: 40. Horário de trabalho (início/término): 7h. - 17h00</v>
      </c>
    </row>
    <row r="519" ht="20.25" customHeight="1">
      <c r="A519" s="8" t="s">
        <v>2624</v>
      </c>
      <c r="B519" s="8" t="s">
        <v>1719</v>
      </c>
      <c r="C519" s="8" t="s">
        <v>1000</v>
      </c>
      <c r="D519" s="8" t="s">
        <v>55</v>
      </c>
      <c r="E519" s="9" t="s">
        <v>19</v>
      </c>
      <c r="F519" s="9" t="s">
        <v>20</v>
      </c>
      <c r="G519" s="9" t="s">
        <v>118</v>
      </c>
      <c r="H519" s="8" t="s">
        <v>1001</v>
      </c>
      <c r="I519" s="8" t="s">
        <v>1002</v>
      </c>
      <c r="J519" s="9">
        <v>19.18</v>
      </c>
      <c r="K519" s="9">
        <v>18.0</v>
      </c>
      <c r="L519" s="8" t="s">
        <v>1720</v>
      </c>
      <c r="M519" s="8" t="s">
        <v>2625</v>
      </c>
      <c r="N519" s="7" t="str">
        <f>IFERROR(__xludf.DUMMYFUNCTION("GOOGLETRANSLATE(L519, ""en"", ""pt"")"),"Ajudantes de Carpinteiro")</f>
        <v>Ajudantes de Carpinteiro</v>
      </c>
      <c r="O519" s="7" t="str">
        <f>IFERROR(__xludf.DUMMYFUNCTION("IF(M519="""","""",GOOGLETRANSLATE(M519,""en"",""pt""))"),"Executar tarefas menores, incluindo carga e descarga de materiais de construção, disposição de madeira, revestimento, treliças e outros componentes para a estrutura. Auxiliar carpinteiros líderes em tarefas básicas de carpintaria, como segurar, cortar e p"&amp;"regar madeira de acordo com as instruções do carpinteiro líder. Montar componentes preparados no canteiro de obras. Classificação da vaga: 47-3012.00 - Ajudantes de Carpinteiro. A classificação e descrição da vaga/setor inclui informações gerais sobre o c"&amp;"argo, de acordo com o ONET/OES e o Sistema de Classificação Industrial da América do Norte (NAICS). Consulte as Funções e a Ordem de Serviço para obter mais informações. Requisitos da vaga: Experiência necessária: Não. Requisitos especiais: Deve ser capaz"&amp;" de levantar e carregar 34 kg por 68 metros. Deve ser capaz de lidar com temperaturas extremas. Trabalho em alguns fins de semana. Deslocamento para locais de trabalho dentro da área de atuação pretendida. Número de horas por semana: 40. Horário de trabal"&amp;"ho (início/término): 7h às 17h.")</f>
        <v>Executar tarefas menores, incluindo carga e descarga de materiais de construção, disposição de madeira, revestimento, treliças e outros componentes para a estrutura. Auxiliar carpinteiros líderes em tarefas básicas de carpintaria, como segurar, cortar e pregar madeira de acordo com as instruções do carpinteiro líder. Montar componentes preparados no canteiro de obras. Classificação da vaga: 47-3012.00 - Ajudantes de Carpinteiro. A classificação e descrição da vaga/setor inclui informações gerais sobre o cargo, de acordo com o ONET/OES e o Sistema de Classificação Industrial da América do Norte (NAICS). Consulte as Funções e a Ordem de Serviço para obter mais informações. Requisitos da vaga: Experiência necessária: Não. Requisitos especiais: Deve ser capaz de levantar e carregar 34 kg por 68 metros. Deve ser capaz de lidar com temperaturas extremas. Trabalho em alguns fins de semana. Deslocamento para locais de trabalho dentro da área de atuação pretendida. Número de horas por semana: 40. Horário de trabalho (início/término): 7h às 17h.</v>
      </c>
    </row>
    <row r="520" ht="20.25" customHeight="1">
      <c r="A520" s="3" t="s">
        <v>2626</v>
      </c>
      <c r="B520" s="3" t="s">
        <v>1719</v>
      </c>
      <c r="C520" s="3" t="s">
        <v>1000</v>
      </c>
      <c r="D520" s="3" t="s">
        <v>498</v>
      </c>
      <c r="E520" s="4" t="s">
        <v>19</v>
      </c>
      <c r="F520" s="4" t="s">
        <v>20</v>
      </c>
      <c r="G520" s="4" t="s">
        <v>118</v>
      </c>
      <c r="H520" s="3" t="s">
        <v>1001</v>
      </c>
      <c r="I520" s="3" t="s">
        <v>1002</v>
      </c>
      <c r="J520" s="4">
        <v>21.18</v>
      </c>
      <c r="K520" s="4">
        <v>17.0</v>
      </c>
      <c r="L520" s="3" t="s">
        <v>1720</v>
      </c>
      <c r="M520" s="3" t="s">
        <v>2627</v>
      </c>
      <c r="N520" s="7" t="str">
        <f>IFERROR(__xludf.DUMMYFUNCTION("GOOGLETRANSLATE(L520, ""en"", ""pt"")"),"Ajudantes de Carpinteiro")</f>
        <v>Ajudantes de Carpinteiro</v>
      </c>
      <c r="O520" s="7" t="str">
        <f>IFERROR(__xludf.DUMMYFUNCTION("IF(M520="""","""",GOOGLETRANSLATE(M520,""en"",""pt""))"),"Executar tarefas menores, incluindo carga e descarga de materiais de construção, disposição de madeira, revestimento, treliças e outros componentes para a estrutura. Auxiliar carpinteiros líderes em tarefas básicas de carpintaria, como segurar, cortar e p"&amp;"regar madeira para estruturas como paredes, formas de concreto e batentes de portas, de acordo com as instruções do carpinteiro líder. Montar componentes preparados no canteiro de obras. Classificação da vaga: 47-3012.00 - Ajudantes de Carpinteiro. A clas"&amp;"sificação e descrição da vaga/setor inclui informações gerais sobre o cargo, de acordo com o ONET/OES e o Sistema de Classificação Industrial da América do Norte (NAICS). Consulte as Funções e a Ordem de Serviço para obter mais informações. Requisitos da "&amp;"vaga: Experiência necessária: Não. Requisitos especiais: Deve ser capaz de levantar e carregar 34 kg por 68 metros. Trabalho em alguns fins de semana. Deve ser capaz de lidar com temperaturas extremas. Deslocamento para locais de trabalho dentro da área d"&amp;"e atuação pretendida. Número de horas por semana: 40. Horário de trabalho (início/término): 7h às 17h.")</f>
        <v>Executar tarefas menores, incluindo carga e descarga de materiais de construção, disposição de madeira, revestimento, treliças e outros componentes para a estrutura. Auxiliar carpinteiros líderes em tarefas básicas de carpintaria, como segurar, cortar e pregar madeira para estruturas como paredes, formas de concreto e batentes de portas, de acordo com as instruções do carpinteiro líder. Montar componentes preparados no canteiro de obras. Classificação da vaga: 47-3012.00 - Ajudantes de Carpinteiro. A classificação e descrição da vaga/setor inclui informações gerais sobre o cargo, de acordo com o ONET/OES e o Sistema de Classificação Industrial da América do Norte (NAICS). Consulte as Funções e a Ordem de Serviço para obter mais informações. Requisitos da vaga: Experiência necessária: Não. Requisitos especiais: Deve ser capaz de levantar e carregar 34 kg por 68 metros. Trabalho em alguns fins de semana. Deve ser capaz de lidar com temperaturas extremas. Deslocamento para locais de trabalho dentro da área de atuação pretendida. Número de horas por semana: 40. Horário de trabalho (início/término): 7h às 17h.</v>
      </c>
    </row>
    <row r="521" ht="20.25" customHeight="1">
      <c r="A521" s="8" t="s">
        <v>2628</v>
      </c>
      <c r="B521" s="8" t="s">
        <v>1719</v>
      </c>
      <c r="C521" s="8" t="s">
        <v>1000</v>
      </c>
      <c r="D521" s="8" t="s">
        <v>833</v>
      </c>
      <c r="E521" s="9" t="s">
        <v>19</v>
      </c>
      <c r="F521" s="9" t="s">
        <v>20</v>
      </c>
      <c r="G521" s="9" t="s">
        <v>2175</v>
      </c>
      <c r="H521" s="8" t="s">
        <v>1001</v>
      </c>
      <c r="I521" s="8" t="s">
        <v>1002</v>
      </c>
      <c r="J521" s="9">
        <v>23.96</v>
      </c>
      <c r="K521" s="9">
        <v>10.0</v>
      </c>
      <c r="L521" s="8" t="s">
        <v>1953</v>
      </c>
      <c r="M521" s="8" t="s">
        <v>2629</v>
      </c>
      <c r="N521" s="7" t="str">
        <f>IFERROR(__xludf.DUMMYFUNCTION("GOOGLETRANSLATE(L521, ""en"", ""pt"")"),"Carpinteiros")</f>
        <v>Carpinteiros</v>
      </c>
      <c r="O521" s="7" t="str">
        <f>IFERROR(__xludf.DUMMYFUNCTION("IF(M521="""","""",GOOGLETRANSLATE(M521,""en"",""pt""))"),"Ler e seguir plantas e medidas para construir, erguer, instalar ou reparar estruturas; estruturas de edifícios, incluindo paredes, janelas e batentes de portas. Instalar revestimento metálico e janelas. Instruir trabalhadores menos qualificados sobre as t"&amp;"arefas do trabalho. Estará exposto a alturas, temperaturas extremas, atividade física extenuante e movimentos repetitivos. É necessário o uso correto e preciso de trena. Classificação da função: 47-2031.00 - Carpinteiros. A classificação e descrição da fu"&amp;"nção/setor inclui informações gerais sobre o cargo, de acordo com o ONET/OES e o Sistema de Classificação Industrial da América do Norte. Consulte as Funções e a Ordem de Serviço para obter mais informações. Requisitos da função: Experiência necessária: S"&amp;"im. Meses de experiência necessários: 12. Requisitos especiais: Deve ser capaz de levantar e carregar 34 kg por 68 metros. Trabalho em alguns fins de semana. Deve ser capaz de lidar com temperaturas extremas. Deslocamento para locais de trabalho dentro da"&amp;" área de emprego pretendida. Número de horas por semana: 40. Horário de trabalho (início/término): 7h. - 17h00")</f>
        <v>Ler e seguir plantas e medidas para construir, erguer, instalar ou reparar estruturas; estruturas de edifícios, incluindo paredes, janelas e batentes de portas. Instalar revestimento metálico e janelas. Instruir trabalhadores menos qualificados sobre as tarefas do trabalho. Estará exposto a alturas, temperaturas extremas, atividade física extenuante e movimentos repetitivos. É necessário o uso correto e preciso de trena. Classificação da função: 47-2031.00 - Carpinteiros. A classificação e descrição da função/setor inclui informações gerais sobre o cargo, de acordo com o ONET/OES e o Sistema de Classificação Industrial da América do Norte. Consulte as Funções e a Ordem de Serviço para obter mais informações. Requisitos da função: Experiência necessária: Sim. Meses de experiência necessários: 12. Requisitos especiais: Deve ser capaz de levantar e carregar 34 kg por 68 metros. Trabalho em alguns fins de semana. Deve ser capaz de lidar com temperaturas extremas. Deslocamento para locais de trabalho dentro da área de emprego pretendida. Número de horas por semana: 40. Horário de trabalho (início/término): 7h. - 17h00</v>
      </c>
    </row>
    <row r="522" ht="20.25" customHeight="1">
      <c r="A522" s="3" t="s">
        <v>2630</v>
      </c>
      <c r="B522" s="3" t="s">
        <v>1719</v>
      </c>
      <c r="C522" s="3" t="s">
        <v>1000</v>
      </c>
      <c r="D522" s="3" t="s">
        <v>833</v>
      </c>
      <c r="E522" s="4" t="s">
        <v>19</v>
      </c>
      <c r="F522" s="4" t="s">
        <v>20</v>
      </c>
      <c r="G522" s="4" t="s">
        <v>524</v>
      </c>
      <c r="H522" s="3" t="s">
        <v>1001</v>
      </c>
      <c r="I522" s="3" t="s">
        <v>1002</v>
      </c>
      <c r="J522" s="4">
        <v>21.32</v>
      </c>
      <c r="K522" s="4">
        <v>24.0</v>
      </c>
      <c r="L522" s="3" t="s">
        <v>1953</v>
      </c>
      <c r="M522" s="3" t="s">
        <v>2631</v>
      </c>
      <c r="N522" s="7" t="str">
        <f>IFERROR(__xludf.DUMMYFUNCTION("GOOGLETRANSLATE(L522, ""en"", ""pt"")"),"Carpinteiros")</f>
        <v>Carpinteiros</v>
      </c>
      <c r="O522" s="7" t="str">
        <f>IFERROR(__xludf.DUMMYFUNCTION("IF(M522="""","""",GOOGLETRANSLATE(M522,""en"",""pt""))"),"Ler e seguir plantas e medidas para construir, erguer, instalar ou reparar estruturas; estruturas de edifícios, incluindo paredes, formas de concreto, janelas e batentes de portas. Instalar revestimento metálico e janelas. Instruir trabalhadores menos qua"&amp;"lificados sobre as tarefas do trabalho. Estará exposto a alturas, temperaturas extremas, atividades físicas extenuantes e movimentos repetitivos. É necessário o uso correto e preciso de trena. Classificação da função: 47-2031.00 - Carpinteiros. A classifi"&amp;"cação e descrição da função/setor inclui informações gerais sobre o cargo, de acordo com o ONET/OES e o Sistema de Classificação Industrial da América do Norte. Consulte as Funções e a Ordem de Serviço para obter mais informações. Requisitos da vaga: Expe"&amp;"riência necessária: Sim. Meses de experiência necessários: 12. Requisitos especiais: Deve ser capaz de levantar e carregar 34 kg por 68 metros. Trabalho em alguns fins de semana. Deve ser capaz de lidar com temperaturas extremas. Deslocamento para locais "&amp;"de trabalho dentro da área de emprego pretendida. Número de horas por semana: 40. Horário de trabalho (início/término): 7h. - 17h00")</f>
        <v>Ler e seguir plantas e medidas para construir, erguer, instalar ou reparar estruturas; estruturas de edifícios, incluindo paredes, formas de concreto, janelas e batentes de portas. Instalar revestimento metálico e janelas. Instruir trabalhadores menos qualificados sobre as tarefas do trabalho. Estará exposto a alturas, temperaturas extremas, atividades físicas extenuantes e movimentos repetitivos. É necessário o uso correto e preciso de trena. Classificação da função: 47-2031.00 - Carpinteiros. A classificação e descrição da função/setor inclui informações gerais sobre o cargo, de acordo com o ONET/OES e o Sistema de Classificação Industrial da América do Norte. Consulte as Funções e a Ordem de Serviço para obter mais informações. Requisitos da vaga: Experiência necessária: Sim. Meses de experiência necessários: 12. Requisitos especiais: Deve ser capaz de levantar e carregar 34 kg por 68 metros. Trabalho em alguns fins de semana. Deve ser capaz de lidar com temperaturas extremas. Deslocamento para locais de trabalho dentro da área de emprego pretendida. Número de horas por semana: 40. Horário de trabalho (início/término): 7h. - 17h00</v>
      </c>
    </row>
    <row r="523" ht="20.25" customHeight="1">
      <c r="A523" s="8" t="s">
        <v>2632</v>
      </c>
      <c r="B523" s="8" t="s">
        <v>1719</v>
      </c>
      <c r="C523" s="8" t="s">
        <v>1000</v>
      </c>
      <c r="D523" s="8" t="s">
        <v>833</v>
      </c>
      <c r="E523" s="9" t="s">
        <v>44</v>
      </c>
      <c r="F523" s="9" t="s">
        <v>20</v>
      </c>
      <c r="G523" s="9" t="s">
        <v>524</v>
      </c>
      <c r="H523" s="8" t="s">
        <v>1001</v>
      </c>
      <c r="I523" s="8" t="s">
        <v>1002</v>
      </c>
      <c r="J523" s="9">
        <v>14.8</v>
      </c>
      <c r="K523" s="9">
        <v>38.0</v>
      </c>
      <c r="L523" s="8" t="s">
        <v>1720</v>
      </c>
      <c r="M523" s="8" t="s">
        <v>2627</v>
      </c>
      <c r="N523" s="7" t="str">
        <f>IFERROR(__xludf.DUMMYFUNCTION("GOOGLETRANSLATE(L523, ""en"", ""pt"")"),"Ajudantes de Carpinteiro")</f>
        <v>Ajudantes de Carpinteiro</v>
      </c>
      <c r="O523" s="7" t="str">
        <f>IFERROR(__xludf.DUMMYFUNCTION("IF(M523="""","""",GOOGLETRANSLATE(M523,""en"",""pt""))"),"Executar tarefas menores, incluindo carga e descarga de materiais de construção, disposição de madeira, revestimento, treliças e outros componentes para a estrutura. Auxiliar carpinteiros líderes em tarefas básicas de carpintaria, como segurar, cortar e p"&amp;"regar madeira para estruturas como paredes, formas de concreto e batentes de portas, de acordo com as instruções do carpinteiro líder. Montar componentes preparados no canteiro de obras. Classificação da vaga: 47-3012.00 - Ajudantes de Carpinteiro. A clas"&amp;"sificação e descrição da vaga/setor inclui informações gerais sobre o cargo, de acordo com o ONET/OES e o Sistema de Classificação Industrial da América do Norte (NAICS). Consulte as Funções e a Ordem de Serviço para obter mais informações. Requisitos da "&amp;"vaga: Experiência necessária: Não. Requisitos especiais: Deve ser capaz de levantar e carregar 34 kg por 68 metros. Trabalho em alguns fins de semana. Deve ser capaz de lidar com temperaturas extremas. Deslocamento para locais de trabalho dentro da área d"&amp;"e atuação pretendida. Número de horas por semana: 40. Horário de trabalho (início/término): 7h às 17h.")</f>
        <v>Executar tarefas menores, incluindo carga e descarga de materiais de construção, disposição de madeira, revestimento, treliças e outros componentes para a estrutura. Auxiliar carpinteiros líderes em tarefas básicas de carpintaria, como segurar, cortar e pregar madeira para estruturas como paredes, formas de concreto e batentes de portas, de acordo com as instruções do carpinteiro líder. Montar componentes preparados no canteiro de obras. Classificação da vaga: 47-3012.00 - Ajudantes de Carpinteiro. A classificação e descrição da vaga/setor inclui informações gerais sobre o cargo, de acordo com o ONET/OES e o Sistema de Classificação Industrial da América do Norte (NAICS). Consulte as Funções e a Ordem de Serviço para obter mais informações. Requisitos da vaga: Experiência necessária: Não. Requisitos especiais: Deve ser capaz de levantar e carregar 34 kg por 68 metros. Trabalho em alguns fins de semana. Deve ser capaz de lidar com temperaturas extremas. Deslocamento para locais de trabalho dentro da área de atuação pretendida. Número de horas por semana: 40. Horário de trabalho (início/término): 7h às 17h.</v>
      </c>
    </row>
    <row r="524" ht="20.25" customHeight="1">
      <c r="A524" s="3" t="s">
        <v>2633</v>
      </c>
      <c r="B524" s="3" t="s">
        <v>2634</v>
      </c>
      <c r="C524" s="3" t="s">
        <v>1000</v>
      </c>
      <c r="D524" s="3" t="s">
        <v>278</v>
      </c>
      <c r="E524" s="4" t="s">
        <v>44</v>
      </c>
      <c r="F524" s="4" t="s">
        <v>20</v>
      </c>
      <c r="G524" s="4" t="s">
        <v>307</v>
      </c>
      <c r="H524" s="3" t="s">
        <v>2635</v>
      </c>
      <c r="I524" s="3" t="s">
        <v>2636</v>
      </c>
      <c r="J524" s="4">
        <v>21.86</v>
      </c>
      <c r="K524" s="4">
        <v>8.0</v>
      </c>
      <c r="L524" s="3" t="s">
        <v>302</v>
      </c>
      <c r="M524" s="3" t="s">
        <v>2637</v>
      </c>
      <c r="N524" s="7" t="str">
        <f>IFERROR(__xludf.DUMMYFUNCTION("GOOGLETRANSLATE(L524, ""en"", ""pt"")"),"Operários da construção civil")</f>
        <v>Operários da construção civil</v>
      </c>
      <c r="O524" s="7" t="str">
        <f>IFERROR(__xludf.DUMMYFUNCTION("IF(M524="""","""",GOOGLETRANSLATE(M524,""en"",""pt""))"),"Executar trabalho braçal em canteiro de obras de concreto. Preparar o local para a concretagem, carregando e descarregando materiais, utilizando linhas de referência, cortando madeira com serra circular, utilizando marreta para cravar estacas no solo, cav"&amp;"ando e nivelando a terra com pás e compactadores de solo. Auxiliar na concretagem utilizando carrinhos de mão, rastelos e pás. Aplicar concreto. Limpar os resíduos. Classificação da Função: 47-2061.00 - Auxiliares de Construção. A classificação e descriçã"&amp;"o da função/setor incluem informações gerais sobre o cargo, de acordo com o ONET/OES e o Sistema de Classificação Industrial da América do Norte (NAICS). Consulte as Funções e a Ordem de Serviço para obter mais informações. Requisitos da Função: Experiênc"&amp;"ia Necessária: Sim. Meses de Experiência Necessários: 3. Requisitos Especiais: Capacidade de levantar e carregar 34 kg por 45 metros. Capacidade de lidar com temperaturas extremas. Trabalho em alguns fins de semana. 3 meses de experiência em construção de"&amp;" concreto são necessários. Número de horas por semana: 40 Horário de trabalho (início/término): 6h30 - 16h30")</f>
        <v>Executar trabalho braçal em canteiro de obras de concreto. Preparar o local para a concretagem, carregando e descarregando materiais, utilizando linhas de referência, cortando madeira com serra circular, utilizando marreta para cravar estacas no solo, cavando e nivelando a terra com pás e compactadores de solo. Auxiliar na concretagem utilizando carrinhos de mão, rastelos e pás. Aplicar concreto. Limpar os resíduos. Classificação da Função: 47-2061.00 - Auxiliares de Construção. A classificação e descrição da função/setor incluem informações gerais sobre o cargo, de acordo com o ONET/OES e o Sistema de Classificação Industrial da América do Norte (NAICS). Consulte as Funções e a Ordem de Serviço para obter mais informações. Requisitos da Função: Experiência Necessária: Sim. Meses de Experiência Necessários: 3. Requisitos Especiais: Capacidade de levantar e carregar 34 kg por 45 metros. Capacidade de lidar com temperaturas extremas. Trabalho em alguns fins de semana. 3 meses de experiência em construção de concreto são necessários. Número de horas por semana: 40 Horário de trabalho (início/término): 6h30 - 16h30</v>
      </c>
    </row>
    <row r="525" ht="20.25" customHeight="1">
      <c r="A525" s="8" t="s">
        <v>2638</v>
      </c>
      <c r="B525" s="8" t="s">
        <v>999</v>
      </c>
      <c r="C525" s="8" t="s">
        <v>1000</v>
      </c>
      <c r="D525" s="8" t="s">
        <v>833</v>
      </c>
      <c r="E525" s="9" t="s">
        <v>44</v>
      </c>
      <c r="F525" s="9" t="s">
        <v>20</v>
      </c>
      <c r="G525" s="9" t="s">
        <v>146</v>
      </c>
      <c r="H525" s="8" t="s">
        <v>1001</v>
      </c>
      <c r="I525" s="8" t="s">
        <v>1002</v>
      </c>
      <c r="J525" s="9">
        <v>30.11</v>
      </c>
      <c r="K525" s="9">
        <v>14.0</v>
      </c>
      <c r="L525" s="8" t="s">
        <v>1464</v>
      </c>
      <c r="M525" s="8" t="s">
        <v>2639</v>
      </c>
      <c r="N525" s="7" t="str">
        <f>IFERROR(__xludf.DUMMYFUNCTION("GOOGLETRANSLATE(L525, ""en"", ""pt"")"),"Trabalhadores de vergalhão")</f>
        <v>Trabalhadores de vergalhão</v>
      </c>
      <c r="O525" s="7" t="str">
        <f>IFERROR(__xludf.DUMMYFUNCTION("IF(M525="""","""",GOOGLETRANSLATE(M525,""en"",""pt""))"),"Posicionar e fixar barras de aço ou malha em fôrmas de concreto para reforçá-lo. Operar carretel de arame, alicate Klein e ferramentas manuais para fixar e dobrar vergalhões. Classificação da função: 47-2171.00 - Trabalhadores de Ferro de Reforço e Vergal"&amp;"hões. A classificação e descrição da função/setor inclui informações gerais sobre o cargo, de acordo com o ONET/OES e o Sistema de Classificação Industrial da América do Norte (NAICS). Consulte as Funções e a Ordem de Serviço para obter mais informações. "&amp;"Requisitos da vaga: Experiência necessária: Sim. Meses de experiência necessários: 6. Requisitos especiais: Trabalho em alguns fins de semana. Capacidade de lidar com temperaturas extremas. Capacidade de levantar e carregar 34 kg por 68 metros. Disponibil"&amp;"idade para deslocamentos para locais de trabalho dentro da área de atuação. Número de horas por semana: 40. Horário de trabalho (início/término): 7h às 17h.")</f>
        <v>Posicionar e fixar barras de aço ou malha em fôrmas de concreto para reforçá-lo. Operar carretel de arame, alicate Klein e ferramentas manuais para fixar e dobrar vergalhões. Classificação da função: 47-2171.00 - Trabalhadores de Ferro de Reforço e Vergalhões. A classificação e descrição da função/setor inclui informações gerais sobre o cargo, de acordo com o ONET/OES e o Sistema de Classificação Industrial da América do Norte (NAICS). Consulte as Funções e a Ordem de Serviço para obter mais informações. Requisitos da vaga: Experiência necessária: Sim. Meses de experiência necessários: 6. Requisitos especiais: Trabalho em alguns fins de semana. Capacidade de lidar com temperaturas extremas. Capacidade de levantar e carregar 34 kg por 68 metros. Disponibilidade para deslocamentos para locais de trabalho dentro da área de atuação. Número de horas por semana: 40. Horário de trabalho (início/término): 7h às 17h.</v>
      </c>
    </row>
    <row r="526" ht="20.25" customHeight="1">
      <c r="A526" s="3" t="s">
        <v>2640</v>
      </c>
      <c r="B526" s="3" t="s">
        <v>2641</v>
      </c>
      <c r="C526" s="3" t="s">
        <v>197</v>
      </c>
      <c r="D526" s="3" t="s">
        <v>71</v>
      </c>
      <c r="E526" s="4" t="s">
        <v>19</v>
      </c>
      <c r="F526" s="4" t="s">
        <v>20</v>
      </c>
      <c r="G526" s="4" t="s">
        <v>524</v>
      </c>
      <c r="H526" s="3" t="s">
        <v>2642</v>
      </c>
      <c r="I526" s="3" t="s">
        <v>2643</v>
      </c>
      <c r="J526" s="4">
        <v>16.35</v>
      </c>
      <c r="K526" s="4">
        <v>19.0</v>
      </c>
      <c r="L526" s="3" t="s">
        <v>1690</v>
      </c>
      <c r="M526" s="3" t="s">
        <v>2644</v>
      </c>
      <c r="N526" s="7" t="str">
        <f>IFERROR(__xludf.DUMMYFUNCTION("GOOGLETRANSLATE(L526, ""en"", ""pt"")"),"Atendente de Sala de Jantar")</f>
        <v>Atendente de Sala de Jantar</v>
      </c>
      <c r="O526" s="7" t="str">
        <f>IFERROR(__xludf.DUMMYFUNCTION("IF(M526="""","""",GOOGLETRANSLATE(M526,""en"",""pt""))"),"Servir os clientes, manter o bar abastecido. Limpar e arrumar as mesas. Manter as áreas de trabalho abastecidas, limpas e higienizadas. (19) vagas disponíveis. Período: 01/10/2026 a 31/05/2027. Necessário 3 meses de experiência. Turnos rotativos. Dias de "&amp;"trabalho: segunda a domingo. Horário: 6h às 15h. Salário: US$ 16,35 a US$ 27/hora, dependendo do desempenho; horas extras: US$ 24,53 a US$ 40,50/hora. Pagamento quinzenal. 35 horas semanais. Alojamento opcional por US$ 675 a US$ 745/mês (US$ 675/mês para "&amp;"quarto duplo, US$ 745/mês para quarto individual), com depósito de US$ 350, reembolsável após a assinatura do contrato e vistoria do imóvel. Benefícios: plano de previdência 401k após 1000 horas trabalhadas, bônus de Natal, planos odontológico, oftalmológ"&amp;"ico e de saúde, 8 horas de folga remunerada. Uniformes e refeições durante o turno fornecidos. Local de trabalho: 2400 Grey Oaks Drive North, Naples, FL 34105. O trabalho é temporário, em tempo integral. A remuneração será calculada com base em uma semana"&amp;" de trabalho. Poderá haver até 10 horas extras, quando disponíveis. Todos os descontos obrigatórios por lei serão feitos no contracheque do trabalhador. O empregador fornecerá gratuitamente ao trabalhador todas as ferramentas, materiais e equipamentos nec"&amp;"essários para a execução do trabalho. O trabalhador receberá ou será reembolsado pelo transporte e subsistência (incluindo o custo razoável de hospedagem noturna, quando necessário, até US$ 110/noite para hospedagem com recibos) a uma taxa de US$ 16,78 po"&amp;"r dia durante a viagem, até um máximo de US$ 68,00 por dia com recibos, desde o local de onde o trabalhador veio trabalhar para o empregador, seja nos EUA ou no exterior, até o local de trabalho, se o trabalhador completar 50% do período de emprego cobert"&amp;"o pela ordem de serviço, de acordo com 20 CFR 655.20(j)(1)(i), mediante inclusão no pagamento da semana aplicável. O empregador fornecerá ou pagará o custo do transporte de retorno e da subsistência diária do trabalhador, do local de trabalho até o local "&amp;"de onde o trabalhador partiu para trabalhar para o empregador, independentemente de empregos intermediários, caso o trabalhador complete o período de emprego certificado ou seja demitido do emprego por qualquer motivo pelo empregador antes do término do p"&amp;"eríodo, de acordo com o § 655.20(j)(1)(ii); os trabalhadores com visto H-2B serão reembolsados ​​na primeira semana de trabalho por todos os vistos, processamento de vistos, travessia de fronteira e outras taxas relacionadas, incluindo aquelas exigidas pe"&amp;"lo governo (exceto taxas de passaporte). O empregador fornecerá aos trabalhadores todas as ferramentas, suprimentos e equipamentos necessários para o desempenho do trabalho, sem custo para o trabalhador, de acordo com o 20 CFR 655.20(k). Os candidatos qua"&amp;"lificados podem enviar o currículo para Alexandra Schrögendorfer, no endereço 2400 Grey Oaks Drive North, Naples, FL 34105, por e-mail para H2Bjobs@greyoakscc.com ou visitar o centro de empregos local no endereço 3050 Horseshoe Drive North, Building A, Su"&amp;"ite 110, Naples, FL 34104. *Seu depósito de segurança é reembolsável após a conclusão do contrato e a inspeção da moradia. Se um trabalhador abandonar o emprego sem a permissão do empregador ou abandonar a moradia antes do término do prazo de inscrição po"&amp;"r qualquer motivo, exceto rescisão por parte do empregador, o trabalhador perderá todos os depósitos de moradia, dias de folga remunerada, férias e bônus. Após a rescisão ou demissão, o trabalhador deverá desocupar a moradia imediatamente, a menos que haj"&amp;"a acordo com o empregador.* Classificação do Cargo: 35-9011.00 - Atendentes de Refeitório e Cafeteria e Auxiliares de Barman. A classificação e descrição do cargo/setor incluem informações gerais sobre a posição, de acordo com o ONET/OES e o Sistema de Cl"&amp;"assificação Industrial da América do Norte (NAICS). Consulte a Descrição das Funções e a Ordem de Serviço para obter mais informações. Requisitos da Vaga Experiência Necessária: Sim Meses de Experiência Necessária: 3 Número de Horas por Semana: 35 Horário"&amp;" de Trabalho (Início/Término): 6h00 - 15h00")</f>
        <v>Servir os clientes, manter o bar abastecido. Limpar e arrumar as mesas. Manter as áreas de trabalho abastecidas, limpas e higienizadas. (19) vagas disponíveis. Período: 01/10/2026 a 31/05/2027. Necessário 3 meses de experiência. Turnos rotativos. Dias de trabalho: segunda a domingo. Horário: 6h às 15h. Salário: US$ 16,35 a US$ 27/hora, dependendo do desempenho; horas extras: US$ 24,53 a US$ 40,50/hora. Pagamento quinzenal. 35 horas semanais. Alojamento opcional por US$ 675 a US$ 745/mês (US$ 675/mês para quarto duplo, US$ 745/mês para quarto individual), com depósito de US$ 350, reembolsável após a assinatura do contrato e vistoria do imóvel. Benefícios: plano de previdência 401k após 1000 horas trabalhadas, bônus de Natal, planos odontológico, oftalmológico e de saúde, 8 horas de folga remunerada. Uniformes e refeições durante o turno fornecidos. Local de trabalho: 2400 Grey Oaks Drive North, Naples, FL 34105. O trabalho é temporário, em tempo integral. A remuneração será calculada com base em uma semana de trabalho. Poderá haver até 10 horas extras, quando disponíveis. Todos os descontos obrigatórios por lei serão feitos no contracheque do trabalhador. O empregador fornecerá gratuitamente ao trabalhador todas as ferramentas, materiais e equipamentos necessários para a execução do trabalho. O trabalhador receberá ou será reembolsado pelo transporte e subsistência (incluindo o custo razoável de hospedagem noturna, quando necessário, até US$ 110/noite para hospedagem com recibos) a uma taxa de US$ 16,78 por dia durante a viagem, até um máximo de US$ 68,00 por dia com recibos, desde o local de onde o trabalhador veio trabalhar para o empregador, seja nos EUA ou no exterior, até o local de trabalho, se o trabalhador completar 50% do período de emprego coberto pela ordem de serviço, de acordo com 20 CFR 655.20(j)(1)(i), mediante inclusão no pagamento da semana aplicável. O empregador fornecerá ou pagará o custo do transporte de retorno e da subsistência diária do trabalhador, do local de trabalho até o local de onde o trabalhador partiu para trabalhar para o empregador, independentemente de empregos intermediários, caso o trabalhador complete o período de emprego certificado ou seja demitido do emprego por qualquer motivo pelo empregador antes do término do período, de acordo com o § 655.20(j)(1)(ii); os trabalhadores com visto H-2B serão reembolsados ​​na primeira semana de trabalho por todos os vistos, processamento de vistos, travessia de fronteira e outras taxas relacionadas, incluindo aquelas exigidas pelo governo (exceto taxas de passaporte). O empregador fornecerá aos trabalhadores todas as ferramentas, suprimentos e equipamentos necessários para o desempenho do trabalho, sem custo para o trabalhador, de acordo com o 20 CFR 655.20(k). Os candidatos qualificados podem enviar o currículo para Alexandra Schrögendorfer, no endereço 2400 Grey Oaks Drive North, Naples, FL 34105, por e-mail para H2Bjobs@greyoakscc.com ou visitar o centro de empregos local no endereço 3050 Horseshoe Drive North, Building A, Suite 110, Naples, FL 34104. *Seu depósito de segurança é reembolsável após a conclusão do contrato e a inspeção da moradia. Se um trabalhador abandonar o emprego sem a permissão do empregador ou abandonar a moradia antes do término do prazo de inscrição por qualquer motivo, exceto rescisão por parte do empregador, o trabalhador perderá todos os depósitos de moradia, dias de folga remunerada, férias e bônus. Após a rescisão ou demissão, o trabalhador deverá desocupar a moradia imediatamente, a menos que haja acordo com o empregador.* Classificação do Cargo: 35-9011.00 - Atendentes de Refeitório e Cafeteria e Auxiliares de Barman. A classificação e descrição do cargo/setor incluem informações gerais sobre a posição, de acordo com o ONET/OES e o Sistema de Classificação Industrial da América do Norte (NAICS). Consulte a Descrição das Funções e a Ordem de Serviço para obter mais informações. Requisitos da Vaga Experiência Necessária: Sim Meses de Experiência Necessária: 3 Número de Horas por Semana: 35 Horário de Trabalho (Início/Término): 6h00 - 15h00</v>
      </c>
    </row>
    <row r="527" ht="20.25" customHeight="1">
      <c r="A527" s="8" t="s">
        <v>2645</v>
      </c>
      <c r="B527" s="8" t="s">
        <v>2641</v>
      </c>
      <c r="C527" s="8" t="s">
        <v>197</v>
      </c>
      <c r="D527" s="8" t="s">
        <v>71</v>
      </c>
      <c r="E527" s="9" t="s">
        <v>19</v>
      </c>
      <c r="F527" s="9" t="s">
        <v>20</v>
      </c>
      <c r="G527" s="9" t="s">
        <v>524</v>
      </c>
      <c r="H527" s="8" t="s">
        <v>2642</v>
      </c>
      <c r="I527" s="8" t="s">
        <v>2643</v>
      </c>
      <c r="J527" s="9">
        <v>24.46</v>
      </c>
      <c r="K527" s="9">
        <v>7.0</v>
      </c>
      <c r="L527" s="8" t="s">
        <v>1687</v>
      </c>
      <c r="M527" s="8" t="s">
        <v>2646</v>
      </c>
      <c r="N527" s="7" t="str">
        <f>IFERROR(__xludf.DUMMYFUNCTION("GOOGLETRANSLATE(L527, ""en"", ""pt"")"),"Capitão")</f>
        <v>Capitão</v>
      </c>
      <c r="O527" s="7" t="str">
        <f>IFERROR(__xludf.DUMMYFUNCTION("IF(M527="""","""",GOOGLETRANSLATE(M527,""en"",""pt""))"),"Executar diversas atividades financeiras, como manuseio de dinheiro. Resolver reclamações de clientes relacionadas ao serviço de alimentação. Compilar e conferir o caixa ao final do dia ou turno. Apresentar contas e receber pagamentos. Elaborar a escala d"&amp;"e trabalho dos funcionários do salão (7 vagas). Período: 01/10/2026 a 31/05/2027. Necessária experiência de 3 meses. Turnos rotativos. Dias de trabalho: segunda a domingo. Horário: 6h às 22h. Salário: US$ 24,46 a US$ 31/hora, com base no desempenho; US$ 3"&amp;"6,69 a US$ 46,50/hora para horas extras. Pagamento quinzenal. 35 horas semanais. Moradia opcional disponível por US$ 675 a US$ 745/mês (US$ 675/mês para quarto duplo, US$ 745/mês para quarto individual), com depósito de US$ 350, reembolsável após a assina"&amp;"tura do contrato e vistoria da moradia. Benefícios: plano de previdência 401k após 1000 horas trabalhadas, bônus de Natal, planos odontológico, oftalmológico e de saúde, 8 horas de folga remunerada. Uniformes e refeições durante o turno fornecidos. Local "&amp;"de trabalho: 2400 Grey Oaks Drive North, Naples, FL 34105. Trabalho temporário em tempo integral. O salário será calculado com base em uma semana de trabalho. Possibilidade de até 10 horas extras, quando disponíveis. Todos os descontos obrigatórios por le"&amp;"i serão feitos no contracheque do trabalhador. O empregador fornecerá gratuitamente todas as ferramentas, materiais e equipamentos necessários para a execução do trabalho. O trabalhador receberá ou será reembolsado pelo transporte e subsistência (incluind"&amp;"o o custo razoável de hospedagem noturna, quando necessário, até US$ 110/noite para hospedagem com recibos) a uma taxa de US$ 16,78 por dia durante a viagem, até um máximo de US$ 68,00 por dia com recibos, desde o local de onde o trabalhador veio trabalha"&amp;"r para o empregador, seja nos EUA ou no exterior, até o local de trabalho, se o trabalhador completar 50% do período de emprego coberto pela ordem de serviço, de acordo com 20 CFR 655.20(j)(1)(i), mediante inclusão no pagamento da semana aplicável. O empr"&amp;"egador fornecerá ou pagará o custo do transporte de retorno e da subsistência diária do trabalhador, do local de trabalho até o local de onde o trabalhador partiu para trabalhar para o empregador, independentemente de empregos intermediários, caso o traba"&amp;"lhador complete o período de emprego certificado ou seja demitido do emprego por qualquer motivo pelo empregador antes do término do período, de acordo com o § 655.20(j)(1)(ii); os trabalhadores com visto H-2B serão reembolsados ​​na primeira semana de tr"&amp;"abalho por todos os vistos, processamento de vistos, travessia de fronteira e outras taxas relacionadas, incluindo aquelas exigidas pelo governo (exceto taxas de passaporte). O empregador fornecerá aos trabalhadores todas as ferramentas, suprimentos e equ"&amp;"ipamentos necessários para o desempenho do trabalho, sem custo para o trabalhador, de acordo com o 20 CFR 655.20(k). Os candidatos qualificados podem enviar o currículo para Alexandra Schrögendorfer, no endereço 2400 Grey Oaks Drive North, Naples, FL 3410"&amp;"5, por e-mail para H2Bjobs@greyoakscc.com ou visitar o centro de empregos local no endereço 3050 Horseshoe Drive North, Building A, Suite 110, Naples, FL 34104. *Seu depósito de segurança é reembolsável após a conclusão do contrato e a inspeção da moradia"&amp;". Se um trabalhador abandonar o emprego sem a permissão do empregador ou abandonar a moradia antes do término do prazo de inscrição por qualquer motivo, exceto rescisão por parte do empregador, o trabalhador perderá todos os depósitos de moradia, dias de "&amp;"folga remunerada, férias e bônus. Após a rescisão ou demissão, o trabalhador deverá desocupar a moradia imediatamente, a menos que haja acordo com o empregador.* Classificação do Cargo: 35-1012.00 - Supervisores de Primeira Linha de Trabalhadores de Prepa"&amp;"ração e Serviço de Alimentos. A classificação e descrição do cargo/setor inclui informações gerais sobre a posição, de acordo com o ONET/OES e o Sistema de Classificação Industrial da América do Norte (NAICS). Consulte a Descrição das Funções e a Ordem de"&amp;" Serviço para obter mais informações. Requisitos da Vaga Experiência Necessária: Sim Meses de Experiência Necessária: 3 Número de Horas por Semana: 35 Horário de Trabalho (Início/Término): 6h00 - 22h00")</f>
        <v>Executar diversas atividades financeiras, como manuseio de dinheiro. Resolver reclamações de clientes relacionadas ao serviço de alimentação. Compilar e conferir o caixa ao final do dia ou turno. Apresentar contas e receber pagamentos. Elaborar a escala de trabalho dos funcionários do salão (7 vagas). Período: 01/10/2026 a 31/05/2027. Necessária experiência de 3 meses. Turnos rotativos. Dias de trabalho: segunda a domingo. Horário: 6h às 22h. Salário: US$ 24,46 a US$ 31/hora, com base no desempenho; US$ 36,69 a US$ 46,50/hora para horas extras. Pagamento quinzenal. 35 horas semanais. Moradia opcional disponível por US$ 675 a US$ 745/mês (US$ 675/mês para quarto duplo, US$ 745/mês para quarto individual), com depósito de US$ 350, reembolsável após a assinatura do contrato e vistoria da moradia. Benefícios: plano de previdência 401k após 1000 horas trabalhadas, bônus de Natal, planos odontológico, oftalmológico e de saúde, 8 horas de folga remunerada. Uniformes e refeições durante o turno fornecidos. Local de trabalho: 2400 Grey Oaks Drive North, Naples, FL 34105. Trabalho temporário em tempo integral. O salário será calculado com base em uma semana de trabalho. Possibilidade de até 10 horas extras, quando disponíveis. Todos os descontos obrigatórios por lei serão feitos no contracheque do trabalhador. O empregador fornecerá gratuitamente todas as ferramentas, materiais e equipamentos necessários para a execução do trabalho. O trabalhador receberá ou será reembolsado pelo transporte e subsistência (incluindo o custo razoável de hospedagem noturna, quando necessário, até US$ 110/noite para hospedagem com recibos) a uma taxa de US$ 16,78 por dia durante a viagem, até um máximo de US$ 68,00 por dia com recibos, desde o local de onde o trabalhador veio trabalhar para o empregador, seja nos EUA ou no exterior, até o local de trabalho, se o trabalhador completar 50% do período de emprego coberto pela ordem de serviço, de acordo com 20 CFR 655.20(j)(1)(i), mediante inclusão no pagamento da semana aplicável. O empregador fornecerá ou pagará o custo do transporte de retorno e da subsistência diária do trabalhador, do local de trabalho até o local de onde o trabalhador partiu para trabalhar para o empregador, independentemente de empregos intermediários, caso o trabalhador complete o período de emprego certificado ou seja demitido do emprego por qualquer motivo pelo empregador antes do término do período, de acordo com o § 655.20(j)(1)(ii); os trabalhadores com visto H-2B serão reembolsados ​​na primeira semana de trabalho por todos os vistos, processamento de vistos, travessia de fronteira e outras taxas relacionadas, incluindo aquelas exigidas pelo governo (exceto taxas de passaporte). O empregador fornecerá aos trabalhadores todas as ferramentas, suprimentos e equipamentos necessários para o desempenho do trabalho, sem custo para o trabalhador, de acordo com o 20 CFR 655.20(k). Os candidatos qualificados podem enviar o currículo para Alexandra Schrögendorfer, no endereço 2400 Grey Oaks Drive North, Naples, FL 34105, por e-mail para H2Bjobs@greyoakscc.com ou visitar o centro de empregos local no endereço 3050 Horseshoe Drive North, Building A, Suite 110, Naples, FL 34104. *Seu depósito de segurança é reembolsável após a conclusão do contrato e a inspeção da moradia. Se um trabalhador abandonar o emprego sem a permissão do empregador ou abandonar a moradia antes do término do prazo de inscrição por qualquer motivo, exceto rescisão por parte do empregador, o trabalhador perderá todos os depósitos de moradia, dias de folga remunerada, férias e bônus. Após a rescisão ou demissão, o trabalhador deverá desocupar a moradia imediatamente, a menos que haja acordo com o empregador.* Classificação do Cargo: 35-1012.00 - Supervisores de Primeira Linha de Trabalhadores de Preparação e Serviço de Alimentos. A classificação e descrição do cargo/setor inclui informações gerais sobre a posição, de acordo com o ONET/OES e o Sistema de Classificação Industrial da América do Norte (NAICS). Consulte a Descrição das Funções e a Ordem de Serviço para obter mais informações. Requisitos da Vaga Experiência Necessária: Sim Meses de Experiência Necessária: 3 Número de Horas por Semana: 35 Horário de Trabalho (Início/Término): 6h00 - 22h00</v>
      </c>
    </row>
    <row r="528" ht="20.25" customHeight="1">
      <c r="A528" s="3" t="s">
        <v>2647</v>
      </c>
      <c r="B528" s="3" t="s">
        <v>2641</v>
      </c>
      <c r="C528" s="3" t="s">
        <v>197</v>
      </c>
      <c r="D528" s="3" t="s">
        <v>71</v>
      </c>
      <c r="E528" s="4" t="s">
        <v>44</v>
      </c>
      <c r="F528" s="4" t="s">
        <v>20</v>
      </c>
      <c r="G528" s="4" t="s">
        <v>524</v>
      </c>
      <c r="H528" s="3" t="s">
        <v>2642</v>
      </c>
      <c r="I528" s="3" t="s">
        <v>2643</v>
      </c>
      <c r="J528" s="4">
        <v>20.13</v>
      </c>
      <c r="K528" s="4">
        <v>50.0</v>
      </c>
      <c r="L528" s="3" t="s">
        <v>1206</v>
      </c>
      <c r="M528" s="3" t="s">
        <v>2648</v>
      </c>
      <c r="N528" s="7" t="str">
        <f>IFERROR(__xludf.DUMMYFUNCTION("GOOGLETRANSLATE(L528, ""en"", ""pt"")"),"Servidor")</f>
        <v>Servidor</v>
      </c>
      <c r="O528" s="7" t="str">
        <f>IFERROR(__xludf.DUMMYFUNCTION("IF(M528="""","""",GOOGLETRANSLATE(M528,""en"",""pt""))"),"Receber pedidos, servir comidas e bebidas aos clientes. Limpar e arrumar as mesas. Receber pagamentos e fornecer recibos. Manter todos os postos de trabalho abastecidos. (50 vagas) Período: 01/10/2026 a 31/05/2027. Necessário 3 meses de experiência. Turno"&amp;"s rotativos. Dias de trabalho: segunda a domingo. Horário: 6h às 22h. Salário: US$ 20,13 a US$ 32 por hora, com base no desempenho; horas extras: US$ 30,20 a US$ 48 por hora. Pagamento quinzenal. 35 horas semanais. Alojamento opcional por US$ 675 a US$ 74"&amp;"5 por mês (US$ 675 por mês para quarto duplo, US$ 745 por mês para quarto individual), com depósito de US$ 350, reembolsável após a assinatura do contrato e vistoria do imóvel. Benefícios: plano de previdência 401k após 1000 horas trabalhadas, bônus de Na"&amp;"tal, planos odontológico, oftalmológico e de saúde, 8 horas de folga remunerada. Uniformes e refeições durante o turno fornecidos. Local de trabalho: 2400 Grey Oaks Drive North, Naples, FL 34105. O trabalho é temporário, em tempo integral. A remuneração s"&amp;"erá calculada com base em uma semana de trabalho. Poderá haver até 10 horas extras, quando disponíveis. Todos os descontos obrigatórios por lei serão feitos no contracheque do trabalhador. O empregador fornecerá gratuitamente ao trabalhador todas as ferra"&amp;"mentas, materiais e equipamentos necessários para a execução do trabalho. O trabalhador receberá ou será reembolsado pelo transporte e subsistência (incluindo o custo razoável de hospedagem noturna, quando necessário, até US$ 110/noite para hospedagem com"&amp;" recibos) a uma taxa de US$ 16,78 por dia durante a viagem, até um máximo de US$ 68,00 por dia com recibos, desde o local de onde o trabalhador veio trabalhar para o empregador, seja nos EUA ou no exterior, até o local de trabalho, se o trabalhador comple"&amp;"tar 50% do período de emprego coberto pela ordem de serviço, de acordo com 20 CFR 655.20(j)(1)(i), mediante inclusão no pagamento da semana aplicável. O empregador fornecerá ou pagará o custo do transporte de retorno e da subsistência diária do trabalhado"&amp;"r, do local de trabalho até o local de onde o trabalhador partiu para trabalhar para o empregador, independentemente de empregos intermediários, caso o trabalhador complete o período de emprego certificado ou seja demitido do emprego por qualquer motivo p"&amp;"elo empregador antes do término do período, de acordo com o § 655.20(j)(1)(ii); os trabalhadores com visto H-2B serão reembolsados ​​na primeira semana de trabalho por todos os vistos, processamento de vistos, travessia de fronteira e outras taxas relacio"&amp;"nadas, incluindo aquelas exigidas pelo governo (exceto taxas de passaporte). O empregador fornecerá aos trabalhadores todas as ferramentas, suprimentos e equipamentos necessários para o desempenho do trabalho, sem custo para o trabalhador, de acordo com o"&amp;" 20 CFR 655.20(k). Os candidatos qualificados podem enviar o currículo para Alexandra Schrögendorfer, no endereço 2400 Grey Oaks Drive North, Naples, FL 34105, por e-mail para H2Bjobs@greyoakscc.com ou visitar o centro de empregos local no endereço 3050 H"&amp;"orseshoe Drive North, Building A, Suite 110, Naples, FL 34104. *Seu depósito de segurança é reembolsável após a conclusão do contrato e a inspeção da moradia. Se um trabalhador abandonar o emprego sem a permissão do empregador ou abandonar a moradia antes"&amp;" do término do prazo de inscrição por qualquer motivo, exceto rescisão por parte do empregador, o trabalhador perderá todos os depósitos de moradia, dias de folga remunerada, férias e bônus. Após a rescisão ou demissão, o trabalhador deverá desocupar a mo"&amp;"radia imediatamente, a menos que haja acordo com o empregador.* Classificação da vaga: 35-3031.00 - Garçons e Garçonetes. A classificação e descrição da vaga/setor inclui informações gerais sobre o cargo, de acordo com o ONET/OES e o Sistema de Classifica"&amp;"ção Industrial da América do Norte. Consulte a Descrição das Funções e a Ordem de Serviço para obter mais informações. Requisitos da Vaga Experiência Necessária: Sim Meses de Experiência Necessária: 3 Número de Horas por Semana: 35 Horário de Trabalho (In"&amp;"ício/Término): 6h00 - 22h00")</f>
        <v>Receber pedidos, servir comidas e bebidas aos clientes. Limpar e arrumar as mesas. Receber pagamentos e fornecer recibos. Manter todos os postos de trabalho abastecidos. (50 vagas) Período: 01/10/2026 a 31/05/2027. Necessário 3 meses de experiência. Turnos rotativos. Dias de trabalho: segunda a domingo. Horário: 6h às 22h. Salário: US$ 20,13 a US$ 32 por hora, com base no desempenho; horas extras: US$ 30,20 a US$ 48 por hora. Pagamento quinzenal. 35 horas semanais. Alojamento opcional por US$ 675 a US$ 745 por mês (US$ 675 por mês para quarto duplo, US$ 745 por mês para quarto individual), com depósito de US$ 350, reembolsável após a assinatura do contrato e vistoria do imóvel. Benefícios: plano de previdência 401k após 1000 horas trabalhadas, bônus de Natal, planos odontológico, oftalmológico e de saúde, 8 horas de folga remunerada. Uniformes e refeições durante o turno fornecidos. Local de trabalho: 2400 Grey Oaks Drive North, Naples, FL 34105. O trabalho é temporário, em tempo integral. A remuneração será calculada com base em uma semana de trabalho. Poderá haver até 10 horas extras, quando disponíveis. Todos os descontos obrigatórios por lei serão feitos no contracheque do trabalhador. O empregador fornecerá gratuitamente ao trabalhador todas as ferramentas, materiais e equipamentos necessários para a execução do trabalho. O trabalhador receberá ou será reembolsado pelo transporte e subsistência (incluindo o custo razoável de hospedagem noturna, quando necessário, até US$ 110/noite para hospedagem com recibos) a uma taxa de US$ 16,78 por dia durante a viagem, até um máximo de US$ 68,00 por dia com recibos, desde o local de onde o trabalhador veio trabalhar para o empregador, seja nos EUA ou no exterior, até o local de trabalho, se o trabalhador completar 50% do período de emprego coberto pela ordem de serviço, de acordo com 20 CFR 655.20(j)(1)(i), mediante inclusão no pagamento da semana aplicável. O empregador fornecerá ou pagará o custo do transporte de retorno e da subsistência diária do trabalhador, do local de trabalho até o local de onde o trabalhador partiu para trabalhar para o empregador, independentemente de empregos intermediários, caso o trabalhador complete o período de emprego certificado ou seja demitido do emprego por qualquer motivo pelo empregador antes do término do período, de acordo com o § 655.20(j)(1)(ii); os trabalhadores com visto H-2B serão reembolsados ​​na primeira semana de trabalho por todos os vistos, processamento de vistos, travessia de fronteira e outras taxas relacionadas, incluindo aquelas exigidas pelo governo (exceto taxas de passaporte). O empregador fornecerá aos trabalhadores todas as ferramentas, suprimentos e equipamentos necessários para o desempenho do trabalho, sem custo para o trabalhador, de acordo com o 20 CFR 655.20(k). Os candidatos qualificados podem enviar o currículo para Alexandra Schrögendorfer, no endereço 2400 Grey Oaks Drive North, Naples, FL 34105, por e-mail para H2Bjobs@greyoakscc.com ou visitar o centro de empregos local no endereço 3050 Horseshoe Drive North, Building A, Suite 110, Naples, FL 34104. *Seu depósito de segurança é reembolsável após a conclusão do contrato e a inspeção da moradia. Se um trabalhador abandonar o emprego sem a permissão do empregador ou abandonar a moradia antes do término do prazo de inscrição por qualquer motivo, exceto rescisão por parte do empregador, o trabalhador perderá todos os depósitos de moradia, dias de folga remunerada, férias e bônus. Após a rescisão ou demissão, o trabalhador deverá desocupar a moradia imediatamente, a menos que haja acordo com o empregador.* Classificação da vaga: 35-3031.00 - Garçons e Garçonetes. A classificação e descrição da vaga/setor inclui informações gerais sobre o cargo, de acordo com o ONET/OES e o Sistema de Classificação Industrial da América do Norte. Consulte a Descrição das Funções e a Ordem de Serviço para obter mais informações. Requisitos da Vaga Experiência Necessária: Sim Meses de Experiência Necessária: 3 Número de Horas por Semana: 35 Horário de Trabalho (Início/Término): 6h00 - 22h00</v>
      </c>
    </row>
    <row r="529" ht="20.25" customHeight="1">
      <c r="A529" s="15" t="s">
        <v>2649</v>
      </c>
      <c r="B529" s="15" t="s">
        <v>2650</v>
      </c>
      <c r="C529" s="15" t="s">
        <v>1030</v>
      </c>
      <c r="D529" s="15" t="s">
        <v>28</v>
      </c>
      <c r="E529" s="16" t="s">
        <v>19</v>
      </c>
      <c r="F529" s="16" t="s">
        <v>20</v>
      </c>
      <c r="G529" s="16" t="s">
        <v>229</v>
      </c>
      <c r="H529" s="17" t="s">
        <v>2651</v>
      </c>
      <c r="I529" s="15" t="s">
        <v>2652</v>
      </c>
      <c r="J529" s="16">
        <v>17.12</v>
      </c>
      <c r="K529" s="16">
        <v>8.0</v>
      </c>
      <c r="L529" s="15" t="s">
        <v>59</v>
      </c>
      <c r="M529" s="15" t="s">
        <v>2653</v>
      </c>
      <c r="N529" s="7" t="str">
        <f>IFERROR(__xludf.DUMMYFUNCTION("GOOGLETRANSLATE(L529, ""en"", ""pt"")"),"Trabalhador de paisagismo")</f>
        <v>Trabalhador de paisagismo</v>
      </c>
      <c r="O529" s="7" t="str">
        <f>IFERROR(__xludf.DUMMYFUNCTION("IF(M529="""","""",GOOGLETRANSLATE(M529,""en"",""pt""))"),"Cortar, aparar, regar e aparar a grama; rastelar e soprar folhas; cavar valas com ferramentas manuais, com profundidade/largura máxima de 90 cm, para instalar sistemas de irrigação e/ou plantar; instalar sistemas de irrigação, plantar árvores e arbustos. "&amp;"Envolve carregar e descarregar ferramentas, suprimentos e equipamentos com peso de até 23 kg. Envolve trabalho ao ar livre em todos os tipos de clima. Envolve ficar em pé, sentado ou caminhando por longos períodos. Envolve agachar-se ou curvar-se com freq"&amp;"uência. Envolve movimentos repetitivos. Teste antidrogas pós-contratação/pago pelo empregador. Adiantamento salarial disponível na chegada para despesas de instalação, conforme necessário. Moradia opcional disponível, aluguel de US$ 300 com as contas incl"&amp;"usas por trabalhador por mês. Aluguel comparável a outros imóveis na região (sujeito a alterações com base na inflação local), o aluguel será pago ao empregador. Possibilidade de aumento salarial com base no desempenho, bônus, horas extras e trabalho aos "&amp;"sábados, conforme necessário. Transporte fornecido para vários locais de trabalho a partir de uma localização central em Baton Rouge, LA. 60 minutos de intervalos não remunerados ao longo do dia. O horário de trabalho diário pode variar entre os horários "&amp;"de início e término listados, dependendo das condições climáticas ou das tarefas atribuídas. Classificação da função: 37-3011.00 - Trabalhadores de Paisagismo e Manutenção de Áreas Verdes. A classificação e descrição da função/setor incluem informações ge"&amp;"rais sobre o cargo, de acordo com o ONET/OES e o Sistema de Classificação Industrial da América do Norte (NAICS). Consulte as Funções e a Ordem de Serviço para obter mais informações. Requisitos da função: Experiência exigida: Não. Requisitos especiais: N"&amp;"enhum. Número de horas por semana: 35. Horário de trabalho (início/término): 7h às 16h.")</f>
        <v>Cortar, aparar, regar e aparar a grama; rastelar e soprar folhas; cavar valas com ferramentas manuais, com profundidade/largura máxima de 90 cm, para instalar sistemas de irrigação e/ou plantar; instalar sistemas de irrigação, plantar árvores e arbustos. Envolve carregar e descarregar ferramentas, suprimentos e equipamentos com peso de até 23 kg. Envolve trabalho ao ar livre em todos os tipos de clima. Envolve ficar em pé, sentado ou caminhando por longos períodos. Envolve agachar-se ou curvar-se com frequência. Envolve movimentos repetitivos. Teste antidrogas pós-contratação/pago pelo empregador. Adiantamento salarial disponível na chegada para despesas de instalação, conforme necessário. Moradia opcional disponível, aluguel de US$ 300 com as contas inclusas por trabalhador por mês. Aluguel comparável a outros imóveis na região (sujeito a alterações com base na inflação local), o aluguel será pago ao empregador. Possibilidade de aumento salarial com base no desempenho, bônus, horas extras e trabalho aos sábados, conforme necessário. Transporte fornecido para vários locais de trabalho a partir de uma localização central em Baton Rouge, LA. 60 minutos de intervalos não remunerados ao longo do dia. O horário de trabalho diário pode variar entre os horários de início e término listados, dependendo das condições climáticas ou das tarefas atribuídas. Classificação da função: 37-3011.00 - Trabalhadores de Paisagismo e Manutenção de Áreas Verdes. A classificação e descrição da função/setor incluem informações gerais sobre o cargo, de acordo com o ONET/OES e o Sistema de Classificação Industrial da América do Norte (NAICS). Consulte as Funções e a Ordem de Serviço para obter mais informações. Requisitos da função: Experiência exigida: Não. Requisitos especiais: Nenhum. Número de horas por semana: 35. Horário de trabalho (início/término): 7h às 16h.</v>
      </c>
    </row>
    <row r="530" ht="20.25" customHeight="1">
      <c r="A530" s="3" t="s">
        <v>2654</v>
      </c>
      <c r="B530" s="3" t="s">
        <v>2655</v>
      </c>
      <c r="C530" s="3" t="s">
        <v>2263</v>
      </c>
      <c r="D530" s="3" t="s">
        <v>249</v>
      </c>
      <c r="E530" s="4" t="s">
        <v>19</v>
      </c>
      <c r="F530" s="4" t="s">
        <v>20</v>
      </c>
      <c r="G530" s="4" t="s">
        <v>345</v>
      </c>
      <c r="H530" s="3" t="s">
        <v>2656</v>
      </c>
      <c r="I530" s="3" t="s">
        <v>2657</v>
      </c>
      <c r="J530" s="4">
        <v>19.13</v>
      </c>
      <c r="K530" s="4">
        <v>25.0</v>
      </c>
      <c r="L530" s="3" t="s">
        <v>1490</v>
      </c>
      <c r="M530" s="3" t="s">
        <v>2658</v>
      </c>
      <c r="N530" s="7" t="str">
        <f>IFERROR(__xludf.DUMMYFUNCTION("GOOGLETRANSLATE(L530, ""en"", ""pt"")"),"Zelador")</f>
        <v>Zelador</v>
      </c>
      <c r="O530" s="7" t="str">
        <f>IFERROR(__xludf.DUMMYFUNCTION("IF(M530="""","""",GOOGLETRANSLATE(M530,""en"",""pt""))"),"Remoção de neve, manutenção de terrenos, limpeza de lixo e outras tarefas relacionadas à manutenção das instalações, como limpeza de folhas, neve ou detritos usando ferramentas manuais ou equipamentos elétricos, incluindo, entre outros, ancinhos, pás e so"&amp;"pradores de neve/folhas. Preparação e ativação do sistema de irrigação para o inverno. Remoção ou substituição de vegetação morta. Possibilidade de limpeza de folhas no outono e na primavera, poda de inverno, plantio de plantas perenes, remoção de folhas "&amp;"e cobertura morta em canteiros. Poda de árvores e arbustos. Remoção de gelo e neve de calçadas, entradas de garagem e estacionamentos de diversas propriedades residenciais, municipais e comerciais, usando ferramentas manuais como vassouras de neve e pás, "&amp;"e espalhando soluções de degelo, incluindo cloreto de cálcio ou sal grosso. Pode também usar um soprador de neve elétrico ou a gasolina, conforme necessário. Pode dirigir veículos da equipe, conforme necessário. Classificação da Função: 37-3011.00 - Traba"&amp;"lhadores de Paisagismo e Manutenção de Jardins. A classificação e descrição da função/setor inclui informações gerais sobre o cargo, conforme o ONET/OES e o Sistema de Classificação Industrial da América do Norte (NAICS). Consulte as Funções e a Ordem de "&amp;"Serviço para obter mais informações. Requisitos da Função: Experiência Necessária: Não. Requisitos Especiais: É NECESSÁRIO TER 18 ANOS DEVIDO A EXIGÊNCIAS DE SEGURO. É NECESSÁRIO APRESENTAR COMPROVANTE DE AUTORIZAÇÃO LEGAL PARA TRABALHAR NOS ESTADOS UNIDO"&amp;"S. AMBIENTE DE TRABALHO LIVRE DE DROGAS, ÁLCOOL E TABACO. EXECUTAR ATIVIDADES FÍSICAS, COMO LEVANTAR, EQUILIBRAR, CAMINHAR, ABAIXAR, MANUSEAR, POSICIONAR, MOVER E MANIPULAR MATERIAIS. UTILIZAR FORÇA ESTÁTICA PARA EXERCER FORÇA MUSCULAR MÁXIMA PARA LEVANTA"&amp;"R, EMPURRAR, PUXAR E CARREGAR OBJETOS DE ATÉ 22,7 KG (50 LBS). TODOS OS CANDIDATOS DEVEM SER CAPAZES, ESTAR DISPOSTOS E QUALIFICADOS PARA EXECUTAR O TRABALHO DESCRITO E DEVEM TER DISPONIBILIDADE PARA TODO O PERÍODO ESPECIFICADO. TRABALHO AO AR LIVRE, EXPO"&amp;"STO ÀS CONDIÇÕES CLIMÁTICAS; DEVE SER CAPAZ DE REALIZAR TRABALHO FISICAMENTE INTENSO POR LONGAS HORAS, OCASIONALMENTE EM CALOR OU FRIO EXTREMOS. CONDIÇÕES CLIMÁTICAS VARIÁVEIS; O HORÁRIO PODE VARIAR (+/-), POSSÍVEL HORA DE INATIVIDADE E/OU HORAS EXTRAS. N"&amp;"úmero de horas por semana: 35. Horário de trabalho (início/término): 7h às 16h.")</f>
        <v>Remoção de neve, manutenção de terrenos, limpeza de lixo e outras tarefas relacionadas à manutenção das instalações, como limpeza de folhas, neve ou detritos usando ferramentas manuais ou equipamentos elétricos, incluindo, entre outros, ancinhos, pás e sopradores de neve/folhas. Preparação e ativação do sistema de irrigação para o inverno. Remoção ou substituição de vegetação morta. Possibilidade de limpeza de folhas no outono e na primavera, poda de inverno, plantio de plantas perenes, remoção de folhas e cobertura morta em canteiros. Poda de árvores e arbustos. Remoção de gelo e neve de calçadas, entradas de garagem e estacionamentos de diversas propriedades residenciais, municipais e comerciais, usando ferramentas manuais como vassouras de neve e pás, e espalhando soluções de degelo, incluindo cloreto de cálcio ou sal grosso. Pode também usar um soprador de neve elétrico ou a gasolina, conforme necessário. Pode dirigir veículos da equipe, conforme necessário. Classificação da Função: 37-3011.00 - Trabalhadores de Paisagismo e Manutenção de Jardins. A classificação e descrição da função/setor inclui informações gerais sobre o cargo, conforme o ONET/OES e o Sistema de Classificação Industrial da América do Norte (NAICS). Consulte as Funções e a Ordem de Serviço para obter mais informações. Requisitos da Função: Experiência Necessária: Não. Requisitos Especiais: É NECESSÁRIO TER 18 ANOS DEVIDO A EXIGÊNCIAS DE SEGURO. É NECESSÁRIO APRESENTAR COMPROVANTE DE AUTORIZAÇÃO LEGAL PARA TRABALHAR NOS ESTADOS UNIDOS. AMBIENTE DE TRABALHO LIVRE DE DROGAS, ÁLCOOL E TABACO. EXECUTAR ATIVIDADES FÍSICAS, COMO LEVANTAR, EQUILIBRAR, CAMINHAR, ABAIXAR, MANUSEAR, POSICIONAR, MOVER E MANIPULAR MATERIAIS. UTILIZAR FORÇA ESTÁTICA PARA EXERCER FORÇA MUSCULAR MÁXIMA PARA LEVANTAR, EMPURRAR, PUXAR E CARREGAR OBJETOS DE ATÉ 22,7 KG (50 LBS). TODOS OS CANDIDATOS DEVEM SER CAPAZES, ESTAR DISPOSTOS E QUALIFICADOS PARA EXECUTAR O TRABALHO DESCRITO E DEVEM TER DISPONIBILIDADE PARA TODO O PERÍODO ESPECIFICADO. TRABALHO AO AR LIVRE, EXPOSTO ÀS CONDIÇÕES CLIMÁTICAS; DEVE SER CAPAZ DE REALIZAR TRABALHO FISICAMENTE INTENSO POR LONGAS HORAS, OCASIONALMENTE EM CALOR OU FRIO EXTREMOS. CONDIÇÕES CLIMÁTICAS VARIÁVEIS; O HORÁRIO PODE VARIAR (+/-), POSSÍVEL HORA DE INATIVIDADE E/OU HORAS EXTRAS. Número de horas por semana: 35. Horário de trabalho (início/término): 7h às 16h.</v>
      </c>
    </row>
    <row r="531" ht="20.25" customHeight="1">
      <c r="A531" s="8" t="s">
        <v>2659</v>
      </c>
      <c r="B531" s="8" t="s">
        <v>2660</v>
      </c>
      <c r="C531" s="8" t="s">
        <v>2421</v>
      </c>
      <c r="D531" s="8" t="s">
        <v>79</v>
      </c>
      <c r="E531" s="9" t="s">
        <v>44</v>
      </c>
      <c r="F531" s="9" t="s">
        <v>20</v>
      </c>
      <c r="G531" s="9" t="s">
        <v>80</v>
      </c>
      <c r="H531" s="8" t="s">
        <v>2661</v>
      </c>
      <c r="I531" s="8" t="s">
        <v>2662</v>
      </c>
      <c r="J531" s="9">
        <v>17.68</v>
      </c>
      <c r="K531" s="9">
        <v>17.0</v>
      </c>
      <c r="L531" s="8" t="s">
        <v>83</v>
      </c>
      <c r="M531" s="8" t="s">
        <v>2663</v>
      </c>
      <c r="N531" s="7" t="str">
        <f>IFERROR(__xludf.DUMMYFUNCTION("GOOGLETRANSLATE(L531, ""en"", ""pt"")"),"Trabalhador Florestal")</f>
        <v>Trabalhador Florestal</v>
      </c>
      <c r="O531" s="7" t="str">
        <f>IFERROR(__xludf.DUMMYFUNCTION("IF(M531="""","""",GOOGLETRANSLATE(M531,""en"",""pt""))"),"As funções podem incluir: Trabalho manual ao ar livre para reflorestamento: manutenção e desenvolvimento de bosques, plantio manual de mudas de árvores sem raízes em J ou U. SE NECESSÁRIO (SOMENTE EM CASO DE INCÊNDIO IMPREVISTO) E SOB A SUPERVISÃO DIRETA "&amp;"DE OFICIAIS DE COMBATE A INCÊNDIOS OU TÉCNICOS FLORESTAIS: Auxiliar os bombeiros cavando ou construindo aceiros manualmente e auxiliando no controle da vegetação. Descartar galhos e arbustos por meio de desbaste e empilhamento, além de outras atividades r"&amp;"elacionadas a trabalhadores florestais, conforme SOC/OES 45-4011 (onetonline.org). Horário padrão/previsto: Segunda a sábado, das 7h às 15h30. Oferecemos mais de 40 horas semanais, sem incluir almoço e/ou intervalos. Possibilidade de trabalho em fins de s"&amp;"emana e feriados. Os horários de início e término, a carga horária oferecida e/ou a possibilidade de horas extras podem variar, pois dependem de fatores como necessidades do projeto/cronograma/serviço, condições climáticas e tempo de deslocamento entre os"&amp;" locais de trabalho (se aplicável). Horas extras são possíveis, mas não obrigatórias nem garantidas. A critério exclusivo do empregador: aumentos salariais e/ou bônus podem ser concedidos com base em fatores individuais, como desempenho ou habilidades (nã"&amp;"o garantidos). Moradia compartilhada opcional disponível sem custo para o trabalhador. Classificação da vaga: 45-4011.00 - Trabalhadores Florestais e de Conservação. A classificação e a descrição da vaga/setor incluem informações gerais sobre o cargo, de "&amp;"acordo com o ONET/OES e o Sistema de Classificação Industrial da América do Norte (NAICS). Consulte as Funções e a Ordem de Serviço para obter mais informações. Requisitos da vaga: Experiência exigida: Sim. Meses de experiência exigidos: 3. Requisitos esp"&amp;"eciais: É necessário ter 18 anos ou mais, conforme as leis trabalhistas estaduais. É necessário apresentar comprovante de autorização legal para trabalhar nos Estados Unidos. Ambiente de trabalho livre de drogas, álcool e tabaco. É necessário caminhar bas"&amp;"tante (até 24 km/dia), além de se abaixar e se curvar carregando uma mochila (até 32 kg) em terrenos acidentados (fora de trilhas). Todos os candidatos devem ser capazes, dispostos e qualificados para realizar o trabalho descrito e devem estar disponíveis"&amp;" durante todo o período especificado e trabalhar em todas as áreas da vaga. O trabalho é realizado ao ar livre, exposto às intempéries; o candidato deve ser capaz de realizar trabalho fisicamente extenuante por longos períodos, ocasionalmente em calor ou "&amp;"frio extremos. As condições climáticas são variáveis; a carga horária pode sofrer alterações, com possibilidade de períodos de inatividade e/ou horas extras. Número de horas por semana: 40. Horário de trabalho (início/término): 7h às 15h30.")</f>
        <v>As funções podem incluir: Trabalho manual ao ar livre para reflorestamento: manutenção e desenvolvimento de bosques, plantio manual de mudas de árvores sem raízes em J ou U. SE NECESSÁRIO (SOMENTE EM CASO DE INCÊNDIO IMPREVISTO) E SOB A SUPERVISÃO DIRETA DE OFICIAIS DE COMBATE A INCÊNDIOS OU TÉCNICOS FLORESTAIS: Auxiliar os bombeiros cavando ou construindo aceiros manualmente e auxiliando no controle da vegetação. Descartar galhos e arbustos por meio de desbaste e empilhamento, além de outras atividades relacionadas a trabalhadores florestais, conforme SOC/OES 45-4011 (onetonline.org). Horário padrão/previsto: Segunda a sábado, das 7h às 15h30. Oferecemos mais de 40 horas semanais, sem incluir almoço e/ou intervalos. Possibilidade de trabalho em fins de semana e feriados. Os horários de início e término, a carga horária oferecida e/ou a possibilidade de horas extras podem variar, pois dependem de fatores como necessidades do projeto/cronograma/serviço, condições climáticas e tempo de deslocamento entre os locais de trabalho (se aplicável). Horas extras são possíveis, mas não obrigatórias nem garantidas. A critério exclusivo do empregador: aumentos salariais e/ou bônus podem ser concedidos com base em fatores individuais, como desempenho ou habilidades (não garantidos). Moradia compartilhada opcional disponível sem custo para o trabalhador. Classificação da vaga: 45-4011.00 - Trabalhadores Florestais e de Conservação. A classificação e a descrição da vaga/setor incluem informações gerais sobre o cargo, de acordo com o ONET/OES e o Sistema de Classificação Industrial da América do Norte (NAICS). Consulte as Funções e a Ordem de Serviço para obter mais informações. Requisitos da vaga: Experiência exigida: Sim. Meses de experiência exigidos: 3. Requisitos especiais: É necessário ter 18 anos ou mais, conforme as leis trabalhistas estaduais. É necessário apresentar comprovante de autorização legal para trabalhar nos Estados Unidos. Ambiente de trabalho livre de drogas, álcool e tabaco. É necessário caminhar bastante (até 24 km/dia), além de se abaixar e se curvar carregando uma mochila (até 32 kg) em terrenos acidentados (fora de trilhas). Todos os candidatos devem ser capazes, dispostos e qualificados para realizar o trabalho descrito e devem estar disponíveis durante todo o período especificado e trabalhar em todas as áreas da vaga. O trabalho é realizado ao ar livre, exposto às intempéries; o candidato deve ser capaz de realizar trabalho fisicamente extenuante por longos períodos, ocasionalmente em calor ou frio extremos. As condições climáticas são variáveis; a carga horária pode sofrer alterações, com possibilidade de períodos de inatividade e/ou horas extras. Número de horas por semana: 40. Horário de trabalho (início/término): 7h às 15h30.</v>
      </c>
    </row>
    <row r="532" ht="20.25" customHeight="1">
      <c r="A532" s="3" t="s">
        <v>2664</v>
      </c>
      <c r="B532" s="3" t="s">
        <v>2665</v>
      </c>
      <c r="C532" s="3" t="s">
        <v>63</v>
      </c>
      <c r="D532" s="3" t="s">
        <v>109</v>
      </c>
      <c r="E532" s="4" t="s">
        <v>44</v>
      </c>
      <c r="F532" s="4" t="s">
        <v>20</v>
      </c>
      <c r="G532" s="4" t="s">
        <v>146</v>
      </c>
      <c r="H532" s="3" t="s">
        <v>2666</v>
      </c>
      <c r="I532" s="3" t="s">
        <v>2667</v>
      </c>
      <c r="J532" s="4">
        <v>19.86</v>
      </c>
      <c r="K532" s="4">
        <v>7.0</v>
      </c>
      <c r="L532" s="3" t="s">
        <v>59</v>
      </c>
      <c r="M532" s="3" t="s">
        <v>2668</v>
      </c>
      <c r="N532" s="7" t="str">
        <f>IFERROR(__xludf.DUMMYFUNCTION("GOOGLETRANSLATE(L532, ""en"", ""pt"")"),"Trabalhador de paisagismo")</f>
        <v>Trabalhador de paisagismo</v>
      </c>
      <c r="O532" s="7" t="str">
        <f>IFERROR(__xludf.DUMMYFUNCTION("IF(M532="""","""",GOOGLETRANSLATE(M532,""en"",""pt""))"),"Paisagismo e manutenção de terrenos utilizando ferramentas manuais ou elétricas. Os trabalhadores geralmente executam uma variedade de tarefas, que podem incluir qualquer combinação das seguintes: colocação de grama, corte de grama, poda, plantio, rega, f"&amp;"ertilização, escavação e rastelagem. Auxiliam na instalação/manutenção de sprinklers e unidades de alvenaria de concreto segmentado sem argamassa. Classificação da vaga: 37-3011.00 - Trabalhadores de Paisagismo e Manutenção de Terrenos. A classificação e "&amp;"descrição da vaga/setor incluem informações gerais sobre o cargo, de acordo com o ONET/OES e o Sistema de Classificação Industrial da América do Norte (NAICS). Consulte as Funções e a Ordem de Serviço para obter mais informações. Requisitos da vaga: Exper"&amp;"iência exigida: Sim. Meses de experiência exigidos: 3. Requisitos especiais: Deve ser capaz de levantar/carregar 23 kg, quando necessário. Trabalho aos sábados e domingos, quando necessário. Teste antidrogas pago pelo empregador é obrigatório para trabalh"&amp;"adores estrangeiros e nacionais antes do início do trabalho e após a contratação, em caso de acidente. Verificação de antecedentes criminais paga pelo empregador é obrigatória para trabalhadores estrangeiros e nacionais antes do início do trabalho. O empr"&amp;"egador poderá oferecer uma jornada de trabalho superior à estipulada, dependendo das condições climáticas, das necessidades da empresa e de outros fatores. Calor extremo, frio intenso, chuva ou seca podem afetar o horário de trabalho exato. Número de hora"&amp;"s por semana: 40. Horário de trabalho (início/término): 7h00 - 15h30.")</f>
        <v>Paisagismo e manutenção de terrenos utilizando ferramentas manuais ou elétricas. Os trabalhadores geralmente executam uma variedade de tarefas, que podem incluir qualquer combinação das seguintes: colocação de grama, corte de grama, poda, plantio, rega, fertilização, escavação e rastelagem. Auxiliam na instalação/manutenção de sprinklers e unidades de alvenaria de concreto segmentado sem argamassa. Classificação da vaga: 37-3011.00 - Trabalhadores de Paisagismo e Manutenção de Terrenos. A classificação e descrição da vaga/setor incluem informações gerais sobre o cargo, de acordo com o ONET/OES e o Sistema de Classificação Industrial da América do Norte (NAICS). Consulte as Funções e a Ordem de Serviço para obter mais informações. Requisitos da vaga: Experiência exigida: Sim. Meses de experiência exigidos: 3. Requisitos especiais: Deve ser capaz de levantar/carregar 23 kg, quando necessário. Trabalho aos sábados e domingos, quando necessário. Teste antidrogas pago pelo empregador é obrigatório para trabalhadores estrangeiros e nacionais antes do início do trabalho e após a contratação, em caso de acidente. Verificação de antecedentes criminais paga pelo empregador é obrigatória para trabalhadores estrangeiros e nacionais antes do início do trabalho. O empregador poderá oferecer uma jornada de trabalho superior à estipulada, dependendo das condições climáticas, das necessidades da empresa e de outros fatores. Calor extremo, frio intenso, chuva ou seca podem afetar o horário de trabalho exato. Número de horas por semana: 40. Horário de trabalho (início/término): 7h00 - 15h30.</v>
      </c>
    </row>
    <row r="533" ht="20.25" customHeight="1">
      <c r="A533" s="8" t="s">
        <v>2669</v>
      </c>
      <c r="B533" s="8" t="s">
        <v>2670</v>
      </c>
      <c r="C533" s="8" t="s">
        <v>93</v>
      </c>
      <c r="D533" s="8" t="s">
        <v>1103</v>
      </c>
      <c r="E533" s="9" t="s">
        <v>19</v>
      </c>
      <c r="F533" s="9" t="s">
        <v>20</v>
      </c>
      <c r="G533" s="9" t="s">
        <v>94</v>
      </c>
      <c r="H533" s="14" t="s">
        <v>2671</v>
      </c>
      <c r="I533" s="8" t="s">
        <v>2672</v>
      </c>
      <c r="J533" s="9">
        <v>12.89</v>
      </c>
      <c r="K533" s="9">
        <v>6.0</v>
      </c>
      <c r="L533" s="8" t="s">
        <v>2673</v>
      </c>
      <c r="M533" s="8" t="s">
        <v>2674</v>
      </c>
      <c r="N533" s="7" t="str">
        <f>IFERROR(__xludf.DUMMYFUNCTION("GOOGLETRANSLATE(L533, ""en"", ""pt"")"),"Ensacador de cebolas")</f>
        <v>Ensacador de cebolas</v>
      </c>
      <c r="O533" s="7" t="str">
        <f>IFERROR(__xludf.DUMMYFUNCTION("IF(M533="""","""",GOOGLETRANSLATE(M533,""en"",""pt""))"),"Os trabalhadores geralmente desempenham uma variedade de tarefas em uma unidade de embalagem de produtos agrícolas, que podem incluir qualquer uma das seguintes tarefas: Classificar, separar por tamanho, selecionar e embalar cebolas. Embalar produtos em s"&amp;"acos/bolsas de 25 a 50 libras (aproximadamente 11 a 23 kg) e empilhar e/ou fixar os produtos acabados. Nível inicial; requer supervisão. Classificação do Cargo: 53-7064.00 - Embaladores e Operadores de Embalagens Manuais. A classificação e descrição do ca"&amp;"rgo/setor inclui informações gerais sobre a posição, de acordo com o ONET/OES e o Sistema de Classificação Industrial da América do Norte (NAICS). Consulte as Funções e a Ordem de Serviço para obter mais informações. Requisitos do Cargo Experiência Necess"&amp;"ária: Não. Requisitos Especiais: Deve levantar/carregar 50 libras (aproximadamente 23 kg), quando necessário. Testes aleatórios de drogas após a contratação e em caso de suspeita de uso são obrigatórios para trabalhadores estrangeiros e nacionais. Verific"&amp;"ação de antecedentes e de elegibilidade para emprego (e-Verify) após a contratação são obrigatórias para trabalhadores estrangeiros e nacionais. O empregador pode oferecer mais horas de trabalho do que as indicadas, dependendo do clima, das necessidades d"&amp;"a empresa e de outras condições. Calor extremo, frio, chuva ou seca podem afetar o horário de trabalho exato. Número de horas por semana: 40 Horário de trabalho (início/término): 8h00 - 16h45")</f>
        <v>Os trabalhadores geralmente desempenham uma variedade de tarefas em uma unidade de embalagem de produtos agrícolas, que podem incluir qualquer uma das seguintes tarefas: Classificar, separar por tamanho, selecionar e embalar cebolas. Embalar produtos em sacos/bolsas de 25 a 50 libras (aproximadamente 11 a 23 kg) e empilhar e/ou fixar os produtos acabados. Nível inicial; requer supervisão. Classificação do Cargo: 53-7064.00 - Embaladores e Operadores de Embalagens Manuais. A classificação e descrição do cargo/setor inclui informações gerais sobre a posição, de acordo com o ONET/OES e o Sistema de Classificação Industrial da América do Norte (NAICS). Consulte as Funções e a Ordem de Serviço para obter mais informações. Requisitos do Cargo Experiência Necessária: Não. Requisitos Especiais: Deve levantar/carregar 50 libras (aproximadamente 23 kg), quando necessário. Testes aleatórios de drogas após a contratação e em caso de suspeita de uso são obrigatórios para trabalhadores estrangeiros e nacionais. Verificação de antecedentes e de elegibilidade para emprego (e-Verify) após a contratação são obrigatórias para trabalhadores estrangeiros e nacionais. O empregador pode oferecer mais horas de trabalho do que as indicadas, dependendo do clima, das necessidades da empresa e de outras condições. Calor extremo, frio, chuva ou seca podem afetar o horário de trabalho exato. Número de horas por semana: 40 Horário de trabalho (início/término): 8h00 - 16h45</v>
      </c>
    </row>
    <row r="534" ht="20.25" customHeight="1">
      <c r="A534" s="3" t="s">
        <v>2675</v>
      </c>
      <c r="B534" s="3" t="s">
        <v>2676</v>
      </c>
      <c r="C534" s="3" t="s">
        <v>93</v>
      </c>
      <c r="D534" s="3" t="s">
        <v>532</v>
      </c>
      <c r="E534" s="4" t="s">
        <v>19</v>
      </c>
      <c r="F534" s="4" t="s">
        <v>20</v>
      </c>
      <c r="G534" s="4" t="s">
        <v>29</v>
      </c>
      <c r="H534" s="3" t="s">
        <v>2677</v>
      </c>
      <c r="I534" s="3"/>
      <c r="J534" s="4">
        <v>17.94</v>
      </c>
      <c r="K534" s="4">
        <v>25.0</v>
      </c>
      <c r="L534" s="3" t="s">
        <v>2678</v>
      </c>
      <c r="M534" s="3" t="s">
        <v>2679</v>
      </c>
      <c r="N534" s="7" t="str">
        <f>IFERROR(__xludf.DUMMYFUNCTION("GOOGLETRANSLATE(L534, ""en"", ""pt"")"),"Auxiliar de Armazém")</f>
        <v>Auxiliar de Armazém</v>
      </c>
      <c r="O534" s="7" t="str">
        <f>IFERROR(__xludf.DUMMYFUNCTION("IF(M534="""","""",GOOGLETRANSLATE(M534,""en"",""pt""))"),"Embalar e/ou acondicionar diversos produtos de jardinagem, como musgos, plantas domésticas e vasos. Realizar verificações de qualidade para garantir a condição, quantidade e embalagem corretas dos produtos acabados. Informar imediatamente o supervisor sob"&amp;"re quaisquer problemas de qualidade. Empilhar o produto acabado na configuração correta. Garantir que todos os suprimentos necessários estejam disponíveis na estação de trabalho: caixas de embalagem, material de embalagem, fita adesiva; repor caixas/mater"&amp;"ial de embalagem na área de produção conforme necessário. Manter um ambiente de trabalho seguro e limpo. Seguir todas as normas de segurança e procedimentos operacionais padrão estabelecidos. Classificação da vaga: 53-7064.00 - Embaladores e empacotadores"&amp;" manuais. A classificação e descrição da vaga/setor incluem informações gerais sobre o cargo, de acordo com o ONET/OES e o Sistema de Classificação Industrial da América do Norte. Consulte as atribuições e a ordem de serviço para obter mais informações. R"&amp;"equisitos da vaga: Experiência necessária: Sim. Meses de experiência necessários: 3. Requisitos especiais: Requer três meses de experiência em embalagem em armazém. Deve ser capaz de levantar/carregar 14 kg, quando necessário. Trabalho aos sábados, quando"&amp;" necessário. A verificação de elegibilidade para emprego (e-Verify) após a contratação é obrigatória para trabalhadores estrangeiros e nacionais. O empregador poderá oferecer uma jornada de trabalho superior à estipulada, dependendo das condições climátic"&amp;"as, das necessidades da empresa e de outros fatores. Calor extremo, frio intenso, chuva ou seca podem afetar o horário de trabalho exato. Número de horas por semana: 40. Horário de trabalho (início/término): 7h às 15h30.")</f>
        <v>Embalar e/ou acondicionar diversos produtos de jardinagem, como musgos, plantas domésticas e vasos. Realizar verificações de qualidade para garantir a condição, quantidade e embalagem corretas dos produtos acabados. Informar imediatamente o supervisor sobre quaisquer problemas de qualidade. Empilhar o produto acabado na configuração correta. Garantir que todos os suprimentos necessários estejam disponíveis na estação de trabalho: caixas de embalagem, material de embalagem, fita adesiva; repor caixas/material de embalagem na área de produção conforme necessário. Manter um ambiente de trabalho seguro e limpo. Seguir todas as normas de segurança e procedimentos operacionais padrão estabelecidos. Classificação da vaga: 53-7064.00 - Embaladores e empacotadores manuais. A classificação e descrição da vaga/setor incluem informações gerais sobre o cargo, de acordo com o ONET/OES e o Sistema de Classificação Industrial da América do Norte. Consulte as atribuições e a ordem de serviço para obter mais informações. Requisitos da vaga: Experiência necessária: Sim. Meses de experiência necessários: 3. Requisitos especiais: Requer três meses de experiência em embalagem em armazém. Deve ser capaz de levantar/carregar 14 kg, quando necessário. Trabalho aos sábados, quando necessário. A verificação de elegibilidade para emprego (e-Verify) após a contratação é obrigatória para trabalhadores estrangeiros e nacionais. O empregador poderá oferecer uma jornada de trabalho superior à estipulada, dependendo das condições climáticas, das necessidades da empresa e de outros fatores. Calor extremo, frio intenso, chuva ou seca podem afetar o horário de trabalho exato. Número de horas por semana: 40. Horário de trabalho (início/término): 7h às 15h30.</v>
      </c>
    </row>
    <row r="535" ht="20.25" customHeight="1">
      <c r="A535" s="8" t="s">
        <v>2680</v>
      </c>
      <c r="B535" s="8" t="s">
        <v>2681</v>
      </c>
      <c r="C535" s="8" t="s">
        <v>169</v>
      </c>
      <c r="D535" s="8" t="s">
        <v>140</v>
      </c>
      <c r="E535" s="9" t="s">
        <v>19</v>
      </c>
      <c r="F535" s="9" t="s">
        <v>20</v>
      </c>
      <c r="G535" s="9" t="s">
        <v>1504</v>
      </c>
      <c r="H535" s="8" t="s">
        <v>1244</v>
      </c>
      <c r="I535" s="8" t="s">
        <v>2258</v>
      </c>
      <c r="J535" s="9">
        <v>16.66</v>
      </c>
      <c r="K535" s="9">
        <v>22.0</v>
      </c>
      <c r="L535" s="8" t="s">
        <v>1245</v>
      </c>
      <c r="M535" s="8" t="s">
        <v>2682</v>
      </c>
      <c r="N535" s="7" t="str">
        <f>IFERROR(__xludf.DUMMYFUNCTION("GOOGLETRANSLATE(L535, ""en"", ""pt"")"),"Operário de Produção")</f>
        <v>Operário de Produção</v>
      </c>
      <c r="O535" s="7" t="str">
        <f>IFERROR(__xludf.DUMMYFUNCTION("IF(M535="""","""",GOOGLETRANSLATE(M535,""en"",""pt""))"),"Os funcionários geralmente executam uma variedade de tarefas em uma unidade de produção, que podem incluir: enchimento de sacos de grãos misturados, segurando o saco no lugar sob o bico/calha enquanto as sementes o enchem; selagem dos sacos usando uma sel"&amp;"adora a ar quente que aquece o saco para selá-lo sem a necessidade de fechos/materiais adicionais; e embalagem dos sacos em caixas ou empilhamento em paletes. Manter a área de trabalho e os equipamentos limpos. Nível inicial; requer supervisão. Classifica"&amp;"ção do Cargo: 53-7064.00 - Embaladores e Acondicionadores Manuais. A classificação e descrição do cargo/setor incluem informações gerais sobre a posição, de acordo com o ONET/OES e o Sistema de Classificação Industrial da América do Norte. Consulte as Fun"&amp;"ções e a Ordem de Serviço para obter mais informações. Requisitos do Cargo: Experiência Necessária: Não. Requisitos Especiais: Deve ser capaz de levantar/carregar até 23 kg, quando necessário. Dois turnos podem ser oferecidos: 6h30 às 15h30 de segunda a s"&amp;"exta-feira ou 17h às 4h de segunda a quinta-feira. Trabalho aos sábados e domingos, quando necessário. O empregador exige que todos os trabalhadores, estrangeiros e nacionais, se submetam a testes de drogas pagos pela empresa antes do início do trabalho e"&amp;", após a contratação, aleatoriamente e em caso de acidente. A verificação de antecedentes e a verificação de elegibilidade para emprego (e-Verify) são obrigatórias para todos os trabalhadores, estrangeiros e nacionais, após a contratação. Treinamento de s"&amp;"egurança obrigatório para todos os novos contratados, estrangeiros e nacionais. Somos uma empresa que oferece igualdade de oportunidades de emprego e todos os candidatos qualificados serão considerados para a vaga, independentemente de raça, cor, religião"&amp;", sexo, nacionalidade, deficiência, condição de veterano protegido, orientação sexual, identidade de gênero ou qualquer outra característica protegida por lei. O empregador poderá oferecer uma jornada de trabalho superior à estipulada, dependendo das cond"&amp;"ições climáticas, das necessidades da empresa e de outras circunstâncias. Calor extremo, frio, chuva ou seca podem afetar o horário de trabalho exato. Número de horas por semana: 40. Horário de trabalho (início/término): 6h30 às 15h30.")</f>
        <v>Os funcionários geralmente executam uma variedade de tarefas em uma unidade de produção, que podem incluir: enchimento de sacos de grãos misturados, segurando o saco no lugar sob o bico/calha enquanto as sementes o enchem; selagem dos sacos usando uma seladora a ar quente que aquece o saco para selá-lo sem a necessidade de fechos/materiais adicionais; e embalagem dos sacos em caixas ou empilhamento em paletes. Manter a área de trabalho e os equipamentos limpos. Nível inicial; requer supervisão. Classificação do Cargo: 53-7064.00 - Embaladores e Acondicionadores Manuais. A classificação e descrição do cargo/setor incluem informações gerais sobre a posição, de acordo com o ONET/OES e o Sistema de Classificação Industrial da América do Norte. Consulte as Funções e a Ordem de Serviço para obter mais informações. Requisitos do Cargo: Experiência Necessária: Não. Requisitos Especiais: Deve ser capaz de levantar/carregar até 23 kg, quando necessário. Dois turnos podem ser oferecidos: 6h30 às 15h30 de segunda a sexta-feira ou 17h às 4h de segunda a quinta-feira. Trabalho aos sábados e domingos, quando necessário. O empregador exige que todos os trabalhadores, estrangeiros e nacionais, se submetam a testes de drogas pagos pela empresa antes do início do trabalho e, após a contratação, aleatoriamente e em caso de acidente. A verificação de antecedentes e a verificação de elegibilidade para emprego (e-Verify) são obrigatórias para todos os trabalhadores, estrangeiros e nacionais, após a contratação. Treinamento de segurança obrigatório para todos os novos contratados, estrangeiros e nacionais. Somos uma empresa que oferece igualdade de oportunidades de emprego e todos os candidatos qualificados serão considerados para a vaga, independentemente de raça, cor, religião, sexo, nacionalidade, deficiência, condição de veterano protegido, orientação sexual, identidade de gênero ou qualquer outra característica protegida por lei. O empregador poderá oferecer uma jornada de trabalho superior à estipulada, dependendo das condições climáticas, das necessidades da empresa e de outras circunstâncias. Calor extremo, frio, chuva ou seca podem afetar o horário de trabalho exato. Número de horas por semana: 40. Horário de trabalho (início/término): 6h30 às 15h30.</v>
      </c>
    </row>
    <row r="536" ht="20.25" customHeight="1">
      <c r="A536" s="3" t="s">
        <v>2683</v>
      </c>
      <c r="B536" s="3" t="s">
        <v>2684</v>
      </c>
      <c r="C536" s="3" t="s">
        <v>169</v>
      </c>
      <c r="D536" s="3" t="s">
        <v>55</v>
      </c>
      <c r="E536" s="4" t="s">
        <v>44</v>
      </c>
      <c r="F536" s="4" t="s">
        <v>20</v>
      </c>
      <c r="G536" s="4" t="s">
        <v>2685</v>
      </c>
      <c r="H536" s="3" t="s">
        <v>1244</v>
      </c>
      <c r="I536" s="3" t="s">
        <v>2258</v>
      </c>
      <c r="J536" s="4">
        <v>18.14</v>
      </c>
      <c r="K536" s="4">
        <v>12.0</v>
      </c>
      <c r="L536" s="3" t="s">
        <v>1245</v>
      </c>
      <c r="M536" s="3" t="s">
        <v>2686</v>
      </c>
      <c r="N536" s="7" t="str">
        <f>IFERROR(__xludf.DUMMYFUNCTION("GOOGLETRANSLATE(L536, ""en"", ""pt"")"),"Operário de Produção")</f>
        <v>Operário de Produção</v>
      </c>
      <c r="O536" s="7" t="str">
        <f>IFERROR(__xludf.DUMMYFUNCTION("IF(M536="""","""",GOOGLETRANSLATE(M536,""en"",""pt""))"),"Os funcionários geralmente executam uma variedade de tarefas em uma unidade de produção, que podem incluir: enchimento de sacos de grãos misturados, segurando o saco no lugar sob o bico/calha enquanto as sementes o enchem; selagem dos sacos usando uma sel"&amp;"adora a ar quente que aquece o saco para selá-lo sem a necessidade de fechos/materiais adicionais; e embalagem dos sacos em caixas ou empilhamento em paletes. Manter a área de trabalho e os equipamentos limpos. Nível inicial; requer supervisão. Classifica"&amp;"ção do Cargo: 53-7064.00 - Embaladores e Acondicionadores Manuais. A classificação e descrição do cargo/setor incluem informações gerais sobre a posição, de acordo com o ONET/OES e o Sistema de Classificação Industrial da América do Norte. Consulte as Fun"&amp;"ções e a Ordem de Serviço para obter mais informações. Requisitos do Cargo: Experiência Necessária: Não. Requisitos Especiais: Deve ser capaz de levantar/carregar 23 kg, quando necessário. Dois turnos podem ser oferecidos: 6h30 às 15h30 de segunda a sexta"&amp;"-feira ou 17h às 4h de segunda a quinta-feira. Trabalho aos sábados e domingos, quando necessário. O empregador exige que todos os trabalhadores, estrangeiros e nacionais, se submetam a testes de drogas pagos pela empresa antes do início do trabalho e, ap"&amp;"ós a contratação, aleatoriamente e em caso de acidente. A verificação de antecedentes e a verificação de elegibilidade para emprego (e-Verify) são obrigatórias para todos os trabalhadores, estrangeiros e nacionais, após a contratação. Treinamento de segur"&amp;"ança obrigatório para todos os novos contratados, estrangeiros e nacionais. Somos uma empresa que oferece igualdade de oportunidades de emprego e todos os candidatos qualificados serão considerados para a vaga, independentemente de raça, cor, religião, se"&amp;"xo, nacionalidade, deficiência, condição de veterano protegido, orientação sexual, identidade de gênero ou qualquer outra característica protegida por lei. O empregador poderá oferecer uma jornada de trabalho superior à estipulada, dependendo das condiçõe"&amp;"s climáticas, das necessidades da empresa e de outras circunstâncias. Calor extremo, frio, chuva ou seca podem afetar o horário de trabalho exato. Número de horas por semana: 40. Horário de trabalho (início/término): 6h30 às 15h30.")</f>
        <v>Os funcionários geralmente executam uma variedade de tarefas em uma unidade de produção, que podem incluir: enchimento de sacos de grãos misturados, segurando o saco no lugar sob o bico/calha enquanto as sementes o enchem; selagem dos sacos usando uma seladora a ar quente que aquece o saco para selá-lo sem a necessidade de fechos/materiais adicionais; e embalagem dos sacos em caixas ou empilhamento em paletes. Manter a área de trabalho e os equipamentos limpos. Nível inicial; requer supervisão. Classificação do Cargo: 53-7064.00 - Embaladores e Acondicionadores Manuais. A classificação e descrição do cargo/setor incluem informações gerais sobre a posição, de acordo com o ONET/OES e o Sistema de Classificação Industrial da América do Norte. Consulte as Funções e a Ordem de Serviço para obter mais informações. Requisitos do Cargo: Experiência Necessária: Não. Requisitos Especiais: Deve ser capaz de levantar/carregar 23 kg, quando necessário. Dois turnos podem ser oferecidos: 6h30 às 15h30 de segunda a sexta-feira ou 17h às 4h de segunda a quinta-feira. Trabalho aos sábados e domingos, quando necessário. O empregador exige que todos os trabalhadores, estrangeiros e nacionais, se submetam a testes de drogas pagos pela empresa antes do início do trabalho e, após a contratação, aleatoriamente e em caso de acidente. A verificação de antecedentes e a verificação de elegibilidade para emprego (e-Verify) são obrigatórias para todos os trabalhadores, estrangeiros e nacionais, após a contratação. Treinamento de segurança obrigatório para todos os novos contratados, estrangeiros e nacionais. Somos uma empresa que oferece igualdade de oportunidades de emprego e todos os candidatos qualificados serão considerados para a vaga, independentemente de raça, cor, religião, sexo, nacionalidade, deficiência, condição de veterano protegido, orientação sexual, identidade de gênero ou qualquer outra característica protegida por lei. O empregador poderá oferecer uma jornada de trabalho superior à estipulada, dependendo das condições climáticas, das necessidades da empresa e de outras circunstâncias. Calor extremo, frio, chuva ou seca podem afetar o horário de trabalho exato. Número de horas por semana: 40. Horário de trabalho (início/término): 6h30 às 15h30.</v>
      </c>
    </row>
    <row r="537" ht="20.25" customHeight="1">
      <c r="A537" s="8" t="s">
        <v>2687</v>
      </c>
      <c r="B537" s="8" t="s">
        <v>2688</v>
      </c>
      <c r="C537" s="8" t="s">
        <v>2421</v>
      </c>
      <c r="D537" s="8" t="s">
        <v>28</v>
      </c>
      <c r="E537" s="9" t="s">
        <v>19</v>
      </c>
      <c r="F537" s="9" t="s">
        <v>20</v>
      </c>
      <c r="G537" s="9" t="s">
        <v>155</v>
      </c>
      <c r="H537" s="8" t="s">
        <v>2689</v>
      </c>
      <c r="I537" s="8" t="s">
        <v>2690</v>
      </c>
      <c r="J537" s="9">
        <v>17.17</v>
      </c>
      <c r="K537" s="9">
        <v>12.0</v>
      </c>
      <c r="L537" s="8" t="s">
        <v>59</v>
      </c>
      <c r="M537" s="8" t="s">
        <v>2691</v>
      </c>
      <c r="N537" s="7" t="str">
        <f>IFERROR(__xludf.DUMMYFUNCTION("GOOGLETRANSLATE(L537, ""en"", ""pt"")"),"Trabalhador de paisagismo")</f>
        <v>Trabalhador de paisagismo</v>
      </c>
      <c r="O537" s="7" t="str">
        <f>IFERROR(__xludf.DUMMYFUNCTION("IF(M537="""","""",GOOGLETRANSLATE(M537,""en"",""pt""))"),"As funções podem incluir: sob supervisão direta, usar ferramentas manuais como ancinhos, sopradores de detritos e tesouras de poda; recolher e remover lixo/detritos/folhas; podar ou aparar pequenas árvores/arbustos rente ao solo; cortar a grama; aparar, s"&amp;"oprar; preparar sistemas de irrigação para o inverno; e decorar espaços externos e jardins com elementos paisagísticos adequados à estação, como cobertura morta, forração, plantas ou (seguir o projeto paisagístico já definido para auxiliar na colocação de"&amp;" itens festivos, como fardos de feno, abóboras, guirlandas de Natal, etc.) e outras atividades relacionadas a serviços de paisagismo, conforme SOC/OES 37-3011 (onetonline.org). Horário padrão/esperado: segunda a sexta, das 6h30 às 16h30. Oferecemos mais d"&amp;"e 40 horas semanais, sem incluir almoço e/ou intervalos. Possibilidade de trabalho aos fins de semana e feriados. Os horários de início e término, a carga horária oferecida e/ou a possibilidade de horas extras podem variar, pois dependem de fatores como n"&amp;"ecessidades do projeto/cronograma/serviço, condições climáticas e tempo de deslocamento entre os locais de trabalho (se aplicável). Horas extras são possíveis, mas não obrigatórias nem garantidas. A critério exclusivo do empregador: aumentos salariais e/o"&amp;"u bônus podem ser concedidos com base em fatores individuais, como desempenho ou habilidades (não garantidos). Classificação da vaga: 37-3011.00 - Trabalhadores de Paisagismo e Manutenção de Áreas Verdes. A classificação e a descrição da vaga/setor inclue"&amp;"m informações gerais sobre o cargo, conforme o ONET/OES e o Sistema de Classificação Industrial da América do Norte (NAICS). Consulte as Funções e a Ordem de Serviço para obter mais informações. Requisitos da vaga: Experiência necessária: Não. Requisitos "&amp;"especiais: É necessário comprovar autorização legal para trabalhar nos Estados Unidos. Ambiente de trabalho livre de drogas, álcool e tabaco. Executar atividades físicas, como levantar, equilibrar-se, caminhar, abaixar-se, manusear, posicionar, mover e ma"&amp;"nipular materiais; usar força estática para exercer força muscular máxima para levantar, empurrar, puxar e carregar objetos de até 23 kg. Todos os candidatos devem ser capazes, estar dispostos e qualificados para executar o trabalho descrito e devem estar"&amp;" disponíveis durante todo o período especificado e trabalhar em todas as áreas do emprego pretendido. A critério do empregador/custo: O trabalhador poderá ser submetido a testes aleatórios de drogas/álcool durante o emprego: teste positivo/recusa em cumpr"&amp;"ir o teste = demissão. Possível verificação de antecedentes após a contratação, às custas do empregador. O trabalho é realizado ao ar livre, exposto às intempéries; o candidato deve ser capaz de realizar trabalho fisicamente extenuante por longas horas, o"&amp;"casionalmente em calor ou frio extremos. As condições climáticas são variáveis; a carga horária pode sofrer alterações (+/-), podendo haver períodos de inatividade e/ou horas extras. Número de horas por semana: 40. Horário de trabalho (início/término): 6h"&amp;"30 às 16h30.")</f>
        <v>As funções podem incluir: sob supervisão direta, usar ferramentas manuais como ancinhos, sopradores de detritos e tesouras de poda; recolher e remover lixo/detritos/folhas; podar ou aparar pequenas árvores/arbustos rente ao solo; cortar a grama; aparar, soprar; preparar sistemas de irrigação para o inverno; e decorar espaços externos e jardins com elementos paisagísticos adequados à estação, como cobertura morta, forração, plantas ou (seguir o projeto paisagístico já definido para auxiliar na colocação de itens festivos, como fardos de feno, abóboras, guirlandas de Natal, etc.) e outras atividades relacionadas a serviços de paisagismo, conforme SOC/OES 37-3011 (onetonline.org). Horário padrão/esperado: segunda a sexta, das 6h30 às 16h30. Oferecemos mais de 40 horas semanais, sem incluir almoço e/ou intervalos. Possibilidade de trabalho aos fins de semana e feriados. Os horários de início e término, a carga horária oferecida e/ou a possibilidade de horas extras podem variar, pois dependem de fatores como necessidades do projeto/cronograma/serviço, condições climáticas e tempo de deslocamento entre os locais de trabalho (se aplicável). Horas extras são possíveis, mas não obrigatórias nem garantidas. A critério exclusivo do empregador: aumentos salariais e/ou bônus podem ser concedidos com base em fatores individuais, como desempenho ou habilidades (não garantidos). Classificação da vaga: 37-3011.00 - Trabalhadores de Paisagismo e Manutenção de Áreas Verdes. A classificação e a descrição da vaga/setor incluem informações gerais sobre o cargo, conforme o ONET/OES e o Sistema de Classificação Industrial da América do Norte (NAICS). Consulte as Funções e a Ordem de Serviço para obter mais informações. Requisitos da vaga: Experiência necessária: Não. Requisitos especiais: É necessário comprovar autorização legal para trabalhar nos Estados Unidos. Ambiente de trabalho livre de drogas, álcool e tabaco. Executar atividades físicas, como levantar, equilibrar-se, caminhar, abaixar-se, manusear, posicionar, mover e manipular materiais; usar força estática para exercer força muscular máxima para levantar, empurrar, puxar e carregar objetos de até 23 kg. Todos os candidatos devem ser capazes, estar dispostos e qualificados para executar o trabalho descrito e devem estar disponíveis durante todo o período especificado e trabalhar em todas as áreas do emprego pretendido. A critério do empregador/custo: O trabalhador poderá ser submetido a testes aleatórios de drogas/álcool durante o emprego: teste positivo/recusa em cumprir o teste = demissão. Possível verificação de antecedentes após a contratação, às custas do empregador. O trabalho é realizado ao ar livre, exposto às intempéries; o candidato deve ser capaz de realizar trabalho fisicamente extenuante por longas horas, ocasionalmente em calor ou frio extremos. As condições climáticas são variáveis; a carga horária pode sofrer alterações (+/-), podendo haver períodos de inatividade e/ou horas extras. Número de horas por semana: 40. Horário de trabalho (início/término): 6h30 às 16h30.</v>
      </c>
    </row>
    <row r="538" ht="20.25" customHeight="1">
      <c r="A538" s="3" t="s">
        <v>2692</v>
      </c>
      <c r="B538" s="3" t="s">
        <v>2075</v>
      </c>
      <c r="C538" s="3" t="s">
        <v>376</v>
      </c>
      <c r="D538" s="3" t="s">
        <v>28</v>
      </c>
      <c r="E538" s="4" t="s">
        <v>19</v>
      </c>
      <c r="F538" s="4" t="s">
        <v>20</v>
      </c>
      <c r="G538" s="4" t="s">
        <v>94</v>
      </c>
      <c r="H538" s="3" t="s">
        <v>2076</v>
      </c>
      <c r="I538" s="3" t="s">
        <v>2077</v>
      </c>
      <c r="J538" s="4">
        <v>19.99</v>
      </c>
      <c r="K538" s="4">
        <v>7.0</v>
      </c>
      <c r="L538" s="3" t="s">
        <v>2213</v>
      </c>
      <c r="M538" s="3" t="s">
        <v>2693</v>
      </c>
      <c r="N538" s="7" t="str">
        <f>IFERROR(__xludf.DUMMYFUNCTION("GOOGLETRANSLATE(L538, ""en"", ""pt"")"),"Operador de caminhão e trator industrial")</f>
        <v>Operador de caminhão e trator industrial</v>
      </c>
      <c r="O538" s="7" t="str">
        <f>IFERROR(__xludf.DUMMYFUNCTION("IF(M538="""","""",GOOGLETRANSLATE(M538,""en"",""pt""))"),"Operador de Caminhão e Trator Industrial – Sete (7) vagas temporárias em tempo integral, de 1º de outubro de 2026 a 31 de janeiro de 2027, na Raceland Raw Sugar, LLC, em Raceland, Louisiana. Auxiliar os trabalhadores da produção realizando tarefas que exi"&amp;"gem menos habilidade. As funções incluem o fornecimento e o transporte de materiais para o destino correto. Os trabalhadores transportarão a cana-de-açúcar colhida, trazida dos agricultores, da área de descarte para a usina para processamento. Os funcioná"&amp;"rios operarão a pá carregadeira para coletar a cana-de-açúcar entregue pelos caminhões à fábrica e colocá-la na esteira transportadora. Carregarão a mesa de alimentação para processamento na usina à medida que a cana for entregue ou a empilharão para alim"&amp;"entação posterior. A Raceland recebe 18.000 toneladas de cana-de-açúcar diariamente durante este período. Os trabalhadores receberão um salário mínimo de US$ 19,99/hora; US$ 29,99/hora para horas extras, com base em uma única semana de trabalho. Uma única"&amp;" semana de trabalho será usada para calcular os salários devidos. Os salários são pagos quinzenalmente. É necessário um mínimo de 3 meses de experiência na função oferecida na indústria de usinas de açúcar bruto. Não há exigência de escolaridade mínima. N"&amp;"ão será oferecido treinamento no local de trabalho. Salários mais altos poderão ser oferecidos a trabalhadores com vasta experiência. Alojamento opcional no local de trabalho é oferecido gratuitamente aos trabalhadores contratados para esta vaga temporári"&amp;"a. Quando aplicável, o transporte diário de ida e volta para o local de trabalho será fornecido pelo empregador. O empregador fornecerá aos trabalhadores, sem custo (ou mediante depósito), todas as ferramentas, suprimentos e equipamentos necessários para "&amp;"a execução do trabalho. Disponibilidade para trabalhar 7 dias por semana, em turnos variados de 8 horas (7h-15h; 15h-23h; 23h-7h); 56 horas semanais durante a safra, 40 horas semanais após a safra até o término do contrato, com pagamento de horas extras a"&amp;"pós 48 horas durante a safra e após 40 horas após a safra; o trabalhador terá 30 minutos de intervalo para almoço remunerado durante a safra e 30 minutos de intervalo para almoço não remunerado antes e depois da safra. O empregador fará todos os descontos"&amp;" exigidos por lei no contracheque do trabalhador. O empregador reembolsará o trabalhador com visto H-2B (por cheque) na primeira semana de trabalho, o custo total de todos os vistos, processamento de vistos, travessia de fronteira e outras taxas relaciona"&amp;"das, incluindo aquelas exigidas pelo governo (exceto taxas de passaporte). O trabalhador será reembolsado pelas despesas de transporte e subsistência do local de onde veio trabalhar para o empregador, seja nos EUA ou no exterior, até o local de trabalho, "&amp;"por cheque do empregador, após a conclusão de 50% do período de trabalho coberto pela ordem de serviço ou antes, se for o caso. O empregador fornecerá ou pagará o custo do transporte de retorno e da subsistência diária do trabalhador do local de trabalho "&amp;"até o local de onde o trabalhador partiu para trabalhar para o empregador, independentemente de empregos intermediários, caso o trabalhador complete o período de trabalho certificado ou seja demitido por qualquer motivo pelo empregador antes do término do"&amp;" período. O valor do pagamento ou reembolso do transporte será equivalente ao da transportadora comum mais econômica e razoável para as distâncias envolvidas. Isso inclui pelo menos US$ 16,78 por dia durante o deslocamento, até um máximo de US$ 68,00 por "&amp;"dia, mediante comprovação das despesas reais. O empregador garante oferecer emprego equivalente a pelo menos três quartos (3/4) dos dias úteis de cada período de 12 semanas do período total de emprego; e, caso a garantia não seja cumprida, o empregador pa"&amp;"gará ao trabalhador o valor que ele teria recebido se o empregador tivesse oferecido o número de dias garantido. O período de 12 semanas terá início no primeiro dia útil após a chegada do trabalhador ou na data contratual de necessidade anunciada, o que o"&amp;"correr por último. A Raceland fornecerá ou reembolsará os custos de transporte de ida e volta e de subsistência diária para os trabalhadores americanos correspondentes que não puderem retornar à sua residência no mesmo dia útil. A Raceland Raw Sugar, LLC "&amp;"é a mesma entidade que a Raceland Raw Sugar Corporation, conforme listada na ordem de serviço da Agência Estadual de Força de Trabalho. Classificação da Função: 53-7051.00 - Operadores de Empilhadeiras e Tratores Industriais. A classificação e descrição d"&amp;"a função/setor incluem informações gerais sobre o cargo, conforme o ONET/OES e o Sistema de Classificação Industrial da América do Norte (NAICS). Consulte as Funções e a Ordem de Serviço para obter mais informações. Requisitos da Função: Experiência Neces"&amp;"sária: Sim. Meses de Experiência Necessários: 3. Número de Horas por Semana: 56. Horário de Trabalho (Início/Término): 7h às 15h.")</f>
        <v>Operador de Caminhão e Trator Industrial – Sete (7) vagas temporárias em tempo integral, de 1º de outubro de 2026 a 31 de janeiro de 2027, na Raceland Raw Sugar, LLC, em Raceland, Louisiana. Auxiliar os trabalhadores da produção realizando tarefas que exigem menos habilidade. As funções incluem o fornecimento e o transporte de materiais para o destino correto. Os trabalhadores transportarão a cana-de-açúcar colhida, trazida dos agricultores, da área de descarte para a usina para processamento. Os funcionários operarão a pá carregadeira para coletar a cana-de-açúcar entregue pelos caminhões à fábrica e colocá-la na esteira transportadora. Carregarão a mesa de alimentação para processamento na usina à medida que a cana for entregue ou a empilharão para alimentação posterior. A Raceland recebe 18.000 toneladas de cana-de-açúcar diariamente durante este período. Os trabalhadores receberão um salário mínimo de US$ 19,99/hora; US$ 29,99/hora para horas extras, com base em uma única semana de trabalho. Uma única semana de trabalho será usada para calcular os salários devidos. Os salários são pagos quinzenalmente. É necessário um mínimo de 3 meses de experiência na função oferecida na indústria de usinas de açúcar bruto. Não há exigência de escolaridade mínima. Não será oferecido treinamento no local de trabalho. Salários mais altos poderão ser oferecidos a trabalhadores com vasta experiência. Alojamento opcional no local de trabalho é oferecido gratuitamente aos trabalhadores contratados para esta vaga temporária. Quando aplicável, o transporte diário de ida e volta para o local de trabalho será fornecido pelo empregador. O empregador fornecerá aos trabalhadores, sem custo (ou mediante depósito), todas as ferramentas, suprimentos e equipamentos necessários para a execução do trabalho. Disponibilidade para trabalhar 7 dias por semana, em turnos variados de 8 horas (7h-15h; 15h-23h; 23h-7h); 56 horas semanais durante a safra, 40 horas semanais após a safra até o término do contrato, com pagamento de horas extras após 48 horas durante a safra e após 40 horas após a safra; o trabalhador terá 30 minutos de intervalo para almoço remunerado durante a safra e 30 minutos de intervalo para almoço não remunerado antes e depois da safra. O empregador fará todos os descontos exigidos por lei no contracheque do trabalhador. O empregador reembolsará o trabalhador com visto H-2B (por cheque) na primeira semana de trabalho, o custo total de todos os vistos, processamento de vistos, travessia de fronteira e outras taxas relacionadas, incluindo aquelas exigidas pelo governo (exceto taxas de passaporte). O trabalhador será reembolsado pelas despesas de transporte e subsistência do local de onde veio trabalhar para o empregador, seja nos EUA ou no exterior, até o local de trabalho, por cheque do empregador, após a conclusão de 50% do período de trabalho coberto pela ordem de serviço ou antes, se for o caso. O empregador fornecerá ou pagará o custo do transporte de retorno e da subsistência diária do trabalhador do local de trabalho até o local de onde o trabalhador partiu para trabalhar para o empregador, independentemente de empregos intermediários, caso o trabalhador complete o período de trabalho certificado ou seja demitido por qualquer motivo pelo empregador antes do término do período. O valor do pagamento ou reembolso do transporte será equivalente ao da transportadora comum mais econômica e razoável para as distâncias envolvidas. Isso inclui pelo menos US$ 16,78 por dia durante o deslocamento, até um máximo de US$ 68,00 por dia, mediante comprovação das despesas reais. O empregador garante oferecer emprego equivalente a pelo menos três quartos (3/4) dos dias úteis de cada período de 12 semanas do período total de emprego; e, caso a garantia não seja cumprida, o empregador pagará ao trabalhador o valor que ele teria recebido se o empregador tivesse oferecido o número de dias garantido. O período de 12 semanas terá início no primeiro dia útil após a chegada do trabalhador ou na data contratual de necessidade anunciada, o que ocorrer por último. A Raceland fornecerá ou reembolsará os custos de transporte de ida e volta e de subsistência diária para os trabalhadores americanos correspondentes que não puderem retornar à sua residência no mesmo dia útil. A Raceland Raw Sugar, LLC é a mesma entidade que a Raceland Raw Sugar Corporation, conforme listada na ordem de serviço da Agência Estadual de Força de Trabalho. Classificação da Função: 53-7051.00 - Operadores de Empilhadeiras e Tratores Industriais. A classificação e descrição da função/setor incluem informações gerais sobre o cargo, conforme o ONET/OES e o Sistema de Classificação Industrial da América do Norte (NAICS). Consulte as Funções e a Ordem de Serviço para obter mais informações. Requisitos da Função: Experiência Necessária: Sim. Meses de Experiência Necessários: 3. Número de Horas por Semana: 56. Horário de Trabalho (Início/Término): 7h às 15h.</v>
      </c>
    </row>
    <row r="539" ht="20.25" customHeight="1">
      <c r="A539" s="8" t="s">
        <v>2694</v>
      </c>
      <c r="B539" s="8" t="s">
        <v>2695</v>
      </c>
      <c r="C539" s="8" t="s">
        <v>2421</v>
      </c>
      <c r="D539" s="8" t="s">
        <v>102</v>
      </c>
      <c r="E539" s="9" t="s">
        <v>19</v>
      </c>
      <c r="F539" s="9" t="s">
        <v>20</v>
      </c>
      <c r="G539" s="9" t="s">
        <v>80</v>
      </c>
      <c r="H539" s="8" t="s">
        <v>2696</v>
      </c>
      <c r="I539" s="8" t="s">
        <v>2697</v>
      </c>
      <c r="J539" s="9">
        <v>12.39</v>
      </c>
      <c r="K539" s="9">
        <v>4.0</v>
      </c>
      <c r="L539" s="8" t="s">
        <v>105</v>
      </c>
      <c r="M539" s="8" t="s">
        <v>2698</v>
      </c>
      <c r="N539" s="7" t="str">
        <f>IFERROR(__xludf.DUMMYFUNCTION("GOOGLETRANSLATE(L539, ""en"", ""pt"")"),"Abridores de Ostras")</f>
        <v>Abridores de Ostras</v>
      </c>
      <c r="O539" s="7" t="str">
        <f>IFERROR(__xludf.DUMMYFUNCTION("IF(M539="""","""",GOOGLETRANSLATE(M539,""en"",""pt""))"),"As funções podem incluir: usar facas para abrir, limpar, aparar e fatiar ostras, retirando-as de suas conchas e colocando-as em um balde para serem pesadas e preparadas para venda; limpar as áreas de trabalho e outras atividades relacionadas à abertura de"&amp;" ostras, conforme SOC/OES 51-3022 (onetonline.org). Horário padrão/esperado: segunda a sexta, das 5h às 12h. Oferecemos mais de 35 horas semanais, sem incluir almoço e/ou intervalos. Possibilidade de trabalho aos fins de semana. Os horários de início e té"&amp;"rmino, a carga horária e/ou horas extras podem variar, pois dependem de fatores como necessidades do projeto/cronograma/serviço, condições climáticas e tempo de deslocamento entre os locais de trabalho (se aplicável). Horas extras são possíveis, mas não o"&amp;"brigatórias nem garantidas. A critério exclusivo do empregador: aumentos salariais e/ou bônus podem ser concedidos com base em fatores individuais, como desempenho ou habilidades (não garantidos). Ganhe US$ 2 por libra de ostras. Um saco de ostras pesa 8 "&amp;"libras (US$ 16 por saco). O trabalhador deverá encher um saco a cada 30-45 minutos - aproximadamente 12-14 sacos por dia por trabalhador. O trabalhador nunca receberá menos do que o Salário Vigente ou o salário mínimo federal/estadual/local. Alojamento co"&amp;"mpartilhado opcional disponível sem custo para o trabalhador. Classificação do Cargo: 51-3022.00 - Cortadores e Aparadores de Carne, Aves e Peixes. A classificação e descrição do cargo/setor inclui informações gerais sobre a posição, de acordo com o ONET/"&amp;"OES e o Sistema de Classificação Industrial da América do Norte. Consulte as Funções e a Ordem de Serviço para obter mais informações. Requisitos do Cargo Experiência Necessária: Sim Meses de Experiência Necessários: 1 Requisitos Especiais: Deve apresenta"&amp;"r comprovante de autorização legal para trabalhar nos Estados Unidos. Ambiente de trabalho livre de drogas, álcool e tabaco. Executar atividades físicas: como levantar, equilibrar-se, caminhar, abaixar-se, manusear, posicionar, mover e manipular materiais"&amp;"; usar força estática para exercer força muscular máxima para levantar, empurrar, puxar e carregar objetos de até 23 kg. Todos os candidatos devem ser capazes, estar dispostos e qualificados para executar o trabalho descrito e devem estar disponíveis dura"&amp;"nte todo o período especificado, trabalhando em todas as áreas da função pretendida. A entrega e a disponibilidade de frutos do mar provenientes da pesca podem resultar em possíveis períodos de inatividade devido às condições climáticas. Número de horas p"&amp;"or semana: 35. Horário de trabalho (início/término): 5h às 12h.")</f>
        <v>As funções podem incluir: usar facas para abrir, limpar, aparar e fatiar ostras, retirando-as de suas conchas e colocando-as em um balde para serem pesadas e preparadas para venda; limpar as áreas de trabalho e outras atividades relacionadas à abertura de ostras, conforme SOC/OES 51-3022 (onetonline.org). Horário padrão/esperado: segunda a sexta, das 5h às 12h. Oferecemos mais de 35 horas semanais, sem incluir almoço e/ou intervalos. Possibilidade de trabalho aos fins de semana. Os horários de início e término, a carga horária e/ou horas extras podem variar, pois dependem de fatores como necessidades do projeto/cronograma/serviço, condições climáticas e tempo de deslocamento entre os locais de trabalho (se aplicável). Horas extras são possíveis, mas não obrigatórias nem garantidas. A critério exclusivo do empregador: aumentos salariais e/ou bônus podem ser concedidos com base em fatores individuais, como desempenho ou habilidades (não garantidos). Ganhe US$ 2 por libra de ostras. Um saco de ostras pesa 8 libras (US$ 16 por saco). O trabalhador deverá encher um saco a cada 30-45 minutos - aproximadamente 12-14 sacos por dia por trabalhador. O trabalhador nunca receberá menos do que o Salário Vigente ou o salário mínimo federal/estadual/local. Alojamento compartilhado opcional disponível sem custo para o trabalhador. Classificação do Cargo: 51-3022.00 - Cortadores e Aparadores de Carne, Aves e Peixes. A classificação e descrição do cargo/setor inclui informações gerais sobre a posição, de acordo com o ONET/OES e o Sistema de Classificação Industrial da América do Norte. Consulte as Funções e a Ordem de Serviço para obter mais informações. Requisitos do Cargo Experiência Necessária: Sim Meses de Experiência Necessários: 1 Requisitos Especiais: Deve apresentar comprovante de autorização legal para trabalhar nos Estados Unidos. Ambiente de trabalho livre de drogas, álcool e tabaco. Executar atividades físicas: como levantar, equilibrar-se, caminhar, abaixar-se, manusear, posicionar, mover e manipular materiais; usar força estática para exercer força muscular máxima para levantar, empurrar, puxar e carregar objetos de até 23 kg. Todos os candidatos devem ser capazes, estar dispostos e qualificados para executar o trabalho descrito e devem estar disponíveis durante todo o período especificado, trabalhando em todas as áreas da função pretendida. A entrega e a disponibilidade de frutos do mar provenientes da pesca podem resultar em possíveis períodos de inatividade devido às condições climáticas. Número de horas por semana: 35. Horário de trabalho (início/término): 5h às 12h.</v>
      </c>
    </row>
    <row r="540" ht="20.25" customHeight="1">
      <c r="A540" s="3" t="s">
        <v>2699</v>
      </c>
      <c r="B540" s="3" t="s">
        <v>2700</v>
      </c>
      <c r="C540" s="3" t="s">
        <v>1946</v>
      </c>
      <c r="D540" s="3" t="s">
        <v>79</v>
      </c>
      <c r="E540" s="4" t="s">
        <v>44</v>
      </c>
      <c r="F540" s="4" t="s">
        <v>20</v>
      </c>
      <c r="G540" s="4" t="s">
        <v>80</v>
      </c>
      <c r="H540" s="3" t="s">
        <v>2701</v>
      </c>
      <c r="I540" s="3" t="s">
        <v>2702</v>
      </c>
      <c r="J540" s="4">
        <v>20.36</v>
      </c>
      <c r="K540" s="4">
        <v>104.0</v>
      </c>
      <c r="L540" s="3" t="s">
        <v>1054</v>
      </c>
      <c r="M540" s="3" t="s">
        <v>2703</v>
      </c>
      <c r="N540" s="7" t="str">
        <f>IFERROR(__xludf.DUMMYFUNCTION("GOOGLETRANSLATE(L540, ""en"", ""pt"")"),"Trabalhador Florestal e de Conservação")</f>
        <v>Trabalhador Florestal e de Conservação</v>
      </c>
      <c r="O540" s="7" t="str">
        <f>IFERROR(__xludf.DUMMYFUNCTION("IF(M540="""","""",GOOGLETRANSLATE(M540,""en"",""pt""))"),"O plantio comercial de árvores será realizado em terreno íngreme, com inclinação de 40% a 50%, utilizando uma pá de plantio. O funcionário limpará o solo, cavará um buraco, posicionará a muda corretamente, certificando-se de que as raízes não formem um """&amp;"J"" ou ""U"", cobrirá as raízes com terra e compactará o solo ao redor da muda recém-plantada. Se necessário, serão instaladas telas/tubos de proteção. Em seguida, será aplicada uma pulverização de pesticida. O funcionário deverá carregar um saco de plant"&amp;"io contendo as mudas, cujo peso total é de aproximadamente 23 a 27 kg, dependendo do tamanho das mudas, subindo e descendo terrenos íngremes em áreas montanhosas remotas. Desbaste pré-comercial: corte de árvores indesejáveis ​​e doentes. Pulverização da v"&amp;"egetação para eliminar vegetação rasteira indesejada. Pulverização: (Somente herbicidas registrados para aplicações florestais são utilizados. O funcionário não mistura ou carrega nenhum herbicida. A mistura e o carregamento são feitos por um aplicador de"&amp;" herbicidas licenciado, que supervisiona todos os aspectos da aplicação. Cada trabalhador que pulveriza herbicida deve ser licenciado pelo Departamento de Agricultura do Oregon. Os trabalhadores recebem treinamento em segurança e procedimentos técnicos. O"&amp;" trabalhador será treinado, após a contratação, para obter a licença de pulverização.) Corte/empilhamento de vegetação rasteira e corte de galhos de árvores comerciais serão realizados para promover o crescimento da madeira existente. Os galhos cortados e"&amp;" a vegetação rasteira serão empilhados de maneira prescrita para descarte futuro. O desbaste será realizado com o uso de motosserra. Espera-se que os funcionários façam a manutenção da motosserra, afiem a corrente no campo, mantenham os níveis corretos de"&amp;" fluidos e desmontem a motosserra adequadamente para limpeza. O peso combinado da motosserra, combustível e óleo é de aproximadamente 13,6 kg (30 libras) e deve ser transportado em terrenos difíceis, com inclinações que variam de 40% a 50%. O funcionário "&amp;"deve demonstrar que consegue trabalhar de forma segura e eficaz. O acesso a essas áreas remotas é feito por meio de estradas florestais abandonadas, sem nome ou numeração, que recebem manutenção. DEVIDO AO REMOTIDO LOCAL DE TRABALHO, OS TRABALHADORES DEVE"&amp;"RÃO CAMINHAR DE UMA ESTRADA ATÉ OS LOCAIS DE TRABALHO, QUE PODEM ESTAR LOCALIZADOS A ATÉ 4,8 KM DE DISTÂNCIA. Classificação da Função: 45-4011.00 - Trabalhadores Florestais e de Conservação. A classificação e descrição da função/setor incluem informações "&amp;"gerais sobre o cargo, de acordo com o ONET/OES e o Sistema de Classificação Industrial da América do Norte. Consulte as Funções e a Ordem de Serviço para obter mais informações. Requisitos da Função: Experiência Necessária: Sim. Meses de Experiência Neces"&amp;"sários: 3. Requisitos Especiais: PLANTIO DE ÁRVORES COMERCIAIS E/OU DESBASTE PRÉ-COMERCIAL. Número de Horas por Semana: 40. Horário de Trabalho (Início/Término): 7h00 - 15h30.")</f>
        <v>O plantio comercial de árvores será realizado em terreno íngreme, com inclinação de 40% a 50%, utilizando uma pá de plantio. O funcionário limpará o solo, cavará um buraco, posicionará a muda corretamente, certificando-se de que as raízes não formem um "J" ou "U", cobrirá as raízes com terra e compactará o solo ao redor da muda recém-plantada. Se necessário, serão instaladas telas/tubos de proteção. Em seguida, será aplicada uma pulverização de pesticida. O funcionário deverá carregar um saco de plantio contendo as mudas, cujo peso total é de aproximadamente 23 a 27 kg, dependendo do tamanho das mudas, subindo e descendo terrenos íngremes em áreas montanhosas remotas. Desbaste pré-comercial: corte de árvores indesejáveis ​​e doentes. Pulverização da vegetação para eliminar vegetação rasteira indesejada. Pulverização: (Somente herbicidas registrados para aplicações florestais são utilizados. O funcionário não mistura ou carrega nenhum herbicida. A mistura e o carregamento são feitos por um aplicador de herbicidas licenciado, que supervisiona todos os aspectos da aplicação. Cada trabalhador que pulveriza herbicida deve ser licenciado pelo Departamento de Agricultura do Oregon. Os trabalhadores recebem treinamento em segurança e procedimentos técnicos. O trabalhador será treinado, após a contratação, para obter a licença de pulverização.) Corte/empilhamento de vegetação rasteira e corte de galhos de árvores comerciais serão realizados para promover o crescimento da madeira existente. Os galhos cortados e a vegetação rasteira serão empilhados de maneira prescrita para descarte futuro. O desbaste será realizado com o uso de motosserra. Espera-se que os funcionários façam a manutenção da motosserra, afiem a corrente no campo, mantenham os níveis corretos de fluidos e desmontem a motosserra adequadamente para limpeza. O peso combinado da motosserra, combustível e óleo é de aproximadamente 13,6 kg (30 libras) e deve ser transportado em terrenos difíceis, com inclinações que variam de 40% a 50%. O funcionário deve demonstrar que consegue trabalhar de forma segura e eficaz. O acesso a essas áreas remotas é feito por meio de estradas florestais abandonadas, sem nome ou numeração, que recebem manutenção. DEVIDO AO REMOTIDO LOCAL DE TRABALHO, OS TRABALHADORES DEVERÃO CAMINHAR DE UMA ESTRADA ATÉ OS LOCAIS DE TRABALHO, QUE PODEM ESTAR LOCALIZADOS A ATÉ 4,8 KM DE DISTÂNCIA. Classificação da Função: 45-4011.00 - Trabalhadores Florestais e de Conservação. A classificação e descrição da função/setor incluem informações gerais sobre o cargo, de acordo com o ONET/OES e o Sistema de Classificação Industrial da América do Norte. Consulte as Funções e a Ordem de Serviço para obter mais informações. Requisitos da Função: Experiência Necessária: Sim. Meses de Experiência Necessários: 3. Requisitos Especiais: PLANTIO DE ÁRVORES COMERCIAIS E/OU DESBASTE PRÉ-COMERCIAL. Número de Horas por Semana: 40. Horário de Trabalho (Início/Término): 7h00 - 15h30.</v>
      </c>
    </row>
    <row r="541" ht="20.25" customHeight="1">
      <c r="A541" s="8" t="s">
        <v>2704</v>
      </c>
      <c r="B541" s="8" t="s">
        <v>2705</v>
      </c>
      <c r="C541" s="8" t="s">
        <v>93</v>
      </c>
      <c r="D541" s="8" t="s">
        <v>109</v>
      </c>
      <c r="E541" s="9" t="s">
        <v>44</v>
      </c>
      <c r="F541" s="9" t="s">
        <v>20</v>
      </c>
      <c r="G541" s="9" t="s">
        <v>229</v>
      </c>
      <c r="H541" s="8" t="s">
        <v>2706</v>
      </c>
      <c r="I541" s="8" t="s">
        <v>2707</v>
      </c>
      <c r="J541" s="9">
        <v>19.19</v>
      </c>
      <c r="K541" s="9">
        <v>3.0</v>
      </c>
      <c r="L541" s="8" t="s">
        <v>59</v>
      </c>
      <c r="M541" s="8" t="s">
        <v>2708</v>
      </c>
      <c r="N541" s="7" t="str">
        <f>IFERROR(__xludf.DUMMYFUNCTION("GOOGLETRANSLATE(L541, ""en"", ""pt"")"),"Trabalhador de paisagismo")</f>
        <v>Trabalhador de paisagismo</v>
      </c>
      <c r="O541" s="7" t="str">
        <f>IFERROR(__xludf.DUMMYFUNCTION("IF(M541="""","""",GOOGLETRANSLATE(M541,""en"",""pt""))"),"Auxiliar na execução de diversas tarefas de paisagismo para apoiar o desenvolvimento, a instalação e a manutenção de espaços externos. As funções incluem cortar a grama; aparar, podar e podar árvores, arbustos e outras plantas; colocar cobertura morta nos"&amp;" canteiros; plantar flores, arbustos e árvores; capinar; fertilizar; e auxiliar na manutenção geral do terreno para garantir condições paisagísticas saudáveis. Outras funções incluem auxiliar na instalação de elementos paisagísticos, carregando blocos, es"&amp;"palhando cascalho, varrendo areia para as juntas, colocando pinos em blocos de concreto e limpando a área de trabalho, bem como auxiliar a equipe especializada na aplicação de cobertura vegetal, nivelamento e preparação do terreno, e instalação de soluçõe"&amp;"s de drenagem de água e iluminação paisagística. Os trabalhadores utilizam ferramentas manuais e elétricas, como pás, ancinhos, carrinhos de mão, vassouras, marretas, cortadores de grama, roçadeiras e sopradores a gasolina para concluir as tarefas com seg"&amp;"urança e eficiência. Classificação da Função: 37-3011.00 - Trabalhadores de Paisagismo e Manutenção de Jardins. A classificação e descrição da função/setor inclui informações gerais sobre o cargo, de acordo com o ONET/OES e o Sistema de Classificação Indu"&amp;"strial da América do Norte (NAICS). Consulte as Funções e a Ordem de Serviço para obter mais informações. Requisitos da Função Experiência Necessária: Não. Requisitos Especiais: Deve ser capaz de levantar/carregar 34 kg (75 lbs), quando necessário. Trabal"&amp;"ho aos sábados e domingos, quando necessário. Teste antidrogas pago pelo empregador é obrigatório para trabalhadores estrangeiros e nacionais antes do início do trabalho e após a contratação, em caso de suspeita de uso. Verificação de antecedentes e elegi"&amp;"bilidade para emprego (e-Verify) após a contratação é obrigatória para trabalhadores estrangeiros e nacionais. Deve possuir ou ser capaz de obter carteira de habilitação americana em até 30 dias após a contratação. O empregador pode oferecer mais horas de"&amp;" trabalho do que as indicadas, dependendo do clima, das necessidades da empresa e de outras condições. Calor extremo, frio, chuva ou seca podem afetar o horário de trabalho exato. Número de Horas por Semana: 42. Horário de Trabalho (Início/Término): 7h30."&amp;" - 16h30")</f>
        <v>Auxiliar na execução de diversas tarefas de paisagismo para apoiar o desenvolvimento, a instalação e a manutenção de espaços externos. As funções incluem cortar a grama; aparar, podar e podar árvores, arbustos e outras plantas; colocar cobertura morta nos canteiros; plantar flores, arbustos e árvores; capinar; fertilizar; e auxiliar na manutenção geral do terreno para garantir condições paisagísticas saudáveis. Outras funções incluem auxiliar na instalação de elementos paisagísticos, carregando blocos, espalhando cascalho, varrendo areia para as juntas, colocando pinos em blocos de concreto e limpando a área de trabalho, bem como auxiliar a equipe especializada na aplicação de cobertura vegetal, nivelamento e preparação do terreno, e instalação de soluções de drenagem de água e iluminação paisagística. Os trabalhadores utilizam ferramentas manuais e elétricas, como pás, ancinhos, carrinhos de mão, vassouras, marretas, cortadores de grama, roçadeiras e sopradores a gasolina para concluir as tarefas com segurança e eficiência. Classificação da Função: 37-3011.00 - Trabalhadores de Paisagismo e Manutenção de Jardins. A classificação e descrição da função/setor inclui informações gerais sobre o cargo, de acordo com o ONET/OES e o Sistema de Classificação Industrial da América do Norte (NAICS). Consulte as Funções e a Ordem de Serviço para obter mais informações. Requisitos da Função Experiência Necessária: Não. Requisitos Especiais: Deve ser capaz de levantar/carregar 34 kg (75 lbs), quando necessário. Trabalho aos sábados e domingos, quando necessário. Teste antidrogas pago pelo empregador é obrigatório para trabalhadores estrangeiros e nacionais antes do início do trabalho e após a contratação, em caso de suspeita de uso. Verificação de antecedentes e elegibilidade para emprego (e-Verify) após a contratação é obrigatória para trabalhadores estrangeiros e nacionais. Deve possuir ou ser capaz de obter carteira de habilitação americana em até 30 dias após a contratação. O empregador pode oferecer mais horas de trabalho do que as indicadas, dependendo do clima, das necessidades da empresa e de outras condições. Calor extremo, frio, chuva ou seca podem afetar o horário de trabalho exato. Número de Horas por Semana: 42. Horário de Trabalho (Início/Término): 7h30. - 16h30</v>
      </c>
    </row>
    <row r="542" ht="20.25" customHeight="1">
      <c r="A542" s="3" t="s">
        <v>2709</v>
      </c>
      <c r="B542" s="3" t="s">
        <v>2710</v>
      </c>
      <c r="C542" s="3" t="s">
        <v>2421</v>
      </c>
      <c r="D542" s="3" t="s">
        <v>102</v>
      </c>
      <c r="E542" s="4" t="s">
        <v>44</v>
      </c>
      <c r="F542" s="4" t="s">
        <v>20</v>
      </c>
      <c r="G542" s="4" t="s">
        <v>307</v>
      </c>
      <c r="H542" s="3" t="s">
        <v>2711</v>
      </c>
      <c r="I542" s="3" t="s">
        <v>2712</v>
      </c>
      <c r="J542" s="4">
        <v>12.39</v>
      </c>
      <c r="K542" s="4">
        <v>12.0</v>
      </c>
      <c r="L542" s="3" t="s">
        <v>2713</v>
      </c>
      <c r="M542" s="3" t="s">
        <v>2714</v>
      </c>
      <c r="N542" s="7" t="str">
        <f>IFERROR(__xludf.DUMMYFUNCTION("GOOGLETRANSLATE(L542, ""en"", ""pt"")"),"Catador de caranguejos")</f>
        <v>Catador de caranguejos</v>
      </c>
      <c r="O542" s="7" t="str">
        <f>IFERROR(__xludf.DUMMYFUNCTION("IF(M542="""","""",GOOGLETRANSLATE(M542,""en"",""pt""))"),"As funções podem incluir: processar caranguejos azuis, selecionando e separando a carne manualmente; manter a área de trabalho limpa e organizada, limpando e higienizando o posto de trabalho ao término do expediente; e outras atividades relacionadas à sep"&amp;"aração de caranguejos, conforme SOC/OES 51-3022 (onetonline.org). Horário padrão/esperado: segunda a sexta, das 4h às 12h. Oferecemos mais de 40 horas semanais, sem incluir o horário de almoço e/ou intervalos. Possibilidade de trabalho aos fins de semana."&amp;" Os horários de início e término, a carga horária e/ou horas extras podem variar, pois dependem de fatores como projeto/cronograma/necessidades do serviço, condições climáticas e tempo de deslocamento entre os locais de trabalho (se aplicável). Horas extr"&amp;"as são possíveis, mas não obrigatórias nem garantidas. A critério exclusivo do empregador: aumentos salariais e/ou bônus podem ser concedidos com base em fatores individuais, como desempenho ou habilidades (não garantidos). Os separadores de caranguejos s"&amp;"ão pagos por produção, com garantia do salário vigente de US$ 12,39 por hora. Os trabalhadores recebem US$ 4,50 por libra de carne de caranguejo branca e US$ 3,50 por libra de carne de caranguejo escura. O produto é pesado diariamente e os trabalhadores r"&amp;"ecebem um comprovante diário indicando a quantidade de carne colhida. O empregador mantém registros diários de horas trabalhadas e compara os ganhos por peça com o salário mínimo vigente a cada período de pagamento. Se os ganhos por peça forem inferiores "&amp;"a US$ 12,39 por hora trabalhada, o empregador pagará a diferença. Classificação da vaga: 51-3022.00 - Cortadores e aparadores de carne, aves e peixes. A classificação e a descrição da vaga/setor incluem informações gerais sobre o cargo, de acordo com o ON"&amp;"ET/OES e o Sistema de Classificação Industrial da América do Norte (NAICS). Consulte as Funções e a Ordem de Serviço para obter mais informações. Requisitos da vaga: Experiência necessária: Não. Requisitos especiais: É necessário ter 18 anos devido ao uso"&amp;" de equipamentos. É necessário apresentar comprovante de autorização legal para trabalhar nos Estados Unidos. Ambiente de trabalho livre de drogas, álcool e tabaco. Todos os candidatos devem ser capazes, dispostos e qualificados para executar o trabalho d"&amp;"escrito e devem estar disponíveis durante todo o período especificado. O horário de trabalho pode variar de acordo com os picos e vales do turismo ao longo da temporada (+/-), possíveis períodos de baixa atividade e/ou horas extras. Número de horas por se"&amp;"mana: 40. Horário de trabalho (início/término): 4h às 12h.")</f>
        <v>As funções podem incluir: processar caranguejos azuis, selecionando e separando a carne manualmente; manter a área de trabalho limpa e organizada, limpando e higienizando o posto de trabalho ao término do expediente; e outras atividades relacionadas à separação de caranguejos, conforme SOC/OES 51-3022 (onetonline.org). Horário padrão/esperado: segunda a sexta, das 4h às 12h. Oferecemos mais de 40 horas semanais, sem incluir o horário de almoço e/ou intervalos. Possibilidade de trabalho aos fins de semana. Os horários de início e término, a carga horária e/ou horas extras podem variar, pois dependem de fatores como projeto/cronograma/necessidades do serviço, condições climáticas e tempo de deslocamento entre os locais de trabalho (se aplicável). Horas extras são possíveis, mas não obrigatórias nem garantidas. A critério exclusivo do empregador: aumentos salariais e/ou bônus podem ser concedidos com base em fatores individuais, como desempenho ou habilidades (não garantidos). Os separadores de caranguejos são pagos por produção, com garantia do salário vigente de US$ 12,39 por hora. Os trabalhadores recebem US$ 4,50 por libra de carne de caranguejo branca e US$ 3,50 por libra de carne de caranguejo escura. O produto é pesado diariamente e os trabalhadores recebem um comprovante diário indicando a quantidade de carne colhida. O empregador mantém registros diários de horas trabalhadas e compara os ganhos por peça com o salário mínimo vigente a cada período de pagamento. Se os ganhos por peça forem inferiores a US$ 12,39 por hora trabalhada, o empregador pagará a diferença. Classificação da vaga: 51-3022.00 - Cortadores e aparadores de carne, aves e peixes. A classificação e a descrição da vaga/setor incluem informações gerais sobre o cargo, de acordo com o ONET/OES e o Sistema de Classificação Industrial da América do Norte (NAICS). Consulte as Funções e a Ordem de Serviço para obter mais informações. Requisitos da vaga: Experiência necessária: Não. Requisitos especiais: É necessário ter 18 anos devido ao uso de equipamentos. É necessário apresentar comprovante de autorização legal para trabalhar nos Estados Unidos. Ambiente de trabalho livre de drogas, álcool e tabaco. Todos os candidatos devem ser capazes, dispostos e qualificados para executar o trabalho descrito e devem estar disponíveis durante todo o período especificado. O horário de trabalho pode variar de acordo com os picos e vales do turismo ao longo da temporada (+/-), possíveis períodos de baixa atividade e/ou horas extras. Número de horas por semana: 40. Horário de trabalho (início/término): 4h às 12h.</v>
      </c>
    </row>
    <row r="543" ht="20.25" customHeight="1">
      <c r="A543" s="8" t="s">
        <v>2715</v>
      </c>
      <c r="B543" s="8" t="s">
        <v>2716</v>
      </c>
      <c r="C543" s="8" t="s">
        <v>2421</v>
      </c>
      <c r="D543" s="8" t="s">
        <v>55</v>
      </c>
      <c r="E543" s="9" t="s">
        <v>19</v>
      </c>
      <c r="F543" s="9" t="s">
        <v>20</v>
      </c>
      <c r="G543" s="9" t="s">
        <v>377</v>
      </c>
      <c r="H543" s="8" t="s">
        <v>2717</v>
      </c>
      <c r="I543" s="8" t="s">
        <v>2718</v>
      </c>
      <c r="J543" s="9">
        <v>19.8</v>
      </c>
      <c r="K543" s="9">
        <v>26.0</v>
      </c>
      <c r="L543" s="8" t="s">
        <v>1716</v>
      </c>
      <c r="M543" s="8" t="s">
        <v>2719</v>
      </c>
      <c r="N543" s="7" t="str">
        <f>IFERROR(__xludf.DUMMYFUNCTION("GOOGLETRANSLATE(L543, ""en"", ""pt"")"),"Podador de árvores")</f>
        <v>Podador de árvores</v>
      </c>
      <c r="O543" s="7" t="str">
        <f>IFERROR(__xludf.DUMMYFUNCTION("IF(M543="""","""",GOOGLETRANSLATE(M543,""en"",""pt""))"),"As funções podem incluir: Manutenção de terrenos. Podar e aparar árvores, arbustos e sebes ao nível do solo. Utilizar ferramentas manuais, como carrinhos de mão, tesouras de poda e serras de poda. Recolher e remover lixo, folhas e detritos das instalações"&amp;" e locais de trabalho. Carregar carrinhos de mão manualmente, prendê-los com lonas e descartar os detritos no recipiente de lixo correto ou em aterro sanitário, além de outras atividades relacionadas à poda de árvores, conforme SOC/OES 37-3011 (onetonline"&amp;".org). Horário padrão/esperado: Segunda a sexta, das 8h às 16h30. Oferecemos mais de 40 horas semanais, sem incluir almoço e/ou intervalos. Possibilidade de trabalho aos fins de semana e feriados. Os horários de início e término, a carga horária e/ou hora"&amp;"s extras podem variar, pois dependem de fatores como projetos/cronograma/necessidades do serviço, condições climáticas e tempo de deslocamento entre os locais de trabalho (se aplicável). Horas extras são possíveis, mas não obrigatórias nem garantidas. A c"&amp;"ritério exclusivo do empregador: possíveis aumentos e/ou bônus com base em fatores individuais, como desempenho no trabalho ou habilidades (não garantidos). Classificação do Cargo: 37-3011.00 - Trabalhadores de Paisagismo e Manutenção de Jardins. A classi"&amp;"ficação e descrição do cargo/setor inclui informações gerais sobre a posição, conforme o ONET/OES e o Sistema de Classificação Industrial da América do Norte. Consulte as Funções e a Ordem de Serviço para obter mais informações. Requisitos do Cargo Experi"&amp;"ência Necessária: Não. Requisitos Especiais: Deve apresentar comprovante de autorização legal para trabalhar nos Estados Unidos. Ambiente de trabalho livre de drogas, álcool e tabaco. Executar atividades físicas, como levantar, equilibrar-se, caminhar, ab"&amp;"aixar-se, manusear, posicionar, mover e manipular materiais, utilizando força estática para exercer força muscular máxima para levantar, empurrar, puxar e carregar objetos de até 23 kg. Todos os candidatos devem ser capazes, dispostos e qualificados para "&amp;"executar o trabalho descrito e devem estar disponíveis durante todo o período especificado e trabalhar em todas as áreas da vaga. O trabalho é realizado ao ar livre, exposto às intempéries; o candidato deve ser capaz de realizar trabalho fisicamente exten"&amp;"uante por longos períodos, ocasionalmente em calor ou frio extremos. Condições climáticas variáveis ​​se aplicam; o horário de trabalho pode sofrer alterações (+/-), podendo haver períodos de inatividade e/ou horas extras. Número de horas por semana: 40. "&amp;"Horário de trabalho (início/término): 8h00 - 16h30.")</f>
        <v>As funções podem incluir: Manutenção de terrenos. Podar e aparar árvores, arbustos e sebes ao nível do solo. Utilizar ferramentas manuais, como carrinhos de mão, tesouras de poda e serras de poda. Recolher e remover lixo, folhas e detritos das instalações e locais de trabalho. Carregar carrinhos de mão manualmente, prendê-los com lonas e descartar os detritos no recipiente de lixo correto ou em aterro sanitário, além de outras atividades relacionadas à poda de árvores, conforme SOC/OES 37-3011 (onetonline.org). Horário padrão/esperado: Segunda a sexta, das 8h às 16h30. Oferecemos mais de 40 horas semanais, sem incluir almoço e/ou intervalos. Possibilidade de trabalho aos fins de semana e feriados. Os horários de início e término, a carga horária e/ou horas extras podem variar, pois dependem de fatores como projetos/cronograma/necessidades do serviço, condições climáticas e tempo de deslocamento entre os locais de trabalho (se aplicável). Horas extras são possíveis, mas não obrigatórias nem garantidas. A critério exclusivo do empregador: possíveis aumentos e/ou bônus com base em fatores individuais, como desempenho no trabalho ou habilidades (não garantidos). Classificação do Cargo: 37-3011.00 - Trabalhadores de Paisagismo e Manutenção de Jardins. A classificação e descrição do cargo/setor inclui informações gerais sobre a posição, conforme o ONET/OES e o Sistema de Classificação Industrial da América do Norte. Consulte as Funções e a Ordem de Serviço para obter mais informações. Requisitos do Cargo Experiência Necessária: Não. Requisitos Especiais: Deve apresentar comprovante de autorização legal para trabalhar nos Estados Unidos. Ambiente de trabalho livre de drogas, álcool e tabaco. Executar atividades físicas, como levantar, equilibrar-se, caminhar, abaixar-se, manusear, posicionar, mover e manipular materiais, utilizando força estática para exercer força muscular máxima para levantar, empurrar, puxar e carregar objetos de até 23 kg. Todos os candidatos devem ser capazes, dispostos e qualificados para executar o trabalho descrito e devem estar disponíveis durante todo o período especificado e trabalhar em todas as áreas da vaga. O trabalho é realizado ao ar livre, exposto às intempéries; o candidato deve ser capaz de realizar trabalho fisicamente extenuante por longos períodos, ocasionalmente em calor ou frio extremos. Condições climáticas variáveis ​​se aplicam; o horário de trabalho pode sofrer alterações (+/-), podendo haver períodos de inatividade e/ou horas extras. Número de horas por semana: 40. Horário de trabalho (início/término): 8h00 - 16h30.</v>
      </c>
    </row>
    <row r="544" ht="20.25" customHeight="1">
      <c r="A544" s="3" t="s">
        <v>2720</v>
      </c>
      <c r="B544" s="3" t="s">
        <v>2721</v>
      </c>
      <c r="C544" s="3" t="s">
        <v>1375</v>
      </c>
      <c r="D544" s="3" t="s">
        <v>71</v>
      </c>
      <c r="E544" s="4" t="s">
        <v>19</v>
      </c>
      <c r="F544" s="4" t="s">
        <v>20</v>
      </c>
      <c r="G544" s="4" t="s">
        <v>377</v>
      </c>
      <c r="H544" s="3" t="s">
        <v>2722</v>
      </c>
      <c r="I544" s="3" t="s">
        <v>2723</v>
      </c>
      <c r="J544" s="4">
        <v>22.8</v>
      </c>
      <c r="K544" s="4">
        <v>48.0</v>
      </c>
      <c r="L544" s="3" t="s">
        <v>2724</v>
      </c>
      <c r="M544" s="3" t="s">
        <v>2725</v>
      </c>
      <c r="N544" s="7" t="str">
        <f>IFERROR(__xludf.DUMMYFUNCTION("GOOGLETRANSLATE(L544, ""en"", ""pt"")"),"Telhador")</f>
        <v>Telhador</v>
      </c>
      <c r="O544" s="7" t="str">
        <f>IFERROR(__xludf.DUMMYFUNCTION("IF(M544="""","""",GOOGLETRANSLATE(M544,""en"",""pt""))"),"As funções podem incluir: Preparar telhados para a aplicação de novos materiais de cobertura, varrendo, limpando e removendo materiais antigos ou danificados. Cobrir os telhados com camadas de feltro ou manta impermeabilizante antes da instalação de telha"&amp;"s compostas, metálicas ou de membrana. Auxiliar os telhadistas na instalação de novos telhados, transportando materiais e suprimentos necessários. Utilizar ferramentas manuais como pistola de calafetagem, alavanca, martelo, pregador pneumático, estilete, "&amp;"pá de telhado ou tesoura de corte de metal. Limpar e remover quaisquer detritos de telhado para os recipientes de lixo no local, a fim de garantir um local de trabalho limpo e seguro, além de outras atividades relacionadas à cobertura, conforme SOC/OES 47"&amp;"-2181 (onetonline.org). Horário padrão/esperado: Segunda a sexta, das 8h às 17h. Oferecemos mais de 40 horas semanais, sem incluir almoço e/ou intervalos. Possibilidade de trabalho em fins de semana e feriados. Os horários de início e término, a carga hor"&amp;"ária oferecida e/ou a possibilidade de horas extras podem variar, pois dependem de fatores como necessidades do projeto/cronograma/serviço, condições climáticas e tempo de deslocamento entre os locais de trabalho (se aplicável). Horas extras são possíveis"&amp;", mas não obrigatórias nem garantidas. A critério exclusivo do empregador: aumentos salariais e/ou bônus podem ser concedidos com base em fatores individuais, como desempenho ou habilidades (não garantidos). Classificação da vaga: 47-2181.00 - Telhadores."&amp;" A classificação e a descrição da vaga/setor incluem informações gerais sobre o cargo, conforme o ONET/OES e o Sistema de Classificação Industrial da América do Norte (NAICS). Consulte as Funções e a Ordem de Serviço para obter mais informações. Requisito"&amp;"s da vaga: Experiência exigida: Não. Requisitos especiais: É necessário ter 18 anos ou mais devido ao uso de equipamentos. É necessário apresentar comprovante de autorização legal para trabalhar nos Estados Unidos. Ambiente de trabalho livre de drogas, ál"&amp;"cool e tabaco. Executar atividades físicas como: levantar, equilibrar-se, caminhar, abaixar-se, manusear, posicionar, mover e manipular materiais; usar força estática para exercer força muscular máxima para levantar, empurrar, puxar e carregar objetos de "&amp;"até 32 kg (possivelmente por duas pessoas). Todos os candidatos devem ser capazes, dispostos e qualificados para executar o trabalho descrito e devem estar disponíveis durante todo o período especificado e trabalhar em todas as áreas do emprego pretendido"&amp;". A critério/custo do empregador: o trabalhador poderá ser submetido a testes aleatórios de drogas/álcool durante o emprego: teste positivo/recusa em cumprir o teste = demissão. Possível verificação de antecedentes após a contratação, às custas do emprega"&amp;"dor. O trabalho é realizado ao ar livre, exposto às intempéries; o trabalhador deve ser capaz de realizar trabalho fisicamente extenuante por longas horas, ocasionalmente em calor ou frio extremos. Condições climáticas variáveis ​​se aplicam; o horário po"&amp;"de flutuar (+/-), com possibilidade de tempo de inatividade e/ou horas extras. Número de horas por semana: 40. Horário de trabalho (início/término): 8h às 17h.")</f>
        <v>As funções podem incluir: Preparar telhados para a aplicação de novos materiais de cobertura, varrendo, limpando e removendo materiais antigos ou danificados. Cobrir os telhados com camadas de feltro ou manta impermeabilizante antes da instalação de telhas compostas, metálicas ou de membrana. Auxiliar os telhadistas na instalação de novos telhados, transportando materiais e suprimentos necessários. Utilizar ferramentas manuais como pistola de calafetagem, alavanca, martelo, pregador pneumático, estilete, pá de telhado ou tesoura de corte de metal. Limpar e remover quaisquer detritos de telhado para os recipientes de lixo no local, a fim de garantir um local de trabalho limpo e seguro, além de outras atividades relacionadas à cobertura, conforme SOC/OES 47-2181 (onetonline.org). Horário padrão/esperado: Segunda a sexta, das 8h às 17h. Oferecemos mais de 40 horas semanais, sem incluir almoço e/ou intervalos. Possibilidade de trabalho em fins de semana e feriados. Os horários de início e término, a carga horária oferecida e/ou a possibilidade de horas extras podem variar, pois dependem de fatores como necessidades do projeto/cronograma/serviço, condições climáticas e tempo de deslocamento entre os locais de trabalho (se aplicável). Horas extras são possíveis, mas não obrigatórias nem garantidas. A critério exclusivo do empregador: aumentos salariais e/ou bônus podem ser concedidos com base em fatores individuais, como desempenho ou habilidades (não garantidos). Classificação da vaga: 47-2181.00 - Telhadores. A classificação e a descrição da vaga/setor incluem informações gerais sobre o cargo, conforme o ONET/OES e o Sistema de Classificação Industrial da América do Norte (NAICS). Consulte as Funções e a Ordem de Serviço para obter mais informações. Requisitos da vaga: Experiência exigida: Não. Requisitos especiais: É necessário ter 18 anos ou mais devido ao uso de equipamentos. É necessário apresentar comprovante de autorização legal para trabalhar nos Estados Unidos. Ambiente de trabalho livre de drogas, álcool e tabaco. Executar atividades físicas como: levantar, equilibrar-se, caminhar, abaixar-se, manusear, posicionar, mover e manipular materiais; usar força estática para exercer força muscular máxima para levantar, empurrar, puxar e carregar objetos de até 32 kg (possivelmente por duas pessoas). Todos os candidatos devem ser capazes, dispostos e qualificados para executar o trabalho descrito e devem estar disponíveis durante todo o período especificado e trabalhar em todas as áreas do emprego pretendido. A critério/custo do empregador: o trabalhador poderá ser submetido a testes aleatórios de drogas/álcool durante o emprego: teste positivo/recusa em cumprir o teste = demissão. Possível verificação de antecedentes após a contratação, às custas do empregador. O trabalho é realizado ao ar livre, exposto às intempéries; o trabalhador deve ser capaz de realizar trabalho fisicamente extenuante por longas horas, ocasionalmente em calor ou frio extremos. Condições climáticas variáveis ​​se aplicam; o horário pode flutuar (+/-), com possibilidade de tempo de inatividade e/ou horas extras. Número de horas por semana: 40. Horário de trabalho (início/término): 8h às 17h.</v>
      </c>
    </row>
    <row r="545" ht="20.25" customHeight="1">
      <c r="A545" s="8" t="s">
        <v>2726</v>
      </c>
      <c r="B545" s="8" t="s">
        <v>2727</v>
      </c>
      <c r="C545" s="8" t="s">
        <v>708</v>
      </c>
      <c r="D545" s="8" t="s">
        <v>71</v>
      </c>
      <c r="E545" s="9" t="s">
        <v>19</v>
      </c>
      <c r="F545" s="9" t="s">
        <v>20</v>
      </c>
      <c r="G545" s="9" t="s">
        <v>345</v>
      </c>
      <c r="H545" s="8" t="s">
        <v>2728</v>
      </c>
      <c r="I545" s="8" t="s">
        <v>2729</v>
      </c>
      <c r="J545" s="9">
        <v>17.88</v>
      </c>
      <c r="K545" s="9">
        <v>6.0</v>
      </c>
      <c r="L545" s="8" t="s">
        <v>586</v>
      </c>
      <c r="M545" s="8" t="s">
        <v>2730</v>
      </c>
      <c r="N545" s="7" t="str">
        <f>IFERROR(__xludf.DUMMYFUNCTION("GOOGLETRANSLATE(L545, ""en"", ""pt"")"),"Cozinheiro de linha")</f>
        <v>Cozinheiro de linha</v>
      </c>
      <c r="O545" s="7" t="str">
        <f>IFERROR(__xludf.DUMMYFUNCTION("IF(M545="""","""",GOOGLETRANSLATE(M545,""en"",""pt""))"),"Prepara, tempera e cozinha sopas, carnes, legumes, sobremesas e outros itens alimentícios diversos para consumo. Prepara os alimentos de acordo com as receitas e padrões do clube. Opera os equipamentos de cozinha. Notifica o Chef Executivo ou o Subchefe s"&amp;"obre eventuais faltas inesperadas. Utiliza consistentemente práticas seguras e higiênicas de manipulação de alimentos. Garante que as estações de trabalho e os equipamentos estejam limpos e higienizados. Realiza tarefas de limpeza, incluindo a limpeza da "&amp;"cozinha e a lavagem de pratos, panelas, frigideiras e outros itens, conforme necessário para que a cozinha funcione de forma eficiente e sem problemas. Mantém comunicação com a equipe de garçons. Zela pela segurança na área de trabalho. Auxilia na montage"&amp;"m e desmontagem das estações de preparo, mesas de buffet e decorações temáticas. Classificação do Cargo: 35-2014.00 - Cozinheiros, Restaurante. A classificação e a descrição do cargo/setor incluem informações gerais sobre a posição, de acordo com o ONET/O"&amp;"ES e o Sistema de Classificação Industrial da América do Norte. Consulte as Funções e a Ordem de Serviço para obter mais informações. Requisitos da vaga Experiência necessária: Sim Meses de experiência necessários: 8 Requisitos especiais: Aprovação em exa"&amp;"me toxicológico pré-admissional, conforme política de contratação da empresa vigente na data da admissão. Capacidade de ler, escrever e se comunicar com clareza. Número de horas semanais: 35 Horário de trabalho (início/término): 9h às 21h")</f>
        <v>Prepara, tempera e cozinha sopas, carnes, legumes, sobremesas e outros itens alimentícios diversos para consumo. Prepara os alimentos de acordo com as receitas e padrões do clube. Opera os equipamentos de cozinha. Notifica o Chef Executivo ou o Subchefe sobre eventuais faltas inesperadas. Utiliza consistentemente práticas seguras e higiênicas de manipulação de alimentos. Garante que as estações de trabalho e os equipamentos estejam limpos e higienizados. Realiza tarefas de limpeza, incluindo a limpeza da cozinha e a lavagem de pratos, panelas, frigideiras e outros itens, conforme necessário para que a cozinha funcione de forma eficiente e sem problemas. Mantém comunicação com a equipe de garçons. Zela pela segurança na área de trabalho. Auxilia na montagem e desmontagem das estações de preparo, mesas de buffet e decorações temáticas. Classificação do Cargo: 35-2014.00 - Cozinheiros, Restaurante. A classificação e a descrição do cargo/setor incluem informações gerais sobre a posição, de acordo com o ONET/OES e o Sistema de Classificação Industrial da América do Norte. Consulte as Funções e a Ordem de Serviço para obter mais informações. Requisitos da vaga Experiência necessária: Sim Meses de experiência necessários: 8 Requisitos especiais: Aprovação em exame toxicológico pré-admissional, conforme política de contratação da empresa vigente na data da admissão. Capacidade de ler, escrever e se comunicar com clareza. Número de horas semanais: 35 Horário de trabalho (início/término): 9h às 21h</v>
      </c>
    </row>
    <row r="546" ht="20.25" customHeight="1">
      <c r="A546" s="3" t="s">
        <v>2731</v>
      </c>
      <c r="B546" s="3" t="s">
        <v>2727</v>
      </c>
      <c r="C546" s="3" t="s">
        <v>708</v>
      </c>
      <c r="D546" s="3" t="s">
        <v>71</v>
      </c>
      <c r="E546" s="4" t="s">
        <v>19</v>
      </c>
      <c r="F546" s="4" t="s">
        <v>20</v>
      </c>
      <c r="G546" s="4" t="s">
        <v>345</v>
      </c>
      <c r="H546" s="3" t="s">
        <v>2728</v>
      </c>
      <c r="I546" s="3" t="s">
        <v>2729</v>
      </c>
      <c r="J546" s="4">
        <v>18.95</v>
      </c>
      <c r="K546" s="4">
        <v>6.0</v>
      </c>
      <c r="L546" s="3" t="s">
        <v>1206</v>
      </c>
      <c r="M546" s="3" t="s">
        <v>2732</v>
      </c>
      <c r="N546" s="7" t="str">
        <f>IFERROR(__xludf.DUMMYFUNCTION("GOOGLETRANSLATE(L546, ""en"", ""pt"")"),"Servidor")</f>
        <v>Servidor</v>
      </c>
      <c r="O546" s="7" t="str">
        <f>IFERROR(__xludf.DUMMYFUNCTION("IF(M546="""","""",GOOGLETRANSLATE(M546,""en"",""pt""))"),"Os garçons irão anotar, servir e entregar pedidos de comida e bebida; responder a perguntas sobre os itens do cardápio e oferecer recomendações quando apropriado; inserir os pedidos no sistema de ponto de venda (PDV); montar as comidas e bebidas em bandej"&amp;"as; servir bebidas e refeições; repor os itens conforme necessário; preparar e servir bebidas quentes, frias e mistas; operar a máquina de café expresso; recomendar e servir vinhos à mesa para sócios e convidados; retirar a louça suja; receber o pagamento"&amp;" correto dos clientes; garantir a precisão das contas, métodos de pagamento e assinaturas dos sócios; e obter e manter um conhecimento atualizado de todos os cardápios, incluindo os de comida para viagem. Os garçons também serão responsáveis ​​pela montag"&amp;"em e desmontagem dos pontos de venda de comida e bebida e auxiliarão na preparação e limpeza das áreas de refeições e eventos, incluindo a organização de mesas de banquete, cadeiras, decorações, expositores e itens relacionados à montagem de refeições, be"&amp;"m como a desmontagem e restauração dos espaços de eventos após o serviço de alimentação. Os garçons poderão ser solicitados a desempenhar funções em ambientes externos, em eventos de banquete e poderão servir os clientes utilizando carrinhos de golfe. Os "&amp;"garçons garantem que os pedidos sejam preparados com a prioridade correta, auxiliam nos retoques finais antes do serviço, incluindo a decoração dos pratos e a preparação dos itens para apresentação, verificam os pratos antes da entrega quanto à precisão, "&amp;"apresentação e temperatura, transmitem informações importantes entre a cozinha e os demais garçons, repõem os itens de alimentos e bebidas conforme necessário e participam pessoalmente de todas as reuniões pré-refeição para aprimorar a comunicação e o con"&amp;"hecimento do produto. Os garçons também executam tarefas de atendimento ao cliente e ao restaurante conforme orientação dos supervisores ou da gerência de Alimentos e Bebidas, incluindo auxiliar os clientes, arrumar as mesas, manter a limpeza do salão, ap"&amp;"oiar o serviço de alimentos e bebidas e executar as rotinas de abertura e fechamento, bem como outras tarefas atribuídas, solicitadas ou consideradas necessárias pela gerência de Alimentos e Bebidas. Classificação da vaga: 35-3031.00 - Garçons e Garçonete"&amp;"s. A classificação e a descrição da vaga/setor incluem informações gerais sobre o cargo, de acordo com o ONET/OES e o Sistema de Classificação Industrial da América do Norte. Consulte as Funções e a Ordem de Serviço para obter mais informações. Requisitos"&amp;" da vaga Experiência necessária: Sim Meses de experiência necessários: 8 Requisitos especiais: Aprovação em exame toxicológico pré-admissional, conforme política de contratação da empresa vigente na data da admissão. Capacidade de ler, escrever e se comun"&amp;"icar com clareza. Número de horas semanais: 35 Horário de trabalho (início/término): 9h às 21h")</f>
        <v>Os garçons irão anotar, servir e entregar pedidos de comida e bebida; responder a perguntas sobre os itens do cardápio e oferecer recomendações quando apropriado; inserir os pedidos no sistema de ponto de venda (PDV); montar as comidas e bebidas em bandejas; servir bebidas e refeições; repor os itens conforme necessário; preparar e servir bebidas quentes, frias e mistas; operar a máquina de café expresso; recomendar e servir vinhos à mesa para sócios e convidados; retirar a louça suja; receber o pagamento correto dos clientes; garantir a precisão das contas, métodos de pagamento e assinaturas dos sócios; e obter e manter um conhecimento atualizado de todos os cardápios, incluindo os de comida para viagem. Os garçons também serão responsáveis ​​pela montagem e desmontagem dos pontos de venda de comida e bebida e auxiliarão na preparação e limpeza das áreas de refeições e eventos, incluindo a organização de mesas de banquete, cadeiras, decorações, expositores e itens relacionados à montagem de refeições, bem como a desmontagem e restauração dos espaços de eventos após o serviço de alimentação. Os garçons poderão ser solicitados a desempenhar funções em ambientes externos, em eventos de banquete e poderão servir os clientes utilizando carrinhos de golfe. Os garçons garantem que os pedidos sejam preparados com a prioridade correta, auxiliam nos retoques finais antes do serviço, incluindo a decoração dos pratos e a preparação dos itens para apresentação, verificam os pratos antes da entrega quanto à precisão, apresentação e temperatura, transmitem informações importantes entre a cozinha e os demais garçons, repõem os itens de alimentos e bebidas conforme necessário e participam pessoalmente de todas as reuniões pré-refeição para aprimorar a comunicação e o conhecimento do produto. Os garçons também executam tarefas de atendimento ao cliente e ao restaurante conforme orientação dos supervisores ou da gerência de Alimentos e Bebidas, incluindo auxiliar os clientes, arrumar as mesas, manter a limpeza do salão, apoiar o serviço de alimentos e bebidas e executar as rotinas de abertura e fechamento, bem como outras tarefas atribuídas, solicitadas ou consideradas necessárias pela gerência de Alimentos e Bebidas. Classificação da vaga: 35-3031.00 - Garçons e Garçonetes. A classificação e a descrição da vaga/setor incluem informações gerais sobre o cargo, de acordo com o ONET/OES e o Sistema de Classificação Industrial da América do Norte. Consulte as Funções e a Ordem de Serviço para obter mais informações. Requisitos da vaga Experiência necessária: Sim Meses de experiência necessários: 8 Requisitos especiais: Aprovação em exame toxicológico pré-admissional, conforme política de contratação da empresa vigente na data da admissão. Capacidade de ler, escrever e se comunicar com clareza. Número de horas semanais: 35 Horário de trabalho (início/término): 9h às 21h</v>
      </c>
    </row>
    <row r="547" ht="20.25" customHeight="1">
      <c r="A547" s="8" t="s">
        <v>2733</v>
      </c>
      <c r="B547" s="8" t="s">
        <v>1410</v>
      </c>
      <c r="C547" s="8" t="s">
        <v>1411</v>
      </c>
      <c r="D547" s="8" t="s">
        <v>299</v>
      </c>
      <c r="E547" s="9" t="s">
        <v>19</v>
      </c>
      <c r="F547" s="9" t="s">
        <v>20</v>
      </c>
      <c r="G547" s="9" t="s">
        <v>467</v>
      </c>
      <c r="H547" s="8" t="s">
        <v>1413</v>
      </c>
      <c r="I547" s="8" t="s">
        <v>1414</v>
      </c>
      <c r="J547" s="9">
        <v>20.16</v>
      </c>
      <c r="K547" s="9">
        <v>4.0</v>
      </c>
      <c r="L547" s="8" t="s">
        <v>2101</v>
      </c>
      <c r="M547" s="8" t="s">
        <v>2102</v>
      </c>
      <c r="N547" s="7" t="str">
        <f>IFERROR(__xludf.DUMMYFUNCTION("GOOGLETRANSLATE(L547, ""en"", ""pt"")"),"Técnico de Manutenção")</f>
        <v>Técnico de Manutenção</v>
      </c>
      <c r="O547" s="7" t="str">
        <f>IFERROR(__xludf.DUMMYFUNCTION("IF(M547="""","""",GOOGLETRANSLATE(M547,""en"",""pt""))"),"Auxiliar mecânicos experientes em tarefas menos complexas relacionadas à manutenção e reparo de veículos. Auxiliar os mecânicos no diagnóstico, exame, teste, ajuste e reparo de diversos veículos e equipamentos comerciais, como caminhonetes, conjuntos de c"&amp;"aminhão-trator pesado, caminhões com Peso Bruto Total (PBT) superior a 11.793 kg (26.001 libras), carregadeiras, reboques e outras máquinas e equipamentos relacionados, conforme necessário. Segurar ou fornecer ferramentas e peças para trabalhadores mais q"&amp;"ualificados. Posicionar veículos e outros objetos, como ferramentas, equipamentos de diagnóstico, suprimentos, etc., conforme necessário. As funções diárias podem incluir inspecionar veículos, máquinas e equipamentos para garantir seu pleno funcionamento;"&amp;" limpar e lubrificar veículos e outros equipamentos e ferramentas; manter a área de manutenção limpa e segura, garantindo que todos os equipamentos de diagnóstico, suprimentos, ferramentas, equipamentos de manutenção grandes e pequenos, fluidos e suprimen"&amp;"tos estejam armazenados e posicionados conforme necessário. Classificação da Função: 49-9098.00 - Ajudantes - Trabalhadores de Instalação, Manutenção e Reparo. A classificação e descrição da função/setor inclui informações gerais sobre o cargo, de acordo "&amp;"com o ONET/OES e o Sistema de Classificação Industrial da América do Norte (NAICS). Consulte as Funções e a Ordem de Serviço para obter mais informações. Requisitos da Função: Experiência Necessária: Sim. Meses de Experiência Necessários: 6. Requisitos Es"&amp;"peciais: Carteira de Habilitação. Aprovação em verificação de antecedentes e teste toxicológico. Número de Horas por Semana: 45. Horário de Trabalho (Início/Término): 16h00 - 01h00.")</f>
        <v>Auxiliar mecânicos experientes em tarefas menos complexas relacionadas à manutenção e reparo de veículos. Auxiliar os mecânicos no diagnóstico, exame, teste, ajuste e reparo de diversos veículos e equipamentos comerciais, como caminhonetes, conjuntos de caminhão-trator pesado, caminhões com Peso Bruto Total (PBT) superior a 11.793 kg (26.001 libras), carregadeiras, reboques e outras máquinas e equipamentos relacionados, conforme necessário. Segurar ou fornecer ferramentas e peças para trabalhadores mais qualificados. Posicionar veículos e outros objetos, como ferramentas, equipamentos de diagnóstico, suprimentos, etc., conforme necessário. As funções diárias podem incluir inspecionar veículos, máquinas e equipamentos para garantir seu pleno funcionamento; limpar e lubrificar veículos e outros equipamentos e ferramentas; manter a área de manutenção limpa e segura, garantindo que todos os equipamentos de diagnóstico, suprimentos, ferramentas, equipamentos de manutenção grandes e pequenos, fluidos e suprimentos estejam armazenados e posicionados conforme necessário. Classificação da Função: 49-9098.00 - Ajudantes - Trabalhadores de Instalação, Manutenção e Reparo. A classificação e descrição da função/setor inclui informações gerais sobre o cargo, de acordo com o ONET/OES e o Sistema de Classificação Industrial da América do Norte (NAICS). Consulte as Funções e a Ordem de Serviço para obter mais informações. Requisitos da Função: Experiência Necessária: Sim. Meses de Experiência Necessários: 6. Requisitos Especiais: Carteira de Habilitação. Aprovação em verificação de antecedentes e teste toxicológico. Número de Horas por Semana: 45. Horário de Trabalho (Início/Término): 16h00 - 01h00.</v>
      </c>
    </row>
    <row r="548" ht="20.25" customHeight="1">
      <c r="A548" s="3" t="s">
        <v>2734</v>
      </c>
      <c r="B548" s="3" t="s">
        <v>1410</v>
      </c>
      <c r="C548" s="3" t="s">
        <v>1411</v>
      </c>
      <c r="D548" s="3" t="s">
        <v>498</v>
      </c>
      <c r="E548" s="4" t="s">
        <v>19</v>
      </c>
      <c r="F548" s="4" t="s">
        <v>20</v>
      </c>
      <c r="G548" s="4" t="s">
        <v>467</v>
      </c>
      <c r="H548" s="3" t="s">
        <v>1413</v>
      </c>
      <c r="I548" s="3" t="s">
        <v>1414</v>
      </c>
      <c r="J548" s="4">
        <v>20.19</v>
      </c>
      <c r="K548" s="4">
        <v>8.0</v>
      </c>
      <c r="L548" s="3" t="s">
        <v>2101</v>
      </c>
      <c r="M548" s="3" t="s">
        <v>2102</v>
      </c>
      <c r="N548" s="7" t="str">
        <f>IFERROR(__xludf.DUMMYFUNCTION("GOOGLETRANSLATE(L548, ""en"", ""pt"")"),"Técnico de Manutenção")</f>
        <v>Técnico de Manutenção</v>
      </c>
      <c r="O548" s="7" t="str">
        <f>IFERROR(__xludf.DUMMYFUNCTION("IF(M548="""","""",GOOGLETRANSLATE(M548,""en"",""pt""))"),"Auxiliar mecânicos experientes em tarefas menos complexas relacionadas à manutenção e reparo de veículos. Auxiliar os mecânicos no diagnóstico, exame, teste, ajuste e reparo de diversos veículos e equipamentos comerciais, como caminhonetes, conjuntos de c"&amp;"aminhão-trator pesado, caminhões com Peso Bruto Total (PBT) superior a 11.793 kg (26.001 libras), carregadeiras, reboques e outras máquinas e equipamentos relacionados, conforme necessário. Segurar ou fornecer ferramentas e peças para trabalhadores mais q"&amp;"ualificados. Posicionar veículos e outros objetos, como ferramentas, equipamentos de diagnóstico, suprimentos, etc., conforme necessário. As funções diárias podem incluir inspecionar veículos, máquinas e equipamentos para garantir seu pleno funcionamento;"&amp;" limpar e lubrificar veículos e outros equipamentos e ferramentas; manter a área de manutenção limpa e segura, garantindo que todos os equipamentos de diagnóstico, suprimentos, ferramentas, equipamentos de manutenção grandes e pequenos, fluidos e suprimen"&amp;"tos estejam armazenados e posicionados conforme necessário. Classificação da Função: 49-9098.00 - Ajudantes - Trabalhadores de Instalação, Manutenção e Reparo. A classificação e descrição da função/setor inclui informações gerais sobre o cargo, de acordo "&amp;"com o ONET/OES e o Sistema de Classificação Industrial da América do Norte (NAICS). Consulte as Funções e a Ordem de Serviço para obter mais informações. Requisitos da Função: Experiência Necessária: Sim. Meses de Experiência Necessários: 6. Requisitos Es"&amp;"peciais: Carteira de Habilitação. Aprovação em verificação de antecedentes e teste toxicológico. Número de Horas por Semana: 45. Horário de Trabalho (Início/Término): 16h00 - 01h00.")</f>
        <v>Auxiliar mecânicos experientes em tarefas menos complexas relacionadas à manutenção e reparo de veículos. Auxiliar os mecânicos no diagnóstico, exame, teste, ajuste e reparo de diversos veículos e equipamentos comerciais, como caminhonetes, conjuntos de caminhão-trator pesado, caminhões com Peso Bruto Total (PBT) superior a 11.793 kg (26.001 libras), carregadeiras, reboques e outras máquinas e equipamentos relacionados, conforme necessário. Segurar ou fornecer ferramentas e peças para trabalhadores mais qualificados. Posicionar veículos e outros objetos, como ferramentas, equipamentos de diagnóstico, suprimentos, etc., conforme necessário. As funções diárias podem incluir inspecionar veículos, máquinas e equipamentos para garantir seu pleno funcionamento; limpar e lubrificar veículos e outros equipamentos e ferramentas; manter a área de manutenção limpa e segura, garantindo que todos os equipamentos de diagnóstico, suprimentos, ferramentas, equipamentos de manutenção grandes e pequenos, fluidos e suprimentos estejam armazenados e posicionados conforme necessário. Classificação da Função: 49-9098.00 - Ajudantes - Trabalhadores de Instalação, Manutenção e Reparo. A classificação e descrição da função/setor inclui informações gerais sobre o cargo, de acordo com o ONET/OES e o Sistema de Classificação Industrial da América do Norte (NAICS). Consulte as Funções e a Ordem de Serviço para obter mais informações. Requisitos da Função: Experiência Necessária: Sim. Meses de Experiência Necessários: 6. Requisitos Especiais: Carteira de Habilitação. Aprovação em verificação de antecedentes e teste toxicológico. Número de Horas por Semana: 45. Horário de Trabalho (Início/Término): 16h00 - 01h00.</v>
      </c>
    </row>
    <row r="549" ht="20.25" customHeight="1">
      <c r="A549" s="8" t="s">
        <v>2735</v>
      </c>
      <c r="B549" s="8" t="s">
        <v>2736</v>
      </c>
      <c r="C549" s="8" t="s">
        <v>662</v>
      </c>
      <c r="D549" s="8" t="s">
        <v>87</v>
      </c>
      <c r="E549" s="9" t="s">
        <v>19</v>
      </c>
      <c r="F549" s="9" t="s">
        <v>20</v>
      </c>
      <c r="G549" s="9" t="s">
        <v>384</v>
      </c>
      <c r="H549" s="8" t="s">
        <v>2737</v>
      </c>
      <c r="I549" s="8" t="s">
        <v>2738</v>
      </c>
      <c r="J549" s="9">
        <v>18.89</v>
      </c>
      <c r="K549" s="9">
        <v>60.0</v>
      </c>
      <c r="L549" s="8" t="s">
        <v>1061</v>
      </c>
      <c r="M549" s="8" t="s">
        <v>2739</v>
      </c>
      <c r="N549" s="7" t="str">
        <f>IFERROR(__xludf.DUMMYFUNCTION("GOOGLETRANSLATE(L549, ""en"", ""pt"")"),"Auxiliar de Creche")</f>
        <v>Auxiliar de Creche</v>
      </c>
      <c r="O549" s="7" t="str">
        <f>IFERROR(__xludf.DUMMYFUNCTION("IF(M549="""","""",GOOGLETRANSLATE(M549,""en"",""pt""))"),"As funções podem incluir: realizar o empacotamento mecanizado da colheita, o carregamento manual da colheita em silos de transporte a granel, o transporte mecanizado dos silos para a sala de embalagem, o carregamento manual da colheita nas linhas de embal"&amp;"agem, a triagem/alinhamento manual da colheita, o empacotamento da colheita em sacos, a etiquetagem, o carregamento e o armazenamento dos sacos embalados. Limpar a área de trabalho e outras atividades relacionadas ao trabalho em viveiro, conforme SOC/OES "&amp;"45-2092 (onetonline.org). Horário padrão/esperado: segunda a sexta, das 8h às 16h. Oferecemos 35 horas ou mais por semana, sem incluir o horário de almoço e/ou intervalos. Possibilidade de trabalho aos fins de semana e feriados. Os horários de início e té"&amp;"rmino, a carga horária e/ou horas extras podem variar, pois dependem de fatores como as necessidades do projeto/cronograma/serviço, as condições climáticas e o tempo de deslocamento entre os locais de trabalho (se aplicável). Horas extras são possíveis, m"&amp;"as não obrigatórias nem garantidas. A critério exclusivo do empregador: possíveis aumentos e/ou bônus com base em fatores individuais, como desempenho no trabalho ou habilidades (não garantidos). Classificação da vaga: 45-2092.00 - Trabalhadores rurais e "&amp;"operários, cultivo, viveiro e estufa. A classificação e descrição da vaga/setor incluem informações gerais sobre o cargo, conforme o ONET/OES e o Sistema de Classificação Industrial da América do Norte. Consulte as atribuições e a ordem de serviço para ob"&amp;"ter mais informações. Requisitos da vaga: Experiência exigida: Não. Requisitos especiais: É necessário ter 18 anos devido a questões de seguro. É necessário apresentar comprovante de autorização legal para trabalhar nos Estados Unidos. Ambiente de trabalh"&amp;"o livre de drogas, álcool e tabaco. Executar atividades físicas, como levantar, equilibrar-se, caminhar, abaixar-se, manusear, posicionar, mover e manipular materiais; usar força estática para exercer força muscular máxima para levantar, empurrar, puxar e"&amp;" carregar objetos de até 23 kg. Todos os candidatos devem ser capazes, estar dispostos e qualificados para executar o trabalho descrito e devem estar disponíveis durante todo o período especificado. A critério do empregador e devido aos custos, o trabalha"&amp;"dor poderá ser submetido a testes aleatórios de drogas/álcool durante o emprego: teste positivo/recusa em cumprir o teste resultará em demissão. O trabalho é realizado ao ar livre, exposto às intempéries; o candidato deve ser capaz de realizar trabalho fi"&amp;"sicamente extenuante por longos períodos, ocasionalmente em calor ou frio extremos. As condições climáticas são variáveis; a carga horária pode sofrer alterações (+/-), com possibilidade de períodos de inatividade e/ou horas extras. Número de horas por se"&amp;"mana: 40. Horário de trabalho (início/término): 8h às 16h.")</f>
        <v>As funções podem incluir: realizar o empacotamento mecanizado da colheita, o carregamento manual da colheita em silos de transporte a granel, o transporte mecanizado dos silos para a sala de embalagem, o carregamento manual da colheita nas linhas de embalagem, a triagem/alinhamento manual da colheita, o empacotamento da colheita em sacos, a etiquetagem, o carregamento e o armazenamento dos sacos embalados. Limpar a área de trabalho e outras atividades relacionadas ao trabalho em viveiro, conforme SOC/OES 45-2092 (onetonline.org). Horário padrão/esperado: segunda a sexta, das 8h às 16h. Oferecemos 35 horas ou mais por semana, sem incluir o horário de almoço e/ou intervalos. Possibilidade de trabalho aos fins de semana e feriados. Os horários de início e término, a carga horária e/ou horas extras podem variar, pois dependem de fatores como as necessidades do projeto/cronograma/serviço, as condições climáticas e o tempo de deslocamento entre os locais de trabalho (se aplicável). Horas extras são possíveis, mas não obrigatórias nem garantidas. A critério exclusivo do empregador: possíveis aumentos e/ou bônus com base em fatores individuais, como desempenho no trabalho ou habilidades (não garantidos). Classificação da vaga: 45-2092.00 - Trabalhadores rurais e operários, cultivo, viveiro e estufa. A classificação e descrição da vaga/setor incluem informações gerais sobre o cargo, conforme o ONET/OES e o Sistema de Classificação Industrial da América do Norte. Consulte as atribuições e a ordem de serviço para obter mais informações. Requisitos da vaga: Experiência exigida: Não. Requisitos especiais: É necessário ter 18 anos devido a questões de seguro. É necessário apresentar comprovante de autorização legal para trabalhar nos Estados Unidos. Ambiente de trabalho livre de drogas, álcool e tabaco. Executar atividades físicas, como levantar, equilibrar-se, caminhar, abaixar-se, manusear, posicionar, mover e manipular materiais; usar força estática para exercer força muscular máxima para levantar, empurrar, puxar e carregar objetos de até 23 kg. Todos os candidatos devem ser capazes, estar dispostos e qualificados para executar o trabalho descrito e devem estar disponíveis durante todo o período especificado. A critério do empregador e devido aos custos, o trabalhador poderá ser submetido a testes aleatórios de drogas/álcool durante o emprego: teste positivo/recusa em cumprir o teste resultará em demissão. O trabalho é realizado ao ar livre, exposto às intempéries; o candidato deve ser capaz de realizar trabalho fisicamente extenuante por longos períodos, ocasionalmente em calor ou frio extremos. As condições climáticas são variáveis; a carga horária pode sofrer alterações (+/-), com possibilidade de períodos de inatividade e/ou horas extras. Número de horas por semana: 40. Horário de trabalho (início/término): 8h às 16h.</v>
      </c>
    </row>
    <row r="550" ht="20.25" customHeight="1">
      <c r="A550" s="3" t="s">
        <v>2740</v>
      </c>
      <c r="B550" s="3" t="s">
        <v>2741</v>
      </c>
      <c r="C550" s="3" t="s">
        <v>2324</v>
      </c>
      <c r="D550" s="3" t="s">
        <v>55</v>
      </c>
      <c r="E550" s="4" t="s">
        <v>19</v>
      </c>
      <c r="F550" s="4" t="s">
        <v>20</v>
      </c>
      <c r="G550" s="4" t="s">
        <v>56</v>
      </c>
      <c r="H550" s="3" t="s">
        <v>2742</v>
      </c>
      <c r="I550" s="3" t="s">
        <v>2743</v>
      </c>
      <c r="J550" s="4">
        <v>18.31</v>
      </c>
      <c r="K550" s="4">
        <v>12.0</v>
      </c>
      <c r="L550" s="3" t="s">
        <v>149</v>
      </c>
      <c r="M550" s="3" t="s">
        <v>2744</v>
      </c>
      <c r="N550" s="7" t="str">
        <f>IFERROR(__xludf.DUMMYFUNCTION("GOOGLETRANSLATE(L550, ""en"", ""pt"")"),"Trabalhador de paisagismo")</f>
        <v>Trabalhador de paisagismo</v>
      </c>
      <c r="O550" s="7" t="str">
        <f>IFERROR(__xludf.DUMMYFUNCTION("IF(M550="""","""",GOOGLETRANSLATE(M550,""en"",""pt""))"),"As funções podem incluir: Manutenção de terrenos de propriedades industriais, comerciais, públicas e privadas; corte de grama, uso de cortadores de grama manuais/motorizados, plantio de grama, sementes e palha. Aplicação de cobertura morta, acabamento de "&amp;"bordas, colocação de grama em placas, poda, uso de ferramentas manuais/elétricas, pulverização, plantio de flores, árvores e arbustos, rega e coleta, queima e remoção de folhas, papel ou outros resíduos, além de outras atividades relacionadas a paisagismo"&amp;", conforme SOC/OES 37-3011 (onetonline.org). Classificação da função: 37-3011.00 - Trabalhadores de Paisagismo e Manutenção de Terrenos. A classificação e descrição da função/setor incluem informações gerais sobre o cargo, de acordo com o ONET/OES e o Sis"&amp;"tema de Classificação Industrial da América do Norte. Consulte as Funções e a Ordem de Serviço para obter mais informações. Requisitos da vaga: Experiência exigida: Não. Requisitos especiais: É necessário ter 18 anos devido a questões de seguro. É necessá"&amp;"rio apresentar comprovante de autorização legal para trabalhar nos Estados Unidos. Ambiente de trabalho livre de drogas, álcool e tabaco. Executar atividades físicas como: levantar, equilibrar-se, caminhar, abaixar-se, manusear, posicionar, mover e manipu"&amp;"lar materiais; usar força estática para exercer força muscular máxima para levantar, empurrar, puxar e carregar objetos de até 34 kg (possivelmente por duas pessoas). Todos os candidatos devem ser capazes, dispostos e qualificados para executar o trabalho"&amp;" descrito e devem estar disponíveis durante todo o período especificado e trabalhar em todas as áreas do emprego pretendido. A critério/custo do empregador: o trabalhador poderá ser submetido a testes aleatórios de drogas/álcool durante o emprego: teste p"&amp;"ositivo/recusa em cumprir o teste = demissão. Possível verificação de antecedentes após a contratação, às custas do empregador. O trabalho é realizado ao ar livre, exposto às intempéries; o trabalhador deve ser capaz de realizar trabalho fisicamente exten"&amp;"uante por longas horas, ocasionalmente em calor ou frio extremos. Condições climáticas variáveis ​​se aplicam; o horário de trabalho pode sofrer alterações (+/-), com possibilidade de períodos de inatividade e/ou horas extras. Número de horas por semana: "&amp;"40. Horário de trabalho (início/término): 7h30 às 16h30.")</f>
        <v>As funções podem incluir: Manutenção de terrenos de propriedades industriais, comerciais, públicas e privadas; corte de grama, uso de cortadores de grama manuais/motorizados, plantio de grama, sementes e palha. Aplicação de cobertura morta, acabamento de bordas, colocação de grama em placas, poda, uso de ferramentas manuais/elétricas, pulverização, plantio de flores, árvores e arbustos, rega e coleta, queima e remoção de folhas, papel ou outros resíduos, além de outras atividades relacionadas a paisagismo, conforme SOC/OES 37-3011 (onetonline.org). Classificação da função: 37-3011.00 - Trabalhadores de Paisagismo e Manutenção de Terrenos. A classificação e descrição da função/setor incluem informações gerais sobre o cargo, de acordo com o ONET/OES e o Sistema de Classificação Industrial da América do Norte. Consulte as Funções e a Ordem de Serviço para obter mais informações. Requisitos da vaga: Experiência exigida: Não. Requisitos especiais: É necessário ter 18 anos devido a questões de seguro. É necessário apresentar comprovante de autorização legal para trabalhar nos Estados Unidos. Ambiente de trabalho livre de drogas, álcool e tabaco. Executar atividades físicas como: levantar, equilibrar-se, caminhar, abaixar-se, manusear, posicionar, mover e manipular materiais; usar força estática para exercer força muscular máxima para levantar, empurrar, puxar e carregar objetos de até 34 kg (possivelmente por duas pessoas). Todos os candidatos devem ser capazes, dispostos e qualificados para executar o trabalho descrito e devem estar disponíveis durante todo o período especificado e trabalhar em todas as áreas do emprego pretendido. A critério/custo do empregador: o trabalhador poderá ser submetido a testes aleatórios de drogas/álcool durante o emprego: teste positivo/recusa em cumprir o teste = demissão. Possível verificação de antecedentes após a contratação, às custas do empregador. O trabalho é realizado ao ar livre, exposto às intempéries; o trabalhador deve ser capaz de realizar trabalho fisicamente extenuante por longas horas, ocasionalmente em calor ou frio extremos. Condições climáticas variáveis ​​se aplicam; o horário de trabalho pode sofrer alterações (+/-), com possibilidade de períodos de inatividade e/ou horas extras. Número de horas por semana: 40. Horário de trabalho (início/término): 7h30 às 16h30.</v>
      </c>
    </row>
    <row r="551" ht="20.25" customHeight="1">
      <c r="A551" s="8" t="s">
        <v>2745</v>
      </c>
      <c r="B551" s="8" t="s">
        <v>2337</v>
      </c>
      <c r="C551" s="8" t="s">
        <v>2338</v>
      </c>
      <c r="D551" s="8" t="s">
        <v>71</v>
      </c>
      <c r="E551" s="9" t="s">
        <v>19</v>
      </c>
      <c r="F551" s="9" t="s">
        <v>20</v>
      </c>
      <c r="G551" s="9" t="s">
        <v>2339</v>
      </c>
      <c r="H551" s="8" t="s">
        <v>2340</v>
      </c>
      <c r="I551" s="8" t="s">
        <v>2341</v>
      </c>
      <c r="J551" s="9">
        <v>22.43</v>
      </c>
      <c r="K551" s="9">
        <v>3.0</v>
      </c>
      <c r="L551" s="8" t="s">
        <v>2746</v>
      </c>
      <c r="M551" s="8" t="s">
        <v>2747</v>
      </c>
      <c r="N551" s="7" t="str">
        <f>IFERROR(__xludf.DUMMYFUNCTION("GOOGLETRANSLATE(L551, ""en"", ""pt"")"),"Cavaleiro/Trabalhador de Estábulo")</f>
        <v>Cavaleiro/Trabalhador de Estábulo</v>
      </c>
      <c r="O551" s="7" t="str">
        <f>IFERROR(__xludf.DUMMYFUNCTION("IF(M551="""","""",GOOGLETRANSLATE(M551,""en"",""pt""))"),"Responsável pelos cuidados diários, manejo e exercícios dos cavalos, incluindo alimentação, fornecimento de água, escovação, banho e manutenção da limpeza das baias e equipamentos. Prepara os cavalos para o treinamento, selando, aplicando botas e bandagen"&amp;"s e resfriando-os em seguida. Monta os cavalos durante os treinos matinais para melhorar o condicionamento físico, avaliar o desempenho e apoiar os planos de treinamento. Adapta a técnica de montaria a cada cavalo individualmente e segue as normas do seto"&amp;"r e os requisitos de peso. Auxilia veterinários e ferradores, contendo os cavalos com segurança durante exames e cuidados com os cascos. Monitora a saúde dos cavalos, segue os protocolos de segurança e comunica as atualizações de desempenho aos treinadore"&amp;"s e proprietários. Classificação da Função: 39-2011.00 - Treinadores de Animais. A classificação e descrição da função/setor inclui informações gerais sobre o cargo, de acordo com o ONET/OES e o Sistema de Classificação Industrial da América do Norte. Con"&amp;"sulte as Funções e a Ordem de Serviço para obter mais informações. Requisitos da Função: Experiência Necessária: Sim. Meses de Experiência Necessários: 6. Requisitos Especiais: Turno dividido, das 5h às 10h. Das 14h30 às 16h30 (de terça a domingo), com po"&amp;"ssibilidade de horário opcional na segunda-feira, mas não obrigatório. O horário pode variar de acordo com as condições climáticas e o calendário de corridas. Os funcionários devem ser capazes de levantar e carregar pesos de até 68 kg (150 lbs) com auxíli"&amp;"o. Devem também ter capacidade para levantar, carregar e movimentar equipamentos e materiais necessários para a execução das tarefas designadas. O empregador se baseará nas declarações e observações dos funcionários para avaliar se atendem a esse requisit"&amp;"o. É necessário seguir todas as normas de segurança e diretrizes do setor referentes ao treinamento e às práticas de saúde para cavalos e cavaleiros. Requer-se 6 meses de experiência como tratador de cavalos, cavaleiro ou auxiliar de estábulo. Não será of"&amp;"erecido treinamento no local de trabalho. O empregador fornecerá ao funcionário, sem custos ou depósito, todas as ferramentas, suprimentos e equipamentos necessários para o desempenho das funções atribuídas, em conformidade com o 20 CFR 655.20(k). Testes "&amp;"aleatórios de drogas poderão ser exigidos após a contratação para todos os funcionários, tanto americanos/nacionais quanto com visto H-2B, às custas do empregador. Número de horas por semana: 40. Horário de trabalho (início/término): 5h às 16h30.")</f>
        <v>Responsável pelos cuidados diários, manejo e exercícios dos cavalos, incluindo alimentação, fornecimento de água, escovação, banho e manutenção da limpeza das baias e equipamentos. Prepara os cavalos para o treinamento, selando, aplicando botas e bandagens e resfriando-os em seguida. Monta os cavalos durante os treinos matinais para melhorar o condicionamento físico, avaliar o desempenho e apoiar os planos de treinamento. Adapta a técnica de montaria a cada cavalo individualmente e segue as normas do setor e os requisitos de peso. Auxilia veterinários e ferradores, contendo os cavalos com segurança durante exames e cuidados com os cascos. Monitora a saúde dos cavalos, segue os protocolos de segurança e comunica as atualizações de desempenho aos treinadores e proprietários. Classificação da Função: 39-2011.00 - Treinadores de Animais. A classificação e descrição da função/setor inclui informações gerais sobre o cargo, de acordo com o ONET/OES e o Sistema de Classificação Industrial da América do Norte. Consulte as Funções e a Ordem de Serviço para obter mais informações. Requisitos da Função: Experiência Necessária: Sim. Meses de Experiência Necessários: 6. Requisitos Especiais: Turno dividido, das 5h às 10h. Das 14h30 às 16h30 (de terça a domingo), com possibilidade de horário opcional na segunda-feira, mas não obrigatório. O horário pode variar de acordo com as condições climáticas e o calendário de corridas. Os funcionários devem ser capazes de levantar e carregar pesos de até 68 kg (150 lbs) com auxílio. Devem também ter capacidade para levantar, carregar e movimentar equipamentos e materiais necessários para a execução das tarefas designadas. O empregador se baseará nas declarações e observações dos funcionários para avaliar se atendem a esse requisito. É necessário seguir todas as normas de segurança e diretrizes do setor referentes ao treinamento e às práticas de saúde para cavalos e cavaleiros. Requer-se 6 meses de experiência como tratador de cavalos, cavaleiro ou auxiliar de estábulo. Não será oferecido treinamento no local de trabalho. O empregador fornecerá ao funcionário, sem custos ou depósito, todas as ferramentas, suprimentos e equipamentos necessários para o desempenho das funções atribuídas, em conformidade com o 20 CFR 655.20(k). Testes aleatórios de drogas poderão ser exigidos após a contratação para todos os funcionários, tanto americanos/nacionais quanto com visto H-2B, às custas do empregador. Número de horas por semana: 40. Horário de trabalho (início/término): 5h às 16h30.</v>
      </c>
    </row>
    <row r="552" ht="20.25" customHeight="1">
      <c r="A552" s="3" t="s">
        <v>2748</v>
      </c>
      <c r="B552" s="3" t="s">
        <v>2749</v>
      </c>
      <c r="C552" s="3" t="s">
        <v>93</v>
      </c>
      <c r="D552" s="3" t="s">
        <v>344</v>
      </c>
      <c r="E552" s="4" t="s">
        <v>19</v>
      </c>
      <c r="F552" s="4" t="s">
        <v>20</v>
      </c>
      <c r="G552" s="4" t="s">
        <v>181</v>
      </c>
      <c r="H552" s="3" t="s">
        <v>2750</v>
      </c>
      <c r="I552" s="3" t="s">
        <v>2751</v>
      </c>
      <c r="J552" s="4">
        <v>26.13</v>
      </c>
      <c r="K552" s="4">
        <v>2.0</v>
      </c>
      <c r="L552" s="3" t="s">
        <v>2752</v>
      </c>
      <c r="M552" s="3" t="s">
        <v>2753</v>
      </c>
      <c r="N552" s="7" t="str">
        <f>IFERROR(__xludf.DUMMYFUNCTION("GOOGLETRANSLATE(L552, ""en"", ""pt"")"),"Ajudante de Telhador")</f>
        <v>Ajudante de Telhador</v>
      </c>
      <c r="O552" s="7" t="str">
        <f>IFERROR(__xludf.DUMMYFUNCTION("IF(M552="""","""",GOOGLETRANSLATE(M552,""en"",""pt""))"),"Os funcionários desempenham funções gerais de apoio à construção, incluindo a manutenção de áreas de trabalho limpas e organizadas, a limpeza e manutenção de ferramentas e equipamentos, e o descarregamento e distribuição de materiais e suprimentos. Eles m"&amp;"ontam escadas, andaimes e guindastes para facilitar a movimentação segura de materiais e auxiliam no transporte de materiais para as áreas de trabalho designadas. Além disso, os funcionários são responsáveis ​​por desentupir ralos e calhas e realizar a li"&amp;"mpeza geral do local para garantir um ambiente de trabalho seguro e eficiente. Classificação da vaga: 47-3016.00 - Ajudantes de Telhador. A classificação e descrição da vaga/setor incluem informações gerais sobre o cargo, de acordo com o ONET/OES e o Sist"&amp;"ema de Classificação Industrial da América do Norte (NAICS). Consulte as Funções e a Ordem de Serviço para obter mais informações. Requisitos da vaga: Experiência necessária: Sim. Meses de experiência necessários: 3. Requisitos especiais: Deve ser capaz d"&amp;"e levantar/carregar 23 kg, quando necessário. Trabalho aos sábados e domingos, quando necessário. Exame toxicológico pós-contratação obrigatório para trabalhadores estrangeiros e nacionais. Requer 3 meses de experiência como ajudante de telhador. O empreg"&amp;"ador poderá oferecer uma jornada de trabalho superior à estipulada, dependendo das condições climáticas, das necessidades da empresa e de outros fatores. Calor extremo, frio intenso, chuva ou seca podem afetar o horário de trabalho exato. Número de horas "&amp;"por semana: 45. Horário de trabalho (início/término): 7h às 17h.")</f>
        <v>Os funcionários desempenham funções gerais de apoio à construção, incluindo a manutenção de áreas de trabalho limpas e organizadas, a limpeza e manutenção de ferramentas e equipamentos, e o descarregamento e distribuição de materiais e suprimentos. Eles montam escadas, andaimes e guindastes para facilitar a movimentação segura de materiais e auxiliam no transporte de materiais para as áreas de trabalho designadas. Além disso, os funcionários são responsáveis ​​por desentupir ralos e calhas e realizar a limpeza geral do local para garantir um ambiente de trabalho seguro e eficiente. Classificação da vaga: 47-3016.00 - Ajudantes de Telhador. A classificação e descrição da vaga/setor incluem informações gerais sobre o cargo, de acordo com o ONET/OES e o Sistema de Classificação Industrial da América do Norte (NAICS). Consulte as Funções e a Ordem de Serviço para obter mais informações. Requisitos da vaga: Experiência necessária: Sim. Meses de experiência necessários: 3. Requisitos especiais: Deve ser capaz de levantar/carregar 23 kg, quando necessário. Trabalho aos sábados e domingos, quando necessário. Exame toxicológico pós-contratação obrigatório para trabalhadores estrangeiros e nacionais. Requer 3 meses de experiência como ajudante de telhador. O empregador poderá oferecer uma jornada de trabalho superior à estipulada, dependendo das condições climáticas, das necessidades da empresa e de outros fatores. Calor extremo, frio intenso, chuva ou seca podem afetar o horário de trabalho exato. Número de horas por semana: 45. Horário de trabalho (início/término): 7h às 17h.</v>
      </c>
    </row>
    <row r="553" ht="20.25" customHeight="1">
      <c r="A553" s="8" t="s">
        <v>2754</v>
      </c>
      <c r="B553" s="8" t="s">
        <v>2755</v>
      </c>
      <c r="C553" s="8" t="s">
        <v>1440</v>
      </c>
      <c r="D553" s="8" t="s">
        <v>532</v>
      </c>
      <c r="E553" s="9" t="s">
        <v>19</v>
      </c>
      <c r="F553" s="9" t="s">
        <v>20</v>
      </c>
      <c r="G553" s="9" t="s">
        <v>72</v>
      </c>
      <c r="H553" s="8" t="s">
        <v>2756</v>
      </c>
      <c r="I553" s="8" t="s">
        <v>2757</v>
      </c>
      <c r="J553" s="9">
        <v>19.51</v>
      </c>
      <c r="K553" s="9">
        <v>115.0</v>
      </c>
      <c r="L553" s="8" t="s">
        <v>1388</v>
      </c>
      <c r="M553" s="8" t="s">
        <v>2758</v>
      </c>
      <c r="N553" s="7" t="str">
        <f>IFERROR(__xludf.DUMMYFUNCTION("GOOGLETRANSLATE(L553, ""en"", ""pt"")"),"Trabalhador de paisagismo")</f>
        <v>Trabalhador de paisagismo</v>
      </c>
      <c r="O553" s="7" t="str">
        <f>IFERROR(__xludf.DUMMYFUNCTION("IF(M553="""","""",GOOGLETRANSLATE(M553,""en"",""pt""))"),"Todos os candidatos devem ser capazes, dispostos e qualificados para executar o trabalho descrito e devem estar disponíveis durante todo o período especificado. Vaga temporária sazonal em tempo integral para Limpeza de Vegetação em Faixas de Domínio de Ut"&amp;"ilidades, conforme Soc/OES 37-3011. Funções: pulverizar fertilizante, herbicida e inseticida em arbustos, árvores e folhagens, utilizando pulverizadores manuais e automáticos. Realizar atividades físicas: levantar, equilibrar-se, caminhar, agachar-se, man"&amp;"usear, posicionar, mover e manipular materiais, utilizando força estática e exercendo força muscular máxima para empurrar, puxar e carregar objetos de até 23 kg. Trabalho ao ar livre, exposto às intempéries. Horário e salário podem variar de acordo com o "&amp;"clima e a região de trabalho. O transporte de ida e volta para o local de trabalho é fornecido pelo empregador nos dias úteis, sem custo para o trabalhador. Horário de trabalho: 7h às 17h, de segunda a sexta-feira. Ambiente de trabalho livre de drogas, ál"&amp;"cool e tabaco; caso o supervisor observe um trabalhador possivelmente sob efeito de drogas ou álcool, o empregador custeará o teste; recusa em participar ou reprovação no teste resultará em demissão. É necessário comprovar autorização legal para trabalhar"&amp;" nos EUA. Idade mínima: 18 anos devido a viagens. Treinamento em serviço (OJT). Sem escolaridade mínima exigida. Experiência: [informação ausente]. Requisitos: Todo o trabalho será realizado com ferramentas, suprimentos e equipamentos fornecidos pelo empr"&amp;"egador, sem custo ou depósito, conforme as normas. O empregador oferece alojamento opcional sem custo para o trabalhador, auxiliando-o na obtenção de alimentação, hospedagem, etc. Classificação da vaga: 37-3011.00 - Trabalhadores de Paisagismo e Manutençã"&amp;"o de Jardins. A classificação e descrição da vaga/setor incluem informações gerais sobre o cargo, de acordo com o ONET/OES e o Sistema de Classificação Industrial da América do Norte (NAICS). Consulte as Funções e a Ordem de Serviço para obter mais inform"&amp;"ações. Requisitos da vaga: Experiência necessária: Não. Requisitos especiais: Ambiente de trabalho livre de drogas, álcool e tabaco. É necessário comprovar o status legal para trabalhar nos EUA. É necessário ter mais de 18 anos devido a viagens. Número de"&amp;" horas por semana: 35. Horário de trabalho (início/término): 7h às 16h.")</f>
        <v>Todos os candidatos devem ser capazes, dispostos e qualificados para executar o trabalho descrito e devem estar disponíveis durante todo o período especificado. Vaga temporária sazonal em tempo integral para Limpeza de Vegetação em Faixas de Domínio de Utilidades, conforme Soc/OES 37-3011. Funções: pulverizar fertilizante, herbicida e inseticida em arbustos, árvores e folhagens, utilizando pulverizadores manuais e automáticos. Realizar atividades físicas: levantar, equilibrar-se, caminhar, agachar-se, manusear, posicionar, mover e manipular materiais, utilizando força estática e exercendo força muscular máxima para empurrar, puxar e carregar objetos de até 23 kg. Trabalho ao ar livre, exposto às intempéries. Horário e salário podem variar de acordo com o clima e a região de trabalho. O transporte de ida e volta para o local de trabalho é fornecido pelo empregador nos dias úteis, sem custo para o trabalhador. Horário de trabalho: 7h às 17h, de segunda a sexta-feira. Ambiente de trabalho livre de drogas, álcool e tabaco; caso o supervisor observe um trabalhador possivelmente sob efeito de drogas ou álcool, o empregador custeará o teste; recusa em participar ou reprovação no teste resultará em demissão. É necessário comprovar autorização legal para trabalhar nos EUA. Idade mínima: 18 anos devido a viagens. Treinamento em serviço (OJT). Sem escolaridade mínima exigida. Experiência: [informação ausente]. Requisitos: Todo o trabalho será realizado com ferramentas, suprimentos e equipamentos fornecidos pelo empregador, sem custo ou depósito, conforme as normas. O empregador oferece alojamento opcional sem custo para o trabalhador, auxiliando-o na obtenção de alimentação, hospedagem, etc. Classificação da vaga: 37-3011.00 - Trabalhadores de Paisagismo e Manutenção de Jardins. A classificação e descrição da vaga/setor incluem informações gerais sobre o cargo, de acordo com o ONET/OES e o Sistema de Classificação Industrial da América do Norte (NAICS). Consulte as Funções e a Ordem de Serviço para obter mais informações. Requisitos da vaga: Experiência necessária: Não. Requisitos especiais: Ambiente de trabalho livre de drogas, álcool e tabaco. É necessário comprovar o status legal para trabalhar nos EUA. É necessário ter mais de 18 anos devido a viagens. Número de horas por semana: 35. Horário de trabalho (início/término): 7h às 16h.</v>
      </c>
    </row>
    <row r="554" ht="20.25" customHeight="1">
      <c r="A554" s="3" t="s">
        <v>2759</v>
      </c>
      <c r="B554" s="3" t="s">
        <v>1418</v>
      </c>
      <c r="C554" s="3" t="s">
        <v>1419</v>
      </c>
      <c r="D554" s="3" t="s">
        <v>284</v>
      </c>
      <c r="E554" s="4" t="s">
        <v>19</v>
      </c>
      <c r="F554" s="4" t="s">
        <v>20</v>
      </c>
      <c r="G554" s="4" t="s">
        <v>155</v>
      </c>
      <c r="H554" s="3" t="s">
        <v>1420</v>
      </c>
      <c r="I554" s="3" t="s">
        <v>1421</v>
      </c>
      <c r="J554" s="4">
        <v>16.55</v>
      </c>
      <c r="K554" s="4">
        <v>100.0</v>
      </c>
      <c r="L554" s="3" t="s">
        <v>83</v>
      </c>
      <c r="M554" s="3" t="s">
        <v>2760</v>
      </c>
      <c r="N554" s="7" t="str">
        <f>IFERROR(__xludf.DUMMYFUNCTION("GOOGLETRANSLATE(L554, ""en"", ""pt"")"),"Trabalhador Florestal")</f>
        <v>Trabalhador Florestal</v>
      </c>
      <c r="O554" s="7" t="str">
        <f>IFERROR(__xludf.DUMMYFUNCTION("IF(M554="""","""",GOOGLETRANSLATE(M554,""en"",""pt""))"),"Vaga temporária em tempo integral. Todos os candidatos devem ser capazes, dispostos e qualificados para realizar o trabalho descrito nesta descrição de cargo e ter disponibilidade durante todo o período especificado. As funções podem incluir: reflorestame"&amp;"nto, proteção de áreas florestais, semeadura; remoção de mudas de viveiros, colocação de materiais de sombreamento ao lado das mudas, colocação de redes/tubos (pequenos tubos de plástico sobre as mudas); cobertura morta, poda manual pós-plantio (remoção d"&amp;"o excesso de vegetação ao redor das mudas); aplicação de repelente ou fertilizante em mudas e outras atividades relacionadas à silvicultura, conforme as atividades de Trabalhador Florestal Geral de Gestão Florestal e de Terras, de acordo com a SOC/OES 45-"&amp;"4011 (onetonline.org). O trabalho exige esforço físico: levantar, equilibrar-se, caminhar, agachar-se, manusear, posicionar, mover e manipular materiais, utilizando força estática – exercer força muscular máxima para levantar, empurrar, puxar ou carregar "&amp;"objetos de até 23 kg. Atenção aos detalhes; conclusão das tarefas dentro do prazo. Trabalho ao ar livre, exposto às intempéries; o candidato deve ser capaz de realizar trabalho físico extenuante por longos períodos, ocasionalmente em calor/frio extremos. "&amp;"Condições climáticas variáveis ​​se aplicam. O horário de trabalho pode variar (+/-), com possibilidade de períodos de inatividade/horas extras. Horário diário/semanal possível: 7h às 15h30. De segunda a sexta, 35 a 40 horas semanais ou mais, incluindo in"&amp;"tervalo para almoço. Não é exigida escolaridade mínima. Não é necessária experiência. Treinamento em serviço. Transporte fornecido, local designado para o local de trabalho sem custo para o trabalhador. Alojamento opcional fornecido pelo empregador sem cu"&amp;"sto para o trabalhador. Ferramentas/equipamentos fornecidos pelo empregador sem custo para o trabalhador. Classificação do cargo: 45-4011.00 - Trabalhadores Florestais e de Conservação. A classificação e descrição do cargo/setor incluem informações gerais"&amp;" sobre a posição, de acordo com o ONET/OES e o Sistema de Classificação Industrial da América do Norte. Consulte as Funções e a Ordem de Serviço para obter mais informações. Requisitos do cargo: Experiência exigida: Não. Requisitos especiais: É necessário"&amp;" ter pelo menos 18 anos de idade devido a viagens. É necessário comprovar autorização legal para trabalhar nos EUA. Zona de trabalho livre de drogas, álcool e tabaco. Número de horas por semana: 35 Horário de trabalho (início/término): 7h00 - 15h30")</f>
        <v>Vaga temporária em tempo integral. Todos os candidatos devem ser capazes, dispostos e qualificados para realizar o trabalho descrito nesta descrição de cargo e ter disponibilidade durante todo o período especificado. As funções podem incluir: reflorestamento, proteção de áreas florestais, semeadura; remoção de mudas de viveiros, colocação de materiais de sombreamento ao lado das mudas, colocação de redes/tubos (pequenos tubos de plástico sobre as mudas); cobertura morta, poda manual pós-plantio (remoção do excesso de vegetação ao redor das mudas); aplicação de repelente ou fertilizante em mudas e outras atividades relacionadas à silvicultura, conforme as atividades de Trabalhador Florestal Geral de Gestão Florestal e de Terras, de acordo com a SOC/OES 45-4011 (onetonline.org). O trabalho exige esforço físico: levantar, equilibrar-se, caminhar, agachar-se, manusear, posicionar, mover e manipular materiais, utilizando força estática – exercer força muscular máxima para levantar, empurrar, puxar ou carregar objetos de até 23 kg. Atenção aos detalhes; conclusão das tarefas dentro do prazo. Trabalho ao ar livre, exposto às intempéries; o candidato deve ser capaz de realizar trabalho físico extenuante por longos períodos, ocasionalmente em calor/frio extremos. Condições climáticas variáveis ​​se aplicam. O horário de trabalho pode variar (+/-), com possibilidade de períodos de inatividade/horas extras. Horário diário/semanal possível: 7h às 15h30. De segunda a sexta, 35 a 40 horas semanais ou mais, incluindo intervalo para almoço. Não é exigida escolaridade mínima. Não é necessária experiência. Treinamento em serviço. Transporte fornecido, local designado para o local de trabalho sem custo para o trabalhador. Alojamento opcional fornecido pelo empregador sem custo para o trabalhador. Ferramentas/equipamentos fornecidos pelo empregador sem custo para o trabalhador. Classificação do cargo: 45-4011.00 - Trabalhadores Florestais e de Conservação. A classificação e descrição do cargo/setor incluem informações gerais sobre a posição, de acordo com o ONET/OES e o Sistema de Classificação Industrial da América do Norte. Consulte as Funções e a Ordem de Serviço para obter mais informações. Requisitos do cargo: Experiência exigida: Não. Requisitos especiais: É necessário ter pelo menos 18 anos de idade devido a viagens. É necessário comprovar autorização legal para trabalhar nos EUA. Zona de trabalho livre de drogas, álcool e tabaco. Número de horas por semana: 35 Horário de trabalho (início/término): 7h00 - 15h30</v>
      </c>
    </row>
    <row r="555" ht="20.25" customHeight="1">
      <c r="A555" s="8" t="s">
        <v>2761</v>
      </c>
      <c r="B555" s="8" t="s">
        <v>2762</v>
      </c>
      <c r="C555" s="8" t="s">
        <v>93</v>
      </c>
      <c r="D555" s="8" t="s">
        <v>249</v>
      </c>
      <c r="E555" s="9" t="s">
        <v>19</v>
      </c>
      <c r="F555" s="9" t="s">
        <v>20</v>
      </c>
      <c r="G555" s="9" t="s">
        <v>29</v>
      </c>
      <c r="H555" s="8" t="s">
        <v>2763</v>
      </c>
      <c r="I555" s="8"/>
      <c r="J555" s="9">
        <v>18.92</v>
      </c>
      <c r="K555" s="9">
        <v>12.0</v>
      </c>
      <c r="L555" s="8" t="s">
        <v>2764</v>
      </c>
      <c r="M555" s="8" t="s">
        <v>2765</v>
      </c>
      <c r="N555" s="7" t="str">
        <f>IFERROR(__xludf.DUMMYFUNCTION("GOOGLETRANSLATE(L555, ""en"", ""pt"")"),"Operário Geral de Armazém")</f>
        <v>Operário Geral de Armazém</v>
      </c>
      <c r="O555" s="7" t="str">
        <f>IFERROR(__xludf.DUMMYFUNCTION("IF(M555="""","""",GOOGLETRANSLATE(M555,""en"",""pt""))"),"Trabalho em ambiente de armazém para uma empresa de suprimentos hortícolas que fornece ao público uma variedade de ferramentas/equipamentos/suprimentos para o cultivo e manutenção de plantas. As tarefas de trabalho no armazém podem variar diariamente ou d"&amp;"urante o turno, entre funções de separação e expedição. As funções de separação incluem: usar um scanner portátil (que identifica a localização, quantidade e descrição do item) para encher os carrinhos com os produtos solicitados para envio. Agrupar os ca"&amp;"rrinhos atrás de um carrinho de golfe. As funções de expedição incluem: retirar os itens dos carrinhos, embalá-los e colocá-los na esteira transportadora para serem levados à área de carregamento/recebimento. Nível inicial; requer supervisão. Classificaçã"&amp;"o do Cargo: 53-7065.00 - Estoquistas e Separadores de Pedidos. A classificação e descrição do cargo/setor incluem informações gerais sobre a posição, de acordo com o ONET/OES e o Sistema de Classificação Industrial da América do Norte. Consulte as Funções"&amp;" e a Ordem de Serviço para obter mais informações. Requisitos do Cargo: Experiência Necessária: Não. Requisitos Especiais: Deve ser capaz de levantar/carregar 32 kg, quando necessário. O empregador exige que todos os trabalhadores, estrangeiros e nacionai"&amp;"s, se submetam a testes de drogas pagos pela empresa antes do início do trabalho e após a contratação, em caso de suspeita de uso ou acidente. A verificação de antecedentes criminais também é obrigatória para todos os trabalhadores, estrangeiros e naciona"&amp;"is, após a contratação. O horário padrão do primeiro turno é das 8h às 16h30, de segunda a sexta-feira, ou das 8h30 às 17h, dependendo da alocação no armazém. Trabalho aos sábados é necessário quando exigido. Ocasionalmente, o terceiro turno (das 22h às 7"&amp;"h), de domingo a quinta-feira, só será exigido se necessário. Número de horas por semana: 40. Horário de trabalho (início/término): 8h às 16h30.")</f>
        <v>Trabalho em ambiente de armazém para uma empresa de suprimentos hortícolas que fornece ao público uma variedade de ferramentas/equipamentos/suprimentos para o cultivo e manutenção de plantas. As tarefas de trabalho no armazém podem variar diariamente ou durante o turno, entre funções de separação e expedição. As funções de separação incluem: usar um scanner portátil (que identifica a localização, quantidade e descrição do item) para encher os carrinhos com os produtos solicitados para envio. Agrupar os carrinhos atrás de um carrinho de golfe. As funções de expedição incluem: retirar os itens dos carrinhos, embalá-los e colocá-los na esteira transportadora para serem levados à área de carregamento/recebimento. Nível inicial; requer supervisão. Classificação do Cargo: 53-7065.00 - Estoquistas e Separadores de Pedidos. A classificação e descrição do cargo/setor incluem informações gerais sobre a posição, de acordo com o ONET/OES e o Sistema de Classificação Industrial da América do Norte. Consulte as Funções e a Ordem de Serviço para obter mais informações. Requisitos do Cargo: Experiência Necessária: Não. Requisitos Especiais: Deve ser capaz de levantar/carregar 32 kg, quando necessário. O empregador exige que todos os trabalhadores, estrangeiros e nacionais, se submetam a testes de drogas pagos pela empresa antes do início do trabalho e após a contratação, em caso de suspeita de uso ou acidente. A verificação de antecedentes criminais também é obrigatória para todos os trabalhadores, estrangeiros e nacionais, após a contratação. O horário padrão do primeiro turno é das 8h às 16h30, de segunda a sexta-feira, ou das 8h30 às 17h, dependendo da alocação no armazém. Trabalho aos sábados é necessário quando exigido. Ocasionalmente, o terceiro turno (das 22h às 7h), de domingo a quinta-feira, só será exigido se necessário. Número de horas por semana: 40. Horário de trabalho (início/término): 8h às 16h30.</v>
      </c>
    </row>
    <row r="556" ht="20.25" customHeight="1">
      <c r="A556" s="3" t="s">
        <v>2766</v>
      </c>
      <c r="B556" s="3" t="s">
        <v>2767</v>
      </c>
      <c r="C556" s="3" t="s">
        <v>1904</v>
      </c>
      <c r="D556" s="3" t="s">
        <v>254</v>
      </c>
      <c r="E556" s="4" t="s">
        <v>19</v>
      </c>
      <c r="F556" s="4" t="s">
        <v>20</v>
      </c>
      <c r="G556" s="4" t="s">
        <v>377</v>
      </c>
      <c r="H556" s="3" t="s">
        <v>2768</v>
      </c>
      <c r="I556" s="3" t="s">
        <v>2769</v>
      </c>
      <c r="J556" s="4">
        <v>23.67</v>
      </c>
      <c r="K556" s="4">
        <v>3.0</v>
      </c>
      <c r="L556" s="3" t="s">
        <v>2770</v>
      </c>
      <c r="M556" s="3" t="s">
        <v>2771</v>
      </c>
      <c r="N556" s="7" t="str">
        <f>IFERROR(__xludf.DUMMYFUNCTION("GOOGLETRANSLATE(L556, ""en"", ""pt"")"),"Reparo de detalhes/colisões")</f>
        <v>Reparo de detalhes/colisões</v>
      </c>
      <c r="O556" s="7" t="str">
        <f>IFERROR(__xludf.DUMMYFUNCTION("IF(M556="""","""",GOOGLETRANSLATE(M556,""en"",""pt""))"),"As funções podem incluir: Preparar o veículo para a funilaria, lavar e lixar as áreas da carroceria a serem pintadas e cobrir para-choques, janelas e acabamentos com fita adesiva ou papel para protegê-los da tinta. Posicionar blocos de apoio contra as sup"&amp;"erfícies amassadas e bater nas superfícies opostas para remover os amassados, usando martelos. Usando martelos de ponta fina e punções, remover pequenas imperfeições e marcas na lataria. Preencher pequenos amassados ​​que não podem ser removidos com plást"&amp;"ico ou solda. Limar, esmerilhar, lixar e alisar as superfícies preenchidas ou reparadas, usando ferramentas elétricas e manuais. Detalhar o veículo após a pintura/acabamento. Limpar as áreas de trabalho, usando mangueiras de ar, para remover materiais dan"&amp;"ificados e tiras de fibra de vidro descartadas usadas nos procedimentos de reparo e outras atividades relacionadas ao Detalhamento/Reparo de Colisões, conforme SOC/OES 49-3021 (onetonline.org). Horário padrão/esperado: Segunda a sexta, das 8h às 17h. Ofer"&amp;"ecemos mais de 40 horas semanais, sem incluir almoço e/ou intervalos. Possibilidade de trabalho aos fins de semana. Os horários de início e término, a carga horária oferecida e/ou a possibilidade de horas extras podem variar, pois dependem de fatores como"&amp;" necessidades do projeto/cronograma/serviço, condições climáticas e tempo de deslocamento entre os locais de trabalho (se aplicável). Horas extras são possíveis, mas não obrigatórias nem garantidas. A critério exclusivo do empregador: aumentos salariais e"&amp;"/ou bônus podem ser concedidos com base em fatores individuais, como desempenho ou habilidades (não garantidos). Classificação da vaga: 49-3021.00 - Reparador de Carrocerias e Áreas Relacionadas. A classificação e a descrição da vaga/setor incluem informa"&amp;"ções gerais sobre o cargo, conforme o ONET/OES e o Sistema de Classificação Industrial da América do Norte (NAICS). Consulte as Funções e a Ordem de Serviço para obter mais informações. Requisitos da vaga: Experiência exigida: Sim. Meses de experiência ex"&amp;"igidos: 3. Requisitos especiais: É necessário ter 18 anos ou mais devido a questões de seguro. É necessário apresentar comprovante de autorização legal para trabalhar nos Estados Unidos. Ambiente de trabalho livre de drogas, álcool e tabaco. Executar ativ"&amp;"idades físicas, como levantar, equilibrar-se, caminhar, abaixar-se, manusear, posicionar, mover e manipular materiais; usar força estática para exercer força muscular máxima para levantar, empurrar, puxar e carregar objetos de até 18 kg. Todos os candidat"&amp;"os devem ser capazes, estar dispostos e qualificados para executar o trabalho descrito e devem estar disponíveis durante todo o período especificado. O horário de trabalho pode variar de acordo com os picos e vales do turismo ao longo da temporada (+/-), "&amp;"possíveis períodos de inatividade e/ou horas extras. Número de horas por semana: 40. Horário de trabalho (início/término): 8h às 17h.")</f>
        <v>As funções podem incluir: Preparar o veículo para a funilaria, lavar e lixar as áreas da carroceria a serem pintadas e cobrir para-choques, janelas e acabamentos com fita adesiva ou papel para protegê-los da tinta. Posicionar blocos de apoio contra as superfícies amassadas e bater nas superfícies opostas para remover os amassados, usando martelos. Usando martelos de ponta fina e punções, remover pequenas imperfeições e marcas na lataria. Preencher pequenos amassados ​​que não podem ser removidos com plástico ou solda. Limar, esmerilhar, lixar e alisar as superfícies preenchidas ou reparadas, usando ferramentas elétricas e manuais. Detalhar o veículo após a pintura/acabamento. Limpar as áreas de trabalho, usando mangueiras de ar, para remover materiais danificados e tiras de fibra de vidro descartadas usadas nos procedimentos de reparo e outras atividades relacionadas ao Detalhamento/Reparo de Colisões, conforme SOC/OES 49-3021 (onetonline.org). Horário padrão/esperado: Segunda a sexta, das 8h às 17h. Oferecemos mais de 40 horas semanais, sem incluir almoço e/ou intervalos. Possibilidade de trabalho aos fins de semana. Os horários de início e término, a carga horária oferecida e/ou a possibilidade de horas extras podem variar, pois dependem de fatores como necessidades do projeto/cronograma/serviço, condições climáticas e tempo de deslocamento entre os locais de trabalho (se aplicável). Horas extras são possíveis, mas não obrigatórias nem garantidas. A critério exclusivo do empregador: aumentos salariais e/ou bônus podem ser concedidos com base em fatores individuais, como desempenho ou habilidades (não garantidos). Classificação da vaga: 49-3021.00 - Reparador de Carrocerias e Áreas Relacionadas. A classificação e a descrição da vaga/setor incluem informações gerais sobre o cargo, conforme o ONET/OES e o Sistema de Classificação Industrial da América do Norte (NAICS). Consulte as Funções e a Ordem de Serviço para obter mais informações. Requisitos da vaga: Experiência exigida: Sim. Meses de experiência exigidos: 3. Requisitos especiais: É necessário ter 18 anos ou mais devido a questões de seguro. É necessário apresentar comprovante de autorização legal para trabalhar nos Estados Unidos. Ambiente de trabalho livre de drogas, álcool e tabaco. Executar atividades físicas, como levantar, equilibrar-se, caminhar, abaixar-se, manusear, posicionar, mover e manipular materiais; usar força estática para exercer força muscular máxima para levantar, empurrar, puxar e carregar objetos de até 18 kg. Todos os candidatos devem ser capazes, estar dispostos e qualificados para executar o trabalho descrito e devem estar disponíveis durante todo o período especificado. O horário de trabalho pode variar de acordo com os picos e vales do turismo ao longo da temporada (+/-), possíveis períodos de inatividade e/ou horas extras. Número de horas por semana: 40. Horário de trabalho (início/término): 8h às 17h.</v>
      </c>
    </row>
    <row r="557" ht="20.25" customHeight="1">
      <c r="A557" s="8" t="s">
        <v>2772</v>
      </c>
      <c r="B557" s="8" t="s">
        <v>2773</v>
      </c>
      <c r="C557" s="8" t="s">
        <v>1411</v>
      </c>
      <c r="D557" s="8" t="s">
        <v>126</v>
      </c>
      <c r="E557" s="9" t="s">
        <v>44</v>
      </c>
      <c r="F557" s="9" t="s">
        <v>20</v>
      </c>
      <c r="G557" s="9" t="s">
        <v>110</v>
      </c>
      <c r="H557" s="8" t="s">
        <v>2774</v>
      </c>
      <c r="I557" s="8" t="s">
        <v>2775</v>
      </c>
      <c r="J557" s="9">
        <v>18.31</v>
      </c>
      <c r="K557" s="9">
        <v>3.0</v>
      </c>
      <c r="L557" s="8" t="s">
        <v>2101</v>
      </c>
      <c r="M557" s="8" t="s">
        <v>2776</v>
      </c>
      <c r="N557" s="7" t="str">
        <f>IFERROR(__xludf.DUMMYFUNCTION("GOOGLETRANSLATE(L557, ""en"", ""pt"")"),"Técnico de Manutenção")</f>
        <v>Técnico de Manutenção</v>
      </c>
      <c r="O557" s="7" t="str">
        <f>IFERROR(__xludf.DUMMYFUNCTION("IF(M557="""","""",GOOGLETRANSLATE(M557,""en"",""pt""))"),"Auxiliar mecânicos experientes em tarefas menos complexas relacionadas à manutenção e reparo de veículos. Auxiliar os mecânicos no diagnóstico, exame, teste, ajuste e reparo de diversos veículos e equipamentos comerciais, como caminhonetes, conjuntos de c"&amp;"aminhão-trator pesado, caminhões com Peso Bruto Total (PBT) superior a 11.793 kg (26.001 libras), carregadeiras, reboques e outras máquinas e equipamentos relacionados, conforme necessário. Segurar ou fornecer ferramentas e peças para trabalhadores mais q"&amp;"ualificados. Posicionar veículos, ferramentas, equipamentos de diagnóstico e suprimentos, conforme necessário. As funções diárias podem incluir inspecionar veículos, máquinas e equipamentos para garantir seu pleno funcionamento; ligar os motores e dirigir"&amp;" ou operar as máquinas, equipamentos ou veículos dentro da área de manutenção para garantir que estejam operando de forma adequada, segura e totalmente funcionais para o trabalho a ser realizado; limpar e lubrificar veículos, equipamentos e ferramentas; m"&amp;"anter a área de manutenção limpa e segura, garantindo que todos os veículos, máquinas, equipamentos de diagnóstico, suprimentos, ferramentas, equipamentos de manutenção grandes e pequenos, fluidos e suprimentos estejam armazenados e posicionados conforme "&amp;"necessário. Classificação da Função: 49-9098.00 - Ajudantes - Trabalhadores de Instalação, Manutenção e Reparo. A classificação e descrição da função/setor inclui informações gerais sobre o cargo, conforme o ONET/OES e o Sistema de Classificação Industria"&amp;"l da América do Norte (NAICS). Consulte as Funções e a Ordem de Serviço para obter mais informações. Requisitos da Função: Experiência Necessária: Sim. Meses de Experiência Necessária: 6. Requisitos Especiais: Aprovação em verificação de antecedentes e te"&amp;"ste toxicológico. Número de Horas por Semana: 36. Horário de Trabalho (Início/Término): 7h às 19h.")</f>
        <v>Auxiliar mecânicos experientes em tarefas menos complexas relacionadas à manutenção e reparo de veículos. Auxiliar os mecânicos no diagnóstico, exame, teste, ajuste e reparo de diversos veículos e equipamentos comerciais, como caminhonetes, conjuntos de caminhão-trator pesado, caminhões com Peso Bruto Total (PBT) superior a 11.793 kg (26.001 libras), carregadeiras, reboques e outras máquinas e equipamentos relacionados, conforme necessário. Segurar ou fornecer ferramentas e peças para trabalhadores mais qualificados. Posicionar veículos, ferramentas, equipamentos de diagnóstico e suprimentos, conforme necessário. As funções diárias podem incluir inspecionar veículos, máquinas e equipamentos para garantir seu pleno funcionamento; ligar os motores e dirigir ou operar as máquinas, equipamentos ou veículos dentro da área de manutenção para garantir que estejam operando de forma adequada, segura e totalmente funcionais para o trabalho a ser realizado; limpar e lubrificar veículos, equipamentos e ferramentas; manter a área de manutenção limpa e segura, garantindo que todos os veículos, máquinas, equipamentos de diagnóstico, suprimentos, ferramentas, equipamentos de manutenção grandes e pequenos, fluidos e suprimentos estejam armazenados e posicionados conforme necessário. Classificação da Função: 49-9098.00 - Ajudantes - Trabalhadores de Instalação, Manutenção e Reparo. A classificação e descrição da função/setor inclui informações gerais sobre o cargo, conforme o ONET/OES e o Sistema de Classificação Industrial da América do Norte (NAICS). Consulte as Funções e a Ordem de Serviço para obter mais informações. Requisitos da Função: Experiência Necessária: Sim. Meses de Experiência Necessária: 6. Requisitos Especiais: Aprovação em verificação de antecedentes e teste toxicológico. Número de Horas por Semana: 36. Horário de Trabalho (Início/Término): 7h às 19h.</v>
      </c>
    </row>
    <row r="558" ht="20.25" customHeight="1">
      <c r="A558" s="3" t="s">
        <v>2777</v>
      </c>
      <c r="B558" s="3" t="s">
        <v>2778</v>
      </c>
      <c r="C558" s="3" t="s">
        <v>1000</v>
      </c>
      <c r="D558" s="3" t="s">
        <v>117</v>
      </c>
      <c r="E558" s="4" t="s">
        <v>19</v>
      </c>
      <c r="F558" s="4" t="s">
        <v>20</v>
      </c>
      <c r="G558" s="4" t="s">
        <v>307</v>
      </c>
      <c r="H558" s="3" t="s">
        <v>2779</v>
      </c>
      <c r="I558" s="3" t="s">
        <v>2780</v>
      </c>
      <c r="J558" s="4">
        <v>22.69</v>
      </c>
      <c r="K558" s="4">
        <v>6.0</v>
      </c>
      <c r="L558" s="3" t="s">
        <v>262</v>
      </c>
      <c r="M558" s="3" t="s">
        <v>2781</v>
      </c>
      <c r="N558" s="7" t="str">
        <f>IFERROR(__xludf.DUMMYFUNCTION("GOOGLETRANSLATE(L558, ""en"", ""pt"")"),"Operário da construção civil")</f>
        <v>Operário da construção civil</v>
      </c>
      <c r="O558" s="7" t="str">
        <f>IFERROR(__xludf.DUMMYFUNCTION("IF(M558="""","""",GOOGLETRANSLATE(M558,""en"",""pt""))"),"Preparar o local para a concretagem, carregando e descarregando materiais, instalando linhas de marcação, cortando madeira com serra circular, utilizando marreta para cravar estacas no solo, cavando e nivelando a terra com pás e compactadores de solo. Aux"&amp;"iliar na concretagem utilizando carrinhos de mão, rastelos e pás. Auxiliar os acabadores de concreto experientes em tarefas menores relacionadas à construção em concreto. Limpar o canteiro de obras. Classificação da Função: 47-2061.00 - Auxiliares de Cons"&amp;"trução. A classificação e descrição da função/setor incluem informações gerais sobre o cargo, de acordo com o ONET/OES e o Sistema de Classificação Industrial da América do Norte (NAICS). Consulte as Funções e a Ordem de Serviço para obter mais informaçõe"&amp;"s. Requisitos da Função: Experiência Necessária: Sim. Meses de Experiência Necessários: 3. Requisitos Especiais: Capacidade de levantar e carregar 34 kg por 75 jardas (aproximadamente 69 m) e suportar temperaturas extremas. Disponibilidade para deslocamen"&amp;"tos entre os locais de trabalho dentro da área de atuação. Trabalho em alguns fins de semana. Número de horas por semana: 40 Horário de trabalho (início/término): 6h30 - 16h30")</f>
        <v>Preparar o local para a concretagem, carregando e descarregando materiais, instalando linhas de marcação, cortando madeira com serra circular, utilizando marreta para cravar estacas no solo, cavando e nivelando a terra com pás e compactadores de solo. Auxiliar na concretagem utilizando carrinhos de mão, rastelos e pás. Auxiliar os acabadores de concreto experientes em tarefas menores relacionadas à construção em concreto. Limpar o canteiro de obras. Classificação da Função: 47-2061.00 - Auxiliares de Construção. A classificação e descrição da função/setor incluem informações gerais sobre o cargo, de acordo com o ONET/OES e o Sistema de Classificação Industrial da América do Norte (NAICS). Consulte as Funções e a Ordem de Serviço para obter mais informações. Requisitos da Função: Experiência Necessária: Sim. Meses de Experiência Necessários: 3. Requisitos Especiais: Capacidade de levantar e carregar 34 kg por 75 jardas (aproximadamente 69 m) e suportar temperaturas extremas. Disponibilidade para deslocamentos entre os locais de trabalho dentro da área de atuação. Trabalho em alguns fins de semana. Número de horas por semana: 40 Horário de trabalho (início/término): 6h30 - 16h30</v>
      </c>
    </row>
    <row r="559" ht="20.25" customHeight="1">
      <c r="A559" s="8" t="s">
        <v>2782</v>
      </c>
      <c r="B559" s="8" t="s">
        <v>2390</v>
      </c>
      <c r="C559" s="8" t="s">
        <v>2391</v>
      </c>
      <c r="D559" s="8" t="s">
        <v>532</v>
      </c>
      <c r="E559" s="9" t="s">
        <v>19</v>
      </c>
      <c r="F559" s="9" t="s">
        <v>20</v>
      </c>
      <c r="G559" s="9" t="s">
        <v>1829</v>
      </c>
      <c r="H559" s="8" t="s">
        <v>2392</v>
      </c>
      <c r="I559" s="8" t="s">
        <v>2393</v>
      </c>
      <c r="J559" s="9">
        <v>27.16</v>
      </c>
      <c r="K559" s="9">
        <v>34.0</v>
      </c>
      <c r="L559" s="8" t="s">
        <v>2394</v>
      </c>
      <c r="M559" s="8" t="s">
        <v>2783</v>
      </c>
      <c r="N559" s="7" t="str">
        <f>IFERROR(__xludf.DUMMYFUNCTION("GOOGLETRANSLATE(L559, ""en"", ""pt"")"),"Trabalhador de Iluminação Natalina")</f>
        <v>Trabalhador de Iluminação Natalina</v>
      </c>
      <c r="O559" s="7" t="str">
        <f>IFERROR(__xludf.DUMMYFUNCTION("IF(M559="""","""",GOOGLETRANSLATE(M559,""en"",""pt""))"),"A vaga oferecida é para um auxiliar de iluminação natalina experiente, com no mínimo três meses de experiência na área. As responsabilidades incluem organizar e preparar o estoque de materiais de decoração natalina, instalar e/ou remover materiais dos loc"&amp;"ais de trabalho, carregar e descarregar materiais e prepará-los para armazenamento. É necessário ter capacidade para carregar e descarregar materiais e equipamentos que podem pesar até 23 kg. As exigências físicas descritas aqui são representativas daquel"&amp;"as que um empregador deve atender para desempenhar com sucesso as funções essenciais deste cargo. Classificação do Cargo: 49-9099.00 - Trabalhadores de Instalação, Manutenção e Reparo, Outros. A classificação e descrição do cargo/setor incluem informações"&amp;" gerais sobre a posição, de acordo com o ONET/OES e o Sistema de Classificação Industrial da América do Norte (NAICS). Consulte as Funções e a Ordem de Serviço para obter mais informações. Requisitos do Cargo Experiência Necessária: Sim Meses de Experiênc"&amp;"ia Necessários: 3 Requisitos Especiais: 3 meses de experiência prévia. Capacidade de levantar até 23 kg. Horas extras conforme necessário. Os turnos são das 8h às 17h e das 21h às 6h, de domingo a sábado. Os turnos serão atribuídos com base nas demandas d"&amp;"o projeto. Gostaríamos de esclarecer as informações do item F.a.5. Durante a semana de trabalho, que vai de domingo a sábado, os funcionários têm uma jornada de 40 horas semanais. O item F.a.5 não permite inserir essa jornada de trabalho. Se inserirmos 8 "&amp;"horas por dia, o sistema mostrará 56 horas semanais, o que não reflete com precisão a jornada de trabalho real. Número de horas por semana: 40. Horário de trabalho (início/término): 8h às 17h.")</f>
        <v>A vaga oferecida é para um auxiliar de iluminação natalina experiente, com no mínimo três meses de experiência na área. As responsabilidades incluem organizar e preparar o estoque de materiais de decoração natalina, instalar e/ou remover materiais dos locais de trabalho, carregar e descarregar materiais e prepará-los para armazenamento. É necessário ter capacidade para carregar e descarregar materiais e equipamentos que podem pesar até 23 kg. As exigências físicas descritas aqui são representativas daquelas que um empregador deve atender para desempenhar com sucesso as funções essenciais deste cargo. Classificação do Cargo: 49-9099.00 - Trabalhadores de Instalação, Manutenção e Reparo, Outros. A classificação e descrição do cargo/setor incluem informações gerais sobre a posição, de acordo com o ONET/OES e o Sistema de Classificação Industrial da América do Norte (NAICS). Consulte as Funções e a Ordem de Serviço para obter mais informações. Requisitos do Cargo Experiência Necessária: Sim Meses de Experiência Necessários: 3 Requisitos Especiais: 3 meses de experiência prévia. Capacidade de levantar até 23 kg. Horas extras conforme necessário. Os turnos são das 8h às 17h e das 21h às 6h, de domingo a sábado. Os turnos serão atribuídos com base nas demandas do projeto. Gostaríamos de esclarecer as informações do item F.a.5. Durante a semana de trabalho, que vai de domingo a sábado, os funcionários têm uma jornada de 40 horas semanais. O item F.a.5 não permite inserir essa jornada de trabalho. Se inserirmos 8 horas por dia, o sistema mostrará 56 horas semanais, o que não reflete com precisão a jornada de trabalho real. Número de horas por semana: 40. Horário de trabalho (início/término): 8h às 17h.</v>
      </c>
    </row>
    <row r="560" ht="20.25" customHeight="1">
      <c r="A560" s="3" t="s">
        <v>2784</v>
      </c>
      <c r="B560" s="3" t="s">
        <v>2785</v>
      </c>
      <c r="C560" s="3" t="s">
        <v>1000</v>
      </c>
      <c r="D560" s="3" t="s">
        <v>117</v>
      </c>
      <c r="E560" s="4" t="s">
        <v>19</v>
      </c>
      <c r="F560" s="4" t="s">
        <v>20</v>
      </c>
      <c r="G560" s="4" t="s">
        <v>307</v>
      </c>
      <c r="H560" s="3" t="s">
        <v>2786</v>
      </c>
      <c r="I560" s="3" t="s">
        <v>2787</v>
      </c>
      <c r="J560" s="4">
        <v>23.76</v>
      </c>
      <c r="K560" s="4">
        <v>15.0</v>
      </c>
      <c r="L560" s="3" t="s">
        <v>302</v>
      </c>
      <c r="M560" s="3" t="s">
        <v>2788</v>
      </c>
      <c r="N560" s="7" t="str">
        <f>IFERROR(__xludf.DUMMYFUNCTION("GOOGLETRANSLATE(L560, ""en"", ""pt"")"),"Operários da construção civil")</f>
        <v>Operários da construção civil</v>
      </c>
      <c r="O560" s="7" t="str">
        <f>IFERROR(__xludf.DUMMYFUNCTION("IF(M560="""","""",GOOGLETRANSLATE(M560,""en"",""pt""))"),"Construção de concreto residencial e comercial. Medir e demarcar sapatas e fundações. Escavar sapatas e nivelar o terreno de acordo com as especificações. Posicionar fôrmas de alumínio para paredes e aplicar todo o concreto. Limpar o local. Preparar o loc"&amp;"al para a aplicação do concreto, carregando e descarregando materiais, utilizando linhas de referência, cortando madeira com serra circular, utilizando marreta para cravar estacas no solo, cavando e nivelando o terreno com pás e compactadores de concreto."&amp;" Auxiliar na aplicação do concreto utilizando carrinhos de mão, rastelos de concreto e pás. Classificação da função: 47-2061.00 - Auxiliares de Construção. A classificação e descrição da função/setor incluem informações gerais sobre o cargo, de acordo com"&amp;" o ONET/OES e o Sistema de Classificação Industrial da América do Norte (NAICS). Consulte as Funções e a Ordem de Serviço para obter mais informações. Requisitos da vaga: Experiência necessária: Sim. Meses de experiência necessários: 3. Requisitos especia"&amp;"is: Deve ser capaz de levantar e carregar 34 kg por 45 metros. Deve ser capaz de lidar com temperaturas extremas. 3 meses de experiência em instalação de fôrmas de alumínio para paredes são necessários. Número de horas por semana: 40 Horário de trabalho ("&amp;"início/término): 7h00 - 17h00")</f>
        <v>Construção de concreto residencial e comercial. Medir e demarcar sapatas e fundações. Escavar sapatas e nivelar o terreno de acordo com as especificações. Posicionar fôrmas de alumínio para paredes e aplicar todo o concreto. Limpar o local. Preparar o local para a aplicação do concreto, carregando e descarregando materiais, utilizando linhas de referência, cortando madeira com serra circular, utilizando marreta para cravar estacas no solo, cavando e nivelando o terreno com pás e compactadores de concreto. Auxiliar na aplicação do concreto utilizando carrinhos de mão, rastelos de concreto e pás. Classificação da função: 47-2061.00 - Auxiliares de Construção. A classificação e descrição da função/setor incluem informações gerais sobre o cargo, de acordo com o ONET/OES e o Sistema de Classificação Industrial da América do Norte (NAICS). Consulte as Funções e a Ordem de Serviço para obter mais informações. Requisitos da vaga: Experiência necessária: Sim. Meses de experiência necessários: 3. Requisitos especiais: Deve ser capaz de levantar e carregar 34 kg por 45 metros. Deve ser capaz de lidar com temperaturas extremas. 3 meses de experiência em instalação de fôrmas de alumínio para paredes são necessários. Número de horas por semana: 40 Horário de trabalho (início/término): 7h00 - 17h00</v>
      </c>
    </row>
    <row r="561" ht="20.25" customHeight="1">
      <c r="A561" s="8" t="s">
        <v>2789</v>
      </c>
      <c r="B561" s="8" t="s">
        <v>2790</v>
      </c>
      <c r="C561" s="8" t="s">
        <v>1000</v>
      </c>
      <c r="D561" s="8" t="s">
        <v>117</v>
      </c>
      <c r="E561" s="9" t="s">
        <v>19</v>
      </c>
      <c r="F561" s="9" t="s">
        <v>20</v>
      </c>
      <c r="G561" s="9" t="s">
        <v>307</v>
      </c>
      <c r="H561" s="8" t="s">
        <v>2791</v>
      </c>
      <c r="I561" s="8" t="s">
        <v>2792</v>
      </c>
      <c r="J561" s="9">
        <v>15.66</v>
      </c>
      <c r="K561" s="9">
        <v>7.0</v>
      </c>
      <c r="L561" s="8" t="s">
        <v>1720</v>
      </c>
      <c r="M561" s="8" t="s">
        <v>2793</v>
      </c>
      <c r="N561" s="7" t="str">
        <f>IFERROR(__xludf.DUMMYFUNCTION("GOOGLETRANSLATE(L561, ""en"", ""pt"")"),"Ajudantes de Carpinteiro")</f>
        <v>Ajudantes de Carpinteiro</v>
      </c>
      <c r="O561" s="7" t="str">
        <f>IFERROR(__xludf.DUMMYFUNCTION("IF(M561="""","""",GOOGLETRANSLATE(M561,""en"",""pt""))"),"Auxiliar carpinteiros executando tarefas que exigem menos habilidade, incluindo o uso, fornecimento ou manuseio de materiais e ferramentas utilizados em estruturas, revestimentos, telhados, lajes de concreto e outras atividades relacionadas. Manter a área"&amp;" de trabalho e os equipamentos limpos. Classificação da vaga: 47-3012.00 - Ajudantes de Carpinteiro. A classificação e descrição da vaga/setor incluem informações gerais sobre o cargo, de acordo com o ONET/OES e o Sistema de Classificação Industrial da Am"&amp;"érica do Norte (NAICS). Consulte as Funções e a Ordem de Serviço para obter mais informações. Requisitos da vaga: Experiência necessária: Sim. Meses de experiência necessários: 3. Requisitos especiais: Capacidade de levantar e carregar 34 kg por 68 metros"&amp;". Capacidade de lidar com temperaturas extremas. Trabalho em alguns fins de semana. 3 meses de experiência em carpintaria são necessários. Número de horas por semana: 40. Horário de trabalho (início/término): 7h às 18h.")</f>
        <v>Auxiliar carpinteiros executando tarefas que exigem menos habilidade, incluindo o uso, fornecimento ou manuseio de materiais e ferramentas utilizados em estruturas, revestimentos, telhados, lajes de concreto e outras atividades relacionadas. Manter a área de trabalho e os equipamentos limpos. Classificação da vaga: 47-3012.00 - Ajudantes de Carpinteiro. A classificação e descrição da vaga/setor incluem informações gerais sobre o cargo, de acordo com o ONET/OES e o Sistema de Classificação Industrial da América do Norte (NAICS). Consulte as Funções e a Ordem de Serviço para obter mais informações. Requisitos da vaga: Experiência necessária: Sim. Meses de experiência necessários: 3. Requisitos especiais: Capacidade de levantar e carregar 34 kg por 68 metros. Capacidade de lidar com temperaturas extremas. Trabalho em alguns fins de semana. 3 meses de experiência em carpintaria são necessários. Número de horas por semana: 40. Horário de trabalho (início/término): 7h às 18h.</v>
      </c>
    </row>
    <row r="562" ht="20.25" customHeight="1">
      <c r="A562" s="3" t="s">
        <v>2794</v>
      </c>
      <c r="B562" s="3" t="s">
        <v>2795</v>
      </c>
      <c r="C562" s="3" t="s">
        <v>93</v>
      </c>
      <c r="D562" s="3" t="s">
        <v>186</v>
      </c>
      <c r="E562" s="4" t="s">
        <v>44</v>
      </c>
      <c r="F562" s="4" t="s">
        <v>20</v>
      </c>
      <c r="G562" s="4" t="s">
        <v>236</v>
      </c>
      <c r="H562" s="3" t="s">
        <v>2796</v>
      </c>
      <c r="I562" s="3"/>
      <c r="J562" s="4">
        <v>19.76</v>
      </c>
      <c r="K562" s="4">
        <v>10.0</v>
      </c>
      <c r="L562" s="3" t="s">
        <v>2797</v>
      </c>
      <c r="M562" s="3" t="s">
        <v>2798</v>
      </c>
      <c r="N562" s="7" t="str">
        <f>IFERROR(__xludf.DUMMYFUNCTION("GOOGLETRANSLATE(L562, ""en"", ""pt"")"),"Operário de construção de piscinas")</f>
        <v>Operário de construção de piscinas</v>
      </c>
      <c r="O562" s="7" t="str">
        <f>IFERROR(__xludf.DUMMYFUNCTION("IF(M562="""","""",GOOGLETRANSLATE(M562,""en"",""pt""))"),"O ajudante de construção de piscinas auxilia nas tarefas físicas necessárias para a construção de piscinas, trabalhando sob a supervisão de operários qualificados. As responsabilidades incluem preparar e limpar os canteiros de obras; carregar, descarregar"&amp;" e movimentar materiais como pedra, terra, concreto e equipamentos; e operar ferramentas e equipamentos básicos, incluindo pás, vassouras, carrinhos de mão, britadeiras elétricas, esmerilhadeiras e minicarregadeiras. Os ajudantes cavarão valas, realizarão"&amp;" demolições e auxiliarão na colocação e fixação de materiais de reforço e tubulações de PVC, utilizando ferramentas manuais comuns, cola de PVC e cimento hidráulico. Os trabalhadores darão suporte ao processo de instalação, misturando, carregando e fornec"&amp;"endo argamassa, argamassa colante, gesso e outros materiais, e auxiliarão os operários qualificados segurando, posicionando e preparando azulejos, bordas e materiais de revestimento para instalação. As tarefas envolvem a limpeza geral do local, o armazena"&amp;"mento de materiais e a execução de tarefas básicas que dão suporte à construção de estruturas de concreto para piscinas, elementos estruturais e componentes hidráulicos. Classificação da Função: 47-2061.00 - Auxiliares de Construção Civil. A classificação"&amp;" e descrição da função/setor inclui informações gerais sobre o cargo, de acordo com o ONET/OES e o Sistema de Classificação Industrial da América do Norte (NAICS). Consulte as Funções e a Ordem de Serviço para obter mais informações. Requisitos da Função:"&amp;" Experiência Necessária: Não. Requisitos Especiais: Deve ser capaz de levantar/carregar 23 kg, quando necessário. Trabalho aos sábados e domingos, quando necessário. Testes aleatórios de drogas após a contratação, após acidentes e em caso de suspeita de u"&amp;"so são obrigatórios para trabalhadores estrangeiros e nacionais. O empregador pode oferecer mais horas de trabalho do que as estipuladas, dependendo do clima, das necessidades da empresa e de outras condições. Calor extremo, frio, chuva ou seca podem afet"&amp;"ar o horário de trabalho exato. Número de Horas por Semana: 40. Horário de Trabalho (Início/Término): 7h30 - 16h.")</f>
        <v>O ajudante de construção de piscinas auxilia nas tarefas físicas necessárias para a construção de piscinas, trabalhando sob a supervisão de operários qualificados. As responsabilidades incluem preparar e limpar os canteiros de obras; carregar, descarregar e movimentar materiais como pedra, terra, concreto e equipamentos; e operar ferramentas e equipamentos básicos, incluindo pás, vassouras, carrinhos de mão, britadeiras elétricas, esmerilhadeiras e minicarregadeiras. Os ajudantes cavarão valas, realizarão demolições e auxiliarão na colocação e fixação de materiais de reforço e tubulações de PVC, utilizando ferramentas manuais comuns, cola de PVC e cimento hidráulico. Os trabalhadores darão suporte ao processo de instalação, misturando, carregando e fornecendo argamassa, argamassa colante, gesso e outros materiais, e auxiliarão os operários qualificados segurando, posicionando e preparando azulejos, bordas e materiais de revestimento para instalação. As tarefas envolvem a limpeza geral do local, o armazenamento de materiais e a execução de tarefas básicas que dão suporte à construção de estruturas de concreto para piscinas, elementos estruturais e componentes hidráulicos. Classificação da Função: 47-2061.00 - Auxiliares de Construção Civil. A classificação e descrição da função/setor inclui informações gerais sobre o cargo, de acordo com o ONET/OES e o Sistema de Classificação Industrial da América do Norte (NAICS). Consulte as Funções e a Ordem de Serviço para obter mais informações. Requisitos da Função: Experiência Necessária: Não. Requisitos Especiais: Deve ser capaz de levantar/carregar 23 kg, quando necessário. Trabalho aos sábados e domingos, quando necessário. Testes aleatórios de drogas após a contratação, após acidentes e em caso de suspeita de uso são obrigatórios para trabalhadores estrangeiros e nacionais. O empregador pode oferecer mais horas de trabalho do que as estipuladas, dependendo do clima, das necessidades da empresa e de outras condições. Calor extremo, frio, chuva ou seca podem afetar o horário de trabalho exato. Número de Horas por Semana: 40. Horário de Trabalho (Início/Término): 7h30 - 16h.</v>
      </c>
    </row>
    <row r="563" ht="20.25" customHeight="1">
      <c r="A563" s="8" t="s">
        <v>2799</v>
      </c>
      <c r="B563" s="8" t="s">
        <v>2616</v>
      </c>
      <c r="C563" s="8" t="s">
        <v>583</v>
      </c>
      <c r="D563" s="8" t="s">
        <v>2222</v>
      </c>
      <c r="E563" s="9" t="s">
        <v>44</v>
      </c>
      <c r="F563" s="9" t="s">
        <v>20</v>
      </c>
      <c r="G563" s="9" t="s">
        <v>377</v>
      </c>
      <c r="H563" s="8" t="s">
        <v>2617</v>
      </c>
      <c r="I563" s="8" t="s">
        <v>2618</v>
      </c>
      <c r="J563" s="9">
        <v>26.18</v>
      </c>
      <c r="K563" s="9">
        <v>12.0</v>
      </c>
      <c r="L563" s="8" t="s">
        <v>387</v>
      </c>
      <c r="M563" s="8" t="s">
        <v>2800</v>
      </c>
      <c r="N563" s="7" t="str">
        <f>IFERROR(__xludf.DUMMYFUNCTION("GOOGLETRANSLATE(L563, ""en"", ""pt"")"),"Ordem de serviço não disponível")</f>
        <v>Ordem de serviço não disponível</v>
      </c>
      <c r="O563" s="7" t="str">
        <f>IFERROR(__xludf.DUMMYFUNCTION("IF(M563="""","""",GOOGLETRANSLATE(M563,""en"",""pt""))"),"Executar todos os métodos de preparo, controle de porções e decoração de todos os pratos de acordo com os padrões estabelecidos pelo chef executivo; manter altos padrões de qualidade na produção de alimentos para garantir a satisfação dos clientes; inspec"&amp;"ionar e limpar as áreas de preparo de alimentos, como equipamentos e áreas de serviço, para garantir práticas seguras e higiênicas de manipulação de alimentos; preparar, cozinhar e temperar os alimentos de acordo com as receitas; assar, grelhar e cozinhar"&amp;" no vapor carnes, peixes, legumes, pães, sobremesas e outros alimentos; garantir que os alimentos sejam armazenados e cozidos na temperatura correta, regulando a temperatura de fornos, grelhas e assadeiras; e garantir o frescor dos alimentos e ingrediente"&amp;"s, verificando a qualidade, controlando os itens novos e antigos e fazendo o rodízio do estoque. Classificação da vaga: 35-2014.00 - Cozinheiros, Restaurante. A classificação e descrição da vaga/setor incluem informações gerais sobre o cargo, de acordo co"&amp;"m o ONET/OES e o Sistema de Classificação Industrial da América do Norte. Consulte as Funções e a Ordem de Serviço para obter mais informações. Requisitos da vaga: Experiência necessária: Sim. Meses de experiência necessários: 12. Requisitos especiais: 1 "&amp;"ano de experiência como cozinheiro(a) é necessário. Todos os candidatos devem passar por uma verificação de antecedentes pré-admissional antes de iniciar o trabalho (de acordo com as políticas de contratação da empresa), incluindo vagas sazonais e anuais "&amp;"em tempo integral, independentemente de nacionalidade, raça, gênero ou situação de visto. É necessário ser capaz de levantar, puxar ou empurrar entre 13 e 23 kg de equipamentos ou lixo. Disponibilidade para trabalhar em todos os turnos, incluindo fins de "&amp;"semana, noites, madrugadas e feriados. Todos os funcionários do hotel nessas funções devem se filiar ao Sindicato dos Trabalhadores da Construção Civil (ILWU Local 142). Número de horas semanais: 35. Horário de trabalho (início/término): 8h às 16h.")</f>
        <v>Executar todos os métodos de preparo, controle de porções e decoração de todos os pratos de acordo com os padrões estabelecidos pelo chef executivo; manter altos padrões de qualidade na produção de alimentos para garantir a satisfação dos clientes; inspecionar e limpar as áreas de preparo de alimentos, como equipamentos e áreas de serviço, para garantir práticas seguras e higiênicas de manipulação de alimentos; preparar, cozinhar e temperar os alimentos de acordo com as receitas; assar, grelhar e cozinhar no vapor carnes, peixes, legumes, pães, sobremesas e outros alimentos; garantir que os alimentos sejam armazenados e cozidos na temperatura correta, regulando a temperatura de fornos, grelhas e assadeiras; e garantir o frescor dos alimentos e ingredientes, verificando a qualidade, controlando os itens novos e antigos e fazendo o rodízio do estoque. Classificação da vaga: 35-2014.00 - Cozinheiros, Restaurante. A classificação e descrição da vaga/setor incluem informações gerais sobre o cargo, de acordo com o ONET/OES e o Sistema de Classificação Industrial da América do Norte. Consulte as Funções e a Ordem de Serviço para obter mais informações. Requisitos da vaga: Experiência necessária: Sim. Meses de experiência necessários: 12. Requisitos especiais: 1 ano de experiência como cozinheiro(a) é necessário. Todos os candidatos devem passar por uma verificação de antecedentes pré-admissional antes de iniciar o trabalho (de acordo com as políticas de contratação da empresa), incluindo vagas sazonais e anuais em tempo integral, independentemente de nacionalidade, raça, gênero ou situação de visto. É necessário ser capaz de levantar, puxar ou empurrar entre 13 e 23 kg de equipamentos ou lixo. Disponibilidade para trabalhar em todos os turnos, incluindo fins de semana, noites, madrugadas e feriados. Todos os funcionários do hotel nessas funções devem se filiar ao Sindicato dos Trabalhadores da Construção Civil (ILWU Local 142). Número de horas semanais: 35. Horário de trabalho (início/término): 8h às 16h.</v>
      </c>
    </row>
    <row r="564" ht="20.25" customHeight="1">
      <c r="A564" s="3" t="s">
        <v>2801</v>
      </c>
      <c r="B564" s="3" t="s">
        <v>1719</v>
      </c>
      <c r="C564" s="3" t="s">
        <v>1000</v>
      </c>
      <c r="D564" s="3" t="s">
        <v>344</v>
      </c>
      <c r="E564" s="4" t="s">
        <v>44</v>
      </c>
      <c r="F564" s="4" t="s">
        <v>20</v>
      </c>
      <c r="G564" s="4" t="s">
        <v>118</v>
      </c>
      <c r="H564" s="3" t="s">
        <v>1001</v>
      </c>
      <c r="I564" s="3" t="s">
        <v>1002</v>
      </c>
      <c r="J564" s="4">
        <v>19.86</v>
      </c>
      <c r="K564" s="4">
        <v>28.0</v>
      </c>
      <c r="L564" s="3" t="s">
        <v>1720</v>
      </c>
      <c r="M564" s="3" t="s">
        <v>2627</v>
      </c>
      <c r="N564" s="7" t="str">
        <f>IFERROR(__xludf.DUMMYFUNCTION("GOOGLETRANSLATE(L564, ""en"", ""pt"")"),"Ajudantes de Carpinteiro")</f>
        <v>Ajudantes de Carpinteiro</v>
      </c>
      <c r="O564" s="7" t="str">
        <f>IFERROR(__xludf.DUMMYFUNCTION("IF(M564="""","""",GOOGLETRANSLATE(M564,""en"",""pt""))"),"Executar tarefas menores, incluindo carga e descarga de materiais de construção, disposição de madeira, revestimento, treliças e outros componentes para a estrutura. Auxiliar carpinteiros líderes em tarefas básicas de carpintaria, como segurar, cortar e p"&amp;"regar madeira para estruturas como paredes, formas de concreto e batentes de portas, de acordo com as instruções do carpinteiro líder. Montar componentes preparados no canteiro de obras. Classificação da vaga: 47-3012.00 - Ajudantes de Carpinteiro. A clas"&amp;"sificação e descrição da vaga/setor inclui informações gerais sobre o cargo, de acordo com o ONET/OES e o Sistema de Classificação Industrial da América do Norte (NAICS). Consulte as Funções e a Ordem de Serviço para obter mais informações. Requisitos da "&amp;"vaga: Experiência necessária: Não. Requisitos especiais: Deve ser capaz de levantar e carregar 34 kg por 68 metros. Trabalho em alguns fins de semana. Deve ser capaz de lidar com temperaturas extremas. Deslocamento para locais de trabalho dentro da área d"&amp;"e atuação pretendida. Número de horas por semana: 40. Horário de trabalho (início/término): 7h às 17h.")</f>
        <v>Executar tarefas menores, incluindo carga e descarga de materiais de construção, disposição de madeira, revestimento, treliças e outros componentes para a estrutura. Auxiliar carpinteiros líderes em tarefas básicas de carpintaria, como segurar, cortar e pregar madeira para estruturas como paredes, formas de concreto e batentes de portas, de acordo com as instruções do carpinteiro líder. Montar componentes preparados no canteiro de obras. Classificação da vaga: 47-3012.00 - Ajudantes de Carpinteiro. A classificação e descrição da vaga/setor inclui informações gerais sobre o cargo, de acordo com o ONET/OES e o Sistema de Classificação Industrial da América do Norte (NAICS). Consulte as Funções e a Ordem de Serviço para obter mais informações. Requisitos da vaga: Experiência necessária: Não. Requisitos especiais: Deve ser capaz de levantar e carregar 34 kg por 68 metros. Trabalho em alguns fins de semana. Deve ser capaz de lidar com temperaturas extremas. Deslocamento para locais de trabalho dentro da área de atuação pretendida. Número de horas por semana: 40. Horário de trabalho (início/término): 7h às 17h.</v>
      </c>
    </row>
    <row r="565" ht="20.25" customHeight="1">
      <c r="A565" s="8" t="s">
        <v>2802</v>
      </c>
      <c r="B565" s="8" t="s">
        <v>1719</v>
      </c>
      <c r="C565" s="8" t="s">
        <v>1000</v>
      </c>
      <c r="D565" s="8" t="s">
        <v>498</v>
      </c>
      <c r="E565" s="9" t="s">
        <v>19</v>
      </c>
      <c r="F565" s="9" t="s">
        <v>20</v>
      </c>
      <c r="G565" s="9" t="s">
        <v>118</v>
      </c>
      <c r="H565" s="8" t="s">
        <v>1001</v>
      </c>
      <c r="I565" s="8" t="s">
        <v>1002</v>
      </c>
      <c r="J565" s="9">
        <v>28.82</v>
      </c>
      <c r="K565" s="9">
        <v>5.0</v>
      </c>
      <c r="L565" s="8" t="s">
        <v>1953</v>
      </c>
      <c r="M565" s="8" t="s">
        <v>2803</v>
      </c>
      <c r="N565" s="7" t="str">
        <f>IFERROR(__xludf.DUMMYFUNCTION("GOOGLETRANSLATE(L565, ""en"", ""pt"")"),"Carpinteiros")</f>
        <v>Carpinteiros</v>
      </c>
      <c r="O565" s="7" t="str">
        <f>IFERROR(__xludf.DUMMYFUNCTION("IF(M565="""","""",GOOGLETRANSLATE(M565,""en"",""pt""))"),"Ler e seguir plantas e medidas para construir, erguer, instalar ou reparar estruturas; estruturas de edifícios, incluindo paredes, formas de concreto, janelas e batentes de portas. Instalar revestimento metálico e janelas. Instruir trabalhadores menos qua"&amp;"lificados sobre as tarefas do trabalho. Estará exposto a alturas, temperaturas extremas, atividades físicas extenuantes e movimentos repetitivos. É necessário o uso correto e preciso de trena. Classificação da função: 47-2031.00 - Carpinteiros. A classifi"&amp;"cação e descrição da função/setor inclui informações gerais sobre o cargo, de acordo com o ONET/OES e o Sistema de Classificação Industrial da América do Norte. Consulte as Funções e a Ordem de Serviço para obter mais informações. Requisitos da vaga: Expe"&amp;"riência necessária: Sim. Meses de experiência necessários: 12. Requisitos especiais: Deve ser capaz de levantar e carregar 34 kg por 68 metros. Trabalho em alguns fins de semana. Deve ser capaz de lidar com temperaturas extremas. Deslocamento para locais "&amp;"de trabalho dentro da área de emprego pretendida. Número de horas por semana: 40. Horário de trabalho (início/término): 7h. - 17h00")</f>
        <v>Ler e seguir plantas e medidas para construir, erguer, instalar ou reparar estruturas; estruturas de edifícios, incluindo paredes, formas de concreto, janelas e batentes de portas. Instalar revestimento metálico e janelas. Instruir trabalhadores menos qualificados sobre as tarefas do trabalho. Estará exposto a alturas, temperaturas extremas, atividades físicas extenuantes e movimentos repetitivos. É necessário o uso correto e preciso de trena. Classificação da função: 47-2031.00 - Carpinteiros. A classificação e descrição da função/setor inclui informações gerais sobre o cargo, de acordo com o ONET/OES e o Sistema de Classificação Industrial da América do Norte. Consulte as Funções e a Ordem de Serviço para obter mais informações. Requisitos da vaga: Experiência necessária: Sim. Meses de experiência necessários: 12. Requisitos especiais: Deve ser capaz de levantar e carregar 34 kg por 68 metros. Trabalho em alguns fins de semana. Deve ser capaz de lidar com temperaturas extremas. Deslocamento para locais de trabalho dentro da área de emprego pretendida. Número de horas por semana: 40. Horário de trabalho (início/término): 7h. - 17h00</v>
      </c>
    </row>
    <row r="566" ht="20.25" customHeight="1">
      <c r="A566" s="3" t="s">
        <v>2804</v>
      </c>
      <c r="B566" s="3" t="s">
        <v>999</v>
      </c>
      <c r="C566" s="3" t="s">
        <v>1000</v>
      </c>
      <c r="D566" s="3" t="s">
        <v>117</v>
      </c>
      <c r="E566" s="4" t="s">
        <v>19</v>
      </c>
      <c r="F566" s="4" t="s">
        <v>20</v>
      </c>
      <c r="G566" s="4" t="s">
        <v>146</v>
      </c>
      <c r="H566" s="3" t="s">
        <v>1001</v>
      </c>
      <c r="I566" s="3" t="s">
        <v>1002</v>
      </c>
      <c r="J566" s="4">
        <v>22.35</v>
      </c>
      <c r="K566" s="4">
        <v>11.0</v>
      </c>
      <c r="L566" s="3" t="s">
        <v>302</v>
      </c>
      <c r="M566" s="3" t="s">
        <v>1214</v>
      </c>
      <c r="N566" s="7" t="str">
        <f>IFERROR(__xludf.DUMMYFUNCTION("GOOGLETRANSLATE(L566, ""en"", ""pt"")"),"Operários da construção civil")</f>
        <v>Operários da construção civil</v>
      </c>
      <c r="O566" s="7" t="str">
        <f>IFERROR(__xludf.DUMMYFUNCTION("IF(M566="""","""",GOOGLETRANSLATE(M566,""en"",""pt""))"),"Executar tarefas menores que envolvam trabalho braçal em canteiro de obras de concreto. Preparar o local para a concretagem, carregando e descarregando materiais, utilizando linhas de referência, cortando madeira com serra circular, utilizando marreta par"&amp;"a cravar estacas no solo, cavando e nivelando a terra com pás, picaretas e compactadores de solo. Sob supervisão, levantar, carregar, fixar, remover, lubrificar e posicionar fôrmas de concreto de madeira e metal utilizando ferramentas manuais e elétricas "&amp;"simples. Auxiliar na concretagem utilizando carrinhos de mão, rastelos de concreto, pás e vibrador de concreto manual. Limpar resíduos e selar juntas. Classificação da Função: 47-2061.00 - Auxiliares de Construção. A classificação e descrição da função/se"&amp;"tor incluem informações gerais sobre o cargo, conforme ONET/OES e o Sistema de Classificação Industrial da América do Norte (NAICS). Consulte as Funções e a Ordem de Serviço para obter mais informações. Requisitos da Função: Experiência Necessária: Sim. M"&amp;"eses de Experiência Necessários: 3. Requisitos Especiais: Trabalho em alguns fins de semana. Necessário suportar temperaturas extremas. Deve ser capaz de levantar e carregar 34 kg por 45 metros. Deslocamentos para locais de trabalho dentro da área de atua"&amp;"ção pretendida. Número de horas por semana: 40. Horário de trabalho (início/término): 7h às 17h.")</f>
        <v>Executar tarefas menores que envolvam trabalho braçal em canteiro de obras de concreto. Preparar o local para a concretagem, carregando e descarregando materiais, utilizando linhas de referência, cortando madeira com serra circular, utilizando marreta para cravar estacas no solo, cavando e nivelando a terra com pás, picaretas e compactadores de solo. Sob supervisão, levantar, carregar, fixar, remover, lubrificar e posicionar fôrmas de concreto de madeira e metal utilizando ferramentas manuais e elétricas simples. Auxiliar na concretagem utilizando carrinhos de mão, rastelos de concreto, pás e vibrador de concreto manual. Limpar resíduos e selar juntas. Classificação da Função: 47-2061.00 - Auxiliares de Construção. A classificação e descrição da função/setor incluem informações gerais sobre o cargo, conforme ONET/OES e o Sistema de Classificação Industrial da América do Norte (NAICS). Consulte as Funções e a Ordem de Serviço para obter mais informações. Requisitos da Função: Experiência Necessária: Sim. Meses de Experiência Necessários: 3. Requisitos Especiais: Trabalho em alguns fins de semana. Necessário suportar temperaturas extremas. Deve ser capaz de levantar e carregar 34 kg por 45 metros. Deslocamentos para locais de trabalho dentro da área de atuação pretendida. Número de horas por semana: 40. Horário de trabalho (início/término): 7h às 17h.</v>
      </c>
    </row>
    <row r="567" ht="20.25" customHeight="1">
      <c r="A567" s="8" t="s">
        <v>2805</v>
      </c>
      <c r="B567" s="8" t="s">
        <v>999</v>
      </c>
      <c r="C567" s="8" t="s">
        <v>1000</v>
      </c>
      <c r="D567" s="8" t="s">
        <v>117</v>
      </c>
      <c r="E567" s="9" t="s">
        <v>19</v>
      </c>
      <c r="F567" s="9" t="s">
        <v>20</v>
      </c>
      <c r="G567" s="9" t="s">
        <v>146</v>
      </c>
      <c r="H567" s="8" t="s">
        <v>1001</v>
      </c>
      <c r="I567" s="8" t="s">
        <v>1002</v>
      </c>
      <c r="J567" s="9">
        <v>24.59</v>
      </c>
      <c r="K567" s="9">
        <v>5.0</v>
      </c>
      <c r="L567" s="8" t="s">
        <v>1003</v>
      </c>
      <c r="M567" s="8" t="s">
        <v>1004</v>
      </c>
      <c r="N567" s="7" t="str">
        <f>IFERROR(__xludf.DUMMYFUNCTION("GOOGLETRANSLATE(L567, ""en"", ""pt"")"),"Acabadores de concreto")</f>
        <v>Acabadores de concreto</v>
      </c>
      <c r="O567" s="7" t="str">
        <f>IFERROR(__xludf.DUMMYFUNCTION("IF(M567="""","""",GOOGLETRANSLATE(M567,""en"",""pt""))"),"Preparar o canteiro de obras onde o concreto será despejado, orientando os operários a posicionar os materiais no local, medir as fôrmas, verificar o nivelamento e confirmar o layout correto das fôrmas. Posicionar e alinhar com segurança as fôrmas de made"&amp;"ira e metal que conterão o concreto. Espalhar, nivelar e alisar o concreto usando rastelos, réguas de nivelamento manuais ou motorizadas, alisadoras mecânicas, pás ou ferramentas manuais. Desmontar as fôrmas e cortar o concreto com serras para concreto. L"&amp;"impar o canteiro de obras. Classificação da Função: 47-2051.00 - Pedreiros e Acabadores de Concreto. A classificação e descrição da função/setor incluem informações gerais sobre o cargo, de acordo com o ONET/OES e o Sistema de Classificação Industrial da "&amp;"América do Norte (NAICS). Consulte as Funções e a Ordem de Serviço para obter mais informações. Requisitos da Função: Experiência Necessária: Sim. Meses de Experiência Necessários: 36. Requisitos Especiais: Trabalho em alguns fins de semana. Capacidade de"&amp;" levantar e carregar 34 kg por 45 metros. Capacidade de suportar temperaturas extremas. Disponibilidade para viagens a locais de trabalho dentro da área de atuação pretendida. Número de horas por semana: 40 Horário de trabalho (início/término): 7h00 - 17h"&amp;"00")</f>
        <v>Preparar o canteiro de obras onde o concreto será despejado, orientando os operários a posicionar os materiais no local, medir as fôrmas, verificar o nivelamento e confirmar o layout correto das fôrmas. Posicionar e alinhar com segurança as fôrmas de madeira e metal que conterão o concreto. Espalhar, nivelar e alisar o concreto usando rastelos, réguas de nivelamento manuais ou motorizadas, alisadoras mecânicas, pás ou ferramentas manuais. Desmontar as fôrmas e cortar o concreto com serras para concreto. Limpar o canteiro de obras. Classificação da Função: 47-2051.00 - Pedreiros e Acabadores de Concreto. A classificação e descrição da função/setor incluem informações gerais sobre o cargo, de acordo com o ONET/OES e o Sistema de Classificação Industrial da América do Norte (NAICS). Consulte as Funções e a Ordem de Serviço para obter mais informações. Requisitos da Função: Experiência Necessária: Sim. Meses de Experiência Necessários: 36. Requisitos Especiais: Trabalho em alguns fins de semana. Capacidade de levantar e carregar 34 kg por 45 metros. Capacidade de suportar temperaturas extremas. Disponibilidade para viagens a locais de trabalho dentro da área de atuação pretendida. Número de horas por semana: 40 Horário de trabalho (início/término): 7h00 - 17h00</v>
      </c>
    </row>
    <row r="568" ht="20.25" customHeight="1">
      <c r="A568" s="3" t="s">
        <v>2806</v>
      </c>
      <c r="B568" s="3" t="s">
        <v>999</v>
      </c>
      <c r="C568" s="3" t="s">
        <v>1000</v>
      </c>
      <c r="D568" s="3" t="s">
        <v>117</v>
      </c>
      <c r="E568" s="4" t="s">
        <v>44</v>
      </c>
      <c r="F568" s="4" t="s">
        <v>20</v>
      </c>
      <c r="G568" s="4" t="s">
        <v>146</v>
      </c>
      <c r="H568" s="3" t="s">
        <v>1001</v>
      </c>
      <c r="I568" s="3" t="s">
        <v>1002</v>
      </c>
      <c r="J568" s="4">
        <v>30.11</v>
      </c>
      <c r="K568" s="4">
        <v>3.0</v>
      </c>
      <c r="L568" s="3" t="s">
        <v>1464</v>
      </c>
      <c r="M568" s="3" t="s">
        <v>2639</v>
      </c>
      <c r="N568" s="7" t="str">
        <f>IFERROR(__xludf.DUMMYFUNCTION("GOOGLETRANSLATE(L568, ""en"", ""pt"")"),"Trabalhadores de vergalhão")</f>
        <v>Trabalhadores de vergalhão</v>
      </c>
      <c r="O568" s="7" t="str">
        <f>IFERROR(__xludf.DUMMYFUNCTION("IF(M568="""","""",GOOGLETRANSLATE(M568,""en"",""pt""))"),"Posicionar e fixar barras de aço ou malha em fôrmas de concreto para reforçá-lo. Operar carretel de arame, alicate Klein e ferramentas manuais para fixar e dobrar vergalhões. Classificação da função: 47-2171.00 - Trabalhadores de Ferro de Reforço e Vergal"&amp;"hões. A classificação e descrição da função/setor inclui informações gerais sobre o cargo, de acordo com o ONET/OES e o Sistema de Classificação Industrial da América do Norte (NAICS). Consulte as Funções e a Ordem de Serviço para obter mais informações. "&amp;"Requisitos da vaga: Experiência necessária: Sim. Meses de experiência necessários: 6. Requisitos especiais: Trabalho em alguns fins de semana. Capacidade de lidar com temperaturas extremas. Capacidade de levantar e carregar 34 kg por 68 metros. Disponibil"&amp;"idade para deslocamentos para locais de trabalho dentro da área de atuação. Número de horas por semana: 40. Horário de trabalho (início/término): 7h às 17h.")</f>
        <v>Posicionar e fixar barras de aço ou malha em fôrmas de concreto para reforçá-lo. Operar carretel de arame, alicate Klein e ferramentas manuais para fixar e dobrar vergalhões. Classificação da função: 47-2171.00 - Trabalhadores de Ferro de Reforço e Vergalhões. A classificação e descrição da função/setor inclui informações gerais sobre o cargo, de acordo com o ONET/OES e o Sistema de Classificação Industrial da América do Norte (NAICS). Consulte as Funções e a Ordem de Serviço para obter mais informações. Requisitos da vaga: Experiência necessária: Sim. Meses de experiência necessários: 6. Requisitos especiais: Trabalho em alguns fins de semana. Capacidade de lidar com temperaturas extremas. Capacidade de levantar e carregar 34 kg por 68 metros. Disponibilidade para deslocamentos para locais de trabalho dentro da área de atuação. Número de horas por semana: 40. Horário de trabalho (início/término): 7h às 17h.</v>
      </c>
    </row>
    <row r="569" ht="20.25" customHeight="1">
      <c r="A569" s="8" t="s">
        <v>2807</v>
      </c>
      <c r="B569" s="8" t="s">
        <v>999</v>
      </c>
      <c r="C569" s="8" t="s">
        <v>1000</v>
      </c>
      <c r="D569" s="8" t="s">
        <v>133</v>
      </c>
      <c r="E569" s="9" t="s">
        <v>19</v>
      </c>
      <c r="F569" s="9" t="s">
        <v>20</v>
      </c>
      <c r="G569" s="9" t="s">
        <v>146</v>
      </c>
      <c r="H569" s="8" t="s">
        <v>1001</v>
      </c>
      <c r="I569" s="8" t="s">
        <v>1002</v>
      </c>
      <c r="J569" s="9">
        <v>26.41</v>
      </c>
      <c r="K569" s="9">
        <v>22.0</v>
      </c>
      <c r="L569" s="8" t="s">
        <v>302</v>
      </c>
      <c r="M569" s="8" t="s">
        <v>1214</v>
      </c>
      <c r="N569" s="7" t="str">
        <f>IFERROR(__xludf.DUMMYFUNCTION("GOOGLETRANSLATE(L569, ""en"", ""pt"")"),"Operários da construção civil")</f>
        <v>Operários da construção civil</v>
      </c>
      <c r="O569" s="7" t="str">
        <f>IFERROR(__xludf.DUMMYFUNCTION("IF(M569="""","""",GOOGLETRANSLATE(M569,""en"",""pt""))"),"Executar tarefas menores que envolvam trabalho braçal em canteiro de obras de concreto. Preparar o local para a concretagem, carregando e descarregando materiais, utilizando linhas de referência, cortando madeira com serra circular, utilizando marreta par"&amp;"a cravar estacas no solo, cavando e nivelando a terra com pás, picaretas e compactadores de solo. Sob supervisão, levantar, carregar, fixar, remover, lubrificar e posicionar fôrmas de concreto de madeira e metal utilizando ferramentas manuais e elétricas "&amp;"simples. Auxiliar na concretagem utilizando carrinhos de mão, rastelos de concreto, pás e vibrador de concreto manual. Limpar resíduos e selar juntas. Classificação da Função: 47-2061.00 - Auxiliares de Construção. A classificação e descrição da função/se"&amp;"tor incluem informações gerais sobre o cargo, conforme ONET/OES e o Sistema de Classificação Industrial da América do Norte (NAICS). Consulte as Funções e a Ordem de Serviço para obter mais informações. Requisitos da Função: Experiência Necessária: Sim. M"&amp;"eses de Experiência Necessários: 3. Requisitos Especiais: Trabalho em alguns fins de semana. Necessário suportar temperaturas extremas. Deve ser capaz de levantar e carregar 34 kg por 45 metros. Deslocamentos para locais de trabalho dentro da área de atua"&amp;"ção pretendida. Número de horas por semana: 40. Horário de trabalho (início/término): 7h às 17h.")</f>
        <v>Executar tarefas menores que envolvam trabalho braçal em canteiro de obras de concreto. Preparar o local para a concretagem, carregando e descarregando materiais, utilizando linhas de referência, cortando madeira com serra circular, utilizando marreta para cravar estacas no solo, cavando e nivelando a terra com pás, picaretas e compactadores de solo. Sob supervisão, levantar, carregar, fixar, remover, lubrificar e posicionar fôrmas de concreto de madeira e metal utilizando ferramentas manuais e elétricas simples. Auxiliar na concretagem utilizando carrinhos de mão, rastelos de concreto, pás e vibrador de concreto manual. Limpar resíduos e selar juntas. Classificação da Função: 47-2061.00 - Auxiliares de Construção. A classificação e descrição da função/setor incluem informações gerais sobre o cargo, conforme ONET/OES e o Sistema de Classificação Industrial da América do Norte (NAICS). Consulte as Funções e a Ordem de Serviço para obter mais informações. Requisitos da Função: Experiência Necessária: Sim. Meses de Experiência Necessários: 3. Requisitos Especiais: Trabalho em alguns fins de semana. Necessário suportar temperaturas extremas. Deve ser capaz de levantar e carregar 34 kg por 45 metros. Deslocamentos para locais de trabalho dentro da área de atuação pretendida. Número de horas por semana: 40. Horário de trabalho (início/término): 7h às 17h.</v>
      </c>
    </row>
    <row r="570" ht="20.25" customHeight="1">
      <c r="A570" s="3" t="s">
        <v>2808</v>
      </c>
      <c r="B570" s="3" t="s">
        <v>999</v>
      </c>
      <c r="C570" s="3" t="s">
        <v>1000</v>
      </c>
      <c r="D570" s="3" t="s">
        <v>133</v>
      </c>
      <c r="E570" s="4" t="s">
        <v>19</v>
      </c>
      <c r="F570" s="4" t="s">
        <v>20</v>
      </c>
      <c r="G570" s="4" t="s">
        <v>146</v>
      </c>
      <c r="H570" s="3" t="s">
        <v>1001</v>
      </c>
      <c r="I570" s="3" t="s">
        <v>1002</v>
      </c>
      <c r="J570" s="4">
        <v>35.05</v>
      </c>
      <c r="K570" s="4">
        <v>7.0</v>
      </c>
      <c r="L570" s="3" t="s">
        <v>1464</v>
      </c>
      <c r="M570" s="3" t="s">
        <v>1465</v>
      </c>
      <c r="N570" s="7" t="str">
        <f>IFERROR(__xludf.DUMMYFUNCTION("GOOGLETRANSLATE(L570, ""en"", ""pt"")"),"Trabalhadores de vergalhão")</f>
        <v>Trabalhadores de vergalhão</v>
      </c>
      <c r="O570" s="7" t="str">
        <f>IFERROR(__xludf.DUMMYFUNCTION("IF(M570="""","""",GOOGLETRANSLATE(M570,""en"",""pt""))"),"Posicionar e fixar barras de aço ou malha em fôrmas de concreto para reforçá-lo. Capacidade de operar enrolador de arame, alicate Klein e ferramentas manuais para fixar e dobrar vergalhões. Classificação da função: 47-2171.00 - Trabalhadores de Ferro de R"&amp;"eforço e Vergalhões. A classificação e descrição da função/setor inclui informações gerais sobre o cargo, de acordo com o ONET/OES e o Sistema de Classificação Industrial da América do Norte (NAICS). Consulte as Funções e a Ordem de Serviço para obter mai"&amp;"s informações. Requisitos da vaga: Experiência necessária: Sim. Meses de experiência necessários: 6. Requisitos especiais: Trabalho em alguns fins de semana. Capacidade de lidar com temperaturas extremas. Capacidade de levantar e carregar 34 kg por 68 met"&amp;"ros. Disponibilidade para deslocamento para locais de trabalho dentro da área de atuação. Número de horas por semana: 40. Horário de trabalho (início/término): 7h às 17h.")</f>
        <v>Posicionar e fixar barras de aço ou malha em fôrmas de concreto para reforçá-lo. Capacidade de operar enrolador de arame, alicate Klein e ferramentas manuais para fixar e dobrar vergalhões. Classificação da função: 47-2171.00 - Trabalhadores de Ferro de Reforço e Vergalhões. A classificação e descrição da função/setor inclui informações gerais sobre o cargo, de acordo com o ONET/OES e o Sistema de Classificação Industrial da América do Norte (NAICS). Consulte as Funções e a Ordem de Serviço para obter mais informações. Requisitos da vaga: Experiência necessária: Sim. Meses de experiência necessários: 6. Requisitos especiais: Trabalho em alguns fins de semana. Capacidade de lidar com temperaturas extremas. Capacidade de levantar e carregar 34 kg por 68 metros. Disponibilidade para deslocamento para locais de trabalho dentro da área de atuação. Número de horas por semana: 40. Horário de trabalho (início/término): 7h às 17h.</v>
      </c>
    </row>
    <row r="571" ht="20.25" customHeight="1">
      <c r="A571" s="8" t="s">
        <v>2809</v>
      </c>
      <c r="B571" s="8" t="s">
        <v>999</v>
      </c>
      <c r="C571" s="8" t="s">
        <v>1000</v>
      </c>
      <c r="D571" s="8" t="s">
        <v>133</v>
      </c>
      <c r="E571" s="9" t="s">
        <v>44</v>
      </c>
      <c r="F571" s="9" t="s">
        <v>20</v>
      </c>
      <c r="G571" s="9" t="s">
        <v>146</v>
      </c>
      <c r="H571" s="8" t="s">
        <v>1001</v>
      </c>
      <c r="I571" s="8" t="s">
        <v>1002</v>
      </c>
      <c r="J571" s="9">
        <v>32.13</v>
      </c>
      <c r="K571" s="9">
        <v>11.0</v>
      </c>
      <c r="L571" s="8" t="s">
        <v>1003</v>
      </c>
      <c r="M571" s="8" t="s">
        <v>2810</v>
      </c>
      <c r="N571" s="7" t="str">
        <f>IFERROR(__xludf.DUMMYFUNCTION("GOOGLETRANSLATE(L571, ""en"", ""pt"")"),"Acabadores de concreto")</f>
        <v>Acabadores de concreto</v>
      </c>
      <c r="O571" s="7" t="str">
        <f>IFERROR(__xludf.DUMMYFUNCTION("IF(M571="""","""",GOOGLETRANSLATE(M571,""en"",""pt""))"),"Preparar o canteiro de obras onde o concreto será despejado, orientando os operários a posicionar os materiais no local, medir as fôrmas, verificar o nivelamento e confirmar o layout correto das fôrmas. Posicionar e alinhar com segurança as fôrmas de made"&amp;"ira e metal que conterão o concreto. Espalhar, nivelar e alisar o concreto usando rastelos, réguas de nivelamento manuais ou motorizadas, alisadoras mecânicas, pás ou ferramentas manuais. Desmontar as fôrmas e cortar o concreto com serras para concreto. L"&amp;"impar o canteiro de obras. Classificação da Função: 47-2051.00 - Pedreiros e Acabadores de Concreto. A classificação e descrição da função/setor incluem informações gerais sobre o cargo, de acordo com o ONET/OES e o Sistema de Classificação Industrial da "&amp;"América do Norte (NAICS). Consulte as Funções e a Ordem de Serviço para obter mais informações. Requisitos da Função: Experiência Necessária: Sim. Meses de Experiência Necessários: 36. Requisitos Especiais: Trabalho em alguns fins de semana. Capacidade de"&amp;" levantar e carregar 34 kg por 45 metros. Capacidade de suportar temperaturas extremas. Disponibilidade para viagens a locais de trabalho dentro da área de atuação pretendida. Número de horas por semana: 40 Horário de trabalho (início/término): 7h00 - 17h"&amp;"00")</f>
        <v>Preparar o canteiro de obras onde o concreto será despejado, orientando os operários a posicionar os materiais no local, medir as fôrmas, verificar o nivelamento e confirmar o layout correto das fôrmas. Posicionar e alinhar com segurança as fôrmas de madeira e metal que conterão o concreto. Espalhar, nivelar e alisar o concreto usando rastelos, réguas de nivelamento manuais ou motorizadas, alisadoras mecânicas, pás ou ferramentas manuais. Desmontar as fôrmas e cortar o concreto com serras para concreto. Limpar o canteiro de obras. Classificação da Função: 47-2051.00 - Pedreiros e Acabadores de Concreto. A classificação e descrição da função/setor incluem informações gerais sobre o cargo, de acordo com o ONET/OES e o Sistema de Classificação Industrial da América do Norte (NAICS). Consulte as Funções e a Ordem de Serviço para obter mais informações. Requisitos da Função: Experiência Necessária: Sim. Meses de Experiência Necessários: 36. Requisitos Especiais: Trabalho em alguns fins de semana. Capacidade de levantar e carregar 34 kg por 45 metros. Capacidade de suportar temperaturas extremas. Disponibilidade para viagens a locais de trabalho dentro da área de atuação pretendida. Número de horas por semana: 40 Horário de trabalho (início/término): 7h00 - 17h00</v>
      </c>
    </row>
    <row r="572" ht="20.25" customHeight="1">
      <c r="A572" s="3" t="s">
        <v>2811</v>
      </c>
      <c r="B572" s="3" t="s">
        <v>2812</v>
      </c>
      <c r="C572" s="3" t="s">
        <v>2263</v>
      </c>
      <c r="D572" s="3" t="s">
        <v>306</v>
      </c>
      <c r="E572" s="4" t="s">
        <v>44</v>
      </c>
      <c r="F572" s="4" t="s">
        <v>20</v>
      </c>
      <c r="G572" s="4" t="s">
        <v>404</v>
      </c>
      <c r="H572" s="3" t="s">
        <v>2813</v>
      </c>
      <c r="I572" s="3" t="s">
        <v>2814</v>
      </c>
      <c r="J572" s="4">
        <v>19.93</v>
      </c>
      <c r="K572" s="4">
        <v>12.0</v>
      </c>
      <c r="L572" s="3" t="s">
        <v>1225</v>
      </c>
      <c r="M572" s="3" t="s">
        <v>2815</v>
      </c>
      <c r="N572" s="7" t="str">
        <f>IFERROR(__xludf.DUMMYFUNCTION("GOOGLETRANSLATE(L572, ""en"", ""pt"")"),"Técnico de Serviços de Inverno")</f>
        <v>Técnico de Serviços de Inverno</v>
      </c>
      <c r="O572" s="7" t="str">
        <f>IFERROR(__xludf.DUMMYFUNCTION("IF(M572="""","""",GOOGLETRANSLATE(M572,""en"",""pt""))"),"Os funcionários manterão a parte externa de edifícios comerciais privados (escritórios, centros comerciais, etc.) e residenciais limpa e organizada, removendo neve e folhas de calçadas, entradas de garagem, jardins ou estacionamentos, utilizando pás de ne"&amp;"ve, sopradores de neve, sopradores de folhas, ancinhos, trituradores de gelo ou espalhadores de sal; recolherão e descartarão lixo e detritos manualmente ou com um coletor de lixo; realizarão a limpeza após tempestades de outono/inverno, incluindo a remoç"&amp;"ão de detritos do terreno; e a poda de inverno de árvores e arbustos dormentes. Poderá ser solicitado que dirijam um veículo da equipe até os locais de trabalho, caso já possuam carteira de habilitação válida (não comercial); no entanto, a carteira de hab"&amp;"ilitação não é um requisito para a contratação. Os funcionários não serão obrigados a operar um limpa-neve. Limparão e realizarão a manutenção de rotina de equipamentos e ferramentas quando não estiverem em uso. Além disso, prestarão auxílio aos pintores "&amp;"em ambientes internos. Limparão as áreas de trabalho e os equipamentos. Aplicarão proteções, como fita adesiva, em objetos ou áreas que possam ser danificados ou manchados pelos processos de trabalho. Fornecerão ou manusearão ferramentas e materiais. Lixa"&amp;"r e polir superfícies de objetos a serem pintados, utilizando ferramentas e equipamentos de lixamento e polimento. Classificação da função: 37-3011.00 - Trabalhadores de Paisagismo e Manutenção de Áreas Verdes. A classificação e descrição da função/setor "&amp;"inclui informações gerais sobre o cargo, de acordo com o ONET/OES e o Sistema de Classificação Industrial da América do Norte (NAICS). Consulte as Funções e a Ordem de Serviço para obter mais informações. Requisitos da função: Experiência necessária: Não."&amp;" Requisitos especiais: Deve ser capaz de levantar/carregar 23 kg, quando necessário. Trabalho aos sábados e domingos, quando necessário. O horário de trabalho pode incluir turnos noturnos e horas extras durante emergências e condições climáticas adversas."&amp;" Deve ser capaz de realizar trabalho braçal e físico ao ar livre em todas as condições climáticas (calor, frio, chuva, neve, etc.). Exame toxicológico obrigatório para trabalhadores estrangeiros e nacionais após acidentes, conforme exigido pela seguradora"&amp;", sem custo para os trabalhadores. Número de horas por semana: 35. Horário de trabalho (início/término): 7h às 16h30.")</f>
        <v>Os funcionários manterão a parte externa de edifícios comerciais privados (escritórios, centros comerciais, etc.) e residenciais limpa e organizada, removendo neve e folhas de calçadas, entradas de garagem, jardins ou estacionamentos, utilizando pás de neve, sopradores de neve, sopradores de folhas, ancinhos, trituradores de gelo ou espalhadores de sal; recolherão e descartarão lixo e detritos manualmente ou com um coletor de lixo; realizarão a limpeza após tempestades de outono/inverno, incluindo a remoção de detritos do terreno; e a poda de inverno de árvores e arbustos dormentes. Poderá ser solicitado que dirijam um veículo da equipe até os locais de trabalho, caso já possuam carteira de habilitação válida (não comercial); no entanto, a carteira de habilitação não é um requisito para a contratação. Os funcionários não serão obrigados a operar um limpa-neve. Limparão e realizarão a manutenção de rotina de equipamentos e ferramentas quando não estiverem em uso. Além disso, prestarão auxílio aos pintores em ambientes internos. Limparão as áreas de trabalho e os equipamentos. Aplicarão proteções, como fita adesiva, em objetos ou áreas que possam ser danificados ou manchados pelos processos de trabalho. Fornecerão ou manusearão ferramentas e materiais. Lixar e polir superfícies de objetos a serem pintados, utilizando ferramentas e equipamentos de lixamento e polimento. Classificação da função: 37-3011.00 - Trabalhadores de Paisagismo e Manutenção de Áreas Verdes. A classificação e descrição da função/setor inclui informações gerais sobre o cargo, de acordo com o ONET/OES e o Sistema de Classificação Industrial da América do Norte (NAICS). Consulte as Funções e a Ordem de Serviço para obter mais informações. Requisitos da função: Experiência necessária: Não. Requisitos especiais: Deve ser capaz de levantar/carregar 23 kg, quando necessário. Trabalho aos sábados e domingos, quando necessário. O horário de trabalho pode incluir turnos noturnos e horas extras durante emergências e condições climáticas adversas. Deve ser capaz de realizar trabalho braçal e físico ao ar livre em todas as condições climáticas (calor, frio, chuva, neve, etc.). Exame toxicológico obrigatório para trabalhadores estrangeiros e nacionais após acidentes, conforme exigido pela seguradora, sem custo para os trabalhadores. Número de horas por semana: 35. Horário de trabalho (início/término): 7h às 16h30.</v>
      </c>
    </row>
    <row r="573" ht="20.25" customHeight="1">
      <c r="A573" s="8" t="s">
        <v>2816</v>
      </c>
      <c r="B573" s="8" t="s">
        <v>2641</v>
      </c>
      <c r="C573" s="8" t="s">
        <v>197</v>
      </c>
      <c r="D573" s="8" t="s">
        <v>71</v>
      </c>
      <c r="E573" s="9" t="s">
        <v>19</v>
      </c>
      <c r="F573" s="9" t="s">
        <v>20</v>
      </c>
      <c r="G573" s="9" t="s">
        <v>524</v>
      </c>
      <c r="H573" s="8" t="s">
        <v>2642</v>
      </c>
      <c r="I573" s="8" t="s">
        <v>2643</v>
      </c>
      <c r="J573" s="9">
        <v>21.48</v>
      </c>
      <c r="K573" s="9">
        <v>10.0</v>
      </c>
      <c r="L573" s="8" t="s">
        <v>1684</v>
      </c>
      <c r="M573" s="8" t="s">
        <v>2817</v>
      </c>
      <c r="N573" s="7" t="str">
        <f>IFERROR(__xludf.DUMMYFUNCTION("GOOGLETRANSLATE(L573, ""en"", ""pt"")"),"Barman")</f>
        <v>Barman</v>
      </c>
      <c r="O573" s="7" t="str">
        <f>IFERROR(__xludf.DUMMYFUNCTION("IF(M573="""","""",GOOGLETRANSLATE(M573,""en"",""pt""))"),"Preparar e servir bebidas, registrar os pedidos no sistema POS. Manter a área do bar limpa. Abastecer o bar. (10) vagas disponíveis. Período: 01/10/2026 a 31/05/2027. Necessário 3 meses de experiência. Turnos rotativos. Dias de trabalho: segunda a domingo"&amp;". Horário: 7h às 23h. Salário: US$ 21,48 a US$ 32 por hora, dependendo do desempenho; horas extras: US$ 32,22 a US$ 48 por hora. Pagamento quinzenal. 35 horas semanais. Alojamento opcional disponível por US$ 675 a US$ 745 por mês (US$ 675 por mês para qua"&amp;"rto duplo, US$ 745 por mês para quarto individual), com depósito de US$ 350, reembolsável após a assinatura do contrato e vistoria do imóvel. Benefícios: plano de previdência 401k após 1000 horas trabalhadas, bônus de Natal, planos odontológico, oftalmoló"&amp;"gico e de saúde, 8 horas de folga remunerada. Uniformes e refeições durante o turno fornecidos. Local de trabalho: 2400 Grey Oaks Drive North, Naples, FL 34105. O trabalho é temporário, em tempo integral. A remuneração será calculada com base em uma seman"&amp;"a de trabalho. Poderá haver até 10 horas extras, quando disponíveis. Todos os descontos obrigatórios por lei serão feitos no contracheque do trabalhador. O empregador fornecerá gratuitamente ao trabalhador todas as ferramentas, materiais e equipamentos ne"&amp;"cessários para a execução do trabalho. O trabalhador receberá ou será reembolsado pelo transporte e subsistência (incluindo o custo razoável de hospedagem noturna, quando necessário, até US$ 110/noite para hospedagem com recibos) a uma taxa de US$ 16,78 p"&amp;"or dia durante a viagem, até um máximo de US$ 68,00 por dia com recibos, desde o local de onde o trabalhador veio trabalhar para o empregador, seja nos EUA ou no exterior, até o local de trabalho, se o trabalhador completar 50% do período de emprego cober"&amp;"to pela ordem de serviço, de acordo com 20 CFR 655.20(j)(1)(i), mediante inclusão no pagamento da semana aplicável. O empregador fornecerá ou pagará o custo do transporte de retorno e da subsistência diária do trabalhador, do local de trabalho até o local"&amp;" de onde o trabalhador partiu para trabalhar para o empregador, independentemente de empregos intermediários, caso o trabalhador complete o período de emprego certificado ou seja demitido do emprego por qualquer motivo pelo empregador antes do término do "&amp;"período, de acordo com o § 655.20(j)(1)(ii); os trabalhadores com visto H-2B serão reembolsados ​​na primeira semana de trabalho por todos os vistos, processamento de vistos, travessia de fronteira e outras taxas relacionadas, incluindo aquelas exigidas p"&amp;"elo governo (exceto taxas de passaporte). O empregador fornecerá aos trabalhadores todas as ferramentas, suprimentos e equipamentos necessários para o desempenho do trabalho, sem custo para o trabalhador, de acordo com o 20 CFR 655.20(k). Os candidatos qu"&amp;"alificados podem enviar o currículo para Alexandra Schrögendorfer, no endereço 2400 Grey Oaks Drive North, Naples, FL 34105, por e-mail para H2Bjobs@greyoakscc.com ou visitar o centro de empregos local no endereço 3050 Horseshoe Drive North, Building A, S"&amp;"uite 110, Naples, FL 34104. *Seu depósito de segurança será reembolsado após a conclusão do contrato e a inspeção da moradia. Se um trabalhador abandonar o emprego sem a permissão do empregador ou abandonar a moradia antes do término do prazo de inscrição"&amp;" por qualquer motivo, exceto rescisão por parte do empregador, o trabalhador perderá todos os depósitos de moradia, dias de folga remunerada, férias e bônus. Após a rescisão ou demissão, o trabalhador deverá desocupar a moradia imediatamente, a menos que "&amp;"haja acordo com o empregador.* Classificação do Cargo: 35-3011.00 - Bartenders. A classificação e descrição do cargo/setor incluem informações gerais sobre a posição, de acordo com o ONET/OES e o Sistema de Classificação Industrial da América do Norte. Co"&amp;"nsulte as Funções e a Ordem de Serviço para obter mais informações. Requisitos da vaga Experiência necessária: Sim Meses de experiência necessários: 3 Número de horas por semana: 35 Horário de trabalho (início/término): 7h às 23h")</f>
        <v>Preparar e servir bebidas, registrar os pedidos no sistema POS. Manter a área do bar limpa. Abastecer o bar. (10) vagas disponíveis. Período: 01/10/2026 a 31/05/2027. Necessário 3 meses de experiência. Turnos rotativos. Dias de trabalho: segunda a domingo. Horário: 7h às 23h. Salário: US$ 21,48 a US$ 32 por hora, dependendo do desempenho; horas extras: US$ 32,22 a US$ 48 por hora. Pagamento quinzenal. 35 horas semanais. Alojamento opcional disponível por US$ 675 a US$ 745 por mês (US$ 675 por mês para quarto duplo, US$ 745 por mês para quarto individual), com depósito de US$ 350, reembolsável após a assinatura do contrato e vistoria do imóvel. Benefícios: plano de previdência 401k após 1000 horas trabalhadas, bônus de Natal, planos odontológico, oftalmológico e de saúde, 8 horas de folga remunerada. Uniformes e refeições durante o turno fornecidos. Local de trabalho: 2400 Grey Oaks Drive North, Naples, FL 34105. O trabalho é temporário, em tempo integral. A remuneração será calculada com base em uma semana de trabalho. Poderá haver até 10 horas extras, quando disponíveis. Todos os descontos obrigatórios por lei serão feitos no contracheque do trabalhador. O empregador fornecerá gratuitamente ao trabalhador todas as ferramentas, materiais e equipamentos necessários para a execução do trabalho. O trabalhador receberá ou será reembolsado pelo transporte e subsistência (incluindo o custo razoável de hospedagem noturna, quando necessário, até US$ 110/noite para hospedagem com recibos) a uma taxa de US$ 16,78 por dia durante a viagem, até um máximo de US$ 68,00 por dia com recibos, desde o local de onde o trabalhador veio trabalhar para o empregador, seja nos EUA ou no exterior, até o local de trabalho, se o trabalhador completar 50% do período de emprego coberto pela ordem de serviço, de acordo com 20 CFR 655.20(j)(1)(i), mediante inclusão no pagamento da semana aplicável. O empregador fornecerá ou pagará o custo do transporte de retorno e da subsistência diária do trabalhador, do local de trabalho até o local de onde o trabalhador partiu para trabalhar para o empregador, independentemente de empregos intermediários, caso o trabalhador complete o período de emprego certificado ou seja demitido do emprego por qualquer motivo pelo empregador antes do término do período, de acordo com o § 655.20(j)(1)(ii); os trabalhadores com visto H-2B serão reembolsados ​​na primeira semana de trabalho por todos os vistos, processamento de vistos, travessia de fronteira e outras taxas relacionadas, incluindo aquelas exigidas pelo governo (exceto taxas de passaporte). O empregador fornecerá aos trabalhadores todas as ferramentas, suprimentos e equipamentos necessários para o desempenho do trabalho, sem custo para o trabalhador, de acordo com o 20 CFR 655.20(k). Os candidatos qualificados podem enviar o currículo para Alexandra Schrögendorfer, no endereço 2400 Grey Oaks Drive North, Naples, FL 34105, por e-mail para H2Bjobs@greyoakscc.com ou visitar o centro de empregos local no endereço 3050 Horseshoe Drive North, Building A, Suite 110, Naples, FL 34104. *Seu depósito de segurança será reembolsado após a conclusão do contrato e a inspeção da moradia. Se um trabalhador abandonar o emprego sem a permissão do empregador ou abandonar a moradia antes do término do prazo de inscrição por qualquer motivo, exceto rescisão por parte do empregador, o trabalhador perderá todos os depósitos de moradia, dias de folga remunerada, férias e bônus. Após a rescisão ou demissão, o trabalhador deverá desocupar a moradia imediatamente, a menos que haja acordo com o empregador.* Classificação do Cargo: 35-3011.00 - Bartenders. A classificação e descrição do cargo/setor incluem informações gerais sobre a posição, de acordo com o ONET/OES e o Sistema de Classificação Industrial da América do Norte. Consulte as Funções e a Ordem de Serviço para obter mais informações. Requisitos da vaga Experiência necessária: Sim Meses de experiência necessários: 3 Número de horas por semana: 35 Horário de trabalho (início/término): 7h às 23h</v>
      </c>
    </row>
    <row r="574" ht="20.25" customHeight="1">
      <c r="A574" s="3" t="s">
        <v>2818</v>
      </c>
      <c r="B574" s="3" t="s">
        <v>2641</v>
      </c>
      <c r="C574" s="3" t="s">
        <v>197</v>
      </c>
      <c r="D574" s="3" t="s">
        <v>71</v>
      </c>
      <c r="E574" s="4" t="s">
        <v>19</v>
      </c>
      <c r="F574" s="4" t="s">
        <v>20</v>
      </c>
      <c r="G574" s="4" t="s">
        <v>524</v>
      </c>
      <c r="H574" s="3" t="s">
        <v>2642</v>
      </c>
      <c r="I574" s="3" t="s">
        <v>2643</v>
      </c>
      <c r="J574" s="4">
        <v>19.88</v>
      </c>
      <c r="K574" s="4">
        <v>48.0</v>
      </c>
      <c r="L574" s="3" t="s">
        <v>387</v>
      </c>
      <c r="M574" s="3" t="s">
        <v>2819</v>
      </c>
      <c r="N574" s="7" t="str">
        <f>IFERROR(__xludf.DUMMYFUNCTION("GOOGLETRANSLATE(L574, ""en"", ""pt"")"),"Ordem de serviço não disponível")</f>
        <v>Ordem de serviço não disponível</v>
      </c>
      <c r="O574" s="7" t="str">
        <f>IFERROR(__xludf.DUMMYFUNCTION("IF(M574="""","""",GOOGLETRANSLATE(M574,""en"",""pt""))"),"Preparar, cozinhar, refogar, grelhar e fritar itens como frutos do mar, carnes, aves, legumes, massas e sopas. Manter as áreas da cozinha limpas e higienizadas. Armazenar todos os produtos em locais adequados. (48) vagas disponíveis. Período: 01/10/2026 a"&amp;" 31/05/2027. Necessário 3 meses de experiência. Turnos rotativos. Dias de trabalho: segunda a domingo. Horário de trabalho: 6h às 22h. Salário: US$ 19,88 a US$ 26/hora, com base no desempenho; US$ 29,82 a US$ 39/hora para horas extras. Pagamento quinzenal"&amp;". 35 horas semanais. Moradia opcional disponível por US$ 675 a US$ 745/mês (US$ 675/mês para quarto duplo, US$ 745/mês para quarto individual), com depósito de US$ 350, reembolsável após a assinatura do contrato e inspeção da moradia. Benefícios incluem: "&amp;"plano de previdência 401k após 1000 horas trabalhadas, bônus de Natal, planos odontológico, oftalmológico e de saúde, e 8 horas de folga remunerada. Uniformes e refeições durante o turno fornecidos. Local de trabalho: 2400 Grey Oaks Drive North, Naples, F"&amp;"L 34105. Trabalho temporário em tempo integral. O salário será calculado com base em uma semana de trabalho. Possibilidade de até 10 horas extras, quando disponíveis. Todos os descontos obrigatórios por lei serão feitos no contracheque do trabalhador. O e"&amp;"mpregador fornecerá gratuitamente todas as ferramentas, materiais e equipamentos necessários para a execução do trabalho. O trabalhador receberá ou será reembolsado pelo transporte e subsistência (incluindo o custo razoável de hospedagem noturna, quando n"&amp;"ecessário, até US$ 110/noite para hospedagem com recibos) a uma taxa de US$ 16,78 por dia durante a viagem, até um máximo de US$ 68,00 por dia com recibos, desde o local de onde o trabalhador veio trabalhar para o empregador, seja nos EUA ou no exterior, "&amp;"até o local de trabalho, se o trabalhador completar 50% do período de emprego coberto pela ordem de serviço, de acordo com 20 CFR 655.20(j)(1)(i), mediante inclusão no pagamento da semana aplicável. O empregador fornecerá ou pagará o custo do transporte d"&amp;"e retorno e da subsistência diária do trabalhador, do local de trabalho até o local de onde o trabalhador partiu para trabalhar para o empregador, independentemente de empregos intermediários, caso o trabalhador complete o período de emprego certificado o"&amp;"u seja demitido do emprego por qualquer motivo pelo empregador antes do término do período, de acordo com o § 655.20(j)(1)(ii); os trabalhadores com visto H-2B serão reembolsados ​​na primeira semana de trabalho por todos os vistos, processamento de visto"&amp;"s, travessia de fronteira e outras taxas relacionadas, incluindo aquelas exigidas pelo governo (exceto taxas de passaporte). O empregador fornecerá aos trabalhadores todas as ferramentas, suprimentos e equipamentos necessários para o desempenho do trabalh"&amp;"o, sem custo para o trabalhador, de acordo com o 20 CFR 655.20(k). Os candidatos qualificados podem enviar o currículo para Alexandra Schrögendorfer, no endereço 2400 Grey Oaks Drive North, Naples, FL 34105, por e-mail para H2Bjobs@greyoakscc.com ou visit"&amp;"ar o centro de empregos local no endereço 3050 Horseshoe Drive North, Building A, Suite 110, Naples, FL 34104. *Seu depósito de segurança é reembolsável após a conclusão do contrato e a inspeção da moradia. Se um trabalhador abandonar o emprego sem a perm"&amp;"issão do empregador ou abandonar a moradia antes do término do prazo de solicitação por qualquer motivo, exceto rescisão por parte do empregador, o trabalhador perderá todos os depósitos de moradia, dias de folga remunerada, férias e bônus. Após a rescisã"&amp;"o ou demissão, o trabalhador deverá desocupar a moradia imediatamente, a menos que haja acordo com o empregador.* Classificação do Cargo: 35-2014.00 - Cozinheiros, Restaurante. A classificação e descrição do cargo/setor incluem informações gerais sobre a "&amp;"posição, de acordo com o ONET/OES e o Sistema de Classificação Industrial da América do Norte. Consulte a Descrição das Funções e a Ordem de Serviço para obter mais informações. Requisitos da Vaga Experiência Necessária: Sim Meses de Experiência Necessári"&amp;"a: 3 Número de Horas por Semana: 35 Horário de Trabalho (Início/Término): 6h00 - 22h00")</f>
        <v>Preparar, cozinhar, refogar, grelhar e fritar itens como frutos do mar, carnes, aves, legumes, massas e sopas. Manter as áreas da cozinha limpas e higienizadas. Armazenar todos os produtos em locais adequados. (48) vagas disponíveis. Período: 01/10/2026 a 31/05/2027. Necessário 3 meses de experiência. Turnos rotativos. Dias de trabalho: segunda a domingo. Horário de trabalho: 6h às 22h. Salário: US$ 19,88 a US$ 26/hora, com base no desempenho; US$ 29,82 a US$ 39/hora para horas extras. Pagamento quinzenal. 35 horas semanais. Moradia opcional disponível por US$ 675 a US$ 745/mês (US$ 675/mês para quarto duplo, US$ 745/mês para quarto individual), com depósito de US$ 350, reembolsável após a assinatura do contrato e inspeção da moradia. Benefícios incluem: plano de previdência 401k após 1000 horas trabalhadas, bônus de Natal, planos odontológico, oftalmológico e de saúde, e 8 horas de folga remunerada. Uniformes e refeições durante o turno fornecidos. Local de trabalho: 2400 Grey Oaks Drive North, Naples, FL 34105. Trabalho temporário em tempo integral. O salário será calculado com base em uma semana de trabalho. Possibilidade de até 10 horas extras, quando disponíveis. Todos os descontos obrigatórios por lei serão feitos no contracheque do trabalhador. O empregador fornecerá gratuitamente todas as ferramentas, materiais e equipamentos necessários para a execução do trabalho. O trabalhador receberá ou será reembolsado pelo transporte e subsistência (incluindo o custo razoável de hospedagem noturna, quando necessário, até US$ 110/noite para hospedagem com recibos) a uma taxa de US$ 16,78 por dia durante a viagem, até um máximo de US$ 68,00 por dia com recibos, desde o local de onde o trabalhador veio trabalhar para o empregador, seja nos EUA ou no exterior, até o local de trabalho, se o trabalhador completar 50% do período de emprego coberto pela ordem de serviço, de acordo com 20 CFR 655.20(j)(1)(i), mediante inclusão no pagamento da semana aplicável. O empregador fornecerá ou pagará o custo do transporte de retorno e da subsistência diária do trabalhador, do local de trabalho até o local de onde o trabalhador partiu para trabalhar para o empregador, independentemente de empregos intermediários, caso o trabalhador complete o período de emprego certificado ou seja demitido do emprego por qualquer motivo pelo empregador antes do término do período, de acordo com o § 655.20(j)(1)(ii); os trabalhadores com visto H-2B serão reembolsados ​​na primeira semana de trabalho por todos os vistos, processamento de vistos, travessia de fronteira e outras taxas relacionadas, incluindo aquelas exigidas pelo governo (exceto taxas de passaporte). O empregador fornecerá aos trabalhadores todas as ferramentas, suprimentos e equipamentos necessários para o desempenho do trabalho, sem custo para o trabalhador, de acordo com o 20 CFR 655.20(k). Os candidatos qualificados podem enviar o currículo para Alexandra Schrögendorfer, no endereço 2400 Grey Oaks Drive North, Naples, FL 34105, por e-mail para H2Bjobs@greyoakscc.com ou visitar o centro de empregos local no endereço 3050 Horseshoe Drive North, Building A, Suite 110, Naples, FL 34104. *Seu depósito de segurança é reembolsável após a conclusão do contrato e a inspeção da moradia. Se um trabalhador abandonar o emprego sem a permissão do empregador ou abandonar a moradia antes do término do prazo de solicitação por qualquer motivo, exceto rescisão por parte do empregador, o trabalhador perderá todos os depósitos de moradia, dias de folga remunerada, férias e bônus. Após a rescisão ou demissão, o trabalhador deverá desocupar a moradia imediatamente, a menos que haja acordo com o empregador.* Classificação do Cargo: 35-2014.00 - Cozinheiros, Restaurante. A classificação e descrição do cargo/setor incluem informações gerais sobre a posição, de acordo com o ONET/OES e o Sistema de Classificação Industrial da América do Norte. Consulte a Descrição das Funções e a Ordem de Serviço para obter mais informações. Requisitos da Vaga Experiência Necessária: Sim Meses de Experiência Necessária: 3 Número de Horas por Semana: 35 Horário de Trabalho (Início/Término): 6h00 - 22h00</v>
      </c>
    </row>
    <row r="575" ht="20.25" customHeight="1">
      <c r="A575" s="8" t="s">
        <v>2820</v>
      </c>
      <c r="B575" s="8" t="s">
        <v>2641</v>
      </c>
      <c r="C575" s="8" t="s">
        <v>197</v>
      </c>
      <c r="D575" s="8" t="s">
        <v>71</v>
      </c>
      <c r="E575" s="9" t="s">
        <v>19</v>
      </c>
      <c r="F575" s="9" t="s">
        <v>20</v>
      </c>
      <c r="G575" s="9" t="s">
        <v>80</v>
      </c>
      <c r="H575" s="8" t="s">
        <v>2642</v>
      </c>
      <c r="I575" s="8" t="s">
        <v>2643</v>
      </c>
      <c r="J575" s="9">
        <v>18.0</v>
      </c>
      <c r="K575" s="9">
        <v>7.0</v>
      </c>
      <c r="L575" s="8" t="s">
        <v>2821</v>
      </c>
      <c r="M575" s="8" t="s">
        <v>2822</v>
      </c>
      <c r="N575" s="7" t="str">
        <f>IFERROR(__xludf.DUMMYFUNCTION("GOOGLETRANSLATE(L575, ""en"", ""pt"")"),"Auxiliar de Recreação")</f>
        <v>Auxiliar de Recreação</v>
      </c>
      <c r="O575" s="7" t="str">
        <f>IFERROR(__xludf.DUMMYFUNCTION("IF(M575="""","""",GOOGLETRANSLATE(M575,""en"",""pt""))"),"Realizar atividades recreativas com grupos em agências públicas, privadas ou de voluntariado, ou em instalações recreativas. Organizar e promover atividades como artes e artesanato, esportes, jogos, música, teatro, recreação social, acampamentos e hobbies"&amp;", levando em consideração as necessidades e interesses individuais dos participantes. (7) vagas disponíveis. Período: 01/10/2026 a 31/07/2027. Turnos rotativos. Dias de trabalho: segunda a domingo. Horário de trabalho: 8h às 20h. Remuneração: US$ 18 a US$"&amp;" 26 por hora, com base no desempenho; US$ 27 a US$ 39 por hora para horas extras. Pagamento quinzenal. 35 horas semanais. Moradia opcional disponível por US$ 675 a US$ 745 por mês (US$ 675 por mês para quarto duplo, US$ 745 por mês para quarto individual)"&amp;", com depósito de US$ 350, reembolsável após a assinatura do contrato e inspeção da moradia. Benefícios incluem: plano de previdência 401k após 1000 horas trabalhadas, bônus de Natal, planos odontológico, oftalmológico e de saúde, e 8 horas de folga remun"&amp;"erada. Uniformes e refeições durante o turno fornecidos. Local de trabalho: 2400 Grey Oaks Drive North, Naples, FL 34105. Trabalho temporário em tempo integral. O salário será calculado com base em uma semana de trabalho. Possibilidade de até 10 horas ext"&amp;"ras, quando disponíveis. Todos os descontos obrigatórios por lei serão feitos no contracheque do trabalhador. O empregador fornecerá gratuitamente todas as ferramentas, materiais e equipamentos necessários para a execução do trabalho. O trabalhador recebe"&amp;"rá ou será reembolsado pelo transporte e subsistência (incluindo o custo razoável de hospedagem noturna, quando necessário, até US$ 110/noite para hospedagem com recibos) a uma taxa de US$ 16,78 por dia durante a viagem, até um máximo de US$ 68,00 por dia"&amp;" com recibos, desde o local de onde o trabalhador veio trabalhar para o empregador, seja nos EUA ou no exterior, até o local de trabalho, se o trabalhador completar 50% do período de emprego coberto pela ordem de serviço, de acordo com 20 CFR 655.20(j)(1)"&amp;"(i), mediante inclusão no pagamento da semana aplicável. O empregador fornecerá ou pagará o custo do transporte de retorno e da subsistência diária do trabalhador, do local de trabalho até o local de onde o trabalhador partiu para trabalhar para o emprega"&amp;"dor, independentemente de empregos intermediários, caso o trabalhador complete o período de emprego certificado ou seja demitido do emprego por qualquer motivo pelo empregador antes do término do período, de acordo com o § 655.20(j)(1)(ii); os trabalhador"&amp;"es com visto H-2B serão reembolsados ​​na primeira semana de trabalho por todos os vistos, processamento de vistos, travessia de fronteira e outras taxas relacionadas, incluindo aquelas exigidas pelo governo (exceto taxas de passaporte). O empregador forn"&amp;"ecerá aos trabalhadores todas as ferramentas, suprimentos e equipamentos necessários para o desempenho do trabalho, sem custo para o trabalhador, de acordo com o 20 CFR 655.20(k). Os candidatos qualificados podem enviar o currículo para Alexandra Schrögen"&amp;"dorfer, no endereço 2400 Grey Oaks Drive North, Naples, FL 34105, por e-mail para H2Bjobs@greyoakscc.com ou visitar o centro de empregos local no endereço 3050 Horseshoe Drive North, Building A, Suite 110, Naples, FL 34104. *Seu depósito de segurança será"&amp;" reembolsado após a conclusão do contrato e a inspeção da moradia. Se um trabalhador abandonar o emprego sem a permissão do empregador ou abandonar a moradia antes do término do prazo de inscrição por qualquer motivo, exceto rescisão por parte do empregad"&amp;"or, o trabalhador perderá todos os depósitos de moradia, dias de folga remunerada, férias e bônus. Após a rescisão ou demissão, o trabalhador deverá desocupar a moradia imediatamente, a menos que haja acordo com o empregador.* Classificação do Cargo: 39-9"&amp;"032.00 - Trabalhadores de Recreação. A classificação e descrição do cargo/setor incluem informações gerais sobre a posição, de acordo com o ONET/OES e o Sistema de Classificação Industrial da América do Norte. Consulte as Funções e a Ordem de Serviço para"&amp;" obter mais informações. Requisitos da vaga Experiência necessária: Não Número de horas por semana: 35 Horário de trabalho (início/término): 8h às 20h")</f>
        <v>Realizar atividades recreativas com grupos em agências públicas, privadas ou de voluntariado, ou em instalações recreativas. Organizar e promover atividades como artes e artesanato, esportes, jogos, música, teatro, recreação social, acampamentos e hobbies, levando em consideração as necessidades e interesses individuais dos participantes. (7) vagas disponíveis. Período: 01/10/2026 a 31/07/2027. Turnos rotativos. Dias de trabalho: segunda a domingo. Horário de trabalho: 8h às 20h. Remuneração: US$ 18 a US$ 26 por hora, com base no desempenho; US$ 27 a US$ 39 por hora para horas extras. Pagamento quinzenal. 35 horas semanais. Moradia opcional disponível por US$ 675 a US$ 745 por mês (US$ 675 por mês para quarto duplo, US$ 745 por mês para quarto individual), com depósito de US$ 350, reembolsável após a assinatura do contrato e inspeção da moradia. Benefícios incluem: plano de previdência 401k após 1000 horas trabalhadas, bônus de Natal, planos odontológico, oftalmológico e de saúde, e 8 horas de folga remunerada. Uniformes e refeições durante o turno fornecidos. Local de trabalho: 2400 Grey Oaks Drive North, Naples, FL 34105. Trabalho temporário em tempo integral. O salário será calculado com base em uma semana de trabalho. Possibilidade de até 10 horas extras, quando disponíveis. Todos os descontos obrigatórios por lei serão feitos no contracheque do trabalhador. O empregador fornecerá gratuitamente todas as ferramentas, materiais e equipamentos necessários para a execução do trabalho. O trabalhador receberá ou será reembolsado pelo transporte e subsistência (incluindo o custo razoável de hospedagem noturna, quando necessário, até US$ 110/noite para hospedagem com recibos) a uma taxa de US$ 16,78 por dia durante a viagem, até um máximo de US$ 68,00 por dia com recibos, desde o local de onde o trabalhador veio trabalhar para o empregador, seja nos EUA ou no exterior, até o local de trabalho, se o trabalhador completar 50% do período de emprego coberto pela ordem de serviço, de acordo com 20 CFR 655.20(j)(1)(i), mediante inclusão no pagamento da semana aplicável. O empregador fornecerá ou pagará o custo do transporte de retorno e da subsistência diária do trabalhador, do local de trabalho até o local de onde o trabalhador partiu para trabalhar para o empregador, independentemente de empregos intermediários, caso o trabalhador complete o período de emprego certificado ou seja demitido do emprego por qualquer motivo pelo empregador antes do término do período, de acordo com o § 655.20(j)(1)(ii); os trabalhadores com visto H-2B serão reembolsados ​​na primeira semana de trabalho por todos os vistos, processamento de vistos, travessia de fronteira e outras taxas relacionadas, incluindo aquelas exigidas pelo governo (exceto taxas de passaporte). O empregador fornecerá aos trabalhadores todas as ferramentas, suprimentos e equipamentos necessários para o desempenho do trabalho, sem custo para o trabalhador, de acordo com o 20 CFR 655.20(k). Os candidatos qualificados podem enviar o currículo para Alexandra Schrögendorfer, no endereço 2400 Grey Oaks Drive North, Naples, FL 34105, por e-mail para H2Bjobs@greyoakscc.com ou visitar o centro de empregos local no endereço 3050 Horseshoe Drive North, Building A, Suite 110, Naples, FL 34104. *Seu depósito de segurança será reembolsado após a conclusão do contrato e a inspeção da moradia. Se um trabalhador abandonar o emprego sem a permissão do empregador ou abandonar a moradia antes do término do prazo de inscrição por qualquer motivo, exceto rescisão por parte do empregador, o trabalhador perderá todos os depósitos de moradia, dias de folga remunerada, férias e bônus. Após a rescisão ou demissão, o trabalhador deverá desocupar a moradia imediatamente, a menos que haja acordo com o empregador.* Classificação do Cargo: 39-9032.00 - Trabalhadores de Recreação. A classificação e descrição do cargo/setor incluem informações gerais sobre a posição, de acordo com o ONET/OES e o Sistema de Classificação Industrial da América do Norte. Consulte as Funções e a Ordem de Serviço para obter mais informações. Requisitos da vaga Experiência necessária: Não Número de horas por semana: 35 Horário de trabalho (início/término): 8h às 20h</v>
      </c>
    </row>
    <row r="576" ht="20.25" customHeight="1">
      <c r="A576" s="3" t="s">
        <v>2823</v>
      </c>
      <c r="B576" s="3" t="s">
        <v>2641</v>
      </c>
      <c r="C576" s="3" t="s">
        <v>197</v>
      </c>
      <c r="D576" s="3" t="s">
        <v>71</v>
      </c>
      <c r="E576" s="4" t="s">
        <v>44</v>
      </c>
      <c r="F576" s="4" t="s">
        <v>20</v>
      </c>
      <c r="G576" s="4" t="s">
        <v>524</v>
      </c>
      <c r="H576" s="3" t="s">
        <v>2642</v>
      </c>
      <c r="I576" s="3" t="s">
        <v>2643</v>
      </c>
      <c r="J576" s="4">
        <v>16.0</v>
      </c>
      <c r="K576" s="4">
        <v>7.0</v>
      </c>
      <c r="L576" s="3" t="s">
        <v>387</v>
      </c>
      <c r="M576" s="3" t="s">
        <v>2824</v>
      </c>
      <c r="N576" s="7" t="str">
        <f>IFERROR(__xludf.DUMMYFUNCTION("GOOGLETRANSLATE(L576, ""en"", ""pt"")"),"Ordem de serviço não disponível")</f>
        <v>Ordem de serviço não disponível</v>
      </c>
      <c r="O576" s="7" t="str">
        <f>IFERROR(__xludf.DUMMYFUNCTION("IF(M576="""","""",GOOGLETRANSLATE(M576,""en"",""pt""))"),"Recepcionar e acomodar hóspedes, atender ligações, fazer reservas (7 vagas). Período: 01/10/2026 a 31/05/2027. Turnos rotativos. Dias de trabalho: segunda a domingo. Horário: 6h às 22h. Salário: US$ 16 a US$ 21 por hora, com base no desempenho; horas extr"&amp;"as: US$ 24 a US$ 31,50 por hora. Pagamento quinzenal. 35 horas semanais. Alojamento opcional disponível por US$ 675 a US$ 745 por mês (US$ 675 por mês para quarto duplo, US$ 745 por mês para quarto individual), com depósito de US$ 350, reembolsável após a"&amp;" assinatura do contrato e vistoria do imóvel. Benefícios: plano de previdência 401k após 1000 horas trabalhadas, bônus de Natal, planos odontológico, oftalmológico e de saúde, 8 horas de folga remunerada. Uniformes e refeições durante o turno fornecidos. "&amp;"Local de trabalho: 2400 Grey Oaks Drive North, Naples, FL 34105. Vaga temporária em tempo integral. Uma única semana de trabalho será utilizada para calcular os salários. O trabalhador poderá receber até 10 horas extras, quando disponíveis. Todas as deduç"&amp;"ões exigidas por lei serão feitas no contracheque do trabalhador. O empregador fornecerá ao trabalhador, sem custos, todas as ferramentas, suprimentos e equipamentos necessários para a execução do trabalho. O trabalhador receberá ou será reembolsado pelas"&amp;" despesas de transporte e subsistência (incluindo o custo razoável de hospedagem, quando necessário, até US$ 110 por noite, mediante apresentação de recibos) à taxa de US$ 16,78 por dia durante o deslocamento, até um máximo de US$ 68,00 por dia, mediante "&amp;"apresentação de recibos, desde o local de origem do trabalhador, seja nos EUA ou no exterior, até o local de trabalho, caso o trabalhador complete 50% do período de trabalho coberto pela ordem de serviço, em conformidade com 20 CFR 655.20(j)(1)(i), median"&amp;"te inclusão no contracheque da semana correspondente. O empregador fornecerá ou pagará o custo do transporte de retorno e da subsistência diária do trabalhador, do local de trabalho até o local de onde o trabalhador partiu para trabalhar para o empregador"&amp;", independentemente de empregos intermediários, caso o trabalhador complete o período de emprego certificado ou seja demitido do emprego por qualquer motivo pelo empregador antes do término do período, de acordo com o § 655.20(j)(1)(ii); os trabalhadores "&amp;"com visto H-2B serão reembolsados ​​na primeira semana de trabalho por todos os vistos, processamento de vistos, travessia de fronteira e outras taxas relacionadas, incluindo aquelas exigidas pelo governo (exceto taxas de passaporte). O empregador fornece"&amp;"rá aos trabalhadores todas as ferramentas, suprimentos e equipamentos necessários para o desempenho do trabalho, sem custo para o trabalhador, de acordo com o 20 CFR 655.20(k). Os candidatos qualificados podem enviar o currículo para Alexandra Schrögendor"&amp;"fer, no endereço 2400 Grey Oaks Drive North, Naples, FL 34105, por e-mail para H2Bjobs@greyoakscc.com ou visitar o centro de empregos local no endereço 3050 Horseshoe Drive North, Building A, Suite 110, Naples, FL 34104. *Seu depósito de segurança é reemb"&amp;"olsável após a conclusão do contrato e a inspeção da moradia. Se um trabalhador abandonar o emprego sem a permissão do empregador ou abandonar a moradia antes do término do prazo de inscrição por qualquer motivo, exceto rescisão por parte do empregador, o"&amp;" trabalhador perderá todos os depósitos de moradia, dias de folga remunerada, férias e bônus. Após a rescisão ou demissão, o trabalhador deverá desocupar a moradia imediatamente, a menos que haja acordo com o empregador.* Classificação da vaga: 35-9031.00"&amp;" - Recepcionistas e Anfitriões, Restaurante, Bar e Cafeteria. A classificação e descrição da vaga/setor incluem informações gerais sobre o cargo, de acordo com o ONET/OES e o Sistema de Classificação Industrial da América do Norte (NAICS). Consulte a desc"&amp;"rição das funções e a ordem de serviço para obter mais informações. Requisitos da vaga: Experiência necessária: Não. Número de horas por semana: 35. Horário de trabalho (início/término): 6h às 22h.")</f>
        <v>Recepcionar e acomodar hóspedes, atender ligações, fazer reservas (7 vagas). Período: 01/10/2026 a 31/05/2027. Turnos rotativos. Dias de trabalho: segunda a domingo. Horário: 6h às 22h. Salário: US$ 16 a US$ 21 por hora, com base no desempenho; horas extras: US$ 24 a US$ 31,50 por hora. Pagamento quinzenal. 35 horas semanais. Alojamento opcional disponível por US$ 675 a US$ 745 por mês (US$ 675 por mês para quarto duplo, US$ 745 por mês para quarto individual), com depósito de US$ 350, reembolsável após a assinatura do contrato e vistoria do imóvel. Benefícios: plano de previdência 401k após 1000 horas trabalhadas, bônus de Natal, planos odontológico, oftalmológico e de saúde, 8 horas de folga remunerada. Uniformes e refeições durante o turno fornecidos. Local de trabalho: 2400 Grey Oaks Drive North, Naples, FL 34105. Vaga temporária em tempo integral. Uma única semana de trabalho será utilizada para calcular os salários. O trabalhador poderá receber até 10 horas extras, quando disponíveis. Todas as deduções exigidas por lei serão feitas no contracheque do trabalhador. O empregador fornecerá ao trabalhador, sem custos, todas as ferramentas, suprimentos e equipamentos necessários para a execução do trabalho. O trabalhador receberá ou será reembolsado pelas despesas de transporte e subsistência (incluindo o custo razoável de hospedagem, quando necessário, até US$ 110 por noite, mediante apresentação de recibos) à taxa de US$ 16,78 por dia durante o deslocamento, até um máximo de US$ 68,00 por dia, mediante apresentação de recibos, desde o local de origem do trabalhador, seja nos EUA ou no exterior, até o local de trabalho, caso o trabalhador complete 50% do período de trabalho coberto pela ordem de serviço, em conformidade com 20 CFR 655.20(j)(1)(i), mediante inclusão no contracheque da semana correspondente. O empregador fornecerá ou pagará o custo do transporte de retorno e da subsistência diária do trabalhador, do local de trabalho até o local de onde o trabalhador partiu para trabalhar para o empregador, independentemente de empregos intermediários, caso o trabalhador complete o período de emprego certificado ou seja demitido do emprego por qualquer motivo pelo empregador antes do término do período, de acordo com o § 655.20(j)(1)(ii); os trabalhadores com visto H-2B serão reembolsados ​​na primeira semana de trabalho por todos os vistos, processamento de vistos, travessia de fronteira e outras taxas relacionadas, incluindo aquelas exigidas pelo governo (exceto taxas de passaporte). O empregador fornecerá aos trabalhadores todas as ferramentas, suprimentos e equipamentos necessários para o desempenho do trabalho, sem custo para o trabalhador, de acordo com o 20 CFR 655.20(k). Os candidatos qualificados podem enviar o currículo para Alexandra Schrögendorfer, no endereço 2400 Grey Oaks Drive North, Naples, FL 34105, por e-mail para H2Bjobs@greyoakscc.com ou visitar o centro de empregos local no endereço 3050 Horseshoe Drive North, Building A, Suite 110, Naples, FL 34104. *Seu depósito de segurança é reembolsável após a conclusão do contrato e a inspeção da moradia. Se um trabalhador abandonar o emprego sem a permissão do empregador ou abandonar a moradia antes do término do prazo de inscrição por qualquer motivo, exceto rescisão por parte do empregador, o trabalhador perderá todos os depósitos de moradia, dias de folga remunerada, férias e bônus. Após a rescisão ou demissão, o trabalhador deverá desocupar a moradia imediatamente, a menos que haja acordo com o empregador.* Classificação da vaga: 35-9031.00 - Recepcionistas e Anfitriões, Restaurante, Bar e Cafeteria. A classificação e descrição da vaga/setor incluem informações gerais sobre o cargo, de acordo com o ONET/OES e o Sistema de Classificação Industrial da América do Norte (NAICS). Consulte a descrição das funções e a ordem de serviço para obter mais informações. Requisitos da vaga: Experiência necessária: Não. Número de horas por semana: 35. Horário de trabalho (início/término): 6h às 22h.</v>
      </c>
    </row>
    <row r="577" ht="20.25" customHeight="1">
      <c r="A577" s="8" t="s">
        <v>2825</v>
      </c>
      <c r="B577" s="8" t="s">
        <v>2641</v>
      </c>
      <c r="C577" s="8" t="s">
        <v>197</v>
      </c>
      <c r="D577" s="8" t="s">
        <v>71</v>
      </c>
      <c r="E577" s="9" t="s">
        <v>44</v>
      </c>
      <c r="F577" s="9" t="s">
        <v>20</v>
      </c>
      <c r="G577" s="9" t="s">
        <v>524</v>
      </c>
      <c r="H577" s="8" t="s">
        <v>2642</v>
      </c>
      <c r="I577" s="8" t="s">
        <v>2643</v>
      </c>
      <c r="J577" s="9">
        <v>24.46</v>
      </c>
      <c r="K577" s="9">
        <v>7.0</v>
      </c>
      <c r="L577" s="8" t="s">
        <v>2826</v>
      </c>
      <c r="M577" s="8" t="s">
        <v>2827</v>
      </c>
      <c r="N577" s="7" t="str">
        <f>IFERROR(__xludf.DUMMYFUNCTION("GOOGLETRANSLATE(L577, ""en"", ""pt"")"),"Supervisor de Cozinha")</f>
        <v>Supervisor de Cozinha</v>
      </c>
      <c r="O577" s="7" t="str">
        <f>IFERROR(__xludf.DUMMYFUNCTION("IF(M577="""","""",GOOGLETRANSLATE(M577,""en"",""pt""))"),"Supervisionar e coordenar diretamente as atividades dos funcionários envolvidos na preparação e serviço de alimentos. (7) vagas disponíveis. Período: 01/10/2026 a 31/05/2027. Necessária experiência de 3 meses. Turnos rotativos. Dias de trabalho: segunda a"&amp;" domingo. Horário de trabalho: 6h às 22h. Salário: US$ 24,46 a US$ 31/hora, com base no desempenho; horas extras: US$ 36,69 a US$ 46,50/hora. Pagamento quinzenal. 35 horas semanais. Alojamento opcional disponível por US$ 675 a US$ 745/mês (US$ 675/mês par"&amp;"a quarto duplo, US$ 745/mês para quarto individual), com depósito de US$ 350, reembolsável após a assinatura do contrato e vistoria do imóvel. Benefícios incluem: plano de previdência 401k após 1000 horas trabalhadas, bônus de Natal, planos odontológico, "&amp;"oftalmológico e de saúde, 8 horas de folga remunerada. Uniformes e refeições durante o turno fornecidos. Local de trabalho: 2400 Grey Oaks Drive North, Naples, FL 34105. O trabalho é temporário, em tempo integral. A remuneração será calculada com base em "&amp;"uma semana de trabalho. Poderá haver até 10 horas extras, quando disponíveis. Todos os descontos obrigatórios por lei serão feitos no contracheque do trabalhador. O empregador fornecerá gratuitamente ao trabalhador todas as ferramentas, materiais e equipa"&amp;"mentos necessários para a execução do trabalho. O trabalhador receberá ou será reembolsado pelo transporte e subsistência (incluindo o custo razoável de hospedagem noturna, quando necessário, até US$ 110/noite para hospedagem com recibos) a uma taxa de US"&amp;"$ 16,78 por dia durante a viagem, até um máximo de US$ 68,00 por dia com recibos, desde o local de onde o trabalhador veio trabalhar para o empregador, seja nos EUA ou no exterior, até o local de trabalho, se o trabalhador completar 50% do período de empr"&amp;"ego coberto pela ordem de serviço, de acordo com 20 CFR 655.20(j)(1)(i), mediante inclusão no pagamento da semana aplicável. O empregador fornecerá ou pagará o custo do transporte de retorno e da subsistência diária do trabalhador, do local de trabalho at"&amp;"é o local de onde o trabalhador partiu para trabalhar para o empregador, independentemente de empregos intermediários, caso o trabalhador complete o período de emprego certificado ou seja demitido do emprego por qualquer motivo pelo empregador antes do té"&amp;"rmino do período, de acordo com o § 655.20(j)(1)(ii); os trabalhadores com visto H-2B serão reembolsados ​​na primeira semana de trabalho por todos os vistos, processamento de vistos, travessia de fronteira e outras taxas relacionadas, incluindo aquelas e"&amp;"xigidas pelo governo (exceto taxas de passaporte). O empregador fornecerá aos trabalhadores todas as ferramentas, suprimentos e equipamentos necessários para o desempenho do trabalho, sem custo para o trabalhador, de acordo com o 20 CFR 655.20(k). Os cand"&amp;"idatos qualificados podem enviar o currículo para Alexandra Schrögendorfer, no endereço 2400 Grey Oaks Drive North, Naples, FL 34105, por e-mail para H2Bjobs@greyoakscc.com ou visitar o centro de empregos local no endereço 3050 Horseshoe Drive North, Buil"&amp;"ding A, Suite 110, Naples, FL 34104. *Seu depósito de segurança é reembolsável após a conclusão do contrato e a inspeção da moradia. Se um trabalhador abandonar o emprego sem a permissão do empregador ou abandonar a moradia antes do término do prazo de in"&amp;"scrição por qualquer motivo, exceto rescisão por parte do empregador, o trabalhador perderá todos os depósitos de moradia, dias de folga remunerada, férias e bônus. Após a rescisão ou demissão, o trabalhador deverá desocupar a moradia imediatamente, a men"&amp;"os que haja acordo com o empregador.* Classificação do Cargo: 35-1012.00 - Supervisores de Primeira Linha de Trabalhadores de Preparação e Serviço de Alimentos. A classificação e descrição do cargo/setor inclui informações gerais sobre a posição, de acord"&amp;"o com o ONET/OES e o Sistema de Classificação Industrial da América do Norte (NAICS). Consulte a Descrição das Funções e a Ordem de Serviço para obter mais informações. Requisitos da Vaga Experiência Necessária: Sim Meses de Experiência Necessária: 3 Núme"&amp;"ro de Horas por Semana: 35 Horário de Trabalho (Início/Término): 6h00 - 22h00")</f>
        <v>Supervisionar e coordenar diretamente as atividades dos funcionários envolvidos na preparação e serviço de alimentos. (7) vagas disponíveis. Período: 01/10/2026 a 31/05/2027. Necessária experiência de 3 meses. Turnos rotativos. Dias de trabalho: segunda a domingo. Horário de trabalho: 6h às 22h. Salário: US$ 24,46 a US$ 31/hora, com base no desempenho; horas extras: US$ 36,69 a US$ 46,50/hora. Pagamento quinzenal. 35 horas semanais. Alojamento opcional disponível por US$ 675 a US$ 745/mês (US$ 675/mês para quarto duplo, US$ 745/mês para quarto individual), com depósito de US$ 350, reembolsável após a assinatura do contrato e vistoria do imóvel. Benefícios incluem: plano de previdência 401k após 1000 horas trabalhadas, bônus de Natal, planos odontológico, oftalmológico e de saúde, 8 horas de folga remunerada. Uniformes e refeições durante o turno fornecidos. Local de trabalho: 2400 Grey Oaks Drive North, Naples, FL 34105. O trabalho é temporário, em tempo integral. A remuneração será calculada com base em uma semana de trabalho. Poderá haver até 10 horas extras, quando disponíveis. Todos os descontos obrigatórios por lei serão feitos no contracheque do trabalhador. O empregador fornecerá gratuitamente ao trabalhador todas as ferramentas, materiais e equipamentos necessários para a execução do trabalho. O trabalhador receberá ou será reembolsado pelo transporte e subsistência (incluindo o custo razoável de hospedagem noturna, quando necessário, até US$ 110/noite para hospedagem com recibos) a uma taxa de US$ 16,78 por dia durante a viagem, até um máximo de US$ 68,00 por dia com recibos, desde o local de onde o trabalhador veio trabalhar para o empregador, seja nos EUA ou no exterior, até o local de trabalho, se o trabalhador completar 50% do período de emprego coberto pela ordem de serviço, de acordo com 20 CFR 655.20(j)(1)(i), mediante inclusão no pagamento da semana aplicável. O empregador fornecerá ou pagará o custo do transporte de retorno e da subsistência diária do trabalhador, do local de trabalho até o local de onde o trabalhador partiu para trabalhar para o empregador, independentemente de empregos intermediários, caso o trabalhador complete o período de emprego certificado ou seja demitido do emprego por qualquer motivo pelo empregador antes do término do período, de acordo com o § 655.20(j)(1)(ii); os trabalhadores com visto H-2B serão reembolsados ​​na primeira semana de trabalho por todos os vistos, processamento de vistos, travessia de fronteira e outras taxas relacionadas, incluindo aquelas exigidas pelo governo (exceto taxas de passaporte). O empregador fornecerá aos trabalhadores todas as ferramentas, suprimentos e equipamentos necessários para o desempenho do trabalho, sem custo para o trabalhador, de acordo com o 20 CFR 655.20(k). Os candidatos qualificados podem enviar o currículo para Alexandra Schrögendorfer, no endereço 2400 Grey Oaks Drive North, Naples, FL 34105, por e-mail para H2Bjobs@greyoakscc.com ou visitar o centro de empregos local no endereço 3050 Horseshoe Drive North, Building A, Suite 110, Naples, FL 34104. *Seu depósito de segurança é reembolsável após a conclusão do contrato e a inspeção da moradia. Se um trabalhador abandonar o emprego sem a permissão do empregador ou abandonar a moradia antes do término do prazo de inscrição por qualquer motivo, exceto rescisão por parte do empregador, o trabalhador perderá todos os depósitos de moradia, dias de folga remunerada, férias e bônus. Após a rescisão ou demissão, o trabalhador deverá desocupar a moradia imediatamente, a menos que haja acordo com o empregador.* Classificação do Cargo: 35-1012.00 - Supervisores de Primeira Linha de Trabalhadores de Preparação e Serviço de Alimentos. A classificação e descrição do cargo/setor inclui informações gerais sobre a posição, de acordo com o ONET/OES e o Sistema de Classificação Industrial da América do Norte (NAICS). Consulte a Descrição das Funções e a Ordem de Serviço para obter mais informações. Requisitos da Vaga Experiência Necessária: Sim Meses de Experiência Necessária: 3 Número de Horas por Semana: 35 Horário de Trabalho (Início/Término): 6h00 - 22h00</v>
      </c>
    </row>
    <row r="578" ht="20.25" customHeight="1">
      <c r="A578" s="3" t="s">
        <v>2828</v>
      </c>
      <c r="B578" s="3" t="s">
        <v>2829</v>
      </c>
      <c r="C578" s="3" t="s">
        <v>93</v>
      </c>
      <c r="D578" s="3" t="s">
        <v>254</v>
      </c>
      <c r="E578" s="4" t="s">
        <v>19</v>
      </c>
      <c r="F578" s="4" t="s">
        <v>20</v>
      </c>
      <c r="G578" s="4" t="s">
        <v>229</v>
      </c>
      <c r="H578" s="3" t="s">
        <v>2830</v>
      </c>
      <c r="I578" s="3" t="s">
        <v>2831</v>
      </c>
      <c r="J578" s="4">
        <v>18.59</v>
      </c>
      <c r="K578" s="4">
        <v>80.0</v>
      </c>
      <c r="L578" s="3" t="s">
        <v>321</v>
      </c>
      <c r="M578" s="3" t="s">
        <v>2832</v>
      </c>
      <c r="N578" s="7" t="str">
        <f>IFERROR(__xludf.DUMMYFUNCTION("GOOGLETRANSLATE(L578, ""en"", ""pt"")"),"Trabalhadores de paisagismo")</f>
        <v>Trabalhadores de paisagismo</v>
      </c>
      <c r="O578" s="7" t="str">
        <f>IFERROR(__xludf.DUMMYFUNCTION("IF(M578="""","""",GOOGLETRANSLATE(M578,""en"",""pt""))"),"Paisagismo e manutenção de terrenos utilizando ferramentas manuais ou elétricas. Os trabalhadores geralmente executam uma variedade de tarefas, que podem incluir qualquer combinação das seguintes: colocação de grama, corte de grama, poda, aparo de bordas,"&amp;" plantio, rega, fertilização, escavação, cobertura morta e rastelagem. Nível inicial; requer supervisão. Classificação da vaga: 37-3011.00 - Trabalhadores de Paisagismo e Manutenção de Terrenos. A classificação e descrição da vaga/setor incluem informaçõe"&amp;"s gerais sobre o cargo, de acordo com o ONET/OES e o Sistema de Classificação Industrial da América do Norte (NAICS). Consulte as Funções e a Ordem de Serviço para obter mais informações. Requisitos da vaga: Experiência exigida: Não. Requisitos especiais:"&amp;" Deve ser capaz de levantar/carregar 23 kg, quando necessário. Trabalho aos sábados e domingos, quando necessário. Teste antidrogas pago pelo empregador é obrigatório para trabalhadores estrangeiros e nacionais antes do início do trabalho e após a contrat"&amp;"ação, em caso de acidente. Verificação de antecedentes criminais após a contratação é obrigatória para trabalhadores estrangeiros e nacionais. O empregador pode oferecer mais horas de trabalho do que as estipuladas, dependendo do clima, das necessidades d"&amp;"a empresa e de outras condições. Calor extremo, frio, chuva ou seca podem afetar o horário de trabalho exato. Número de horas por semana: 40. Horário de trabalho (início/término): 7h00 - 15h30.")</f>
        <v>Paisagismo e manutenção de terrenos utilizando ferramentas manuais ou elétricas. Os trabalhadores geralmente executam uma variedade de tarefas, que podem incluir qualquer combinação das seguintes: colocação de grama, corte de grama, poda, aparo de bordas, plantio, rega, fertilização, escavação, cobertura morta e rastelagem. Nível inicial; requer supervisão. Classificação da vaga: 37-3011.00 - Trabalhadores de Paisagismo e Manutenção de Terrenos. A classificação e descrição da vaga/setor incluem informações gerais sobre o cargo, de acordo com o ONET/OES e o Sistema de Classificação Industrial da América do Norte (NAICS). Consulte as Funções e a Ordem de Serviço para obter mais informações. Requisitos da vaga: Experiência exigida: Não. Requisitos especiais: Deve ser capaz de levantar/carregar 23 kg, quando necessário. Trabalho aos sábados e domingos, quando necessário. Teste antidrogas pago pelo empregador é obrigatório para trabalhadores estrangeiros e nacionais antes do início do trabalho e após a contratação, em caso de acidente. Verificação de antecedentes criminais após a contratação é obrigatória para trabalhadores estrangeiros e nacionais. O empregador pode oferecer mais horas de trabalho do que as estipuladas, dependendo do clima, das necessidades da empresa e de outras condições. Calor extremo, frio, chuva ou seca podem afetar o horário de trabalho exato. Número de horas por semana: 40. Horário de trabalho (início/término): 7h00 - 15h30.</v>
      </c>
    </row>
    <row r="579" ht="20.25" customHeight="1">
      <c r="A579" s="8" t="s">
        <v>2833</v>
      </c>
      <c r="B579" s="8" t="s">
        <v>2834</v>
      </c>
      <c r="C579" s="8" t="s">
        <v>1000</v>
      </c>
      <c r="D579" s="8" t="s">
        <v>278</v>
      </c>
      <c r="E579" s="9" t="s">
        <v>44</v>
      </c>
      <c r="F579" s="9" t="s">
        <v>20</v>
      </c>
      <c r="G579" s="9" t="s">
        <v>307</v>
      </c>
      <c r="H579" s="8" t="s">
        <v>2835</v>
      </c>
      <c r="I579" s="8" t="s">
        <v>2836</v>
      </c>
      <c r="J579" s="9">
        <v>22.45</v>
      </c>
      <c r="K579" s="9">
        <v>10.0</v>
      </c>
      <c r="L579" s="8" t="s">
        <v>262</v>
      </c>
      <c r="M579" s="8" t="s">
        <v>2837</v>
      </c>
      <c r="N579" s="7" t="str">
        <f>IFERROR(__xludf.DUMMYFUNCTION("GOOGLETRANSLATE(L579, ""en"", ""pt"")"),"Operário da construção civil")</f>
        <v>Operário da construção civil</v>
      </c>
      <c r="O579" s="7" t="str">
        <f>IFERROR(__xludf.DUMMYFUNCTION("IF(M579="""","""",GOOGLETRANSLATE(M579,""en"",""pt""))"),"Preparar o canteiro de obras onde o concreto será despejado. Auxiliar no despejo do concreto para que os acabadores finalizem o trabalho. Utilizar ferramentas manuais e elétricas e transportar diversos materiais de construção. Cavar e nivelar terra e casc"&amp;"alho. Limpar o canteiro de obras. Classificação da Função: 47-2061.00 - Auxiliares de Construção Civil. A classificação e descrição da função/setor incluem informações gerais sobre o cargo, de acordo com o ONET/OES e o Sistema de Classificação Industrial "&amp;"da América do Norte (NAICS). Consulte as Funções e a Ordem de Serviço para obter mais informações. Requisitos da Função: Experiência Necessária: Sim. Meses de Experiência Necessários: 3. Requisitos Especiais: DEVE TER VISÃO E AUDIÇÃO NORMAIS. DEVE SER CAP"&amp;"AZ DE FICAR EM PÉ, SE ABAIXAR, SE AJOELHAR, ALCANÇAR E LEVANTAR. DEVE SER CAPAZ DE LEVANTAR ATÉ 23 KG REGULARMENTE. 3 meses de experiência em construção com concreto são necessários. Número de Horas por Semana: 40. Horário de Trabalho (Início/Término): 6h"&amp;". - 17h00")</f>
        <v>Preparar o canteiro de obras onde o concreto será despejado. Auxiliar no despejo do concreto para que os acabadores finalizem o trabalho. Utilizar ferramentas manuais e elétricas e transportar diversos materiais de construção. Cavar e nivelar terra e cascalho. Limpar o canteiro de obras. Classificação da Função: 47-2061.00 - Auxiliares de Construção Civil. A classificação e descrição da função/setor incluem informações gerais sobre o cargo, de acordo com o ONET/OES e o Sistema de Classificação Industrial da América do Norte (NAICS). Consulte as Funções e a Ordem de Serviço para obter mais informações. Requisitos da Função: Experiência Necessária: Sim. Meses de Experiência Necessários: 3. Requisitos Especiais: DEVE TER VISÃO E AUDIÇÃO NORMAIS. DEVE SER CAPAZ DE FICAR EM PÉ, SE ABAIXAR, SE AJOELHAR, ALCANÇAR E LEVANTAR. DEVE SER CAPAZ DE LEVANTAR ATÉ 23 KG REGULARMENTE. 3 meses de experiência em construção com concreto são necessários. Número de Horas por Semana: 40. Horário de Trabalho (Início/Término): 6h. - 17h00</v>
      </c>
    </row>
    <row r="580" ht="20.25" customHeight="1">
      <c r="A580" s="3" t="s">
        <v>2838</v>
      </c>
      <c r="B580" s="3" t="s">
        <v>2839</v>
      </c>
      <c r="C580" s="3" t="s">
        <v>1000</v>
      </c>
      <c r="D580" s="3" t="s">
        <v>117</v>
      </c>
      <c r="E580" s="4" t="s">
        <v>19</v>
      </c>
      <c r="F580" s="4" t="s">
        <v>20</v>
      </c>
      <c r="G580" s="4" t="s">
        <v>56</v>
      </c>
      <c r="H580" s="3" t="s">
        <v>2840</v>
      </c>
      <c r="I580" s="3" t="s">
        <v>2841</v>
      </c>
      <c r="J580" s="4">
        <v>22.36</v>
      </c>
      <c r="K580" s="4">
        <v>8.0</v>
      </c>
      <c r="L580" s="3" t="s">
        <v>302</v>
      </c>
      <c r="M580" s="3" t="s">
        <v>2842</v>
      </c>
      <c r="N580" s="7" t="str">
        <f>IFERROR(__xludf.DUMMYFUNCTION("GOOGLETRANSLATE(L580, ""en"", ""pt"")"),"Operários da construção civil")</f>
        <v>Operários da construção civil</v>
      </c>
      <c r="O580" s="7" t="str">
        <f>IFERROR(__xludf.DUMMYFUNCTION("IF(M580="""","""",GOOGLETRANSLATE(M580,""en"",""pt""))"),"Construção residencial e comercial em concreto. Medir e demarcar sapatas e fundações. Escavar sapatas e nivelar o terreno de acordo com as especificações. Posicionar fôrmas de alumínio para paredes e aplicar todo o concreto. Limpar o local da obra. Classi"&amp;"ficação da função: 47-2061.00 - Auxiliar de Construção. A classificação e descrição da função/setor incluem informações gerais sobre o cargo, conforme o ONET/OES e o Sistema de Classificação Industrial da América do Norte (NAICS). Consulte as Funções e a "&amp;"Ordem de Serviço para obter mais informações. Requisitos da vaga: Experiência necessária: Não. Requisitos especiais: Trabalho em alguns fins de semana. Capacidade de levantar e carregar 34 kg por 45 metros. Capacidade de lidar com temperaturas extremas. N"&amp;"úmero de horas por semana: 40. Horário de trabalho (início/término): 6h às 17h.")</f>
        <v>Construção residencial e comercial em concreto. Medir e demarcar sapatas e fundações. Escavar sapatas e nivelar o terreno de acordo com as especificações. Posicionar fôrmas de alumínio para paredes e aplicar todo o concreto. Limpar o local da obra. Classificação da função: 47-2061.00 - Auxiliar de Construção. A classificação e descrição da função/setor incluem informações gerais sobre o cargo, conforme o ONET/OES e o Sistema de Classificação Industrial da América do Norte (NAICS). Consulte as Funções e a Ordem de Serviço para obter mais informações. Requisitos da vaga: Experiência necessária: Não. Requisitos especiais: Trabalho em alguns fins de semana. Capacidade de levantar e carregar 34 kg por 45 metros. Capacidade de lidar com temperaturas extremas. Número de horas por semana: 40. Horário de trabalho (início/término): 6h às 17h.</v>
      </c>
    </row>
    <row r="581" ht="20.25" customHeight="1">
      <c r="A581" s="8" t="s">
        <v>2843</v>
      </c>
      <c r="B581" s="8" t="s">
        <v>2844</v>
      </c>
      <c r="C581" s="8" t="s">
        <v>93</v>
      </c>
      <c r="D581" s="8" t="s">
        <v>498</v>
      </c>
      <c r="E581" s="9" t="s">
        <v>44</v>
      </c>
      <c r="F581" s="9" t="s">
        <v>20</v>
      </c>
      <c r="G581" s="9" t="s">
        <v>29</v>
      </c>
      <c r="H581" s="8" t="s">
        <v>2845</v>
      </c>
      <c r="I581" s="8" t="s">
        <v>2846</v>
      </c>
      <c r="J581" s="9">
        <v>17.74</v>
      </c>
      <c r="K581" s="9">
        <v>1.0</v>
      </c>
      <c r="L581" s="8" t="s">
        <v>2847</v>
      </c>
      <c r="M581" s="8" t="s">
        <v>2848</v>
      </c>
      <c r="N581" s="7" t="str">
        <f>IFERROR(__xludf.DUMMYFUNCTION("GOOGLETRANSLATE(L581, ""en"", ""pt"")"),"Assistente Veterinário")</f>
        <v>Assistente Veterinário</v>
      </c>
      <c r="O581" s="7" t="str">
        <f>IFERROR(__xludf.DUMMYFUNCTION("IF(M581="""","""",GOOGLETRANSLATE(M581,""en"",""pt""))"),"Alimentar, dar água e examinar animais de estimação e outros animais em busca de sinais de doenças, enfermidades ou lesões em laboratórios, hospitais e clínicas veterinárias. Limpar e desinfetar gaiolas e áreas de trabalho, e esterilizar equipamentos de l"&amp;"aboratório e cirúrgicos. Pode fornecer cuidados pós-operatórios de rotina, administrar medicamentos por via oral ou tópica, ou preparar amostras para exame laboratorial sob a supervisão de tecnólogos ou técnicos veterinários ou de animais de laboratório, "&amp;"veterinários ou cientistas. Classificação da vaga: 31-9096.00 - Auxiliares Veterinários e Cuidadores de Animais de Laboratório. A classificação e descrição da vaga/setor inclui informações gerais sobre o cargo, de acordo com o ONET/OES e o Sistema de Clas"&amp;"sificação Industrial da América do Norte. Consulte as Funções e a Ordem de Serviço para obter mais informações. Requisitos da vaga: Experiência necessária: Não. Requisitos especiais: Deve ser capaz de levantar/carregar 23 kg, quando necessário. O empregad"&amp;"or pode oferecer mais horas de trabalho do que as indicadas, dependendo do clima, das necessidades da empresa e de outras condições. Calor extremo, frio, chuva ou seca podem afetar o horário de trabalho exato. Número de horas por semana: 35 Horário de tra"&amp;"balho (início/término): 9h00 - 17h00")</f>
        <v>Alimentar, dar água e examinar animais de estimação e outros animais em busca de sinais de doenças, enfermidades ou lesões em laboratórios, hospitais e clínicas veterinárias. Limpar e desinfetar gaiolas e áreas de trabalho, e esterilizar equipamentos de laboratório e cirúrgicos. Pode fornecer cuidados pós-operatórios de rotina, administrar medicamentos por via oral ou tópica, ou preparar amostras para exame laboratorial sob a supervisão de tecnólogos ou técnicos veterinários ou de animais de laboratório, veterinários ou cientistas. Classificação da vaga: 31-9096.00 - Auxiliares Veterinários e Cuidadores de Animais de Laboratório. A classificação e descrição da vaga/setor inclui informações gerais sobre o cargo, de acordo com o ONET/OES e o Sistema de Classificação Industrial da América do Norte. Consulte as Funções e a Ordem de Serviço para obter mais informações. Requisitos da vaga: Experiência necessária: Não. Requisitos especiais: Deve ser capaz de levantar/carregar 23 kg, quando necessário. O empregador pode oferecer mais horas de trabalho do que as indicadas, dependendo do clima, das necessidades da empresa e de outras condições. Calor extremo, frio, chuva ou seca podem afetar o horário de trabalho exato. Número de horas por semana: 35 Horário de trabalho (início/término): 9h00 - 17h00</v>
      </c>
    </row>
    <row r="582" ht="20.25" customHeight="1">
      <c r="A582" s="3" t="s">
        <v>2849</v>
      </c>
      <c r="B582" s="3" t="s">
        <v>2850</v>
      </c>
      <c r="C582" s="3" t="s">
        <v>63</v>
      </c>
      <c r="D582" s="3" t="s">
        <v>109</v>
      </c>
      <c r="E582" s="4" t="s">
        <v>44</v>
      </c>
      <c r="F582" s="4" t="s">
        <v>20</v>
      </c>
      <c r="G582" s="4" t="s">
        <v>56</v>
      </c>
      <c r="H582" s="10" t="s">
        <v>2851</v>
      </c>
      <c r="I582" s="3" t="s">
        <v>2852</v>
      </c>
      <c r="J582" s="4">
        <v>18.69</v>
      </c>
      <c r="K582" s="4">
        <v>2.0</v>
      </c>
      <c r="L582" s="3" t="s">
        <v>59</v>
      </c>
      <c r="M582" s="3" t="s">
        <v>2853</v>
      </c>
      <c r="N582" s="7" t="str">
        <f>IFERROR(__xludf.DUMMYFUNCTION("GOOGLETRANSLATE(L582, ""en"", ""pt"")"),"Trabalhador de paisagismo")</f>
        <v>Trabalhador de paisagismo</v>
      </c>
      <c r="O582" s="7" t="str">
        <f>IFERROR(__xludf.DUMMYFUNCTION("IF(M582="""","""",GOOGLETRANSLATE(M582,""en"",""pt""))"),"Paisagismo e manutenção de terrenos utilizando ferramentas manuais ou elétricas. Os trabalhadores geralmente executam uma variedade de tarefas, que podem incluir qualquer combinação das seguintes: colocação de grama, corte de grama, poda, plantio, rega, f"&amp;"ertilização, capina, escavação, rastelagem e limpeza de folhas. Classificação da função: 37-3011.00 - Trabalhadores de Paisagismo e Manutenção de Terrenos. A classificação e descrição da função/setor incluem informações gerais sobre o cargo, de acordo com"&amp;" o ONET/OES e o Sistema de Classificação Industrial da América do Norte. Consulte as Funções e a Ordem de Serviço para obter mais informações. Requisitos da vaga: Experiência necessária: Sim. Meses de experiência necessários: 1. Requisitos especiais: Deve"&amp;" ser capaz de levantar/carregar 36 kg, quando necessário. O empregador pode oferecer mais horas de trabalho do que as indicadas, dependendo do clima, das necessidades da empresa e de outras condições. Calor extremo, frio, chuva ou seca podem afetar o horá"&amp;"rio de trabalho exato. Número de horas por semana: 40. Horário de trabalho (início/término): 7h30. - 16:00")</f>
        <v>Paisagismo e manutenção de terrenos utilizando ferramentas manuais ou elétricas. Os trabalhadores geralmente executam uma variedade de tarefas, que podem incluir qualquer combinação das seguintes: colocação de grama, corte de grama, poda, plantio, rega, fertilização, capina, escavação, rastelagem e limpeza de folhas. Classificação da função: 37-3011.00 - Trabalhadores de Paisagismo e Manutenção de Terrenos. A classificação e descrição da função/setor incluem informações gerais sobre o cargo, de acordo com o ONET/OES e o Sistema de Classificação Industrial da América do Norte. Consulte as Funções e a Ordem de Serviço para obter mais informações. Requisitos da vaga: Experiência necessária: Sim. Meses de experiência necessários: 1. Requisitos especiais: Deve ser capaz de levantar/carregar 36 kg, quando necessário. O empregador pode oferecer mais horas de trabalho do que as indicadas, dependendo do clima, das necessidades da empresa e de outras condições. Calor extremo, frio, chuva ou seca podem afetar o horário de trabalho exato. Número de horas por semana: 40. Horário de trabalho (início/término): 7h30. - 16:00</v>
      </c>
    </row>
    <row r="583" ht="20.25" customHeight="1">
      <c r="A583" s="8" t="s">
        <v>2854</v>
      </c>
      <c r="B583" s="8" t="s">
        <v>2855</v>
      </c>
      <c r="C583" s="8" t="s">
        <v>54</v>
      </c>
      <c r="D583" s="8" t="s">
        <v>498</v>
      </c>
      <c r="E583" s="9" t="s">
        <v>19</v>
      </c>
      <c r="F583" s="9" t="s">
        <v>20</v>
      </c>
      <c r="G583" s="9" t="s">
        <v>56</v>
      </c>
      <c r="H583" s="8" t="s">
        <v>2856</v>
      </c>
      <c r="I583" s="8" t="s">
        <v>2857</v>
      </c>
      <c r="J583" s="9">
        <v>20.93</v>
      </c>
      <c r="K583" s="9">
        <v>20.0</v>
      </c>
      <c r="L583" s="8" t="s">
        <v>149</v>
      </c>
      <c r="M583" s="8" t="s">
        <v>2858</v>
      </c>
      <c r="N583" s="7" t="str">
        <f>IFERROR(__xludf.DUMMYFUNCTION("GOOGLETRANSLATE(L583, ""en"", ""pt"")"),"Trabalhador de paisagismo")</f>
        <v>Trabalhador de paisagismo</v>
      </c>
      <c r="O583" s="7" t="str">
        <f>IFERROR(__xludf.DUMMYFUNCTION("IF(M583="""","""",GOOGLETRANSLATE(M583,""en"",""pt""))"),"As funções podem incluir: cortar a grama, rastelar, aparar, cortar as bordas, aplicar cobertura morta e seguir o projeto paisagístico planejado para determinar onde colocar grama em placas, semear grama/instalar grama artificial, decorar jardins com pedra"&amp;"s/plantas e plantar flores, árvores e folhagens. Recolher e remover lixo/detritos indesejados e outras atividades relacionadas ao trabalho de paisagista, conforme SOC/OES 37-3011 (onetonline.org). Horário padrão/esperado: segunda a sexta, das 8h às 18h. O"&amp;"ferecemos mais de 40 horas semanais, sem incluir almoço e/ou intervalos. Possibilidade de trabalho nos fins de semana e feriados. Os horários de início e término, a carga horária e/ou horas extras podem variar, pois dependem de fatores como projeto/cronog"&amp;"rama/necessidades do serviço, clima e tempo de deslocamento entre os locais de trabalho (se aplicável). Horas extras são possíveis, mas não obrigatórias ou garantidas. A critério exclusivo do empregador: aumentos salariais e/ou bônus podem ser concedidos "&amp;"com base em fatores individuais, como desempenho ou habilidades (não garantidos). Classificação da Função: 37-3011.00 - Trabalhadores de Paisagismo e Manutenção de Jardins. A classificação e descrição da função/setor inclui informações gerais sobre o carg"&amp;"o, conforme o ONET/OES e o Sistema de Classificação Industrial da América do Norte (NAICS). Consulte as Funções e a Ordem de Serviço para obter mais informações. Requisitos da Função: Experiência Necessária: Não. Requisitos Especiais: É necessário ter 18 "&amp;"anos ou mais devido a questões de seguro. É necessário apresentar comprovante de autorização legal para trabalhar nos Estados Unidos. Ambiente de trabalho livre de drogas, álcool e tabaco. Executar atividades físicas, como levantar, equilibrar-se, caminha"&amp;"r, abaixar-se, manusear, posicionar, mover e manipular materiais, utilizando força estática para exercer força muscular máxima para levantar, empurrar, puxar e carregar objetos de até 23 kg. Todos os candidatos devem ser capazes, dispostos e qualificados "&amp;"para executar o trabalho descrito e devem estar disponíveis durante todo o período especificado e trabalhar em todas as áreas do emprego pretendido. A critério/custo do Empregador: O trabalhador poderá ser submetido a testes aleatórios de drogas/álcool du"&amp;"rante o emprego: teste positivo/recusa em cumprir o teste = demissão. Possível verificação de antecedentes após a contratação, às custas do empregador. O trabalho é realizado ao ar livre, exposto às intempéries; o candidato deve ser capaz de realizar trab"&amp;"alho fisicamente extenuante por longos períodos, ocasionalmente em calor ou frio extremos. Condições climáticas variáveis ​​se aplicam; a carga horária pode sofrer alterações (+/-), com possibilidade de períodos de inatividade e/ou horas extras. Número de"&amp;" horas por semana: 40. Horário de trabalho (início/término): 8h às 18h.")</f>
        <v>As funções podem incluir: cortar a grama, rastelar, aparar, cortar as bordas, aplicar cobertura morta e seguir o projeto paisagístico planejado para determinar onde colocar grama em placas, semear grama/instalar grama artificial, decorar jardins com pedras/plantas e plantar flores, árvores e folhagens. Recolher e remover lixo/detritos indesejados e outras atividades relacionadas ao trabalho de paisagista, conforme SOC/OES 37-3011 (onetonline.org). Horário padrão/esperado: segunda a sexta, das 8h às 18h. Oferecemos mais de 40 horas semanais, sem incluir almoço e/ou intervalos. Possibilidade de trabalho nos fins de semana e feriados. Os horários de início e término, a carga horária e/ou horas extras podem variar, pois dependem de fatores como projeto/cronograma/necessidades do serviço, clima e tempo de deslocamento entre os locais de trabalho (se aplicável). Horas extras são possíveis, mas não obrigatórias ou garantidas. A critério exclusivo do empregador: aumentos salariais e/ou bônus podem ser concedidos com base em fatores individuais, como desempenho ou habilidades (não garantidos). Classificação da Função: 37-3011.00 - Trabalhadores de Paisagismo e Manutenção de Jardins. A classificação e descrição da função/setor inclui informações gerais sobre o cargo, conforme o ONET/OES e o Sistema de Classificação Industrial da América do Norte (NAICS). Consulte as Funções e a Ordem de Serviço para obter mais informações. Requisitos da Função: Experiência Necessária: Não. Requisitos Especiais: É necessário ter 18 anos ou mais devido a questões de seguro. É necessário apresentar comprovante de autorização legal para trabalhar nos Estados Unidos. Ambiente de trabalho livre de drogas, álcool e tabaco. Executar atividades físicas, como levantar, equilibrar-se, caminhar, abaixar-se, manusear, posicionar, mover e manipular materiais, utilizando força estática para exercer força muscular máxima para levantar, empurrar, puxar e carregar objetos de até 23 kg. Todos os candidatos devem ser capazes, dispostos e qualificados para executar o trabalho descrito e devem estar disponíveis durante todo o período especificado e trabalhar em todas as áreas do emprego pretendido. A critério/custo do Empregador: O trabalhador poderá ser submetido a testes aleatórios de drogas/álcool durante o emprego: teste positivo/recusa em cumprir o teste = demissão. Possível verificação de antecedentes após a contratação, às custas do empregador. O trabalho é realizado ao ar livre, exposto às intempéries; o candidato deve ser capaz de realizar trabalho fisicamente extenuante por longos períodos, ocasionalmente em calor ou frio extremos. Condições climáticas variáveis ​​se aplicam; a carga horária pode sofrer alterações (+/-), com possibilidade de períodos de inatividade e/ou horas extras. Número de horas por semana: 40. Horário de trabalho (início/término): 8h às 18h.</v>
      </c>
    </row>
    <row r="584" ht="20.25" customHeight="1">
      <c r="A584" s="3" t="s">
        <v>2859</v>
      </c>
      <c r="B584" s="3" t="s">
        <v>2860</v>
      </c>
      <c r="C584" s="3" t="s">
        <v>93</v>
      </c>
      <c r="D584" s="3" t="s">
        <v>306</v>
      </c>
      <c r="E584" s="4" t="s">
        <v>19</v>
      </c>
      <c r="F584" s="4" t="s">
        <v>20</v>
      </c>
      <c r="G584" s="4" t="s">
        <v>155</v>
      </c>
      <c r="H584" s="3" t="s">
        <v>2861</v>
      </c>
      <c r="I584" s="3"/>
      <c r="J584" s="4">
        <v>18.6</v>
      </c>
      <c r="K584" s="4">
        <v>21.0</v>
      </c>
      <c r="L584" s="3" t="s">
        <v>2862</v>
      </c>
      <c r="M584" s="3" t="s">
        <v>2863</v>
      </c>
      <c r="N584" s="7" t="str">
        <f>IFERROR(__xludf.DUMMYFUNCTION("GOOGLETRANSLATE(L584, ""en"", ""pt"")"),"Membro da Equipe de Inverno")</f>
        <v>Membro da Equipe de Inverno</v>
      </c>
      <c r="O584" s="7" t="str">
        <f>IFERROR(__xludf.DUMMYFUNCTION("IF(M584="""","""",GOOGLETRANSLATE(M584,""en"",""pt""))"),"Os funcionários realizarão manutenção comercial, incluindo limpeza de outono, inverno e primavera, remoção de lixo, remoção de neve com pá, arremesso e soprador de neve. Também realizarão quebra de gelo, espalharão sal e aplicarão tratamentos com sal em p"&amp;"avimentos e calçadas. Farão a manutenção de equipamentos para neve e gelo. Utilizarão ferramentas manuais e equipamentos como pá de neve, soprador de neve, espalhador de sal, ancinho, coletores de lixo e quebra-gelos. Nível inicial; requer supervisão. Cla"&amp;"ssificação da vaga: 37-2011.00 - Zeladores e Faxineiros, exceto empregadas domésticas e faxineiras. A classificação e descrição da vaga/setor incluem informações gerais sobre o cargo, de acordo com o ONET/OES e o Sistema de Classificação Industrial da Amé"&amp;"rica do Norte. Consulte as Funções e a Ordem de Serviço para obter mais informações. Requisitos da vaga: Experiência exigida: Não. Requisitos especiais: Deve levantar/carregar 23 kg, quando necessário. Trabalho aos sábados e domingos, quando necessário. T"&amp;"estes toxicológicos pós-contratação, em caso de suspeita de uso, e pós-acidente, são obrigatórios para trabalhadores estrangeiros e nacionais. A verificação de antecedentes e a verificação de elegibilidade para emprego (e-Verify) após a contratação são ob"&amp;"rigatórias para trabalhadores estrangeiros e nacionais. O empregador pode oferecer mais horas de trabalho do que as estipuladas, dependendo do clima, das necessidades da empresa e de outras condições. Calor extremo, frio, chuva ou seca podem afetar o horá"&amp;"rio de trabalho exato. De acordo com a legislação estadual de Michigan, a Lei de Licença Médica Remunerada 338, os empregadores são obrigados a fornecer licença médica remunerada aos seus funcionários. A quantidade de licença médica remunerada concedida p"&amp;"ode variar dependendo do porte da empresa. Número de horas por semana: 40. Horário de trabalho (início/término): 7h30 às 16h30.")</f>
        <v>Os funcionários realizarão manutenção comercial, incluindo limpeza de outono, inverno e primavera, remoção de lixo, remoção de neve com pá, arremesso e soprador de neve. Também realizarão quebra de gelo, espalharão sal e aplicarão tratamentos com sal em pavimentos e calçadas. Farão a manutenção de equipamentos para neve e gelo. Utilizarão ferramentas manuais e equipamentos como pá de neve, soprador de neve, espalhador de sal, ancinho, coletores de lixo e quebra-gelos. Nível inicial; requer supervisão. Classificação da vaga: 37-2011.00 - Zeladores e Faxineiros, exceto empregadas domésticas e faxineiras. A classificação e descrição da vaga/setor incluem informações gerais sobre o cargo, de acordo com o ONET/OES e o Sistema de Classificação Industrial da América do Norte. Consulte as Funções e a Ordem de Serviço para obter mais informações. Requisitos da vaga: Experiência exigida: Não. Requisitos especiais: Deve levantar/carregar 23 kg, quando necessário. Trabalho aos sábados e domingos, quando necessário. Testes toxicológicos pós-contratação, em caso de suspeita de uso, e pós-acidente, são obrigatórios para trabalhadores estrangeiros e nacionais. A verificação de antecedentes e a verificação de elegibilidade para emprego (e-Verify) após a contratação são obrigatórias para trabalhadores estrangeiros e nacionais. O empregador pode oferecer mais horas de trabalho do que as estipuladas, dependendo do clima, das necessidades da empresa e de outras condições. Calor extremo, frio, chuva ou seca podem afetar o horário de trabalho exato. De acordo com a legislação estadual de Michigan, a Lei de Licença Médica Remunerada 338, os empregadores são obrigados a fornecer licença médica remunerada aos seus funcionários. A quantidade de licença médica remunerada concedida pode variar dependendo do porte da empresa. Número de horas por semana: 40. Horário de trabalho (início/término): 7h30 às 16h30.</v>
      </c>
    </row>
    <row r="585" ht="20.25" customHeight="1">
      <c r="A585" s="8" t="s">
        <v>2864</v>
      </c>
      <c r="B585" s="8" t="s">
        <v>2066</v>
      </c>
      <c r="C585" s="8" t="s">
        <v>2067</v>
      </c>
      <c r="D585" s="8" t="s">
        <v>2068</v>
      </c>
      <c r="E585" s="9" t="s">
        <v>44</v>
      </c>
      <c r="F585" s="9" t="s">
        <v>20</v>
      </c>
      <c r="G585" s="9" t="s">
        <v>2069</v>
      </c>
      <c r="H585" s="8" t="s">
        <v>2070</v>
      </c>
      <c r="I585" s="8" t="s">
        <v>2071</v>
      </c>
      <c r="J585" s="9">
        <v>21.35</v>
      </c>
      <c r="K585" s="9">
        <v>6.0</v>
      </c>
      <c r="L585" s="8" t="s">
        <v>2865</v>
      </c>
      <c r="M585" s="8" t="s">
        <v>2866</v>
      </c>
      <c r="N585" s="7" t="str">
        <f>IFERROR(__xludf.DUMMYFUNCTION("GOOGLETRANSLATE(L585, ""en"", ""pt"")"),"Eletricista")</f>
        <v>Eletricista</v>
      </c>
      <c r="O585" s="7" t="str">
        <f>IFERROR(__xludf.DUMMYFUNCTION("IF(M585="""","""",GOOGLETRANSLATE(M585,""en"",""pt""))"),"Instala, mantém e repara fiação, sistemas e equipamentos elétricos em projetos de construção e industriais para garantir a operação segura e confiável da distribuição de energia elétrica. Lê e interpreta plantas, desenhos elétricos e diagramas unifilares "&amp;"para determinar o layout dos sistemas elétricos. Instala eletrodutos, fiação, bandejas de cabos, painéis, interruptores, tomadas, sistemas de aterramento e componentes elétricos relacionados, de acordo com os códigos e normas de segurança aplicáveis. Real"&amp;"iza conexões elétricas, testes e solução de problemas, incluindo verificações de continuidade, testes de resistência de isolamento, medições de tensão e verificação da funcionalidade do sistema antes da energização. Coordena o trabalho com outras equipes "&amp;"de construção para garantir a sequência adequada de instalação e a conformidade com os requisitos do projeto. Classificação da vaga: 47-2111.00 - Eletricistas. A classificação e descrição da vaga/setor incluem informações gerais sobre o cargo, de acordo c"&amp;"om o ONET/OES e o Sistema de Classificação Industrial da América do Norte (NAICS). Consulte as atribuições e a ordem de serviço para obter mais informações. Requisitos da vaga: Experiência necessária: Sim. Meses de experiência necessários: 36. Requisitos "&amp;"especiais: Mínimo de 36 meses de experiência como eletricista. A escala de trabalho pode variar e incluir fins de semana e feriados, conforme necessário. Capacidade de levantar/carregar/empurrar/puxar 23 kg. 5 dias por semana, 8,5 horas por dia. Horário d"&amp;"e trabalho diário previsto: das 7h às 13h e das 14h às 16h30, de segunda a sexta-feira. Salário: US$ 21,35/hora para a unidade de Ponce e US$ 18,36/hora para a unidade de Caguas. Possibilidade de horas extras a US$ 32,03/hora para a unidade de Ponce e US$"&amp;" 27,54/hora para a unidade de Caguas. Pagamento semanal. Locais de trabalho: Guayanilla, Caguas e Ponce. Número de horas por semana: 42. Horário de trabalho (início/término): 7h às 16h30.")</f>
        <v>Instala, mantém e repara fiação, sistemas e equipamentos elétricos em projetos de construção e industriais para garantir a operação segura e confiável da distribuição de energia elétrica. Lê e interpreta plantas, desenhos elétricos e diagramas unifilares para determinar o layout dos sistemas elétricos. Instala eletrodutos, fiação, bandejas de cabos, painéis, interruptores, tomadas, sistemas de aterramento e componentes elétricos relacionados, de acordo com os códigos e normas de segurança aplicáveis. Realiza conexões elétricas, testes e solução de problemas, incluindo verificações de continuidade, testes de resistência de isolamento, medições de tensão e verificação da funcionalidade do sistema antes da energização. Coordena o trabalho com outras equipes de construção para garantir a sequência adequada de instalação e a conformidade com os requisitos do projeto. Classificação da vaga: 47-2111.00 - Eletricistas. A classificação e descrição da vaga/setor incluem informações gerais sobre o cargo, de acordo com o ONET/OES e o Sistema de Classificação Industrial da América do Norte (NAICS). Consulte as atribuições e a ordem de serviço para obter mais informações. Requisitos da vaga: Experiência necessária: Sim. Meses de experiência necessários: 36. Requisitos especiais: Mínimo de 36 meses de experiência como eletricista. A escala de trabalho pode variar e incluir fins de semana e feriados, conforme necessário. Capacidade de levantar/carregar/empurrar/puxar 23 kg. 5 dias por semana, 8,5 horas por dia. Horário de trabalho diário previsto: das 7h às 13h e das 14h às 16h30, de segunda a sexta-feira. Salário: US$ 21,35/hora para a unidade de Ponce e US$ 18,36/hora para a unidade de Caguas. Possibilidade de horas extras a US$ 32,03/hora para a unidade de Ponce e US$ 27,54/hora para a unidade de Caguas. Pagamento semanal. Locais de trabalho: Guayanilla, Caguas e Ponce. Número de horas por semana: 42. Horário de trabalho (início/término): 7h às 16h30.</v>
      </c>
    </row>
    <row r="586" ht="20.25" customHeight="1">
      <c r="A586" s="3" t="s">
        <v>2867</v>
      </c>
      <c r="B586" s="3" t="s">
        <v>2868</v>
      </c>
      <c r="C586" s="3" t="s">
        <v>93</v>
      </c>
      <c r="D586" s="3" t="s">
        <v>109</v>
      </c>
      <c r="E586" s="4" t="s">
        <v>19</v>
      </c>
      <c r="F586" s="4" t="s">
        <v>20</v>
      </c>
      <c r="G586" s="4" t="s">
        <v>146</v>
      </c>
      <c r="H586" s="3" t="s">
        <v>2869</v>
      </c>
      <c r="I586" s="3"/>
      <c r="J586" s="4">
        <v>18.69</v>
      </c>
      <c r="K586" s="4">
        <v>16.0</v>
      </c>
      <c r="L586" s="3" t="s">
        <v>2196</v>
      </c>
      <c r="M586" s="3" t="s">
        <v>2870</v>
      </c>
      <c r="N586" s="7" t="str">
        <f>IFERROR(__xludf.DUMMYFUNCTION("GOOGLETRANSLATE(L586, ""en"", ""pt"")"),"Paisagistas")</f>
        <v>Paisagistas</v>
      </c>
      <c r="O586" s="7" t="str">
        <f>IFERROR(__xludf.DUMMYFUNCTION("IF(M586="""","""",GOOGLETRANSLATE(M586,""en"",""pt""))"),"Paisagismo e manutenção de terrenos utilizando ferramentas manuais ou elétricas. Os trabalhadores geralmente executam uma variedade de tarefas, que podem incluir qualquer combinação das seguintes: colocar grama, aplicar cobertura morta, cortar a grama, po"&amp;"dar, plantar, regar, fertilizar, cavar e rastelar. Nível inicial; requer supervisão. Classificação do Cargo: 37-3011.00 - Trabalhadores de Paisagismo e Manutenção de Terrenos. A classificação e descrição do cargo/setor inclui informações gerais sobre a po"&amp;"sição, de acordo com o ONET/OES e o Sistema de Classificação Industrial da América do Norte. Consulte as Funções e a Ordem de Serviço para obter mais informações. Requisitos do Cargo Experiência Necessária: Não. Requisitos Especiais: Deve ser capaz de lev"&amp;"antar/carregar 23 kg, quando necessário. Trabalho aos sábados, quando necessário. Testes aleatórios de drogas após a contratação são obrigatórios para trabalhadores estrangeiros e nacionais. O empregador pode oferecer mais horas de trabalho do que as indi"&amp;"cadas, dependendo do clima, das necessidades da empresa e de outras condições. Calor extremo, frio, chuva ou seca podem afetar o horário de trabalho exato. Número de Horas por Semana: 40. Horário de Trabalho (Início/Término): 7h30. - 16:00")</f>
        <v>Paisagismo e manutenção de terrenos utilizando ferramentas manuais ou elétricas. Os trabalhadores geralmente executam uma variedade de tarefas, que podem incluir qualquer combinação das seguintes: colocar grama, aplicar cobertura morta, cortar a grama, podar, plantar, regar, fertilizar, cavar e rastelar. Nível inicial; requer supervisão. Classificação do Cargo: 37-3011.00 - Trabalhadores de Paisagismo e Manutenção de Terrenos. A classificação e descrição do cargo/setor inclui informações gerais sobre a posição, de acordo com o ONET/OES e o Sistema de Classificação Industrial da América do Norte. Consulte as Funções e a Ordem de Serviço para obter mais informações. Requisitos do Cargo Experiência Necessária: Não. Requisitos Especiais: Deve ser capaz de levantar/carregar 23 kg, quando necessário. Trabalho aos sábados, quando necessário. Testes aleatórios de drogas após a contratação são obrigatórios para trabalhadores estrangeiros e nacionais. O empregador pode oferecer mais horas de trabalho do que as indicadas, dependendo do clima, das necessidades da empresa e de outras condições. Calor extremo, frio, chuva ou seca podem afetar o horário de trabalho exato. Número de Horas por Semana: 40. Horário de Trabalho (Início/Término): 7h30. - 16:00</v>
      </c>
    </row>
    <row r="587" ht="20.25" customHeight="1">
      <c r="A587" s="8" t="s">
        <v>2871</v>
      </c>
      <c r="B587" s="8" t="s">
        <v>2872</v>
      </c>
      <c r="C587" s="8" t="s">
        <v>248</v>
      </c>
      <c r="D587" s="8" t="s">
        <v>992</v>
      </c>
      <c r="E587" s="9" t="s">
        <v>44</v>
      </c>
      <c r="F587" s="9" t="s">
        <v>20</v>
      </c>
      <c r="G587" s="9" t="s">
        <v>902</v>
      </c>
      <c r="H587" s="8" t="s">
        <v>2873</v>
      </c>
      <c r="I587" s="8" t="s">
        <v>2874</v>
      </c>
      <c r="J587" s="9">
        <v>21.91</v>
      </c>
      <c r="K587" s="9">
        <v>9.0</v>
      </c>
      <c r="L587" s="8" t="s">
        <v>59</v>
      </c>
      <c r="M587" s="8" t="s">
        <v>2875</v>
      </c>
      <c r="N587" s="7" t="str">
        <f>IFERROR(__xludf.DUMMYFUNCTION("GOOGLETRANSLATE(L587, ""en"", ""pt"")"),"Trabalhador de paisagismo")</f>
        <v>Trabalhador de paisagismo</v>
      </c>
      <c r="O587" s="7" t="str">
        <f>IFERROR(__xludf.DUMMYFUNCTION("IF(M587="""","""",GOOGLETRANSLATE(M587,""en"",""pt""))"),"Paisagismo e manutenção de terrenos utilizando ferramentas manuais ou elétricas. Os trabalhadores geralmente executam uma variedade de tarefas, que podem incluir qualquer combinação das seguintes: colocação de grama, corte de grama, poda, plantio, rega, f"&amp;"ertilização, escavação e rastelagem. Devem exercer julgamento independente; podem ser solicitados a demonstrar tarefas a outros funcionários, mas a função não inclui a supervisão de outros trabalhadores. Classificação da função: 37-3011.00 - Trabalhadores"&amp;" de Paisagismo e Manutenção de Terrenos. A classificação e descrição da função/setor incluem informações gerais sobre o cargo, de acordo com o ONET/OES e o Sistema de Classificação Industrial da América do Norte. Consulte as Funções e a Ordem de Serviço p"&amp;"ara obter mais informações. Requisitos da função: Experiência necessária: Sim. Meses de experiência necessários: 3. Requisitos especiais: Requer três meses de experiência anterior em paisagismo. Deve ser capaz de levantar/carregar 23 kg, quando necessário"&amp;". Trabalho aos sábados, quando necessário. O empregador exige exame toxicológico pós-contratação, pago pelo empregador, para trabalhadores estrangeiros e nacionais em caso de suspeita de uso. O empregador pode oferecer mais horas de trabalho do que as est"&amp;"ipuladas, dependendo do clima, das necessidades da empresa e de outras condições. Calor extremo, frio, chuva ou seca podem afetar o horário de trabalho exato. Número de horas por semana: 40. Horário de trabalho (início/término): 7h00 - 15h30.")</f>
        <v>Paisagismo e manutenção de terrenos utilizando ferramentas manuais ou elétricas. Os trabalhadores geralmente executam uma variedade de tarefas, que podem incluir qualquer combinação das seguintes: colocação de grama, corte de grama, poda, plantio, rega, fertilização, escavação e rastelagem. Devem exercer julgamento independente; podem ser solicitados a demonstrar tarefas a outros funcionários, mas a função não inclui a supervisão de outros trabalhadores. Classificação da função: 37-3011.00 - Trabalhadores de Paisagismo e Manutenção de Terrenos. A classificação e descrição da função/setor incluem informações gerais sobre o cargo, de acordo com o ONET/OES e o Sistema de Classificação Industrial da América do Norte. Consulte as Funções e a Ordem de Serviço para obter mais informações. Requisitos da função: Experiência necessária: Sim. Meses de experiência necessários: 3. Requisitos especiais: Requer três meses de experiência anterior em paisagismo. Deve ser capaz de levantar/carregar 23 kg, quando necessário. Trabalho aos sábados, quando necessário. O empregador exige exame toxicológico pós-contratação, pago pelo empregador, para trabalhadores estrangeiros e nacionais em caso de suspeita de uso. O empregador pode oferecer mais horas de trabalho do que as estipuladas, dependendo do clima, das necessidades da empresa e de outras condições. Calor extremo, frio, chuva ou seca podem afetar o horário de trabalho exato. Número de horas por semana: 40. Horário de trabalho (início/término): 7h00 - 15h30.</v>
      </c>
    </row>
    <row r="588" ht="20.25" customHeight="1">
      <c r="A588" s="3" t="s">
        <v>2876</v>
      </c>
      <c r="B588" s="3" t="s">
        <v>2877</v>
      </c>
      <c r="C588" s="3" t="s">
        <v>54</v>
      </c>
      <c r="D588" s="3" t="s">
        <v>79</v>
      </c>
      <c r="E588" s="4" t="s">
        <v>19</v>
      </c>
      <c r="F588" s="4" t="s">
        <v>20</v>
      </c>
      <c r="G588" s="4" t="s">
        <v>56</v>
      </c>
      <c r="H588" s="3" t="s">
        <v>2878</v>
      </c>
      <c r="I588" s="3" t="s">
        <v>2879</v>
      </c>
      <c r="J588" s="4">
        <v>16.55</v>
      </c>
      <c r="K588" s="4">
        <v>89.0</v>
      </c>
      <c r="L588" s="3" t="s">
        <v>83</v>
      </c>
      <c r="M588" s="3" t="s">
        <v>2880</v>
      </c>
      <c r="N588" s="7" t="str">
        <f>IFERROR(__xludf.DUMMYFUNCTION("GOOGLETRANSLATE(L588, ""en"", ""pt"")"),"Trabalhador Florestal")</f>
        <v>Trabalhador Florestal</v>
      </c>
      <c r="O588" s="7" t="str">
        <f>IFERROR(__xludf.DUMMYFUNCTION("IF(M588="""","""",GOOGLETRANSLATE(M588,""en"",""pt""))"),"As funções podem incluir: Cultivo e transporte de mudas; triagem de mudas de árvores, descartando mudas abaixo do padrão, de acordo com tabelas padrão ou instruções verbais. Plantio: mudas/árvores (sem raiz em forma de J/U). Limpeza e manutenção de equipa"&amp;"mentos/local de trabalho, carga/descarga de ferramentas/equipamentos a serem utilizados. Pulverização ou injeção de inseticidas/herbicidas na vegetação para proteção contra doenças ou redução da vegetação concorrente; promoção do crescimento. Poda de árvo"&amp;"res ou outras vegetações; corte de árvores ou toras. SOB A DIREÇÃO DE OFICIAIS DE COMBATE A INCÊNDIOS FLORESTAIS OU TÉCNICOS FLORESTAIS: auxiliar na limpeza/descarte de vegetação rasteira, empilhamento e abertura de aceiros/construção de quebra-fogos. Ope"&amp;"rar equipamentos de preparação do terreno conforme necessário. Condução ocasional de veículos e outras atividades relacionadas a Trabalhador Florestal, conforme SOC/OES 45-4011 (onetonline.org). Horário padrão/esperado: Segunda a sexta-feira, das 6h às 14"&amp;"h30. Oferecendo mais de 40 horas semanais; sem incluir almoço e/ou intervalos. Possibilidade de trabalho aos fins de semana/feriados. Os horários de início e término, a carga horária oferecida e/ou as horas extras podem variar, pois dependem de fatores co"&amp;"mo necessidades do projeto/cronograma/serviço, condições climáticas e tempo de deslocamento entre os locais de trabalho (se aplicável). Horas extras são possíveis, mas não obrigatórias nem garantidas. A critério exclusivo do empregador: aumentos salariais"&amp;" e/ou bônus podem ser concedidos com base em fatores individuais, como desempenho ou habilidades (não garantidos). Moradia compartilhada opcional, sem custo para o trabalhador. Classificação da vaga: 45-4011.00 - Trabalhadores Florestais e de Conservação."&amp;" A classificação e a descrição da vaga/setor incluem informações gerais sobre o cargo, de acordo com o ONET/OES e o Sistema de Classificação Industrial da América do Norte. Consulte as Funções e a Ordem de Serviço para obter mais informações. Requisitos d"&amp;"a vaga: Experiência necessária: Sim. Meses de experiência necessários: 3. Requisitos especiais: ***É NECESSÁRIO TER 3 MESES DE EXPERIÊNCIA COM ROÇADEIRA/MOTOSSERRA. *** A Silhouette Farm &amp; Forestry, LLC é uma Empregadora de Oportunidades Iguais (EOE, incl"&amp;"uindo pessoas com deficiência e veteranos). Condenações por crimes graves relacionados a fraude, roubo ou violência não são permitidas para esta posição. Somos uma Contratante Federal (EOE, incluindo pessoas com deficiência e veteranos); todos os candidat"&amp;"os/funcionários devem seguir todas as leis/regulamentos/requisitos/Normas Temporárias de Emergência vigentes (incluindo OSHA). Botas de segurança são obrigatórias e serão fornecidas pela empresa mediante REEMBOLSO: cada funcionário tem direito a um (1) pa"&amp;"r de botas de segurança por ano civil. O funcionário pode comprar botas de sua escolha e a Silhouette Farm &amp; Forestry, LLC reembolsará até US$ 350,00 anualmente (a partir da data da compra) mediante apresentação de um recibo verificável. É necessário ter "&amp;"18 anos devido a viagens. É necessário apresentar comprovante de autorização legal para trabalhar nos Estados Unidos. Ambiente de trabalho livre de drogas, álcool e tabaco. O candidato deve caminhar bastante (até 24 km/dia), além de se abaixar e se curvar"&amp;" carregando uma mochila (até 23 kg) em terrenos acidentados (fora de trilhas). Todos os candidatos devem ser capazes, dispostos e qualificados para realizar o trabalho descrito e devem estar disponíveis durante todo o período especificado e trabalhar em t"&amp;"odas as áreas da vaga. A critério do empregador e por custo, o trabalhador poderá ser submetido a testes aleatórios de drogas/álcool durante o emprego: teste positivo/recusa em cumprir o teste resultará em demissão. Possível verificação de antecedentes ap"&amp;"ós a contratação, às custas do empregador. O trabalho é realizado ao ar livre, exposto às intempéries; o candidato deve ser capaz de realizar trabalho fisicamente extenuante por longos períodos, ocasionalmente em calor ou frio extremos. Condições climátic"&amp;"as variáveis ​​se aplicam; a carga horária pode sofrer alterações (+/-), com possibilidade de períodos de inatividade e/ou horas extras. Número de horas por semana: 40. Horário de trabalho (início/término): 6h às 14h30.")</f>
        <v>As funções podem incluir: Cultivo e transporte de mudas; triagem de mudas de árvores, descartando mudas abaixo do padrão, de acordo com tabelas padrão ou instruções verbais. Plantio: mudas/árvores (sem raiz em forma de J/U). Limpeza e manutenção de equipamentos/local de trabalho, carga/descarga de ferramentas/equipamentos a serem utilizados. Pulverização ou injeção de inseticidas/herbicidas na vegetação para proteção contra doenças ou redução da vegetação concorrente; promoção do crescimento. Poda de árvores ou outras vegetações; corte de árvores ou toras. SOB A DIREÇÃO DE OFICIAIS DE COMBATE A INCÊNDIOS FLORESTAIS OU TÉCNICOS FLORESTAIS: auxiliar na limpeza/descarte de vegetação rasteira, empilhamento e abertura de aceiros/construção de quebra-fogos. Operar equipamentos de preparação do terreno conforme necessário. Condução ocasional de veículos e outras atividades relacionadas a Trabalhador Florestal, conforme SOC/OES 45-4011 (onetonline.org). Horário padrão/esperado: Segunda a sexta-feira, das 6h às 14h30. Oferecendo mais de 40 horas semanais; sem incluir almoço e/ou intervalos. Possibilidade de trabalho aos fins de semana/feriados. Os horários de início e término, a carga horária oferecida e/ou as horas extras podem variar, pois dependem de fatores como necessidades do projeto/cronograma/serviço, condições climáticas e tempo de deslocamento entre os locais de trabalho (se aplicável). Horas extras são possíveis, mas não obrigatórias nem garantidas. A critério exclusivo do empregador: aumentos salariais e/ou bônus podem ser concedidos com base em fatores individuais, como desempenho ou habilidades (não garantidos). Moradia compartilhada opcional, sem custo para o trabalhador. Classificação da vaga: 45-4011.00 - Trabalhadores Florestais e de Conservação. A classificação e a descrição da vaga/setor incluem informações gerais sobre o cargo, de acordo com o ONET/OES e o Sistema de Classificação Industrial da América do Norte. Consulte as Funções e a Ordem de Serviço para obter mais informações. Requisitos da vaga: Experiência necessária: Sim. Meses de experiência necessários: 3. Requisitos especiais: ***É NECESSÁRIO TER 3 MESES DE EXPERIÊNCIA COM ROÇADEIRA/MOTOSSERRA. *** A Silhouette Farm &amp; Forestry, LLC é uma Empregadora de Oportunidades Iguais (EOE, incluindo pessoas com deficiência e veteranos). Condenações por crimes graves relacionados a fraude, roubo ou violência não são permitidas para esta posição. Somos uma Contratante Federal (EOE, incluindo pessoas com deficiência e veteranos); todos os candidatos/funcionários devem seguir todas as leis/regulamentos/requisitos/Normas Temporárias de Emergência vigentes (incluindo OSHA). Botas de segurança são obrigatórias e serão fornecidas pela empresa mediante REEMBOLSO: cada funcionário tem direito a um (1) par de botas de segurança por ano civil. O funcionário pode comprar botas de sua escolha e a Silhouette Farm &amp; Forestry, LLC reembolsará até US$ 350,00 anualmente (a partir da data da compra) mediante apresentação de um recibo verificável. É necessário ter 18 anos devido a viagens. É necessário apresentar comprovante de autorização legal para trabalhar nos Estados Unidos. Ambiente de trabalho livre de drogas, álcool e tabaco. O candidato deve caminhar bastante (até 24 km/dia), além de se abaixar e se curvar carregando uma mochila (até 23 kg) em terrenos acidentados (fora de trilhas). Todos os candidatos devem ser capazes, dispostos e qualificados para realizar o trabalho descrito e devem estar disponíveis durante todo o período especificado e trabalhar em todas as áreas da vaga. A critério do empregador e por custo, o trabalhador poderá ser submetido a testes aleatórios de drogas/álcool durante o emprego: teste positivo/recusa em cumprir o teste resultará em demissão. Possível verificação de antecedentes após a contratação, às custas do empregador. O trabalho é realizado ao ar livre, exposto às intempéries; o candidato deve ser capaz de realizar trabalho fisicamente extenuante por longos períodos, ocasionalmente em calor ou frio extremos. Condições climáticas variáveis ​​se aplicam; a carga horária pode sofrer alterações (+/-), com possibilidade de períodos de inatividade e/ou horas extras. Número de horas por semana: 40. Horário de trabalho (início/término): 6h às 14h30.</v>
      </c>
    </row>
    <row r="589" ht="20.25" customHeight="1">
      <c r="A589" s="8" t="s">
        <v>2881</v>
      </c>
      <c r="B589" s="8" t="s">
        <v>2882</v>
      </c>
      <c r="C589" s="8" t="s">
        <v>2421</v>
      </c>
      <c r="D589" s="8" t="s">
        <v>51</v>
      </c>
      <c r="E589" s="9" t="s">
        <v>19</v>
      </c>
      <c r="F589" s="9" t="s">
        <v>20</v>
      </c>
      <c r="G589" s="9" t="s">
        <v>404</v>
      </c>
      <c r="H589" s="8" t="s">
        <v>2883</v>
      </c>
      <c r="I589" s="8" t="s">
        <v>2884</v>
      </c>
      <c r="J589" s="9">
        <v>18.99</v>
      </c>
      <c r="K589" s="9">
        <v>170.0</v>
      </c>
      <c r="L589" s="8" t="s">
        <v>463</v>
      </c>
      <c r="M589" s="8" t="s">
        <v>2885</v>
      </c>
      <c r="N589" s="7" t="str">
        <f>IFERROR(__xludf.DUMMYFUNCTION("GOOGLETRANSLATE(L589, ""en"", ""pt"")"),"Plantador de árvores")</f>
        <v>Plantador de árvores</v>
      </c>
      <c r="O589" s="7" t="str">
        <f>IFERROR(__xludf.DUMMYFUNCTION("IF(M589="""","""",GOOGLETRANSLATE(M589,""en"",""pt""))"),"As funções podem incluir: cultivar, transportar e selecionar mudas para, em seguida, escolher o local de plantio ideal que atenda aos requisitos de sombra/solo. Selecionar mudas de árvores, preparar o solo e plantar as árvores em áreas de reflorestamento,"&amp;" utilizando ferramentas manuais de plantio, como pá, enxada e plantadeira de solo. Deve-se ter cuidado com as mudas para evitar o enraizamento em forma de J ou U. Ocasionalmente, dirigir e outras atividades relacionadas ao plantio de árvores, conforme SOC"&amp;"/OES 45-4011 (onetonline.org). Horário padrão/esperado: segunda a sexta, das 7h às 15h. Oferecemos mais de 40 horas semanais, sem incluir almoço e/ou intervalos. Possibilidade de trabalho em fins de semana e feriados. Os horários de início e término, a ca"&amp;"rga horária e/ou horas extras podem variar, pois dependem de outros fatores, como necessidades do projeto/cronograma/serviço, clima e tempo de deslocamento entre os locais de trabalho (se aplicável). Horas extras são possíveis, mas não obrigatórias ou gar"&amp;"antidas. A critério exclusivo do empregador: possíveis aumentos e/ou bônus com base em fatores individuais, como desempenho no trabalho ou habilidades (não garantidos). O empregador pode pagar uma taxa por produção entre US$ 13,00 e US$ 57,00 por acre, ex"&amp;"igindo o plantio de 200 a 600 árvores por acre. O trabalhador nunca receberá menos do que o Salário Vigente ou o salário mínimo federal/estadual/local. Moradia compartilhada opcional disponível sem custo para o trabalhador. Classificação do Cargo: 45-4011"&amp;".00 - Trabalhadores Florestais e de Conservação. A classificação e descrição do cargo/setor incluem informações gerais sobre a posição, de acordo com o ONET/OES e o Sistema de Classificação Industrial da América do Norte. Consulte as Funções e a Ordem de "&amp;"Serviço para obter mais informações. Requisitos do Cargo: Experiência Necessária: Sim. Meses de Experiência Necessários: 3. Requisitos Especiais: Deve ter 18 anos devido a viagens. Deve apresentar comprovante de autorização legal para trabalhar nos Estado"&amp;"s Unidos. Ambiente de trabalho livre de drogas, álcool e tabaco. É necessário caminhar bastante (até 24 km/dia), além de se abaixar e se curvar carregando uma mochila (até 34 kg) em terrenos acidentados (fora de trilhas). Todos os candidatos devem ser cap"&amp;"azes, dispostos e qualificados para realizar o trabalho descrito e devem estar disponíveis durante todo o período especificado e trabalhar em todas as áreas da vaga. O trabalho é realizado ao ar livre, exposto às intempéries; o candidato deve ser capaz de"&amp;" realizar trabalho fisicamente extenuante por longos períodos, ocasionalmente em calor ou frio extremos. As condições climáticas são variáveis; a carga horária pode sofrer alterações, com possibilidade de períodos de inatividade e/ou horas extras. Número "&amp;"de horas por semana: 40. Horário de trabalho (início/término): 7h às 15h.")</f>
        <v>As funções podem incluir: cultivar, transportar e selecionar mudas para, em seguida, escolher o local de plantio ideal que atenda aos requisitos de sombra/solo. Selecionar mudas de árvores, preparar o solo e plantar as árvores em áreas de reflorestamento, utilizando ferramentas manuais de plantio, como pá, enxada e plantadeira de solo. Deve-se ter cuidado com as mudas para evitar o enraizamento em forma de J ou U. Ocasionalmente, dirigir e outras atividades relacionadas ao plantio de árvores, conforme SOC/OES 45-4011 (onetonline.org). Horário padrão/esperado: segunda a sexta, das 7h às 15h. Oferecemos mais de 40 horas semanais, sem incluir almoço e/ou intervalos. Possibilidade de trabalho em fins de semana e feriados. Os horários de início e término, a carga horária e/ou horas extras podem variar, pois dependem de outros fatores, como necessidades do projeto/cronograma/serviço, clima e tempo de deslocamento entre os locais de trabalho (se aplicável). Horas extras são possíveis, mas não obrigatórias ou garantidas. A critério exclusivo do empregador: possíveis aumentos e/ou bônus com base em fatores individuais, como desempenho no trabalho ou habilidades (não garantidos). O empregador pode pagar uma taxa por produção entre US$ 13,00 e US$ 57,00 por acre, exigindo o plantio de 200 a 600 árvores por acre. O trabalhador nunca receberá menos do que o Salário Vigente ou o salário mínimo federal/estadual/local. Moradia compartilhada opcional disponível sem custo para o trabalhador. Classificação do Cargo: 45-4011.00 - Trabalhadores Florestais e de Conservação. A classificação e descrição do cargo/setor incluem informações gerais sobre a posição, de acordo com o ONET/OES e o Sistema de Classificação Industrial da América do Norte. Consulte as Funções e a Ordem de Serviço para obter mais informações. Requisitos do Cargo: Experiência Necessária: Sim. Meses de Experiência Necessários: 3. Requisitos Especiais: Deve ter 18 anos devido a viagens. Deve apresentar comprovante de autorização legal para trabalhar nos Estados Unidos. Ambiente de trabalho livre de drogas, álcool e tabaco. É necessário caminhar bastante (até 24 km/dia), além de se abaixar e se curvar carregando uma mochila (até 34 kg) em terrenos acidentados (fora de trilhas). Todos os candidatos devem ser capazes, dispostos e qualificados para realizar o trabalho descrito e devem estar disponíveis durante todo o período especificado e trabalhar em todas as áreas da vaga. O trabalho é realizado ao ar livre, exposto às intempéries; o candidato deve ser capaz de realizar trabalho fisicamente extenuante por longos períodos, ocasionalmente em calor ou frio extremos. As condições climáticas são variáveis; a carga horária pode sofrer alterações, com possibilidade de períodos de inatividade e/ou horas extras. Número de horas por semana: 40. Horário de trabalho (início/término): 7h às 15h.</v>
      </c>
    </row>
    <row r="590" ht="20.25" customHeight="1">
      <c r="A590" s="3" t="s">
        <v>2886</v>
      </c>
      <c r="B590" s="3" t="s">
        <v>2887</v>
      </c>
      <c r="C590" s="3" t="s">
        <v>248</v>
      </c>
      <c r="D590" s="3" t="s">
        <v>18</v>
      </c>
      <c r="E590" s="4" t="s">
        <v>44</v>
      </c>
      <c r="F590" s="4" t="s">
        <v>20</v>
      </c>
      <c r="G590" s="4" t="s">
        <v>146</v>
      </c>
      <c r="H590" s="3" t="s">
        <v>2888</v>
      </c>
      <c r="I590" s="3"/>
      <c r="J590" s="4">
        <v>19.47</v>
      </c>
      <c r="K590" s="4">
        <v>14.0</v>
      </c>
      <c r="L590" s="3" t="s">
        <v>59</v>
      </c>
      <c r="M590" s="3" t="s">
        <v>2889</v>
      </c>
      <c r="N590" s="7" t="str">
        <f>IFERROR(__xludf.DUMMYFUNCTION("GOOGLETRANSLATE(L590, ""en"", ""pt"")"),"Trabalhador de paisagismo")</f>
        <v>Trabalhador de paisagismo</v>
      </c>
      <c r="O590" s="7" t="str">
        <f>IFERROR(__xludf.DUMMYFUNCTION("IF(M590="""","""",GOOGLETRANSLATE(M590,""en"",""pt""))"),"Paisagismo e manutenção de terrenos utilizando ferramentas manuais ou elétricas. Os trabalhadores geralmente executam uma variedade de tarefas, que podem incluir qualquer combinação das seguintes: colocação de grama, corte de grama, cobertura morta, poda,"&amp;" plantio, rega, fertilização, escavação, rastelagem, remoção de detritos e manutenção de sistemas de irrigação. O nível inicial requer supervisão. Classificação do Cargo: 37-3011.00 - Trabalhadores de Paisagismo e Manutenção de Terrenos. A classificação e"&amp;" descrição do cargo/setor incluem informações gerais sobre a posição, de acordo com o ONET/OES e o Sistema de Classificação Industrial da América do Norte (NAICS). Consulte as Funções e a Ordem de Serviço para obter mais informações. Requisitos do Cargo E"&amp;"xperiência Necessária: Não. Requisitos Especiais: Deve ser capaz de levantar/carregar 23 kg, quando necessário. Trabalho aos sábados e domingos, quando necessário. O empregador pode oferecer mais horas de trabalho do que as indicadas, dependendo do clima,"&amp;" das necessidades da empresa e de outras condições. Calor extremo, frio, chuva ou seca podem afetar o horário de trabalho exato. Número de Horas por Semana: 40. Horário de Trabalho (Início/Término): 6h30. - 15h00")</f>
        <v>Paisagismo e manutenção de terrenos utilizando ferramentas manuais ou elétricas. Os trabalhadores geralmente executam uma variedade de tarefas, que podem incluir qualquer combinação das seguintes: colocação de grama, corte de grama, cobertura morta, poda, plantio, rega, fertilização, escavação, rastelagem, remoção de detritos e manutenção de sistemas de irrigação. O nível inicial requer supervisão. Classificação do Cargo: 37-3011.00 - Trabalhadores de Paisagismo e Manutenção de Terrenos. A classificação e descrição do cargo/setor incluem informações gerais sobre a posição, de acordo com o ONET/OES e o Sistema de Classificação Industrial da América do Norte (NAICS). Consulte as Funções e a Ordem de Serviço para obter mais informações. Requisitos do Cargo Experiência Necessária: Não. Requisitos Especiais: Deve ser capaz de levantar/carregar 23 kg, quando necessário. Trabalho aos sábados e domingos, quando necessário. O empregador pode oferecer mais horas de trabalho do que as indicadas, dependendo do clima, das necessidades da empresa e de outras condições. Calor extremo, frio, chuva ou seca podem afetar o horário de trabalho exato. Número de Horas por Semana: 40. Horário de Trabalho (Início/Término): 6h30. - 15h00</v>
      </c>
    </row>
    <row r="591" ht="20.25" customHeight="1">
      <c r="A591" s="8" t="s">
        <v>2890</v>
      </c>
      <c r="B591" s="8" t="s">
        <v>2721</v>
      </c>
      <c r="C591" s="8" t="s">
        <v>1375</v>
      </c>
      <c r="D591" s="8" t="s">
        <v>71</v>
      </c>
      <c r="E591" s="9" t="s">
        <v>19</v>
      </c>
      <c r="F591" s="9" t="s">
        <v>20</v>
      </c>
      <c r="G591" s="9" t="s">
        <v>377</v>
      </c>
      <c r="H591" s="8" t="s">
        <v>2722</v>
      </c>
      <c r="I591" s="8" t="s">
        <v>2723</v>
      </c>
      <c r="J591" s="9">
        <v>22.8</v>
      </c>
      <c r="K591" s="9">
        <v>48.0</v>
      </c>
      <c r="L591" s="8" t="s">
        <v>2724</v>
      </c>
      <c r="M591" s="8" t="s">
        <v>2725</v>
      </c>
      <c r="N591" s="7" t="str">
        <f>IFERROR(__xludf.DUMMYFUNCTION("GOOGLETRANSLATE(L591, ""en"", ""pt"")"),"Telhador")</f>
        <v>Telhador</v>
      </c>
      <c r="O591" s="7" t="str">
        <f>IFERROR(__xludf.DUMMYFUNCTION("IF(M591="""","""",GOOGLETRANSLATE(M591,""en"",""pt""))"),"As funções podem incluir: Preparar telhados para a aplicação de novos materiais de cobertura, varrendo, limpando e removendo materiais antigos ou danificados. Cobrir os telhados com camadas de feltro ou manta impermeabilizante antes da instalação de telha"&amp;"s compostas, metálicas ou de membrana. Auxiliar os telhadistas na instalação de novos telhados, transportando materiais e suprimentos necessários. Utilizar ferramentas manuais como pistola de calafetagem, alavanca, martelo, pregador pneumático, estilete, "&amp;"pá de telhado ou tesoura de corte de metal. Limpar e remover quaisquer detritos de telhado para os recipientes de lixo no local, a fim de garantir um local de trabalho limpo e seguro, além de outras atividades relacionadas à cobertura, conforme SOC/OES 47"&amp;"-2181 (onetonline.org). Horário padrão/esperado: Segunda a sexta, das 8h às 17h. Oferecemos mais de 40 horas semanais, sem incluir almoço e/ou intervalos. Possibilidade de trabalho em fins de semana e feriados. Os horários de início e término, a carga hor"&amp;"ária oferecida e/ou a possibilidade de horas extras podem variar, pois dependem de fatores como necessidades do projeto/cronograma/serviço, condições climáticas e tempo de deslocamento entre os locais de trabalho (se aplicável). Horas extras são possíveis"&amp;", mas não obrigatórias nem garantidas. A critério exclusivo do empregador: aumentos salariais e/ou bônus podem ser concedidos com base em fatores individuais, como desempenho ou habilidades (não garantidos). Classificação da vaga: 47-2181.00 - Telhadores."&amp;" A classificação e a descrição da vaga/setor incluem informações gerais sobre o cargo, conforme o ONET/OES e o Sistema de Classificação Industrial da América do Norte (NAICS). Consulte as Funções e a Ordem de Serviço para obter mais informações. Requisito"&amp;"s da vaga: Experiência exigida: Não. Requisitos especiais: É necessário ter 18 anos ou mais devido ao uso de equipamentos. É necessário apresentar comprovante de autorização legal para trabalhar nos Estados Unidos. Ambiente de trabalho livre de drogas, ál"&amp;"cool e tabaco. Executar atividades físicas como: levantar, equilibrar-se, caminhar, abaixar-se, manusear, posicionar, mover e manipular materiais; usar força estática para exercer força muscular máxima para levantar, empurrar, puxar e carregar objetos de "&amp;"até 32 kg (possivelmente por duas pessoas). Todos os candidatos devem ser capazes, dispostos e qualificados para executar o trabalho descrito e devem estar disponíveis durante todo o período especificado e trabalhar em todas as áreas do emprego pretendido"&amp;". A critério/custo do empregador: o trabalhador poderá ser submetido a testes aleatórios de drogas/álcool durante o emprego: teste positivo/recusa em cumprir o teste = demissão. Possível verificação de antecedentes após a contratação, às custas do emprega"&amp;"dor. O trabalho é realizado ao ar livre, exposto às intempéries; o trabalhador deve ser capaz de realizar trabalho fisicamente extenuante por longas horas, ocasionalmente em calor ou frio extremos. Condições climáticas variáveis ​​se aplicam; o horário po"&amp;"de flutuar (+/-), com possibilidade de tempo de inatividade e/ou horas extras. Número de horas por semana: 40. Horário de trabalho (início/término): 8h às 17h.")</f>
        <v>As funções podem incluir: Preparar telhados para a aplicação de novos materiais de cobertura, varrendo, limpando e removendo materiais antigos ou danificados. Cobrir os telhados com camadas de feltro ou manta impermeabilizante antes da instalação de telhas compostas, metálicas ou de membrana. Auxiliar os telhadistas na instalação de novos telhados, transportando materiais e suprimentos necessários. Utilizar ferramentas manuais como pistola de calafetagem, alavanca, martelo, pregador pneumático, estilete, pá de telhado ou tesoura de corte de metal. Limpar e remover quaisquer detritos de telhado para os recipientes de lixo no local, a fim de garantir um local de trabalho limpo e seguro, além de outras atividades relacionadas à cobertura, conforme SOC/OES 47-2181 (onetonline.org). Horário padrão/esperado: Segunda a sexta, das 8h às 17h. Oferecemos mais de 40 horas semanais, sem incluir almoço e/ou intervalos. Possibilidade de trabalho em fins de semana e feriados. Os horários de início e término, a carga horária oferecida e/ou a possibilidade de horas extras podem variar, pois dependem de fatores como necessidades do projeto/cronograma/serviço, condições climáticas e tempo de deslocamento entre os locais de trabalho (se aplicável). Horas extras são possíveis, mas não obrigatórias nem garantidas. A critério exclusivo do empregador: aumentos salariais e/ou bônus podem ser concedidos com base em fatores individuais, como desempenho ou habilidades (não garantidos). Classificação da vaga: 47-2181.00 - Telhadores. A classificação e a descrição da vaga/setor incluem informações gerais sobre o cargo, conforme o ONET/OES e o Sistema de Classificação Industrial da América do Norte (NAICS). Consulte as Funções e a Ordem de Serviço para obter mais informações. Requisitos da vaga: Experiência exigida: Não. Requisitos especiais: É necessário ter 18 anos ou mais devido ao uso de equipamentos. É necessário apresentar comprovante de autorização legal para trabalhar nos Estados Unidos. Ambiente de trabalho livre de drogas, álcool e tabaco. Executar atividades físicas como: levantar, equilibrar-se, caminhar, abaixar-se, manusear, posicionar, mover e manipular materiais; usar força estática para exercer força muscular máxima para levantar, empurrar, puxar e carregar objetos de até 32 kg (possivelmente por duas pessoas). Todos os candidatos devem ser capazes, dispostos e qualificados para executar o trabalho descrito e devem estar disponíveis durante todo o período especificado e trabalhar em todas as áreas do emprego pretendido. A critério/custo do empregador: o trabalhador poderá ser submetido a testes aleatórios de drogas/álcool durante o emprego: teste positivo/recusa em cumprir o teste = demissão. Possível verificação de antecedentes após a contratação, às custas do empregador. O trabalho é realizado ao ar livre, exposto às intempéries; o trabalhador deve ser capaz de realizar trabalho fisicamente extenuante por longas horas, ocasionalmente em calor ou frio extremos. Condições climáticas variáveis ​​se aplicam; o horário pode flutuar (+/-), com possibilidade de tempo de inatividade e/ou horas extras. Número de horas por semana: 40. Horário de trabalho (início/término): 8h às 17h.</v>
      </c>
    </row>
    <row r="592" ht="20.25" customHeight="1">
      <c r="A592" s="3" t="s">
        <v>2891</v>
      </c>
      <c r="B592" s="3" t="s">
        <v>2892</v>
      </c>
      <c r="C592" s="3" t="s">
        <v>54</v>
      </c>
      <c r="D592" s="3" t="s">
        <v>102</v>
      </c>
      <c r="E592" s="4" t="s">
        <v>19</v>
      </c>
      <c r="F592" s="4" t="s">
        <v>20</v>
      </c>
      <c r="G592" s="4" t="s">
        <v>384</v>
      </c>
      <c r="H592" s="3" t="s">
        <v>2893</v>
      </c>
      <c r="I592" s="3" t="s">
        <v>2894</v>
      </c>
      <c r="J592" s="4">
        <v>15.0</v>
      </c>
      <c r="K592" s="4">
        <v>40.0</v>
      </c>
      <c r="L592" s="3" t="s">
        <v>1061</v>
      </c>
      <c r="M592" s="3" t="s">
        <v>2895</v>
      </c>
      <c r="N592" s="7" t="str">
        <f>IFERROR(__xludf.DUMMYFUNCTION("GOOGLETRANSLATE(L592, ""en"", ""pt"")"),"Auxiliar de Creche")</f>
        <v>Auxiliar de Creche</v>
      </c>
      <c r="O592" s="7" t="str">
        <f>IFERROR(__xludf.DUMMYFUNCTION("IF(M592="""","""",GOOGLETRANSLATE(M592,""en"",""pt""))"),"As funções podem incluir: Classificar mudas, estacas, árvores e arbustos já colhidos. Mover mudas e árvores em contêineres para classificá-las, organizá-las e alinhá-las. Em seguida, embalar e etiquetar as mudas, além de carregá-las manualmente para trans"&amp;"porte. Limpar equipamentos e a área de trabalho. Possibilidade de dirigir ocasionalmente e outras atividades relacionadas ao trabalho em viveiro, conforme SOC/OES 45-2092 (onetonline.org). Horário padrão/esperado: Segunda a sexta, das 8h às 16h. Oferecemo"&amp;"s de 35 a 35 horas semanais (ou mais), sem incluir almoço e/ou intervalos. Possibilidade de trabalho nos fins de semana e feriados. Os horários de início e término, a carga horária e/ou horas extras podem variar, dependendo de fatores como projetos/cronog"&amp;"rama/necessidades do serviço, condições climáticas e tempo de deslocamento entre os locais de trabalho (se aplicável). Horas extras são possíveis, mas não obrigatórias nem garantidas. A critério exclusivo do empregador: aumentos salariais e/ou bônus podem"&amp;" ser concedidos com base em fatores individuais, como desempenho ou habilidades (não garantidos). Pagamento por peça produzida: o trabalhador nunca receberá menos do que o Salário Vigente ou o salário mínimo federal/estadual/municipal. Classificação da fu"&amp;"nção: 45-2092.00 - Trabalhadores rurais e operários, cultivo, viveiro e estufa. A classificação e descrição da função/setor inclui informações gerais sobre o cargo, conforme o ONET/OES e o Sistema de Classificação Industrial da América do Norte (NAICS). C"&amp;"onsulte as Funções e a Ordem de Serviço para obter mais informações. Requisitos da função: Experiência exigida: Não. Requisitos especiais: Deve apresentar comprovante de autorização legal para trabalhar nos Estados Unidos. Ambiente de trabalho livre de dr"&amp;"ogas, álcool e tabaco. Executar atividades físicas como: levantar, equilibrar-se, caminhar, abaixar-se, manusear, posicionar, mover e manipular materiais; usar força estática para exercer força muscular máxima para levantar, empurrar, puxar e carregar obj"&amp;"etos de até 27 kg (possivelmente com a ajuda de outra pessoa). Todos os candidatos devem ser capazes, estar dispostos e qualificados para executar o trabalho descrito e devem estar disponíveis durante todo o período especificado e trabalhar em todas as ár"&amp;"eas do emprego pretendido. A critério do empregador/custo: o trabalhador poderá ser submetido a testes aleatórios de drogas/álcool durante o emprego: teste positivo/recusa em cumprir o teste = demissão. O trabalho é realizado ao ar livre, exposto às intem"&amp;"péries; o candidato deve ser capaz de realizar trabalho fisicamente extenuante por longos períodos, ocasionalmente em calor ou frio extremos. As condições climáticas são variáveis; a carga horária pode sofrer alterações (+/-), com possibilidade de período"&amp;"s de inatividade e/ou horas extras. Número de horas por semana: 35. Horário de trabalho (início/término): 8h às 16h.")</f>
        <v>As funções podem incluir: Classificar mudas, estacas, árvores e arbustos já colhidos. Mover mudas e árvores em contêineres para classificá-las, organizá-las e alinhá-las. Em seguida, embalar e etiquetar as mudas, além de carregá-las manualmente para transporte. Limpar equipamentos e a área de trabalho. Possibilidade de dirigir ocasionalmente e outras atividades relacionadas ao trabalho em viveiro, conforme SOC/OES 45-2092 (onetonline.org). Horário padrão/esperado: Segunda a sexta, das 8h às 16h. Oferecemos de 35 a 35 horas semanais (ou mais), sem incluir almoço e/ou intervalos. Possibilidade de trabalho nos fins de semana e feriados. Os horários de início e término, a carga horária e/ou horas extras podem variar, dependendo de fatores como projetos/cronograma/necessidades do serviço, condições climáticas e tempo de deslocamento entre os locais de trabalho (se aplicável). Horas extras são possíveis, mas não obrigatórias nem garantidas. A critério exclusivo do empregador: aumentos salariais e/ou bônus podem ser concedidos com base em fatores individuais, como desempenho ou habilidades (não garantidos). Pagamento por peça produzida: o trabalhador nunca receberá menos do que o Salário Vigente ou o salário mínimo federal/estadual/municipal. Classificação da função: 45-2092.00 - Trabalhadores rurais e operários, cultivo, viveiro e estufa. A classificação e descrição da função/setor inclui informações gerais sobre o cargo, conforme o ONET/OES e o Sistema de Classificação Industrial da América do Norte (NAICS). Consulte as Funções e a Ordem de Serviço para obter mais informações. Requisitos da função: Experiência exigida: Não. Requisitos especiais: Deve apresentar comprovante de autorização legal para trabalhar nos Estados Unidos. Ambiente de trabalho livre de drogas, álcool e tabaco. Executar atividades físicas como: levantar, equilibrar-se, caminhar, abaixar-se, manusear, posicionar, mover e manipular materiais; usar força estática para exercer força muscular máxima para levantar, empurrar, puxar e carregar objetos de até 27 kg (possivelmente com a ajuda de outra pessoa). Todos os candidatos devem ser capazes, estar dispostos e qualificados para executar o trabalho descrito e devem estar disponíveis durante todo o período especificado e trabalhar em todas as áreas do emprego pretendido. A critério do empregador/custo: o trabalhador poderá ser submetido a testes aleatórios de drogas/álcool durante o emprego: teste positivo/recusa em cumprir o teste = demissão. O trabalho é realizado ao ar livre, exposto às intempéries; o candidato deve ser capaz de realizar trabalho fisicamente extenuante por longos períodos, ocasionalmente em calor ou frio extremos. As condições climáticas são variáveis; a carga horária pode sofrer alterações (+/-), com possibilidade de períodos de inatividade e/ou horas extras. Número de horas por semana: 35. Horário de trabalho (início/término): 8h às 16h.</v>
      </c>
    </row>
    <row r="593" ht="20.25" customHeight="1">
      <c r="A593" s="8" t="s">
        <v>2896</v>
      </c>
      <c r="B593" s="8" t="s">
        <v>2897</v>
      </c>
      <c r="C593" s="8" t="s">
        <v>2898</v>
      </c>
      <c r="D593" s="8" t="s">
        <v>663</v>
      </c>
      <c r="E593" s="9" t="s">
        <v>44</v>
      </c>
      <c r="F593" s="9" t="s">
        <v>20</v>
      </c>
      <c r="G593" s="9" t="s">
        <v>2899</v>
      </c>
      <c r="H593" s="8" t="s">
        <v>2900</v>
      </c>
      <c r="I593" s="8" t="s">
        <v>2901</v>
      </c>
      <c r="J593" s="9">
        <v>19.18</v>
      </c>
      <c r="K593" s="9">
        <v>8.0</v>
      </c>
      <c r="L593" s="8" t="s">
        <v>2902</v>
      </c>
      <c r="M593" s="8" t="s">
        <v>2903</v>
      </c>
      <c r="N593" s="7" t="str">
        <f>IFERROR(__xludf.DUMMYFUNCTION("GOOGLETRANSLATE(L593, ""en"", ""pt"")"),"Instrutor de Esqui III")</f>
        <v>Instrutor de Esqui III</v>
      </c>
      <c r="O593" s="7" t="str">
        <f>IFERROR(__xludf.DUMMYFUNCTION("IF(M593="""","""",GOOGLETRANSLATE(M593,""en"",""pt""))"),"As funções incluem ministrar aulas de esqui em grupo e particulares para hóspedes de todas as idades e níveis de habilidade; adaptar os métodos de ensino para atender às necessidades individuais dos alunos e aos objetivos estabelecidos para as aulas; zela"&amp;"r pela segurança pessoal e dos hóspedes em um ambiente dinâmico de montanha; e manter uma postura profissional e acolhedora nas pistas e em todas as interações com os hóspedes. As responsabilidades também incluem montar, manter e desmontar as áreas design"&amp;"adas para as aulas de esqui, garantindo um ambiente de aprendizado seguro e eficaz. Espera-se que os instrutores se comuniquem de forma clara e profissional com os hóspedes, colegas e supervisores. Podem ser solicitados a trabalhar com o Atendimento ao Hó"&amp;"spede para auxiliar os hóspedes, fornecendo informações, orientações e um serviço cortês em todos os momentos; e atuar como embaixadores da marca Sun Valley Resort. Outras atribuições incluem participar de reuniões e treinamentos do departamento, conforme"&amp;" designado, colaborar com as equipes de operações da montanha e, ocasionalmente, apoiar o Departamento de Corridas de Sun Valley com a preparação e logística dos percursos. Classificação da vaga: 25-3021.00 - Instrutores de Autoaperfeiçoamento. A classifi"&amp;"cação e descrição da vaga/setor inclui informações gerais sobre o cargo, de acordo com o ONET/OES e o Sistema de Classificação Industrial da América do Norte. Consulte a Descrição das Funções e a Ordem de Serviço para obter mais informações. Requisitos da"&amp;" Vaga Experiência Necessária: Sim Meses de Experiência Necessários: 2 Requisitos Especiais: Deve possuir certificação válida de Nível 3 da Associação Profissional de Instrutores de Esqui da América (PSIA). O candidato deverá passar por uma verificação de "&amp;"antecedentes pré-emprego. Número de Horas por Semana: 36 Horário de Trabalho (Início/Término): 8h00 - 14h00")</f>
        <v>As funções incluem ministrar aulas de esqui em grupo e particulares para hóspedes de todas as idades e níveis de habilidade; adaptar os métodos de ensino para atender às necessidades individuais dos alunos e aos objetivos estabelecidos para as aulas; zelar pela segurança pessoal e dos hóspedes em um ambiente dinâmico de montanha; e manter uma postura profissional e acolhedora nas pistas e em todas as interações com os hóspedes. As responsabilidades também incluem montar, manter e desmontar as áreas designadas para as aulas de esqui, garantindo um ambiente de aprendizado seguro e eficaz. Espera-se que os instrutores se comuniquem de forma clara e profissional com os hóspedes, colegas e supervisores. Podem ser solicitados a trabalhar com o Atendimento ao Hóspede para auxiliar os hóspedes, fornecendo informações, orientações e um serviço cortês em todos os momentos; e atuar como embaixadores da marca Sun Valley Resort. Outras atribuições incluem participar de reuniões e treinamentos do departamento, conforme designado, colaborar com as equipes de operações da montanha e, ocasionalmente, apoiar o Departamento de Corridas de Sun Valley com a preparação e logística dos percursos. Classificação da vaga: 25-3021.00 - Instrutores de Autoaperfeiçoamento. A classificação e descrição da vaga/setor inclui informações gerais sobre o cargo, de acordo com o ONET/OES e o Sistema de Classificação Industrial da América do Norte. Consulte a Descrição das Funções e a Ordem de Serviço para obter mais informações. Requisitos da Vaga Experiência Necessária: Sim Meses de Experiência Necessários: 2 Requisitos Especiais: Deve possuir certificação válida de Nível 3 da Associação Profissional de Instrutores de Esqui da América (PSIA). O candidato deverá passar por uma verificação de antecedentes pré-emprego. Número de Horas por Semana: 36 Horário de Trabalho (Início/Término): 8h00 - 14h00</v>
      </c>
    </row>
    <row r="594" ht="20.25" customHeight="1">
      <c r="A594" s="3" t="s">
        <v>2904</v>
      </c>
      <c r="B594" s="3" t="s">
        <v>2905</v>
      </c>
      <c r="C594" s="3" t="s">
        <v>93</v>
      </c>
      <c r="D594" s="3" t="s">
        <v>109</v>
      </c>
      <c r="E594" s="4" t="s">
        <v>44</v>
      </c>
      <c r="F594" s="4" t="s">
        <v>20</v>
      </c>
      <c r="G594" s="4" t="s">
        <v>236</v>
      </c>
      <c r="H594" s="3" t="s">
        <v>2906</v>
      </c>
      <c r="I594" s="3"/>
      <c r="J594" s="4">
        <v>18.69</v>
      </c>
      <c r="K594" s="4">
        <v>4.0</v>
      </c>
      <c r="L594" s="3" t="s">
        <v>59</v>
      </c>
      <c r="M594" s="3" t="s">
        <v>2907</v>
      </c>
      <c r="N594" s="7" t="str">
        <f>IFERROR(__xludf.DUMMYFUNCTION("GOOGLETRANSLATE(L594, ""en"", ""pt"")"),"Trabalhador de paisagismo")</f>
        <v>Trabalhador de paisagismo</v>
      </c>
      <c r="O594" s="7" t="str">
        <f>IFERROR(__xludf.DUMMYFUNCTION("IF(M594="""","""",GOOGLETRANSLATE(M594,""en"",""pt""))"),"Paisagismo e manutenção de terrenos utilizando ferramentas manuais ou elétricas. Os trabalhadores geralmente executam uma variedade de tarefas, que podem incluir qualquer combinação das seguintes: colocação de grama, corte de grama, operação de cortador d"&amp;"e grama de giro zero, acabamento de bordas, cobertura morta, poda, plantio, rega, poda de galhos, fertilização, escavação, rastelagem, limpeza de folhas e instalação de blocos de concreto pré-moldados sem argamassa. (Treinamento fornecido, se necessário)."&amp;" Nível inicial; requer supervisão. Classificação da vaga: 37-3011.00 - Trabalhadores de Paisagismo e Manutenção de Terrenos. A classificação e descrição da vaga/setor incluem informações gerais sobre o cargo, de acordo com o ONET/OES e o Sistema de Classi"&amp;"ficação Industrial da América do Norte. Consulte as Funções e a Ordem de Serviço para obter mais informações. Requisitos da vaga: Experiência necessária: Sim. Meses de experiência necessários: 3. Requisitos especiais: Requer três meses de experiência prév"&amp;"ia em paisagismo. Deve ser capaz de levantar/carregar 23 kg, quando necessário. Trabalho aos sábados e domingos, quando necessário. Após a contratação, em caso de suspeita de uso de drogas e após acidentes, é obrigatório o teste toxicológico para trabalha"&amp;"dores estrangeiros e nacionais. Trabalhadores com carteira de habilitação válida nos EUA podem operar caminhonetes com tração nas quatro rodas (dirigir não é um requisito para todos os funcionários da função). A verificação do histórico de condução e o te"&amp;"ste toxicológico são obrigatórios para todos os trabalhadores de paisagismo, estrangeiros e nacionais, que dirigem veículos da empresa (dirigir não é um requisito para todos os funcionários da função). O empregador pode oferecer uma jornada de trabalho ma"&amp;"ior do que a estipulada, dependendo das condições climáticas, das necessidades da empresa e de outros fatores. Calor extremo, frio, chuva ou seca podem afetar o horário de trabalho exato. Número de horas por semana: 40. Horário de trabalho (início/término"&amp;"): 7h30 às 16h.")</f>
        <v>Paisagismo e manutenção de terrenos utilizando ferramentas manuais ou elétricas. Os trabalhadores geralmente executam uma variedade de tarefas, que podem incluir qualquer combinação das seguintes: colocação de grama, corte de grama, operação de cortador de grama de giro zero, acabamento de bordas, cobertura morta, poda, plantio, rega, poda de galhos, fertilização, escavação, rastelagem, limpeza de folhas e instalação de blocos de concreto pré-moldados sem argamassa. (Treinamento fornecido, se necessário). Nível inicial; requer supervisão. Classificação da vaga: 37-3011.00 - Trabalhadores de Paisagismo e Manutenção de Terrenos. A classificação e descrição da vaga/setor incluem informações gerais sobre o cargo, de acordo com o ONET/OES e o Sistema de Classificação Industrial da América do Norte. Consulte as Funções e a Ordem de Serviço para obter mais informações. Requisitos da vaga: Experiência necessária: Sim. Meses de experiência necessários: 3. Requisitos especiais: Requer três meses de experiência prévia em paisagismo. Deve ser capaz de levantar/carregar 23 kg, quando necessário. Trabalho aos sábados e domingos, quando necessário. Após a contratação, em caso de suspeita de uso de drogas e após acidentes, é obrigatório o teste toxicológico para trabalhadores estrangeiros e nacionais. Trabalhadores com carteira de habilitação válida nos EUA podem operar caminhonetes com tração nas quatro rodas (dirigir não é um requisito para todos os funcionários da função). A verificação do histórico de condução e o teste toxicológico são obrigatórios para todos os trabalhadores de paisagismo, estrangeiros e nacionais, que dirigem veículos da empresa (dirigir não é um requisito para todos os funcionários da função). O empregador pode oferecer uma jornada de trabalho maior do que a estipulada, dependendo das condições climáticas, das necessidades da empresa e de outros fatores. Calor extremo, frio, chuva ou seca podem afetar o horário de trabalho exato. Número de horas por semana: 40. Horário de trabalho (início/término): 7h30 às 16h.</v>
      </c>
    </row>
    <row r="595" ht="20.25" customHeight="1">
      <c r="A595" s="8" t="s">
        <v>2908</v>
      </c>
      <c r="B595" s="8" t="s">
        <v>2909</v>
      </c>
      <c r="C595" s="8" t="s">
        <v>2421</v>
      </c>
      <c r="D595" s="8" t="s">
        <v>79</v>
      </c>
      <c r="E595" s="9" t="s">
        <v>19</v>
      </c>
      <c r="F595" s="9" t="s">
        <v>20</v>
      </c>
      <c r="G595" s="9" t="s">
        <v>80</v>
      </c>
      <c r="H595" s="8" t="s">
        <v>2910</v>
      </c>
      <c r="I595" s="8" t="s">
        <v>2911</v>
      </c>
      <c r="J595" s="9">
        <v>17.68</v>
      </c>
      <c r="K595" s="9">
        <v>43.0</v>
      </c>
      <c r="L595" s="8" t="s">
        <v>83</v>
      </c>
      <c r="M595" s="8" t="s">
        <v>2912</v>
      </c>
      <c r="N595" s="7" t="str">
        <f>IFERROR(__xludf.DUMMYFUNCTION("GOOGLETRANSLATE(L595, ""en"", ""pt"")"),"Trabalhador Florestal")</f>
        <v>Trabalhador Florestal</v>
      </c>
      <c r="O595" s="7" t="str">
        <f>IFERROR(__xludf.DUMMYFUNCTION("IF(M595="""","""",GOOGLETRANSLATE(M595,""en"",""pt""))"),"As funções podem incluir: plantio e desbaste de árvores, pulverização de herbicidas, aplicação de herbicidas em vegetação (hack &amp; Squirt) e iscas para roedores, além de outras atividades relacionadas a trabalhadores florestais, conforme SOC/OES 45-4011 (o"&amp;"netonline.org). Horário padrão/esperado: segunda a sexta, das 6h às 14h. Oferecemos mais de 40 horas semanais, sem incluir almoço e/ou intervalos. Possibilidade de trabalho em fins de semana e feriados. Os horários de início e término, a carga horária e/o"&amp;"u horas extras podem variar, dependendo de fatores como necessidades do projeto/cronograma/serviço, condições climáticas e tempo de deslocamento entre os locais de trabalho (se aplicável). Horas extras são possíveis, mas não obrigatórias nem garantidas. A"&amp;" critério exclusivo do empregador: aumentos salariais e/ou bônus podem ser concedidos com base em fatores individuais, como desempenho ou habilidades (não garantidos). Moradia compartilhada opcional, sem custo para o trabalhador. Classificação da Função: "&amp;"45-4011.00 - Trabalhadores Florestais e de Conservação. A classificação e descrição da função/setor inclui informações gerais sobre o cargo, conforme o ONET/OES e o Sistema de Classificação Industrial da América do Norte. Consulte as Funções e a Ordem de "&amp;"Serviço para obter mais informações. Requisitos da Função: Experiência Necessária: Não. Requisitos Especiais: É necessário ter 18 anos devido a viagens. É necessário apresentar comprovante de autorização legal para trabalhar nos Estados Unidos. Ambiente d"&amp;"e trabalho livre de drogas, álcool e tabaco. É necessário caminhar bastante (até 24 km/dia), além de se abaixar e se curvar carregando uma mochila (até 23 kg) em terrenos acidentados (fora de trilhas). Todos os candidatos devem ser capazes, dispostos e qu"&amp;"alificados para executar o trabalho descrito e devem estar disponíveis durante todo o período especificado e trabalhar em todas as áreas de atuação pretendidas. O trabalho é realizado ao ar livre, exposto às intempéries; o candidato deve ser capaz de real"&amp;"izar trabalho fisicamente extenuante por longos períodos, ocasionalmente em calor ou frio extremos. Condições climáticas variáveis ​​se aplicam; a carga horária pode sofrer alterações (+/-), com possibilidade de períodos de inatividade e/ou horas extras. "&amp;"Número de horas por semana: 40 Horário de trabalho (início/término): 6h00 - 14h00")</f>
        <v>As funções podem incluir: plantio e desbaste de árvores, pulverização de herbicidas, aplicação de herbicidas em vegetação (hack &amp; Squirt) e iscas para roedores, além de outras atividades relacionadas a trabalhadores florestais, conforme SOC/OES 45-4011 (onetonline.org). Horário padrão/esperado: segunda a sexta, das 6h às 14h. Oferecemos mais de 40 horas semanais, sem incluir almoço e/ou intervalos. Possibilidade de trabalho em fins de semana e feriados. Os horários de início e término, a carga horária e/ou horas extras podem variar, dependendo de fatores como necessidades do projeto/cronograma/serviço, condições climáticas e tempo de deslocamento entre os locais de trabalho (se aplicável). Horas extras são possíveis, mas não obrigatórias nem garantidas. A critério exclusivo do empregador: aumentos salariais e/ou bônus podem ser concedidos com base em fatores individuais, como desempenho ou habilidades (não garantidos). Moradia compartilhada opcional, sem custo para o trabalhador. Classificação da Função: 45-4011.00 - Trabalhadores Florestais e de Conservação. A classificação e descrição da função/setor inclui informações gerais sobre o cargo, conforme o ONET/OES e o Sistema de Classificação Industrial da América do Norte. Consulte as Funções e a Ordem de Serviço para obter mais informações. Requisitos da Função: Experiência Necessária: Não. Requisitos Especiais: É necessário ter 18 anos devido a viagens. É necessário apresentar comprovante de autorização legal para trabalhar nos Estados Unidos. Ambiente de trabalho livre de drogas, álcool e tabaco. É necessário caminhar bastante (até 24 km/dia), além de se abaixar e se curvar carregando uma mochila (até 23 kg) em terrenos acidentados (fora de trilhas). Todos os candidatos devem ser capazes, dispostos e qualificados para executar o trabalho descrito e devem estar disponíveis durante todo o período especificado e trabalhar em todas as áreas de atuação pretendidas. O trabalho é realizado ao ar livre, exposto às intempéries; o candidato deve ser capaz de realizar trabalho fisicamente extenuante por longos períodos, ocasionalmente em calor ou frio extremos. Condições climáticas variáveis ​​se aplicam; a carga horária pode sofrer alterações (+/-), com possibilidade de períodos de inatividade e/ou horas extras. Número de horas por semana: 40 Horário de trabalho (início/término): 6h00 - 14h00</v>
      </c>
    </row>
    <row r="596" ht="20.25" customHeight="1">
      <c r="A596" s="3" t="s">
        <v>2913</v>
      </c>
      <c r="B596" s="3" t="s">
        <v>2914</v>
      </c>
      <c r="C596" s="3" t="s">
        <v>1131</v>
      </c>
      <c r="D596" s="3" t="s">
        <v>1197</v>
      </c>
      <c r="E596" s="4" t="s">
        <v>19</v>
      </c>
      <c r="F596" s="4" t="s">
        <v>20</v>
      </c>
      <c r="G596" s="4" t="s">
        <v>404</v>
      </c>
      <c r="H596" s="3" t="s">
        <v>2915</v>
      </c>
      <c r="I596" s="3" t="s">
        <v>2916</v>
      </c>
      <c r="J596" s="4">
        <v>20.43</v>
      </c>
      <c r="K596" s="4">
        <v>16.0</v>
      </c>
      <c r="L596" s="3" t="s">
        <v>387</v>
      </c>
      <c r="M596" s="3" t="s">
        <v>2917</v>
      </c>
      <c r="N596" s="7" t="str">
        <f>IFERROR(__xludf.DUMMYFUNCTION("GOOGLETRANSLATE(L596, ""en"", ""pt"")"),"Ordem de serviço não disponível")</f>
        <v>Ordem de serviço não disponível</v>
      </c>
      <c r="O596" s="7" t="str">
        <f>IFERROR(__xludf.DUMMYFUNCTION("IF(M596="""","""",GOOGLETRANSLATE(M596,""en"",""pt""))"),"Preparar e abastecer as estações de trabalho designadas com todos os suprimentos necessários antes do serviço. Preparar os ingredientes, limpando, cortando, picando, misturando e porcionando de acordo com as receitas estabelecidas. Cozinhar os itens do ca"&amp;"rdápio utilizando as técnicas adequadas, incluindo grelhar, fritar, refogar e outros métodos aplicáveis. Empratar e apresentar os pratos de acordo com os padrões estabelecidos e as instruções do chef. Manter a qualidade, a consistência e o tempo de prepar"&amp;"o dos alimentos para proporcionar uma excelente experiência ao cliente. Comunicar-se de forma eficaz com a equipe da cozinha e do salão para garantir a conclusão precisa e oportuna dos pedidos. Manter a estação de trabalho limpa e organizada durante todo "&amp;"o turno e lavar e guardar adequadamente todos os equipamentos e utensílios ao final do expediente. Seguir todos os procedimentos de segurança alimentar, higiene e armazenamento, incluindo verificações de estoque e rotação de alimentos. Classificação do Ca"&amp;"rgo: 35-2014.00 - Cozinheiros, Restaurante. A classificação e a descrição do cargo/setor incluem informações gerais sobre a posição, de acordo com o ONET/OES e o Sistema de Classificação Industrial da América do Norte. Consulte as Funções e a Ordem de Ser"&amp;"viço para obter mais informações. Requisitos do Cargo: Experiência Necessária: Não. Requisitos Especiais: Deve ser capaz de levantar/carregar 18 kg, quando necessário. Trabalho aos sábados e domingos, quando necessário. Número de horas por semana: 35 Horá"&amp;"rio de trabalho (início/término): 9h00 - 17h00")</f>
        <v>Preparar e abastecer as estações de trabalho designadas com todos os suprimentos necessários antes do serviço. Preparar os ingredientes, limpando, cortando, picando, misturando e porcionando de acordo com as receitas estabelecidas. Cozinhar os itens do cardápio utilizando as técnicas adequadas, incluindo grelhar, fritar, refogar e outros métodos aplicáveis. Empratar e apresentar os pratos de acordo com os padrões estabelecidos e as instruções do chef. Manter a qualidade, a consistência e o tempo de preparo dos alimentos para proporcionar uma excelente experiência ao cliente. Comunicar-se de forma eficaz com a equipe da cozinha e do salão para garantir a conclusão precisa e oportuna dos pedidos. Manter a estação de trabalho limpa e organizada durante todo o turno e lavar e guardar adequadamente todos os equipamentos e utensílios ao final do expediente. Seguir todos os procedimentos de segurança alimentar, higiene e armazenamento, incluindo verificações de estoque e rotação de alimentos. Classificação do Cargo: 35-2014.00 - Cozinheiros, Restaurante. A classificação e a descrição do cargo/setor incluem informações gerais sobre a posição, de acordo com o ONET/OES e o Sistema de Classificação Industrial da América do Norte. Consulte as Funções e a Ordem de Serviço para obter mais informações. Requisitos do Cargo: Experiência Necessária: Não. Requisitos Especiais: Deve ser capaz de levantar/carregar 18 kg, quando necessário. Trabalho aos sábados e domingos, quando necessário. Número de horas por semana: 35 Horário de trabalho (início/término): 9h00 - 17h00</v>
      </c>
    </row>
    <row r="597" ht="20.25" customHeight="1">
      <c r="A597" s="8" t="s">
        <v>2918</v>
      </c>
      <c r="B597" s="8" t="s">
        <v>2914</v>
      </c>
      <c r="C597" s="8" t="s">
        <v>1131</v>
      </c>
      <c r="D597" s="8" t="s">
        <v>1197</v>
      </c>
      <c r="E597" s="9" t="s">
        <v>44</v>
      </c>
      <c r="F597" s="9" t="s">
        <v>20</v>
      </c>
      <c r="G597" s="9" t="s">
        <v>404</v>
      </c>
      <c r="H597" s="8" t="s">
        <v>2915</v>
      </c>
      <c r="I597" s="8" t="s">
        <v>2528</v>
      </c>
      <c r="J597" s="9">
        <v>24.64</v>
      </c>
      <c r="K597" s="9">
        <v>6.0</v>
      </c>
      <c r="L597" s="8" t="s">
        <v>1206</v>
      </c>
      <c r="M597" s="8" t="s">
        <v>2919</v>
      </c>
      <c r="N597" s="7" t="str">
        <f>IFERROR(__xludf.DUMMYFUNCTION("GOOGLETRANSLATE(L597, ""en"", ""pt"")"),"Servidor")</f>
        <v>Servidor</v>
      </c>
      <c r="O597" s="7" t="str">
        <f>IFERROR(__xludf.DUMMYFUNCTION("IF(M597="""","""",GOOGLETRANSLATE(M597,""en"",""pt""))"),"Receber os clientes e prestar serviço de mesa com eficiência e cortesia. Apresentar os menus, responder a perguntas sobre os itens do cardápio, pratos do dia e bebidas, e fazer recomendações quando solicitado. Anotar e entregar os pedidos de comida e bebi"&amp;"da aos clientes de forma precisa, rápida, cortês e profissional. Conhecer todos os itens do cardápio, ingredientes e alérgenos. Verificar a satisfação dos clientes durante a refeição e solucionar quaisquer problemas prontamente. Manter a estação de trabal"&amp;"ho designada, incluindo a preparação adequada das mesas, pré-limpeza, limpeza e reposição. Colaborar com a equipe da cozinha, bar, recepção e atendimento para garantir o bom funcionamento do estabelecimento. Seguir todas as normas sanitárias, diretrizes d"&amp;"e segurança e padrões de atendimento ao cliente. Classificação da vaga: 35-3031.00 - Garçons e Garçonetes. A classificação e descrição da vaga/setor incluem informações gerais sobre o cargo, de acordo com o ONET/OES e o Sistema de Classificação Industrial"&amp;" da América do Norte. Consulte as Funções e a Ordem de Serviço para obter mais informações. Requisitos da vaga: Experiência necessária: Não. Requisitos especiais: Deve ser capaz de levantar/carregar 9 kg, quando necessário. Trabalho aos sábados e domingos"&amp;", quando necessário. Número de horas por semana: 35 Horário de trabalho (início/término): 7h00 - 15h00")</f>
        <v>Receber os clientes e prestar serviço de mesa com eficiência e cortesia. Apresentar os menus, responder a perguntas sobre os itens do cardápio, pratos do dia e bebidas, e fazer recomendações quando solicitado. Anotar e entregar os pedidos de comida e bebida aos clientes de forma precisa, rápida, cortês e profissional. Conhecer todos os itens do cardápio, ingredientes e alérgenos. Verificar a satisfação dos clientes durante a refeição e solucionar quaisquer problemas prontamente. Manter a estação de trabalho designada, incluindo a preparação adequada das mesas, pré-limpeza, limpeza e reposição. Colaborar com a equipe da cozinha, bar, recepção e atendimento para garantir o bom funcionamento do estabelecimento. Seguir todas as normas sanitárias, diretrizes de segurança e padrões de atendimento ao cliente. Classificação da vaga: 35-3031.00 - Garçons e Garçonetes. A classificação e descrição da vaga/setor incluem informações gerais sobre o cargo, de acordo com o ONET/OES e o Sistema de Classificação Industrial da América do Norte. Consulte as Funções e a Ordem de Serviço para obter mais informações. Requisitos da vaga: Experiência necessária: Não. Requisitos especiais: Deve ser capaz de levantar/carregar 9 kg, quando necessário. Trabalho aos sábados e domingos, quando necessário. Número de horas por semana: 35 Horário de trabalho (início/término): 7h00 - 15h00</v>
      </c>
    </row>
    <row r="598" ht="20.25" customHeight="1">
      <c r="A598" s="3" t="s">
        <v>2920</v>
      </c>
      <c r="B598" s="3" t="s">
        <v>2921</v>
      </c>
      <c r="C598" s="3" t="s">
        <v>93</v>
      </c>
      <c r="D598" s="3" t="s">
        <v>1297</v>
      </c>
      <c r="E598" s="4" t="s">
        <v>19</v>
      </c>
      <c r="F598" s="4" t="s">
        <v>20</v>
      </c>
      <c r="G598" s="4" t="s">
        <v>236</v>
      </c>
      <c r="H598" s="3" t="s">
        <v>2922</v>
      </c>
      <c r="I598" s="3" t="s">
        <v>2923</v>
      </c>
      <c r="J598" s="4">
        <v>18.54</v>
      </c>
      <c r="K598" s="4">
        <v>20.0</v>
      </c>
      <c r="L598" s="3" t="s">
        <v>321</v>
      </c>
      <c r="M598" s="3" t="s">
        <v>2924</v>
      </c>
      <c r="N598" s="7" t="str">
        <f>IFERROR(__xludf.DUMMYFUNCTION("GOOGLETRANSLATE(L598, ""en"", ""pt"")"),"Trabalhadores de paisagismo")</f>
        <v>Trabalhadores de paisagismo</v>
      </c>
      <c r="O598" s="7" t="str">
        <f>IFERROR(__xludf.DUMMYFUNCTION("IF(M598="""","""",GOOGLETRANSLATE(M598,""en"",""pt""))"),"Paisagismo e manutenção de terrenos utilizando ferramentas manuais ou elétricas. Os trabalhadores geralmente executam uma variedade de tarefas, que podem incluir qualquer combinação das seguintes: colocação de grama, corte de grama, poda, plantio, rega, f"&amp;"ertilização, escavação e rastelagem. Nível inicial; requer supervisão. Classificação da vaga: 37-3011.00 - Trabalhadores de Paisagismo e Manutenção de Terrenos. A classificação e descrição da vaga/setor incluem informações gerais sobre o cargo, de acordo "&amp;"com o ONET/OES e o Sistema de Classificação Industrial da América do Norte (NAICS). Consulte as Funções e a Ordem de Serviço para obter mais informações. Requisitos da vaga: Experiência necessária: Não. Requisitos especiais: Deve ser capaz de levantar/car"&amp;"regar 23 kg, quando necessário. Trabalho aos sábados, quando necessário. O empregador pode oferecer mais horas de trabalho do que as indicadas, dependendo do clima, das necessidades da empresa e de outras condições. Calor extremo, frio, chuva ou seca pode"&amp;"m afetar o horário de trabalho exato. Número de horas por semana: 40. Horário de trabalho (início/término): 7h30 às 15h30.")</f>
        <v>Paisagismo e manutenção de terrenos utilizando ferramentas manuais ou elétricas. Os trabalhadores geralmente executam uma variedade de tarefas, que podem incluir qualquer combinação das seguintes: colocação de grama, corte de grama, poda, plantio, rega, fertilização, escavação e rastelagem. Nível inicial; requer supervisão. Classificação da vaga: 37-3011.00 - Trabalhadores de Paisagismo e Manutenção de Terrenos. A classificação e descrição da vaga/setor incluem informações gerais sobre o cargo, de acordo com o ONET/OES e o Sistema de Classificação Industrial da América do Norte (NAICS). Consulte as Funções e a Ordem de Serviço para obter mais informações. Requisitos da vaga: Experiência necessária: Não. Requisitos especiais: Deve ser capaz de levantar/carregar 23 kg, quando necessário. Trabalho aos sábados, quando necessário. O empregador pode oferecer mais horas de trabalho do que as indicadas, dependendo do clima, das necessidades da empresa e de outras condições. Calor extremo, frio, chuva ou seca podem afetar o horário de trabalho exato. Número de horas por semana: 40. Horário de trabalho (início/término): 7h30 às 15h30.</v>
      </c>
    </row>
    <row r="599" ht="20.25" customHeight="1">
      <c r="A599" s="8" t="s">
        <v>2925</v>
      </c>
      <c r="B599" s="8" t="s">
        <v>2926</v>
      </c>
      <c r="C599" s="8" t="s">
        <v>2421</v>
      </c>
      <c r="D599" s="8" t="s">
        <v>306</v>
      </c>
      <c r="E599" s="9" t="s">
        <v>19</v>
      </c>
      <c r="F599" s="9" t="s">
        <v>20</v>
      </c>
      <c r="G599" s="9" t="s">
        <v>80</v>
      </c>
      <c r="H599" s="8" t="s">
        <v>2927</v>
      </c>
      <c r="I599" s="8" t="s">
        <v>2928</v>
      </c>
      <c r="J599" s="9">
        <v>19.93</v>
      </c>
      <c r="K599" s="9">
        <v>10.0</v>
      </c>
      <c r="L599" s="8" t="s">
        <v>59</v>
      </c>
      <c r="M599" s="8" t="s">
        <v>2929</v>
      </c>
      <c r="N599" s="7" t="str">
        <f>IFERROR(__xludf.DUMMYFUNCTION("GOOGLETRANSLATE(L599, ""en"", ""pt"")"),"Trabalhador de paisagismo")</f>
        <v>Trabalhador de paisagismo</v>
      </c>
      <c r="O599" s="7" t="str">
        <f>IFERROR(__xludf.DUMMYFUNCTION("IF(M599="""","""",GOOGLETRANSLATE(M599,""en"",""pt""))"),"As funções podem incluir: cuidar de gramados já estabelecidos, cortando, aparando, aparando as bordas, aplicando cobertura morta, aerando, capinando, removendo palha, lixo, folhas e detritos. Podar ou aparar árvores, arbustos e folhagens rente ao solo. Re"&amp;"gar gramados, árvores e plantas usando sistemas de irrigação portáteis. Manter canteiros de flores, calçadas, entradas de garagem e estacionamentos em boas condições, incluindo a remoção de neve com pá e arado e a aplicação de sal. Utilizar ferramentas ma"&amp;"nuais, como pás, ancinhos, carrinhos de mão, tesouras de poda e serras de poda. Operar equipamentos motorizados, como cortadores de grama, aparadores, bordadeiras, sopradores de folhas, sopradores de neve e outras atividades relacionadas a serviços de pai"&amp;"sagismo, conforme SOC/OES 37-3011 (onetonline.org). Horário padrão/esperado: segunda a sexta, das 7h às 17h. Oferecemos mais de 40 horas semanais, sem incluir o horário de almoço e/ou intervalos. Possibilidade de trabalho aos fins de semana/feriados. Os h"&amp;"orários de início e término, a carga horária oferecida e/ou as horas extras podem variar, pois dependem de fatores como necessidades do projeto/cronograma/serviço, condições climáticas e tempo de deslocamento entre os locais de trabalho (se aplicável). Ho"&amp;"ras extras são possíveis, mas não obrigatórias nem garantidas. A critério exclusivo do empregador: aumentos salariais e/ou bônus podem ser concedidos com base em fatores individuais, como desempenho ou habilidades (não garantidos). Classificação da vaga: "&amp;"37-3011.00 - Trabalhadores de Paisagismo e Manutenção de Áreas Verdes. A classificação e a descrição da vaga/setor incluem informações gerais sobre o cargo, conforme o ONET/OES e o Sistema de Classificação Industrial da América do Norte (NAICS). Consulte "&amp;"as Funções e a Ordem de Serviço para obter mais informações. Requisitos da vaga: Experiência exigida: Não. Requisitos especiais: É necessário ter 18 anos ou mais devido a questões de seguro. É necessário apresentar comprovante de autorização legal para tr"&amp;"abalhar nos Estados Unidos. Ambiente de trabalho livre de drogas, álcool e tabaco. Executar atividades físicas, como levantar, equilibrar-se, caminhar, abaixar-se, manusear, posicionar, mover e manipular materiais; usar força estática para exercer força m"&amp;"uscular máxima para levantar, empurrar, puxar e carregar objetos de até 23 kg (50 lbs). Todos os candidatos devem ser capazes, dispostos e qualificados para executar o trabalho descrito e devem estar disponíveis durante todo o período especificado e traba"&amp;"lhar em todas as áreas da empresa. O trabalho é realizado ao ar livre, exposto às intempéries; o candidato deve ser capaz de realizar trabalho fisicamente extenuante por longos períodos, ocasionalmente em calor ou frio extremos. As condições climáticas sã"&amp;"o variáveis; a carga horária pode sofrer alterações (+/-), com possibilidade de períodos de inatividade e/ou horas extras. Número de horas por semana: 40. Horário de trabalho (início/término): 7h às 17h.")</f>
        <v>As funções podem incluir: cuidar de gramados já estabelecidos, cortando, aparando, aparando as bordas, aplicando cobertura morta, aerando, capinando, removendo palha, lixo, folhas e detritos. Podar ou aparar árvores, arbustos e folhagens rente ao solo. Regar gramados, árvores e plantas usando sistemas de irrigação portáteis. Manter canteiros de flores, calçadas, entradas de garagem e estacionamentos em boas condições, incluindo a remoção de neve com pá e arado e a aplicação de sal. Utilizar ferramentas manuais, como pás, ancinhos, carrinhos de mão, tesouras de poda e serras de poda. Operar equipamentos motorizados, como cortadores de grama, aparadores, bordadeiras, sopradores de folhas, sopradores de neve e outras atividades relacionadas a serviços de paisagismo, conforme SOC/OES 37-3011 (onetonline.org). Horário padrão/esperado: segunda a sexta, das 7h às 17h. Oferecemos mais de 40 horas semanais, sem incluir o horário de almoço e/ou intervalos. Possibilidade de trabalho aos fins de semana/feriados. Os horários de início e término, a carga horária oferecida e/ou as horas extras podem variar, pois dependem de fatores como necessidades do projeto/cronograma/serviço, condições climáticas e tempo de deslocamento entre os locais de trabalho (se aplicável). Horas extras são possíveis, mas não obrigatórias nem garantidas. A critério exclusivo do empregador: aumentos salariais e/ou bônus podem ser concedidos com base em fatores individuais, como desempenho ou habilidades (não garantidos). Classificação da vaga: 37-3011.00 - Trabalhadores de Paisagismo e Manutenção de Áreas Verdes. A classificação e a descrição da vaga/setor incluem informações gerais sobre o cargo, conforme o ONET/OES e o Sistema de Classificação Industrial da América do Norte (NAICS). Consulte as Funções e a Ordem de Serviço para obter mais informações. Requisitos da vaga: Experiência exigida: Não. Requisitos especiais: É necessário ter 18 anos ou mais devido a questões de seguro. É necessário apresentar comprovante de autorização legal para trabalhar nos Estados Unidos. Ambiente de trabalho livre de drogas, álcool e tabaco. Executar atividades físicas, como levantar, equilibrar-se, caminhar, abaixar-se, manusear, posicionar, mover e manipular materiais; usar força estática para exercer força muscular máxima para levantar, empurrar, puxar e carregar objetos de até 23 kg (50 lbs). Todos os candidatos devem ser capazes, dispostos e qualificados para executar o trabalho descrito e devem estar disponíveis durante todo o período especificado e trabalhar em todas as áreas da empresa. O trabalho é realizado ao ar livre, exposto às intempéries; o candidato deve ser capaz de realizar trabalho fisicamente extenuante por longos períodos, ocasionalmente em calor ou frio extremos. As condições climáticas são variáveis; a carga horária pode sofrer alterações (+/-), com possibilidade de períodos de inatividade e/ou horas extras. Número de horas por semana: 40. Horário de trabalho (início/término): 7h às 17h.</v>
      </c>
    </row>
    <row r="600" ht="20.25" customHeight="1">
      <c r="A600" s="3" t="s">
        <v>2930</v>
      </c>
      <c r="B600" s="3" t="s">
        <v>2931</v>
      </c>
      <c r="C600" s="3" t="s">
        <v>93</v>
      </c>
      <c r="D600" s="3" t="s">
        <v>71</v>
      </c>
      <c r="E600" s="4" t="s">
        <v>44</v>
      </c>
      <c r="F600" s="4" t="s">
        <v>20</v>
      </c>
      <c r="G600" s="4" t="s">
        <v>2932</v>
      </c>
      <c r="H600" s="3" t="s">
        <v>2933</v>
      </c>
      <c r="I600" s="3" t="s">
        <v>2934</v>
      </c>
      <c r="J600" s="4">
        <v>15.0</v>
      </c>
      <c r="K600" s="4">
        <v>55.0</v>
      </c>
      <c r="L600" s="3" t="s">
        <v>2935</v>
      </c>
      <c r="M600" s="3" t="s">
        <v>2936</v>
      </c>
      <c r="N600" s="7" t="str">
        <f>IFERROR(__xludf.DUMMYFUNCTION("GOOGLETRANSLATE(L600, ""en"", ""pt"")"),"Empacotador de linha de frutas")</f>
        <v>Empacotador de linha de frutas</v>
      </c>
      <c r="O600" s="7" t="str">
        <f>IFERROR(__xludf.DUMMYFUNCTION("IF(M600="""","""",GOOGLETRANSLATE(M600,""en"",""pt""))"),"Auxiliar na embalagem de produtos agrícolas em uma instalação de produção com temperatura controlada, mantida entre 4 e 10 graus Celsius. As tarefas incluem: despejar produtos de caixas nas linhas de processamento e embalagem, manusear, levantar, verifica"&amp;"r e fixar materiais de embalagem em um armazém, embalar embalagens clamshell de produtos em caixas de transporte, garantir a presença da etiqueta/aplicá-la se estiver faltando, empilhar o produto acabado em paletes e etiquetar para envio, limpar contêiner"&amp;"es, materiais, suprimentos ou áreas de trabalho, usando soluções de limpeza e ferramentas manuais, separar frutas para processamento ou embalagem em embalagens clamshell. É necessário manter uma área de trabalho segura. Nível inicial; requer supervisão. C"&amp;"lassificação do Cargo: 53-7064.00 - Embaladores e Acondicionadores Manuais. A classificação e descrição do cargo/setor inclui informações gerais sobre a posição de acordo com o ONET/OES e o Sistema de Classificação Industrial da América do Norte. Consulte"&amp;" as Funções e a Ordem de Serviço para obter mais informações. Requisitos do Cargo Experiência Necessária: Não. Requisitos Especiais: O trabalho exige flexão, preensão, puxar e levantar com frequência, incluindo levantamento repetitivo acima da cabeça. Dev"&amp;"e ser capaz de levantar/carregar até 23 kg (50 lbs), quando necessário. Deve ser capaz de permanecer em pé por longos períodos. O horário de trabalho é das 8h às 15h30 de segunda a sexta-feira e das 8h às 13h30 aos sábados. Trabalho aos domingos será exig"&amp;"ido, quando necessário. Após a contratação, em caso de suspeita de uso de drogas, e após acidentes, serão realizados testes toxicológicos em trabalhadores estrangeiros e nacionais. Número de horas por semana: 40. Horário de trabalho (início/término): 8h à"&amp;"s 15h30.")</f>
        <v>Auxiliar na embalagem de produtos agrícolas em uma instalação de produção com temperatura controlada, mantida entre 4 e 10 graus Celsius. As tarefas incluem: despejar produtos de caixas nas linhas de processamento e embalagem, manusear, levantar, verificar e fixar materiais de embalagem em um armazém, embalar embalagens clamshell de produtos em caixas de transporte, garantir a presença da etiqueta/aplicá-la se estiver faltando, empilhar o produto acabado em paletes e etiquetar para envio, limpar contêineres, materiais, suprimentos ou áreas de trabalho, usando soluções de limpeza e ferramentas manuais, separar frutas para processamento ou embalagem em embalagens clamshell. É necessário manter uma área de trabalho segura. Nível inicial; requer supervisão. Classificação do Cargo: 53-7064.00 - Embaladores e Acondicionadores Manuais. A classificação e descrição do cargo/setor inclui informações gerais sobre a posição de acordo com o ONET/OES e o Sistema de Classificação Industrial da América do Norte. Consulte as Funções e a Ordem de Serviço para obter mais informações. Requisitos do Cargo Experiência Necessária: Não. Requisitos Especiais: O trabalho exige flexão, preensão, puxar e levantar com frequência, incluindo levantamento repetitivo acima da cabeça. Deve ser capaz de levantar/carregar até 23 kg (50 lbs), quando necessário. Deve ser capaz de permanecer em pé por longos períodos. O horário de trabalho é das 8h às 15h30 de segunda a sexta-feira e das 8h às 13h30 aos sábados. Trabalho aos domingos será exigido, quando necessário. Após a contratação, em caso de suspeita de uso de drogas, e após acidentes, serão realizados testes toxicológicos em trabalhadores estrangeiros e nacionais. Número de horas por semana: 40. Horário de trabalho (início/término): 8h às 15h30.</v>
      </c>
    </row>
    <row r="601" ht="20.25" customHeight="1">
      <c r="A601" s="8" t="s">
        <v>2937</v>
      </c>
      <c r="B601" s="8" t="s">
        <v>2938</v>
      </c>
      <c r="C601" s="8" t="s">
        <v>248</v>
      </c>
      <c r="D601" s="8" t="s">
        <v>249</v>
      </c>
      <c r="E601" s="9" t="s">
        <v>19</v>
      </c>
      <c r="F601" s="9" t="s">
        <v>20</v>
      </c>
      <c r="G601" s="9" t="s">
        <v>56</v>
      </c>
      <c r="H601" s="8" t="s">
        <v>2939</v>
      </c>
      <c r="I601" s="8" t="s">
        <v>2940</v>
      </c>
      <c r="J601" s="9">
        <v>18.91</v>
      </c>
      <c r="K601" s="9">
        <v>2.0</v>
      </c>
      <c r="L601" s="8" t="s">
        <v>239</v>
      </c>
      <c r="M601" s="8" t="s">
        <v>2941</v>
      </c>
      <c r="N601" s="7" t="str">
        <f>IFERROR(__xludf.DUMMYFUNCTION("GOOGLETRANSLATE(L601, ""en"", ""pt"")"),"Especialista em manutenção de jardins")</f>
        <v>Especialista em manutenção de jardins</v>
      </c>
      <c r="O601" s="7" t="str">
        <f>IFERROR(__xludf.DUMMYFUNCTION("IF(M601="""","""",GOOGLETRANSLATE(M601,""en"",""pt""))"),"Paisagismo e manutenção de terrenos utilizando ferramentas manuais ou elétricas. Os trabalhadores devem ser capazes de executar uma variedade de tarefas, que podem incluir qualquer combinação das seguintes: colocação de grama, corte de grama, poda, planti"&amp;"o, irrigação, fertilização, escavação e rastelagem; auxílio na instalação de sprinklers e na instalação de blocos de concreto pré-moldados sem argamassa. Nível inicial, requer supervisão. Classificação da vaga: 37-3011.00 - Trabalhadores de Paisagismo e M"&amp;"anutenção de Terrenos. A classificação e descrição da vaga/setor incluem informações gerais sobre o cargo, de acordo com o ONET/OES e o Sistema de Classificação Industrial da América do Norte (NAICS). Consulte as Funções e a Ordem de Serviço para obter ma"&amp;"is informações. Requisitos da vaga: Experiência exigida: Não. Requisitos especiais: Deve ser capaz de levantar/carregar 23 kg, quando necessário. Trabalho aos sábados e domingos, quando necessário. Teste de drogas pago pelo empregador é obrigatório para t"&amp;"rabalhadores estrangeiros e nacionais antes do início do trabalho e após a contratação, aleatoriamente, em caso de suspeita de uso e após acidente. Não é necessário possuir carteira de habilitação válida para esta vaga; no entanto, será necessária uma ver"&amp;"ificação do histórico de condução para funcionários estrangeiros e nacionais que dirigirem veículos da empresa voluntariamente. O empregador poderá oferecer uma jornada de trabalho superior à estipulada, dependendo das condições climáticas, das necessidad"&amp;"es da empresa e de outros fatores. Calor extremo, frio intenso, chuva ou seca podem afetar o horário de trabalho exato. Número de horas por semana: 40. Horário de trabalho (início/término): 7h30 às 16h.")</f>
        <v>Paisagismo e manutenção de terrenos utilizando ferramentas manuais ou elétricas. Os trabalhadores devem ser capazes de executar uma variedade de tarefas, que podem incluir qualquer combinação das seguintes: colocação de grama, corte de grama, poda, plantio, irrigação, fertilização, escavação e rastelagem; auxílio na instalação de sprinklers e na instalação de blocos de concreto pré-moldados sem argamassa. Nível inicial, requer supervisão. Classificação da vaga: 37-3011.00 - Trabalhadores de Paisagismo e Manutenção de Terrenos. A classificação e descrição da vaga/setor incluem informações gerais sobre o cargo, de acordo com o ONET/OES e o Sistema de Classificação Industrial da América do Norte (NAICS). Consulte as Funções e a Ordem de Serviço para obter mais informações. Requisitos da vaga: Experiência exigida: Não. Requisitos especiais: Deve ser capaz de levantar/carregar 23 kg, quando necessário. Trabalho aos sábados e domingos, quando necessário. Teste de drogas pago pelo empregador é obrigatório para trabalhadores estrangeiros e nacionais antes do início do trabalho e após a contratação, aleatoriamente, em caso de suspeita de uso e após acidente. Não é necessário possuir carteira de habilitação válida para esta vaga; no entanto, será necessária uma verificação do histórico de condução para funcionários estrangeiros e nacionais que dirigirem veículos da empresa voluntariamente. O empregador poderá oferecer uma jornada de trabalho superior à estipulada, dependendo das condições climáticas, das necessidades da empresa e de outros fatores. Calor extremo, frio intenso, chuva ou seca podem afetar o horário de trabalho exato. Número de horas por semana: 40. Horário de trabalho (início/término): 7h30 às 16h.</v>
      </c>
    </row>
    <row r="602" ht="20.25" customHeight="1">
      <c r="A602" s="3" t="s">
        <v>2942</v>
      </c>
      <c r="B602" s="3" t="s">
        <v>2943</v>
      </c>
      <c r="C602" s="3" t="s">
        <v>93</v>
      </c>
      <c r="D602" s="3" t="s">
        <v>1051</v>
      </c>
      <c r="E602" s="4" t="s">
        <v>19</v>
      </c>
      <c r="F602" s="4" t="s">
        <v>20</v>
      </c>
      <c r="G602" s="4" t="s">
        <v>506</v>
      </c>
      <c r="H602" s="3" t="s">
        <v>2944</v>
      </c>
      <c r="I602" s="3" t="s">
        <v>2945</v>
      </c>
      <c r="J602" s="4">
        <v>21.7</v>
      </c>
      <c r="K602" s="4">
        <v>8.0</v>
      </c>
      <c r="L602" s="3" t="s">
        <v>59</v>
      </c>
      <c r="M602" s="3" t="s">
        <v>2946</v>
      </c>
      <c r="N602" s="7" t="str">
        <f>IFERROR(__xludf.DUMMYFUNCTION("GOOGLETRANSLATE(L602, ""en"", ""pt"")"),"Trabalhador de paisagismo")</f>
        <v>Trabalhador de paisagismo</v>
      </c>
      <c r="O602" s="7" t="str">
        <f>IFERROR(__xludf.DUMMYFUNCTION("IF(M602="""","""",GOOGLETRANSLATE(M602,""en"",""pt""))"),"Realizar a manutenção paisagística ou de terrenos utilizando ferramentas manuais ou elétricas. Os funcionários geralmente executam uma variedade de tarefas, que podem incluir qualquer combinação das seguintes: colocação de grama, poda, plantio, rega, esca"&amp;"vação, espalhamento de cobertura vegetal e terra vegetal, rastelagem, reparo de cercas, instalação/manutenção de árvores, arbustos e plantas no local, remoção de folhas, instalação de blocos de alvenaria sem argamassa, auxílio na instalação e manutenção d"&amp;"e sistemas de irrigação, limpeza de detritos como parte do processo de instalação ou serviço. Realizar a limpeza e manutenção básica dos equipamentos quando não estiverem em uso. Funcionários com carteira de habilitação válida nos EUA podem operar veículo"&amp;"s da empresa, mas dirigir não é um requisito para todos os funcionários da função. Devem exercer julgamento independente; podem ser solicitados a demonstrar tarefas a outros funcionários, mas a função não inclui a supervisão de outros trabalhadores. Devem"&amp;" ser capazes de compreender instruções básicas em inglês. Classificação da Função: 37-3011.00 - Trabalhadores de Paisagismo e Manutenção de Jardins. A classificação e descrição da função/setor inclui informações gerais sobre o cargo, de acordo com o ONET/"&amp;"OES e o Sistema de Classificação Industrial da América do Norte (NAICS). Consulte as Funções e a Ordem de Serviço para obter mais informações. Requisitos da Função Experiência Necessária: Sim Meses de Experiência Necessários: 3 Requisitos Especiais: Reque"&amp;"r três meses de experiência prévia em paisagismo. Deve ser capaz de levantar/carregar 32 kg, quando necessário. Trabalho aos sábados e domingos, quando necessário. Exame toxicológico pago pelo empregador é obrigatório para trabalhadores estrangeiros e nac"&amp;"ionais antes do início do trabalho. Verificação de antecedentes criminais após a contratação é obrigatória para trabalhadores estrangeiros e nacionais. O empregador pode oferecer mais horas de trabalho do que as estipuladas, dependendo do clima, das neces"&amp;"sidades da empresa e de outras condições. Calor extremo, frio, chuva ou seca podem afetar o horário de trabalho exato. O empregador fornecerá licença médica aos funcionários. O funcionário acumulará licença médica remunerada a uma taxa mínima de 1 hora pa"&amp;"ra cada 40 horas trabalhadas. Os funcionários têm direito a utilizar a licença médica remunerada acumulada a partir do 90º dia corrido após o início do seu contrato de trabalho, e a licença médica será paga à taxa horária normal do funcionário. A licença "&amp;"médica remunerada não utilizada, de 40 horas ou menos, será transferida para o ano seguinte para os funcionários que retornarem ao trabalho. O empregador deduzirá uma parte do prêmio do seguro de acidentes de trabalho do salário do funcionário, conforme e"&amp;"specificado na lei de Washington, RCW 51.61.140. O empregador reterá dos salários dos funcionários o valor máximo referente à parcela do prêmio do funcionário exigida pela lei estadual de Washington, RCW 50A.04, Programa de Licença Familiar e Médica Remun"&amp;"erada. Número de horas por semana: 40. Horário de trabalho (início/término): 7h30 - 16h.")</f>
        <v>Realizar a manutenção paisagística ou de terrenos utilizando ferramentas manuais ou elétricas. Os funcionários geralmente executam uma variedade de tarefas, que podem incluir qualquer combinação das seguintes: colocação de grama, poda, plantio, rega, escavação, espalhamento de cobertura vegetal e terra vegetal, rastelagem, reparo de cercas, instalação/manutenção de árvores, arbustos e plantas no local, remoção de folhas, instalação de blocos de alvenaria sem argamassa, auxílio na instalação e manutenção de sistemas de irrigação, limpeza de detritos como parte do processo de instalação ou serviço. Realizar a limpeza e manutenção básica dos equipamentos quando não estiverem em uso. Funcionários com carteira de habilitação válida nos EUA podem operar veículos da empresa, mas dirigir não é um requisito para todos os funcionários da função. Devem exercer julgamento independente; podem ser solicitados a demonstrar tarefas a outros funcionários, mas a função não inclui a supervisão de outros trabalhadores. Devem ser capazes de compreender instruções básicas em inglês. Classificação da Função: 37-3011.00 - Trabalhadores de Paisagismo e Manutenção de Jardins. A classificação e descrição da função/setor inclui informações gerais sobre o cargo, de acordo com o ONET/OES e o Sistema de Classificação Industrial da América do Norte (NAICS). Consulte as Funções e a Ordem de Serviço para obter mais informações. Requisitos da Função Experiência Necessária: Sim Meses de Experiência Necessários: 3 Requisitos Especiais: Requer três meses de experiência prévia em paisagismo. Deve ser capaz de levantar/carregar 32 kg, quando necessário. Trabalho aos sábados e domingos, quando necessário. Exame toxicológico pago pelo empregador é obrigatório para trabalhadores estrangeiros e nacionais antes do início do trabalho. Verificação de antecedentes criminais após a contratação é obrigatória para trabalhadores estrangeiros e nacionais. O empregador pode oferecer mais horas de trabalho do que as estipuladas, dependendo do clima, das necessidades da empresa e de outras condições. Calor extremo, frio, chuva ou seca podem afetar o horário de trabalho exato. O empregador fornecerá licença médica aos funcionários. O funcionário acumulará licença médica remunerada a uma taxa mínima de 1 hora para cada 40 horas trabalhadas. Os funcionários têm direito a utilizar a licença médica remunerada acumulada a partir do 90º dia corrido após o início do seu contrato de trabalho, e a licença médica será paga à taxa horária normal do funcionário. A licença médica remunerada não utilizada, de 40 horas ou menos, será transferida para o ano seguinte para os funcionários que retornarem ao trabalho. O empregador deduzirá uma parte do prêmio do seguro de acidentes de trabalho do salário do funcionário, conforme especificado na lei de Washington, RCW 51.61.140. O empregador reterá dos salários dos funcionários o valor máximo referente à parcela do prêmio do funcionário exigida pela lei estadual de Washington, RCW 50A.04, Programa de Licença Familiar e Médica Remunerada. Número de horas por semana: 40. Horário de trabalho (início/término): 7h30 - 16h.</v>
      </c>
    </row>
    <row r="603" ht="20.25" customHeight="1">
      <c r="A603" s="8" t="s">
        <v>2947</v>
      </c>
      <c r="B603" s="8" t="s">
        <v>1719</v>
      </c>
      <c r="C603" s="8" t="s">
        <v>1000</v>
      </c>
      <c r="D603" s="8" t="s">
        <v>344</v>
      </c>
      <c r="E603" s="9" t="s">
        <v>19</v>
      </c>
      <c r="F603" s="9" t="s">
        <v>20</v>
      </c>
      <c r="G603" s="9" t="s">
        <v>118</v>
      </c>
      <c r="H603" s="8" t="s">
        <v>1001</v>
      </c>
      <c r="I603" s="8" t="s">
        <v>1002</v>
      </c>
      <c r="J603" s="9">
        <v>31.79</v>
      </c>
      <c r="K603" s="9">
        <v>10.0</v>
      </c>
      <c r="L603" s="8" t="s">
        <v>1953</v>
      </c>
      <c r="M603" s="8" t="s">
        <v>2948</v>
      </c>
      <c r="N603" s="7" t="str">
        <f>IFERROR(__xludf.DUMMYFUNCTION("GOOGLETRANSLATE(L603, ""en"", ""pt"")"),"Carpinteiros")</f>
        <v>Carpinteiros</v>
      </c>
      <c r="O603" s="7" t="str">
        <f>IFERROR(__xludf.DUMMYFUNCTION("IF(M603="""","""",GOOGLETRANSLATE(M603,""en"",""pt""))"),"Ler e seguir plantas e medidas para construir, erguer, instalar ou reparar estruturas; estruturas de edifícios, incluindo paredes, formas de concreto, janelas e batentes de portas. Instalar revestimento metálico e janelas. Instruir trabalhadores menos qua"&amp;"lificados sobre as tarefas do trabalho. Estará exposto a alturas, temperaturas extremas, atividades físicas extenuantes e movimentos repetitivos. É necessário o uso correto e preciso de trena. Classificação da função: 47-2031.00 - Carpinteiros. A classifi"&amp;"cação e descrição da função/setor inclui informações gerais sobre o cargo, de acordo com o ONET/OES e o Sistema de Classificação Industrial da América do Norte. Consulte as Funções e a Ordem de Serviço para obter mais informações. Requisitos da vaga: Expe"&amp;"riência necessária: Sim. Meses de experiência necessários: 12. Requisitos especiais: Deve ser capaz de levantar e carregar 34 kg por 68 metros. Trabalho em alguns fins de semana. Deve ser capaz de lidar com temperaturas extremas. Deslocamento para locais "&amp;"de trabalho dentro da área de emprego pretendida. Número de horas por semana: 40. Horário de trabalho (início/término): 7h. - 17h00")</f>
        <v>Ler e seguir plantas e medidas para construir, erguer, instalar ou reparar estruturas; estruturas de edifícios, incluindo paredes, formas de concreto, janelas e batentes de portas. Instalar revestimento metálico e janelas. Instruir trabalhadores menos qualificados sobre as tarefas do trabalho. Estará exposto a alturas, temperaturas extremas, atividades físicas extenuantes e movimentos repetitivos. É necessário o uso correto e preciso de trena. Classificação da função: 47-2031.00 - Carpinteiros. A classificação e descrição da função/setor inclui informações gerais sobre o cargo, de acordo com o ONET/OES e o Sistema de Classificação Industrial da América do Norte. Consulte as Funções e a Ordem de Serviço para obter mais informações. Requisitos da vaga: Experiência necessária: Sim. Meses de experiência necessários: 12. Requisitos especiais: Deve ser capaz de levantar e carregar 34 kg por 68 metros. Trabalho em alguns fins de semana. Deve ser capaz de lidar com temperaturas extremas. Deslocamento para locais de trabalho dentro da área de emprego pretendida. Número de horas por semana: 40. Horário de trabalho (início/término): 7h. - 17h00</v>
      </c>
    </row>
    <row r="604" ht="20.25" customHeight="1">
      <c r="A604" s="3" t="s">
        <v>2949</v>
      </c>
      <c r="B604" s="3" t="s">
        <v>999</v>
      </c>
      <c r="C604" s="3" t="s">
        <v>1000</v>
      </c>
      <c r="D604" s="3" t="s">
        <v>498</v>
      </c>
      <c r="E604" s="4" t="s">
        <v>19</v>
      </c>
      <c r="F604" s="4" t="s">
        <v>20</v>
      </c>
      <c r="G604" s="4" t="s">
        <v>146</v>
      </c>
      <c r="H604" s="3" t="s">
        <v>1001</v>
      </c>
      <c r="I604" s="3" t="s">
        <v>1002</v>
      </c>
      <c r="J604" s="4">
        <v>24.06</v>
      </c>
      <c r="K604" s="4">
        <v>26.0</v>
      </c>
      <c r="L604" s="3" t="s">
        <v>302</v>
      </c>
      <c r="M604" s="3" t="s">
        <v>2950</v>
      </c>
      <c r="N604" s="7" t="str">
        <f>IFERROR(__xludf.DUMMYFUNCTION("GOOGLETRANSLATE(L604, ""en"", ""pt"")"),"Operários da construção civil")</f>
        <v>Operários da construção civil</v>
      </c>
      <c r="O604" s="7" t="str">
        <f>IFERROR(__xludf.DUMMYFUNCTION("IF(M604="""","""",GOOGLETRANSLATE(M604,""en"",""pt""))"),"Executar tarefas menores que envolvam trabalho braçal em canteiro de obras de concreto. Preparar o local para a concretagem, carregando e descarregando materiais, utilizando linhas de referência, cortando madeira com serra circular, utilizando marreta par"&amp;"a cravar estacas no solo, cavando e nivelando a terra com pás, picaretas e compactadores de solo. Sob supervisão, levantar, carregar, fixar, remover, lubrificar e posicionar fôrmas de concreto de madeira e metal utilizando ferramentas manuais e elétricas "&amp;"simples. Auxiliar na concretagem utilizando carrinhos de mão, rastelos de concreto, pás e vibrador de concreto manual. Limpar resíduos e selar juntas. Classificação da Função: 47-2061.00 - Auxiliares de Construção. A classificação e descrição da função/se"&amp;"tor incluem informações gerais sobre o cargo, conforme ONET/OES e o Sistema de Classificação Industrial da América do Norte (NAICS). Consulte as Funções e a Ordem de Serviço para obter mais informações. Requisitos da Função: Experiência Necessária: Sim. M"&amp;"eses de Experiência Necessários: 3. Requisitos Especiais: Trabalho em alguns fins de semana. Necessário suportar temperaturas extremas. Deve ser capaz de levantar e carregar 34 kg por 45 metros. Deslocamentos para locais de trabalho dentro da área de atua"&amp;"ção serão necessários. Número de horas semanais: 40. Horário de trabalho (início/término): 7h às 17h.")</f>
        <v>Executar tarefas menores que envolvam trabalho braçal em canteiro de obras de concreto. Preparar o local para a concretagem, carregando e descarregando materiais, utilizando linhas de referência, cortando madeira com serra circular, utilizando marreta para cravar estacas no solo, cavando e nivelando a terra com pás, picaretas e compactadores de solo. Sob supervisão, levantar, carregar, fixar, remover, lubrificar e posicionar fôrmas de concreto de madeira e metal utilizando ferramentas manuais e elétricas simples. Auxiliar na concretagem utilizando carrinhos de mão, rastelos de concreto, pás e vibrador de concreto manual. Limpar resíduos e selar juntas. Classificação da Função: 47-2061.00 - Auxiliares de Construção. A classificação e descrição da função/setor incluem informações gerais sobre o cargo, conforme ONET/OES e o Sistema de Classificação Industrial da América do Norte (NAICS). Consulte as Funções e a Ordem de Serviço para obter mais informações. Requisitos da Função: Experiência Necessária: Sim. Meses de Experiência Necessários: 3. Requisitos Especiais: Trabalho em alguns fins de semana. Necessário suportar temperaturas extremas. Deve ser capaz de levantar e carregar 34 kg por 45 metros. Deslocamentos para locais de trabalho dentro da área de atuação serão necessários. Número de horas semanais: 40. Horário de trabalho (início/término): 7h às 17h.</v>
      </c>
    </row>
    <row r="605" ht="20.25" customHeight="1">
      <c r="A605" s="8" t="s">
        <v>2951</v>
      </c>
      <c r="B605" s="8" t="s">
        <v>999</v>
      </c>
      <c r="C605" s="8" t="s">
        <v>1000</v>
      </c>
      <c r="D605" s="8" t="s">
        <v>498</v>
      </c>
      <c r="E605" s="9" t="s">
        <v>19</v>
      </c>
      <c r="F605" s="9" t="s">
        <v>20</v>
      </c>
      <c r="G605" s="9" t="s">
        <v>146</v>
      </c>
      <c r="H605" s="8" t="s">
        <v>1001</v>
      </c>
      <c r="I605" s="8" t="s">
        <v>1002</v>
      </c>
      <c r="J605" s="9">
        <v>30.11</v>
      </c>
      <c r="K605" s="9">
        <v>5.0</v>
      </c>
      <c r="L605" s="8" t="s">
        <v>1464</v>
      </c>
      <c r="M605" s="8" t="s">
        <v>2952</v>
      </c>
      <c r="N605" s="7" t="str">
        <f>IFERROR(__xludf.DUMMYFUNCTION("GOOGLETRANSLATE(L605, ""en"", ""pt"")"),"Trabalhadores de vergalhão")</f>
        <v>Trabalhadores de vergalhão</v>
      </c>
      <c r="O605" s="7" t="str">
        <f>IFERROR(__xludf.DUMMYFUNCTION("IF(M605="""","""",GOOGLETRANSLATE(M605,""en"",""pt""))"),"Posicionar e fixar barras de aço ou malha em fôrmas de concreto para reforçá-lo. Operar carretel de arame, alicate Klein e ferramentas manuais para fixar e dobrar vergalhões. Classificação da função: 47-2171.00 - Trabalhadores de Ferro de Reforço e Vergal"&amp;"hões. A classificação e descrição da função/setor inclui informações gerais sobre o cargo, de acordo com o ONET/OES e o Sistema de Classificação Industrial da América do Norte (NAICS). Consulte as Funções e a Ordem de Serviço para obter mais informações. "&amp;"Requisitos da vaga: Experiência necessária: Sim. Meses de experiência necessários: 6. Requisitos especiais: Trabalho em alguns fins de semana. Capacidade de lidar com temperaturas extremas. Capacidade de levantar e carregar 34 kg por 68 metros. Disponibil"&amp;"idade para deslocamento para locais de trabalho dentro da área de atuação. Número de horas por semana: 40. Horário de trabalho (início/término): 7h às 17h.")</f>
        <v>Posicionar e fixar barras de aço ou malha em fôrmas de concreto para reforçá-lo. Operar carretel de arame, alicate Klein e ferramentas manuais para fixar e dobrar vergalhões. Classificação da função: 47-2171.00 - Trabalhadores de Ferro de Reforço e Vergalhões. A classificação e descrição da função/setor inclui informações gerais sobre o cargo, de acordo com o ONET/OES e o Sistema de Classificação Industrial da América do Norte (NAICS). Consulte as Funções e a Ordem de Serviço para obter mais informações. Requisitos da vaga: Experiência necessária: Sim. Meses de experiência necessários: 6. Requisitos especiais: Trabalho em alguns fins de semana. Capacidade de lidar com temperaturas extremas. Capacidade de levantar e carregar 34 kg por 68 metros. Disponibilidade para deslocamento para locais de trabalho dentro da área de atuação. Número de horas por semana: 40. Horário de trabalho (início/término): 7h às 17h.</v>
      </c>
    </row>
    <row r="606" ht="20.25" customHeight="1">
      <c r="A606" s="3" t="s">
        <v>2953</v>
      </c>
      <c r="B606" s="3" t="s">
        <v>2954</v>
      </c>
      <c r="C606" s="3" t="s">
        <v>93</v>
      </c>
      <c r="D606" s="3" t="s">
        <v>64</v>
      </c>
      <c r="E606" s="4" t="s">
        <v>19</v>
      </c>
      <c r="F606" s="4" t="s">
        <v>20</v>
      </c>
      <c r="G606" s="4" t="s">
        <v>1340</v>
      </c>
      <c r="H606" s="3" t="s">
        <v>2955</v>
      </c>
      <c r="I606" s="3"/>
      <c r="J606" s="4">
        <v>17.42</v>
      </c>
      <c r="K606" s="4">
        <v>72.0</v>
      </c>
      <c r="L606" s="3" t="s">
        <v>59</v>
      </c>
      <c r="M606" s="3" t="s">
        <v>2956</v>
      </c>
      <c r="N606" s="7" t="str">
        <f>IFERROR(__xludf.DUMMYFUNCTION("GOOGLETRANSLATE(L606, ""en"", ""pt"")"),"Trabalhador de paisagismo")</f>
        <v>Trabalhador de paisagismo</v>
      </c>
      <c r="O606" s="7" t="str">
        <f>IFERROR(__xludf.DUMMYFUNCTION("IF(M606="""","""",GOOGLETRANSLATE(M606,""en"",""pt""))"),"Paisagismo e manutenção de terrenos utilizando ferramentas manuais ou elétricas. Os trabalhadores geralmente executam uma variedade de tarefas, que podem incluir qualquer combinação das seguintes: colocação de grama, corte de grama, poda, plantio, rega, f"&amp;"ertilização, escavação, rastelagem, auxílio na instalação e reparos de sprinklers e unidades de alvenaria de concreto segmentado sem argamassa. Nível inicial; requer supervisão. Classificação do Cargo: 37-3011.00 - Trabalhadores de Paisagismo e Manutenção"&amp;" de Terrenos. A classificação e descrição do cargo/setor inclui informações gerais sobre a posição, de acordo com o ONET/OES e o Sistema de Classificação Industrial da América do Norte. Consulte as Funções e a Ordem de Serviço para obter mais informações."&amp;" Requisitos do Cargo Experiência Necessária: Não. Requisitos Especiais: Deve levantar/carregar 23 kg, quando necessário. Trabalho aos sábados e domingos, quando necessário. Teste de drogas pós-contratação, em caso de suspeita de uso e após acidente, é obr"&amp;"igatório para trabalhadores estrangeiros e nacionais. Verificação do histórico de condução após a contratação é obrigatória apenas para trabalhadores estrangeiros e nacionais que dirigem veículos da empresa (dirigir não é um requisito para todos os trabal"&amp;"hadores da posição). O empregador poderá oferecer uma jornada de trabalho superior à estipulada, dependendo das condições climáticas, das necessidades da empresa e de outros fatores. Calor extremo, frio intenso, chuva ou seca podem afetar o horário de tra"&amp;"balho exato. Número de horas por semana: 40. Horário de trabalho (início/término): 7h às 15h30.")</f>
        <v>Paisagismo e manutenção de terrenos utilizando ferramentas manuais ou elétricas. Os trabalhadores geralmente executam uma variedade de tarefas, que podem incluir qualquer combinação das seguintes: colocação de grama, corte de grama, poda, plantio, rega, fertilização, escavação, rastelagem, auxílio na instalação e reparos de sprinklers e unidades de alvenaria de concreto segmentado sem argamassa. Nível inicial; requer supervisão. Classificação do Cargo: 37-3011.00 - Trabalhadores de Paisagismo e Manutenção de Terrenos. A classificação e descrição do cargo/setor inclui informações gerais sobre a posição, de acordo com o ONET/OES e o Sistema de Classificação Industrial da América do Norte. Consulte as Funções e a Ordem de Serviço para obter mais informações. Requisitos do Cargo Experiência Necessária: Não. Requisitos Especiais: Deve levantar/carregar 23 kg, quando necessário. Trabalho aos sábados e domingos, quando necessário. Teste de drogas pós-contratação, em caso de suspeita de uso e após acidente, é obrigatório para trabalhadores estrangeiros e nacionais. Verificação do histórico de condução após a contratação é obrigatória apenas para trabalhadores estrangeiros e nacionais que dirigem veículos da empresa (dirigir não é um requisito para todos os trabalhadores da posição). O empregador poderá oferecer uma jornada de trabalho superior à estipulada, dependendo das condições climáticas, das necessidades da empresa e de outros fatores. Calor extremo, frio intenso, chuva ou seca podem afetar o horário de trabalho exato. Número de horas por semana: 40. Horário de trabalho (início/término): 7h às 15h30.</v>
      </c>
    </row>
    <row r="607" ht="20.25" customHeight="1">
      <c r="A607" s="8" t="s">
        <v>2957</v>
      </c>
      <c r="B607" s="8" t="s">
        <v>2958</v>
      </c>
      <c r="C607" s="8" t="s">
        <v>1000</v>
      </c>
      <c r="D607" s="8" t="s">
        <v>117</v>
      </c>
      <c r="E607" s="9" t="s">
        <v>44</v>
      </c>
      <c r="F607" s="9" t="s">
        <v>20</v>
      </c>
      <c r="G607" s="9" t="s">
        <v>524</v>
      </c>
      <c r="H607" s="8" t="s">
        <v>2959</v>
      </c>
      <c r="I607" s="8" t="s">
        <v>2960</v>
      </c>
      <c r="J607" s="9">
        <v>27.64</v>
      </c>
      <c r="K607" s="9">
        <v>2.0</v>
      </c>
      <c r="L607" s="8" t="s">
        <v>2961</v>
      </c>
      <c r="M607" s="8" t="s">
        <v>2962</v>
      </c>
      <c r="N607" s="7" t="str">
        <f>IFERROR(__xludf.DUMMYFUNCTION("GOOGLETRANSLATE(L607, ""en"", ""pt"")"),"Motoristas de caminhão semirreboque")</f>
        <v>Motoristas de caminhão semirreboque</v>
      </c>
      <c r="O607" s="7" t="str">
        <f>IFERROR(__xludf.DUMMYFUNCTION("IF(M607="""","""",GOOGLETRANSLATE(M607,""en"",""pt""))"),"Carregar, transportar, descarregar, exportar e processar grãos, ração, ingredientes para ração, produtos a granel e produtos alimentícios em contêineres intermodais. Recolher contêineres intermodais vazios. Transportar produtos do produtor e/ou processado"&amp;"r para o usuário final, fazendas, processadores subsequentes e instalações de armazenamento. O produto será transportado por tratores, caminhões semirreboque com transmissão manual e reboques combinados, como tanques pneumáticos a granel, transportadores "&amp;"helicoidais a granel e combinados, caminhões para produtos a granel e furgões secos. Classificação da vaga: 53-3032.00 - Motoristas de Caminhão Pesado e Trator-Reboque. A classificação e descrição da vaga/setor incluem informações gerais sobre o cargo, de"&amp;" acordo com o ONET/OES e o Sistema de Classificação Industrial da América do Norte (NAICS). Consulte as Funções e a Ordem de Serviço para obter mais informações. Requisitos da vaga: Experiência necessária: Sim. Meses de experiência necessários: 12. Requis"&amp;"itos especiais: É OBRIGATÓRIO POSSUIR CNH CATEGORIA A COM EXPERIÊNCIA EM FREIOS A AR E HABILITAÇÃO PARA REBOQUES COMBINADOS. DEVE SER CAPAZ DE LEVANTAR E CARREGAR 34 KG. 75 JARDAS. DEVE SER CAPAZ DE LIDAR COM TEMPERATURAS EXTREMAS. O HORÁRIO DE TRABALHO V"&amp;"ARIA DE ACORDO COM AS ROTAS E AS NECESSIDADES DO CLIENTE, APROXIMADAMENTE ENTRE 5H E 19H. O trabalhador deve ser capaz de ler e falar inglês suficientemente bem para conversar com o público em geral, entender placas e sinais de trânsito em inglês, respond"&amp;"er a perguntas oficiais e fazer anotações em relatórios e registros. Irá se deslocar para locais de trabalho dentro da área de emprego pretendida. Número de horas por semana: 50. Horário de trabalho (início/término): 7h às 18h.")</f>
        <v>Carregar, transportar, descarregar, exportar e processar grãos, ração, ingredientes para ração, produtos a granel e produtos alimentícios em contêineres intermodais. Recolher contêineres intermodais vazios. Transportar produtos do produtor e/ou processador para o usuário final, fazendas, processadores subsequentes e instalações de armazenamento. O produto será transportado por tratores, caminhões semirreboque com transmissão manual e reboques combinados, como tanques pneumáticos a granel, transportadores helicoidais a granel e combinados, caminhões para produtos a granel e furgões secos. Classificação da vaga: 53-3032.00 - Motoristas de Caminhão Pesado e Trator-Reboque. A classificação e descrição da vaga/setor incluem informações gerais sobre o cargo, de acordo com o ONET/OES e o Sistema de Classificação Industrial da América do Norte (NAICS). Consulte as Funções e a Ordem de Serviço para obter mais informações. Requisitos da vaga: Experiência necessária: Sim. Meses de experiência necessários: 12. Requisitos especiais: É OBRIGATÓRIO POSSUIR CNH CATEGORIA A COM EXPERIÊNCIA EM FREIOS A AR E HABILITAÇÃO PARA REBOQUES COMBINADOS. DEVE SER CAPAZ DE LEVANTAR E CARREGAR 34 KG. 75 JARDAS. DEVE SER CAPAZ DE LIDAR COM TEMPERATURAS EXTREMAS. O HORÁRIO DE TRABALHO VARIA DE ACORDO COM AS ROTAS E AS NECESSIDADES DO CLIENTE, APROXIMADAMENTE ENTRE 5H E 19H. O trabalhador deve ser capaz de ler e falar inglês suficientemente bem para conversar com o público em geral, entender placas e sinais de trânsito em inglês, responder a perguntas oficiais e fazer anotações em relatórios e registros. Irá se deslocar para locais de trabalho dentro da área de emprego pretendida. Número de horas por semana: 50. Horário de trabalho (início/término): 7h às 18h.</v>
      </c>
    </row>
    <row r="608" ht="20.25" customHeight="1">
      <c r="A608" s="3" t="s">
        <v>2963</v>
      </c>
      <c r="B608" s="3" t="s">
        <v>2964</v>
      </c>
      <c r="C608" s="3" t="s">
        <v>93</v>
      </c>
      <c r="D608" s="3" t="s">
        <v>1297</v>
      </c>
      <c r="E608" s="4" t="s">
        <v>19</v>
      </c>
      <c r="F608" s="4" t="s">
        <v>20</v>
      </c>
      <c r="G608" s="4" t="s">
        <v>2965</v>
      </c>
      <c r="H608" s="3" t="s">
        <v>2966</v>
      </c>
      <c r="I608" s="3"/>
      <c r="J608" s="4">
        <v>18.81</v>
      </c>
      <c r="K608" s="4">
        <v>25.0</v>
      </c>
      <c r="L608" s="3" t="s">
        <v>321</v>
      </c>
      <c r="M608" s="3" t="s">
        <v>2967</v>
      </c>
      <c r="N608" s="7" t="str">
        <f>IFERROR(__xludf.DUMMYFUNCTION("GOOGLETRANSLATE(L608, ""en"", ""pt"")"),"Trabalhadores de paisagismo")</f>
        <v>Trabalhadores de paisagismo</v>
      </c>
      <c r="O608" s="7" t="str">
        <f>IFERROR(__xludf.DUMMYFUNCTION("IF(M608="""","""",GOOGLETRANSLATE(M608,""en"",""pt""))"),"Paisagismo e manutenção de terrenos utilizando ferramentas manuais ou elétricas. Os trabalhadores geralmente executam uma variedade de tarefas, que podem incluir qualquer combinação das seguintes: colocação de grama, corte de grama, poda, plantio, rega, f"&amp;"ertilização, escavação, cobertura morta, capina, rastelamento, jardinagem, aparar bordas, plantio, remoção de folhas; auxílio na instalação e manutenção de sistemas de irrigação, incluindo o aterro com pás manuais e nivelamento do terreno; instalação de b"&amp;"locos de concreto pré-moldados sem argamassa, instalação de jardins de pedra, decoração de jardins com pedras e limpeza de detritos como parte do processo de instalação ou manutenção. Nível inicial; requer supervisão. Classificação da vaga: 37-3011.00 - T"&amp;"rabalhadores de Paisagismo e Manutenção de Terrenos. A classificação e descrição da vaga/setor incluem informações gerais sobre o cargo, de acordo com o ONET/OES e o Sistema de Classificação Industrial da América do Norte. Consulte as Funções e a Ordem de"&amp;" Serviço para obter mais informações. Requisitos da vaga: Experiência necessária: Não. Requisitos especiais: Deve ser capaz de levantar/carregar 23 kg, quando necessário. Trabalho aos sábados, quando necessário. O empregador poderá oferecer uma jornada de"&amp;" trabalho superior à estipulada, dependendo das condições climáticas, das necessidades da empresa e de outros fatores. Calor extremo, frio intenso, chuva ou seca podem afetar o horário de trabalho exato. Número de horas por semana: 40. Horário de trabalho"&amp;" (início/término): 7h30 às 16h30.")</f>
        <v>Paisagismo e manutenção de terrenos utilizando ferramentas manuais ou elétricas. Os trabalhadores geralmente executam uma variedade de tarefas, que podem incluir qualquer combinação das seguintes: colocação de grama, corte de grama, poda, plantio, rega, fertilização, escavação, cobertura morta, capina, rastelamento, jardinagem, aparar bordas, plantio, remoção de folhas; auxílio na instalação e manutenção de sistemas de irrigação, incluindo o aterro com pás manuais e nivelamento do terreno; instalação de blocos de concreto pré-moldados sem argamassa, instalação de jardins de pedra, decoração de jardins com pedras e limpeza de detritos como parte do processo de instalação ou manutenção. Nível inicial; requer supervisão. Classificação da vaga: 37-3011.00 - Trabalhadores de Paisagismo e Manutenção de Terrenos. A classificação e descrição da vaga/setor incluem informações gerais sobre o cargo, de acordo com o ONET/OES e o Sistema de Classificação Industrial da América do Norte. Consulte as Funções e a Ordem de Serviço para obter mais informações. Requisitos da vaga: Experiência necessária: Não. Requisitos especiais: Deve ser capaz de levantar/carregar 23 kg, quando necessário. Trabalho aos sábados, quando necessário. O empregador poderá oferecer uma jornada de trabalho superior à estipulada, dependendo das condições climáticas, das necessidades da empresa e de outros fatores. Calor extremo, frio intenso, chuva ou seca podem afetar o horário de trabalho exato. Número de horas por semana: 40. Horário de trabalho (início/término): 7h30 às 16h30.</v>
      </c>
    </row>
    <row r="609" ht="20.25" customHeight="1">
      <c r="A609" s="8" t="s">
        <v>2968</v>
      </c>
      <c r="B609" s="8" t="s">
        <v>2969</v>
      </c>
      <c r="C609" s="8" t="s">
        <v>1000</v>
      </c>
      <c r="D609" s="8" t="s">
        <v>55</v>
      </c>
      <c r="E609" s="9" t="s">
        <v>19</v>
      </c>
      <c r="F609" s="9" t="s">
        <v>20</v>
      </c>
      <c r="G609" s="9" t="s">
        <v>307</v>
      </c>
      <c r="H609" s="8" t="s">
        <v>2970</v>
      </c>
      <c r="I609" s="8" t="s">
        <v>2971</v>
      </c>
      <c r="J609" s="9">
        <v>23.8</v>
      </c>
      <c r="K609" s="9">
        <v>35.0</v>
      </c>
      <c r="L609" s="8" t="s">
        <v>2972</v>
      </c>
      <c r="M609" s="8" t="s">
        <v>2973</v>
      </c>
      <c r="N609" s="7" t="str">
        <f>IFERROR(__xludf.DUMMYFUNCTION("GOOGLETRANSLATE(L609, ""en"", ""pt"")"),"Motorista de caminhão betoneira e caminhão pesado")</f>
        <v>Motorista de caminhão betoneira e caminhão pesado</v>
      </c>
      <c r="O609" s="7" t="str">
        <f>IFERROR(__xludf.DUMMYFUNCTION("IF(M609="""","""",GOOGLETRANSLATE(M609,""en"",""pt""))"),"Operar caminhões betoneira e transportar concreto e materiais de construção para os locais de trabalho. Os motoristas devem limpar e manter os caminhões, incluindo a inspeção diária de segurança, verificação e reabastecimento diário de combustível e outro"&amp;"s fluidos, além de realizar pequenas manutenções nos veículos. Preencher a documentação das cargas transportadas e entregá-la diariamente. Classificação da vaga: 53-3032.00 - Motoristas de Caminhão Pesado e Carreta. A classificação e descrição da vaga/set"&amp;"or incluem informações gerais sobre o cargo, de acordo com o ONET/OES e o Sistema de Classificação Industrial da América do Norte (NAICS). Consulte as Funções e a Ordem de Serviço para obter mais informações. Requisitos da vaga: Experiência necessária: Nã"&amp;"o. Requisitos especiais: DEVE SER APROVADO NO EXAME FÍSICO DO DEPARTAMENTO DE TRANSPORTES. DEVE SER CAPAZ DE LEVANTAR E CARREGAR 18 KG POR 9 METROS. CARTEIRA DE HABILITAÇÃO CATEGORIA B OBRIGATÓRIA, CARTEIRA CATEGORIA A OU EQUIVALENTE A CARTEIRA DE HABILIT"&amp;"AÇÃO COMERCIAL INTERNACIONAL (CNH) DESEJÁVEL. É necessário possuir um bom histórico de condução e habilidades ao volante. O candidato deve ter 21 anos ou mais. É obrigatório passar por testes de drogas e álcool antes da contratação. O candidato deve ser c"&amp;"apaz de lidar com temperaturas extremas. O funcionário deve ser capaz de ler e falar inglês suficientemente bem para conversar com o público em geral, entender placas e sinais de trânsito em inglês, responder a perguntas oficiais e fazer anotações em rela"&amp;"tórios e registros. Número de horas por semana: 40. Horário de trabalho (início/término): 7h às 17h.")</f>
        <v>Operar caminhões betoneira e transportar concreto e materiais de construção para os locais de trabalho. Os motoristas devem limpar e manter os caminhões, incluindo a inspeção diária de segurança, verificação e reabastecimento diário de combustível e outros fluidos, além de realizar pequenas manutenções nos veículos. Preencher a documentação das cargas transportadas e entregá-la diariamente. Classificação da vaga: 53-3032.00 - Motoristas de Caminhão Pesado e Carreta. A classificação e descrição da vaga/setor incluem informações gerais sobre o cargo, de acordo com o ONET/OES e o Sistema de Classificação Industrial da América do Norte (NAICS). Consulte as Funções e a Ordem de Serviço para obter mais informações. Requisitos da vaga: Experiência necessária: Não. Requisitos especiais: DEVE SER APROVADO NO EXAME FÍSICO DO DEPARTAMENTO DE TRANSPORTES. DEVE SER CAPAZ DE LEVANTAR E CARREGAR 18 KG POR 9 METROS. CARTEIRA DE HABILITAÇÃO CATEGORIA B OBRIGATÓRIA, CARTEIRA CATEGORIA A OU EQUIVALENTE A CARTEIRA DE HABILITAÇÃO COMERCIAL INTERNACIONAL (CNH) DESEJÁVEL. É necessário possuir um bom histórico de condução e habilidades ao volante. O candidato deve ter 21 anos ou mais. É obrigatório passar por testes de drogas e álcool antes da contratação. O candidato deve ser capaz de lidar com temperaturas extremas. O funcionário deve ser capaz de ler e falar inglês suficientemente bem para conversar com o público em geral, entender placas e sinais de trânsito em inglês, responder a perguntas oficiais e fazer anotações em relatórios e registros. Número de horas por semana: 40. Horário de trabalho (início/término): 7h às 17h.</v>
      </c>
    </row>
    <row r="610" ht="20.25" customHeight="1">
      <c r="A610" s="3" t="s">
        <v>2974</v>
      </c>
      <c r="B610" s="3" t="s">
        <v>2975</v>
      </c>
      <c r="C610" s="3" t="s">
        <v>93</v>
      </c>
      <c r="D610" s="3" t="s">
        <v>186</v>
      </c>
      <c r="E610" s="4" t="s">
        <v>19</v>
      </c>
      <c r="F610" s="4" t="s">
        <v>20</v>
      </c>
      <c r="G610" s="4" t="s">
        <v>2976</v>
      </c>
      <c r="H610" s="3" t="s">
        <v>2977</v>
      </c>
      <c r="I610" s="3" t="s">
        <v>2978</v>
      </c>
      <c r="J610" s="4">
        <v>20.42</v>
      </c>
      <c r="K610" s="4">
        <v>5.0</v>
      </c>
      <c r="L610" s="3" t="s">
        <v>676</v>
      </c>
      <c r="M610" s="3" t="s">
        <v>2979</v>
      </c>
      <c r="N610" s="7" t="str">
        <f>IFERROR(__xludf.DUMMYFUNCTION("GOOGLETRANSLATE(L610, ""en"", ""pt"")"),"Trabalhadores de paisagismo e manutenção de jardins")</f>
        <v>Trabalhadores de paisagismo e manutenção de jardins</v>
      </c>
      <c r="O610" s="7" t="str">
        <f>IFERROR(__xludf.DUMMYFUNCTION("IF(M610="""","""",GOOGLETRANSLATE(M610,""en"",""pt""))"),"***Resposta à Solicitação de Informações*** “Montar e desmontar mercados de jardim” Paisagistas montam e desmontam exposições de hortas manualmente, organizando mesas e posicionando plantas sobre elas. ***Original*** Paisagismo ou manutenção de terrenos d"&amp;"e propriedades utilizando ferramentas manuais ou elétricas. Os trabalhadores devem ser capazes de executar uma variedade de tarefas conforme instruído pelo líder da equipe, que podem incluir qualquer combinação das seguintes atividades: colocação de grama"&amp;", corte de grama, poda, plantio, capina, cobertura morta, acabamento de bordas, rega, fertilização, escavação, rastelagem, limpeza de detritos; movimentação, levantamento e descarregamento de suprimentos e produtos de paisagismo; montagem e desmontagem de"&amp;" mercados de jardim. Devem exercer julgamento independente e tomar precauções de segurança ao operar máquinas, conforme treinamento e instruções recebidas. Nível inicial; requer supervisão. Classificação do Cargo: 53-7062.00 - Trabalhadores e Movimentação"&amp;" de Carga, Estoque e Materiais. A classificação e descrição do cargo/setor inclui informações gerais sobre a posição, de acordo com o ONET/OES e o Sistema de Classificação Industrial da América do Norte. Consulte as Funções e a Ordem de Serviço para obter"&amp;" mais informações. Requisitos da Vaga Experiência Necessária: Não Requisitos Especiais: Deve ser capaz de levantar/carregar 32 kg, quando necessário. Capacidade de trabalhar ao ar livre em todas as condições climáticas. Trabalho aos sábados e domingos, qu"&amp;"ando necessário. Testes toxicológicos pós-contratação, em caso de suspeita de uso e após acidente, são obrigatórios para trabalhadores estrangeiros e nacionais. Verificação de elegibilidade para emprego (e-Verify) é obrigatória para trabalhadores estrange"&amp;"iros e nacionais. O empregador pode oferecer mais horas de trabalho do que as estipuladas, dependendo do clima, das necessidades da empresa e de outras condições. Calor extremo, frio, chuva ou seca podem afetar o horário de trabalho exato. Número de Horas"&amp;" por Semana: 42 Horário de Trabalho (Início/Término): 7h às 16h")</f>
        <v>***Resposta à Solicitação de Informações*** “Montar e desmontar mercados de jardim” Paisagistas montam e desmontam exposições de hortas manualmente, organizando mesas e posicionando plantas sobre elas. ***Original*** Paisagismo ou manutenção de terrenos de propriedades utilizando ferramentas manuais ou elétricas. Os trabalhadores devem ser capazes de executar uma variedade de tarefas conforme instruído pelo líder da equipe, que podem incluir qualquer combinação das seguintes atividades: colocação de grama, corte de grama, poda, plantio, capina, cobertura morta, acabamento de bordas, rega, fertilização, escavação, rastelagem, limpeza de detritos; movimentação, levantamento e descarregamento de suprimentos e produtos de paisagismo; montagem e desmontagem de mercados de jardim. Devem exercer julgamento independente e tomar precauções de segurança ao operar máquinas, conforme treinamento e instruções recebidas. Nível inicial; requer supervisão. Classificação do Cargo: 53-7062.00 - Trabalhadores e Movimentação de Carga, Estoque e Materiais. A classificação e descrição do cargo/setor inclui informações gerais sobre a posição, de acordo com o ONET/OES e o Sistema de Classificação Industrial da América do Norte. Consulte as Funções e a Ordem de Serviço para obter mais informações. Requisitos da Vaga Experiência Necessária: Não Requisitos Especiais: Deve ser capaz de levantar/carregar 32 kg, quando necessário. Capacidade de trabalhar ao ar livre em todas as condições climáticas. Trabalho aos sábados e domingos, quando necessário. Testes toxicológicos pós-contratação, em caso de suspeita de uso e após acidente, são obrigatórios para trabalhadores estrangeiros e nacionais. Verificação de elegibilidade para emprego (e-Verify) é obrigatória para trabalhadores estrangeiros e nacionais. O empregador pode oferecer mais horas de trabalho do que as estipuladas, dependendo do clima, das necessidades da empresa e de outras condições. Calor extremo, frio, chuva ou seca podem afetar o horário de trabalho exato. Número de Horas por Semana: 42 Horário de Trabalho (Início/Término): 7h às 16h</v>
      </c>
    </row>
    <row r="611" ht="20.25" customHeight="1">
      <c r="A611" s="8" t="s">
        <v>2980</v>
      </c>
      <c r="B611" s="8" t="s">
        <v>2981</v>
      </c>
      <c r="C611" s="8" t="s">
        <v>93</v>
      </c>
      <c r="D611" s="8" t="s">
        <v>186</v>
      </c>
      <c r="E611" s="9" t="s">
        <v>19</v>
      </c>
      <c r="F611" s="9" t="s">
        <v>20</v>
      </c>
      <c r="G611" s="9" t="s">
        <v>80</v>
      </c>
      <c r="H611" s="8" t="s">
        <v>2982</v>
      </c>
      <c r="I611" s="8"/>
      <c r="J611" s="9">
        <v>16.1</v>
      </c>
      <c r="K611" s="9">
        <v>3.0</v>
      </c>
      <c r="L611" s="8" t="s">
        <v>586</v>
      </c>
      <c r="M611" s="8" t="s">
        <v>2983</v>
      </c>
      <c r="N611" s="7" t="str">
        <f>IFERROR(__xludf.DUMMYFUNCTION("GOOGLETRANSLATE(L611, ""en"", ""pt"")"),"Cozinheiro de linha")</f>
        <v>Cozinheiro de linha</v>
      </c>
      <c r="O611" s="7" t="str">
        <f>IFERROR(__xludf.DUMMYFUNCTION("IF(M611="""","""",GOOGLETRANSLATE(M611,""en"",""pt""))"),"Executar diversas tarefas relacionadas aos serviços de cozinheiro em um restaurante de alta gastronomia. Preparar os alimentos com precisão e eficiência, seguindo o cardápio e em coordenação com os demais cozinheiros e a gerência, de acordo com as especif"&amp;"icações exatas do restaurante. Trabalhar com base em uma lista de preparo diária: preparar legumes, frutas e caldos/sopas/molhos, aperitivos, hors d'oeuvres e sobremesas do zero; porcionar carnes e frutos do mar/peixes; ler e preparar os pedidos em tempo "&amp;"hábil, trabalhando na grelha, nos refogados e nas linhas de comida fria. Organizar e abastecer as estações com os suprimentos necessários. Preparar as estações de comida para eventos e auxiliar no preparo, montagem e apresentação dos pratos. Limpar os equ"&amp;"ipamentos da estação, higienizar todas as superfícies, guardar todas as tigelas, panelas, frigideiras e utensílios usados ​​no preparo dos alimentos e armazenar as sobras de comida adequadamente. Seguir os procedimentos de segurança alimentar e higiene, i"&amp;"ncluindo o cumprimento de todas as normas de saúde e segurança. Auxiliar na remoção do lixo da cozinha para os recipientes externos apropriados. Auxiliar na limpeza do piso da cozinha e do interior dos refrigeradores. Auxiliar no recebimento e armazenamen"&amp;"to de entregas de alimentos e bebidas. Rotacionar os produtos para garantir ingredientes frescos e seguros. Classificação da Função: 35-2014.00 - Cozinheiros, Restaurante. A classificação e descrição da função/setor inclui informações gerais sobre o cargo"&amp;", de acordo com o ONET/OES e o Sistema de Classificação Industrial da América do Norte. Consulte as Funções e a Ordem de Serviço para obter mais informações. Requisitos da Função: Experiência Necessária: Sim. Meses de Experiência Necessários: 6. Requisito"&amp;"s Especiais: Requer seis meses de experiência em cozinha de hotel resort ou restaurante de alta gastronomia. Deve ser capaz de levantar/carregar 23 kg quando necessário. Deve ser capaz de ler/seguir uma receita em inglês. A semana de trabalho padrão é de "&amp;"terça a sábado, 5 dias por semana. A gerência pode ajustar o horário de trabalho dos funcionários com aviso prévio. Os funcionários serão notificados sobre a alteração de sua escala de trabalho com pelo menos um dia de antecedência. Exame toxicológico pós"&amp;"-contratação é obrigatório para funcionários estrangeiros e nacionais em caso de suspeita de uso. O empregador pode oferecer mais horas de trabalho do que as estipuladas, dependendo do clima, das necessidades da empresa e de outras condições. Calor extrem"&amp;"o, frio, chuva ou seca podem afetar o horário de trabalho exato. Número de horas por semana: 40 Horário de trabalho (início/término): 13h30 - 22h00")</f>
        <v>Executar diversas tarefas relacionadas aos serviços de cozinheiro em um restaurante de alta gastronomia. Preparar os alimentos com precisão e eficiência, seguindo o cardápio e em coordenação com os demais cozinheiros e a gerência, de acordo com as especificações exatas do restaurante. Trabalhar com base em uma lista de preparo diária: preparar legumes, frutas e caldos/sopas/molhos, aperitivos, hors d'oeuvres e sobremesas do zero; porcionar carnes e frutos do mar/peixes; ler e preparar os pedidos em tempo hábil, trabalhando na grelha, nos refogados e nas linhas de comida fria. Organizar e abastecer as estações com os suprimentos necessários. Preparar as estações de comida para eventos e auxiliar no preparo, montagem e apresentação dos pratos. Limpar os equipamentos da estação, higienizar todas as superfícies, guardar todas as tigelas, panelas, frigideiras e utensílios usados ​​no preparo dos alimentos e armazenar as sobras de comida adequadamente. Seguir os procedimentos de segurança alimentar e higiene, incluindo o cumprimento de todas as normas de saúde e segurança. Auxiliar na remoção do lixo da cozinha para os recipientes externos apropriados. Auxiliar na limpeza do piso da cozinha e do interior dos refrigeradores. Auxiliar no recebimento e armazenamento de entregas de alimentos e bebidas. Rotacionar os produtos para garantir ingredientes frescos e seguros. Classificação da Função: 35-2014.00 - Cozinheiros, Restaurante. A classificação e descrição da função/setor inclui informações gerais sobre o cargo, de acordo com o ONET/OES e o Sistema de Classificação Industrial da América do Norte. Consulte as Funções e a Ordem de Serviço para obter mais informações. Requisitos da Função: Experiência Necessária: Sim. Meses de Experiência Necessários: 6. Requisitos Especiais: Requer seis meses de experiência em cozinha de hotel resort ou restaurante de alta gastronomia. Deve ser capaz de levantar/carregar 23 kg quando necessário. Deve ser capaz de ler/seguir uma receita em inglês. A semana de trabalho padrão é de terça a sábado, 5 dias por semana. A gerência pode ajustar o horário de trabalho dos funcionários com aviso prévio. Os funcionários serão notificados sobre a alteração de sua escala de trabalho com pelo menos um dia de antecedência. Exame toxicológico pós-contratação é obrigatório para funcionários estrangeiros e nacionais em caso de suspeita de uso. O empregador pode oferecer mais horas de trabalho do que as estipuladas, dependendo do clima, das necessidades da empresa e de outras condições. Calor extremo, frio, chuva ou seca podem afetar o horário de trabalho exato. Número de horas por semana: 40 Horário de trabalho (início/término): 13h30 - 22h00</v>
      </c>
    </row>
    <row r="612" ht="20.25" customHeight="1">
      <c r="A612" s="3" t="s">
        <v>2984</v>
      </c>
      <c r="B612" s="3" t="s">
        <v>2985</v>
      </c>
      <c r="C612" s="3" t="s">
        <v>391</v>
      </c>
      <c r="D612" s="3" t="s">
        <v>271</v>
      </c>
      <c r="E612" s="4" t="s">
        <v>19</v>
      </c>
      <c r="F612" s="4" t="s">
        <v>20</v>
      </c>
      <c r="G612" s="4" t="s">
        <v>80</v>
      </c>
      <c r="H612" s="3" t="s">
        <v>2986</v>
      </c>
      <c r="I612" s="3" t="s">
        <v>2987</v>
      </c>
      <c r="J612" s="4">
        <v>17.8</v>
      </c>
      <c r="K612" s="4">
        <v>35.0</v>
      </c>
      <c r="L612" s="3" t="s">
        <v>1157</v>
      </c>
      <c r="M612" s="3" t="s">
        <v>2988</v>
      </c>
      <c r="N612" s="7" t="str">
        <f>IFERROR(__xludf.DUMMYFUNCTION("GOOGLETRANSLATE(L612, ""en"", ""pt"")"),"Trabalhador do Carnaval")</f>
        <v>Trabalhador do Carnaval</v>
      </c>
      <c r="O612" s="7" t="str">
        <f>IFERROR(__xludf.DUMMYFUNCTION("IF(M612="""","""",GOOGLETRANSLATE(M612,""en"",""pt""))"),"Executar diversas tarefas em instalações de diversão (concessões itinerantes de parques de diversões), atender clientes em locais de alimentação especializados em serviço rápido e comida para viagem a preços acessíveis, em barracas de comida típicas de pa"&amp;"rques de diversões, manter a limpeza e organização do local, preparar itens simples de comida e bebida do dia a dia - comidas típicas de parques de diversões, como sanduíches, saladas, sopas, cachorros-quentes, pizzas, utilizando as devidas precauções de "&amp;"segurança e medidas sanitárias. Montar, limpar e preparar o estoque para o atendimento, desmontar, guardar o estoque e fechar a barraca, levantar peso e ter mobilidade física, operar concessões de comida e/ou jogos e brinquedos de parques de diversões. **"&amp;"*Solicitação de Informações (RFI) - Para Esclarecimentos: 1. Tarefas específicas, tipos de preparo, técnicas de cozimento e equipamentos de preparo: preparar comidas simples, típicas de feiras livres, que exigem pouco preparo. Lavar, cortar e preparar os "&amp;"alimentos destinados ao cozimento usando facas, fatiadores e cortadores de legumes manuais. Os equipamentos de cozimento incluem fritadeiras, fornos e grelhas. 2. Preparo dos alimentos e tarefas de cozimento: Sanduíches feitos com frios fatiados, alface e"&amp;" tomate; batatas fritas, cachorros-quentes, corn dogs e bolinhos de massa pré-embalados; tacos feitos com carnes e vegetais pré-preparados; milho fresco na espiga; limonada pré-misturada. 3. Tarefas específicas de montagem - abastecimento/limpeza: As barr"&amp;"acas de comida são montadas usando ferramentas manuais para a instalação das paredes de vinil. Uma chave de fenda é usada para apertar porcas e parafusos. Martelos são usados ​​para fixar placas e cardápios. Escadas são usadas para hastear bandeiras. Carr"&amp;"inhos de mão são usados ​​para carregar/descarregar caixas. Desembale os itens e guarde-os nos locais apropriados dentro da barraca para uso. Ao final do evento, coloque os itens em caixas e, usando fita adesiva, lacre as caixas. A desmontagem é feita na "&amp;"ordem inversa. Utilizando produtos básicos de limpeza e seguindo as precauções de segurança e medidas sanitárias adequadas, assegure-se de que todos os itens sejam limpos e armazenados de maneira segura para o transporte. 4. Operar as concessões de alimen"&amp;"tos e/ou jogos e brinquedos de parque de diversões consiste em preparar, vender e servir alimentos/bebidas. Os horários, a escala e os dias variam - exemplo de horário de turno: 10h às 19h, 1 hora de intervalo não remunerado; 40 horas/semana. Horas extras"&amp;" podem ser necessárias ou estar disponíveis, incluindo fins de semana e feriados. As necessidades de trabalho (ou seja, horas, dias, escala, local e funções) variam. As necessidades de trabalho estão sujeitas às práticas do setor e não são garantidas por "&amp;"dia, semana, horário, local ou trabalhador, por exemplo, em caso de cancelamentos por chuva, breves períodos sem eventos programados, datas e horários de eventos definidos em acordo com o patrocinador e sujeitos a alterações (com base em condições climáti"&amp;"cas adversas, horário de funcionamento, dia da semana, público, tamanho do evento, calendário escolar, quantidade de equipamentos em operação, equipe, etc.) e cancelamentos imprevistos. Em caso de eventos simultâneos aprovados, as necessidades de trabalho"&amp;" podem exigir ajustes na escala dos trabalhadores. O trabalho é realizado ao ar livre, em todas as condições climáticas. A remuneração varia de acordo com a localização de cada local de trabalho, de US$ 17,80 a US$ 26,50 por hora. Não se espera pagamento "&amp;"de horas extras, mas, caso ocorra trabalho que exija horas extras, estas serão pagas de acordo com as leis federais, estaduais e locais aplicáveis. O empregador reserva-se o direito de oferecer remuneração adicional por desempenho/tempo de serviço ou pode"&amp;"rá aumentar os salários com base nas mudanças das condições de mercado. O empregador é um fornecedor itinerante de concessões ao ar livre, com necessidade de deslocamento entre os locais dos eventos. As viagens são fornecidas para os condados de Maricopa,"&amp;" Pinal e Pima, no Arizona; Alameda, Imperial, Los Angeles, Orange, Riverside, San Diego, San Luis Obispo, San Mateo e Solano, na Califórnia; Deschutes, no Oregon; e King e Pierce, em Washington. O deslocamento para todos os eventos, conforme o itinerário,"&amp;" é fornecido. Alojamento e transporte de/para cada local de evento são oferecidos a todos os funcionários contratados para esta vaga. O empregador disponibiliza transporte entre os locais dos eventos. O empregador fornecerá ao trabalhador, sem custos, tod"&amp;"as as ferramentas, suprimentos e equipamentos necessários para o desempenho das funções. Classificação da vaga: 35-2019.00 - Cozinheiros, Outros. A classificação e descrição da vaga/setor incluem informações gerais sobre o cargo, de acordo com o ONET/OES "&amp;"e o Sistema de Classificação Industrial da América do Norte (NAICS). Consulte as Funções e a Descrição da Vaga para obter mais informações. Requisitos da Vaga Experiência Necessária: Não Requisitos Especiais: A vaga exige que o candidato seja qualificado,"&amp;" esteja pronto, disposto, apto e disponível para trabalhar durante todo o período de emprego nos locais de trabalho designados, mesmo em condições climáticas adversas; para firmar e cumprir contratos de trabalho; para seguir as normas da empresa; e para a"&amp;"tender aos padrões de desempenho da função. É necessário levantar peso e ter boa mobilidade. O candidato deve cumprir os requisitos de apresentação pessoal e o código de vestimenta. Sujeito a demissão por justa causa. O trabalho é realizado ao ar livre, e"&amp;"m qualquer clima, e o candidato deve estar disposto a trabalhar até 7 dias por semana. É obrigatório o exame toxicológico pós-admissional, cujo custo é pago pelo empregador e se aplica a todos os trabalhadores, americanos e estrangeiros/H2B. É obrigatório"&amp;" o exame toxicológico após acidente ou incidente e em caso de suspeita razoável, cujo custo é pago pelo empregador e se aplica a todos os trabalhadores, americanos e estrangeiros/H2B. Os candidatos devem cooperar e preencher a ficha de inscrição e partici"&amp;"par da entrevista com sinceridade. O uniforme obrigatório é fornecido gratuitamente ao trabalhador. Número de Horas por Semana: 40 Horário de Trabalho (Início/Término): 10:00 - 19:00")</f>
        <v>Executar diversas tarefas em instalações de diversão (concessões itinerantes de parques de diversões), atender clientes em locais de alimentação especializados em serviço rápido e comida para viagem a preços acessíveis, em barracas de comida típicas de parques de diversões, manter a limpeza e organização do local, preparar itens simples de comida e bebida do dia a dia - comidas típicas de parques de diversões, como sanduíches, saladas, sopas, cachorros-quentes, pizzas, utilizando as devidas precauções de segurança e medidas sanitárias. Montar, limpar e preparar o estoque para o atendimento, desmontar, guardar o estoque e fechar a barraca, levantar peso e ter mobilidade física, operar concessões de comida e/ou jogos e brinquedos de parques de diversões. ***Solicitação de Informações (RFI) - Para Esclarecimentos: 1. Tarefas específicas, tipos de preparo, técnicas de cozimento e equipamentos de preparo: preparar comidas simples, típicas de feiras livres, que exigem pouco preparo. Lavar, cortar e preparar os alimentos destinados ao cozimento usando facas, fatiadores e cortadores de legumes manuais. Os equipamentos de cozimento incluem fritadeiras, fornos e grelhas. 2. Preparo dos alimentos e tarefas de cozimento: Sanduíches feitos com frios fatiados, alface e tomate; batatas fritas, cachorros-quentes, corn dogs e bolinhos de massa pré-embalados; tacos feitos com carnes e vegetais pré-preparados; milho fresco na espiga; limonada pré-misturada. 3. Tarefas específicas de montagem - abastecimento/limpeza: As barracas de comida são montadas usando ferramentas manuais para a instalação das paredes de vinil. Uma chave de fenda é usada para apertar porcas e parafusos. Martelos são usados ​​para fixar placas e cardápios. Escadas são usadas para hastear bandeiras. Carrinhos de mão são usados ​​para carregar/descarregar caixas. Desembale os itens e guarde-os nos locais apropriados dentro da barraca para uso. Ao final do evento, coloque os itens em caixas e, usando fita adesiva, lacre as caixas. A desmontagem é feita na ordem inversa. Utilizando produtos básicos de limpeza e seguindo as precauções de segurança e medidas sanitárias adequadas, assegure-se de que todos os itens sejam limpos e armazenados de maneira segura para o transporte. 4. Operar as concessões de alimentos e/ou jogos e brinquedos de parque de diversões consiste em preparar, vender e servir alimentos/bebidas. Os horários, a escala e os dias variam - exemplo de horário de turno: 10h às 19h, 1 hora de intervalo não remunerado; 40 horas/semana. Horas extras podem ser necessárias ou estar disponíveis, incluindo fins de semana e feriados. As necessidades de trabalho (ou seja, horas, dias, escala, local e funções) variam. As necessidades de trabalho estão sujeitas às práticas do setor e não são garantidas por dia, semana, horário, local ou trabalhador, por exemplo, em caso de cancelamentos por chuva, breves períodos sem eventos programados, datas e horários de eventos definidos em acordo com o patrocinador e sujeitos a alterações (com base em condições climáticas adversas, horário de funcionamento, dia da semana, público, tamanho do evento, calendário escolar, quantidade de equipamentos em operação, equipe, etc.) e cancelamentos imprevistos. Em caso de eventos simultâneos aprovados, as necessidades de trabalho podem exigir ajustes na escala dos trabalhadores. O trabalho é realizado ao ar livre, em todas as condições climáticas. A remuneração varia de acordo com a localização de cada local de trabalho, de US$ 17,80 a US$ 26,50 por hora. Não se espera pagamento de horas extras, mas, caso ocorra trabalho que exija horas extras, estas serão pagas de acordo com as leis federais, estaduais e locais aplicáveis. O empregador reserva-se o direito de oferecer remuneração adicional por desempenho/tempo de serviço ou poderá aumentar os salários com base nas mudanças das condições de mercado. O empregador é um fornecedor itinerante de concessões ao ar livre, com necessidade de deslocamento entre os locais dos eventos. As viagens são fornecidas para os condados de Maricopa, Pinal e Pima, no Arizona; Alameda, Imperial, Los Angeles, Orange, Riverside, San Diego, San Luis Obispo, San Mateo e Solano, na Califórnia; Deschutes, no Oregon; e King e Pierce, em Washington. O deslocamento para todos os eventos, conforme o itinerário, é fornecido. Alojamento e transporte de/para cada local de evento são oferecidos a todos os funcionários contratados para esta vaga. O empregador disponibiliza transporte entre os locais dos eventos. O empregador fornecerá ao trabalhador, sem custos, todas as ferramentas, suprimentos e equipamentos necessários para o desempenho das funções. Classificação da vaga: 35-2019.00 - Cozinheiros, Outros. A classificação e descrição da vaga/setor incluem informações gerais sobre o cargo, de acordo com o ONET/OES e o Sistema de Classificação Industrial da América do Norte (NAICS). Consulte as Funções e a Descrição da Vaga para obter mais informações. Requisitos da Vaga Experiência Necessária: Não Requisitos Especiais: A vaga exige que o candidato seja qualificado, esteja pronto, disposto, apto e disponível para trabalhar durante todo o período de emprego nos locais de trabalho designados, mesmo em condições climáticas adversas; para firmar e cumprir contratos de trabalho; para seguir as normas da empresa; e para atender aos padrões de desempenho da função. É necessário levantar peso e ter boa mobilidade. O candidato deve cumprir os requisitos de apresentação pessoal e o código de vestimenta. Sujeito a demissão por justa causa. O trabalho é realizado ao ar livre, em qualquer clima, e o candidato deve estar disposto a trabalhar até 7 dias por semana. É obrigatório o exame toxicológico pós-admissional, cujo custo é pago pelo empregador e se aplica a todos os trabalhadores, americanos e estrangeiros/H2B. É obrigatório o exame toxicológico após acidente ou incidente e em caso de suspeita razoável, cujo custo é pago pelo empregador e se aplica a todos os trabalhadores, americanos e estrangeiros/H2B. Os candidatos devem cooperar e preencher a ficha de inscrição e participar da entrevista com sinceridade. O uniforme obrigatório é fornecido gratuitamente ao trabalhador. Número de Horas por Semana: 40 Horário de Trabalho (Início/Término): 10:00 - 19:00</v>
      </c>
    </row>
    <row r="613" ht="20.25" customHeight="1">
      <c r="A613" s="8" t="s">
        <v>2989</v>
      </c>
      <c r="B613" s="8" t="s">
        <v>2990</v>
      </c>
      <c r="C613" s="8" t="s">
        <v>93</v>
      </c>
      <c r="D613" s="8" t="s">
        <v>306</v>
      </c>
      <c r="E613" s="9" t="s">
        <v>19</v>
      </c>
      <c r="F613" s="9" t="s">
        <v>20</v>
      </c>
      <c r="G613" s="9" t="s">
        <v>2601</v>
      </c>
      <c r="H613" s="8" t="s">
        <v>2991</v>
      </c>
      <c r="I613" s="8"/>
      <c r="J613" s="9">
        <v>26.26</v>
      </c>
      <c r="K613" s="9">
        <v>10.0</v>
      </c>
      <c r="L613" s="8" t="s">
        <v>262</v>
      </c>
      <c r="M613" s="8" t="s">
        <v>2992</v>
      </c>
      <c r="N613" s="7" t="str">
        <f>IFERROR(__xludf.DUMMYFUNCTION("GOOGLETRANSLATE(L613, ""en"", ""pt"")"),"Operário da construção civil")</f>
        <v>Operário da construção civil</v>
      </c>
      <c r="O613" s="7" t="str">
        <f>IFERROR(__xludf.DUMMYFUNCTION("IF(M613="""","""",GOOGLETRANSLATE(M613,""en"",""pt""))"),"Executar tarefas que envolvam trabalho físico em canteiros de obras. Pode operar ferramentas manuais e elétricas de todos os tipos: martelos pneumáticos, compactadores de solo, betoneiras, pequenos guindastes mecânicos, equipamentos de topografia e mediçã"&amp;"o, e uma variedade de outros equipamentos e instrumentos. Pode limpar e preparar locais, cavar valas, instalar escoras para sustentar as laterais das escavações, montar andaimes e limpar entulhos, detritos e outros materiais residuais. Pode auxiliar outro"&amp;"s trabalhadores especializados. Classificação da função: 47-2061.00 - Auxiliares de Construção Civil. A classificação e descrição da função/setor inclui informações gerais sobre o cargo, de acordo com o ONET/OES e o Sistema de Classificação Industrial da "&amp;"América do Norte (NAICS). Consulte as Funções e a Ordem de Serviço para obter mais informações. Requisitos da vaga: Experiência exigida: Não. Requisitos especiais: Deve ser capaz de levantar/carregar 34 kg (75 lbs), quando necessário. Trabalho aos sábados"&amp;" e domingos, quando necessário. O empregador pode oferecer mais horas de trabalho do que as estipuladas, dependendo do clima, das necessidades da empresa e de outras condições. Calor extremo, frio, chuva ou seca podem afetar o horário de trabalho exato. N"&amp;"úmero de horas por semana: 40 Horário de trabalho (início/término): 7h00 - 15h00")</f>
        <v>Executar tarefas que envolvam trabalho físico em canteiros de obras. Pode operar ferramentas manuais e elétricas de todos os tipos: martelos pneumáticos, compactadores de solo, betoneiras, pequenos guindastes mecânicos, equipamentos de topografia e medição, e uma variedade de outros equipamentos e instrumentos. Pode limpar e preparar locais, cavar valas, instalar escoras para sustentar as laterais das escavações, montar andaimes e limpar entulhos, detritos e outros materiais residuais. Pode auxiliar outros trabalhadores especializados. Classificação da função: 47-2061.00 - Auxiliares de Construção Civil. A classificação e descrição da função/setor inclui informações gerais sobre o cargo, de acordo com o ONET/OES e o Sistema de Classificação Industrial da América do Norte (NAICS). Consulte as Funções e a Ordem de Serviço para obter mais informações. Requisitos da vaga: Experiência exigida: Não. Requisitos especiais: Deve ser capaz de levantar/carregar 34 kg (75 lbs), quando necessário. Trabalho aos sábados e domingos, quando necessário. O empregador pode oferecer mais horas de trabalho do que as estipuladas, dependendo do clima, das necessidades da empresa e de outras condições. Calor extremo, frio, chuva ou seca podem afetar o horário de trabalho exato. Número de horas por semana: 40 Horário de trabalho (início/término): 7h00 - 15h00</v>
      </c>
    </row>
    <row r="614" ht="20.25" customHeight="1">
      <c r="A614" s="3" t="s">
        <v>2993</v>
      </c>
      <c r="B614" s="3" t="s">
        <v>2994</v>
      </c>
      <c r="C614" s="3" t="s">
        <v>2995</v>
      </c>
      <c r="D614" s="3" t="s">
        <v>71</v>
      </c>
      <c r="E614" s="4" t="s">
        <v>44</v>
      </c>
      <c r="F614" s="4" t="s">
        <v>20</v>
      </c>
      <c r="G614" s="4" t="s">
        <v>118</v>
      </c>
      <c r="H614" s="3" t="s">
        <v>2996</v>
      </c>
      <c r="I614" s="3" t="s">
        <v>2997</v>
      </c>
      <c r="J614" s="4">
        <v>22.39</v>
      </c>
      <c r="K614" s="4">
        <v>65.0</v>
      </c>
      <c r="L614" s="3" t="s">
        <v>1490</v>
      </c>
      <c r="M614" s="3" t="s">
        <v>2998</v>
      </c>
      <c r="N614" s="7" t="str">
        <f>IFERROR(__xludf.DUMMYFUNCTION("GOOGLETRANSLATE(L614, ""en"", ""pt"")"),"Zelador")</f>
        <v>Zelador</v>
      </c>
      <c r="O614" s="7" t="str">
        <f>IFERROR(__xludf.DUMMYFUNCTION("IF(M614="""","""",GOOGLETRANSLATE(M614,""en"",""pt""))"),"As funções podem incluir: Podar ou aparar árvores para dar forma e melhorar o crescimento. Limpar os locais de trabalho, removendo galhos, gravetos, ervas daninhas, lixo e detritos. Rastelar, recolher e enfardar palha de pinheiro. Carregar/descarregar cam"&amp;"inhões com fardos e/ou ferramentas e equipamentos necessários. Aplicar palha de pinheiro para controle da erosão. Auxiliar as equipes de levantamento florestal, limpando linhas de visada, segurando ferramentas de medição ou instalando estacas. Usar ferram"&amp;"entas manuais, como alavancas, rastelos, serras, tesouras de poda ou pás. Operar veículos ou equipamentos motorizados de pequeno porte, como serras de poda, enfardadeiras móveis, tratores, veículos de dois eixos ou sopradores. Limpar e manter as ferrament"&amp;"as e o local de trabalho para garantir a segurança e outras atividades relacionadas ao zelador, conforme SOC/OES 37-3011 (onetonline.org). Horário padrão/esperado: Segunda a sexta, das 9h às 17h. Oferecemos mais de 40 horas semanais, sem incluir o horário"&amp;" de almoço e/ou intervalos. Possibilidade de trabalho aos fins de semana/feriados. Os horários de início e término, a carga horária oferecida e/ou as horas extras podem variar, pois dependem de fatores como necessidades do projeto/cronograma/serviço, cond"&amp;"ições climáticas e tempo de deslocamento entre os locais de trabalho (se aplicável). Horas extras são possíveis, mas não obrigatórias nem garantidas. A critério exclusivo do empregador: aumentos salariais e/ou bônus podem ser concedidos com base em fatore"&amp;"s individuais, como desempenho ou habilidades (não garantidos). Moradia mobiliada compartilhada opcional disponível para o trabalhador (incluindo: contas de consumo) por um valor mensal de até US$ 200; caso a moradia seja aceita pelo trabalhador, o valor "&amp;"mensal deverá ser pago diretamente ao proprietário. Classificação da vaga: 47-2073.00 - Operadores de Máquinas e Outros Operadores de Equipamentos de Construção. A classificação e a descrição da vaga/setor incluem informações gerais sobre o cargo, de acor"&amp;"do com o ONET/OES e o Sistema de Classificação Industrial da América do Norte. Consulte as Funções e a Ordem de Serviço para obter mais informações. Requisitos da vaga: Experiência exigida: Não. Requisitos especiais: É necessário ter 18 anos ou mais, conf"&amp;"orme as leis trabalhistas estaduais. É necessário apresentar comprovante de autorização legal para trabalhar nos Estados Unidos. Ambiente de trabalho livre de drogas, álcool e tabaco. Atividades físicas incluem levantar, equilibrar-se, caminhar, agachar-s"&amp;"e, manusear, posicionar, mover e manipular materiais, utilizando força estática para exercer força muscular máxima para levantar, empurrar, puxar e carregar objetos de até 20 kg. Todos os candidatos devem ser capazes, dispostos e qualificados para realiza"&amp;"r o trabalho descrito e devem estar disponíveis durante todo o período especificado, trabalhando em todas as áreas da empresa. O trabalho é realizado ao ar livre, exposto às intempéries; o candidato deve ser capaz de realizar trabalho fisicamente extenuan"&amp;"te por longos períodos, ocasionalmente em calor ou frio extremos. Condições climáticas variáveis ​​se aplicam; a carga horária pode sofrer alterações (+/-), com possibilidade de períodos de inatividade e/ou horas extras. Número de horas por semana: 40. Ho"&amp;"rário de trabalho (início/término): 9h às 17h.")</f>
        <v>As funções podem incluir: Podar ou aparar árvores para dar forma e melhorar o crescimento. Limpar os locais de trabalho, removendo galhos, gravetos, ervas daninhas, lixo e detritos. Rastelar, recolher e enfardar palha de pinheiro. Carregar/descarregar caminhões com fardos e/ou ferramentas e equipamentos necessários. Aplicar palha de pinheiro para controle da erosão. Auxiliar as equipes de levantamento florestal, limpando linhas de visada, segurando ferramentas de medição ou instalando estacas. Usar ferramentas manuais, como alavancas, rastelos, serras, tesouras de poda ou pás. Operar veículos ou equipamentos motorizados de pequeno porte, como serras de poda, enfardadeiras móveis, tratores, veículos de dois eixos ou sopradores. Limpar e manter as ferramentas e o local de trabalho para garantir a segurança e outras atividades relacionadas ao zelador, conforme SOC/OES 37-3011 (onetonline.org). Horário padrão/esperado: Segunda a sexta, das 9h às 17h. Oferecemos mais de 40 horas semanais, sem incluir o horário de almoço e/ou intervalos. Possibilidade de trabalho aos fins de semana/feriados. Os horários de início e término, a carga horária oferecida e/ou as horas extras podem variar, pois dependem de fatores como necessidades do projeto/cronograma/serviço, condições climáticas e tempo de deslocamento entre os locais de trabalho (se aplicável). Horas extras são possíveis, mas não obrigatórias nem garantidas. A critério exclusivo do empregador: aumentos salariais e/ou bônus podem ser concedidos com base em fatores individuais, como desempenho ou habilidades (não garantidos). Moradia mobiliada compartilhada opcional disponível para o trabalhador (incluindo: contas de consumo) por um valor mensal de até US$ 200; caso a moradia seja aceita pelo trabalhador, o valor mensal deverá ser pago diretamente ao proprietário. Classificação da vaga: 47-2073.00 - Operadores de Máquinas e Outros Operadores de Equipamentos de Construção. A classificação e a descrição da vaga/setor incluem informações gerais sobre o cargo, de acordo com o ONET/OES e o Sistema de Classificação Industrial da América do Norte. Consulte as Funções e a Ordem de Serviço para obter mais informações. Requisitos da vaga: Experiência exigida: Não. Requisitos especiais: É necessário ter 18 anos ou mais, conforme as leis trabalhistas estaduais. É necessário apresentar comprovante de autorização legal para trabalhar nos Estados Unidos. Ambiente de trabalho livre de drogas, álcool e tabaco. Atividades físicas incluem levantar, equilibrar-se, caminhar, agachar-se, manusear, posicionar, mover e manipular materiais, utilizando força estática para exercer força muscular máxima para levantar, empurrar, puxar e carregar objetos de até 20 kg. Todos os candidatos devem ser capazes, dispostos e qualificados para realizar o trabalho descrito e devem estar disponíveis durante todo o período especificado, trabalhando em todas as áreas da empresa. O trabalho é realizado ao ar livre, exposto às intempéries; o candidato deve ser capaz de realizar trabalho fisicamente extenuante por longos períodos, ocasionalmente em calor ou frio extremos. Condições climáticas variáveis ​​se aplicam; a carga horária pode sofrer alterações (+/-), com possibilidade de períodos de inatividade e/ou horas extras. Número de horas por semana: 40. Horário de trabalho (início/término): 9h às 17h.</v>
      </c>
    </row>
    <row r="615" ht="20.25" customHeight="1">
      <c r="A615" s="8" t="s">
        <v>2999</v>
      </c>
      <c r="B615" s="8" t="s">
        <v>3000</v>
      </c>
      <c r="C615" s="8" t="s">
        <v>2995</v>
      </c>
      <c r="D615" s="8" t="s">
        <v>36</v>
      </c>
      <c r="E615" s="9" t="s">
        <v>19</v>
      </c>
      <c r="F615" s="9" t="s">
        <v>20</v>
      </c>
      <c r="G615" s="9" t="s">
        <v>404</v>
      </c>
      <c r="H615" s="8" t="s">
        <v>3001</v>
      </c>
      <c r="I615" s="8" t="s">
        <v>3002</v>
      </c>
      <c r="J615" s="9">
        <v>18.75</v>
      </c>
      <c r="K615" s="9">
        <v>150.0</v>
      </c>
      <c r="L615" s="8" t="s">
        <v>59</v>
      </c>
      <c r="M615" s="8" t="s">
        <v>3003</v>
      </c>
      <c r="N615" s="7" t="str">
        <f>IFERROR(__xludf.DUMMYFUNCTION("GOOGLETRANSLATE(L615, ""en"", ""pt"")"),"Trabalhador de paisagismo")</f>
        <v>Trabalhador de paisagismo</v>
      </c>
      <c r="O615" s="7" t="str">
        <f>IFERROR(__xludf.DUMMYFUNCTION("IF(M615="""","""",GOOGLETRANSLATE(M615,""en"",""pt""))"),"As funções podem incluir: cuidar de gramados já estabelecidos, realizando atividades como cobertura morta, aeração, capina, remoção de palha morta e poda. Podar árvores, arbustos ou sebes. Utilizar ferramentas manuais, como pás, ancinhos, serras de poda, "&amp;"aparadores de sebes ou de mato. Recolher, triturar e compostar folhas. Manter calçadas, entradas de garagem, estacionamentos e outras áreas externas em bom estado de conservação. Recolher e remover lixo e detritos. Remover neve de calçadas, entradas de ga"&amp;"ragem e estacionamentos, e espalhar sal nessas áreas. Operar veículos ou equipamentos motorizados e realizar outras atividades relacionadas a serviços de paisagismo, conforme SOC/OES 37-3011 (onetonline.org). Horário padrão/esperado: segunda a sexta, das "&amp;"7h30 às 16h. Oferecemos mais de 40 horas semanais, sem incluir almoço e/ou intervalos. Possibilidade de trabalho em fins de semana e feriados. Os horários de início e término, a carga horária oferecida e/ou a possibilidade de horas extras podem variar, po"&amp;"is dependem de fatores como necessidades do projeto/cronograma/serviço, condições climáticas e tempo de deslocamento entre os locais de trabalho (se aplicável). Horas extras são possíveis, mas não obrigatórias nem garantidas. A critério exclusivo do empre"&amp;"gador: aumentos salariais e/ou bônus podem ser concedidos com base em fatores individuais, como desempenho ou habilidades (não garantidos). Classificação da vaga: 37-3011.00 - Trabalhadores de Paisagismo e Manutenção de Áreas Verdes. A classificação e a d"&amp;"escrição da vaga/setor incluem informações gerais sobre o cargo, conforme o ONET/OES e o Sistema de Classificação Industrial da América do Norte (NAICS). Consulte as Funções e a Ordem de Serviço para obter mais informações. Requisitos da vaga: Experiência"&amp;" exigida: Não. Requisitos especiais: É necessário ter 18 anos ou mais devido a questões de seguro. É necessário apresentar comprovante de autorização legal para trabalhar nos Estados Unidos. Ambiente de trabalho livre de drogas, álcool e tabaco. Executar "&amp;"atividades físicas como: levantar, equilibrar-se, caminhar, abaixar-se, manusear, posicionar, mover e manipular materiais; usar força estática para exercer força muscular máxima para levantar, empurrar, puxar e carregar objetos de até 36 kg (possivelmente"&amp;" por duas pessoas). Todos os candidatos devem ser capazes, dispostos e qualificados para executar o trabalho descrito e devem estar disponíveis durante todo o período especificado e trabalhar em todas as áreas da vaga. Possível verificação de antecedentes"&amp;" após a contratação, às custas do empregador. O trabalho é realizado ao ar livre, exposto às intempéries; o candidato deve ser capaz de realizar trabalho fisicamente extenuante por longos períodos, ocasionalmente em calor ou frio extremos. Condições climá"&amp;"ticas variáveis ​​se aplicam; a carga horária pode sofrer alterações (+/-), com possibilidade de períodos de inatividade e/ou horas extras. Número de horas por semana: 40. Horário de trabalho (início/término): 7h30 às 16h.")</f>
        <v>As funções podem incluir: cuidar de gramados já estabelecidos, realizando atividades como cobertura morta, aeração, capina, remoção de palha morta e poda. Podar árvores, arbustos ou sebes. Utilizar ferramentas manuais, como pás, ancinhos, serras de poda, aparadores de sebes ou de mato. Recolher, triturar e compostar folhas. Manter calçadas, entradas de garagem, estacionamentos e outras áreas externas em bom estado de conservação. Recolher e remover lixo e detritos. Remover neve de calçadas, entradas de garagem e estacionamentos, e espalhar sal nessas áreas. Operar veículos ou equipamentos motorizados e realizar outras atividades relacionadas a serviços de paisagismo, conforme SOC/OES 37-3011 (onetonline.org). Horário padrão/esperado: segunda a sexta, das 7h30 às 16h. Oferecemos mais de 40 horas semanais, sem incluir almoço e/ou intervalos. Possibilidade de trabalho em fins de semana e feriados. Os horários de início e término, a carga horária oferecida e/ou a possibilidade de horas extras podem variar, pois dependem de fatores como necessidades do projeto/cronograma/serviço, condições climáticas e tempo de deslocamento entre os locais de trabalho (se aplicável). Horas extras são possíveis, mas não obrigatórias nem garantidas. A critério exclusivo do empregador: aumentos salariais e/ou bônus podem ser concedidos com base em fatores individuais, como desempenho ou habilidades (não garantidos). Classificação da vaga: 37-3011.00 - Trabalhadores de Paisagismo e Manutenção de Áreas Verdes. A classificação e a descrição da vaga/setor incluem informações gerais sobre o cargo, conforme o ONET/OES e o Sistema de Classificação Industrial da América do Norte (NAICS). Consulte as Funções e a Ordem de Serviço para obter mais informações. Requisitos da vaga: Experiência exigida: Não. Requisitos especiais: É necessário ter 18 anos ou mais devido a questões de seguro. É necessário apresentar comprovante de autorização legal para trabalhar nos Estados Unidos. Ambiente de trabalho livre de drogas, álcool e tabaco. Executar atividades físicas como: levantar, equilibrar-se, caminhar, abaixar-se, manusear, posicionar, mover e manipular materiais; usar força estática para exercer força muscular máxima para levantar, empurrar, puxar e carregar objetos de até 36 kg (possivelmente por duas pessoas). Todos os candidatos devem ser capazes, dispostos e qualificados para executar o trabalho descrito e devem estar disponíveis durante todo o período especificado e trabalhar em todas as áreas da vaga. Possível verificação de antecedentes após a contratação, às custas do empregador. O trabalho é realizado ao ar livre, exposto às intempéries; o candidato deve ser capaz de realizar trabalho fisicamente extenuante por longos períodos, ocasionalmente em calor ou frio extremos. Condições climáticas variáveis ​​se aplicam; a carga horária pode sofrer alterações (+/-), com possibilidade de períodos de inatividade e/ou horas extras. Número de horas por semana: 40. Horário de trabalho (início/término): 7h30 às 16h.</v>
      </c>
    </row>
    <row r="616" ht="20.25" customHeight="1">
      <c r="A616" s="3" t="s">
        <v>3004</v>
      </c>
      <c r="B616" s="3" t="s">
        <v>3005</v>
      </c>
      <c r="C616" s="3" t="s">
        <v>93</v>
      </c>
      <c r="D616" s="3" t="s">
        <v>186</v>
      </c>
      <c r="E616" s="4" t="s">
        <v>19</v>
      </c>
      <c r="F616" s="4" t="s">
        <v>20</v>
      </c>
      <c r="G616" s="4" t="s">
        <v>29</v>
      </c>
      <c r="H616" s="3" t="s">
        <v>3006</v>
      </c>
      <c r="I616" s="3" t="s">
        <v>3007</v>
      </c>
      <c r="J616" s="4">
        <v>21.77</v>
      </c>
      <c r="K616" s="4">
        <v>2.0</v>
      </c>
      <c r="L616" s="3" t="s">
        <v>1415</v>
      </c>
      <c r="M616" s="3" t="s">
        <v>3008</v>
      </c>
      <c r="N616" s="7" t="str">
        <f>IFERROR(__xludf.DUMMYFUNCTION("GOOGLETRANSLATE(L616, ""en"", ""pt"")"),"Motorista de caminhão")</f>
        <v>Motorista de caminhão</v>
      </c>
      <c r="O616" s="7" t="str">
        <f>IFERROR(__xludf.DUMMYFUNCTION("IF(M616="""","""",GOOGLETRANSLATE(M616,""en"",""pt""))"),"Dirigir um veículo leve, como uma caminhonete pequena, com capacidade inferior a 26.001 libras de Peso Bruto Total (PBT), principalmente para buscar itens de aluguel em um centro de distribuição e entregá-los em locais de eventos ou clientes. Pode incluir"&amp;" carga e descarga do veículo. O funcionário realizará apenas a entrega e o carregamento/descarregamento dos itens de aluguel em locais de eventos e outros locais de clientes. Quando o período de aluguel expirar, o funcionário também buscará os itens de al"&amp;"uguel em locais de eventos e outros locais de clientes, carregando-os na caminhonete. O funcionário não será responsável pela montagem ou desmontagem dos itens de aluguel nos locais dos eventos ou dos clientes. Classificação da Função: 53-3033.00 - Motori"&amp;"stas de Caminhonete Leve. A classificação e descrição da função/setor inclui informações gerais sobre o cargo, de acordo com o ONET/OES e o Sistema de Classificação Industrial da América do Norte (NAICS). Consulte as Funções e a Ordem de Serviço para obte"&amp;"r mais informações. Requisitos da Função: Experiência Necessária: Sim. Meses de Experiência Necessários: 3. Requisitos Especiais: Requer três meses de experiência na condução de caminhonete pequena. Deve ser capaz de levantar/carregar 23 kg (50 lbs), quan"&amp;"do necessário, e trabalhar curvado/em pé por longos períodos em todos os tipos de clima. A jornada de trabalho é de pelo menos 5 dias por semana, com turnos e dias de trabalho variando conforme o dia e a semana, incluindo sábado e domingo. Exame toxicológ"&amp;"ico pós-contratação obrigatório para trabalhadores estrangeiros e nacionais em caso de suspeita de uso. Deve possuir ou ser capaz de obter carteira de habilitação americana em até 30 dias após a contratação. O empregador poderá oferecer mais horas de trab"&amp;"alho do que as estipuladas, dependendo do clima, das necessidades da empresa e de outras condições. Calor extremo, frio, chuva ou seca podem afetar o horário de trabalho exato. Número de horas por semana: 35. Horário de trabalho (início/término): 9h às 16"&amp;"h30.")</f>
        <v>Dirigir um veículo leve, como uma caminhonete pequena, com capacidade inferior a 26.001 libras de Peso Bruto Total (PBT), principalmente para buscar itens de aluguel em um centro de distribuição e entregá-los em locais de eventos ou clientes. Pode incluir carga e descarga do veículo. O funcionário realizará apenas a entrega e o carregamento/descarregamento dos itens de aluguel em locais de eventos e outros locais de clientes. Quando o período de aluguel expirar, o funcionário também buscará os itens de aluguel em locais de eventos e outros locais de clientes, carregando-os na caminhonete. O funcionário não será responsável pela montagem ou desmontagem dos itens de aluguel nos locais dos eventos ou dos clientes. Classificação da Função: 53-3033.00 - Motoristas de Caminhonete Leve. A classificação e descrição da função/setor inclui informações gerais sobre o cargo, de acordo com o ONET/OES e o Sistema de Classificação Industrial da América do Norte (NAICS). Consulte as Funções e a Ordem de Serviço para obter mais informações. Requisitos da Função: Experiência Necessária: Sim. Meses de Experiência Necessários: 3. Requisitos Especiais: Requer três meses de experiência na condução de caminhonete pequena. Deve ser capaz de levantar/carregar 23 kg (50 lbs), quando necessário, e trabalhar curvado/em pé por longos períodos em todos os tipos de clima. A jornada de trabalho é de pelo menos 5 dias por semana, com turnos e dias de trabalho variando conforme o dia e a semana, incluindo sábado e domingo. Exame toxicológico pós-contratação obrigatório para trabalhadores estrangeiros e nacionais em caso de suspeita de uso. Deve possuir ou ser capaz de obter carteira de habilitação americana em até 30 dias após a contratação. O empregador poderá oferecer mais horas de trabalho do que as estipuladas, dependendo do clima, das necessidades da empresa e de outras condições. Calor extremo, frio, chuva ou seca podem afetar o horário de trabalho exato. Número de horas por semana: 35. Horário de trabalho (início/término): 9h às 16h30.</v>
      </c>
    </row>
    <row r="617" ht="20.25" customHeight="1">
      <c r="A617" s="8" t="s">
        <v>3009</v>
      </c>
      <c r="B617" s="8" t="s">
        <v>3010</v>
      </c>
      <c r="C617" s="8" t="s">
        <v>93</v>
      </c>
      <c r="D617" s="8" t="s">
        <v>28</v>
      </c>
      <c r="E617" s="9" t="s">
        <v>19</v>
      </c>
      <c r="F617" s="9" t="s">
        <v>20</v>
      </c>
      <c r="G617" s="9" t="s">
        <v>801</v>
      </c>
      <c r="H617" s="8" t="s">
        <v>3011</v>
      </c>
      <c r="I617" s="8" t="s">
        <v>3012</v>
      </c>
      <c r="J617" s="9">
        <v>17.25</v>
      </c>
      <c r="K617" s="9">
        <v>7.0</v>
      </c>
      <c r="L617" s="8" t="s">
        <v>1235</v>
      </c>
      <c r="M617" s="8" t="s">
        <v>3013</v>
      </c>
      <c r="N617" s="7" t="str">
        <f>IFERROR(__xludf.DUMMYFUNCTION("GOOGLETRANSLATE(L617, ""en"", ""pt"")"),"Auxiliar de Armazém e Movimentador de Materiais")</f>
        <v>Auxiliar de Armazém e Movimentador de Materiais</v>
      </c>
      <c r="O617" s="7" t="str">
        <f>IFERROR(__xludf.DUMMYFUNCTION("IF(M617="""","""",GOOGLETRANSLATE(M617,""en"",""pt""))"),"O Auxiliar de Armazém trabalhará nos departamentos de armazém, decoração natalina e paisagismo, descarregando caminhões, movendo o material para os locais apropriados e separando o material para carregamento e envio a outros locais. Os materiais incluem c"&amp;"aixas/engradados de flores, árvores artificiais, guirlandas/ornamentos, enfeites, fitas e plantas de todos os formatos e tamanhos. Os tipos de máquinas, ferramentas e/ou equipamentos utilizados incluem carrinhos de metal com prateleiras ajustáveis. A funç"&amp;"ão do funcionário é manusear fisicamente os materiais apropriados (caixas, baldes de flores, engradados de suprimentos ou mercadorias e plantas). O funcionário receberá instruções sobre o que encontrar, como separar, para onde levar e como organizar em se"&amp;"u local final. As tarefas de paisagismo incluem descarregar remessas de plantas, separar e organizar as plantas para a equipe de instalação e carregar caminhões com o mesmo material. O funcionário encontrará e reunirá as caixas de materiais apropriadas, m"&amp;"overá para a área desejada, retirará os materiais das caixas e os colocará no lugar para serem avaliados. Além disso, eles reembalariam os itens finalizados em caixas, as moveriam para a área de estocagem e auxiliariam no carregamento de caminhões para en"&amp;"trega. Esta função envolve trabalho físico e exige a capacidade de trabalhar em ambientes variados, tanto internos quanto externos, conforme as necessidades do projeto. Classificação da função: 53-7062.00 - Operários e Movimentadores de Carga, Estoque e M"&amp;"ateriais. A classificação e descrição da função/setor incluem informações gerais sobre o cargo, de acordo com o ONET/OES e o Sistema de Classificação Industrial da América do Norte (NAICS). Consulte as Funções e a Ordem de Serviço para obter mais informaç"&amp;"ões. Requisitos da vaga: Experiência necessária: Não. Requisitos especiais: Deve ser capaz de levantar/carregar 23 kg, quando necessário. Trabalho aos sábados e domingos, quando necessário. Exame toxicológico pago pelo empregador é obrigatório para trabal"&amp;"hadores estrangeiros e nacionais antes do início do trabalho e após a contratação, em caso de acidente. O empregador pode oferecer mais horas de trabalho do que as estipuladas, dependendo do clima, das necessidades da empresa e de outras condições. Calor "&amp;"extremo, frio, chuva ou seca podem afetar o horário de trabalho exato. Número de horas por semana: 40 Horário de trabalho (início/término): 8h00 - 17h00")</f>
        <v>O Auxiliar de Armazém trabalhará nos departamentos de armazém, decoração natalina e paisagismo, descarregando caminhões, movendo o material para os locais apropriados e separando o material para carregamento e envio a outros locais. Os materiais incluem caixas/engradados de flores, árvores artificiais, guirlandas/ornamentos, enfeites, fitas e plantas de todos os formatos e tamanhos. Os tipos de máquinas, ferramentas e/ou equipamentos utilizados incluem carrinhos de metal com prateleiras ajustáveis. A função do funcionário é manusear fisicamente os materiais apropriados (caixas, baldes de flores, engradados de suprimentos ou mercadorias e plantas). O funcionário receberá instruções sobre o que encontrar, como separar, para onde levar e como organizar em seu local final. As tarefas de paisagismo incluem descarregar remessas de plantas, separar e organizar as plantas para a equipe de instalação e carregar caminhões com o mesmo material. O funcionário encontrará e reunirá as caixas de materiais apropriadas, moverá para a área desejada, retirará os materiais das caixas e os colocará no lugar para serem avaliados. Além disso, eles reembalariam os itens finalizados em caixas, as moveriam para a área de estocagem e auxiliariam no carregamento de caminhões para entrega. Esta função envolve trabalho físico e exige a capacidade de trabalhar em ambientes variados, tanto internos quanto externos, conforme as necessidades do projeto. Classificação da função: 53-7062.00 - Operários e Movimentadores de Carga, Estoque e Materiais. A classificação e descrição da função/setor incluem informações gerais sobre o cargo, de acordo com o ONET/OES e o Sistema de Classificação Industrial da América do Norte (NAICS). Consulte as Funções e a Ordem de Serviço para obter mais informações. Requisitos da vaga: Experiência necessária: Não. Requisitos especiais: Deve ser capaz de levantar/carregar 23 kg, quando necessário. Trabalho aos sábados e domingos, quando necessário. Exame toxicológico pago pelo empregador é obrigatório para trabalhadores estrangeiros e nacionais antes do início do trabalho e após a contratação, em caso de acidente. O empregador pode oferecer mais horas de trabalho do que as estipuladas, dependendo do clima, das necessidades da empresa e de outras condições. Calor extremo, frio, chuva ou seca podem afetar o horário de trabalho exato. Número de horas por semana: 40 Horário de trabalho (início/término): 8h00 - 17h00</v>
      </c>
    </row>
    <row r="618" ht="20.25" customHeight="1">
      <c r="A618" s="3" t="s">
        <v>3014</v>
      </c>
      <c r="B618" s="3" t="s">
        <v>2773</v>
      </c>
      <c r="C618" s="3" t="s">
        <v>1411</v>
      </c>
      <c r="D618" s="3" t="s">
        <v>3015</v>
      </c>
      <c r="E618" s="4" t="s">
        <v>19</v>
      </c>
      <c r="F618" s="4" t="s">
        <v>20</v>
      </c>
      <c r="G618" s="4" t="s">
        <v>110</v>
      </c>
      <c r="H618" s="3" t="s">
        <v>2774</v>
      </c>
      <c r="I618" s="3" t="s">
        <v>2775</v>
      </c>
      <c r="J618" s="4">
        <v>18.48</v>
      </c>
      <c r="K618" s="4">
        <v>3.0</v>
      </c>
      <c r="L618" s="3" t="s">
        <v>2101</v>
      </c>
      <c r="M618" s="3" t="s">
        <v>2776</v>
      </c>
      <c r="N618" s="7" t="str">
        <f>IFERROR(__xludf.DUMMYFUNCTION("GOOGLETRANSLATE(L618, ""en"", ""pt"")"),"Técnico de Manutenção")</f>
        <v>Técnico de Manutenção</v>
      </c>
      <c r="O618" s="7" t="str">
        <f>IFERROR(__xludf.DUMMYFUNCTION("IF(M618="""","""",GOOGLETRANSLATE(M618,""en"",""pt""))"),"Auxiliar mecânicos experientes em tarefas menos complexas relacionadas à manutenção e reparo de veículos. Auxiliar os mecânicos no diagnóstico, exame, teste, ajuste e reparo de diversos veículos e equipamentos comerciais, como caminhonetes, conjuntos de c"&amp;"aminhão-trator pesado, caminhões com Peso Bruto Total (PBT) superior a 11.793 kg (26.001 libras), carregadeiras, reboques e outras máquinas e equipamentos relacionados, conforme necessário. Segurar ou fornecer ferramentas e peças para trabalhadores mais q"&amp;"ualificados. Posicionar veículos, ferramentas, equipamentos de diagnóstico e suprimentos, conforme necessário. As funções diárias podem incluir inspecionar veículos, máquinas e equipamentos para garantir seu pleno funcionamento; ligar os motores e dirigir"&amp;" ou operar as máquinas, equipamentos ou veículos dentro da área de manutenção para garantir que estejam operando de forma adequada, segura e totalmente funcionais para o trabalho a ser realizado; limpar e lubrificar veículos, equipamentos e ferramentas; m"&amp;"anter a área de manutenção limpa e segura, garantindo que todos os veículos, máquinas, equipamentos de diagnóstico, suprimentos, ferramentas, equipamentos de manutenção grandes e pequenos, fluidos e suprimentos estejam armazenados e posicionados conforme "&amp;"necessário. Classificação da Função: 49-9098.00 - Ajudantes - Trabalhadores de Instalação, Manutenção e Reparo. A classificação e descrição da função/setor inclui informações gerais sobre o cargo, conforme o ONET/OES e o Sistema de Classificação Industria"&amp;"l da América do Norte (NAICS). Consulte as Funções e a Ordem de Serviço para obter mais informações. Requisitos da Função: Experiência Necessária: Sim. Meses de Experiência Necessária: 6. Requisitos Especiais: Aprovação em verificação de antecedentes e te"&amp;"ste toxicológico. Número de Horas por Semana: 36. Horário de Trabalho (Início/Término): 7h às 19h.")</f>
        <v>Auxiliar mecânicos experientes em tarefas menos complexas relacionadas à manutenção e reparo de veículos. Auxiliar os mecânicos no diagnóstico, exame, teste, ajuste e reparo de diversos veículos e equipamentos comerciais, como caminhonetes, conjuntos de caminhão-trator pesado, caminhões com Peso Bruto Total (PBT) superior a 11.793 kg (26.001 libras), carregadeiras, reboques e outras máquinas e equipamentos relacionados, conforme necessário. Segurar ou fornecer ferramentas e peças para trabalhadores mais qualificados. Posicionar veículos, ferramentas, equipamentos de diagnóstico e suprimentos, conforme necessário. As funções diárias podem incluir inspecionar veículos, máquinas e equipamentos para garantir seu pleno funcionamento; ligar os motores e dirigir ou operar as máquinas, equipamentos ou veículos dentro da área de manutenção para garantir que estejam operando de forma adequada, segura e totalmente funcionais para o trabalho a ser realizado; limpar e lubrificar veículos, equipamentos e ferramentas; manter a área de manutenção limpa e segura, garantindo que todos os veículos, máquinas, equipamentos de diagnóstico, suprimentos, ferramentas, equipamentos de manutenção grandes e pequenos, fluidos e suprimentos estejam armazenados e posicionados conforme necessário. Classificação da Função: 49-9098.00 - Ajudantes - Trabalhadores de Instalação, Manutenção e Reparo. A classificação e descrição da função/setor inclui informações gerais sobre o cargo, conforme o ONET/OES e o Sistema de Classificação Industrial da América do Norte (NAICS). Consulte as Funções e a Ordem de Serviço para obter mais informações. Requisitos da Função: Experiência Necessária: Sim. Meses de Experiência Necessária: 6. Requisitos Especiais: Aprovação em verificação de antecedentes e teste toxicológico. Número de Horas por Semana: 36. Horário de Trabalho (Início/Término): 7h às 19h.</v>
      </c>
    </row>
    <row r="619" ht="20.25" customHeight="1">
      <c r="A619" s="8" t="s">
        <v>3016</v>
      </c>
      <c r="B619" s="8" t="s">
        <v>2773</v>
      </c>
      <c r="C619" s="8" t="s">
        <v>1411</v>
      </c>
      <c r="D619" s="8" t="s">
        <v>278</v>
      </c>
      <c r="E619" s="9" t="s">
        <v>19</v>
      </c>
      <c r="F619" s="9" t="s">
        <v>20</v>
      </c>
      <c r="G619" s="9" t="s">
        <v>110</v>
      </c>
      <c r="H619" s="8" t="s">
        <v>2774</v>
      </c>
      <c r="I619" s="8" t="s">
        <v>2775</v>
      </c>
      <c r="J619" s="9">
        <v>16.06</v>
      </c>
      <c r="K619" s="9">
        <v>3.0</v>
      </c>
      <c r="L619" s="8" t="s">
        <v>2101</v>
      </c>
      <c r="M619" s="8" t="s">
        <v>2776</v>
      </c>
      <c r="N619" s="7" t="str">
        <f>IFERROR(__xludf.DUMMYFUNCTION("GOOGLETRANSLATE(L619, ""en"", ""pt"")"),"Técnico de Manutenção")</f>
        <v>Técnico de Manutenção</v>
      </c>
      <c r="O619" s="7" t="str">
        <f>IFERROR(__xludf.DUMMYFUNCTION("IF(M619="""","""",GOOGLETRANSLATE(M619,""en"",""pt""))"),"Auxiliar mecânicos experientes em tarefas menos complexas relacionadas à manutenção e reparo de veículos. Auxiliar os mecânicos no diagnóstico, exame, teste, ajuste e reparo de diversos veículos e equipamentos comerciais, como caminhonetes, conjuntos de c"&amp;"aminhão-trator pesado, caminhões com Peso Bruto Total (PBT) superior a 11.793 kg (26.001 libras), carregadeiras, reboques e outras máquinas e equipamentos relacionados, conforme necessário. Segurar ou fornecer ferramentas e peças para trabalhadores mais q"&amp;"ualificados. Posicionar veículos, ferramentas, equipamentos de diagnóstico e suprimentos, conforme necessário. As funções diárias podem incluir inspecionar veículos, máquinas e equipamentos para garantir seu pleno funcionamento; ligar os motores e dirigir"&amp;" ou operar as máquinas, equipamentos ou veículos dentro da área de manutenção para garantir que estejam operando de forma adequada, segura e totalmente funcionais para o trabalho a ser realizado; limpar e lubrificar veículos, equipamentos e ferramentas; m"&amp;"anter a área de manutenção limpa e segura, garantindo que todos os veículos, máquinas, equipamentos de diagnóstico, suprimentos, ferramentas, equipamentos de manutenção grandes e pequenos, fluidos e suprimentos estejam armazenados e posicionados conforme "&amp;"necessário. Classificação da Função: 49-9098.00 - Ajudantes - Trabalhadores de Instalação, Manutenção e Reparo. A classificação e descrição da função/setor inclui informações gerais sobre o cargo, conforme o ONET/OES e o Sistema de Classificação Industria"&amp;"l da América do Norte (NAICS). Consulte as Funções e a Ordem de Serviço para obter mais informações. Requisitos da Função: Experiência Necessária: Sim. Meses de Experiência Necessária: 6. Requisitos Especiais: Aprovação em verificação de antecedentes e te"&amp;"ste toxicológico. Número de Horas por Semana: 36. Horário de Trabalho (Início/Término): 7h às 19h.")</f>
        <v>Auxiliar mecânicos experientes em tarefas menos complexas relacionadas à manutenção e reparo de veículos. Auxiliar os mecânicos no diagnóstico, exame, teste, ajuste e reparo de diversos veículos e equipamentos comerciais, como caminhonetes, conjuntos de caminhão-trator pesado, caminhões com Peso Bruto Total (PBT) superior a 11.793 kg (26.001 libras), carregadeiras, reboques e outras máquinas e equipamentos relacionados, conforme necessário. Segurar ou fornecer ferramentas e peças para trabalhadores mais qualificados. Posicionar veículos, ferramentas, equipamentos de diagnóstico e suprimentos, conforme necessário. As funções diárias podem incluir inspecionar veículos, máquinas e equipamentos para garantir seu pleno funcionamento; ligar os motores e dirigir ou operar as máquinas, equipamentos ou veículos dentro da área de manutenção para garantir que estejam operando de forma adequada, segura e totalmente funcionais para o trabalho a ser realizado; limpar e lubrificar veículos, equipamentos e ferramentas; manter a área de manutenção limpa e segura, garantindo que todos os veículos, máquinas, equipamentos de diagnóstico, suprimentos, ferramentas, equipamentos de manutenção grandes e pequenos, fluidos e suprimentos estejam armazenados e posicionados conforme necessário. Classificação da Função: 49-9098.00 - Ajudantes - Trabalhadores de Instalação, Manutenção e Reparo. A classificação e descrição da função/setor inclui informações gerais sobre o cargo, conforme o ONET/OES e o Sistema de Classificação Industrial da América do Norte (NAICS). Consulte as Funções e a Ordem de Serviço para obter mais informações. Requisitos da Função: Experiência Necessária: Sim. Meses de Experiência Necessária: 6. Requisitos Especiais: Aprovação em verificação de antecedentes e teste toxicológico. Número de Horas por Semana: 36. Horário de Trabalho (Início/Término): 7h às 19h.</v>
      </c>
    </row>
    <row r="620" ht="20.25" customHeight="1">
      <c r="A620" s="3" t="s">
        <v>3017</v>
      </c>
      <c r="B620" s="3" t="s">
        <v>2773</v>
      </c>
      <c r="C620" s="3" t="s">
        <v>1411</v>
      </c>
      <c r="D620" s="3" t="s">
        <v>2494</v>
      </c>
      <c r="E620" s="4" t="s">
        <v>19</v>
      </c>
      <c r="F620" s="4" t="s">
        <v>20</v>
      </c>
      <c r="G620" s="4" t="s">
        <v>110</v>
      </c>
      <c r="H620" s="3" t="s">
        <v>2774</v>
      </c>
      <c r="I620" s="3" t="s">
        <v>2775</v>
      </c>
      <c r="J620" s="4">
        <v>19.19</v>
      </c>
      <c r="K620" s="4">
        <v>1.0</v>
      </c>
      <c r="L620" s="3" t="s">
        <v>2101</v>
      </c>
      <c r="M620" s="3" t="s">
        <v>2776</v>
      </c>
      <c r="N620" s="7" t="str">
        <f>IFERROR(__xludf.DUMMYFUNCTION("GOOGLETRANSLATE(L620, ""en"", ""pt"")"),"Técnico de Manutenção")</f>
        <v>Técnico de Manutenção</v>
      </c>
      <c r="O620" s="7" t="str">
        <f>IFERROR(__xludf.DUMMYFUNCTION("IF(M620="""","""",GOOGLETRANSLATE(M620,""en"",""pt""))"),"Auxiliar mecânicos experientes em tarefas menos complexas relacionadas à manutenção e reparo de veículos. Auxiliar os mecânicos no diagnóstico, exame, teste, ajuste e reparo de diversos veículos e equipamentos comerciais, como caminhonetes, conjuntos de c"&amp;"aminhão-trator pesado, caminhões com Peso Bruto Total (PBT) superior a 11.793 kg (26.001 libras), carregadeiras, reboques e outras máquinas e equipamentos relacionados, conforme necessário. Segurar ou fornecer ferramentas e peças para trabalhadores mais q"&amp;"ualificados. Posicionar veículos, ferramentas, equipamentos de diagnóstico e suprimentos, conforme necessário. As funções diárias podem incluir inspecionar veículos, máquinas e equipamentos para garantir seu pleno funcionamento; ligar os motores e dirigir"&amp;" ou operar as máquinas, equipamentos ou veículos dentro da área de manutenção para garantir que estejam operando de forma adequada, segura e totalmente funcionais para o trabalho a ser realizado; limpar e lubrificar veículos, equipamentos e ferramentas; m"&amp;"anter a área de manutenção limpa e segura, garantindo que todos os veículos, máquinas, equipamentos de diagnóstico, suprimentos, ferramentas, equipamentos de manutenção grandes e pequenos, fluidos e suprimentos estejam armazenados e posicionados conforme "&amp;"necessário. Classificação da Função: 49-9098.00 - Ajudantes - Trabalhadores de Instalação, Manutenção e Reparo. A classificação e descrição da função/setor inclui informações gerais sobre o cargo, conforme o ONET/OES e o Sistema de Classificação Industria"&amp;"l da América do Norte (NAICS). Consulte as Funções e a Ordem de Serviço para obter mais informações. Requisitos da Função: Experiência Necessária: Sim. Meses de Experiência Necessária: 6. Requisitos Especiais: Aprovação em verificação de antecedentes e te"&amp;"ste toxicológico. Número de Horas por Semana: 36. Horário de Trabalho (Início/Término): 7h às 19h.")</f>
        <v>Auxiliar mecânicos experientes em tarefas menos complexas relacionadas à manutenção e reparo de veículos. Auxiliar os mecânicos no diagnóstico, exame, teste, ajuste e reparo de diversos veículos e equipamentos comerciais, como caminhonetes, conjuntos de caminhão-trator pesado, caminhões com Peso Bruto Total (PBT) superior a 11.793 kg (26.001 libras), carregadeiras, reboques e outras máquinas e equipamentos relacionados, conforme necessário. Segurar ou fornecer ferramentas e peças para trabalhadores mais qualificados. Posicionar veículos, ferramentas, equipamentos de diagnóstico e suprimentos, conforme necessário. As funções diárias podem incluir inspecionar veículos, máquinas e equipamentos para garantir seu pleno funcionamento; ligar os motores e dirigir ou operar as máquinas, equipamentos ou veículos dentro da área de manutenção para garantir que estejam operando de forma adequada, segura e totalmente funcionais para o trabalho a ser realizado; limpar e lubrificar veículos, equipamentos e ferramentas; manter a área de manutenção limpa e segura, garantindo que todos os veículos, máquinas, equipamentos de diagnóstico, suprimentos, ferramentas, equipamentos de manutenção grandes e pequenos, fluidos e suprimentos estejam armazenados e posicionados conforme necessário. Classificação da Função: 49-9098.00 - Ajudantes - Trabalhadores de Instalação, Manutenção e Reparo. A classificação e descrição da função/setor inclui informações gerais sobre o cargo, conforme o ONET/OES e o Sistema de Classificação Industrial da América do Norte (NAICS). Consulte as Funções e a Ordem de Serviço para obter mais informações. Requisitos da Função: Experiência Necessária: Sim. Meses de Experiência Necessária: 6. Requisitos Especiais: Aprovação em verificação de antecedentes e teste toxicológico. Número de Horas por Semana: 36. Horário de Trabalho (Início/Término): 7h às 19h.</v>
      </c>
    </row>
    <row r="621" ht="20.25" customHeight="1">
      <c r="A621" s="8" t="s">
        <v>3018</v>
      </c>
      <c r="B621" s="8" t="s">
        <v>3019</v>
      </c>
      <c r="C621" s="8" t="s">
        <v>93</v>
      </c>
      <c r="D621" s="8" t="s">
        <v>278</v>
      </c>
      <c r="E621" s="9" t="s">
        <v>19</v>
      </c>
      <c r="F621" s="9" t="s">
        <v>20</v>
      </c>
      <c r="G621" s="9" t="s">
        <v>1340</v>
      </c>
      <c r="H621" s="8" t="s">
        <v>3020</v>
      </c>
      <c r="I621" s="8"/>
      <c r="J621" s="9">
        <v>20.48</v>
      </c>
      <c r="K621" s="9">
        <v>12.0</v>
      </c>
      <c r="L621" s="8" t="s">
        <v>3021</v>
      </c>
      <c r="M621" s="8" t="s">
        <v>3022</v>
      </c>
      <c r="N621" s="7" t="str">
        <f>IFERROR(__xludf.DUMMYFUNCTION("GOOGLETRANSLATE(L621, ""en"", ""pt"")"),"Empacotador")</f>
        <v>Empacotador</v>
      </c>
      <c r="O621" s="7" t="str">
        <f>IFERROR(__xludf.DUMMYFUNCTION("IF(M621="""","""",GOOGLETRANSLATE(M621,""en"",""pt""))"),"Um funcionário de armazém seleciona e embala produtos, que consistem em enfeites de Natal, em um armazém e os prepara para pedidos de clientes. As principais funções incluem localizar e embalar itens usando o sistema de gerenciamento de armazém, verificar"&amp;" a precisão dos pedidos, embalar caixas e fazer etiquetas de envio. Auxilia na reposição de prateleiras, carga e descarga de caminhões e outras tarefas de armazém conforme designadas pelo gerente de armazém atacadista. Classificação do Cargo: 53-7062.00 -"&amp;" Operários e Movimentadores de Carga, Estoque e Materiais. A classificação e descrição do cargo/setor inclui informações gerais sobre a posição de acordo com o ONET/OES e o Sistema de Classificação Industrial da América do Norte. Consulte as Funções e a O"&amp;"rdem de Serviço para obter mais informações. Requisitos do Cargo Experiência Necessária: Não. Requisitos Especiais: Deve levantar/carregar 23 kg, quando necessário. Teste de drogas pós-contratação obrigatório para trabalhadores estrangeiros e nacionais em"&amp;" caso de suspeita de uso. Pode ser solicitado a dirigir veículos da empresa se o trabalhador possuir carteira de habilitação válida. (Dirigir não é um requisito para todos os trabalhadores nesta posição.) Bilinguismo é preferencial, mas não obrigatório. O"&amp;" empregador poderá oferecer uma jornada de trabalho superior à estipulada, dependendo das condições climáticas, das necessidades da empresa e de outros fatores. Calor extremo, frio intenso, chuva ou seca podem afetar o horário de trabalho exato. Número de"&amp;" horas por semana: 40. Horário de trabalho (início/término): 8h às 17h.")</f>
        <v>Um funcionário de armazém seleciona e embala produtos, que consistem em enfeites de Natal, em um armazém e os prepara para pedidos de clientes. As principais funções incluem localizar e embalar itens usando o sistema de gerenciamento de armazém, verificar a precisão dos pedidos, embalar caixas e fazer etiquetas de envio. Auxilia na reposição de prateleiras, carga e descarga de caminhões e outras tarefas de armazém conforme designadas pelo gerente de armazém atacadista. Classificação do Cargo: 53-7062.00 - Operários e Movimentadores de Carga, Estoque e Materiais. A classificação e descrição do cargo/setor inclui informações gerais sobre a posição de acordo com o ONET/OES e o Sistema de Classificação Industrial da América do Norte. Consulte as Funções e a Ordem de Serviço para obter mais informações. Requisitos do Cargo Experiência Necessária: Não. Requisitos Especiais: Deve levantar/carregar 23 kg, quando necessário. Teste de drogas pós-contratação obrigatório para trabalhadores estrangeiros e nacionais em caso de suspeita de uso. Pode ser solicitado a dirigir veículos da empresa se o trabalhador possuir carteira de habilitação válida. (Dirigir não é um requisito para todos os trabalhadores nesta posição.) Bilinguismo é preferencial, mas não obrigatório. O empregador poderá oferecer uma jornada de trabalho superior à estipulada, dependendo das condições climáticas, das necessidades da empresa e de outros fatores. Calor extremo, frio intenso, chuva ou seca podem afetar o horário de trabalho exato. Número de horas por semana: 40. Horário de trabalho (início/término): 8h às 17h.</v>
      </c>
    </row>
    <row r="622" ht="20.25" customHeight="1">
      <c r="A622" s="3" t="s">
        <v>3023</v>
      </c>
      <c r="B622" s="3" t="s">
        <v>2590</v>
      </c>
      <c r="C622" s="3" t="s">
        <v>391</v>
      </c>
      <c r="D622" s="3" t="s">
        <v>71</v>
      </c>
      <c r="E622" s="4" t="s">
        <v>44</v>
      </c>
      <c r="F622" s="4" t="s">
        <v>20</v>
      </c>
      <c r="G622" s="4" t="s">
        <v>524</v>
      </c>
      <c r="H622" s="3" t="s">
        <v>2591</v>
      </c>
      <c r="I622" s="3" t="s">
        <v>2592</v>
      </c>
      <c r="J622" s="4">
        <v>18.25</v>
      </c>
      <c r="K622" s="4">
        <v>8.0</v>
      </c>
      <c r="L622" s="3" t="s">
        <v>3024</v>
      </c>
      <c r="M622" s="3" t="s">
        <v>3025</v>
      </c>
      <c r="N622" s="7" t="str">
        <f>IFERROR(__xludf.DUMMYFUNCTION("GOOGLETRANSLATE(L622, ""en"", ""pt"")"),"Trabalhador de manutenção de campos de golfe")</f>
        <v>Trabalhador de manutenção de campos de golfe</v>
      </c>
      <c r="O622" s="7" t="str">
        <f>IFERROR(__xludf.DUMMYFUNCTION("IF(M622="""","""",GOOGLETRANSLATE(M622,""en"",""pt""))"),"Realiza a manutenção paisagística ou de campos de golfe utilizando ferramentas manuais ou elétricas, como roçadeiras, aparadores, cortadores de grama e bordadeiras. Corta a grama dos greens, tees e fairways; trabalha no solo para podar árvores, arbustos o"&amp;"u sebes utilizando tesouras de poda, podadores ou motosserras; remove os resíduos da poda. Rega as plantas; corta grama, ervas daninhas e arbustos; recolhe folhas; espalha fertilizante. Coloca cobertura morta nos canteiros ao redor do campo de golfe. Reco"&amp;"lhe e esvazia lixeiras; limpa calhas, ralos e bueiros. Mantém registros de manutenção e uso de fluidos (gasolina e óleo) dos equipamentos. Limpa e inspeciona os equipamentos após cada uso; reporta problemas com os equipamentos ao supervisor. Faz pequenos "&amp;"ajustes nos equipamentos conforme necessário, manualmente ou com ferramentas manuais. Carrega e descarrega materiais manualmente ou utilizando um carrinho. Opera um carrinho de golfe ou veículo utilitário para diversas necessidades de manutenção do campo."&amp;" Outras tarefas similares relacionadas ao trabalho, conforme designadas. O empregador oferecerá um mínimo de 40 horas semanais. A empresa funciona 7 dias por semana. Os dias de trabalho variam de domingo a sábado, incluindo feriados. Turnos: 6h às 16h30; "&amp;"6h às 14h30; 6h às 12h; e 6h às 10h. Cada turno de 8 horas ou mais inclui 30 minutos de intervalo não remunerado. Os dias, horários e turnos de trabalho podem variar de acordo com as necessidades da empresa. O empregador poderá aumentar o salário com base"&amp;" na experiência, nas condições de mercado e/ou oferecer remuneração adicional por desempenho e tempo de serviço. É possível o pagamento de bônus de feriado. O funcionário receberá um auxílio-alimentação de US$ 10 por turno trabalhado, que será adicionado "&amp;"ao seu salário. Horas extras podem estar disponíveis. Um adicional de horas extras será pago quando exigido por lei federal, estadual ou local, incluindo hora e meia após 40 horas semanais. Geralmente, quando houver horas extras disponíveis, elas serão pa"&amp;"gas a US$ 27,38 por hora. O empregador fornecerá uma bicicleta para o transporte diário de ida e volta do local de trabalho. Classificação da Função: 37-3011.00 - Trabalhadores de Paisagismo e Manutenção de Jardins. A classificação e descrição da função/s"&amp;"etor inclui informações gerais sobre o cargo, de acordo com o ONET/OES e o Sistema de Classificação Industrial da América do Norte (NAICS). Consulte as Funções e a Ordem de Serviço para obter mais informações. Requisitos da Função Experiência Necessária: "&amp;"Não. Requisitos Especiais: Deve possuir carteira de habilitação válida para dirigir carrinho de golfe ou veículo utilitário de golfe. Deve ser capaz de levantar até 23 kg; agachar, curvar-se, levantar, mover, empurrar, puxar e carregar caixas, equipamento"&amp;"s, ferramentas, etc. Deve ser capaz de operar com segurança um carrinho de golfe e equipamentos de manutenção de golfe; dirigir, caminhar e trabalhar ao ar livre, conforme necessário. Deve ser capaz de caminhar, ficar em pé e trabalhar em condições climát"&amp;"icas extremamente quentes, frias e chuvosas durante todo o turno. Deve ser capaz de ler e falar inglês para se comunicar com os gerentes e o suficiente para conversar com o público em geral, entender placas e sinais de trânsito em inglês. Deve ser capaz d"&amp;"e manter uma frequência razoavelmente regular e pontual. É obrigatória a verificação de antecedentes criminais e o exame toxicológico pré-admissional, com os custos pagos pelo empregador e aplicados igualmente a todos os trabalhadores, sejam eles american"&amp;"os ou estrangeiros/H-2B. Os trabalhadores também estão sujeitos a exames toxicológicos pós-admissional, em caso de lesão/acidente, com os custos pagos pelo empregador e aplicados igualmente a todos os trabalhadores, sejam eles americanos ou estrangeiros/H"&amp;"-2B. É necessário ter disponibilidade para trabalhar em um horário flexível de 5 ou 6 dias por semana, incluindo fins de semana e feriados. O candidato deve preencher uma ficha de inscrição. O uniforme obrigatório é fornecido gratuitamente ao trabalhador."&amp;" Número de horas por semana: 40. Horário de trabalho (início/término): 6h às 16h30.")</f>
        <v>Realiza a manutenção paisagística ou de campos de golfe utilizando ferramentas manuais ou elétricas, como roçadeiras, aparadores, cortadores de grama e bordadeiras. Corta a grama dos greens, tees e fairways; trabalha no solo para podar árvores, arbustos ou sebes utilizando tesouras de poda, podadores ou motosserras; remove os resíduos da poda. Rega as plantas; corta grama, ervas daninhas e arbustos; recolhe folhas; espalha fertilizante. Coloca cobertura morta nos canteiros ao redor do campo de golfe. Recolhe e esvazia lixeiras; limpa calhas, ralos e bueiros. Mantém registros de manutenção e uso de fluidos (gasolina e óleo) dos equipamentos. Limpa e inspeciona os equipamentos após cada uso; reporta problemas com os equipamentos ao supervisor. Faz pequenos ajustes nos equipamentos conforme necessário, manualmente ou com ferramentas manuais. Carrega e descarrega materiais manualmente ou utilizando um carrinho. Opera um carrinho de golfe ou veículo utilitário para diversas necessidades de manutenção do campo. Outras tarefas similares relacionadas ao trabalho, conforme designadas. O empregador oferecerá um mínimo de 40 horas semanais. A empresa funciona 7 dias por semana. Os dias de trabalho variam de domingo a sábado, incluindo feriados. Turnos: 6h às 16h30; 6h às 14h30; 6h às 12h; e 6h às 10h. Cada turno de 8 horas ou mais inclui 30 minutos de intervalo não remunerado. Os dias, horários e turnos de trabalho podem variar de acordo com as necessidades da empresa. O empregador poderá aumentar o salário com base na experiência, nas condições de mercado e/ou oferecer remuneração adicional por desempenho e tempo de serviço. É possível o pagamento de bônus de feriado. O funcionário receberá um auxílio-alimentação de US$ 10 por turno trabalhado, que será adicionado ao seu salário. Horas extras podem estar disponíveis. Um adicional de horas extras será pago quando exigido por lei federal, estadual ou local, incluindo hora e meia após 40 horas semanais. Geralmente, quando houver horas extras disponíveis, elas serão pagas a US$ 27,38 por hora. O empregador fornecerá uma bicicleta para o transporte diário de ida e volta do local de trabalho. Classificação da Função: 37-3011.00 - Trabalhadores de Paisagismo e Manutenção de Jardins. A classificação e descrição da função/setor inclui informações gerais sobre o cargo, de acordo com o ONET/OES e o Sistema de Classificação Industrial da América do Norte (NAICS). Consulte as Funções e a Ordem de Serviço para obter mais informações. Requisitos da Função Experiência Necessária: Não. Requisitos Especiais: Deve possuir carteira de habilitação válida para dirigir carrinho de golfe ou veículo utilitário de golfe. Deve ser capaz de levantar até 23 kg; agachar, curvar-se, levantar, mover, empurrar, puxar e carregar caixas, equipamentos, ferramentas, etc. Deve ser capaz de operar com segurança um carrinho de golfe e equipamentos de manutenção de golfe; dirigir, caminhar e trabalhar ao ar livre, conforme necessário. Deve ser capaz de caminhar, ficar em pé e trabalhar em condições climáticas extremamente quentes, frias e chuvosas durante todo o turno. Deve ser capaz de ler e falar inglês para se comunicar com os gerentes e o suficiente para conversar com o público em geral, entender placas e sinais de trânsito em inglês. Deve ser capaz de manter uma frequência razoavelmente regular e pontual. É obrigatória a verificação de antecedentes criminais e o exame toxicológico pré-admissional, com os custos pagos pelo empregador e aplicados igualmente a todos os trabalhadores, sejam eles americanos ou estrangeiros/H-2B. Os trabalhadores também estão sujeitos a exames toxicológicos pós-admissional, em caso de lesão/acidente, com os custos pagos pelo empregador e aplicados igualmente a todos os trabalhadores, sejam eles americanos ou estrangeiros/H-2B. É necessário ter disponibilidade para trabalhar em um horário flexível de 5 ou 6 dias por semana, incluindo fins de semana e feriados. O candidato deve preencher uma ficha de inscrição. O uniforme obrigatório é fornecido gratuitamente ao trabalhador. Número de horas por semana: 40. Horário de trabalho (início/término): 6h às 16h30.</v>
      </c>
    </row>
    <row r="623" ht="20.25" customHeight="1">
      <c r="A623" s="8" t="s">
        <v>3026</v>
      </c>
      <c r="B623" s="8" t="s">
        <v>3027</v>
      </c>
      <c r="C623" s="8" t="s">
        <v>93</v>
      </c>
      <c r="D623" s="8" t="s">
        <v>109</v>
      </c>
      <c r="E623" s="9" t="s">
        <v>44</v>
      </c>
      <c r="F623" s="9" t="s">
        <v>20</v>
      </c>
      <c r="G623" s="9" t="s">
        <v>56</v>
      </c>
      <c r="H623" s="8" t="s">
        <v>3028</v>
      </c>
      <c r="I623" s="8" t="s">
        <v>3029</v>
      </c>
      <c r="J623" s="9">
        <v>18.91</v>
      </c>
      <c r="K623" s="9">
        <v>6.0</v>
      </c>
      <c r="L623" s="8" t="s">
        <v>1021</v>
      </c>
      <c r="M623" s="8" t="s">
        <v>3030</v>
      </c>
      <c r="N623" s="7" t="str">
        <f>IFERROR(__xludf.DUMMYFUNCTION("GOOGLETRANSLATE(L623, ""en"", ""pt"")"),"Paisagista")</f>
        <v>Paisagista</v>
      </c>
      <c r="O623" s="7" t="str">
        <f>IFERROR(__xludf.DUMMYFUNCTION("IF(M623="""","""",GOOGLETRANSLATE(M623,""en"",""pt""))"),"Paisagismo e manutenção de terrenos utilizando ferramentas manuais ou elétricas. Os trabalhadores geralmente executam uma variedade de tarefas, que podem incluir qualquer combinação das seguintes: colocação de grama, plantio, rega, fertilização, escavação"&amp;", rastelamento, semeadura e instalação de concreto e blocos de alvenaria de concreto sem argamassa. Classificação da função: 37-3011.00 - Trabalhadores de Paisagismo e Manutenção de Terrenos. A classificação e descrição da função/setor inclui informações "&amp;"gerais sobre o cargo, de acordo com o ONET/OES e o Sistema de Classificação Industrial da América do Norte. Consulte as Funções e a Ordem de Serviço para obter mais informações. Requisitos da função: Experiência necessária: Não. Requisitos especiais: Deve"&amp;" ser capaz de levantar/carregar 23 kg, quando necessário. Testes aleatórios de drogas após a contratação são obrigatórios para trabalhadores estrangeiros e nacionais. O empregador pode oferecer mais horas de trabalho do que as indicadas, dependendo do cli"&amp;"ma, das necessidades da empresa e de outras condições. Calor extremo, frio, chuva ou seca podem afetar o horário de trabalho exato. Número de horas por semana: 40. Horário de trabalho (início/término): 7h. - 15h30")</f>
        <v>Paisagismo e manutenção de terrenos utilizando ferramentas manuais ou elétricas. Os trabalhadores geralmente executam uma variedade de tarefas, que podem incluir qualquer combinação das seguintes: colocação de grama, plantio, rega, fertilização, escavação, rastelamento, semeadura e instalação de concreto e blocos de alvenaria de concreto sem argamassa. Classificação da função: 37-3011.00 - Trabalhadores de Paisagismo e Manutenção de Terrenos. A classificação e descrição da função/setor inclui informações gerais sobre o cargo, de acordo com o ONET/OES e o Sistema de Classificação Industrial da América do Norte. Consulte as Funções e a Ordem de Serviço para obter mais informações. Requisitos da função: Experiência necessária: Não. Requisitos especiais: Deve ser capaz de levantar/carregar 23 kg, quando necessário. Testes aleatórios de drogas após a contratação são obrigatórios para trabalhadores estrangeiros e nacionais. O empregador pode oferecer mais horas de trabalho do que as indicadas, dependendo do clima, das necessidades da empresa e de outras condições. Calor extremo, frio, chuva ou seca podem afetar o horário de trabalho exato. Número de horas por semana: 40. Horário de trabalho (início/término): 7h. - 15h30</v>
      </c>
    </row>
    <row r="624" ht="20.25" customHeight="1">
      <c r="A624" s="3" t="s">
        <v>3031</v>
      </c>
      <c r="B624" s="3" t="s">
        <v>3032</v>
      </c>
      <c r="C624" s="3" t="s">
        <v>93</v>
      </c>
      <c r="D624" s="3" t="s">
        <v>833</v>
      </c>
      <c r="E624" s="4" t="s">
        <v>19</v>
      </c>
      <c r="F624" s="4" t="s">
        <v>20</v>
      </c>
      <c r="G624" s="4" t="s">
        <v>524</v>
      </c>
      <c r="H624" s="3" t="s">
        <v>3033</v>
      </c>
      <c r="I624" s="3" t="s">
        <v>3034</v>
      </c>
      <c r="J624" s="4">
        <v>20.77</v>
      </c>
      <c r="K624" s="4">
        <v>2.0</v>
      </c>
      <c r="L624" s="3" t="s">
        <v>2496</v>
      </c>
      <c r="M624" s="3" t="s">
        <v>3035</v>
      </c>
      <c r="N624" s="7" t="str">
        <f>IFERROR(__xludf.DUMMYFUNCTION("GOOGLETRANSLATE(L624, ""en"", ""pt"")"),"Processador de carne")</f>
        <v>Processador de carne</v>
      </c>
      <c r="O624" s="7" t="str">
        <f>IFERROR(__xludf.DUMMYFUNCTION("IF(M624="""","""",GOOGLETRANSLATE(M624,""en"",""pt""))"),"Executar funções não rotineiras ou de precisão envolvendo a preparação de caça e gado. O trabalho pode incluir tarefas especializadas de abate, corte de cortes de carne padrão ou premium para comercialização, fabricação de linguiça ou embalagem de carnes."&amp;" O processador de carne irá eviscerar, esfolar, cortar, moer, embalar e congelar animais de caça, incluindo faisão, veado, alce e búfalo, utilizando ferramentas como guincho, divisor de carne, serra para carne, moedor de carne, embutidora de linguiça, fac"&amp;"as, afiador de facas, máquina de embalagem a vácuo, lavadora de alta pressão, defumador e grampeador pneumático. O processador de carne também abaterá e processará gado, incluindo bovinos, suínos e ovinos. Os funcionários deverão limpar todas as áreas e s"&amp;"erão solicitados a ajudar no carregamento dos veículos dos clientes, carregando caixas ou bandejas. As áreas de processamento são mantidas em baixas temperaturas para garantir a segurança e a qualidade da carne. O ambiente de trabalho é dinâmico, especial"&amp;"mente durante os períodos de pico da caça, e envolve tarefas como desossar, moer e embalar produtos cárneos. Além disso, o funcionário cortará as carnes em partes de acordo com as especificações para venda no varejo, seguindo uma lista de cortes com o ped"&amp;"ido do cliente. Classificação da Função: 51-3023.00 - Abatedores e Empacotadores de Carne. A classificação e descrição da função/setor inclui informações gerais sobre o cargo, de acordo com o ONET/OES e o Sistema de Classificação Industrial da América do "&amp;"Norte (NAICS). Consulte as Funções e a Ordem de Serviço para obter mais informações. Requisitos da Função Experiência Necessária: Não. Requisitos Especiais: Deve ser capaz de levantar/carregar 23 kg, quando necessário. Trabalho aos sábados e domingos, qua"&amp;"ndo necessário. O empregador poderá oferecer mais horas de trabalho do que as indicadas, dependendo do clima, das necessidades da empresa e de outras condições. Calor extremo, frio, chuva ou seca podem afetar o horário de trabalho exato. Número de Horas p"&amp;"or Semana: 40. Horário de Trabalho (Início/Término): 9h às 17h.")</f>
        <v>Executar funções não rotineiras ou de precisão envolvendo a preparação de caça e gado. O trabalho pode incluir tarefas especializadas de abate, corte de cortes de carne padrão ou premium para comercialização, fabricação de linguiça ou embalagem de carnes. O processador de carne irá eviscerar, esfolar, cortar, moer, embalar e congelar animais de caça, incluindo faisão, veado, alce e búfalo, utilizando ferramentas como guincho, divisor de carne, serra para carne, moedor de carne, embutidora de linguiça, facas, afiador de facas, máquina de embalagem a vácuo, lavadora de alta pressão, defumador e grampeador pneumático. O processador de carne também abaterá e processará gado, incluindo bovinos, suínos e ovinos. Os funcionários deverão limpar todas as áreas e serão solicitados a ajudar no carregamento dos veículos dos clientes, carregando caixas ou bandejas. As áreas de processamento são mantidas em baixas temperaturas para garantir a segurança e a qualidade da carne. O ambiente de trabalho é dinâmico, especialmente durante os períodos de pico da caça, e envolve tarefas como desossar, moer e embalar produtos cárneos. Além disso, o funcionário cortará as carnes em partes de acordo com as especificações para venda no varejo, seguindo uma lista de cortes com o pedido do cliente. Classificação da Função: 51-3023.00 - Abatedores e Empacotadores de Carne. A classificação e descrição da função/setor inclui informações gerais sobre o cargo, de acordo com o ONET/OES e o Sistema de Classificação Industrial da América do Norte (NAICS). Consulte as Funções e a Ordem de Serviço para obter mais informações. Requisitos da Função Experiência Necessária: Não. Requisitos Especiais: Deve ser capaz de levantar/carregar 23 kg, quando necessário. Trabalho aos sábados e domingos, quando necessário. O empregador poderá oferecer mais horas de trabalho do que as indicadas, dependendo do clima, das necessidades da empresa e de outras condições. Calor extremo, frio, chuva ou seca podem afetar o horário de trabalho exato. Número de Horas por Semana: 40. Horário de Trabalho (Início/Término): 9h às 17h.</v>
      </c>
    </row>
    <row r="625" ht="20.25" customHeight="1">
      <c r="A625" s="8" t="s">
        <v>3036</v>
      </c>
      <c r="B625" s="8" t="s">
        <v>3037</v>
      </c>
      <c r="C625" s="8" t="s">
        <v>2995</v>
      </c>
      <c r="D625" s="8" t="s">
        <v>79</v>
      </c>
      <c r="E625" s="9" t="s">
        <v>19</v>
      </c>
      <c r="F625" s="9" t="s">
        <v>20</v>
      </c>
      <c r="G625" s="9" t="s">
        <v>1280</v>
      </c>
      <c r="H625" s="8" t="s">
        <v>3038</v>
      </c>
      <c r="I625" s="8" t="s">
        <v>3039</v>
      </c>
      <c r="J625" s="9">
        <v>17.68</v>
      </c>
      <c r="K625" s="9">
        <v>20.0</v>
      </c>
      <c r="L625" s="8" t="s">
        <v>83</v>
      </c>
      <c r="M625" s="8" t="s">
        <v>3040</v>
      </c>
      <c r="N625" s="7" t="str">
        <f>IFERROR(__xludf.DUMMYFUNCTION("GOOGLETRANSLATE(L625, ""en"", ""pt"")"),"Trabalhador Florestal")</f>
        <v>Trabalhador Florestal</v>
      </c>
      <c r="O625" s="7" t="str">
        <f>IFERROR(__xludf.DUMMYFUNCTION("IF(M625="""","""",GOOGLETRANSLATE(M625,""en"",""pt""))"),"As funções podem incluir: Plantio comercial de árvores (limpar uma área com uma pá de plantio, cavar um buraco, colocar uma muda no buraco, certificando-se de que a muda não esteja com as raízes em forma de J, e cobrir o buraco para fixar a muda. É necess"&amp;"ário ser capaz de carregar um saco de plantio com várias mudas, pesando até 23 kg, subindo e descendo terrenos íngremes e acidentados), aplicação de herbicidas, pulverização, corte de mato, desbaste pré-comercial (carregar combustível, óleo e operar uma m"&amp;"otosserra pesando até 14 kg, cortar árvores e limpar o mato. Árvores indesejáveis ​​e doentes devem ser cortadas com uma motosserra. Galhos selecionados de árvores em pé serão cortados). SE NECESSÁRIO (SOMENTE EM CASO DE INCÊNDIO IMPREVISTO) E SOB A SUPER"&amp;"VISÃO DIRETA DE OFICIAIS DE COMBATE A INCÊNDIOS OU TÉCNICOS FLORESTAIS: tarefas de rescaldo de incêndios, como utilizar ferramentas manuais como pás e enxadas para cavar e revirar detritos, limpar/descartar vegetação rasteira, empilhar e cavar aceiros ou "&amp;"construir barreiras contra incêndio e outras atividades relacionadas a trabalhadores florestais, conforme SOC/OES 45-4011 (onetonline.org). Horário padrão/esperado: segunda a sexta, das 7h às 15h. Oferecemos mais de 40 horas semanais, sem incluir almoço e"&amp;"/ou intervalos. Possibilidade de trabalho em fins de semana e feriados. Os horários de início e término, a carga horária e/ou horas extras podem variar, pois dependem de outros fatores, como necessidades do projeto/cronograma/serviço, condições climáticas"&amp;" e tempo de deslocamento entre os locais de trabalho (se aplicável). Horas extras são possíveis, mas não obrigatórias nem garantidas. A critério exclusivo do empregador: possíveis aumentos e/ou bônus com base em fatores individuais, como desempenho no tra"&amp;"balho ou habilidades (não garantidos). Moradia compartilhada opcional disponível sem custo para o trabalhador. Classificação do Cargo: 45-4011.00 - Trabalhadores Florestais e de Conservação. A classificação e descrição do cargo/setor incluem informações g"&amp;"erais sobre a posição, de acordo com o ONET/OES e o Sistema de Classificação Industrial da América do Norte. Consulte as Funções e a Ordem de Serviço para obter mais informações. Requisitos do Cargo Experiência Necessária: Sim Meses de Experiência Necessá"&amp;"rios: 3 Requisitos Especiais: É necessário ter 18 anos devido a viagens. É necessário apresentar comprovante de autorização legal para trabalhar nos Estados Unidos. Ambiente de trabalho livre de drogas, álcool e tabaco. Executar atividades físicas, como l"&amp;"evantar, equilibrar-se, caminhar, abaixar-se, manusear, posicionar, mover e manipular materiais; usar força estática para exercer força muscular máxima para levantar, empurrar, puxar e carregar objetos de até 23 kg. Todos os candidatos devem ser capazes, "&amp;"dispostos e qualificados para executar o trabalho descrito e devem estar disponíveis durante todo o período especificado e trabalhar em todas as áreas de atuação pretendidas. O trabalho é realizado ao ar livre, exposto às intempéries; o candidato deve ser"&amp;" capaz de realizar trabalho fisicamente extenuante por longos períodos, ocasionalmente em calor ou frio extremos. As condições climáticas são variáveis; a carga horária pode sofrer alterações (+/-), com possibilidade de períodos de inatividade e/ou horas "&amp;"extras. Número de horas por semana: 40. Horário de trabalho (início/término): 7h às 15h.")</f>
        <v>As funções podem incluir: Plantio comercial de árvores (limpar uma área com uma pá de plantio, cavar um buraco, colocar uma muda no buraco, certificando-se de que a muda não esteja com as raízes em forma de J, e cobrir o buraco para fixar a muda. É necessário ser capaz de carregar um saco de plantio com várias mudas, pesando até 23 kg, subindo e descendo terrenos íngremes e acidentados), aplicação de herbicidas, pulverização, corte de mato, desbaste pré-comercial (carregar combustível, óleo e operar uma motosserra pesando até 14 kg, cortar árvores e limpar o mato. Árvores indesejáveis ​​e doentes devem ser cortadas com uma motosserra. Galhos selecionados de árvores em pé serão cortados). SE NECESSÁRIO (SOMENTE EM CASO DE INCÊNDIO IMPREVISTO) E SOB A SUPERVISÃO DIRETA DE OFICIAIS DE COMBATE A INCÊNDIOS OU TÉCNICOS FLORESTAIS: tarefas de rescaldo de incêndios, como utilizar ferramentas manuais como pás e enxadas para cavar e revirar detritos, limpar/descartar vegetação rasteira, empilhar e cavar aceiros ou construir barreiras contra incêndio e outras atividades relacionadas a trabalhadores florestais, conforme SOC/OES 45-4011 (onetonline.org). Horário padrão/esperado: segunda a sexta, das 7h às 15h. Oferecemos mais de 40 horas semanais, sem incluir almoço e/ou intervalos. Possibilidade de trabalho em fins de semana e feriados. Os horários de início e término, a carga horária e/ou horas extras podem variar, pois dependem de outros fatores, como necessidades do projeto/cronograma/serviço, condições climáticas e tempo de deslocamento entre os locais de trabalho (se aplicável). Horas extras são possíveis, mas não obrigatórias nem garantidas. A critério exclusivo do empregador: possíveis aumentos e/ou bônus com base em fatores individuais, como desempenho no trabalho ou habilidades (não garantidos). Moradia compartilhada opcional disponível sem custo para o trabalhador. Classificação do Cargo: 45-4011.00 - Trabalhadores Florestais e de Conservação. A classificação e descrição do cargo/setor incluem informações gerais sobre a posição, de acordo com o ONET/OES e o Sistema de Classificação Industrial da América do Norte. Consulte as Funções e a Ordem de Serviço para obter mais informações. Requisitos do Cargo Experiência Necessária: Sim Meses de Experiência Necessários: 3 Requisitos Especiais: É necessário ter 18 anos devido a viagens. É necessário apresentar comprovante de autorização legal para trabalhar nos Estados Unidos. Ambiente de trabalho livre de drogas, álcool e tabaco. Executar atividades físicas, como levantar, equilibrar-se, caminhar, abaixar-se, manusear, posicionar, mover e manipular materiais; usar força estática para exercer força muscular máxima para levantar, empurrar, puxar e carregar objetos de até 23 kg. Todos os candidatos devem ser capazes, dispostos e qualificados para executar o trabalho descrito e devem estar disponíveis durante todo o período especificado e trabalhar em todas as áreas de atuação pretendidas. O trabalho é realizado ao ar livre, exposto às intempéries; o candidato deve ser capaz de realizar trabalho fisicamente extenuante por longos períodos, ocasionalmente em calor ou frio extremos. As condições climáticas são variáveis; a carga horária pode sofrer alterações (+/-), com possibilidade de períodos de inatividade e/ou horas extras. Número de horas por semana: 40. Horário de trabalho (início/término): 7h às 15h.</v>
      </c>
    </row>
    <row r="626" ht="20.25" customHeight="1">
      <c r="A626" s="3" t="s">
        <v>3041</v>
      </c>
      <c r="B626" s="3" t="s">
        <v>3042</v>
      </c>
      <c r="C626" s="3" t="s">
        <v>2995</v>
      </c>
      <c r="D626" s="3" t="s">
        <v>79</v>
      </c>
      <c r="E626" s="4" t="s">
        <v>19</v>
      </c>
      <c r="F626" s="4" t="s">
        <v>20</v>
      </c>
      <c r="G626" s="4" t="s">
        <v>377</v>
      </c>
      <c r="H626" s="3" t="s">
        <v>3043</v>
      </c>
      <c r="I626" s="3" t="s">
        <v>3044</v>
      </c>
      <c r="J626" s="4">
        <v>20.36</v>
      </c>
      <c r="K626" s="4">
        <v>75.0</v>
      </c>
      <c r="L626" s="3" t="s">
        <v>83</v>
      </c>
      <c r="M626" s="3" t="s">
        <v>3045</v>
      </c>
      <c r="N626" s="7" t="str">
        <f>IFERROR(__xludf.DUMMYFUNCTION("GOOGLETRANSLATE(L626, ""en"", ""pt"")"),"Trabalhador Florestal")</f>
        <v>Trabalhador Florestal</v>
      </c>
      <c r="O626" s="7" t="str">
        <f>IFERROR(__xludf.DUMMYFUNCTION("IF(M626="""","""",GOOGLETRANSLATE(M626,""en"",""pt""))"),"As funções podem incluir: cavar buracos durante todo o dia para plantar mudas de árvores manualmente, sem raízes em forma de J/U, utilizando ferramentas de plantio manual. Manter a vegetação ao redor, realizando podas, desbastes, pulverização, empilhament"&amp;"o de resíduos, limpeza de detritos e outras atividades relacionadas ao trabalho florestal, conforme SOC/OES 45-4011 (onetonline.org). Horário padrão/esperado: segunda a sexta, das 7h às 15h30. Oferecemos mais de 40 horas semanais, sem incluir almoço e/ou "&amp;"intervalos. Possibilidade de trabalho nos fins de semana e feriados. Os horários de início e término, a carga horária e/ou horas extras podem variar, pois dependem de fatores como necessidades do projeto/cronograma/serviço, condições climáticas e tempo de"&amp;" deslocamento entre os locais de trabalho (se aplicável). Horas extras são possíveis, mas não obrigatórias ou garantidas. A critério exclusivo do empregador: aumentos salariais e/ou bônus podem ser concedidos com base em fatores individuais, como desempen"&amp;"ho ou habilidades (não garantidos). Moradia compartilhada opcional, sem custo para o trabalhador. Classificação da Função: 45-4011.00 - Trabalhadores Florestais e de Conservação. A classificação e descrição da função/setor inclui informações gerais sobre "&amp;"o cargo, de acordo com o ONET/OES e o Sistema de Classificação Industrial da América do Norte. Consulte as Funções e a Ordem de Serviço para obter mais informações. Requisitos da Função: Experiência Necessária: Não. Requisitos Especiais: É necessário ter "&amp;"18 anos devido a viagens. É necessário apresentar comprovante de autorização legal para trabalhar nos Estados Unidos. Ambiente de trabalho livre de drogas, álcool e tabaco. O candidato deve caminhar bastante (até 24 km/dia), além de se abaixar e se curvar"&amp;" carregando uma mochila (até 23 kg) em terrenos acidentados (fora de trilhas). Todos os candidatos devem ser capazes, dispostos e qualificados para executar o trabalho descrito e devem estar disponíveis durante todo o período especificado e trabalhar em t"&amp;"odas as áreas de atuação pretendidas. A critério/custo do Empregador: O trabalhador poderá ser submetido a testes aleatórios de drogas/álcool durante o emprego: teste positivo/recusa em cumprir o teste = demissão. O trabalho é realizado ao ar livre, expos"&amp;"to às intempéries. O candidato deve ser capaz de realizar trabalhos fisicamente extenuantes por longos períodos, ocasionalmente em condições de calor ou frio extremos. As condições climáticas são variáveis; a carga horária pode sofrer alterações (+/-), po"&amp;"dendo haver períodos de inatividade e/ou horas extras. Número de horas por semana: 40. Horário de trabalho (início/término): 7h às 15h30.")</f>
        <v>As funções podem incluir: cavar buracos durante todo o dia para plantar mudas de árvores manualmente, sem raízes em forma de J/U, utilizando ferramentas de plantio manual. Manter a vegetação ao redor, realizando podas, desbastes, pulverização, empilhamento de resíduos, limpeza de detritos e outras atividades relacionadas ao trabalho florestal, conforme SOC/OES 45-4011 (onetonline.org). Horário padrão/esperado: segunda a sexta, das 7h às 15h30. Oferecemos mais de 40 horas semanais, sem incluir almoço e/ou intervalos. Possibilidade de trabalho nos fins de semana e feriados. Os horários de início e término, a carga horária e/ou horas extras podem variar, pois dependem de fatores como necessidades do projeto/cronograma/serviço, condições climáticas e tempo de deslocamento entre os locais de trabalho (se aplicável). Horas extras são possíveis, mas não obrigatórias ou garantidas. A critério exclusivo do empregador: aumentos salariais e/ou bônus podem ser concedidos com base em fatores individuais, como desempenho ou habilidades (não garantidos). Moradia compartilhada opcional, sem custo para o trabalhador. Classificação da Função: 45-4011.00 - Trabalhadores Florestais e de Conservação. A classificação e descrição da função/setor inclui informações gerais sobre o cargo, de acordo com o ONET/OES e o Sistema de Classificação Industrial da América do Norte. Consulte as Funções e a Ordem de Serviço para obter mais informações. Requisitos da Função: Experiência Necessária: Não. Requisitos Especiais: É necessário ter 18 anos devido a viagens. É necessário apresentar comprovante de autorização legal para trabalhar nos Estados Unidos. Ambiente de trabalho livre de drogas, álcool e tabaco. O candidato deve caminhar bastante (até 24 km/dia), além de se abaixar e se curvar carregando uma mochila (até 23 kg) em terrenos acidentados (fora de trilhas). Todos os candidatos devem ser capazes, dispostos e qualificados para executar o trabalho descrito e devem estar disponíveis durante todo o período especificado e trabalhar em todas as áreas de atuação pretendidas. A critério/custo do Empregador: O trabalhador poderá ser submetido a testes aleatórios de drogas/álcool durante o emprego: teste positivo/recusa em cumprir o teste = demissão. O trabalho é realizado ao ar livre, exposto às intempéries. O candidato deve ser capaz de realizar trabalhos fisicamente extenuantes por longos períodos, ocasionalmente em condições de calor ou frio extremos. As condições climáticas são variáveis; a carga horária pode sofrer alterações (+/-), podendo haver períodos de inatividade e/ou horas extras. Número de horas por semana: 40. Horário de trabalho (início/término): 7h às 15h30.</v>
      </c>
    </row>
    <row r="627" ht="20.25" customHeight="1">
      <c r="A627" s="8" t="s">
        <v>3046</v>
      </c>
      <c r="B627" s="8" t="s">
        <v>3047</v>
      </c>
      <c r="C627" s="8" t="s">
        <v>93</v>
      </c>
      <c r="D627" s="8" t="s">
        <v>109</v>
      </c>
      <c r="E627" s="9" t="s">
        <v>44</v>
      </c>
      <c r="F627" s="9" t="s">
        <v>20</v>
      </c>
      <c r="G627" s="9" t="s">
        <v>80</v>
      </c>
      <c r="H627" s="8" t="s">
        <v>3048</v>
      </c>
      <c r="I627" s="8" t="s">
        <v>3049</v>
      </c>
      <c r="J627" s="9">
        <v>20.4</v>
      </c>
      <c r="K627" s="9">
        <v>35.0</v>
      </c>
      <c r="L627" s="8" t="s">
        <v>3050</v>
      </c>
      <c r="M627" s="8" t="s">
        <v>3051</v>
      </c>
      <c r="N627" s="7" t="str">
        <f>IFERROR(__xludf.DUMMYFUNCTION("GOOGLETRANSLATE(L627, ""en"", ""pt"")"),"Operador de Operações")</f>
        <v>Operador de Operações</v>
      </c>
      <c r="O627" s="7" t="str">
        <f>IFERROR(__xludf.DUMMYFUNCTION("IF(M627="""","""",GOOGLETRANSLATE(M627,""en"",""pt""))"),"Trabalhar em um centro de distribuição de produtos agrícolas. Movimentar produtos pelo armazém e carregá-los em caminhões manualmente ou com equipamentos manuais/motorizados (como paleteiras). Operar equipamentos de radiofrequência, como leitores de códig"&amp;"o de barras e unidades de seleção por voz (disponíveis em espanhol). Manusear produtos/suprimentos de entrada e acabados na embalagem. Selecionar pedidos e carregar produtos em caminhões de saída. Classificação da vaga: 53-7062.00 - Operários e Movimentad"&amp;"ores de Carga, Estoque e Materiais. A classificação e descrição da vaga/setor incluem informações gerais sobre o cargo, de acordo com o ONET/OES e o Sistema de Classificação Industrial da América do Norte (NAICS). Consulte as Funções e a Ordem de Serviço "&amp;"para obter mais informações. Requisitos da vaga: Experiência necessária: Não. Requisitos especiais: Deve ser capaz de levantar/carregar 30 kg, quando necessário. Trabalho às sextas, sábados e domingos, quando necessário. A escala de trabalho para cada dia"&amp;" da semana está sujeita a alterações. Os turnos máximos são de 12 horas por dia. Nem todos os funcionários trabalharão em turnos de 12 horas, 7 dias por semana. Um funcionário pode trabalhar até 12 horas por dia, em dias alternados ou em turnos parciais d"&amp;"e 12 horas. Oferecemos pelo menos 40 horas semanais típicas. Horas extras podem variar dependendo da equipe, das metas de produção e de outros fatores avaliados diariamente. O empregador oferece um adicional noturno de US$ 3 por hora e incentivos. Testes "&amp;"toxicológicos pagos pelo empregador são obrigatórios para funcionários estrangeiros e nacionais antes do início do trabalho e após a contratação, de forma aleatória, em caso de suspeita de uso e após acidentes. Verificação de antecedentes e elegibilidade "&amp;"para emprego (e-Verify) são obrigatórias para funcionários estrangeiros e nacionais após a contratação. Experiência prévia de três meses na operação de transpaleteira elétrica ou empilhadeira em armazém é desejável. O empregador pode oferecer mais horas d"&amp;"e trabalho do que as estipuladas, dependendo do clima, das necessidades da empresa e de outras condições. Calor extremo, frio, chuva ou seca podem afetar o horário de trabalho exato. Número de horas por semana: 40. Horário de trabalho (início/término): 7h"&amp;". - 15h30")</f>
        <v>Trabalhar em um centro de distribuição de produtos agrícolas. Movimentar produtos pelo armazém e carregá-los em caminhões manualmente ou com equipamentos manuais/motorizados (como paleteiras). Operar equipamentos de radiofrequência, como leitores de código de barras e unidades de seleção por voz (disponíveis em espanhol). Manusear produtos/suprimentos de entrada e acabados na embalagem. Selecionar pedidos e carregar produtos em caminhões de saída. Classificação da vaga: 53-7062.00 - Operários e Movimentadores de Carga, Estoque e Materiais. A classificação e descrição da vaga/setor incluem informações gerais sobre o cargo, de acordo com o ONET/OES e o Sistema de Classificação Industrial da América do Norte (NAICS). Consulte as Funções e a Ordem de Serviço para obter mais informações. Requisitos da vaga: Experiência necessária: Não. Requisitos especiais: Deve ser capaz de levantar/carregar 30 kg, quando necessário. Trabalho às sextas, sábados e domingos, quando necessário. A escala de trabalho para cada dia da semana está sujeita a alterações. Os turnos máximos são de 12 horas por dia. Nem todos os funcionários trabalharão em turnos de 12 horas, 7 dias por semana. Um funcionário pode trabalhar até 12 horas por dia, em dias alternados ou em turnos parciais de 12 horas. Oferecemos pelo menos 40 horas semanais típicas. Horas extras podem variar dependendo da equipe, das metas de produção e de outros fatores avaliados diariamente. O empregador oferece um adicional noturno de US$ 3 por hora e incentivos. Testes toxicológicos pagos pelo empregador são obrigatórios para funcionários estrangeiros e nacionais antes do início do trabalho e após a contratação, de forma aleatória, em caso de suspeita de uso e após acidentes. Verificação de antecedentes e elegibilidade para emprego (e-Verify) são obrigatórias para funcionários estrangeiros e nacionais após a contratação. Experiência prévia de três meses na operação de transpaleteira elétrica ou empilhadeira em armazém é desejável. O empregador pode oferecer mais horas de trabalho do que as estipuladas, dependendo do clima, das necessidades da empresa e de outras condições. Calor extremo, frio, chuva ou seca podem afetar o horário de trabalho exato. Número de horas por semana: 40. Horário de trabalho (início/término): 7h. - 15h30</v>
      </c>
    </row>
    <row r="628" ht="20.25" customHeight="1">
      <c r="A628" s="3" t="s">
        <v>3052</v>
      </c>
      <c r="B628" s="3" t="s">
        <v>3053</v>
      </c>
      <c r="C628" s="3" t="s">
        <v>93</v>
      </c>
      <c r="D628" s="3" t="s">
        <v>403</v>
      </c>
      <c r="E628" s="4" t="s">
        <v>44</v>
      </c>
      <c r="F628" s="4" t="s">
        <v>20</v>
      </c>
      <c r="G628" s="4" t="s">
        <v>56</v>
      </c>
      <c r="H628" s="3" t="s">
        <v>3054</v>
      </c>
      <c r="I628" s="3"/>
      <c r="J628" s="4">
        <v>19.86</v>
      </c>
      <c r="K628" s="4">
        <v>8.0</v>
      </c>
      <c r="L628" s="3" t="s">
        <v>59</v>
      </c>
      <c r="M628" s="3" t="s">
        <v>3055</v>
      </c>
      <c r="N628" s="7" t="str">
        <f>IFERROR(__xludf.DUMMYFUNCTION("GOOGLETRANSLATE(L628, ""en"", ""pt"")"),"Trabalhador de paisagismo")</f>
        <v>Trabalhador de paisagismo</v>
      </c>
      <c r="O628" s="7" t="str">
        <f>IFERROR(__xludf.DUMMYFUNCTION("IF(M628="""","""",GOOGLETRANSLATE(M628,""en"",""pt""))"),"Paisagismo e manutenção de terrenos utilizando ferramentas manuais ou elétricas. Os trabalhadores geralmente executam uma variedade de tarefas, que podem incluir qualquer combinação das seguintes: colocação de grama, corte de grama, poda, plantio, irrigaç"&amp;"ão, fertilização, escavação, rastelagem e instalação de blocos de concreto pré-moldados sem argamassa. Nível inicial; requer supervisão. Classificação da vaga: 37-3011.00 - Trabalhadores de Paisagismo e Manutenção de Terrenos. A classificação e descrição "&amp;"da vaga/setor incluem informações gerais sobre o cargo, de acordo com o ONET/OES e o Sistema de Classificação Industrial da América do Norte (NAICS). Consulte as Funções e a Ordem de Serviço para obter mais informações. Requisitos da vaga: Experiência exi"&amp;"gida: Não. Requisitos especiais: Deve ser capaz de levantar/carregar 23 kg, quando necessário. Trabalho aos sábados, quando necessário. Testes aleatórios de drogas após a contratação são obrigatórios para trabalhadores estrangeiros e nacionais. Verificaçã"&amp;"o de antecedentes e elegibilidade para emprego (e-Verify) após a contratação são obrigatórias para trabalhadores estrangeiros e nacionais. A verificação do histórico de condução e o exame médico do Departamento de Transportes de Maryland (DOT) após a cont"&amp;"ratação são exigidos apenas para funcionários estrangeiros e nacionais que dirigem veículos da empresa (dirigir não é um requisito para todos os funcionários da função). O empregador pode oferecer mais horas de trabalho do que as estipuladas, dependendo d"&amp;"o clima, das necessidades da empresa e de outras condições. Calor extremo, frio, chuva ou seca podem afetar o horário de trabalho exato. Número de horas por semana: 40. Horário de trabalho (início/término): 7h às 15h30.")</f>
        <v>Paisagismo e manutenção de terrenos utilizando ferramentas manuais ou elétricas. Os trabalhadores geralmente executam uma variedade de tarefas, que podem incluir qualquer combinação das seguintes: colocação de grama, corte de grama, poda, plantio, irrigação, fertilização, escavação, rastelagem e instalação de blocos de concreto pré-moldados sem argamassa. Nível inicial; requer supervisão. Classificação da vaga: 37-3011.00 - Trabalhadores de Paisagismo e Manutenção de Terrenos. A classificação e descrição da vaga/setor incluem informações gerais sobre o cargo, de acordo com o ONET/OES e o Sistema de Classificação Industrial da América do Norte (NAICS). Consulte as Funções e a Ordem de Serviço para obter mais informações. Requisitos da vaga: Experiência exigida: Não. Requisitos especiais: Deve ser capaz de levantar/carregar 23 kg, quando necessário. Trabalho aos sábados, quando necessário. Testes aleatórios de drogas após a contratação são obrigatórios para trabalhadores estrangeiros e nacionais. Verificação de antecedentes e elegibilidade para emprego (e-Verify) após a contratação são obrigatórias para trabalhadores estrangeiros e nacionais. A verificação do histórico de condução e o exame médico do Departamento de Transportes de Maryland (DOT) após a contratação são exigidos apenas para funcionários estrangeiros e nacionais que dirigem veículos da empresa (dirigir não é um requisito para todos os funcionários da função). O empregador pode oferecer mais horas de trabalho do que as estipuladas, dependendo do clima, das necessidades da empresa e de outras condições. Calor extremo, frio, chuva ou seca podem afetar o horário de trabalho exato. Número de horas por semana: 40. Horário de trabalho (início/término): 7h às 15h30.</v>
      </c>
    </row>
    <row r="629" ht="20.25" customHeight="1">
      <c r="A629" s="8" t="s">
        <v>3056</v>
      </c>
      <c r="B629" s="8" t="s">
        <v>999</v>
      </c>
      <c r="C629" s="8" t="s">
        <v>1000</v>
      </c>
      <c r="D629" s="8" t="s">
        <v>498</v>
      </c>
      <c r="E629" s="9" t="s">
        <v>44</v>
      </c>
      <c r="F629" s="9" t="s">
        <v>20</v>
      </c>
      <c r="G629" s="9" t="s">
        <v>146</v>
      </c>
      <c r="H629" s="8" t="s">
        <v>1001</v>
      </c>
      <c r="I629" s="8" t="s">
        <v>1002</v>
      </c>
      <c r="J629" s="9">
        <v>27.04</v>
      </c>
      <c r="K629" s="9">
        <v>12.0</v>
      </c>
      <c r="L629" s="8" t="s">
        <v>1003</v>
      </c>
      <c r="M629" s="8" t="s">
        <v>3057</v>
      </c>
      <c r="N629" s="7" t="str">
        <f>IFERROR(__xludf.DUMMYFUNCTION("GOOGLETRANSLATE(L629, ""en"", ""pt"")"),"Acabadores de concreto")</f>
        <v>Acabadores de concreto</v>
      </c>
      <c r="O629" s="7" t="str">
        <f>IFERROR(__xludf.DUMMYFUNCTION("IF(M629="""","""",GOOGLETRANSLATE(M629,""en"",""pt""))"),"Preparar o canteiro de obras onde o concreto será despejado, orientando os operários a posicionar os materiais no local, medir as fôrmas, verificar o nivelamento e confirmar o layout correto das fôrmas. Posicionar e alinhar com segurança as fôrmas de made"&amp;"ira e metal que conterão o concreto. Espalhar, nivelar e alisar o concreto usando rastelos, réguas de nivelamento manuais ou motorizadas, alisadoras mecânicas, pás ou ferramentas manuais. Desmontar as fôrmas e cortar o concreto com serras para concreto. L"&amp;"impar o canteiro de obras. Classificação da Função: 47-2051.00 - Pedreiros e Acabadores de Concreto. A classificação e descrição da função/setor incluem informações gerais sobre o cargo, de acordo com o ONET/OES e o Sistema de Classificação Industrial da "&amp;"América do Norte (NAICS). Consulte as Funções e a Ordem de Serviço para obter mais informações. Requisitos da Função: Experiência Necessária: Sim. Meses de Experiência Necessários: 36. Requisitos Especiais: Trabalho em alguns fins de semana. Capacidade de"&amp;" levantar e carregar 34 kg por 45 metros. Capacidade de suportar temperaturas extremas. Número de horas por semana: 40 Horário de trabalho (início/término): 7h00 - 17h00")</f>
        <v>Preparar o canteiro de obras onde o concreto será despejado, orientando os operários a posicionar os materiais no local, medir as fôrmas, verificar o nivelamento e confirmar o layout correto das fôrmas. Posicionar e alinhar com segurança as fôrmas de madeira e metal que conterão o concreto. Espalhar, nivelar e alisar o concreto usando rastelos, réguas de nivelamento manuais ou motorizadas, alisadoras mecânicas, pás ou ferramentas manuais. Desmontar as fôrmas e cortar o concreto com serras para concreto. Limpar o canteiro de obras. Classificação da Função: 47-2051.00 - Pedreiros e Acabadores de Concreto. A classificação e descrição da função/setor incluem informações gerais sobre o cargo, de acordo com o ONET/OES e o Sistema de Classificação Industrial da América do Norte (NAICS). Consulte as Funções e a Ordem de Serviço para obter mais informações. Requisitos da Função: Experiência Necessária: Sim. Meses de Experiência Necessários: 36. Requisitos Especiais: Trabalho em alguns fins de semana. Capacidade de levantar e carregar 34 kg por 45 metros. Capacidade de suportar temperaturas extremas. Número de horas por semana: 40 Horário de trabalho (início/término): 7h00 - 17h00</v>
      </c>
    </row>
    <row r="630" ht="20.25" customHeight="1">
      <c r="A630" s="3" t="s">
        <v>3058</v>
      </c>
      <c r="B630" s="3" t="s">
        <v>999</v>
      </c>
      <c r="C630" s="3" t="s">
        <v>1000</v>
      </c>
      <c r="D630" s="3" t="s">
        <v>154</v>
      </c>
      <c r="E630" s="4" t="s">
        <v>19</v>
      </c>
      <c r="F630" s="4" t="s">
        <v>20</v>
      </c>
      <c r="G630" s="4" t="s">
        <v>146</v>
      </c>
      <c r="H630" s="3" t="s">
        <v>1001</v>
      </c>
      <c r="I630" s="3" t="s">
        <v>1002</v>
      </c>
      <c r="J630" s="4">
        <v>21.87</v>
      </c>
      <c r="K630" s="4">
        <v>15.0</v>
      </c>
      <c r="L630" s="3" t="s">
        <v>1003</v>
      </c>
      <c r="M630" s="3" t="s">
        <v>2810</v>
      </c>
      <c r="N630" s="7" t="str">
        <f>IFERROR(__xludf.DUMMYFUNCTION("GOOGLETRANSLATE(L630, ""en"", ""pt"")"),"Acabadores de concreto")</f>
        <v>Acabadores de concreto</v>
      </c>
      <c r="O630" s="7" t="str">
        <f>IFERROR(__xludf.DUMMYFUNCTION("IF(M630="""","""",GOOGLETRANSLATE(M630,""en"",""pt""))"),"Preparar o canteiro de obras onde o concreto será despejado, orientando os operários a posicionar os materiais no local, medir as fôrmas, verificar o nivelamento e confirmar o layout correto das fôrmas. Posicionar e alinhar com segurança as fôrmas de made"&amp;"ira e metal que conterão o concreto. Espalhar, nivelar e alisar o concreto usando rastelos, réguas de nivelamento manuais ou motorizadas, alisadoras mecânicas, pás ou ferramentas manuais. Desmontar as fôrmas e cortar o concreto com serras para concreto. L"&amp;"impar o canteiro de obras. Classificação da Função: 47-2051.00 - Pedreiros e Acabadores de Concreto. A classificação e descrição da função/setor incluem informações gerais sobre o cargo, de acordo com o ONET/OES e o Sistema de Classificação Industrial da "&amp;"América do Norte (NAICS). Consulte as Funções e a Ordem de Serviço para obter mais informações. Requisitos da Função: Experiência Necessária: Sim. Meses de Experiência Necessários: 36. Requisitos Especiais: Trabalho em alguns fins de semana. Capacidade de"&amp;" levantar e carregar 34 kg por 45 metros. Capacidade de suportar temperaturas extremas. Disponibilidade para viagens a locais de trabalho dentro da área de atuação pretendida. Número de horas por semana: 40 Horário de trabalho (início/término): 7h00 - 17h"&amp;"00")</f>
        <v>Preparar o canteiro de obras onde o concreto será despejado, orientando os operários a posicionar os materiais no local, medir as fôrmas, verificar o nivelamento e confirmar o layout correto das fôrmas. Posicionar e alinhar com segurança as fôrmas de madeira e metal que conterão o concreto. Espalhar, nivelar e alisar o concreto usando rastelos, réguas de nivelamento manuais ou motorizadas, alisadoras mecânicas, pás ou ferramentas manuais. Desmontar as fôrmas e cortar o concreto com serras para concreto. Limpar o canteiro de obras. Classificação da Função: 47-2051.00 - Pedreiros e Acabadores de Concreto. A classificação e descrição da função/setor incluem informações gerais sobre o cargo, de acordo com o ONET/OES e o Sistema de Classificação Industrial da América do Norte (NAICS). Consulte as Funções e a Ordem de Serviço para obter mais informações. Requisitos da Função: Experiência Necessária: Sim. Meses de Experiência Necessários: 36. Requisitos Especiais: Trabalho em alguns fins de semana. Capacidade de levantar e carregar 34 kg por 45 metros. Capacidade de suportar temperaturas extremas. Disponibilidade para viagens a locais de trabalho dentro da área de atuação pretendida. Número de horas por semana: 40 Horário de trabalho (início/término): 7h00 - 17h00</v>
      </c>
    </row>
    <row r="631" ht="20.25" customHeight="1">
      <c r="A631" s="8" t="s">
        <v>3059</v>
      </c>
      <c r="B631" s="8" t="s">
        <v>3060</v>
      </c>
      <c r="C631" s="8" t="s">
        <v>93</v>
      </c>
      <c r="D631" s="8" t="s">
        <v>109</v>
      </c>
      <c r="E631" s="9" t="s">
        <v>19</v>
      </c>
      <c r="F631" s="9" t="s">
        <v>20</v>
      </c>
      <c r="G631" s="9" t="s">
        <v>1700</v>
      </c>
      <c r="H631" s="8" t="s">
        <v>3061</v>
      </c>
      <c r="I631" s="8"/>
      <c r="J631" s="9">
        <v>19.86</v>
      </c>
      <c r="K631" s="9">
        <v>12.0</v>
      </c>
      <c r="L631" s="8" t="s">
        <v>239</v>
      </c>
      <c r="M631" s="8" t="s">
        <v>3062</v>
      </c>
      <c r="N631" s="7" t="str">
        <f>IFERROR(__xludf.DUMMYFUNCTION("GOOGLETRANSLATE(L631, ""en"", ""pt"")"),"Especialista em manutenção de jardins")</f>
        <v>Especialista em manutenção de jardins</v>
      </c>
      <c r="O631" s="7" t="str">
        <f>IFERROR(__xludf.DUMMYFUNCTION("IF(M631="""","""",GOOGLETRANSLATE(M631,""en"",""pt""))"),"Paisagismo e manutenção de terrenos utilizando ferramentas manuais ou elétricas. Os trabalhadores devem ser capazes de executar uma variedade de tarefas sem supervisão direta, que podem incluir qualquer combinação das seguintes atividades: colocação de gr"&amp;"ama, corte de grama, poda, plantio, irrigação, fertilização, escavação, rastelagem, cobertura morta, poda e auxílio na instalação de blocos de concreto pré-moldados sem argamassa. Devem exercer julgamento independente; podem ser solicitados a demonstrar t"&amp;"arefas a outros funcionários, mas a função não inclui a supervisão de outros trabalhadores. Classificação da função: 37-3011.00 - Trabalhadores de Paisagismo e Manutenção de Terrenos. A classificação e descrição da função/setor incluem informações gerais "&amp;"sobre o cargo, de acordo com o ONET/OES e o Sistema de Classificação Industrial da América do Norte (NAICS). Consulte as Funções e a Ordem de Serviço para obter mais informações. Requisitos da função: Experiência necessária: Sim. Meses de experiência nece"&amp;"ssários: 3. Requisitos especiais: Requer três meses de experiência prévia em paisagismo. Deve ser capaz de levantar/carregar 23 kg, quando necessário. Trabalho aos sábados, quando necessário. O empregador poderá oferecer uma jornada de trabalho superior à"&amp;" estipulada, dependendo das condições climáticas, das necessidades da empresa e de outros fatores. Calor extremo, frio intenso, chuva ou seca podem afetar o horário de trabalho exato. Número de horas por semana: 40. Horário de trabalho (início/término): 7"&amp;"h30 às 16h.")</f>
        <v>Paisagismo e manutenção de terrenos utilizando ferramentas manuais ou elétricas. Os trabalhadores devem ser capazes de executar uma variedade de tarefas sem supervisão direta, que podem incluir qualquer combinação das seguintes atividades: colocação de grama, corte de grama, poda, plantio, irrigação, fertilização, escavação, rastelagem, cobertura morta, poda e auxílio na instalação de blocos de concreto pré-moldados sem argamassa. Devem exercer julgamento independente; podem ser solicitados a demonstrar tarefas a outros funcionários, mas a função não inclui a supervisão de outros trabalhadores. Classificação da função: 37-3011.00 - Trabalhadores de Paisagismo e Manutenção de Terrenos. A classificação e descrição da função/setor incluem informações gerais sobre o cargo, de acordo com o ONET/OES e o Sistema de Classificação Industrial da América do Norte (NAICS). Consulte as Funções e a Ordem de Serviço para obter mais informações. Requisitos da função: Experiência necessária: Sim. Meses de experiência necessários: 3. Requisitos especiais: Requer três meses de experiência prévia em paisagismo. Deve ser capaz de levantar/carregar 23 kg, quando necessário. Trabalho aos sábados, quando necessário. O empregador poderá oferecer uma jornada de trabalho superior à estipulada, dependendo das condições climáticas, das necessidades da empresa e de outros fatores. Calor extremo, frio intenso, chuva ou seca podem afetar o horário de trabalho exato. Número de horas por semana: 40. Horário de trabalho (início/término): 7h30 às 16h.</v>
      </c>
    </row>
    <row r="632" ht="20.25" customHeight="1">
      <c r="A632" s="3" t="s">
        <v>3063</v>
      </c>
      <c r="B632" s="3" t="s">
        <v>3064</v>
      </c>
      <c r="C632" s="3" t="s">
        <v>93</v>
      </c>
      <c r="D632" s="3" t="s">
        <v>249</v>
      </c>
      <c r="E632" s="4" t="s">
        <v>19</v>
      </c>
      <c r="F632" s="4" t="s">
        <v>20</v>
      </c>
      <c r="G632" s="4" t="s">
        <v>473</v>
      </c>
      <c r="H632" s="3" t="s">
        <v>3065</v>
      </c>
      <c r="I632" s="3"/>
      <c r="J632" s="4">
        <v>19.22</v>
      </c>
      <c r="K632" s="4">
        <v>4.0</v>
      </c>
      <c r="L632" s="3" t="s">
        <v>59</v>
      </c>
      <c r="M632" s="3" t="s">
        <v>3066</v>
      </c>
      <c r="N632" s="7" t="str">
        <f>IFERROR(__xludf.DUMMYFUNCTION("GOOGLETRANSLATE(L632, ""en"", ""pt"")"),"Trabalhador de paisagismo")</f>
        <v>Trabalhador de paisagismo</v>
      </c>
      <c r="O632" s="7" t="str">
        <f>IFERROR(__xludf.DUMMYFUNCTION("IF(M632="""","""",GOOGLETRANSLATE(M632,""en"",""pt""))"),"Paisagismo e manutenção de terrenos utilizando ferramentas manuais ou elétricas. Os trabalhadores geralmente executam uma variedade de tarefas, que podem incluir qualquer combinação das seguintes: colocação de grama, corte de grama, poda, limpeza com sopr"&amp;"ador, plantio, irrigação, fertilização, escavação, rastelamento, capina, cobertura morta e poda. Operar com segurança e eficiência diversos equipamentos de jardinagem, incluindo motosserras, cortadores de grama, tratores, tesouras de poda e aparadores. Cl"&amp;"assificação da função: 37-3011.00 - Trabalhadores de Paisagismo e Manutenção de Terrenos. A classificação e descrição da função/setor incluem informações gerais sobre o cargo, de acordo com o ONET/OES e o Sistema de Classificação Industrial da América do "&amp;"Norte. Consulte as Funções e a Ordem de Serviço para obter mais informações. Requisitos da vaga: Experiência necessária: Sim. Meses de experiência necessários: 3. Requisitos especiais: Requer três meses de experiência prévia em paisagismo. Deve ser capaz "&amp;"de levantar/carregar 23 kg, quando necessário. Trabalho aos sábados e domingos, quando necessário. O empregador exige que trabalhadores estrangeiros e nacionais se submetam a testes de drogas pagos pelo empregador antes do início do trabalho e, após a con"&amp;"tratação, aleatoriamente, em caso de suspeita de uso e após acidentes. O empregador poderá oferecer mais horas de trabalho do que as estipuladas, dependendo das condições climáticas, das necessidades da empresa e de outras circunstâncias. Calor extremo, f"&amp;"rio, chuva ou seca podem afetar o horário de trabalho exato. Número de horas por semana: 40. Horário de trabalho (início/término): 7h00 - 15h30.")</f>
        <v>Paisagismo e manutenção de terrenos utilizando ferramentas manuais ou elétricas. Os trabalhadores geralmente executam uma variedade de tarefas, que podem incluir qualquer combinação das seguintes: colocação de grama, corte de grama, poda, limpeza com soprador, plantio, irrigação, fertilização, escavação, rastelamento, capina, cobertura morta e poda. Operar com segurança e eficiência diversos equipamentos de jardinagem, incluindo motosserras, cortadores de grama, tratores, tesouras de poda e aparadores. Classificação da função: 37-3011.00 - Trabalhadores de Paisagismo e Manutenção de Terrenos. A classificação e descrição da função/setor incluem informações gerais sobre o cargo, de acordo com o ONET/OES e o Sistema de Classificação Industrial da América do Norte. Consulte as Funções e a Ordem de Serviço para obter mais informações. Requisitos da vaga: Experiência necessária: Sim. Meses de experiência necessários: 3. Requisitos especiais: Requer três meses de experiência prévia em paisagismo. Deve ser capaz de levantar/carregar 23 kg, quando necessário. Trabalho aos sábados e domingos, quando necessário. O empregador exige que trabalhadores estrangeiros e nacionais se submetam a testes de drogas pagos pelo empregador antes do início do trabalho e, após a contratação, aleatoriamente, em caso de suspeita de uso e após acidentes. O empregador poderá oferecer mais horas de trabalho do que as estipuladas, dependendo das condições climáticas, das necessidades da empresa e de outras circunstâncias. Calor extremo, frio, chuva ou seca podem afetar o horário de trabalho exato. Número de horas por semana: 40. Horário de trabalho (início/término): 7h00 - 15h30.</v>
      </c>
    </row>
    <row r="633" ht="20.25" customHeight="1">
      <c r="A633" s="8" t="s">
        <v>3067</v>
      </c>
      <c r="B633" s="8" t="s">
        <v>3068</v>
      </c>
      <c r="C633" s="8" t="s">
        <v>205</v>
      </c>
      <c r="D633" s="8" t="s">
        <v>64</v>
      </c>
      <c r="E633" s="9" t="s">
        <v>19</v>
      </c>
      <c r="F633" s="9" t="s">
        <v>20</v>
      </c>
      <c r="G633" s="9" t="s">
        <v>155</v>
      </c>
      <c r="H633" s="8" t="s">
        <v>3069</v>
      </c>
      <c r="I633" s="8" t="s">
        <v>3070</v>
      </c>
      <c r="J633" s="9">
        <v>16.42</v>
      </c>
      <c r="K633" s="9">
        <v>12.0</v>
      </c>
      <c r="L633" s="8" t="s">
        <v>1545</v>
      </c>
      <c r="M633" s="8" t="s">
        <v>3071</v>
      </c>
      <c r="N633" s="7" t="str">
        <f>IFERROR(__xludf.DUMMYFUNCTION("GOOGLETRANSLATE(L633, ""en"", ""pt"")"),"Abatedores e empacotadores de carne")</f>
        <v>Abatedores e empacotadores de carne</v>
      </c>
      <c r="O633" s="7" t="str">
        <f>IFERROR(__xludf.DUMMYFUNCTION("IF(M633="""","""",GOOGLETRANSLATE(M633,""en"",""pt""))"),"As funções podem incluir: Esfolar animais selvagens. Cortar, embalar e encaixotar cortes de animais selvagens. Moer, rechear, embalar e encaixotar linguiça e hambúrguer de animais selvagens. Limpar diariamente os equipamentos de processamento, pisos e par"&amp;"edes. Separar os pedidos dos clientes do freezer para retirada e outras atividades relacionadas ao abate e embalagem de carnes, conforme SOC/OES 51-3023 (onetonline.org). Horário padrão/esperado: Segunda a domingo, das 8h às 18h. Oferecemos 56 horas ou ma"&amp;"is por semana, sem incluir almoço e/ou intervalos. A escala semanal pode variar dependendo das necessidades da empresa. Trabalho aos fins de semana obrigatório. Possibilidade de trabalho aos fins de semana. Os horários de início e término, as horas oferec"&amp;"idas e/ou horas extras podem variar, pois podem depender de outros fatores, como necessidades de projeto/cronograma/serviço, clima e tempo de deslocamento entre os locais de trabalho (se aplicável). Horas extras são possíveis, mas não obrigatórias ou gara"&amp;"ntidas. A critério exclusivo do empregador: possíveis aumentos e/ou bônus com base em fatores individuais, como desempenho ou habilidades (não garantidos). Classificação da Função: 51-3023.00 - Abatedores e Empacotadores de Carne. A classificação e descri"&amp;"ção da função/setor inclui informações gerais sobre o cargo, conforme o ONET/OES e o Sistema de Classificação Industrial da América do Norte (NAICS). Consulte as Funções e a Ordem de Serviço para obter mais informações. Requisitos da Função: Experiência N"&amp;"ecessária: Não. Requisitos Especiais: É necessário comprovar autorização legal para trabalhar nos Estados Unidos. Ambiente de trabalho livre de drogas, álcool e tabaco. Executar atividades físicas, como levantar, equilibrar-se, caminhar, abaixar-se, manus"&amp;"ear, posicionar, mover e manipular materiais, utilizando força estática para exercer força muscular máxima para levantar, empurrar, puxar e carregar objetos de até 23 kg. Todos os candidatos devem ser capazes, dispostos e qualificados para executar o trab"&amp;"alho descrito e devem estar disponíveis durante todo o período especificado e trabalhar em todas as áreas do emprego pretendido. A critério/custo do Empregador: O trabalhador poderá ser submetido a testes aleatórios de drogas/álcool durante o emprego: tes"&amp;"te positivo/recusa em cumprir o teste = demissão. Possível verificação de antecedentes após a contratação, por conta do empregador. O horário de trabalho pode variar de acordo com os picos e vales do turismo ao longo da temporada (+/-), podendo haver perí"&amp;"odos de baixa atividade e/ou horas extras. Número de horas por semana: 56. Horário de trabalho (início/término): 8h às 18h.")</f>
        <v>As funções podem incluir: Esfolar animais selvagens. Cortar, embalar e encaixotar cortes de animais selvagens. Moer, rechear, embalar e encaixotar linguiça e hambúrguer de animais selvagens. Limpar diariamente os equipamentos de processamento, pisos e paredes. Separar os pedidos dos clientes do freezer para retirada e outras atividades relacionadas ao abate e embalagem de carnes, conforme SOC/OES 51-3023 (onetonline.org). Horário padrão/esperado: Segunda a domingo, das 8h às 18h. Oferecemos 56 horas ou mais por semana, sem incluir almoço e/ou intervalos. A escala semanal pode variar dependendo das necessidades da empresa. Trabalho aos fins de semana obrigatório. Possibilidade de trabalho aos fins de semana. Os horários de início e término, as horas oferecidas e/ou horas extras podem variar, pois podem depender de outros fatores, como necessidades de projeto/cronograma/serviço, clima e tempo de deslocamento entre os locais de trabalho (se aplicável). Horas extras são possíveis, mas não obrigatórias ou garantidas. A critério exclusivo do empregador: possíveis aumentos e/ou bônus com base em fatores individuais, como desempenho ou habilidades (não garantidos). Classificação da Função: 51-3023.00 - Abatedores e Empacotadores de Carne. A classificação e descrição da função/setor inclui informações gerais sobre o cargo, conforme o ONET/OES e o Sistema de Classificação Industrial da América do Norte (NAICS). Consulte as Funções e a Ordem de Serviço para obter mais informações. Requisitos da Função: Experiência Necessária: Não. Requisitos Especiais: É necessário comprovar autorização legal para trabalhar nos Estados Unidos. Ambiente de trabalho livre de drogas, álcool e tabaco. Executar atividades físicas, como levantar, equilibrar-se, caminhar, abaixar-se, manusear, posicionar, mover e manipular materiais, utilizando força estática para exercer força muscular máxima para levantar, empurrar, puxar e carregar objetos de até 23 kg. Todos os candidatos devem ser capazes, dispostos e qualificados para executar o trabalho descrito e devem estar disponíveis durante todo o período especificado e trabalhar em todas as áreas do emprego pretendido. A critério/custo do Empregador: O trabalhador poderá ser submetido a testes aleatórios de drogas/álcool durante o emprego: teste positivo/recusa em cumprir o teste = demissão. Possível verificação de antecedentes após a contratação, por conta do empregador. O horário de trabalho pode variar de acordo com os picos e vales do turismo ao longo da temporada (+/-), podendo haver períodos de baixa atividade e/ou horas extras. Número de horas por semana: 56. Horário de trabalho (início/término): 8h às 18h.</v>
      </c>
    </row>
    <row r="634" ht="20.25" customHeight="1">
      <c r="A634" s="3" t="s">
        <v>3072</v>
      </c>
      <c r="B634" s="3" t="s">
        <v>3073</v>
      </c>
      <c r="C634" s="3" t="s">
        <v>1000</v>
      </c>
      <c r="D634" s="3" t="s">
        <v>117</v>
      </c>
      <c r="E634" s="4" t="s">
        <v>19</v>
      </c>
      <c r="F634" s="4" t="s">
        <v>20</v>
      </c>
      <c r="G634" s="4" t="s">
        <v>307</v>
      </c>
      <c r="H634" s="3" t="s">
        <v>3074</v>
      </c>
      <c r="I634" s="3" t="s">
        <v>3075</v>
      </c>
      <c r="J634" s="4">
        <v>25.37</v>
      </c>
      <c r="K634" s="4">
        <v>15.0</v>
      </c>
      <c r="L634" s="3" t="s">
        <v>3076</v>
      </c>
      <c r="M634" s="3" t="s">
        <v>3077</v>
      </c>
      <c r="N634" s="7" t="str">
        <f>IFERROR(__xludf.DUMMYFUNCTION("GOOGLETRANSLATE(L634, ""en"", ""pt"")"),"Emolduradores")</f>
        <v>Emolduradores</v>
      </c>
      <c r="O634" s="7" t="str">
        <f>IFERROR(__xludf.DUMMYFUNCTION("IF(M634="""","""",GOOGLETRANSLATE(M634,""en"",""pt""))"),"Medir e planejar estruturas lendo e seguindo plantas, montar e erguer paredes e treliças usando ferramentas manuais, elétricas e pneumáticas para cortar e fixar madeira, revestir telhados e paredes, instalar portas e janelas, calafetar a estrutura e limpa"&amp;"r o canteiro de obras. Classificação da função: 47-2031.00 - Carpinteiros. A classificação e descrição da função/setor inclui informações gerais sobre o cargo, de acordo com o ONET/OES e o Sistema de Classificação Industrial da América do Norte (NAICS). C"&amp;"onsulte as Funções e a Ordem de Serviço para obter mais informações. Requisitos da vaga: Experiência necessária: Sim. Meses de experiência necessários: 3. Requisitos especiais: Deve ser capaz de levantar e carregar 27 kg por 55 metros. É necessário o uso "&amp;"correto e preciso de trena. Estará exposto a alturas, temperaturas extremas, atividades físicas intensas e movimentos repetitivos. Deslocar-se para locais de trabalho dentro da área de atuação. Número de horas por semana: 40. Horário de trabalho (início/t"&amp;"érmino): 7h às 17h.")</f>
        <v>Medir e planejar estruturas lendo e seguindo plantas, montar e erguer paredes e treliças usando ferramentas manuais, elétricas e pneumáticas para cortar e fixar madeira, revestir telhados e paredes, instalar portas e janelas, calafetar a estrutura e limpar o canteiro de obras. Classificação da função: 47-2031.00 - Carpinteiros. A classificação e descrição da função/setor inclui informações gerais sobre o cargo, de acordo com o ONET/OES e o Sistema de Classificação Industrial da América do Norte (NAICS). Consulte as Funções e a Ordem de Serviço para obter mais informações. Requisitos da vaga: Experiência necessária: Sim. Meses de experiência necessários: 3. Requisitos especiais: Deve ser capaz de levantar e carregar 27 kg por 55 metros. É necessário o uso correto e preciso de trena. Estará exposto a alturas, temperaturas extremas, atividades físicas intensas e movimentos repetitivos. Deslocar-se para locais de trabalho dentro da área de atuação. Número de horas por semana: 40. Horário de trabalho (início/término): 7h às 17h.</v>
      </c>
    </row>
    <row r="635" ht="20.25" customHeight="1">
      <c r="A635" s="8" t="s">
        <v>3078</v>
      </c>
      <c r="B635" s="8" t="s">
        <v>3079</v>
      </c>
      <c r="C635" s="8" t="s">
        <v>93</v>
      </c>
      <c r="D635" s="8" t="s">
        <v>306</v>
      </c>
      <c r="E635" s="9" t="s">
        <v>19</v>
      </c>
      <c r="F635" s="9" t="s">
        <v>20</v>
      </c>
      <c r="G635" s="9" t="s">
        <v>146</v>
      </c>
      <c r="H635" s="8" t="s">
        <v>3080</v>
      </c>
      <c r="I635" s="8" t="s">
        <v>3081</v>
      </c>
      <c r="J635" s="9">
        <v>19.93</v>
      </c>
      <c r="K635" s="9">
        <v>10.0</v>
      </c>
      <c r="L635" s="8" t="s">
        <v>59</v>
      </c>
      <c r="M635" s="8" t="s">
        <v>3082</v>
      </c>
      <c r="N635" s="7" t="str">
        <f>IFERROR(__xludf.DUMMYFUNCTION("GOOGLETRANSLATE(L635, ""en"", ""pt"")"),"Trabalhador de paisagismo")</f>
        <v>Trabalhador de paisagismo</v>
      </c>
      <c r="O635" s="7" t="str">
        <f>IFERROR(__xludf.DUMMYFUNCTION("IF(M635="""","""",GOOGLETRANSLATE(M635,""en"",""pt""))"),"Paisagismo e manutenção de terrenos utilizando ferramentas manuais ou elétricas. Os trabalhadores geralmente executam uma variedade de tarefas, que podem incluir qualquer combinação das seguintes: colocação de grama, plantio, rega, fertilização, escavação"&amp;", rastelagem, auxílio na instalação/manutenção de sprinklers e instalação de blocos de concreto pré-moldados sem argamassa. Carregamento/descarregamento de equipamentos/materiais; limpeza de equipamentos/local de trabalho após a conclusão do serviço. Clas"&amp;"sificação da vaga: 37-3011.00 - Trabalhadores de Paisagismo e Manutenção de Terrenos. A classificação e descrição da vaga/setor incluem informações gerais sobre o cargo, de acordo com o ONET/OES e o Sistema de Classificação Industrial da América do Norte "&amp;"(NAICS). Consulte as Funções e a Ordem de Serviço para obter mais informações. Requisitos da vaga: Experiência exigida: Não. Requisitos especiais: Deve ser capaz de levantar/carregar 34 kg, quando necessário. Trabalho aos sábados, quando necessário. O emp"&amp;"regador pode oferecer mais horas de trabalho do que as estipuladas, dependendo do clima, das necessidades da empresa e de outras condições. Calor extremo, frio, chuva ou seca podem afetar o horário de trabalho exato. Número de horas por semana: 40 Horário"&amp;" de trabalho (início/término): 7h00 - 15h30")</f>
        <v>Paisagismo e manutenção de terrenos utilizando ferramentas manuais ou elétricas. Os trabalhadores geralmente executam uma variedade de tarefas, que podem incluir qualquer combinação das seguintes: colocação de grama, plantio, rega, fertilização, escavação, rastelagem, auxílio na instalação/manutenção de sprinklers e instalação de blocos de concreto pré-moldados sem argamassa. Carregamento/descarregamento de equipamentos/materiais; limpeza de equipamentos/local de trabalho após a conclusão do serviço. Classificação da vaga: 37-3011.00 - Trabalhadores de Paisagismo e Manutenção de Terrenos. A classificação e descrição da vaga/setor incluem informações gerais sobre o cargo, de acordo com o ONET/OES e o Sistema de Classificação Industrial da América do Norte (NAICS). Consulte as Funções e a Ordem de Serviço para obter mais informações. Requisitos da vaga: Experiência exigida: Não. Requisitos especiais: Deve ser capaz de levantar/carregar 34 kg, quando necessário. Trabalho aos sábados, quando necessário. O empregador pode oferecer mais horas de trabalho do que as estipuladas, dependendo do clima, das necessidades da empresa e de outras condições. Calor extremo, frio, chuva ou seca podem afetar o horário de trabalho exato. Número de horas por semana: 40 Horário de trabalho (início/término): 7h00 - 15h30</v>
      </c>
    </row>
    <row r="636" ht="20.25" customHeight="1">
      <c r="A636" s="3" t="s">
        <v>3083</v>
      </c>
      <c r="B636" s="3" t="s">
        <v>3084</v>
      </c>
      <c r="C636" s="3" t="s">
        <v>1000</v>
      </c>
      <c r="D636" s="3" t="s">
        <v>117</v>
      </c>
      <c r="E636" s="4" t="s">
        <v>19</v>
      </c>
      <c r="F636" s="4" t="s">
        <v>20</v>
      </c>
      <c r="G636" s="4" t="s">
        <v>307</v>
      </c>
      <c r="H636" s="3" t="s">
        <v>3085</v>
      </c>
      <c r="I636" s="3" t="s">
        <v>3086</v>
      </c>
      <c r="J636" s="4">
        <v>23.49</v>
      </c>
      <c r="K636" s="4">
        <v>12.0</v>
      </c>
      <c r="L636" s="3" t="s">
        <v>302</v>
      </c>
      <c r="M636" s="3" t="s">
        <v>3087</v>
      </c>
      <c r="N636" s="7" t="str">
        <f>IFERROR(__xludf.DUMMYFUNCTION("GOOGLETRANSLATE(L636, ""en"", ""pt"")"),"Operários da construção civil")</f>
        <v>Operários da construção civil</v>
      </c>
      <c r="O636" s="7" t="str">
        <f>IFERROR(__xludf.DUMMYFUNCTION("IF(M636="""","""",GOOGLETRANSLATE(M636,""en"",""pt""))"),"Executar tarefas menores que envolvam trabalho braçal em canteiro de obras de concreto. Preparar o local para a concretagem, carregando e descarregando materiais, utilizando linhas de referência, cortando madeira com serra circular, utilizando marreta par"&amp;"a cravar estacas no solo, cavando e nivelando a terra com pás e compactadores de solo. Auxiliar na concretagem utilizando carrinhos de mão, rastelos e pás. Aplicar concreto. Limpar os resíduos. Classificação da Função: 47-2061.00 - Auxiliares de Construçã"&amp;"o. A classificação e descrição da função/setor incluem informações gerais sobre o cargo, de acordo com o ONET/OES e o Sistema de Classificação Industrial da América do Norte (NAICS). Consulte as Funções e a Ordem de Serviço para obter mais informações. Re"&amp;"quisitos da Função: Experiência Necessária: Sim. Meses de Experiência Necessários: 3. Requisitos Especiais: Trabalho em alguns fins de semana. Necessário suportar temperaturas extremas. Necessário levantar e carregar 34 kg por 45 metros. 3 meses de experi"&amp;"ência em construção de concreto são necessários. Número de horas por semana: 40 Horário de trabalho (início/término): 7h00 - 17h00")</f>
        <v>Executar tarefas menores que envolvam trabalho braçal em canteiro de obras de concreto. Preparar o local para a concretagem, carregando e descarregando materiais, utilizando linhas de referência, cortando madeira com serra circular, utilizando marreta para cravar estacas no solo, cavando e nivelando a terra com pás e compactadores de solo. Auxiliar na concretagem utilizando carrinhos de mão, rastelos e pás. Aplicar concreto. Limpar os resíduos. Classificação da Função: 47-2061.00 - Auxiliares de Construção. A classificação e descrição da função/setor incluem informações gerais sobre o cargo, de acordo com o ONET/OES e o Sistema de Classificação Industrial da América do Norte (NAICS). Consulte as Funções e a Ordem de Serviço para obter mais informações. Requisitos da Função: Experiência Necessária: Sim. Meses de Experiência Necessários: 3. Requisitos Especiais: Trabalho em alguns fins de semana. Necessário suportar temperaturas extremas. Necessário levantar e carregar 34 kg por 45 metros. 3 meses de experiência em construção de concreto são necessários. Número de horas por semana: 40 Horário de trabalho (início/término): 7h00 - 17h00</v>
      </c>
    </row>
    <row r="637" ht="20.25" customHeight="1">
      <c r="A637" s="8" t="s">
        <v>3088</v>
      </c>
      <c r="B637" s="8" t="s">
        <v>3089</v>
      </c>
      <c r="C637" s="8" t="s">
        <v>93</v>
      </c>
      <c r="D637" s="8" t="s">
        <v>249</v>
      </c>
      <c r="E637" s="9" t="s">
        <v>19</v>
      </c>
      <c r="F637" s="9" t="s">
        <v>20</v>
      </c>
      <c r="G637" s="9" t="s">
        <v>626</v>
      </c>
      <c r="H637" s="8" t="s">
        <v>3090</v>
      </c>
      <c r="I637" s="8"/>
      <c r="J637" s="9">
        <v>19.22</v>
      </c>
      <c r="K637" s="9">
        <v>8.0</v>
      </c>
      <c r="L637" s="8" t="s">
        <v>59</v>
      </c>
      <c r="M637" s="8" t="s">
        <v>3091</v>
      </c>
      <c r="N637" s="7" t="str">
        <f>IFERROR(__xludf.DUMMYFUNCTION("GOOGLETRANSLATE(L637, ""en"", ""pt"")"),"Trabalhador de paisagismo")</f>
        <v>Trabalhador de paisagismo</v>
      </c>
      <c r="O637" s="7" t="str">
        <f>IFERROR(__xludf.DUMMYFUNCTION("IF(M637="""","""",GOOGLETRANSLATE(M637,""en"",""pt""))"),"Paisagismo e manutenção de terrenos utilizando ferramentas manuais ou elétricas. Os trabalhadores geralmente executam uma variedade de tarefas, que podem incluir qualquer combinação das seguintes: colocação de grama, corte de grama, cobertura morta, poda,"&amp;" plantio, rega, fertilização, escavação, rastelagem, manutenção de sistemas de irrigação, instalação de aspersores e instalação de blocos de concreto pré-moldados sem argamassa. Nível inicial, requer supervisão. Classificação da vaga: 37-3011.00 - Trabalh"&amp;"adores de Paisagismo e Manutenção de Terrenos. A classificação e descrição da vaga/setor incluem informações gerais sobre o cargo, de acordo com o ONET/OES e o Sistema de Classificação Industrial da América do Norte (NAICS). Consulte as Funções e a Ordem "&amp;"de Serviço para obter mais informações. Requisitos da vaga: Experiência exigida: Não. Requisitos especiais: Deve ser capaz de levantar/carregar 23 kg, quando necessário. Trabalho aos sábados e domingos, quando necessário. Teste de drogas pago pelo emprega"&amp;"dor é obrigatório para trabalhadores estrangeiros e nacionais antes do início do trabalho e após a contratação, aleatoriamente, em caso de suspeita de uso e após acidente. Carteira de habilitação exigida apenas para funcionários estrangeiros e nacionais q"&amp;"ue dirigem veículos da empresa (dirigir não é um requisito para todos os funcionários da função). O empregador poderá oferecer uma jornada de trabalho superior à estipulada, dependendo das condições climáticas, das necessidades da empresa e de outros fato"&amp;"res. Calor extremo, frio intenso, chuva ou seca podem afetar o horário de trabalho exato. Número de horas por semana: 40. Horário de trabalho (início/término): 7h30 às 16h.")</f>
        <v>Paisagismo e manutenção de terrenos utilizando ferramentas manuais ou elétricas. Os trabalhadores geralmente executam uma variedade de tarefas, que podem incluir qualquer combinação das seguintes: colocação de grama, corte de grama, cobertura morta, poda, plantio, rega, fertilização, escavação, rastelagem, manutenção de sistemas de irrigação, instalação de aspersores e instalação de blocos de concreto pré-moldados sem argamassa. Nível inicial, requer supervisão. Classificação da vaga: 37-3011.00 - Trabalhadores de Paisagismo e Manutenção de Terrenos. A classificação e descrição da vaga/setor incluem informações gerais sobre o cargo, de acordo com o ONET/OES e o Sistema de Classificação Industrial da América do Norte (NAICS). Consulte as Funções e a Ordem de Serviço para obter mais informações. Requisitos da vaga: Experiência exigida: Não. Requisitos especiais: Deve ser capaz de levantar/carregar 23 kg, quando necessário. Trabalho aos sábados e domingos, quando necessário. Teste de drogas pago pelo empregador é obrigatório para trabalhadores estrangeiros e nacionais antes do início do trabalho e após a contratação, aleatoriamente, em caso de suspeita de uso e após acidente. Carteira de habilitação exigida apenas para funcionários estrangeiros e nacionais que dirigem veículos da empresa (dirigir não é um requisito para todos os funcionários da função). O empregador poderá oferecer uma jornada de trabalho superior à estipulada, dependendo das condições climáticas, das necessidades da empresa e de outros fatores. Calor extremo, frio intenso, chuva ou seca podem afetar o horário de trabalho exato. Número de horas por semana: 40. Horário de trabalho (início/término): 7h30 às 16h.</v>
      </c>
    </row>
    <row r="638" ht="20.25" customHeight="1">
      <c r="A638" s="3" t="s">
        <v>3092</v>
      </c>
      <c r="B638" s="3" t="s">
        <v>3093</v>
      </c>
      <c r="C638" s="3" t="s">
        <v>1000</v>
      </c>
      <c r="D638" s="3" t="s">
        <v>117</v>
      </c>
      <c r="E638" s="4" t="s">
        <v>19</v>
      </c>
      <c r="F638" s="4" t="s">
        <v>20</v>
      </c>
      <c r="G638" s="4" t="s">
        <v>307</v>
      </c>
      <c r="H638" s="3" t="s">
        <v>3094</v>
      </c>
      <c r="I638" s="3" t="s">
        <v>3095</v>
      </c>
      <c r="J638" s="4">
        <v>24.89</v>
      </c>
      <c r="K638" s="4">
        <v>20.0</v>
      </c>
      <c r="L638" s="3" t="s">
        <v>302</v>
      </c>
      <c r="M638" s="3" t="s">
        <v>3096</v>
      </c>
      <c r="N638" s="7" t="str">
        <f>IFERROR(__xludf.DUMMYFUNCTION("GOOGLETRANSLATE(L638, ""en"", ""pt"")"),"Operários da construção civil")</f>
        <v>Operários da construção civil</v>
      </c>
      <c r="O638" s="7" t="str">
        <f>IFERROR(__xludf.DUMMYFUNCTION("IF(M638="""","""",GOOGLETRANSLATE(M638,""en"",""pt""))"),"Resposta à Solicitação de Informações (RFI): O trabalho de demolição realizado por operários da construção civil consiste exclusivamente em limpeza manual e atividades de apoio em canteiros de obras de concreto, incluindo rodovias e pontes. Quando seções "&amp;"deterioradas de concreto são removidas, os operários da construção civil não operam serras, britadeiras, retroescavadeiras, pás carregadeiras ou caminhões basculantes. Essas atividades são realizadas exclusivamente por operadores de equipamentos qualifica"&amp;"dos e licenciados ou por profissionais especializados. Os operários da construção civil auxiliam somente após a remoção mecânica, realizando tarefas manuais para apoiar a preparação e limpeza do local. Essas tarefas incluem cavar, rastelar, varrer e colet"&amp;"ar pequenos pedaços de concreto quebrado e detritos que permanecem ao redor da área de trabalho após a remoção por equipamentos pesados. O objetivo deste trabalho é manter um canteiro de obras seguro e limpo e preparar as superfícies para as atividades de"&amp;" construção subsequentes. Ferramentas, equipamentos e materiais utilizados: Para essas tarefas relacionadas à demolição, os operários da construção civil utilizam apenas ferramentas manuais, incluindo pás, vassouras de empurrar, vassouras de mão, rastelos"&amp;" e carrinhos de mão. Os Operários da Construção Civil não utilizam nem operam ferramentas de demolição especializadas, máquinas pesadas ou equipamentos de demolição motorizados. Os materiais manuseados consistem em pequenos fragmentos de concreto quebrado"&amp;" e entulho geral de construção. Processos, Projetos e Contexto da Indústria: O trabalho ocorre no setor de construção em concreto, especificamente em projetos de reparo de rodovias e pontes. A função dos Operários da Construção Civil se limita a apoio com"&amp;" trabalho braçal, limpeza do local, remoção de entulho e preparação da superfície. Eles não realizam demolição especializada, remoção de estruturas, trabalhos de engenharia ou operação de equipamentos. Todas as tarefas são executadas sob a supervisão de p"&amp;"rofissionais qualificados e estão de acordo com o escopo da Classificação Industrial Padrão (SOC) 47-2061. Confirmação da Classificação Industrial Padrão (SOC): Todas as tarefas descritas acima se enquadram perfeitamente na definição de Operários da Const"&amp;"rução Civil (SOC 47-2061), envolvendo trabalho físico, uso de ferramentas manuais básicas e auxílio na preparação e limpeza do canteiro de obras. Não são executadas tarefas associadas a demolidores, operadores de equipamentos ou outras ocupações especiali"&amp;"zadas da construção civil. Descrição Original das Funções: Executar uma variedade de tarefas braçais em canteiros de obras de concreto. Preparar o local para a concretagem, carregando e descarregando materiais, instalando linhas de referência, cortando ma"&amp;"deira com serra circular e utilizando marretas para cravar estacas no solo. Escavar, cavar e nivelar o solo utilizando pás, compactadores de placa e martelos pneumáticos. Realizar trabalhos de sopro, quebra, remoção de entulho, demolição e escavação para "&amp;"preparar as superfícies. Auxiliar na concretagem utilizando carrinhos de mão, rastelos de concreto e pás. Limpar o local de trabalho e descartar os resíduos. Classificação da Função: 47-2061.00 - Auxiliares de Construção. A classificação e descrição da fu"&amp;"nção/setor incluem informações gerais sobre o cargo, de acordo com o ONET/OES e o Sistema de Classificação Industrial da América do Norte (NAICS). Consulte as Funções e a Ordem de Serviço para obter mais informações. Requisitos da Função: Experiência Nece"&amp;"ssária: Sim. Meses de Experiência Necessários: 3. Requisitos Especiais: Deve ser capaz de lidar com temperaturas extremas, operar ferramentas elétricas, ler e usar trena e levantar e carregar 34 kg por 45 metros. Trabalho aos fins de semana (em alguns cas"&amp;"os). Necessário ter 3 meses de experiência em construção com concreto. Número de horas por semana: 40. Horário de trabalho (início/término): 7h às 17h.")</f>
        <v>Resposta à Solicitação de Informações (RFI): O trabalho de demolição realizado por operários da construção civil consiste exclusivamente em limpeza manual e atividades de apoio em canteiros de obras de concreto, incluindo rodovias e pontes. Quando seções deterioradas de concreto são removidas, os operários da construção civil não operam serras, britadeiras, retroescavadeiras, pás carregadeiras ou caminhões basculantes. Essas atividades são realizadas exclusivamente por operadores de equipamentos qualificados e licenciados ou por profissionais especializados. Os operários da construção civil auxiliam somente após a remoção mecânica, realizando tarefas manuais para apoiar a preparação e limpeza do local. Essas tarefas incluem cavar, rastelar, varrer e coletar pequenos pedaços de concreto quebrado e detritos que permanecem ao redor da área de trabalho após a remoção por equipamentos pesados. O objetivo deste trabalho é manter um canteiro de obras seguro e limpo e preparar as superfícies para as atividades de construção subsequentes. Ferramentas, equipamentos e materiais utilizados: Para essas tarefas relacionadas à demolição, os operários da construção civil utilizam apenas ferramentas manuais, incluindo pás, vassouras de empurrar, vassouras de mão, rastelos e carrinhos de mão. Os Operários da Construção Civil não utilizam nem operam ferramentas de demolição especializadas, máquinas pesadas ou equipamentos de demolição motorizados. Os materiais manuseados consistem em pequenos fragmentos de concreto quebrado e entulho geral de construção. Processos, Projetos e Contexto da Indústria: O trabalho ocorre no setor de construção em concreto, especificamente em projetos de reparo de rodovias e pontes. A função dos Operários da Construção Civil se limita a apoio com trabalho braçal, limpeza do local, remoção de entulho e preparação da superfície. Eles não realizam demolição especializada, remoção de estruturas, trabalhos de engenharia ou operação de equipamentos. Todas as tarefas são executadas sob a supervisão de profissionais qualificados e estão de acordo com o escopo da Classificação Industrial Padrão (SOC) 47-2061. Confirmação da Classificação Industrial Padrão (SOC): Todas as tarefas descritas acima se enquadram perfeitamente na definição de Operários da Construção Civil (SOC 47-2061), envolvendo trabalho físico, uso de ferramentas manuais básicas e auxílio na preparação e limpeza do canteiro de obras. Não são executadas tarefas associadas a demolidores, operadores de equipamentos ou outras ocupações especializadas da construção civil. Descrição Original das Funções: Executar uma variedade de tarefas braçais em canteiros de obras de concreto. Preparar o local para a concretagem, carregando e descarregando materiais, instalando linhas de referência, cortando madeira com serra circular e utilizando marretas para cravar estacas no solo. Escavar, cavar e nivelar o solo utilizando pás, compactadores de placa e martelos pneumáticos. Realizar trabalhos de sopro, quebra, remoção de entulho, demolição e escavação para preparar as superfícies. Auxiliar na concretagem utilizando carrinhos de mão, rastelos de concreto e pás. Limpar o local de trabalho e descartar os resíduos. Classificação da Função: 47-2061.00 - Auxiliares de Construção. A classificação e descrição da função/setor incluem informações gerais sobre o cargo, de acordo com o ONET/OES e o Sistema de Classificação Industrial da América do Norte (NAICS). Consulte as Funções e a Ordem de Serviço para obter mais informações. Requisitos da Função: Experiência Necessária: Sim. Meses de Experiência Necessários: 3. Requisitos Especiais: Deve ser capaz de lidar com temperaturas extremas, operar ferramentas elétricas, ler e usar trena e levantar e carregar 34 kg por 45 metros. Trabalho aos fins de semana (em alguns casos). Necessário ter 3 meses de experiência em construção com concreto. Número de horas por semana: 40. Horário de trabalho (início/término): 7h às 17h.</v>
      </c>
    </row>
    <row r="639" ht="20.25" customHeight="1">
      <c r="A639" s="8" t="s">
        <v>3097</v>
      </c>
      <c r="B639" s="8" t="s">
        <v>2969</v>
      </c>
      <c r="C639" s="8" t="s">
        <v>1000</v>
      </c>
      <c r="D639" s="8" t="s">
        <v>55</v>
      </c>
      <c r="E639" s="9" t="s">
        <v>19</v>
      </c>
      <c r="F639" s="9" t="s">
        <v>20</v>
      </c>
      <c r="G639" s="9" t="s">
        <v>307</v>
      </c>
      <c r="H639" s="8" t="s">
        <v>2970</v>
      </c>
      <c r="I639" s="8" t="s">
        <v>2971</v>
      </c>
      <c r="J639" s="9">
        <v>28.62</v>
      </c>
      <c r="K639" s="9">
        <v>16.0</v>
      </c>
      <c r="L639" s="8" t="s">
        <v>3098</v>
      </c>
      <c r="M639" s="8" t="s">
        <v>3099</v>
      </c>
      <c r="N639" s="7" t="str">
        <f>IFERROR(__xludf.DUMMYFUNCTION("GOOGLETRANSLATE(L639, ""en"", ""pt"")"),"Motorista de Concreto Pronto")</f>
        <v>Motorista de Concreto Pronto</v>
      </c>
      <c r="O639" s="7" t="str">
        <f>IFERROR(__xludf.DUMMYFUNCTION("IF(M639="""","""",GOOGLETRANSLATE(M639,""en"",""pt""))"),"Operar caminhões betoneira, transportando o concreto pronto para os locais de trabalho. Os motoristas devem limpar e manter os caminhões, incluindo a inspeção diária de segurança, verificação e reabastecimento diário de combustível e outros fluidos, além "&amp;"de realizar pequenas manutenções nos veículos. Preencher a documentação das cargas transportadas e entregá-la diariamente. Classificação da vaga: 53-3032.00 - Motoristas de Caminhão Pesado e Carreta. A classificação e descrição da vaga/setor incluem infor"&amp;"mações gerais sobre o cargo, de acordo com o ONET/OES e o Sistema de Classificação Industrial da América do Norte (NAICS). Consulte as Funções e a Ordem de Serviço para obter mais informações. Requisitos da vaga: Experiência necessária: Não. Requisitos es"&amp;"peciais: DEVE SER APROVADO NO EXAME FÍSICO DO DEPARTAMENTO DE TRANSPORTES. DEVE SER CAPAZ DE LEVANTAR E CARREGAR 18 KG POR 9 METROS. CARTEIRA DE HABILITAÇÃO CATEGORIA B OU CNH COMERCIAL INTERNACIONAL, BOM HISTÓRICO DE CONDUÇÃO E HABILIDADES DE DIREÇÃO SÃO"&amp;" NECESSÁRIOS. É necessário ter 21 anos de idade ou mais. É necessário passar por testes de drogas e álcool pré-emprego. É necessário ser capaz de lidar com temperaturas extremas. O trabalhador deve ser capaz de ler e falar inglês suficientemente bem para "&amp;"conversar com o público em geral, entender placas e sinais de trânsito em inglês, responder a perguntas oficiais e fazer anotações em relatórios e registros. Número de horas por semana: 40. Horário de trabalho (início/término): 7h às 17h.")</f>
        <v>Operar caminhões betoneira, transportando o concreto pronto para os locais de trabalho. Os motoristas devem limpar e manter os caminhões, incluindo a inspeção diária de segurança, verificação e reabastecimento diário de combustível e outros fluidos, além de realizar pequenas manutenções nos veículos. Preencher a documentação das cargas transportadas e entregá-la diariamente. Classificação da vaga: 53-3032.00 - Motoristas de Caminhão Pesado e Carreta. A classificação e descrição da vaga/setor incluem informações gerais sobre o cargo, de acordo com o ONET/OES e o Sistema de Classificação Industrial da América do Norte (NAICS). Consulte as Funções e a Ordem de Serviço para obter mais informações. Requisitos da vaga: Experiência necessária: Não. Requisitos especiais: DEVE SER APROVADO NO EXAME FÍSICO DO DEPARTAMENTO DE TRANSPORTES. DEVE SER CAPAZ DE LEVANTAR E CARREGAR 18 KG POR 9 METROS. CARTEIRA DE HABILITAÇÃO CATEGORIA B OU CNH COMERCIAL INTERNACIONAL, BOM HISTÓRICO DE CONDUÇÃO E HABILIDADES DE DIREÇÃO SÃO NECESSÁRIOS. É necessário ter 21 anos de idade ou mais. É necessário passar por testes de drogas e álcool pré-emprego. É necessário ser capaz de lidar com temperaturas extremas. O trabalhador deve ser capaz de ler e falar inglês suficientemente bem para conversar com o público em geral, entender placas e sinais de trânsito em inglês, responder a perguntas oficiais e fazer anotações em relatórios e registros. Número de horas por semana: 40. Horário de trabalho (início/término): 7h às 17h.</v>
      </c>
    </row>
    <row r="640" ht="20.25" customHeight="1">
      <c r="A640" s="3" t="s">
        <v>3100</v>
      </c>
      <c r="B640" s="3" t="s">
        <v>3101</v>
      </c>
      <c r="C640" s="3" t="s">
        <v>93</v>
      </c>
      <c r="D640" s="3" t="s">
        <v>249</v>
      </c>
      <c r="E640" s="4" t="s">
        <v>19</v>
      </c>
      <c r="F640" s="4" t="s">
        <v>20</v>
      </c>
      <c r="G640" s="4" t="s">
        <v>146</v>
      </c>
      <c r="H640" s="3" t="s">
        <v>3102</v>
      </c>
      <c r="I640" s="3" t="s">
        <v>3103</v>
      </c>
      <c r="J640" s="4">
        <v>19.13</v>
      </c>
      <c r="K640" s="4">
        <v>20.0</v>
      </c>
      <c r="L640" s="3" t="s">
        <v>321</v>
      </c>
      <c r="M640" s="3" t="s">
        <v>3104</v>
      </c>
      <c r="N640" s="7" t="str">
        <f>IFERROR(__xludf.DUMMYFUNCTION("GOOGLETRANSLATE(L640, ""en"", ""pt"")"),"Trabalhadores de paisagismo")</f>
        <v>Trabalhadores de paisagismo</v>
      </c>
      <c r="O640" s="7" t="str">
        <f>IFERROR(__xludf.DUMMYFUNCTION("IF(M640="""","""",GOOGLETRANSLATE(M640,""en"",""pt""))"),"Paisagismo e manutenção de terrenos utilizando ferramentas manuais ou elétricas. Os trabalhadores geralmente executam uma variedade de tarefas, que podem incluir qualquer combinação das seguintes: colocar grama, cortar/aparar/aparar a grama, rastelar/sopr"&amp;"ar folhas, plantar, regar, arrancar/cortar ervas daninhas, podar, transportar terra vegetal, aplicar cobertura morta, fertilizar e cavar. Classificação da função: 37-3011.00 - Trabalhadores de Paisagismo e Manutenção de Terrenos. A classificação e descriç"&amp;"ão da função/setor inclui informações gerais sobre o cargo, de acordo com o ONET/OES e o Sistema de Classificação Industrial da América do Norte. Consulte as Funções e a Ordem de Serviço para obter mais informações. Requisitos da função: Experiência exigi"&amp;"da: Não. Requisitos especiais: Deve ser capaz de levantar/carregar 23 kg, quando necessário. Trabalho aos sábados, quando necessário. Teste de drogas pago pelo empregador é obrigatório para trabalhadores estrangeiros e nacionais antes do início do trabalh"&amp;"o e após a contratação, aleatoriamente, em caso de suspeita de uso e após acidente. Verificação de antecedentes criminais após a contratação é obrigatória para trabalhadores estrangeiros e nacionais. O empregador poderá oferecer uma jornada de trabalho su"&amp;"perior à estipulada, dependendo das condições climáticas, das necessidades da empresa e de outros fatores. Calor extremo, frio intenso, chuva ou seca podem afetar o horário de trabalho exato. Número de horas por semana: 40. Horário de trabalho (início/tér"&amp;"mino): 7h às 15h30.")</f>
        <v>Paisagismo e manutenção de terrenos utilizando ferramentas manuais ou elétricas. Os trabalhadores geralmente executam uma variedade de tarefas, que podem incluir qualquer combinação das seguintes: colocar grama, cortar/aparar/aparar a grama, rastelar/soprar folhas, plantar, regar, arrancar/cortar ervas daninhas, podar, transportar terra vegetal, aplicar cobertura morta, fertilizar e cavar. Classificação da função: 37-3011.00 - Trabalhadores de Paisagismo e Manutenção de Terrenos. A classificação e descrição da função/setor inclui informações gerais sobre o cargo, de acordo com o ONET/OES e o Sistema de Classificação Industrial da América do Norte. Consulte as Funções e a Ordem de Serviço para obter mais informações. Requisitos da função: Experiência exigida: Não. Requisitos especiais: Deve ser capaz de levantar/carregar 23 kg, quando necessário. Trabalho aos sábados, quando necessário. Teste de drogas pago pelo empregador é obrigatório para trabalhadores estrangeiros e nacionais antes do início do trabalho e após a contratação, aleatoriamente, em caso de suspeita de uso e após acidente. Verificação de antecedentes criminais após a contratação é obrigatória para trabalhadores estrangeiros e nacionais. O empregador poderá oferecer uma jornada de trabalho superior à estipulada, dependendo das condições climáticas, das necessidades da empresa e de outros fatores. Calor extremo, frio intenso, chuva ou seca podem afetar o horário de trabalho exato. Número de horas por semana: 40. Horário de trabalho (início/término): 7h às 15h30.</v>
      </c>
    </row>
    <row r="641" ht="20.25" customHeight="1">
      <c r="A641" s="8" t="s">
        <v>3105</v>
      </c>
      <c r="B641" s="8" t="s">
        <v>3106</v>
      </c>
      <c r="C641" s="8" t="s">
        <v>93</v>
      </c>
      <c r="D641" s="8" t="s">
        <v>249</v>
      </c>
      <c r="E641" s="9" t="s">
        <v>19</v>
      </c>
      <c r="F641" s="9" t="s">
        <v>20</v>
      </c>
      <c r="G641" s="9" t="s">
        <v>902</v>
      </c>
      <c r="H641" s="8" t="s">
        <v>3107</v>
      </c>
      <c r="I641" s="8" t="s">
        <v>3108</v>
      </c>
      <c r="J641" s="9">
        <v>18.91</v>
      </c>
      <c r="K641" s="9">
        <v>6.0</v>
      </c>
      <c r="L641" s="8" t="s">
        <v>406</v>
      </c>
      <c r="M641" s="8" t="s">
        <v>3109</v>
      </c>
      <c r="N641" s="7" t="str">
        <f>IFERROR(__xludf.DUMMYFUNCTION("GOOGLETRANSLATE(L641, ""en"", ""pt"")"),"Trabalhador")</f>
        <v>Trabalhador</v>
      </c>
      <c r="O641" s="7" t="str">
        <f>IFERROR(__xludf.DUMMYFUNCTION("IF(M641="""","""",GOOGLETRANSLATE(M641,""en"",""pt""))"),"Paisagismo e manutenção de terrenos utilizando ferramentas manuais ou elétricas. Os trabalhadores geralmente executam uma variedade de tarefas, que podem incluir qualquer combinação das seguintes: colocação de grama, poda, plantio, rega, fertilização, esc"&amp;"avação, rastelamento, levantamento/transporte/segurar materiais/ferramentas/suprimentos; limpeza de equipamentos/áreas de trabalho; auxílio na instalação de blocos de concreto pré-moldados sem argamassa e de drenos. Nível inicial; requer supervisão. Class"&amp;"ificação da vaga: 37-3011.00 - Trabalhadores de Paisagismo e Manutenção de Terrenos. A classificação e descrição da vaga/setor incluem informações gerais sobre o cargo, de acordo com o ONET/OES e o Sistema de Classificação Industrial da América do Norte ("&amp;"NAICS). Consulte as Funções e a Ordem de Serviço para obter mais informações. Requisitos da vaga: Experiência exigida: Não. Requisitos especiais: Deve ser capaz de levantar/carregar 23 kg, quando necessário. Trabalho aos sábados, quando necessário. Testes"&amp;" aleatórios de drogas após a contratação, após acidentes e em caso de suspeita de uso são obrigatórios para trabalhadores estrangeiros e nacionais. O empregador poderá oferecer uma jornada de trabalho superior à estipulada, dependendo das condições climát"&amp;"icas, das necessidades da empresa e de outros fatores. Calor extremo, frio intenso, chuva ou seca podem afetar o horário de trabalho exato. Número de horas por semana: 45. Horário de trabalho (início/término): 7h30 às 17h.")</f>
        <v>Paisagismo e manutenção de terrenos utilizando ferramentas manuais ou elétricas. Os trabalhadores geralmente executam uma variedade de tarefas, que podem incluir qualquer combinação das seguintes: colocação de grama, poda, plantio, rega, fertilização, escavação, rastelamento, levantamento/transporte/segurar materiais/ferramentas/suprimentos; limpeza de equipamentos/áreas de trabalho; auxílio na instalação de blocos de concreto pré-moldados sem argamassa e de drenos. Nível inicial; requer supervisão. Classificação da vaga: 37-3011.00 - Trabalhadores de Paisagismo e Manutenção de Terrenos. A classificação e descrição da vaga/setor incluem informações gerais sobre o cargo, de acordo com o ONET/OES e o Sistema de Classificação Industrial da América do Norte (NAICS). Consulte as Funções e a Ordem de Serviço para obter mais informações. Requisitos da vaga: Experiência exigida: Não. Requisitos especiais: Deve ser capaz de levantar/carregar 23 kg, quando necessário. Trabalho aos sábados, quando necessário. Testes aleatórios de drogas após a contratação, após acidentes e em caso de suspeita de uso são obrigatórios para trabalhadores estrangeiros e nacionais. O empregador poderá oferecer uma jornada de trabalho superior à estipulada, dependendo das condições climáticas, das necessidades da empresa e de outros fatores. Calor extremo, frio intenso, chuva ou seca podem afetar o horário de trabalho exato. Número de horas por semana: 45. Horário de trabalho (início/término): 7h30 às 17h.</v>
      </c>
    </row>
    <row r="642" ht="20.25" customHeight="1">
      <c r="A642" s="3" t="s">
        <v>3110</v>
      </c>
      <c r="B642" s="3" t="s">
        <v>3111</v>
      </c>
      <c r="C642" s="3" t="s">
        <v>93</v>
      </c>
      <c r="D642" s="3" t="s">
        <v>109</v>
      </c>
      <c r="E642" s="4" t="s">
        <v>19</v>
      </c>
      <c r="F642" s="4" t="s">
        <v>20</v>
      </c>
      <c r="G642" s="4" t="s">
        <v>236</v>
      </c>
      <c r="H642" s="3" t="s">
        <v>3112</v>
      </c>
      <c r="I642" s="3"/>
      <c r="J642" s="4">
        <v>18.69</v>
      </c>
      <c r="K642" s="4">
        <v>6.0</v>
      </c>
      <c r="L642" s="3" t="s">
        <v>1021</v>
      </c>
      <c r="M642" s="3" t="s">
        <v>3113</v>
      </c>
      <c r="N642" s="7" t="str">
        <f>IFERROR(__xludf.DUMMYFUNCTION("GOOGLETRANSLATE(L642, ""en"", ""pt"")"),"Paisagista")</f>
        <v>Paisagista</v>
      </c>
      <c r="O642" s="7" t="str">
        <f>IFERROR(__xludf.DUMMYFUNCTION("IF(M642="""","""",GOOGLETRANSLATE(M642,""en"",""pt""))"),"Paisagismo e manutenção de terrenos utilizando ferramentas manuais ou elétricas. Corte de grama. Planejamento e cultivo de gramados e jardins. Manutenção de gramados existentes, incluindo cobertura morta, aeração, capina, remoção de tocos, remoção de palh"&amp;"a morta, poda e acabamento de bordas ao redor de arbustos, canteiros de flores, caminhos e muros. Classificação da vaga: 37-3011.00 - Trabalhadores de Paisagismo e Manutenção de Terrenos. A classificação e descrição da vaga/setor incluem informações gerai"&amp;"s sobre o cargo, de acordo com o ONET/OES e o Sistema de Classificação Industrial da América do Norte (NAICS). Consulte as Funções e a Ordem de Serviço para obter mais informações. Requisitos da vaga: Experiência exigida: Sim. Meses de experiência exigido"&amp;"s: 3. Requisitos especiais: Requer três meses de experiência prévia em paisagismo. Deve ser capaz de levantar/carregar 23 kg, quando necessário. Trabalho aos sábados e domingos, quando necessário. Carteira de habilitação exigida apenas para trabalhadores "&amp;"estrangeiros e nacionais que dirigem veículos da empresa (dirigir não é um requisito para todos os funcionários da vaga). O empregador poderá oferecer uma jornada de trabalho superior à estipulada, dependendo das condições climáticas, das necessidades da "&amp;"empresa e de outros fatores. Calor extremo, frio intenso, chuva ou seca podem afetar o horário de trabalho exato. Número de horas por semana: 40. Horário de trabalho (início/término): 7h30 às 16h.")</f>
        <v>Paisagismo e manutenção de terrenos utilizando ferramentas manuais ou elétricas. Corte de grama. Planejamento e cultivo de gramados e jardins. Manutenção de gramados existentes, incluindo cobertura morta, aeração, capina, remoção de tocos, remoção de palha morta, poda e acabamento de bordas ao redor de arbustos, canteiros de flores, caminhos e muros. Classificação da vaga: 37-3011.00 - Trabalhadores de Paisagismo e Manutenção de Terrenos. A classificação e descrição da vaga/setor incluem informações gerais sobre o cargo, de acordo com o ONET/OES e o Sistema de Classificação Industrial da América do Norte (NAICS). Consulte as Funções e a Ordem de Serviço para obter mais informações. Requisitos da vaga: Experiência exigida: Sim. Meses de experiência exigidos: 3. Requisitos especiais: Requer três meses de experiência prévia em paisagismo. Deve ser capaz de levantar/carregar 23 kg, quando necessário. Trabalho aos sábados e domingos, quando necessário. Carteira de habilitação exigida apenas para trabalhadores estrangeiros e nacionais que dirigem veículos da empresa (dirigir não é um requisito para todos os funcionários da vaga). O empregador poderá oferecer uma jornada de trabalho superior à estipulada, dependendo das condições climáticas, das necessidades da empresa e de outros fatores. Calor extremo, frio intenso, chuva ou seca podem afetar o horário de trabalho exato. Número de horas por semana: 40. Horário de trabalho (início/término): 7h30 às 16h.</v>
      </c>
    </row>
    <row r="643" ht="20.25" customHeight="1">
      <c r="A643" s="8" t="s">
        <v>3114</v>
      </c>
      <c r="B643" s="8" t="s">
        <v>3115</v>
      </c>
      <c r="C643" s="8" t="s">
        <v>2995</v>
      </c>
      <c r="D643" s="8" t="s">
        <v>154</v>
      </c>
      <c r="E643" s="9" t="s">
        <v>44</v>
      </c>
      <c r="F643" s="9" t="s">
        <v>20</v>
      </c>
      <c r="G643" s="9" t="s">
        <v>80</v>
      </c>
      <c r="H643" s="8" t="s">
        <v>3116</v>
      </c>
      <c r="I643" s="8" t="s">
        <v>3117</v>
      </c>
      <c r="J643" s="9">
        <v>20.29</v>
      </c>
      <c r="K643" s="9">
        <v>10.0</v>
      </c>
      <c r="L643" s="8" t="s">
        <v>3118</v>
      </c>
      <c r="M643" s="8" t="s">
        <v>3119</v>
      </c>
      <c r="N643" s="7" t="str">
        <f>IFERROR(__xludf.DUMMYFUNCTION("GOOGLETRANSLATE(L643, ""en"", ""pt"")"),"Ajudante de construção")</f>
        <v>Ajudante de construção</v>
      </c>
      <c r="O643" s="7" t="str">
        <f>IFERROR(__xludf.DUMMYFUNCTION("IF(M643="""","""",GOOGLETRANSLATE(M643,""en"",""pt""))"),"As funções podem incluir: Auxiliar na recuperação pós-obra para garantir que a área construída retorne às suas condições originais. Limpar os canteiros de obras. Operar diversos equipamentos, como tratores, semeadoras, hidrossemeadoras, caminhões e reboqu"&amp;"es. Auxiliar no replantio e na colocação de cascalho. Coletar e transportar materiais (areia, cascalho, concreto, grama) de/para o canteiro de obras e o depósito da empresa. Carregar/descarregar materiais. Manter ferramentas e equipamentos em bom estado, "&amp;"além de outras atividades relacionadas à função de Auxiliar de Construção, conforme SOC/OES 47-2061 (onetonline.org). Horário padrão/esperado: Segunda a sábado, das 7h às 16h. Oferecemos mais de 40 horas semanais, sem incluir almoço e/ou intervalos. Possi"&amp;"bilidade de trabalho em fins de semana e feriados. Os horários de início e término, a carga horária e/ou horas extras podem variar, dependendo de fatores como projeto/cronograma/necessidades do serviço, condições climáticas e tempo de deslocamento entre o"&amp;"s locais de trabalho (se aplicável). Possibilidade de horas extras, mas não obrigatórias ou garantidas. A critério exclusivo do empregador: possíveis aumentos e/ou bônus com base em fatores individuais, como desempenho ou habilidades (não garantidos). Cla"&amp;"ssificação da vaga: 47-2061.00 - Auxiliares de Construção. A classificação e descrição da vaga/setor incluem informações gerais sobre o cargo, de acordo com o ONET/OES e o Sistema de Classificação Industrial da América do Norte (NAICS). Consulte as Funçõe"&amp;"s e a Ordem de Serviço para obter mais informações. Requisitos da vaga: Experiência exigida: Não. Requisitos especiais: É necessário comprovar autorização legal para trabalhar nos Estados Unidos. Ambiente de trabalho livre de drogas, álcool e tabaco. Exec"&amp;"utar atividades físicas, como levantar, equilibrar-se, caminhar, abaixar-se, manusear, posicionar, mover e manipular materiais, utilizando força estática para exercer força muscular máxima para levantar, empurrar, puxar e carregar objetos de até 23 kg. To"&amp;"dos os candidatos devem ser capazes, dispostos e qualificados para executar o trabalho descrito e devem estar disponíveis durante todo o período especificado e trabalhar em todas as áreas da vaga. O trabalho é realizado ao ar livre, exposto às intempéries"&amp;". O candidato deve ser capaz de realizar trabalhos fisicamente extenuantes por longos períodos, ocasionalmente em condições de calor ou frio extremos. As condições climáticas são variáveis; a carga horária pode sofrer alterações (+/-), podendo haver perío"&amp;"dos de inatividade e/ou horas extras. Número de horas por semana: 40. Horário de trabalho (início/término): 7h às 16h.")</f>
        <v>As funções podem incluir: Auxiliar na recuperação pós-obra para garantir que a área construída retorne às suas condições originais. Limpar os canteiros de obras. Operar diversos equipamentos, como tratores, semeadoras, hidrossemeadoras, caminhões e reboques. Auxiliar no replantio e na colocação de cascalho. Coletar e transportar materiais (areia, cascalho, concreto, grama) de/para o canteiro de obras e o depósito da empresa. Carregar/descarregar materiais. Manter ferramentas e equipamentos em bom estado, além de outras atividades relacionadas à função de Auxiliar de Construção, conforme SOC/OES 47-2061 (onetonline.org). Horário padrão/esperado: Segunda a sábado, das 7h às 16h. Oferecemos mais de 40 horas semanais, sem incluir almoço e/ou intervalos. Possibilidade de trabalho em fins de semana e feriados. Os horários de início e término, a carga horária e/ou horas extras podem variar, dependendo de fatores como projeto/cronograma/necessidades do serviço, condições climáticas e tempo de deslocamento entre os locais de trabalho (se aplicável). Possibilidade de horas extras, mas não obrigatórias ou garantidas. A critério exclusivo do empregador: possíveis aumentos e/ou bônus com base em fatores individuais, como desempenho ou habilidades (não garantidos). Classificação da vaga: 47-2061.00 - Auxiliares de Construção. A classificação e descrição da vaga/setor incluem informações gerais sobre o cargo, de acordo com o ONET/OES e o Sistema de Classificação Industrial da América do Norte (NAICS). Consulte as Funções e a Ordem de Serviço para obter mais informações. Requisitos da vaga: Experiência exigida: Não. Requisitos especiais: É necessário comprovar autorização legal para trabalhar nos Estados Unidos. Ambiente de trabalho livre de drogas, álcool e tabaco. Executar atividades físicas, como levantar, equilibrar-se, caminhar, abaixar-se, manusear, posicionar, mover e manipular materiais, utilizando força estática para exercer força muscular máxima para levantar, empurrar, puxar e carregar objetos de até 23 kg. Todos os candidatos devem ser capazes, dispostos e qualificados para executar o trabalho descrito e devem estar disponíveis durante todo o período especificado e trabalhar em todas as áreas da vaga. O trabalho é realizado ao ar livre, exposto às intempéries. O candidato deve ser capaz de realizar trabalhos fisicamente extenuantes por longos períodos, ocasionalmente em condições de calor ou frio extremos. As condições climáticas são variáveis; a carga horária pode sofrer alterações (+/-), podendo haver períodos de inatividade e/ou horas extras. Número de horas por semana: 40. Horário de trabalho (início/término): 7h às 16h.</v>
      </c>
    </row>
    <row r="644" ht="20.25" customHeight="1">
      <c r="A644" s="3" t="s">
        <v>3120</v>
      </c>
      <c r="B644" s="3" t="s">
        <v>3121</v>
      </c>
      <c r="C644" s="3" t="s">
        <v>93</v>
      </c>
      <c r="D644" s="3" t="s">
        <v>306</v>
      </c>
      <c r="E644" s="4" t="s">
        <v>44</v>
      </c>
      <c r="F644" s="4" t="s">
        <v>20</v>
      </c>
      <c r="G644" s="4" t="s">
        <v>118</v>
      </c>
      <c r="H644" s="3" t="s">
        <v>3122</v>
      </c>
      <c r="I644" s="3" t="s">
        <v>3123</v>
      </c>
      <c r="J644" s="4">
        <v>24.46</v>
      </c>
      <c r="K644" s="4">
        <v>8.0</v>
      </c>
      <c r="L644" s="3" t="s">
        <v>3124</v>
      </c>
      <c r="M644" s="3" t="s">
        <v>3125</v>
      </c>
      <c r="N644" s="7" t="str">
        <f>IFERROR(__xludf.DUMMYFUNCTION("GOOGLETRANSLATE(L644, ""en"", ""pt"")"),"Técnico de Inverno")</f>
        <v>Técnico de Inverno</v>
      </c>
      <c r="O644" s="7" t="str">
        <f>IFERROR(__xludf.DUMMYFUNCTION("IF(M644="""","""",GOOGLETRANSLATE(M644,""en"",""pt""))"),"Executar serviços de manutenção de neve/gelo em áreas comerciais e residenciais, incluindo limpeza após tempestades de inverno, coleta de lixo/detritos, remoção de neve/gelo e poda de inverno de árvores/arbustos dormentes. Utilizar ferramentas manuais e e"&amp;"quipamentos como picadores de gelo, pás e sopradores. Remover neve de calçadas, entradas de garagem ou estacionamentos, utilizando limpa-neves, sopradores de neve ou pás de neve, ou espalhar produtos químicos para derretimento de neve. Trabalhadores com c"&amp;"arteira de habilitação válida nos EUA podem operar um caminhão com implemento de arado frontal (dirigir não é um requisito para todos os trabalhadores da função). Limpar e realizar manutenção de rotina e/ou pequenos reparos em equipamentos e ferramentas q"&amp;"uando não estiverem em uso. Classificação da Função: 47-4051.00 - Trabalhadores de Manutenção de Rodovias. A classificação e descrição da função/setor inclui informações gerais sobre a posição, de acordo com o ONET/OES e o Sistema de Classificação Industr"&amp;"ial da América do Norte. Consulte as Funções e a Ordem de Serviço para obter mais informações. Requisitos da Função: Experiência Necessária: Não. Requisitos Especiais: Deve ser capaz de levantar/carregar 23 kg (50 lbs), quando necessário. Trabalho aos sáb"&amp;"ados e domingos, quando necessário. O empregador poderá oferecer mais horas de trabalho do que as estipuladas, dependendo do clima, das necessidades da empresa e de outras condições. Calor extremo, frio, chuva ou seca podem afetar o horário de trabalho ex"&amp;"ato. Número de horas por semana: 35. Horário de trabalho (início/término): 8h00 às 15h30.")</f>
        <v>Executar serviços de manutenção de neve/gelo em áreas comerciais e residenciais, incluindo limpeza após tempestades de inverno, coleta de lixo/detritos, remoção de neve/gelo e poda de inverno de árvores/arbustos dormentes. Utilizar ferramentas manuais e equipamentos como picadores de gelo, pás e sopradores. Remover neve de calçadas, entradas de garagem ou estacionamentos, utilizando limpa-neves, sopradores de neve ou pás de neve, ou espalhar produtos químicos para derretimento de neve. Trabalhadores com carteira de habilitação válida nos EUA podem operar um caminhão com implemento de arado frontal (dirigir não é um requisito para todos os trabalhadores da função). Limpar e realizar manutenção de rotina e/ou pequenos reparos em equipamentos e ferramentas quando não estiverem em uso. Classificação da Função: 47-4051.00 - Trabalhadores de Manutenção de Rodovias. A classificação e descrição da função/setor inclui informações gerais sobre a posição, de acordo com o ONET/OES e o Sistema de Classificação Industrial da América do Norte. Consulte as Funções e a Ordem de Serviço para obter mais informações. Requisitos da Função: Experiência Necessária: Não. Requisitos Especiais: Deve ser capaz de levantar/carregar 23 kg (50 lbs), quando necessário. Trabalho aos sábados e domingos, quando necessário. O empregador poderá oferecer mais horas de trabalho do que as estipuladas, dependendo do clima, das necessidades da empresa e de outras condições. Calor extremo, frio, chuva ou seca podem afetar o horário de trabalho exato. Número de horas por semana: 35. Horário de trabalho (início/término): 8h00 às 15h30.</v>
      </c>
    </row>
    <row r="645" ht="20.25" customHeight="1">
      <c r="A645" s="8" t="s">
        <v>3126</v>
      </c>
      <c r="B645" s="8" t="s">
        <v>3127</v>
      </c>
      <c r="C645" s="8" t="s">
        <v>54</v>
      </c>
      <c r="D645" s="8" t="s">
        <v>55</v>
      </c>
      <c r="E645" s="9" t="s">
        <v>19</v>
      </c>
      <c r="F645" s="9" t="s">
        <v>20</v>
      </c>
      <c r="G645" s="9" t="s">
        <v>236</v>
      </c>
      <c r="H645" s="8" t="s">
        <v>3128</v>
      </c>
      <c r="I645" s="8" t="s">
        <v>3129</v>
      </c>
      <c r="J645" s="9">
        <v>19.8</v>
      </c>
      <c r="K645" s="9">
        <v>12.0</v>
      </c>
      <c r="L645" s="8" t="s">
        <v>321</v>
      </c>
      <c r="M645" s="8" t="s">
        <v>3130</v>
      </c>
      <c r="N645" s="7" t="str">
        <f>IFERROR(__xludf.DUMMYFUNCTION("GOOGLETRANSLATE(L645, ""en"", ""pt"")"),"Trabalhadores de paisagismo")</f>
        <v>Trabalhadores de paisagismo</v>
      </c>
      <c r="O645" s="7" t="str">
        <f>IFERROR(__xludf.DUMMYFUNCTION("IF(M645="""","""",GOOGLETRANSLATE(M645,""en"",""pt""))"),"As funções podem incluir: cortar a grama, aparar, cortar as bordas, aparar meio-fio, preparar as bordas dos canteiros para flores anuais, plantar, manter e remover flores anuais. Plantar e remover flores de outono. Manter os canteiros, aplicar herbicidas "&amp;"pré-emergentes e fertilizantes. Aplicar cobertura morta e cultivar a cobertura morta. Podar arbustos e árvores. Limpeza de primavera/outono: restauração de gramados, aeração, semeadura direta, cobertura com adubo e escarificação. Instalar e manter sistema"&amp;"s de irrigação/drenagem: preparação para o inverno e inicialização na primavera - ajustar o consumo de água e evitar desperdício, além de outras atividades relacionadas a serviços de paisagismo, conforme SOC/OES 37-3011 (onetonline.org). Horário padrão/es"&amp;"perado: segunda a sexta, das 5h30 às 18h. Oferecemos mais de 40 horas semanais, sem incluir almoço e/ou intervalos. Possibilidade de trabalho nos fins de semana e feriados. Os horários de início e término, a carga horária oferecida e/ou a possibilidade de"&amp;" horas extras podem variar, pois dependem de fatores como necessidades do projeto/cronograma/serviço, condições climáticas e tempo de deslocamento entre os locais de trabalho (se aplicável). Horas extras são possíveis, mas não obrigatórias nem garantidas."&amp;" A critério exclusivo do empregador: aumentos salariais e/ou bônus podem ser concedidos com base em fatores individuais, como desempenho ou habilidades (não garantidos). Classificação da vaga: 37-3011.00 - Trabalhadores de Paisagismo e Manutenção de Áreas"&amp;" Verdes. A classificação e a descrição da vaga/setor incluem informações gerais sobre o cargo, conforme o ONET/OES e o Sistema de Classificação Industrial da América do Norte (NAICS). Consulte as Funções e a Ordem de Serviço para obter mais informações. R"&amp;"equisitos da vaga: Experiência exigida: Não. Requisitos especiais: É necessário comprovar autorização legal para trabalhar nos Estados Unidos. Ambiente de trabalho livre de drogas, álcool e tabaco. Executar atividades físicas como: levantar, equilibrar-se"&amp;", caminhar, abaixar-se, manusear, posicionar, mover e manipular materiais; usar força estática para exercer força muscular máxima para levantar, empurrar, puxar e carregar objetos de até 40 kg (possivelmente com a ajuda de outra pessoa). Todos os candidat"&amp;"os devem ser capazes, dispostos e qualificados para executar o trabalho descrito e devem estar disponíveis durante todo o período especificado e trabalhar em todas as áreas do emprego pretendido. A critério do empregador/custo: o trabalhador poderá ser su"&amp;"bmetido a testes aleatórios de drogas/álcool durante o emprego: teste positivo/recusa em cumprir o teste = demissão. O trabalho é realizado ao ar livre, exposto às intempéries; o trabalhador deve ser capaz de realizar trabalho fisicamente extenuante por l"&amp;"ongos períodos, ocasionalmente em calor ou frio extremos. Condições climáticas variáveis ​​se aplicam; a carga horária pode sofrer alterações (+/-), com possibilidade de períodos de inatividade e/ou horas extras. Número de horas por semana: 40. Horário de"&amp;" trabalho (início/término): 5h30 - 18h.")</f>
        <v>As funções podem incluir: cortar a grama, aparar, cortar as bordas, aparar meio-fio, preparar as bordas dos canteiros para flores anuais, plantar, manter e remover flores anuais. Plantar e remover flores de outono. Manter os canteiros, aplicar herbicidas pré-emergentes e fertilizantes. Aplicar cobertura morta e cultivar a cobertura morta. Podar arbustos e árvores. Limpeza de primavera/outono: restauração de gramados, aeração, semeadura direta, cobertura com adubo e escarificação. Instalar e manter sistemas de irrigação/drenagem: preparação para o inverno e inicialização na primavera - ajustar o consumo de água e evitar desperdício, além de outras atividades relacionadas a serviços de paisagismo, conforme SOC/OES 37-3011 (onetonline.org). Horário padrão/esperado: segunda a sexta, das 5h30 às 18h. Oferecemos mais de 40 horas semanais, sem incluir almoço e/ou intervalos. Possibilidade de trabalho nos fins de semana e feriados. Os horários de início e término, a carga horária oferecida e/ou a possibilidade de horas extras podem variar, pois dependem de fatores como necessidades do projeto/cronograma/serviço, condições climáticas e tempo de deslocamento entre os locais de trabalho (se aplicável). Horas extras são possíveis, mas não obrigatórias nem garantidas. A critério exclusivo do empregador: aumentos salariais e/ou bônus podem ser concedidos com base em fatores individuais, como desempenho ou habilidades (não garantidos). Classificação da vaga: 37-3011.00 - Trabalhadores de Paisagismo e Manutenção de Áreas Verdes. A classificação e a descrição da vaga/setor incluem informações gerais sobre o cargo, conforme o ONET/OES e o Sistema de Classificação Industrial da América do Norte (NAICS). Consulte as Funções e a Ordem de Serviço para obter mais informações. Requisitos da vaga: Experiência exigida: Não. Requisitos especiais: É necessário comprovar autorização legal para trabalhar nos Estados Unidos. Ambiente de trabalho livre de drogas, álcool e tabaco. Executar atividades físicas como: levantar, equilibrar-se, caminhar, abaixar-se, manusear, posicionar, mover e manipular materiais; usar força estática para exercer força muscular máxima para levantar, empurrar, puxar e carregar objetos de até 40 kg (possivelmente com a ajuda de outra pessoa). Todos os candidatos devem ser capazes, dispostos e qualificados para executar o trabalho descrito e devem estar disponíveis durante todo o período especificado e trabalhar em todas as áreas do emprego pretendido. A critério do empregador/custo: o trabalhador poderá ser submetido a testes aleatórios de drogas/álcool durante o emprego: teste positivo/recusa em cumprir o teste = demissão. O trabalho é realizado ao ar livre, exposto às intempéries; o trabalhador deve ser capaz de realizar trabalho fisicamente extenuante por longos períodos, ocasionalmente em calor ou frio extremos. Condições climáticas variáveis ​​se aplicam; a carga horária pode sofrer alterações (+/-), com possibilidade de períodos de inatividade e/ou horas extras. Número de horas por semana: 40. Horário de trabalho (início/término): 5h30 - 18h.</v>
      </c>
    </row>
    <row r="646" ht="20.25" customHeight="1">
      <c r="A646" s="3" t="s">
        <v>3131</v>
      </c>
      <c r="B646" s="3" t="s">
        <v>2721</v>
      </c>
      <c r="C646" s="3" t="s">
        <v>1375</v>
      </c>
      <c r="D646" s="3" t="s">
        <v>71</v>
      </c>
      <c r="E646" s="4" t="s">
        <v>19</v>
      </c>
      <c r="F646" s="4" t="s">
        <v>20</v>
      </c>
      <c r="G646" s="4" t="s">
        <v>377</v>
      </c>
      <c r="H646" s="3" t="s">
        <v>2722</v>
      </c>
      <c r="I646" s="3" t="s">
        <v>2723</v>
      </c>
      <c r="J646" s="4">
        <v>22.8</v>
      </c>
      <c r="K646" s="4">
        <v>25.0</v>
      </c>
      <c r="L646" s="3" t="s">
        <v>2724</v>
      </c>
      <c r="M646" s="3" t="s">
        <v>3132</v>
      </c>
      <c r="N646" s="7" t="str">
        <f>IFERROR(__xludf.DUMMYFUNCTION("GOOGLETRANSLATE(L646, ""en"", ""pt"")"),"Telhador")</f>
        <v>Telhador</v>
      </c>
      <c r="O646" s="7" t="str">
        <f>IFERROR(__xludf.DUMMYFUNCTION("IF(M646="""","""",GOOGLETRANSLATE(M646,""en"",""pt""))"),"As funções podem incluir: Preparar telhados para a aplicação de novos materiais de cobertura, varrendo, limpando e removendo materiais antigos ou danificados. Cobrir os telhados com camadas de feltro ou manta impermeabilizante antes da instalação de telha"&amp;"s compostas, metálicas ou de membrana. Auxiliar os telhadistas na instalação de novos telhados, transportando materiais e suprimentos necessários. Utilizar ferramentas manuais como pistola de calafetagem, alavanca, martelo, pregador pneumático, estilete, "&amp;"pá de telhado ou tesoura de corte de metal. Limpar e remover quaisquer detritos de telhado para os recipientes de lixo no local, a fim de garantir um local de trabalho limpo e seguro, além de outras atividades relacionadas à instalação de telhados, confor"&amp;"me SOC/OES 47-2181 (onetonline.org). Horário padrão/esperado: Segunda a sexta, das 8h às 17h. Oferecemos mais de 40 horas semanais, sem incluir almoço e/ou intervalos. Possibilidade de trabalho em fins de semana e feriados. Os horários de início e término"&amp;", a carga horária oferecida e/ou a possibilidade de horas extras podem variar, pois dependem de fatores como necessidades do projeto/cronograma/serviço, condições climáticas e tempo de deslocamento entre os locais de trabalho (se aplicável). Horas extras "&amp;"são possíveis, mas não obrigatórias nem garantidas. A critério exclusivo do empregador: aumentos salariais e/ou bônus podem ser concedidos com base em fatores individuais, como desempenho ou habilidades (não garantidos). Classificação da vaga: 47-2181.00 "&amp;"- Telhadores. A classificação e a descrição da vaga/setor incluem informações gerais sobre o cargo, conforme o ONET/OES e o Sistema de Classificação Industrial da América do Norte (NAICS). Consulte as Funções e a Ordem de Serviço para obter mais informaçõ"&amp;"es. Requisitos da vaga: Experiência exigida: Não. Requisitos especiais: É necessário ter 18 anos ou mais devido ao uso de equipamentos. É necessário apresentar comprovante de autorização legal para trabalhar nos Estados Unidos. Ambiente de trabalho livre "&amp;"de drogas, álcool e tabaco. Executar atividades físicas como: levantar, equilibrar-se, caminhar, abaixar-se, manusear, posicionar, mover e manipular materiais; usar força estática para exercer força muscular máxima para levantar, empurrar, puxar e carrega"&amp;"r objetos de até 32 kg (possivelmente por duas pessoas). Todos os candidatos devem ser capazes, dispostos e qualificados para executar o trabalho descrito e devem estar disponíveis durante todo o período especificado e trabalhar em todas as áreas do empre"&amp;"go pretendido. A critério/custo do empregador: o trabalhador poderá ser submetido a testes aleatórios de drogas/álcool durante o emprego: teste positivo/recusa em cumprir o teste = demissão. Possível verificação de antecedentes após a contratação, às cust"&amp;"as do empregador. O trabalho é realizado ao ar livre, exposto às intempéries; o trabalhador deve ser capaz de realizar trabalho fisicamente extenuante por longas horas, ocasionalmente em calor ou frio extremos. Condições climáticas variáveis ​​se aplicam;"&amp;" o horário pode flutuar (+/-), com possibilidade de tempo de inatividade e/ou horas extras. Número de horas por semana: 40. Horário de trabalho (início/término): 8h às 17h.")</f>
        <v>As funções podem incluir: Preparar telhados para a aplicação de novos materiais de cobertura, varrendo, limpando e removendo materiais antigos ou danificados. Cobrir os telhados com camadas de feltro ou manta impermeabilizante antes da instalação de telhas compostas, metálicas ou de membrana. Auxiliar os telhadistas na instalação de novos telhados, transportando materiais e suprimentos necessários. Utilizar ferramentas manuais como pistola de calafetagem, alavanca, martelo, pregador pneumático, estilete, pá de telhado ou tesoura de corte de metal. Limpar e remover quaisquer detritos de telhado para os recipientes de lixo no local, a fim de garantir um local de trabalho limpo e seguro, além de outras atividades relacionadas à instalação de telhados, conforme SOC/OES 47-2181 (onetonline.org). Horário padrão/esperado: Segunda a sexta, das 8h às 17h. Oferecemos mais de 40 horas semanais, sem incluir almoço e/ou intervalos. Possibilidade de trabalho em fins de semana e feriados. Os horários de início e término, a carga horária oferecida e/ou a possibilidade de horas extras podem variar, pois dependem de fatores como necessidades do projeto/cronograma/serviço, condições climáticas e tempo de deslocamento entre os locais de trabalho (se aplicável). Horas extras são possíveis, mas não obrigatórias nem garantidas. A critério exclusivo do empregador: aumentos salariais e/ou bônus podem ser concedidos com base em fatores individuais, como desempenho ou habilidades (não garantidos). Classificação da vaga: 47-2181.00 - Telhadores. A classificação e a descrição da vaga/setor incluem informações gerais sobre o cargo, conforme o ONET/OES e o Sistema de Classificação Industrial da América do Norte (NAICS). Consulte as Funções e a Ordem de Serviço para obter mais informações. Requisitos da vaga: Experiência exigida: Não. Requisitos especiais: É necessário ter 18 anos ou mais devido ao uso de equipamentos. É necessário apresentar comprovante de autorização legal para trabalhar nos Estados Unidos. Ambiente de trabalho livre de drogas, álcool e tabaco. Executar atividades físicas como: levantar, equilibrar-se, caminhar, abaixar-se, manusear, posicionar, mover e manipular materiais; usar força estática para exercer força muscular máxima para levantar, empurrar, puxar e carregar objetos de até 32 kg (possivelmente por duas pessoas). Todos os candidatos devem ser capazes, dispostos e qualificados para executar o trabalho descrito e devem estar disponíveis durante todo o período especificado e trabalhar em todas as áreas do emprego pretendido. A critério/custo do empregador: o trabalhador poderá ser submetido a testes aleatórios de drogas/álcool durante o emprego: teste positivo/recusa em cumprir o teste = demissão. Possível verificação de antecedentes após a contratação, às custas do empregador. O trabalho é realizado ao ar livre, exposto às intempéries; o trabalhador deve ser capaz de realizar trabalho fisicamente extenuante por longas horas, ocasionalmente em calor ou frio extremos. Condições climáticas variáveis ​​se aplicam; o horário pode flutuar (+/-), com possibilidade de tempo de inatividade e/ou horas extras. Número de horas por semana: 40. Horário de trabalho (início/término): 8h às 17h.</v>
      </c>
    </row>
    <row r="647" ht="20.25" customHeight="1">
      <c r="A647" s="8" t="s">
        <v>3133</v>
      </c>
      <c r="B647" s="8" t="s">
        <v>2892</v>
      </c>
      <c r="C647" s="8" t="s">
        <v>54</v>
      </c>
      <c r="D647" s="8" t="s">
        <v>51</v>
      </c>
      <c r="E647" s="9" t="s">
        <v>19</v>
      </c>
      <c r="F647" s="9" t="s">
        <v>20</v>
      </c>
      <c r="G647" s="9" t="s">
        <v>2932</v>
      </c>
      <c r="H647" s="8" t="s">
        <v>2893</v>
      </c>
      <c r="I647" s="8" t="s">
        <v>2894</v>
      </c>
      <c r="J647" s="9">
        <v>16.65</v>
      </c>
      <c r="K647" s="9">
        <v>25.0</v>
      </c>
      <c r="L647" s="8" t="s">
        <v>1061</v>
      </c>
      <c r="M647" s="8" t="s">
        <v>3134</v>
      </c>
      <c r="N647" s="7" t="str">
        <f>IFERROR(__xludf.DUMMYFUNCTION("GOOGLETRANSLATE(L647, ""en"", ""pt"")"),"Auxiliar de Creche")</f>
        <v>Auxiliar de Creche</v>
      </c>
      <c r="O647" s="7" t="str">
        <f>IFERROR(__xludf.DUMMYFUNCTION("IF(M647="""","""",GOOGLETRANSLATE(M647,""en"",""pt""))"),"As funções podem incluir: Classificar mudas, estacas, árvores e arbustos já colhidos. Mover mudas e árvores em contêineres para classificá-las, organizá-las e alinhá-las. Em seguida, embalar e etiquetar as mudas, além de carregá-las manualmente para trans"&amp;"porte. Limpar equipamentos e a área de trabalho. Possibilidade de dirigir ocasionalmente e outras atividades relacionadas ao trabalho em viveiro, conforme SOC/OES 45-2092 (onetonline.org). Horário padrão/esperado: Segunda a sexta, das 8h às 16h. Oferecemo"&amp;"s de 35 a 35 horas semanais (ou mais), sem incluir almoço e/ou intervalos. Possibilidade de trabalho nos fins de semana e feriados. Os horários de início e término, a carga horária e/ou horas extras podem variar, dependendo de fatores como projetos/cronog"&amp;"rama/necessidades do serviço, condições climáticas e tempo de deslocamento entre os locais de trabalho (se aplicável). Horas extras são possíveis, mas não obrigatórias nem garantidas. A critério exclusivo do empregador: aumentos salariais e/ou bônus podem"&amp;" ser concedidos com base em fatores individuais, como desempenho ou habilidades (não garantidos). Pagamento por peça produzida: o trabalhador nunca receberá menos do que o Salário Vigente ou o salário mínimo federal/estadual/municipal. Classificação da fu"&amp;"nção: 45-2092.00 - Trabalhadores rurais e operários, cultivo, viveiro e estufa. A classificação e descrição da função/setor inclui informações gerais sobre o cargo, conforme o ONET/OES e o Sistema de Classificação Industrial da América do Norte (NAICS). C"&amp;"onsulte as Funções e a Ordem de Serviço para obter mais informações. Requisitos da função: Experiência exigida: Não. Requisitos especiais: Deve apresentar comprovante de autorização legal para trabalhar nos Estados Unidos. Ambiente de trabalho livre de dr"&amp;"ogas, álcool e tabaco. Executar atividades físicas como: levantar, equilibrar-se, caminhar, abaixar-se, manusear, posicionar, mover e manipular materiais; usar força estática para exercer força muscular máxima para levantar, empurrar, puxar e carregar obj"&amp;"etos de até 27 kg (possivelmente com a ajuda de outra pessoa). Todos os candidatos devem ser capazes, estar dispostos e qualificados para executar o trabalho descrito e devem estar disponíveis durante todo o período especificado. A critério do empregador "&amp;"e devido aos custos, o trabalhador poderá ser submetido a testes aleatórios de drogas/álcool durante o emprego: teste positivo/recusa em cumprir o teste resultará em demissão. O trabalho é realizado ao ar livre, exposto às intempéries; o candidato deve se"&amp;"r capaz de realizar trabalho fisicamente extenuante por longos períodos, ocasionalmente em calor ou frio extremos. As condições climáticas são variáveis; a carga horária pode sofrer alterações (+/-), com possibilidade de períodos de inatividade e/ou horas"&amp;" extras. Número de horas por semana: 35. Horário de trabalho (início/término): 8h às 16h.")</f>
        <v>As funções podem incluir: Classificar mudas, estacas, árvores e arbustos já colhidos. Mover mudas e árvores em contêineres para classificá-las, organizá-las e alinhá-las. Em seguida, embalar e etiquetar as mudas, além de carregá-las manualmente para transporte. Limpar equipamentos e a área de trabalho. Possibilidade de dirigir ocasionalmente e outras atividades relacionadas ao trabalho em viveiro, conforme SOC/OES 45-2092 (onetonline.org). Horário padrão/esperado: Segunda a sexta, das 8h às 16h. Oferecemos de 35 a 35 horas semanais (ou mais), sem incluir almoço e/ou intervalos. Possibilidade de trabalho nos fins de semana e feriados. Os horários de início e término, a carga horária e/ou horas extras podem variar, dependendo de fatores como projetos/cronograma/necessidades do serviço, condições climáticas e tempo de deslocamento entre os locais de trabalho (se aplicável). Horas extras são possíveis, mas não obrigatórias nem garantidas. A critério exclusivo do empregador: aumentos salariais e/ou bônus podem ser concedidos com base em fatores individuais, como desempenho ou habilidades (não garantidos). Pagamento por peça produzida: o trabalhador nunca receberá menos do que o Salário Vigente ou o salário mínimo federal/estadual/municipal. Classificação da função: 45-2092.00 - Trabalhadores rurais e operários, cultivo, viveiro e estufa. A classificação e descrição da função/setor inclui informações gerais sobre o cargo, conforme o ONET/OES e o Sistema de Classificação Industrial da América do Norte (NAICS). Consulte as Funções e a Ordem de Serviço para obter mais informações. Requisitos da função: Experiência exigida: Não. Requisitos especiais: Deve apresentar comprovante de autorização legal para trabalhar nos Estados Unidos. Ambiente de trabalho livre de drogas, álcool e tabaco. Executar atividades físicas como: levantar, equilibrar-se, caminhar, abaixar-se, manusear, posicionar, mover e manipular materiais; usar força estática para exercer força muscular máxima para levantar, empurrar, puxar e carregar objetos de até 27 kg (possivelmente com a ajuda de outra pessoa). Todos os candidatos devem ser capazes, estar dispostos e qualificados para executar o trabalho descrito e devem estar disponíveis durante todo o período especificado. A critério do empregador e devido aos custos, o trabalhador poderá ser submetido a testes aleatórios de drogas/álcool durante o emprego: teste positivo/recusa em cumprir o teste resultará em demissão. O trabalho é realizado ao ar livre, exposto às intempéries; o candidato deve ser capaz de realizar trabalho fisicamente extenuante por longos períodos, ocasionalmente em calor ou frio extremos. As condições climáticas são variáveis; a carga horária pode sofrer alterações (+/-), com possibilidade de períodos de inatividade e/ou horas extras. Número de horas por semana: 35. Horário de trabalho (início/término): 8h às 16h.</v>
      </c>
    </row>
    <row r="648" ht="20.25" customHeight="1">
      <c r="A648" s="3" t="s">
        <v>3135</v>
      </c>
      <c r="B648" s="3" t="s">
        <v>2892</v>
      </c>
      <c r="C648" s="3" t="s">
        <v>54</v>
      </c>
      <c r="D648" s="3" t="s">
        <v>51</v>
      </c>
      <c r="E648" s="4" t="s">
        <v>44</v>
      </c>
      <c r="F648" s="4" t="s">
        <v>20</v>
      </c>
      <c r="G648" s="4" t="s">
        <v>524</v>
      </c>
      <c r="H648" s="3" t="s">
        <v>2893</v>
      </c>
      <c r="I648" s="3" t="s">
        <v>2894</v>
      </c>
      <c r="J648" s="4">
        <v>14.85</v>
      </c>
      <c r="K648" s="4">
        <v>24.0</v>
      </c>
      <c r="L648" s="3" t="s">
        <v>1061</v>
      </c>
      <c r="M648" s="3" t="s">
        <v>3134</v>
      </c>
      <c r="N648" s="7" t="str">
        <f>IFERROR(__xludf.DUMMYFUNCTION("GOOGLETRANSLATE(L648, ""en"", ""pt"")"),"Auxiliar de Creche")</f>
        <v>Auxiliar de Creche</v>
      </c>
      <c r="O648" s="7" t="str">
        <f>IFERROR(__xludf.DUMMYFUNCTION("IF(M648="""","""",GOOGLETRANSLATE(M648,""en"",""pt""))"),"As funções podem incluir: Classificar mudas, estacas, árvores e arbustos já colhidos. Mover mudas e árvores em contêineres para classificá-las, organizá-las e alinhá-las. Em seguida, embalar e etiquetar as mudas, além de carregá-las manualmente para trans"&amp;"porte. Limpar equipamentos e a área de trabalho. Possibilidade de dirigir ocasionalmente e outras atividades relacionadas ao trabalho em viveiro, conforme SOC/OES 45-2092 (onetonline.org). Horário padrão/esperado: Segunda a sexta, das 8h às 16h. Oferecemo"&amp;"s de 35 a 35 horas semanais (ou mais), sem incluir almoço e/ou intervalos. Possibilidade de trabalho nos fins de semana e feriados. Os horários de início e término, a carga horária e/ou horas extras podem variar, dependendo de fatores como projetos/cronog"&amp;"rama/necessidades do serviço, condições climáticas e tempo de deslocamento entre os locais de trabalho (se aplicável). Horas extras são possíveis, mas não obrigatórias nem garantidas. A critério exclusivo do empregador: aumentos salariais e/ou bônus podem"&amp;" ser concedidos com base em fatores individuais, como desempenho ou habilidades (não garantidos). Pagamento por peça produzida: o trabalhador nunca receberá menos do que o Salário Vigente ou o salário mínimo federal/estadual/municipal. Classificação da fu"&amp;"nção: 45-2092.00 - Trabalhadores rurais e operários, cultivo, viveiro e estufa. A classificação e descrição da função/setor inclui informações gerais sobre o cargo, conforme o ONET/OES e o Sistema de Classificação Industrial da América do Norte (NAICS). C"&amp;"onsulte as Funções e a Ordem de Serviço para obter mais informações. Requisitos da função: Experiência exigida: Não. Requisitos especiais: Deve apresentar comprovante de autorização legal para trabalhar nos Estados Unidos. Ambiente de trabalho livre de dr"&amp;"ogas, álcool e tabaco. Executar atividades físicas como: levantar, equilibrar-se, caminhar, abaixar-se, manusear, posicionar, mover e manipular materiais; usar força estática para exercer força muscular máxima para levantar, empurrar, puxar e carregar obj"&amp;"etos de até 27 kg (possivelmente com a ajuda de outra pessoa). Todos os candidatos devem ser capazes, estar dispostos e qualificados para executar o trabalho descrito e devem estar disponíveis durante todo o período especificado. A critério do empregador "&amp;"e devido aos custos, o trabalhador poderá ser submetido a testes aleatórios de drogas/álcool durante o emprego: teste positivo/recusa em cumprir o teste resultará em demissão. O trabalho é realizado ao ar livre, exposto às intempéries; o candidato deve se"&amp;"r capaz de realizar trabalho fisicamente extenuante por longos períodos, ocasionalmente em calor ou frio extremos. As condições climáticas são variáveis; a carga horária pode sofrer alterações (+/-), com possibilidade de períodos de inatividade e/ou horas"&amp;" extras. Número de horas por semana: 35. Horário de trabalho (início/término): 8h às 16h.")</f>
        <v>As funções podem incluir: Classificar mudas, estacas, árvores e arbustos já colhidos. Mover mudas e árvores em contêineres para classificá-las, organizá-las e alinhá-las. Em seguida, embalar e etiquetar as mudas, além de carregá-las manualmente para transporte. Limpar equipamentos e a área de trabalho. Possibilidade de dirigir ocasionalmente e outras atividades relacionadas ao trabalho em viveiro, conforme SOC/OES 45-2092 (onetonline.org). Horário padrão/esperado: Segunda a sexta, das 8h às 16h. Oferecemos de 35 a 35 horas semanais (ou mais), sem incluir almoço e/ou intervalos. Possibilidade de trabalho nos fins de semana e feriados. Os horários de início e término, a carga horária e/ou horas extras podem variar, dependendo de fatores como projetos/cronograma/necessidades do serviço, condições climáticas e tempo de deslocamento entre os locais de trabalho (se aplicável). Horas extras são possíveis, mas não obrigatórias nem garantidas. A critério exclusivo do empregador: aumentos salariais e/ou bônus podem ser concedidos com base em fatores individuais, como desempenho ou habilidades (não garantidos). Pagamento por peça produzida: o trabalhador nunca receberá menos do que o Salário Vigente ou o salário mínimo federal/estadual/municipal. Classificação da função: 45-2092.00 - Trabalhadores rurais e operários, cultivo, viveiro e estufa. A classificação e descrição da função/setor inclui informações gerais sobre o cargo, conforme o ONET/OES e o Sistema de Classificação Industrial da América do Norte (NAICS). Consulte as Funções e a Ordem de Serviço para obter mais informações. Requisitos da função: Experiência exigida: Não. Requisitos especiais: Deve apresentar comprovante de autorização legal para trabalhar nos Estados Unidos. Ambiente de trabalho livre de drogas, álcool e tabaco. Executar atividades físicas como: levantar, equilibrar-se, caminhar, abaixar-se, manusear, posicionar, mover e manipular materiais; usar força estática para exercer força muscular máxima para levantar, empurrar, puxar e carregar objetos de até 27 kg (possivelmente com a ajuda de outra pessoa). Todos os candidatos devem ser capazes, estar dispostos e qualificados para executar o trabalho descrito e devem estar disponíveis durante todo o período especificado. A critério do empregador e devido aos custos, o trabalhador poderá ser submetido a testes aleatórios de drogas/álcool durante o emprego: teste positivo/recusa em cumprir o teste resultará em demissão. O trabalho é realizado ao ar livre, exposto às intempéries; o candidato deve ser capaz de realizar trabalho fisicamente extenuante por longos períodos, ocasionalmente em calor ou frio extremos. As condições climáticas são variáveis; a carga horária pode sofrer alterações (+/-), com possibilidade de períodos de inatividade e/ou horas extras. Número de horas por semana: 35. Horário de trabalho (início/término): 8h às 16h.</v>
      </c>
    </row>
    <row r="649" ht="20.25" customHeight="1">
      <c r="A649" s="8" t="s">
        <v>3136</v>
      </c>
      <c r="B649" s="8" t="s">
        <v>3137</v>
      </c>
      <c r="C649" s="8" t="s">
        <v>78</v>
      </c>
      <c r="D649" s="8" t="s">
        <v>126</v>
      </c>
      <c r="E649" s="9" t="s">
        <v>19</v>
      </c>
      <c r="F649" s="9" t="s">
        <v>20</v>
      </c>
      <c r="G649" s="9" t="s">
        <v>3138</v>
      </c>
      <c r="H649" s="8" t="s">
        <v>3139</v>
      </c>
      <c r="I649" s="8" t="s">
        <v>3140</v>
      </c>
      <c r="J649" s="9">
        <v>19.81</v>
      </c>
      <c r="K649" s="9">
        <v>16.0</v>
      </c>
      <c r="L649" s="8" t="s">
        <v>3141</v>
      </c>
      <c r="M649" s="8" t="s">
        <v>3142</v>
      </c>
      <c r="N649" s="7" t="str">
        <f>IFERROR(__xludf.DUMMYFUNCTION("GOOGLETRANSLATE(L649, ""en"", ""pt"")"),"Empregadas domésticas e serviços de limpeza")</f>
        <v>Empregadas domésticas e serviços de limpeza</v>
      </c>
      <c r="O649" s="7" t="str">
        <f>IFERROR(__xludf.DUMMYFUNCTION("IF(M649="""","""",GOOGLETRANSLATE(M649,""en"",""pt""))"),"As funções podem incluir: Executar qualquer combinação de tarefas de limpeza leve para manter residências particulares ou estabelecimentos comerciais limpos e organizados. As tarefas podem incluir arrumar camas, repor roupas de cama, limpar quartos e corr"&amp;"edores, aspirar o pó e outras atividades relacionadas a empregadas domésticas e serviços de limpeza, conforme SOC/OES 37-2012 (onetonline.org). Horário padrão/esperado: Segunda a sexta, das 8h às 16h. Oferecemos mais de 40 horas semanais, sem incluir almo"&amp;"ço e/ou intervalos. Possibilidade de trabalho aos fins de semana e feriados. Os horários de início e término, a carga horária e/ou horas extras podem variar, pois dependem de fatores como projeto/cronograma/necessidades do serviço, condições climáticas e "&amp;"tempo de deslocamento entre os locais de trabalho (se aplicável). Horas extras são possíveis, mas não obrigatórias nem garantidas. A critério exclusivo do empregador: aumentos salariais e/ou bônus podem ser concedidos com base em fatores individuais, como"&amp;" desempenho ou habilidades (não garantidos). Classificação da vaga: 37-2012.00 - Empregadas Domésticas e Auxiliares de Limpeza. A classificação e descrição da vaga/setor inclui informações gerais sobre o cargo, conforme o ONET/OES e o Sistema de Classific"&amp;"ação Industrial da América do Norte (NAICS). Consulte as Funções e a Ordem de Serviço para obter mais informações. Requisitos da vaga: Experiência exigida: Sim. Meses de experiência exigidos: 3. Requisitos especiais: É necessário ter 18 anos ou mais, devi"&amp;"do às leis trabalhistas estaduais. É necessário apresentar comprovante de autorização legal para trabalhar nos Estados Unidos. Ambiente de trabalho livre de drogas, álcool e tabaco. Executar atividades físicas, como levantar, equilibrar-se, caminhar, abai"&amp;"xar-se, manusear, posicionar, mover e manipular materiais; usar força estática para exercer força muscular máxima para levantar, empurrar, puxar e carregar objetos de até 18 kg. Todos os candidatos devem ser capazes, dispostos e qualificados para executar"&amp;" o trabalho descrito e devem estar disponíveis durante todo o período especificado e trabalhar em todas as áreas da vaga. A carga horária pode variar de acordo com os picos e quedas do turismo ao longo da temporada (+/-), possíveis períodos de baixa tempo"&amp;"rada e/ou horas extras. Número de horas por semana: 40 Horário de trabalho (início/término): 8h00 - 16h00")</f>
        <v>As funções podem incluir: Executar qualquer combinação de tarefas de limpeza leve para manter residências particulares ou estabelecimentos comerciais limpos e organizados. As tarefas podem incluir arrumar camas, repor roupas de cama, limpar quartos e corredores, aspirar o pó e outras atividades relacionadas a empregadas domésticas e serviços de limpeza, conforme SOC/OES 37-2012 (onetonline.org). Horário padrão/esperado: Segunda a sexta, das 8h às 16h. Oferecemos mais de 40 horas semanais, sem incluir almoço e/ou intervalos. Possibilidade de trabalho aos fins de semana e feriados. Os horários de início e término, a carga horária e/ou horas extras podem variar, pois dependem de fatores como projeto/cronograma/necessidades do serviço, condições climáticas e tempo de deslocamento entre os locais de trabalho (se aplicável). Horas extras são possíveis, mas não obrigatórias nem garantidas. A critério exclusivo do empregador: aumentos salariais e/ou bônus podem ser concedidos com base em fatores individuais, como desempenho ou habilidades (não garantidos). Classificação da vaga: 37-2012.00 - Empregadas Domésticas e Auxiliares de Limpeza. A classificação e descrição da vaga/setor inclui informações gerais sobre o cargo, conforme o ONET/OES e o Sistema de Classificação Industrial da América do Norte (NAICS). Consulte as Funções e a Ordem de Serviço para obter mais informações. Requisitos da vaga: Experiência exigida: Sim. Meses de experiência exigidos: 3. Requisitos especiais: É necessário ter 18 anos ou mais, devido às leis trabalhistas estaduais. É necessário apresentar comprovante de autorização legal para trabalhar nos Estados Unidos. Ambiente de trabalho livre de drogas, álcool e tabaco. Executar atividades físicas, como levantar, equilibrar-se, caminhar, abaixar-se, manusear, posicionar, mover e manipular materiais; usar força estática para exercer força muscular máxima para levantar, empurrar, puxar e carregar objetos de até 18 kg. Todos os candidatos devem ser capazes, dispostos e qualificados para executar o trabalho descrito e devem estar disponíveis durante todo o período especificado e trabalhar em todas as áreas da vaga. A carga horária pode variar de acordo com os picos e quedas do turismo ao longo da temporada (+/-), possíveis períodos de baixa temporada e/ou horas extras. Número de horas por semana: 40 Horário de trabalho (início/término): 8h00 - 16h00</v>
      </c>
    </row>
    <row r="650" ht="20.25" customHeight="1">
      <c r="A650" s="3" t="s">
        <v>3143</v>
      </c>
      <c r="B650" s="3" t="s">
        <v>3144</v>
      </c>
      <c r="C650" s="3" t="s">
        <v>2263</v>
      </c>
      <c r="D650" s="3" t="s">
        <v>64</v>
      </c>
      <c r="E650" s="4" t="s">
        <v>19</v>
      </c>
      <c r="F650" s="4" t="s">
        <v>20</v>
      </c>
      <c r="G650" s="4" t="s">
        <v>871</v>
      </c>
      <c r="H650" s="3" t="s">
        <v>3145</v>
      </c>
      <c r="I650" s="3" t="s">
        <v>3146</v>
      </c>
      <c r="J650" s="4">
        <v>17.18</v>
      </c>
      <c r="K650" s="4">
        <v>30.0</v>
      </c>
      <c r="L650" s="3" t="s">
        <v>3147</v>
      </c>
      <c r="M650" s="3" t="s">
        <v>3148</v>
      </c>
      <c r="N650" s="7" t="str">
        <f>IFERROR(__xludf.DUMMYFUNCTION("GOOGLETRANSLATE(L650, ""en"", ""pt"")"),"Marinheiros de convés de barco de ostras")</f>
        <v>Marinheiros de convés de barco de ostras</v>
      </c>
      <c r="O650" s="7" t="str">
        <f>IFERROR(__xludf.DUMMYFUNCTION("IF(M650="""","""",GOOGLETRANSLATE(M650,""en"",""pt""))"),"As responsabilidades incluem a fixação de dispositivos de aparato a cabos, lanças e guinchos; o carregamento e descarregamento de equipamentos e suprimentos; e a pesca/dragagem de ostras, através da instalação de redes e linhas, recolhimento da captura, t"&amp;"riagem, limpeza, descarte, transplante, armazenamento e descarregamento de ostras. Os trabalhadores devem separar e devolver à baía as ostras indesejáveis, pequenas ou ilegais. As ostras que permanecem no convés são lavadas com mangueira para remoção da s"&amp;"ujeira, pesadas, ensacadas, etiquetadas e levadas ao porto, prontas para serem recolhidas por caminhões frigoríficos e encaminhadas à fábrica de processamento. Outras tarefas relacionadas a ostras incluem a instalação de tubos de PVC e/ou marcadores de os"&amp;"tras em áreas de cultivo privadas e o transplante de ostras, conchas e rochas. Os trabalhadores são responsáveis ​​por manter todas as áreas de trabalho limpas, incluindo o convés, os equipamentos, as caixas térmicas/refrigeradores e a cabine. As tarefas "&amp;"incluem a fixação e remoção de amarras para embarcações atracando e desatracando ou transportando outras embarcações. O trabalho no estaleiro inclui a limpeza da embarcação e dos equipamentos. A bordo da embarcação de pesca, as funções podem incluir vigia"&amp;", leme (funções de timoneiro) e vigilância na casa de máquinas. Os trabalhadores carregarão e descarregarão sacos de ostras da embarcação para o refrigerador no cais e/ou caminhões de carga. O trabalhador deve cumprir em todos os momentos os procedimentos"&amp;" de segurança estabelecidos pela Guarda Costeira dos Estados Unidos, bem como as leis aplicáveis ​​do Departamento de Parques e Vida Selvagem do Texas. O trabalho será realizado em vários locais no Texas, incluindo os endereços 732 Broadway St, Port Lavac"&amp;"a, TX 77979 e 825 2nd St, Seadrift, TX 77983. O trabalho também será realizado em águas públicas e privadas na costa do Texas, nos condados de Matagorda e Calhoun. Classificação da função: 45-3031.00 - Trabalhadores de Pesca e Caça. A classificação e desc"&amp;"rição da função/setor inclui informações gerais sobre o cargo, de acordo com o ONET/OES e o Sistema de Classificação Industrial da América do Norte. Consulte as Funções e a Ordem de Serviço para obter mais informações. Requisitos da vaga Experiência neces"&amp;"sária: Não Requisitos especiais: Deve ser capaz de levantar e carregar até 45 kg. Alergias a frutos do mar podem ser fatais. O horário de trabalho varia devido às condições climáticas, problemas mecânicos e outros imprevistos. Trabalho aos fins de semana "&amp;"e horas extras são possíveis. Disposição para trabalhar ao ar livre em barcos de pesca de ostras, exposto às intempéries; deve ser capaz de realizar trabalho fisicamente extenuante por longos períodos, ocasionalmente em calor extremo. Todos os candidatos "&amp;"devem ser capazes, dispostos e qualificados para realizar o trabalho descrito e devem estar disponíveis durante todo o período especificado. Número de horas por semana: 40 Horário de trabalho (início/término): 6h às 14h")</f>
        <v>As responsabilidades incluem a fixação de dispositivos de aparato a cabos, lanças e guinchos; o carregamento e descarregamento de equipamentos e suprimentos; e a pesca/dragagem de ostras, através da instalação de redes e linhas, recolhimento da captura, triagem, limpeza, descarte, transplante, armazenamento e descarregamento de ostras. Os trabalhadores devem separar e devolver à baía as ostras indesejáveis, pequenas ou ilegais. As ostras que permanecem no convés são lavadas com mangueira para remoção da sujeira, pesadas, ensacadas, etiquetadas e levadas ao porto, prontas para serem recolhidas por caminhões frigoríficos e encaminhadas à fábrica de processamento. Outras tarefas relacionadas a ostras incluem a instalação de tubos de PVC e/ou marcadores de ostras em áreas de cultivo privadas e o transplante de ostras, conchas e rochas. Os trabalhadores são responsáveis ​​por manter todas as áreas de trabalho limpas, incluindo o convés, os equipamentos, as caixas térmicas/refrigeradores e a cabine. As tarefas incluem a fixação e remoção de amarras para embarcações atracando e desatracando ou transportando outras embarcações. O trabalho no estaleiro inclui a limpeza da embarcação e dos equipamentos. A bordo da embarcação de pesca, as funções podem incluir vigia, leme (funções de timoneiro) e vigilância na casa de máquinas. Os trabalhadores carregarão e descarregarão sacos de ostras da embarcação para o refrigerador no cais e/ou caminhões de carga. O trabalhador deve cumprir em todos os momentos os procedimentos de segurança estabelecidos pela Guarda Costeira dos Estados Unidos, bem como as leis aplicáveis ​​do Departamento de Parques e Vida Selvagem do Texas. O trabalho será realizado em vários locais no Texas, incluindo os endereços 732 Broadway St, Port Lavaca, TX 77979 e 825 2nd St, Seadrift, TX 77983. O trabalho também será realizado em águas públicas e privadas na costa do Texas, nos condados de Matagorda e Calhoun. Classificação da função: 45-3031.00 - Trabalhadores de Pesca e Caça. A classificação e descrição da função/setor inclui informações gerais sobre o cargo, de acordo com o ONET/OES e o Sistema de Classificação Industrial da América do Norte. Consulte as Funções e a Ordem de Serviço para obter mais informações. Requisitos da vaga Experiência necessária: Não Requisitos especiais: Deve ser capaz de levantar e carregar até 45 kg. Alergias a frutos do mar podem ser fatais. O horário de trabalho varia devido às condições climáticas, problemas mecânicos e outros imprevistos. Trabalho aos fins de semana e horas extras são possíveis. Disposição para trabalhar ao ar livre em barcos de pesca de ostras, exposto às intempéries; deve ser capaz de realizar trabalho fisicamente extenuante por longos períodos, ocasionalmente em calor extremo. Todos os candidatos devem ser capazes, dispostos e qualificados para realizar o trabalho descrito e devem estar disponíveis durante todo o período especificado. Número de horas por semana: 40 Horário de trabalho (início/término): 6h às 14h</v>
      </c>
    </row>
    <row r="651" ht="20.25" customHeight="1">
      <c r="A651" s="8" t="s">
        <v>3149</v>
      </c>
      <c r="B651" s="8" t="s">
        <v>3150</v>
      </c>
      <c r="C651" s="8" t="s">
        <v>3151</v>
      </c>
      <c r="D651" s="8" t="s">
        <v>71</v>
      </c>
      <c r="E651" s="9" t="s">
        <v>19</v>
      </c>
      <c r="F651" s="9" t="s">
        <v>20</v>
      </c>
      <c r="G651" s="9" t="s">
        <v>467</v>
      </c>
      <c r="H651" s="8" t="s">
        <v>3152</v>
      </c>
      <c r="I651" s="8"/>
      <c r="J651" s="9">
        <v>17.52</v>
      </c>
      <c r="K651" s="9">
        <v>7.0</v>
      </c>
      <c r="L651" s="8" t="s">
        <v>3153</v>
      </c>
      <c r="M651" s="8" t="s">
        <v>3154</v>
      </c>
      <c r="N651" s="7" t="str">
        <f>IFERROR(__xludf.DUMMYFUNCTION("GOOGLETRANSLATE(L651, ""en"", ""pt"")"),"Jardineiros")</f>
        <v>Jardineiros</v>
      </c>
      <c r="O651" s="7" t="str">
        <f>IFERROR(__xludf.DUMMYFUNCTION("IF(M651="""","""",GOOGLETRANSLATE(M651,""en"",""pt""))"),"Paisagismo e manutenção de terrenos utilizando ferramentas manuais ou elétricas. Os trabalhadores geralmente executam uma variedade de tarefas, que podem incluir qualquer combinação das seguintes: colocação de grama, corte de grama, capina, acabamento de "&amp;"bordas, cobertura morta, limpeza de outono, poda, plantio, rega, fertilização, semeadura, escavação, rastelagem, instalação de blocos de concreto pré-moldados sem argamassa e auxílio na instalação de sprinklers. Nível inicial, requer supervisão. Classific"&amp;"ação da vaga: 37-3011.00 - Trabalhadores de Paisagismo e Manutenção de Terrenos. A classificação e descrição da vaga/setor incluem informações gerais sobre o cargo, de acordo com o ONET/OES e o Sistema de Classificação Industrial da América do Norte (NAIC"&amp;"S). Consulte as Funções e a Ordem de Serviço para obter mais informações. Requisitos da vaga: Experiência exigida: Não. Requisitos especiais: Deve ser capaz de levantar/carregar 23 kg, quando necessário. Trabalho aos sábados, quando necessário. Testes ale"&amp;"atórios de drogas após a contratação são obrigatórios para trabalhadores estrangeiros e nacionais. Verificação de antecedentes criminais após a contratação é obrigatória para trabalhadores estrangeiros e nacionais. O empregador poderá oferecer uma jornada"&amp;" de trabalho superior à estipulada, dependendo das condições climáticas, das necessidades da empresa e de outros fatores. Calor extremo, frio intenso, chuva ou seca podem afetar o horário de trabalho exato. Número de horas por semana: 40. Horário de traba"&amp;"lho (início/término): 7h15 às 15h45.")</f>
        <v>Paisagismo e manutenção de terrenos utilizando ferramentas manuais ou elétricas. Os trabalhadores geralmente executam uma variedade de tarefas, que podem incluir qualquer combinação das seguintes: colocação de grama, corte de grama, capina, acabamento de bordas, cobertura morta, limpeza de outono, poda, plantio, rega, fertilização, semeadura, escavação, rastelagem, instalação de blocos de concreto pré-moldados sem argamassa e auxílio na instalação de sprinklers. Nível inicial, requer supervisão. Classificação da vaga: 37-3011.00 - Trabalhadores de Paisagismo e Manutenção de Terrenos. A classificação e descrição da vaga/setor incluem informações gerais sobre o cargo, de acordo com o ONET/OES e o Sistema de Classificação Industrial da América do Norte (NAICS). Consulte as Funções e a Ordem de Serviço para obter mais informações. Requisitos da vaga: Experiência exigida: Não. Requisitos especiais: Deve ser capaz de levantar/carregar 23 kg, quando necessário. Trabalho aos sábados, quando necessário. Testes aleatórios de drogas após a contratação são obrigatórios para trabalhadores estrangeiros e nacionais. Verificação de antecedentes criminais após a contratação é obrigatória para trabalhadores estrangeiros e nacionais. O empregador poderá oferecer uma jornada de trabalho superior à estipulada, dependendo das condições climáticas, das necessidades da empresa e de outros fatores. Calor extremo, frio intenso, chuva ou seca podem afetar o horário de trabalho exato. Número de horas por semana: 40. Horário de trabalho (início/término): 7h15 às 15h45.</v>
      </c>
    </row>
    <row r="652" ht="20.25" customHeight="1">
      <c r="A652" s="3" t="s">
        <v>3155</v>
      </c>
      <c r="B652" s="3" t="s">
        <v>3156</v>
      </c>
      <c r="C652" s="3" t="s">
        <v>1411</v>
      </c>
      <c r="D652" s="3" t="s">
        <v>126</v>
      </c>
      <c r="E652" s="4" t="s">
        <v>19</v>
      </c>
      <c r="F652" s="4" t="s">
        <v>20</v>
      </c>
      <c r="G652" s="4" t="s">
        <v>110</v>
      </c>
      <c r="H652" s="3" t="s">
        <v>2774</v>
      </c>
      <c r="I652" s="3" t="s">
        <v>2775</v>
      </c>
      <c r="J652" s="4">
        <v>27.33</v>
      </c>
      <c r="K652" s="4">
        <v>45.0</v>
      </c>
      <c r="L652" s="3" t="s">
        <v>1415</v>
      </c>
      <c r="M652" s="3" t="s">
        <v>3157</v>
      </c>
      <c r="N652" s="7" t="str">
        <f>IFERROR(__xludf.DUMMYFUNCTION("GOOGLETRANSLATE(L652, ""en"", ""pt"")"),"Motorista de caminhão")</f>
        <v>Motorista de caminhão</v>
      </c>
      <c r="O652" s="7" t="str">
        <f>IFERROR(__xludf.DUMMYFUNCTION("IF(M652="""","""",GOOGLETRANSLATE(M652,""en"",""pt""))"),"Dirigir caminhões com reboque para transporte de produtos agrícolas (beterraba sacarina). Subir e descer regularmente de caminhões e reboques, a uma altura de até 1,5 metro. É necessário saber ler, escrever e falar inglês o suficiente para desempenhar as "&amp;"funções do cargo, incluindo a leitura de placas de trânsito, a comunicação com o público e as autoridades policiais, e o preenchimento de relatórios exigidos de acordo com as normas do DOT e da FMCSA. Classificação do Cargo: 53-3032.00 - Motoristas de Cam"&amp;"inhão Pesado e com Reboque. A classificação e a descrição do cargo/setor incluem informações gerais sobre a posição, conforme o ONET/OES e o Sistema de Classificação Industrial da América do Norte (NAICS). Consulte as Funções e a Ordem de Serviço para obt"&amp;"er mais informações. Requisitos do Cargo: Experiência Necessária: Sim. Meses de Experiência Necessários: 12. Requisitos Especiais: Carteira Nacional de Habilitação (CNH) categoria C ou equivalente. Capacidade de permanecer sentado e alerta durante a condu"&amp;"ção por um período total de até 11 horas. Aprovação em verificação de antecedentes e teste toxicológico. Proficiência em inglês é necessária para o desempenho das funções do cargo. Número de horas por semana: 36 Horário de trabalho (início/término): 7h00 "&amp;"- 19h00")</f>
        <v>Dirigir caminhões com reboque para transporte de produtos agrícolas (beterraba sacarina). Subir e descer regularmente de caminhões e reboques, a uma altura de até 1,5 metro. É necessário saber ler, escrever e falar inglês o suficiente para desempenhar as funções do cargo, incluindo a leitura de placas de trânsito, a comunicação com o público e as autoridades policiais, e o preenchimento de relatórios exigidos de acordo com as normas do DOT e da FMCSA. Classificação do Cargo: 53-3032.00 - Motoristas de Caminhão Pesado e com Reboque. A classificação e a descrição do cargo/setor incluem informações gerais sobre a posição, conforme o ONET/OES e o Sistema de Classificação Industrial da América do Norte (NAICS). Consulte as Funções e a Ordem de Serviço para obter mais informações. Requisitos do Cargo: Experiência Necessária: Sim. Meses de Experiência Necessários: 12. Requisitos Especiais: Carteira Nacional de Habilitação (CNH) categoria C ou equivalente. Capacidade de permanecer sentado e alerta durante a condução por um período total de até 11 horas. Aprovação em verificação de antecedentes e teste toxicológico. Proficiência em inglês é necessária para o desempenho das funções do cargo. Número de horas por semana: 36 Horário de trabalho (início/término): 7h00 - 19h00</v>
      </c>
    </row>
    <row r="653" ht="20.25" customHeight="1">
      <c r="A653" s="8" t="s">
        <v>3158</v>
      </c>
      <c r="B653" s="8" t="s">
        <v>3156</v>
      </c>
      <c r="C653" s="8" t="s">
        <v>1411</v>
      </c>
      <c r="D653" s="8" t="s">
        <v>278</v>
      </c>
      <c r="E653" s="9" t="s">
        <v>19</v>
      </c>
      <c r="F653" s="9" t="s">
        <v>20</v>
      </c>
      <c r="G653" s="9" t="s">
        <v>110</v>
      </c>
      <c r="H653" s="8" t="s">
        <v>2774</v>
      </c>
      <c r="I653" s="8" t="s">
        <v>2775</v>
      </c>
      <c r="J653" s="9">
        <v>24.55</v>
      </c>
      <c r="K653" s="9">
        <v>18.0</v>
      </c>
      <c r="L653" s="8" t="s">
        <v>1415</v>
      </c>
      <c r="M653" s="8" t="s">
        <v>3157</v>
      </c>
      <c r="N653" s="7" t="str">
        <f>IFERROR(__xludf.DUMMYFUNCTION("GOOGLETRANSLATE(L653, ""en"", ""pt"")"),"Motorista de caminhão")</f>
        <v>Motorista de caminhão</v>
      </c>
      <c r="O653" s="7" t="str">
        <f>IFERROR(__xludf.DUMMYFUNCTION("IF(M653="""","""",GOOGLETRANSLATE(M653,""en"",""pt""))"),"Dirigir caminhões com reboque para transporte de produtos agrícolas (beterraba sacarina). Subir e descer regularmente de caminhões e reboques, a uma altura de até 1,5 metro. É necessário saber ler, escrever e falar inglês o suficiente para desempenhar as "&amp;"funções do cargo, incluindo a leitura de placas de trânsito, a comunicação com o público e as autoridades policiais, e o preenchimento de relatórios exigidos de acordo com as normas do DOT e da FMCSA. Classificação do Cargo: 53-3032.00 - Motoristas de Cam"&amp;"inhão Pesado e com Reboque. A classificação e a descrição do cargo/setor incluem informações gerais sobre a posição, conforme o ONET/OES e o Sistema de Classificação Industrial da América do Norte (NAICS). Consulte as Funções e a Ordem de Serviço para obt"&amp;"er mais informações. Requisitos do Cargo: Experiência Necessária: Sim. Meses de Experiência Necessários: 12. Requisitos Especiais: Carteira Nacional de Habilitação (CNH) categoria C ou equivalente. Capacidade de permanecer sentado e alerta durante a condu"&amp;"ção por um período total de até 11 horas. Aprovação em verificação de antecedentes e teste toxicológico. Proficiência em inglês é necessária para o desempenho das funções do cargo. Número de horas por semana: 36 Horário de trabalho (início/término): 7h00 "&amp;"- 19h00")</f>
        <v>Dirigir caminhões com reboque para transporte de produtos agrícolas (beterraba sacarina). Subir e descer regularmente de caminhões e reboques, a uma altura de até 1,5 metro. É necessário saber ler, escrever e falar inglês o suficiente para desempenhar as funções do cargo, incluindo a leitura de placas de trânsito, a comunicação com o público e as autoridades policiais, e o preenchimento de relatórios exigidos de acordo com as normas do DOT e da FMCSA. Classificação do Cargo: 53-3032.00 - Motoristas de Caminhão Pesado e com Reboque. A classificação e a descrição do cargo/setor incluem informações gerais sobre a posição, conforme o ONET/OES e o Sistema de Classificação Industrial da América do Norte (NAICS). Consulte as Funções e a Ordem de Serviço para obter mais informações. Requisitos do Cargo: Experiência Necessária: Sim. Meses de Experiência Necessários: 12. Requisitos Especiais: Carteira Nacional de Habilitação (CNH) categoria C ou equivalente. Capacidade de permanecer sentado e alerta durante a condução por um período total de até 11 horas. Aprovação em verificação de antecedentes e teste toxicológico. Proficiência em inglês é necessária para o desempenho das funções do cargo. Número de horas por semana: 36 Horário de trabalho (início/término): 7h00 - 19h00</v>
      </c>
    </row>
    <row r="654" ht="20.25" customHeight="1">
      <c r="A654" s="3" t="s">
        <v>3159</v>
      </c>
      <c r="B654" s="3" t="s">
        <v>2590</v>
      </c>
      <c r="C654" s="3" t="s">
        <v>391</v>
      </c>
      <c r="D654" s="3" t="s">
        <v>71</v>
      </c>
      <c r="E654" s="4" t="s">
        <v>19</v>
      </c>
      <c r="F654" s="4" t="s">
        <v>20</v>
      </c>
      <c r="G654" s="4" t="s">
        <v>524</v>
      </c>
      <c r="H654" s="3" t="s">
        <v>2591</v>
      </c>
      <c r="I654" s="3" t="s">
        <v>2592</v>
      </c>
      <c r="J654" s="4">
        <v>18.71</v>
      </c>
      <c r="K654" s="4">
        <v>12.0</v>
      </c>
      <c r="L654" s="3" t="s">
        <v>1206</v>
      </c>
      <c r="M654" s="3" t="s">
        <v>3160</v>
      </c>
      <c r="N654" s="7" t="str">
        <f>IFERROR(__xludf.DUMMYFUNCTION("GOOGLETRANSLATE(L654, ""en"", ""pt"")"),"Servidor")</f>
        <v>Servidor</v>
      </c>
      <c r="O654" s="7" t="str">
        <f>IFERROR(__xludf.DUMMYFUNCTION("IF(M654="""","""",GOOGLETRANSLATE(M654,""en"",""pt""))"),"Recepcionar os clientes, anotar os pedidos de comida e bebida, registrá-los no sistema de ponto de venda; informar a equipe da cozinha sobre os itens pedidos, servir/entregar os itens solicitados, apresentar a conta ao cliente; limpar as mesas, auxiliar n"&amp;"o serviço de entrega de comida, preparar os acompanhamentos. Auxiliar na abertura e fechamento do restaurante do clube, sala de jantar, salão de banquetes e outras áreas de alimentos e bebidas. Todos os garçons receberão treinamento cruzado e, ocasionalme"&amp;"nte, poderão atuar em diferentes áreas do serviço de alimentos e bebidas. Devem seguir todas as normas e procedimentos de higiene. ***Para esclarecimento das funções de abertura e fechamento, o funcionário é responsável por preparar as máquinas de café, a"&amp;"dicionando água, abastecer as áreas de serviço com cafés/chás, copos, talheres e condimentos, canetas, grampos, papel para impressora, blocos de pedidos e guardanapos, canudos, tampas, jarras e itens de alimentos e bebidas, como manteiga, leite, sopa, bis"&amp;"coitos, azeite e vinagre, calda de chocolate quente, limonada e chá gelado; encher os recipientes de gelo, fatiar limões, limas e laranjas com uma faca; Utilizar panos de limpeza e produtos químicos aprovados para limpar os porta-contas, almofadas das cad"&amp;"eiras e refrigeradores; arrumar as mesas com toalhas de mesa, decorações e arranjos florais. Por fim, limpar as máquinas de café, esvaziar e limpar os recipientes de gelo, chás, condimentos e talheres, conforme os padrões, garantir que os alimentos (leite"&amp;", manteiga) sejam armazenados corretamente, repor os itens nas áreas de serviço, devolver os itens sujos à máquina de lavar louça, remover toalhas de mesa e decorações; limpar e polir balcões, prateleiras, paredes, móveis ou equipamentos utilizados nas ár"&amp;"eas de serviço de alimentação e nos pontos de venda do restaurante. Para esclarecimento, as outras áreas de Alimentos e Bebidas são o bar Carousel, o restaurante masculino e o vestiário feminino. Os funcionários são treinados para serem garçons e auxiliar"&amp;"es de garçom. As funções do auxiliar de garçom incluem arrumar as mesas com toalhas limpas, condimentos ou outros suprimentos e limpar mesas e cadeiras com panos úmidos ou trocar as toalhas sujas antes, durante e após o serviço de refeições; recepcionar o"&amp;"s membros; Servir pão com manteiga, bebidas quentes e frias, auxiliar no transporte de bandejas de comida para as mesas, transportar suprimentos e abastecer a área de atendimento conforme necessário, recolher o lixo das áreas de alimentos e bebidas atendi"&amp;"das pelos garçons, reportar quaisquer reclamações ao supervisor e auxiliar nas tarefas de abertura e fechamento. O empregador oferece um mínimo de 40 horas semanais. O estabelecimento funciona 7 dias por semana. Os dias de trabalho variam de domingo a sáb"&amp;"ado, incluindo feriados. O horário normal de trabalho é das 9h às 17h30. O turno inclui 30 minutos de intervalo não remunerado. Os dias, horários e turnos de trabalho podem variar de acordo com as necessidades do negócio. O empregador pode aumentar o salá"&amp;"rio com base na experiência, nas condições de mercado e/ou fornecer remuneração adicional por desempenho e tempo de serviço. Pode receber gorjetas dos clientes. Pagamento de bônus de feriado é possível. Uma refeição é fornecida gratuitamente durante o tur"&amp;"no. Horas extras podem estar disponíveis. Um adicional de hora extra será pago quando exigido por lei federal, estadual ou local, incluindo hora e meia após 40 horas em uma semana de trabalho. Geralmente, quando houver horas extras disponíveis, elas serão"&amp;" pagas a US$ 28,07 por hora. O empregador fornecerá uma bicicleta para o transporte diário de ida e volta ao local de trabalho. Classificação da vaga: 35-3031.00 - Garçons e Garçonetes. A classificação e descrição da vaga/setor incluem informações gerais "&amp;"sobre o cargo, de acordo com o ONET/OES e o Sistema de Classificação Industrial da América do Norte (NAICS). Consulte as Funções e a Ordem de Serviço para obter mais informações. Requisitos da vaga: Experiência exigida: Sim. Meses de experiência exigidos:"&amp;" 2. Requisitos especiais: Ter no mínimo 18 anos de idade. Possuir ou estar disposto a obter um certificado válido de Manipulador de Alimentos após a contratação (fornecido pelo empregador). Ser capaz de levantar até 23 kg, agachar, levantar, mover, empurr"&amp;"ar, puxar e carregar caixas, mesas/cadeiras de banquete, bandejas de servir, etc. É necessário passar por verificação de antecedentes criminais e exame toxicológico pré-admissional, com os custos pagos pelo empregador e aplicados igualmente a todos os fun"&amp;"cionários, americanos e estrangeiros/H-2B. Os funcionários estão sujeitos a testes de drogas pós-admissão e pós-acidente/lesão, com o custo pago pelo empregador e aplicado igualmente a todos os funcionários, americanos e estrangeiros/H-2B. É necessário de"&amp;"monstrar boas habilidades de comunicação, incluindo a capacidade de compreender instruções, transmitir informações e conversar com os funcionários em inglês. É necessário ter disponibilidade para trabalhar em um horário flexível de 5 dias por semana, incl"&amp;"uindo fins de semana e feriados. O candidato deve preencher uma ficha de emprego. O uniforme obrigatório é fornecido gratuitamente ao funcionário. Número de horas por semana: 40. Horário de trabalho (início/término): 9h às 17h30.")</f>
        <v>Recepcionar os clientes, anotar os pedidos de comida e bebida, registrá-los no sistema de ponto de venda; informar a equipe da cozinha sobre os itens pedidos, servir/entregar os itens solicitados, apresentar a conta ao cliente; limpar as mesas, auxiliar no serviço de entrega de comida, preparar os acompanhamentos. Auxiliar na abertura e fechamento do restaurante do clube, sala de jantar, salão de banquetes e outras áreas de alimentos e bebidas. Todos os garçons receberão treinamento cruzado e, ocasionalmente, poderão atuar em diferentes áreas do serviço de alimentos e bebidas. Devem seguir todas as normas e procedimentos de higiene. ***Para esclarecimento das funções de abertura e fechamento, o funcionário é responsável por preparar as máquinas de café, adicionando água, abastecer as áreas de serviço com cafés/chás, copos, talheres e condimentos, canetas, grampos, papel para impressora, blocos de pedidos e guardanapos, canudos, tampas, jarras e itens de alimentos e bebidas, como manteiga, leite, sopa, biscoitos, azeite e vinagre, calda de chocolate quente, limonada e chá gelado; encher os recipientes de gelo, fatiar limões, limas e laranjas com uma faca; Utilizar panos de limpeza e produtos químicos aprovados para limpar os porta-contas, almofadas das cadeiras e refrigeradores; arrumar as mesas com toalhas de mesa, decorações e arranjos florais. Por fim, limpar as máquinas de café, esvaziar e limpar os recipientes de gelo, chás, condimentos e talheres, conforme os padrões, garantir que os alimentos (leite, manteiga) sejam armazenados corretamente, repor os itens nas áreas de serviço, devolver os itens sujos à máquina de lavar louça, remover toalhas de mesa e decorações; limpar e polir balcões, prateleiras, paredes, móveis ou equipamentos utilizados nas áreas de serviço de alimentação e nos pontos de venda do restaurante. Para esclarecimento, as outras áreas de Alimentos e Bebidas são o bar Carousel, o restaurante masculino e o vestiário feminino. Os funcionários são treinados para serem garçons e auxiliares de garçom. As funções do auxiliar de garçom incluem arrumar as mesas com toalhas limpas, condimentos ou outros suprimentos e limpar mesas e cadeiras com panos úmidos ou trocar as toalhas sujas antes, durante e após o serviço de refeições; recepcionar os membros; Servir pão com manteiga, bebidas quentes e frias, auxiliar no transporte de bandejas de comida para as mesas, transportar suprimentos e abastecer a área de atendimento conforme necessário, recolher o lixo das áreas de alimentos e bebidas atendidas pelos garçons, reportar quaisquer reclamações ao supervisor e auxiliar nas tarefas de abertura e fechamento. O empregador oferece um mínimo de 40 horas semanais. O estabelecimento funciona 7 dias por semana. Os dias de trabalho variam de domingo a sábado, incluindo feriados. O horário normal de trabalho é das 9h às 17h30. O turno inclui 30 minutos de intervalo não remunerado. Os dias, horários e turnos de trabalho podem variar de acordo com as necessidades do negócio. O empregador pode aumentar o salário com base na experiência, nas condições de mercado e/ou fornecer remuneração adicional por desempenho e tempo de serviço. Pode receber gorjetas dos clientes. Pagamento de bônus de feriado é possível. Uma refeição é fornecida gratuitamente durante o turno. Horas extras podem estar disponíveis. Um adicional de hora extra será pago quando exigido por lei federal, estadual ou local, incluindo hora e meia após 40 horas em uma semana de trabalho. Geralmente, quando houver horas extras disponíveis, elas serão pagas a US$ 28,07 por hora. O empregador fornecerá uma bicicleta para o transporte diário de ida e volta ao local de trabalho. Classificação da vaga: 35-3031.00 - Garçons e Garçonetes. A classificação e descrição da vaga/setor incluem informações gerais sobre o cargo, de acordo com o ONET/OES e o Sistema de Classificação Industrial da América do Norte (NAICS). Consulte as Funções e a Ordem de Serviço para obter mais informações. Requisitos da vaga: Experiência exigida: Sim. Meses de experiência exigidos: 2. Requisitos especiais: Ter no mínimo 18 anos de idade. Possuir ou estar disposto a obter um certificado válido de Manipulador de Alimentos após a contratação (fornecido pelo empregador). Ser capaz de levantar até 23 kg, agachar, levantar, mover, empurrar, puxar e carregar caixas, mesas/cadeiras de banquete, bandejas de servir, etc. É necessário passar por verificação de antecedentes criminais e exame toxicológico pré-admissional, com os custos pagos pelo empregador e aplicados igualmente a todos os funcionários, americanos e estrangeiros/H-2B. Os funcionários estão sujeitos a testes de drogas pós-admissão e pós-acidente/lesão, com o custo pago pelo empregador e aplicado igualmente a todos os funcionários, americanos e estrangeiros/H-2B. É necessário demonstrar boas habilidades de comunicação, incluindo a capacidade de compreender instruções, transmitir informações e conversar com os funcionários em inglês. É necessário ter disponibilidade para trabalhar em um horário flexível de 5 dias por semana, incluindo fins de semana e feriados. O candidato deve preencher uma ficha de emprego. O uniforme obrigatório é fornecido gratuitamente ao funcionário. Número de horas por semana: 40. Horário de trabalho (início/término): 9h às 17h30.</v>
      </c>
    </row>
    <row r="655" ht="20.25" customHeight="1">
      <c r="A655" s="8" t="s">
        <v>3161</v>
      </c>
      <c r="B655" s="8" t="s">
        <v>3162</v>
      </c>
      <c r="C655" s="8" t="s">
        <v>3163</v>
      </c>
      <c r="D655" s="8" t="s">
        <v>992</v>
      </c>
      <c r="E655" s="9" t="s">
        <v>19</v>
      </c>
      <c r="F655" s="9" t="s">
        <v>20</v>
      </c>
      <c r="G655" s="9" t="s">
        <v>29</v>
      </c>
      <c r="H655" s="8" t="s">
        <v>3164</v>
      </c>
      <c r="I655" s="8" t="s">
        <v>3165</v>
      </c>
      <c r="J655" s="9">
        <v>20.41</v>
      </c>
      <c r="K655" s="9">
        <v>4.0</v>
      </c>
      <c r="L655" s="8" t="s">
        <v>3166</v>
      </c>
      <c r="M655" s="8" t="s">
        <v>3167</v>
      </c>
      <c r="N655" s="7" t="str">
        <f>IFERROR(__xludf.DUMMYFUNCTION("GOOGLETRANSLATE(L655, ""en"", ""pt"")"),"Instrutor de Programa Recreativo, Futebol")</f>
        <v>Instrutor de Programa Recreativo, Futebol</v>
      </c>
      <c r="O655" s="7" t="str">
        <f>IFERROR(__xludf.DUMMYFUNCTION("IF(M655="""","""",GOOGLETRANSLATE(M655,""en"",""pt""))"),"Realizamos atividades recreativas com crianças individualmente e em grupo, na faixa etária de 3 a 14 anos, em instalações recreativas como campos ao ar livre ou cobertos, ou complexos esportivos. As atividades incluem jogos e programas de futebol, como jo"&amp;"gos recreativos de futebol com orientação, e visam o desenvolvimento social e motor amplo das crianças participantes. As atividades são adaptadas às necessidades e interesses dos participantes. Itens F.a.5-F.a.6, horário de trabalho, mais detalhes (inseri"&amp;"dos aqui devido a limitações de formato nos itens F.a.5-F.a.6): Tempo integral, 35 horas/semana, horário típico: Ter, Qua, Sex 16h30 - 21h, Qui 11h - 12h e 16h30 - 21h, Sáb 10h - 18h (o horário exato pode sofrer alterações ocasionais). Itens F.b.2 e F.c.1"&amp;", mais detalhes: deslocamento para, trabalho em, campos e instalações de futebol nos condados de Somerset e Union, NJ. Viagens ocasionais para locais de torneios a até 2 horas de carro de Bridgewater, NJ. Classificação do Cargo: 39-9032.00 - Trabalhadores"&amp;" de Recreação. A classificação e descrição do cargo/setor inclui informações gerais sobre a posição, de acordo com o ONET/OES e o Sistema de Classificação Industrial da América do Norte. Consulte as Funções e a Ordem de Serviço para obter mais informações"&amp;". Requisitos do Cargo: Experiência Necessária: Sim. Meses de Experiência Necessária: 12 Número de horas por semana: 35 Horário de trabalho (início/término): 16h30 - 21h00")</f>
        <v>Realizamos atividades recreativas com crianças individualmente e em grupo, na faixa etária de 3 a 14 anos, em instalações recreativas como campos ao ar livre ou cobertos, ou complexos esportivos. As atividades incluem jogos e programas de futebol, como jogos recreativos de futebol com orientação, e visam o desenvolvimento social e motor amplo das crianças participantes. As atividades são adaptadas às necessidades e interesses dos participantes. Itens F.a.5-F.a.6, horário de trabalho, mais detalhes (inseridos aqui devido a limitações de formato nos itens F.a.5-F.a.6): Tempo integral, 35 horas/semana, horário típico: Ter, Qua, Sex 16h30 - 21h, Qui 11h - 12h e 16h30 - 21h, Sáb 10h - 18h (o horário exato pode sofrer alterações ocasionais). Itens F.b.2 e F.c.1, mais detalhes: deslocamento para, trabalho em, campos e instalações de futebol nos condados de Somerset e Union, NJ. Viagens ocasionais para locais de torneios a até 2 horas de carro de Bridgewater, NJ. Classificação do Cargo: 39-9032.00 - Trabalhadores de Recreação. A classificação e descrição do cargo/setor inclui informações gerais sobre a posição, de acordo com o ONET/OES e o Sistema de Classificação Industrial da América do Norte. Consulte as Funções e a Ordem de Serviço para obter mais informações. Requisitos do Cargo: Experiência Necessária: Sim. Meses de Experiência Necessária: 12 Número de horas por semana: 35 Horário de trabalho (início/término): 16h30 - 21h00</v>
      </c>
    </row>
    <row r="656" ht="20.25" customHeight="1">
      <c r="A656" s="3" t="s">
        <v>3168</v>
      </c>
      <c r="B656" s="3" t="s">
        <v>999</v>
      </c>
      <c r="C656" s="3" t="s">
        <v>1000</v>
      </c>
      <c r="D656" s="3" t="s">
        <v>36</v>
      </c>
      <c r="E656" s="4" t="s">
        <v>19</v>
      </c>
      <c r="F656" s="4" t="s">
        <v>20</v>
      </c>
      <c r="G656" s="4" t="s">
        <v>146</v>
      </c>
      <c r="H656" s="3" t="s">
        <v>1001</v>
      </c>
      <c r="I656" s="3" t="s">
        <v>1002</v>
      </c>
      <c r="J656" s="4">
        <v>24.18</v>
      </c>
      <c r="K656" s="4">
        <v>14.0</v>
      </c>
      <c r="L656" s="3" t="s">
        <v>1003</v>
      </c>
      <c r="M656" s="3" t="s">
        <v>1004</v>
      </c>
      <c r="N656" s="7" t="str">
        <f>IFERROR(__xludf.DUMMYFUNCTION("GOOGLETRANSLATE(L656, ""en"", ""pt"")"),"Acabadores de concreto")</f>
        <v>Acabadores de concreto</v>
      </c>
      <c r="O656" s="7" t="str">
        <f>IFERROR(__xludf.DUMMYFUNCTION("IF(M656="""","""",GOOGLETRANSLATE(M656,""en"",""pt""))"),"Preparar o canteiro de obras onde o concreto será despejado, orientando os operários a posicionar os materiais no local, medir as fôrmas, verificar o nivelamento e confirmar o layout correto das fôrmas. Posicionar e alinhar com segurança as fôrmas de made"&amp;"ira e metal que conterão o concreto. Espalhar, nivelar e alisar o concreto usando rastelos, réguas de nivelamento manuais ou motorizadas, alisadoras mecânicas, pás ou ferramentas manuais. Desmontar as fôrmas e cortar o concreto com serras para concreto. L"&amp;"impar o canteiro de obras. Classificação da Função: 47-2051.00 - Pedreiros e Acabadores de Concreto. A classificação e descrição da função/setor incluem informações gerais sobre o cargo, de acordo com o ONET/OES e o Sistema de Classificação Industrial da "&amp;"América do Norte (NAICS). Consulte as Funções e a Ordem de Serviço para obter mais informações. Requisitos da Função: Experiência Necessária: Sim. Meses de Experiência Necessários: 36. Requisitos Especiais: Trabalho em alguns fins de semana. Capacidade de"&amp;" levantar e carregar 34 kg por 45 metros. Capacidade de suportar temperaturas extremas. Disponibilidade para viagens a locais de trabalho dentro da área de atuação pretendida. Número de horas por semana: 40 Horário de trabalho (início/término): 7h00 - 17h"&amp;"00")</f>
        <v>Preparar o canteiro de obras onde o concreto será despejado, orientando os operários a posicionar os materiais no local, medir as fôrmas, verificar o nivelamento e confirmar o layout correto das fôrmas. Posicionar e alinhar com segurança as fôrmas de madeira e metal que conterão o concreto. Espalhar, nivelar e alisar o concreto usando rastelos, réguas de nivelamento manuais ou motorizadas, alisadoras mecânicas, pás ou ferramentas manuais. Desmontar as fôrmas e cortar o concreto com serras para concreto. Limpar o canteiro de obras. Classificação da Função: 47-2051.00 - Pedreiros e Acabadores de Concreto. A classificação e descrição da função/setor incluem informações gerais sobre o cargo, de acordo com o ONET/OES e o Sistema de Classificação Industrial da América do Norte (NAICS). Consulte as Funções e a Ordem de Serviço para obter mais informações. Requisitos da Função: Experiência Necessária: Sim. Meses de Experiência Necessários: 36. Requisitos Especiais: Trabalho em alguns fins de semana. Capacidade de levantar e carregar 34 kg por 45 metros. Capacidade de suportar temperaturas extremas. Disponibilidade para viagens a locais de trabalho dentro da área de atuação pretendida. Número de horas por semana: 40 Horário de trabalho (início/término): 7h00 - 17h00</v>
      </c>
    </row>
    <row r="657" ht="20.25" customHeight="1">
      <c r="A657" s="8" t="s">
        <v>3169</v>
      </c>
      <c r="B657" s="8" t="s">
        <v>999</v>
      </c>
      <c r="C657" s="8" t="s">
        <v>1000</v>
      </c>
      <c r="D657" s="8" t="s">
        <v>36</v>
      </c>
      <c r="E657" s="9" t="s">
        <v>19</v>
      </c>
      <c r="F657" s="9" t="s">
        <v>20</v>
      </c>
      <c r="G657" s="9" t="s">
        <v>146</v>
      </c>
      <c r="H657" s="8" t="s">
        <v>1001</v>
      </c>
      <c r="I657" s="8" t="s">
        <v>1002</v>
      </c>
      <c r="J657" s="9">
        <v>21.52</v>
      </c>
      <c r="K657" s="9">
        <v>28.0</v>
      </c>
      <c r="L657" s="8" t="s">
        <v>302</v>
      </c>
      <c r="M657" s="8" t="s">
        <v>1214</v>
      </c>
      <c r="N657" s="7" t="str">
        <f>IFERROR(__xludf.DUMMYFUNCTION("GOOGLETRANSLATE(L657, ""en"", ""pt"")"),"Operários da construção civil")</f>
        <v>Operários da construção civil</v>
      </c>
      <c r="O657" s="7" t="str">
        <f>IFERROR(__xludf.DUMMYFUNCTION("IF(M657="""","""",GOOGLETRANSLATE(M657,""en"",""pt""))"),"Executar tarefas menores que envolvam trabalho braçal em canteiro de obras de concreto. Preparar o local para a concretagem, carregando e descarregando materiais, utilizando linhas de referência, cortando madeira com serra circular, utilizando marreta par"&amp;"a cravar estacas no solo, cavando e nivelando a terra com pás, picaretas e compactadores de solo. Sob supervisão, levantar, carregar, fixar, remover, lubrificar e posicionar fôrmas de concreto de madeira e metal utilizando ferramentas manuais e elétricas "&amp;"simples. Auxiliar na concretagem utilizando carrinhos de mão, rastelos de concreto, pás e vibrador de concreto manual. Limpar resíduos e selar juntas. Classificação da Função: 47-2061.00 - Auxiliares de Construção. A classificação e descrição da função/se"&amp;"tor incluem informações gerais sobre o cargo, conforme ONET/OES e o Sistema de Classificação Industrial da América do Norte (NAICS). Consulte as Funções e a Ordem de Serviço para obter mais informações. Requisitos da Função: Experiência Necessária: Sim. M"&amp;"eses de Experiência Necessários: 3. Requisitos Especiais: Trabalho em alguns fins de semana. Necessário suportar temperaturas extremas. Deve ser capaz de levantar e carregar 34 kg por 45 metros. Deslocamentos para locais de trabalho dentro da área de atua"&amp;"ção pretendida. Número de horas por semana: 40. Horário de trabalho (início/término): 7h às 17h.")</f>
        <v>Executar tarefas menores que envolvam trabalho braçal em canteiro de obras de concreto. Preparar o local para a concretagem, carregando e descarregando materiais, utilizando linhas de referência, cortando madeira com serra circular, utilizando marreta para cravar estacas no solo, cavando e nivelando a terra com pás, picaretas e compactadores de solo. Sob supervisão, levantar, carregar, fixar, remover, lubrificar e posicionar fôrmas de concreto de madeira e metal utilizando ferramentas manuais e elétricas simples. Auxiliar na concretagem utilizando carrinhos de mão, rastelos de concreto, pás e vibrador de concreto manual. Limpar resíduos e selar juntas. Classificação da Função: 47-2061.00 - Auxiliares de Construção. A classificação e descrição da função/setor incluem informações gerais sobre o cargo, conforme ONET/OES e o Sistema de Classificação Industrial da América do Norte (NAICS). Consulte as Funções e a Ordem de Serviço para obter mais informações. Requisitos da Função: Experiência Necessária: Sim. Meses de Experiência Necessários: 3. Requisitos Especiais: Trabalho em alguns fins de semana. Necessário suportar temperaturas extremas. Deve ser capaz de levantar e carregar 34 kg por 45 metros. Deslocamentos para locais de trabalho dentro da área de atuação pretendida. Número de horas por semana: 40. Horário de trabalho (início/término): 7h às 17h.</v>
      </c>
    </row>
    <row r="658" ht="20.25" customHeight="1">
      <c r="A658" s="3" t="s">
        <v>3170</v>
      </c>
      <c r="B658" s="3" t="s">
        <v>999</v>
      </c>
      <c r="C658" s="3" t="s">
        <v>1000</v>
      </c>
      <c r="D658" s="3" t="s">
        <v>36</v>
      </c>
      <c r="E658" s="4" t="s">
        <v>19</v>
      </c>
      <c r="F658" s="4" t="s">
        <v>20</v>
      </c>
      <c r="G658" s="4" t="s">
        <v>146</v>
      </c>
      <c r="H658" s="3" t="s">
        <v>1001</v>
      </c>
      <c r="I658" s="3" t="s">
        <v>1002</v>
      </c>
      <c r="J658" s="4">
        <v>26.22</v>
      </c>
      <c r="K658" s="4">
        <v>8.0</v>
      </c>
      <c r="L658" s="3" t="s">
        <v>1464</v>
      </c>
      <c r="M658" s="3" t="s">
        <v>3171</v>
      </c>
      <c r="N658" s="7" t="str">
        <f>IFERROR(__xludf.DUMMYFUNCTION("GOOGLETRANSLATE(L658, ""en"", ""pt"")"),"Trabalhadores de vergalhão")</f>
        <v>Trabalhadores de vergalhão</v>
      </c>
      <c r="O658" s="7" t="str">
        <f>IFERROR(__xludf.DUMMYFUNCTION("IF(M658="""","""",GOOGLETRANSLATE(M658,""en"",""pt""))"),"Posicionar e fixar barras de aço ou malha em fôrmas de concreto para reforçá-lo. Capacidade de operar enrolador de arame, alicate Klein e ferramentas manuais para fixar e dobrar vergalhões. Classificação da função: 47-2171.00 - Trabalhadores de Ferro de R"&amp;"eforço e Vergalhões. A classificação e descrição da função/setor incluem informações gerais sobre o cargo, de acordo com o ONET/OES e o Sistema de Classificação Industrial da América do Norte (NAICS). Consulte as Funções e a Ordem de Serviço para obter ma"&amp;"is informações. Requisitos da vaga: Experiência necessária: Sim. Meses de experiência necessários: 6. Requisitos especiais: Trabalho em alguns fins de semana. Capacidade de lidar com temperaturas extremas. Capacidade de levantar e carregar 34 kg por 68 me"&amp;"tros. Disponibilidade para deslocamento para locais de trabalho dentro da área de atuação. Número de horas por semana: 40. Horário de trabalho (início/término): 7h às 17h.")</f>
        <v>Posicionar e fixar barras de aço ou malha em fôrmas de concreto para reforçá-lo. Capacidade de operar enrolador de arame, alicate Klein e ferramentas manuais para fixar e dobrar vergalhões. Classificação da função: 47-2171.00 - Trabalhadores de Ferro de Reforço e Vergalhões. A classificação e descrição da função/setor incluem informações gerais sobre o cargo, de acordo com o ONET/OES e o Sistema de Classificação Industrial da América do Norte (NAICS). Consulte as Funções e a Ordem de Serviço para obter mais informações. Requisitos da vaga: Experiência necessária: Sim. Meses de experiência necessários: 6. Requisitos especiais: Trabalho em alguns fins de semana. Capacidade de lidar com temperaturas extremas. Capacidade de levantar e carregar 34 kg por 68 metros. Disponibilidade para deslocamento para locais de trabalho dentro da área de atuação. Número de horas por semana: 40. Horário de trabalho (início/término): 7h às 17h.</v>
      </c>
    </row>
    <row r="659" ht="20.25" customHeight="1">
      <c r="A659" s="8" t="s">
        <v>3172</v>
      </c>
      <c r="B659" s="8" t="s">
        <v>999</v>
      </c>
      <c r="C659" s="8" t="s">
        <v>1000</v>
      </c>
      <c r="D659" s="8" t="s">
        <v>154</v>
      </c>
      <c r="E659" s="9" t="s">
        <v>19</v>
      </c>
      <c r="F659" s="9" t="s">
        <v>20</v>
      </c>
      <c r="G659" s="9" t="s">
        <v>146</v>
      </c>
      <c r="H659" s="8" t="s">
        <v>1001</v>
      </c>
      <c r="I659" s="8" t="s">
        <v>1002</v>
      </c>
      <c r="J659" s="9">
        <v>19.31</v>
      </c>
      <c r="K659" s="9">
        <v>36.0</v>
      </c>
      <c r="L659" s="8" t="s">
        <v>302</v>
      </c>
      <c r="M659" s="8" t="s">
        <v>1214</v>
      </c>
      <c r="N659" s="7" t="str">
        <f>IFERROR(__xludf.DUMMYFUNCTION("GOOGLETRANSLATE(L659, ""en"", ""pt"")"),"Operários da construção civil")</f>
        <v>Operários da construção civil</v>
      </c>
      <c r="O659" s="7" t="str">
        <f>IFERROR(__xludf.DUMMYFUNCTION("IF(M659="""","""",GOOGLETRANSLATE(M659,""en"",""pt""))"),"Executar tarefas menores que envolvam trabalho braçal em canteiro de obras de concreto. Preparar o local para a concretagem, carregando e descarregando materiais, utilizando linhas de referência, cortando madeira com serra circular, utilizando marreta par"&amp;"a cravar estacas no solo, cavando e nivelando a terra com pás, picaretas e compactadores de solo. Sob supervisão, levantar, carregar, fixar, remover, lubrificar e posicionar fôrmas de concreto de madeira e metal utilizando ferramentas manuais e elétricas "&amp;"simples. Auxiliar na concretagem utilizando carrinhos de mão, rastelos de concreto, pás e vibrador de concreto manual. Limpar resíduos e selar juntas. Classificação da Função: 47-2061.00 - Auxiliares de Construção. A classificação e descrição da função/se"&amp;"tor incluem informações gerais sobre o cargo, conforme ONET/OES e o Sistema de Classificação Industrial da América do Norte (NAICS). Consulte as Funções e a Ordem de Serviço para obter mais informações. Requisitos da Função: Experiência Necessária: Sim. M"&amp;"eses de Experiência Necessários: 3. Requisitos Especiais: Trabalho em alguns fins de semana. Necessário suportar temperaturas extremas. Deve ser capaz de levantar e carregar 34 kg por 45 metros. Deslocamentos para locais de trabalho dentro da área de atua"&amp;"ção pretendida. Número de horas por semana: 40. Horário de trabalho (início/término): 7h às 17h.")</f>
        <v>Executar tarefas menores que envolvam trabalho braçal em canteiro de obras de concreto. Preparar o local para a concretagem, carregando e descarregando materiais, utilizando linhas de referência, cortando madeira com serra circular, utilizando marreta para cravar estacas no solo, cavando e nivelando a terra com pás, picaretas e compactadores de solo. Sob supervisão, levantar, carregar, fixar, remover, lubrificar e posicionar fôrmas de concreto de madeira e metal utilizando ferramentas manuais e elétricas simples. Auxiliar na concretagem utilizando carrinhos de mão, rastelos de concreto, pás e vibrador de concreto manual. Limpar resíduos e selar juntas. Classificação da Função: 47-2061.00 - Auxiliares de Construção. A classificação e descrição da função/setor incluem informações gerais sobre o cargo, conforme ONET/OES e o Sistema de Classificação Industrial da América do Norte (NAICS). Consulte as Funções e a Ordem de Serviço para obter mais informações. Requisitos da Função: Experiência Necessária: Sim. Meses de Experiência Necessários: 3. Requisitos Especiais: Trabalho em alguns fins de semana. Necessário suportar temperaturas extremas. Deve ser capaz de levantar e carregar 34 kg por 45 metros. Deslocamentos para locais de trabalho dentro da área de atuação pretendida. Número de horas por semana: 40. Horário de trabalho (início/término): 7h às 17h.</v>
      </c>
    </row>
    <row r="660" ht="20.25" customHeight="1">
      <c r="A660" s="3" t="s">
        <v>3173</v>
      </c>
      <c r="B660" s="3" t="s">
        <v>999</v>
      </c>
      <c r="C660" s="3" t="s">
        <v>1000</v>
      </c>
      <c r="D660" s="3" t="s">
        <v>154</v>
      </c>
      <c r="E660" s="4" t="s">
        <v>19</v>
      </c>
      <c r="F660" s="4" t="s">
        <v>20</v>
      </c>
      <c r="G660" s="4" t="s">
        <v>146</v>
      </c>
      <c r="H660" s="3" t="s">
        <v>1001</v>
      </c>
      <c r="I660" s="3" t="s">
        <v>1002</v>
      </c>
      <c r="J660" s="4">
        <v>24.0</v>
      </c>
      <c r="K660" s="4">
        <v>8.0</v>
      </c>
      <c r="L660" s="3" t="s">
        <v>1464</v>
      </c>
      <c r="M660" s="3" t="s">
        <v>1465</v>
      </c>
      <c r="N660" s="7" t="str">
        <f>IFERROR(__xludf.DUMMYFUNCTION("GOOGLETRANSLATE(L660, ""en"", ""pt"")"),"Trabalhadores de vergalhão")</f>
        <v>Trabalhadores de vergalhão</v>
      </c>
      <c r="O660" s="7" t="str">
        <f>IFERROR(__xludf.DUMMYFUNCTION("IF(M660="""","""",GOOGLETRANSLATE(M660,""en"",""pt""))"),"Posicionar e fixar barras de aço ou malha em fôrmas de concreto para reforçá-lo. Capacidade de operar enrolador de arame, alicate Klein e ferramentas manuais para fixar e dobrar vergalhões. Classificação da função: 47-2171.00 - Trabalhadores de Ferro de R"&amp;"eforço e Vergalhões. A classificação e descrição da função/setor inclui informações gerais sobre o cargo, de acordo com o ONET/OES e o Sistema de Classificação Industrial da América do Norte (NAICS). Consulte as Funções e a Ordem de Serviço para obter mai"&amp;"s informações. Requisitos da vaga: Experiência necessária: Sim. Meses de experiência necessários: 6. Requisitos especiais: Trabalho em alguns fins de semana. Capacidade de lidar com temperaturas extremas. Capacidade de levantar e carregar 34 kg por 68 met"&amp;"ros. Disponibilidade para deslocamento para locais de trabalho dentro da área de atuação. Número de horas por semana: 40. Horário de trabalho (início/término): 7h às 17h.")</f>
        <v>Posicionar e fixar barras de aço ou malha em fôrmas de concreto para reforçá-lo. Capacidade de operar enrolador de arame, alicate Klein e ferramentas manuais para fixar e dobrar vergalhões. Classificação da função: 47-2171.00 - Trabalhadores de Ferro de Reforço e Vergalhões. A classificação e descrição da função/setor inclui informações gerais sobre o cargo, de acordo com o ONET/OES e o Sistema de Classificação Industrial da América do Norte (NAICS). Consulte as Funções e a Ordem de Serviço para obter mais informações. Requisitos da vaga: Experiência necessária: Sim. Meses de experiência necessários: 6. Requisitos especiais: Trabalho em alguns fins de semana. Capacidade de lidar com temperaturas extremas. Capacidade de levantar e carregar 34 kg por 68 metros. Disponibilidade para deslocamento para locais de trabalho dentro da área de atuação. Número de horas por semana: 40. Horário de trabalho (início/término): 7h às 17h.</v>
      </c>
    </row>
    <row r="661" ht="20.25" customHeight="1">
      <c r="A661" s="8" t="s">
        <v>3174</v>
      </c>
      <c r="B661" s="8" t="s">
        <v>3175</v>
      </c>
      <c r="C661" s="8" t="s">
        <v>197</v>
      </c>
      <c r="D661" s="8" t="s">
        <v>71</v>
      </c>
      <c r="E661" s="9" t="s">
        <v>19</v>
      </c>
      <c r="F661" s="9" t="s">
        <v>20</v>
      </c>
      <c r="G661" s="9" t="s">
        <v>524</v>
      </c>
      <c r="H661" s="8" t="s">
        <v>3176</v>
      </c>
      <c r="I661" s="8" t="s">
        <v>3177</v>
      </c>
      <c r="J661" s="9">
        <v>16.29</v>
      </c>
      <c r="K661" s="9">
        <v>8.0</v>
      </c>
      <c r="L661" s="8" t="s">
        <v>387</v>
      </c>
      <c r="M661" s="8" t="s">
        <v>3178</v>
      </c>
      <c r="N661" s="7" t="str">
        <f>IFERROR(__xludf.DUMMYFUNCTION("GOOGLETRANSLATE(L661, ""en"", ""pt"")"),"Ordem de serviço não disponível")</f>
        <v>Ordem de serviço não disponível</v>
      </c>
      <c r="O661" s="7" t="str">
        <f>IFERROR(__xludf.DUMMYFUNCTION("IF(M661="""","""",GOOGLETRANSLATE(M661,""en"",""pt""))"),"Recepcionar e acomodar os clientes, atender ligações, fazer reservas, incluindo o agendamento de mesas para sócios e convidados usando o sistema de reservas da empresa e coordenar a disponibilidade de mesas com a equipe do restaurante. O(A) funcionário(a)"&amp;" também confirmará os detalhes das reservas e auxiliará no gerenciamento do fluxo de clientes durante o horário de funcionamento. (8) vagas disponíveis. Período: 01/10/2026 a 31/05/2027. Necessário 3 meses de experiência. Turnos rotativos. Dias de trabalh"&amp;"o: segunda a domingo. Horário de trabalho: 6h às 22h. Salário: US$ 16,29 a US$ 22/hora, com base no desempenho; horas extras: US$ 24,44 a US$ 33/hora. Pagamento quinzenal. 35 horas semanais. Alojamento opcional por US$ 140/semana, com depósito de US$ 300,"&amp;" reembolsável após a conclusão do contrato e inspeção do imóvel. Bônus de US$ 500 para quem retorna pela primeira vez, US$ 1.000 para quem retorna pela segunda vez ou mais, além de um cartão-presente de Natal no Dia de Ação de Graças. Uniformes e refeiçõe"&amp;"s durante o turno fornecidos. Local de trabalho: 3500 Clubhouse Lane, Boynton Beach, FL 33436. O trabalho é temporário, em tempo integral. A remuneração será calculada com base em uma semana de trabalho. Poderá haver até 10 horas extras, quando disponívei"&amp;"s. Todos os descontos obrigatórios por lei serão feitos no contracheque do trabalhador. O empregador fornecerá gratuitamente ao trabalhador todas as ferramentas, materiais e equipamentos necessários para a execução do trabalho. O trabalhador receberá ou s"&amp;"erá reembolsado pelo transporte e subsistência (incluindo o custo razoável de hospedagem noturna, quando necessário, até US$ 110/noite para hospedagem com recibos) a uma taxa de US$ 16,78 por dia durante a viagem, até um máximo de US$ 68,00 por dia com re"&amp;"cibos, desde o local de onde o trabalhador veio trabalhar para o empregador, seja nos EUA ou no exterior, até o local de trabalho, se o trabalhador completar 50% do período de emprego coberto pela ordem de serviço, de acordo com 20 CFR 655.20(j)(1)(i), me"&amp;"diante inclusão no pagamento da semana aplicável. O empregador fornecerá ou pagará o custo do transporte de retorno e da subsistência diária do trabalhador, do local de trabalho até o local de onde o trabalhador partiu para trabalhar para o empregador, in"&amp;"dependentemente de empregos intermediários, caso o trabalhador complete o período de emprego certificado ou seja demitido do emprego por qualquer motivo pelo empregador antes do término do período, de acordo com o § 655.20(j)(1)(ii); os trabalhadores com "&amp;"visto H-2B serão reembolsados ​​na primeira semana de trabalho por todos os vistos, processamento de vistos, travessia de fronteira e outras taxas relacionadas, incluindo aquelas exigidas pelo governo (exceto taxas de passaporte). O empregador fornecerá a"&amp;"os trabalhadores todas as ferramentas, suprimentos e equipamentos necessários para o desempenho do trabalho, sem custo para o trabalhador, de acordo com o 20 CFR 655.20(k). Os candidatos qualificados podem enviar o currículo para Emily Viviano Rockle, aos"&amp;" cuidados de 3500 Clubhouse Lane, Boynton Beach, FL 33436, por e-mail para careers@huntersrun.net ou visitar o centro de empregos local em 3400 Belvedere Road, West Palm Beach, FL 33406. *Seu depósito de segurança é reembolsável após a conclusão do contra"&amp;"to e a inspeção da moradia. Se um trabalhador abandonar o emprego sem a permissão do empregador ou abandonar a moradia antes do término do prazo de inscrição por qualquer motivo, exceto rescisão por parte do empregador, o trabalhador perderá todos os depó"&amp;"sitos de moradia, dias de folga remunerada, férias e bônus. Após a rescisão ou demissão, o trabalhador deverá desocupar a moradia imediatamente, a menos que haja acordo com o empregador.* Classificação do Cargo: 35-9031.00 - Recepcionistas, Restaurante, B"&amp;"ar e Cafeteria. A classificação e descrição do cargo/setor incluem informações gerais sobre a posição, de acordo com o ONET/OES e o Sistema de Classificação Industrial da América do Norte. Consulte as Funções e a Ordem de Serviço para obter mais informaçõ"&amp;"es. Requisitos da vaga Experiência necessária: Sim Meses de experiência necessários: 3 Número de horas por semana: 35 Horário de trabalho (início/término): 6h às 22h")</f>
        <v>Recepcionar e acomodar os clientes, atender ligações, fazer reservas, incluindo o agendamento de mesas para sócios e convidados usando o sistema de reservas da empresa e coordenar a disponibilidade de mesas com a equipe do restaurante. O(A) funcionário(a) também confirmará os detalhes das reservas e auxiliará no gerenciamento do fluxo de clientes durante o horário de funcionamento. (8) vagas disponíveis. Período: 01/10/2026 a 31/05/2027. Necessário 3 meses de experiência. Turnos rotativos. Dias de trabalho: segunda a domingo. Horário de trabalho: 6h às 22h. Salário: US$ 16,29 a US$ 22/hora, com base no desempenho; horas extras: US$ 24,44 a US$ 33/hora. Pagamento quinzenal. 35 horas semanais. Alojamento opcional por US$ 140/semana, com depósito de US$ 300, reembolsável após a conclusão do contrato e inspeção do imóvel. Bônus de US$ 500 para quem retorna pela primeira vez, US$ 1.000 para quem retorna pela segunda vez ou mais, além de um cartão-presente de Natal no Dia de Ação de Graças. Uniformes e refeições durante o turno fornecidos. Local de trabalho: 3500 Clubhouse Lane, Boynton Beach, FL 33436. O trabalho é temporário, em tempo integral. A remuneração será calculada com base em uma semana de trabalho. Poderá haver até 10 horas extras, quando disponíveis. Todos os descontos obrigatórios por lei serão feitos no contracheque do trabalhador. O empregador fornecerá gratuitamente ao trabalhador todas as ferramentas, materiais e equipamentos necessários para a execução do trabalho. O trabalhador receberá ou será reembolsado pelo transporte e subsistência (incluindo o custo razoável de hospedagem noturna, quando necessário, até US$ 110/noite para hospedagem com recibos) a uma taxa de US$ 16,78 por dia durante a viagem, até um máximo de US$ 68,00 por dia com recibos, desde o local de onde o trabalhador veio trabalhar para o empregador, seja nos EUA ou no exterior, até o local de trabalho, se o trabalhador completar 50% do período de emprego coberto pela ordem de serviço, de acordo com 20 CFR 655.20(j)(1)(i), mediante inclusão no pagamento da semana aplicável. O empregador fornecerá ou pagará o custo do transporte de retorno e da subsistência diária do trabalhador, do local de trabalho até o local de onde o trabalhador partiu para trabalhar para o empregador, independentemente de empregos intermediários, caso o trabalhador complete o período de emprego certificado ou seja demitido do emprego por qualquer motivo pelo empregador antes do término do período, de acordo com o § 655.20(j)(1)(ii); os trabalhadores com visto H-2B serão reembolsados ​​na primeira semana de trabalho por todos os vistos, processamento de vistos, travessia de fronteira e outras taxas relacionadas, incluindo aquelas exigidas pelo governo (exceto taxas de passaporte). O empregador fornecerá aos trabalhadores todas as ferramentas, suprimentos e equipamentos necessários para o desempenho do trabalho, sem custo para o trabalhador, de acordo com o 20 CFR 655.20(k). Os candidatos qualificados podem enviar o currículo para Emily Viviano Rockle, aos cuidados de 3500 Clubhouse Lane, Boynton Beach, FL 33436, por e-mail para careers@huntersrun.net ou visitar o centro de empregos local em 3400 Belvedere Road, West Palm Beach, FL 33406. *Seu depósito de segurança é reembolsável após a conclusão do contrato e a inspeção da moradia. Se um trabalhador abandonar o emprego sem a permissão do empregador ou abandonar a moradia antes do término do prazo de inscrição por qualquer motivo, exceto rescisão por parte do empregador, o trabalhador perderá todos os depósitos de moradia, dias de folga remunerada, férias e bônus. Após a rescisão ou demissão, o trabalhador deverá desocupar a moradia imediatamente, a menos que haja acordo com o empregador.* Classificação do Cargo: 35-9031.00 - Recepcionistas, Restaurante, Bar e Cafeteria. A classificação e descrição do cargo/setor incluem informações gerais sobre a posição, de acordo com o ONET/OES e o Sistema de Classificação Industrial da América do Norte. Consulte as Funções e a Ordem de Serviço para obter mais informações. Requisitos da vaga Experiência necessária: Sim Meses de experiência necessários: 3 Número de horas por semana: 35 Horário de trabalho (início/término): 6h às 22h</v>
      </c>
    </row>
    <row r="662" ht="20.25" customHeight="1">
      <c r="A662" s="3" t="s">
        <v>3179</v>
      </c>
      <c r="B662" s="3" t="s">
        <v>3175</v>
      </c>
      <c r="C662" s="3" t="s">
        <v>197</v>
      </c>
      <c r="D662" s="3" t="s">
        <v>71</v>
      </c>
      <c r="E662" s="4" t="s">
        <v>44</v>
      </c>
      <c r="F662" s="4" t="s">
        <v>20</v>
      </c>
      <c r="G662" s="4" t="s">
        <v>80</v>
      </c>
      <c r="H662" s="3" t="s">
        <v>3176</v>
      </c>
      <c r="I662" s="3" t="s">
        <v>3177</v>
      </c>
      <c r="J662" s="4">
        <v>18.25</v>
      </c>
      <c r="K662" s="4">
        <v>40.0</v>
      </c>
      <c r="L662" s="3" t="s">
        <v>829</v>
      </c>
      <c r="M662" s="3" t="s">
        <v>3180</v>
      </c>
      <c r="N662" s="7" t="str">
        <f>IFERROR(__xludf.DUMMYFUNCTION("GOOGLETRANSLATE(L662, ""en"", ""pt"")"),"Manutenção de Campo de Golfe")</f>
        <v>Manutenção de Campo de Golfe</v>
      </c>
      <c r="O662" s="7" t="str">
        <f>IFERROR(__xludf.DUMMYFUNCTION("IF(M662="""","""",GOOGLETRANSLATE(M662,""en"",""pt""))"),"Corte de grama em greens e fairways com cortadores de grama motorizados e roçadeiras. Uso de aparadores de cerca viva e roçadeiras. Plantio de arbustos/flores. Limpeza de calçadas, greens e passeios com soprador. Colocação de grama em placas e aplicação d"&amp;"e cobertura morta. (40) trabalhadores necessários. Período: 01/10/2026 a 31/07/2027. Turnos rotativos. Dias de trabalho: segunda a domingo. Horário de trabalho: 6h às 15h. Salário: US$ 18,25 a US$ 22 por hora, com base no desempenho; horas extras: US$ 27,"&amp;"38 a US$ 33 por hora. Pagamento quinzenal. 35 horas semanais. Alojamento opcional por US$ 140 por semana, com depósito de US$ 300, reembolsável após a conclusão do contrato e inspeção da moradia. Bônus de US$ 500 para quem retorna pela primeira vez, US$ 1"&amp;".000 para quem retorna pela segunda vez ou mais, além de um cartão-presente de Natal no Dia de Ação de Graças. Uniformes e refeições durante o turno fornecidos. Local de trabalho: 3500 Clubhouse Lane, Boynton Beach, FL 33436. O trabalho é temporário, em t"&amp;"empo integral. A remuneração será calculada com base em uma semana de trabalho. Poderá haver até 10 horas extras, quando disponíveis. Todos os descontos obrigatórios por lei serão feitos no contracheque do trabalhador. O empregador fornecerá gratuitamente"&amp;" aos trabalhadores todas as ferramentas, materiais e equipamentos necessários para a execução do trabalho. O trabalhador receberá ou será reembolsado pelo transporte e subsistência (incluindo o custo razoável de hospedagem noturna, quando necessário, até "&amp;"US$ 110/noite para hospedagem com recibos) a uma taxa de US$ 16,78 por dia durante a viagem, até um máximo de US$ 68,00 por dia com recibos, desde o local de onde o trabalhador veio trabalhar para o empregador, seja nos EUA ou no exterior, até o local de "&amp;"trabalho, se o trabalhador completar 50% do período de emprego coberto pela ordem de serviço, de acordo com 20 CFR 655.20(j)(1)(i), mediante inclusão no pagamento da semana aplicável. O empregador fornecerá ou pagará o custo do transporte de retorno e da "&amp;"subsistência diária do trabalhador, do local de trabalho até o local de onde o trabalhador partiu para trabalhar para o empregador, independentemente de empregos intermediários, caso o trabalhador complete o período de emprego certificado ou seja demitido"&amp;" do emprego por qualquer motivo pelo empregador antes do término do período, de acordo com o § 655.20(j)(1)(ii); os trabalhadores com visto H-2B serão reembolsados ​​na primeira semana de trabalho por todos os vistos, processamento de vistos, travessia de"&amp;" fronteira e outras taxas relacionadas, incluindo aquelas exigidas pelo governo (exceto taxas de passaporte). O empregador fornecerá aos trabalhadores todas as ferramentas, suprimentos e equipamentos necessários para o desempenho do trabalho, sem custo pa"&amp;"ra o trabalhador, de acordo com o 20 CFR 655.20(k). Os candidatos qualificados podem enviar o currículo para Emily Viviano Rockle, no endereço 3500 Clubhouse Lane, Boynton Beach, FL 33436, por e-mail para careers@huntersrun.net ou visitar o centro de empr"&amp;"egos local em 3400 Belvedere Road, West Palm Beach, FL 33406. *Seu depósito de segurança é reembolsável após a conclusão do contrato e a inspeção da moradia. Se um trabalhador abandonar o emprego sem a permissão do empregador ou abandonar a moradia antes "&amp;"do término do prazo de inscrição por qualquer motivo, exceto rescisão por parte do empregador, o trabalhador perderá todos os depósitos de moradia, dias de folga remunerada, férias e bônus. Após a rescisão ou demissão, o trabalhador deverá desocupar a mor"&amp;"adia imediatamente, a menos que haja acordo com o empregador.* Classificação do Cargo: 37-3011.00 - Trabalhadores de Paisagismo e Manutenção de Jardins. A classificação e descrição do cargo/setor incluem informações gerais sobre a posição, de acordo com o"&amp;" ONET/OES e o Sistema de Classificação Industrial da América do Norte. Consulte as Funções e a Ordem de Serviço para obter mais informações. Requisitos da vaga Experiência necessária: Não Número de horas por semana: 35 Horário de trabalho (início/término)"&amp;": 6h às 15h")</f>
        <v>Corte de grama em greens e fairways com cortadores de grama motorizados e roçadeiras. Uso de aparadores de cerca viva e roçadeiras. Plantio de arbustos/flores. Limpeza de calçadas, greens e passeios com soprador. Colocação de grama em placas e aplicação de cobertura morta. (40) trabalhadores necessários. Período: 01/10/2026 a 31/07/2027. Turnos rotativos. Dias de trabalho: segunda a domingo. Horário de trabalho: 6h às 15h. Salário: US$ 18,25 a US$ 22 por hora, com base no desempenho; horas extras: US$ 27,38 a US$ 33 por hora. Pagamento quinzenal. 35 horas semanais. Alojamento opcional por US$ 140 por semana, com depósito de US$ 300, reembolsável após a conclusão do contrato e inspeção da moradia. Bônus de US$ 500 para quem retorna pela primeira vez, US$ 1.000 para quem retorna pela segunda vez ou mais, além de um cartão-presente de Natal no Dia de Ação de Graças. Uniformes e refeições durante o turno fornecidos. Local de trabalho: 3500 Clubhouse Lane, Boynton Beach, FL 33436. O trabalho é temporário, em tempo integral. A remuneração será calculada com base em uma semana de trabalho. Poderá haver até 10 horas extras, quando disponíveis. Todos os descontos obrigatórios por lei serão feitos no contracheque do trabalhador. O empregador fornecerá gratuitamente aos trabalhadores todas as ferramentas, materiais e equipamentos necessários para a execução do trabalho. O trabalhador receberá ou será reembolsado pelo transporte e subsistência (incluindo o custo razoável de hospedagem noturna, quando necessário, até US$ 110/noite para hospedagem com recibos) a uma taxa de US$ 16,78 por dia durante a viagem, até um máximo de US$ 68,00 por dia com recibos, desde o local de onde o trabalhador veio trabalhar para o empregador, seja nos EUA ou no exterior, até o local de trabalho, se o trabalhador completar 50% do período de emprego coberto pela ordem de serviço, de acordo com 20 CFR 655.20(j)(1)(i), mediante inclusão no pagamento da semana aplicável. O empregador fornecerá ou pagará o custo do transporte de retorno e da subsistência diária do trabalhador, do local de trabalho até o local de onde o trabalhador partiu para trabalhar para o empregador, independentemente de empregos intermediários, caso o trabalhador complete o período de emprego certificado ou seja demitido do emprego por qualquer motivo pelo empregador antes do término do período, de acordo com o § 655.20(j)(1)(ii); os trabalhadores com visto H-2B serão reembolsados ​​na primeira semana de trabalho por todos os vistos, processamento de vistos, travessia de fronteira e outras taxas relacionadas, incluindo aquelas exigidas pelo governo (exceto taxas de passaporte). O empregador fornecerá aos trabalhadores todas as ferramentas, suprimentos e equipamentos necessários para o desempenho do trabalho, sem custo para o trabalhador, de acordo com o 20 CFR 655.20(k). Os candidatos qualificados podem enviar o currículo para Emily Viviano Rockle, no endereço 3500 Clubhouse Lane, Boynton Beach, FL 33436, por e-mail para careers@huntersrun.net ou visitar o centro de empregos local em 3400 Belvedere Road, West Palm Beach, FL 33406. *Seu depósito de segurança é reembolsável após a conclusão do contrato e a inspeção da moradia. Se um trabalhador abandonar o emprego sem a permissão do empregador ou abandonar a moradia antes do término do prazo de inscrição por qualquer motivo, exceto rescisão por parte do empregador, o trabalhador perderá todos os depósitos de moradia, dias de folga remunerada, férias e bônus. Após a rescisão ou demissão, o trabalhador deverá desocupar a moradia imediatamente, a menos que haja acordo com o empregador.* Classificação do Cargo: 37-3011.00 - Trabalhadores de Paisagismo e Manutenção de Jardins. A classificação e descrição do cargo/setor incluem informações gerais sobre a posição, de acordo com o ONET/OES e o Sistema de Classificação Industrial da América do Norte. Consulte as Funções e a Ordem de Serviço para obter mais informações. Requisitos da vaga Experiência necessária: Não Número de horas por semana: 35 Horário de trabalho (início/término): 6h às 15h</v>
      </c>
    </row>
    <row r="663" ht="20.25" customHeight="1">
      <c r="A663" s="8" t="s">
        <v>3181</v>
      </c>
      <c r="B663" s="8" t="s">
        <v>3175</v>
      </c>
      <c r="C663" s="8" t="s">
        <v>197</v>
      </c>
      <c r="D663" s="8" t="s">
        <v>71</v>
      </c>
      <c r="E663" s="9" t="s">
        <v>44</v>
      </c>
      <c r="F663" s="9" t="s">
        <v>20</v>
      </c>
      <c r="G663" s="9" t="s">
        <v>524</v>
      </c>
      <c r="H663" s="8" t="s">
        <v>3176</v>
      </c>
      <c r="I663" s="8" t="s">
        <v>3177</v>
      </c>
      <c r="J663" s="9">
        <v>16.82</v>
      </c>
      <c r="K663" s="9">
        <v>6.0</v>
      </c>
      <c r="L663" s="8" t="s">
        <v>3182</v>
      </c>
      <c r="M663" s="8" t="s">
        <v>3183</v>
      </c>
      <c r="N663" s="7" t="str">
        <f>IFERROR(__xludf.DUMMYFUNCTION("GOOGLETRANSLATE(L663, ""en"", ""pt"")"),"Recepção")</f>
        <v>Recepção</v>
      </c>
      <c r="O663" s="7" t="str">
        <f>IFERROR(__xludf.DUMMYFUNCTION("IF(M663="""","""",GOOGLETRANSLATE(M663,""en"",""pt""))"),"O(A) recepcionista é responsável por fornecer um excelente atendimento ao cliente e garantir a eficiência das operações da recepção. As responsabilidades incluem recepcionar os hóspedes, realizar check-ins e check-outs, responder a perguntas e executar di"&amp;"versas tarefas administrativas e de escritório para garantir o bom funcionamento das operações diárias. O(A) recepcionista deve recepcionar os hóspedes de forma profissional e oferecer um atendimento cordial e prestativo. Deverá realizar os procedimentos "&amp;"de check-in e check-out utilizando os sistemas de reservas ou de gestão hoteleira. Deverá atender telefonemas, responder a e-mails e auxiliar os hóspedes com dúvidas, solicitações ou problemas. Deverá processar pagamentos, emitir recibos e manter registro"&amp;"s precisos das transações. São necessárias 6 vagas. Período: 01/10/2026 a 31/05/2027. É necessário ter 3 meses de experiência. Turnos rotativos. Dias de trabalho: segunda a domingo. Horário de trabalho: 7h às 23h. Salário: US$ 16,82 a US$ 26 por hora, com"&amp;" base no desempenho; horas extras: US$ 25,23 a US$ 39 por hora. Pagamento quinzenal. 35 horas semanais. Alojamento opcional disponível por US$ 140/semana com um depósito de US$ 300, reembolsável após a conclusão do contrato e inspeção da moradia. Bônus de"&amp;" US$ 500 para quem retorna pela primeira vez, US$ 1.000 para quem retorna pela segunda vez ou mais, além de um cartão-presente de Natal no Dia de Ação de Graças. Uniformes e refeições durante o turno fornecidos. Local de trabalho: 3500 Clubhouse Lane, Boy"&amp;"nton Beach, FL 33436. O trabalho é temporário em tempo integral. Uma única semana de trabalho será usada para calcular o salário. Pode haver até 10 horas extras disponíveis. Todas as deduções do salário do trabalhador exigidas por lei serão feitas. O empr"&amp;"egador fornecerá aos trabalhadores, sem custo, todas as ferramentas, suprimentos e equipamentos necessários para a execução do trabalho. O trabalhador receberá ou será reembolsado pelo transporte e subsistência (incluindo o custo razoável de hospedagem no"&amp;"turna, quando necessário, até US$ 110/noite para hospedagem com recibos) a uma taxa de US$ 16,78 por dia durante a viagem, até um máximo de US$ 68,00 por dia com recibos, desde o local de onde o trabalhador veio trabalhar para o empregador, seja nos EUA o"&amp;"u no exterior, até o local de trabalho, se o trabalhador completar 50% do período de emprego coberto pela ordem de serviço, de acordo com 20 CFR 655.20(j)(1)(i), mediante inclusão no pagamento da semana aplicável. O empregador fornecerá ou pagará o custo "&amp;"do transporte de retorno e da subsistência diária do trabalhador, do local de trabalho até o local de onde o trabalhador partiu para trabalhar para o empregador, independentemente de empregos intermediários, caso o trabalhador complete o período de empreg"&amp;"o certificado ou seja demitido do emprego por qualquer motivo pelo empregador antes do término do período, de acordo com o § 655.20(j)(1)(ii); os trabalhadores com visto H-2B serão reembolsados ​​na primeira semana de trabalho por todos os vistos, process"&amp;"amento de vistos, travessia de fronteira e outras taxas relacionadas, incluindo aquelas exigidas pelo governo (exceto taxas de passaporte). O empregador fornecerá aos trabalhadores todas as ferramentas, suprimentos e equipamentos necessários para o desemp"&amp;"enho do trabalho, sem custo para o trabalhador, de acordo com o 20 CFR 655.20(k). Os candidatos qualificados podem enviar o currículo para Emily Viviano Rockle, aos cuidados de 3500 Clubhouse Lane, Boynton Beach, FL 33436, por e-mail para careers@huntersr"&amp;"un.net ou visitar o centro de empregos local em 3400 Belvedere Road, West Palm Beach, FL 33406. *Seu depósito de segurança é reembolsável após a conclusão do contrato e a inspeção da acomodação. Se um trabalhador abandonar o emprego sem a permissão do emp"&amp;"regador ou abandonar a acomodação antes do término do prazo de inscrição por qualquer motivo, exceto rescisão por parte do empregador, o trabalhador perderá todos os depósitos de acomodação, dias de folga remunerada, férias e bônus. Após a rescisão ou dem"&amp;"issão, o trabalhador deverá desocupar a acomodação imediatamente, a menos que haja acordo com o empregador.* Classificação do Cargo: 43-4081.00 - Recepcionistas de Hotel, Motel e Resort. A classificação e descrição do cargo/setor incluem informações gerai"&amp;"s sobre a posição, de acordo com o ONET/OES e o Sistema de Classificação Industrial da América do Norte. Consulte as Funções e a Ordem de Serviço para obter mais informações. Requisitos da vaga Experiência necessária: Sim Meses de experiência necessários:"&amp;" 3 Número de horas por semana: 35 Horário de trabalho (início/término): 7h às 23h")</f>
        <v>O(A) recepcionista é responsável por fornecer um excelente atendimento ao cliente e garantir a eficiência das operações da recepção. As responsabilidades incluem recepcionar os hóspedes, realizar check-ins e check-outs, responder a perguntas e executar diversas tarefas administrativas e de escritório para garantir o bom funcionamento das operações diárias. O(A) recepcionista deve recepcionar os hóspedes de forma profissional e oferecer um atendimento cordial e prestativo. Deverá realizar os procedimentos de check-in e check-out utilizando os sistemas de reservas ou de gestão hoteleira. Deverá atender telefonemas, responder a e-mails e auxiliar os hóspedes com dúvidas, solicitações ou problemas. Deverá processar pagamentos, emitir recibos e manter registros precisos das transações. São necessárias 6 vagas. Período: 01/10/2026 a 31/05/2027. É necessário ter 3 meses de experiência. Turnos rotativos. Dias de trabalho: segunda a domingo. Horário de trabalho: 7h às 23h. Salário: US$ 16,82 a US$ 26 por hora, com base no desempenho; horas extras: US$ 25,23 a US$ 39 por hora. Pagamento quinzenal. 35 horas semanais. Alojamento opcional disponível por US$ 140/semana com um depósito de US$ 300, reembolsável após a conclusão do contrato e inspeção da moradia. Bônus de US$ 500 para quem retorna pela primeira vez, US$ 1.000 para quem retorna pela segunda vez ou mais, além de um cartão-presente de Natal no Dia de Ação de Graças. Uniformes e refeições durante o turno fornecidos. Local de trabalho: 3500 Clubhouse Lane, Boynton Beach, FL 33436. O trabalho é temporário em tempo integral. Uma única semana de trabalho será usada para calcular o salário. Pode haver até 10 horas extras disponíveis. Todas as deduções do salário do trabalhador exigidas por lei serão feitas. O empregador fornecerá aos trabalhadores, sem custo, todas as ferramentas, suprimentos e equipamentos necessários para a execução do trabalho. O trabalhador receberá ou será reembolsado pelo transporte e subsistência (incluindo o custo razoável de hospedagem noturna, quando necessário, até US$ 110/noite para hospedagem com recibos) a uma taxa de US$ 16,78 por dia durante a viagem, até um máximo de US$ 68,00 por dia com recibos, desde o local de onde o trabalhador veio trabalhar para o empregador, seja nos EUA ou no exterior, até o local de trabalho, se o trabalhador completar 50% do período de emprego coberto pela ordem de serviço, de acordo com 20 CFR 655.20(j)(1)(i), mediante inclusão no pagamento da semana aplicável. O empregador fornecerá ou pagará o custo do transporte de retorno e da subsistência diária do trabalhador, do local de trabalho até o local de onde o trabalhador partiu para trabalhar para o empregador, independentemente de empregos intermediários, caso o trabalhador complete o período de emprego certificado ou seja demitido do emprego por qualquer motivo pelo empregador antes do término do período, de acordo com o § 655.20(j)(1)(ii); os trabalhadores com visto H-2B serão reembolsados ​​na primeira semana de trabalho por todos os vistos, processamento de vistos, travessia de fronteira e outras taxas relacionadas, incluindo aquelas exigidas pelo governo (exceto taxas de passaporte). O empregador fornecerá aos trabalhadores todas as ferramentas, suprimentos e equipamentos necessários para o desempenho do trabalho, sem custo para o trabalhador, de acordo com o 20 CFR 655.20(k). Os candidatos qualificados podem enviar o currículo para Emily Viviano Rockle, aos cuidados de 3500 Clubhouse Lane, Boynton Beach, FL 33436, por e-mail para careers@huntersrun.net ou visitar o centro de empregos local em 3400 Belvedere Road, West Palm Beach, FL 33406. *Seu depósito de segurança é reembolsável após a conclusão do contrato e a inspeção da acomodação. Se um trabalhador abandonar o emprego sem a permissão do empregador ou abandonar a acomodação antes do término do prazo de inscrição por qualquer motivo, exceto rescisão por parte do empregador, o trabalhador perderá todos os depósitos de acomodação, dias de folga remunerada, férias e bônus. Após a rescisão ou demissão, o trabalhador deverá desocupar a acomodação imediatamente, a menos que haja acordo com o empregador.* Classificação do Cargo: 43-4081.00 - Recepcionistas de Hotel, Motel e Resort. A classificação e descrição do cargo/setor incluem informações gerais sobre a posição, de acordo com o ONET/OES e o Sistema de Classificação Industrial da América do Norte. Consulte as Funções e a Ordem de Serviço para obter mais informações. Requisitos da vaga Experiência necessária: Sim Meses de experiência necessários: 3 Número de horas por semana: 35 Horário de trabalho (início/término): 7h às 23h</v>
      </c>
    </row>
    <row r="664" ht="20.25" customHeight="1">
      <c r="A664" s="3" t="s">
        <v>3184</v>
      </c>
      <c r="B664" s="3" t="s">
        <v>3185</v>
      </c>
      <c r="C664" s="3" t="s">
        <v>1131</v>
      </c>
      <c r="D664" s="3" t="s">
        <v>109</v>
      </c>
      <c r="E664" s="4" t="s">
        <v>19</v>
      </c>
      <c r="F664" s="4" t="s">
        <v>20</v>
      </c>
      <c r="G664" s="4" t="s">
        <v>3186</v>
      </c>
      <c r="H664" s="3" t="s">
        <v>3187</v>
      </c>
      <c r="I664" s="3" t="s">
        <v>3188</v>
      </c>
      <c r="J664" s="4">
        <v>19.19</v>
      </c>
      <c r="K664" s="4">
        <v>2.0</v>
      </c>
      <c r="L664" s="3" t="s">
        <v>59</v>
      </c>
      <c r="M664" s="3" t="s">
        <v>3189</v>
      </c>
      <c r="N664" s="7" t="str">
        <f>IFERROR(__xludf.DUMMYFUNCTION("GOOGLETRANSLATE(L664, ""en"", ""pt"")"),"Trabalhador de paisagismo")</f>
        <v>Trabalhador de paisagismo</v>
      </c>
      <c r="O664" s="7" t="str">
        <f>IFERROR(__xludf.DUMMYFUNCTION("IF(M664="""","""",GOOGLETRANSLATE(M664,""en"",""pt""))"),"Paisagismo e manutenção de terrenos utilizando ferramentas manuais ou elétricas. Os trabalhadores geralmente executam uma variedade de tarefas, que podem incluir qualquer combinação das seguintes: colocação de grama, corte de grama, poda, plantio, irrigaç"&amp;"ão, fertilização, escavação, rastelagem, instalação de sprinklers e instalação de blocos de concreto pré-moldados sem argamassa. Classificação da função: 37-3011.00 - Trabalhadores de Paisagismo e Manutenção de Terrenos. A classificação e descrição da fun"&amp;"ção/setor incluem informações gerais sobre o cargo, de acordo com o ONET/OES e o Sistema de Classificação Industrial da América do Norte (NAICS). Consulte as Funções e a Ordem de Serviço para obter mais informações. Requisitos da função: Experiência neces"&amp;"sária: Não. Requisitos especiais: Deve ser capaz de levantar/carregar 36 kg, quando necessário. Trabalho aos sábados, quando necessário. Número de horas por semana: 40. Horário de trabalho (início/término): 7h às 16h.")</f>
        <v>Paisagismo e manutenção de terrenos utilizando ferramentas manuais ou elétricas. Os trabalhadores geralmente executam uma variedade de tarefas, que podem incluir qualquer combinação das seguintes: colocação de grama, corte de grama, poda, plantio, irrigação, fertilização, escavação, rastelagem, instalação de sprinklers e instalação de blocos de concreto pré-moldados sem argamassa. Classificação da função: 37-3011.00 - Trabalhadores de Paisagismo e Manutenção de Terrenos. A classificação e descrição da função/setor incluem informações gerais sobre o cargo, de acordo com o ONET/OES e o Sistema de Classificação Industrial da América do Norte (NAICS). Consulte as Funções e a Ordem de Serviço para obter mais informações. Requisitos da função: Experiência necessária: Não. Requisitos especiais: Deve ser capaz de levantar/carregar 36 kg, quando necessário. Trabalho aos sábados, quando necessário. Número de horas por semana: 40. Horário de trabalho (início/término): 7h às 16h.</v>
      </c>
    </row>
    <row r="665" ht="20.25" customHeight="1">
      <c r="A665" s="8" t="s">
        <v>3190</v>
      </c>
      <c r="B665" s="8" t="s">
        <v>3191</v>
      </c>
      <c r="C665" s="8" t="s">
        <v>93</v>
      </c>
      <c r="D665" s="8" t="s">
        <v>249</v>
      </c>
      <c r="E665" s="9" t="s">
        <v>19</v>
      </c>
      <c r="F665" s="9" t="s">
        <v>20</v>
      </c>
      <c r="G665" s="9" t="s">
        <v>146</v>
      </c>
      <c r="H665" s="8" t="s">
        <v>3192</v>
      </c>
      <c r="I665" s="8"/>
      <c r="J665" s="9">
        <v>22.0</v>
      </c>
      <c r="K665" s="9">
        <v>5.0</v>
      </c>
      <c r="L665" s="8" t="s">
        <v>3193</v>
      </c>
      <c r="M665" s="8" t="s">
        <v>3194</v>
      </c>
      <c r="N665" s="7" t="str">
        <f>IFERROR(__xludf.DUMMYFUNCTION("GOOGLETRANSLATE(L665, ""en"", ""pt"")"),"Técnico de Paisagismo")</f>
        <v>Técnico de Paisagismo</v>
      </c>
      <c r="O665" s="7" t="str">
        <f>IFERROR(__xludf.DUMMYFUNCTION("IF(M665="""","""",GOOGLETRANSLATE(M665,""en"",""pt""))"),"Paisagismo e manutenção de terrenos utilizando ferramentas manuais ou elétricas. Planejamento e cultivo de gramados e jardins. Manutenção de gramados existentes, incluindo cobertura morta, aeração, capina, poda, remoção de tocos, remoção de palha morta, a"&amp;"paro e acabamento ao redor de canteiros de flores, calçadas e muros. Remoção de detritos. Plantio. Classificação da vaga: 37-3011.00 - Trabalhadores de Paisagismo e Manutenção de Terrenos. A classificação e descrição da vaga/setor incluem informações gera"&amp;"is sobre o cargo, de acordo com o ONET/OES e o Sistema de Classificação Industrial da América do Norte (NAICS). Consulte as Funções e a Ordem de Serviço para obter mais informações. Requisitos da vaga: Experiência exigida: Sim. Meses de experiência exigid"&amp;"os: 6. Requisitos especiais: Capacidade de levantar/carregar 23 kg, quando necessário. Trabalho aos sábados e domingos, quando necessário. Testes toxicológicos pós-contratação, em caso de suspeita de uso, e pós-acidente, são obrigatórios para trabalhadore"&amp;"s estrangeiros e nacionais. Carteira de habilitação exigida apenas para trabalhadores estrangeiros e nacionais que dirigem veículos da empresa (dirigir não é um requisito para todos os funcionários da vaga). Requer-se seis meses de experiência prévia em p"&amp;"aisagismo. O empregador poderá oferecer uma carga horária superior à estipulada, dependendo das condições climáticas, das necessidades da empresa e de outros fatores. Calor extremo, frio intenso, chuva ou seca podem afetar o horário de trabalho exato. Núm"&amp;"ero de horas por semana: 42. Horário de trabalho (início/término): 8h às 17h.")</f>
        <v>Paisagismo e manutenção de terrenos utilizando ferramentas manuais ou elétricas. Planejamento e cultivo de gramados e jardins. Manutenção de gramados existentes, incluindo cobertura morta, aeração, capina, poda, remoção de tocos, remoção de palha morta, aparo e acabamento ao redor de canteiros de flores, calçadas e muros. Remoção de detritos. Plantio. Classificação da vaga: 37-3011.00 - Trabalhadores de Paisagismo e Manutenção de Terrenos. A classificação e descrição da vaga/setor incluem informações gerais sobre o cargo, de acordo com o ONET/OES e o Sistema de Classificação Industrial da América do Norte (NAICS). Consulte as Funções e a Ordem de Serviço para obter mais informações. Requisitos da vaga: Experiência exigida: Sim. Meses de experiência exigidos: 6. Requisitos especiais: Capacidade de levantar/carregar 23 kg, quando necessário. Trabalho aos sábados e domingos, quando necessário. Testes toxicológicos pós-contratação, em caso de suspeita de uso, e pós-acidente, são obrigatórios para trabalhadores estrangeiros e nacionais. Carteira de habilitação exigida apenas para trabalhadores estrangeiros e nacionais que dirigem veículos da empresa (dirigir não é um requisito para todos os funcionários da vaga). Requer-se seis meses de experiência prévia em paisagismo. O empregador poderá oferecer uma carga horária superior à estipulada, dependendo das condições climáticas, das necessidades da empresa e de outros fatores. Calor extremo, frio intenso, chuva ou seca podem afetar o horário de trabalho exato. Número de horas por semana: 42. Horário de trabalho (início/término): 8h às 17h.</v>
      </c>
    </row>
    <row r="666" ht="20.25" customHeight="1">
      <c r="A666" s="3" t="s">
        <v>3195</v>
      </c>
      <c r="B666" s="3" t="s">
        <v>3196</v>
      </c>
      <c r="C666" s="3" t="s">
        <v>2263</v>
      </c>
      <c r="D666" s="3" t="s">
        <v>186</v>
      </c>
      <c r="E666" s="4" t="s">
        <v>19</v>
      </c>
      <c r="F666" s="4" t="s">
        <v>20</v>
      </c>
      <c r="G666" s="4" t="s">
        <v>65</v>
      </c>
      <c r="H666" s="3" t="s">
        <v>3197</v>
      </c>
      <c r="I666" s="3" t="s">
        <v>3198</v>
      </c>
      <c r="J666" s="4">
        <v>20.25</v>
      </c>
      <c r="K666" s="4">
        <v>4.0</v>
      </c>
      <c r="L666" s="3" t="s">
        <v>1477</v>
      </c>
      <c r="M666" s="3" t="s">
        <v>3199</v>
      </c>
      <c r="N666" s="7" t="str">
        <f>IFERROR(__xludf.DUMMYFUNCTION("GOOGLETRANSLATE(L666, ""en"", ""pt"")"),"Trabalhador de paisagismo")</f>
        <v>Trabalhador de paisagismo</v>
      </c>
      <c r="O666" s="7" t="str">
        <f>IFERROR(__xludf.DUMMYFUNCTION("IF(M666="""","""",GOOGLETRANSLATE(M666,""en"",""pt""))"),"***Resposta à Solicitação de Informações*** Essas tarefas são realizadas em dois ambientes operacionais: (1) a divisão de instalação paisagística do empregador, que atende clientes residenciais e comerciais em locais de trabalho externos, e (2) o centro d"&amp;"e jardinagem do empregador, um estabelecimento comercial de varejo onde plantas já prontas, adquiridas de fornecedores atacadistas, são vendidas ao público e a empreiteiros. O empregador não cultiva, propaga ou colhe nenhuma planta. Todo o material vegeta"&amp;"l manuseado pelos funcionários é comprado no atacado e vendido ou instalado como um produto comercial acabado. O centro de jardinagem é um negócio comercial de varejo, não uma fazenda ou operação agrícola. Os equipamentos motorizados de pequeno porte pode"&amp;"m incluir, entre outros: roçadeiras (finalidade: aparar bordas de gramados e vegetação excessiva); sopradores de folhas (finalidade: limpar aparas e detritos de locais de trabalho e superfícies pavimentadas); cortadores de grama manuais (finalidade: corta"&amp;"r grama em locais residenciais e comerciais); compactador de placa vibratória (finalidade: compactar solo e base de cascalho durante instalações de paisagismo e muros de contenção). Todos os equipamentos motorizados de pequeno porte são operados sob a sup"&amp;"ervisão de um supervisor. ***Original F.a.2*** Executar trabalhos de paisagismo e instalação em locais residenciais e comerciais, utilizando ferramentas manuais e elétricas, incluindo pás, ancinhos, compactadores, níveis, carrinhos de mão e compactadores "&amp;"manuais; pode operar pequenos equipamentos elétricos conforme designado. Paisagismo de terrenos utilizando ferramentas manuais ou elétricas. Seguir projetos paisagísticos planejados para determinar onde colocar grama ou plantar flores ou folhagens. Instal"&amp;"ar jardins de pedra, sistemas de drenagem, sistemas de irrigação e muros de contenção. Plantar sementes, bulbos, folhagens, plantas floríferas, grama, forrações, árvores ou arbustos e aplicar cobertura morta para proteção, utilizando ferramentas de jardin"&amp;"agem. Transportar ou espalhar terra vegetal. Utilizar métodos de irrigação para ajustar a quantidade de água consumida e evitar desperdício. Criar e preparar novos canteiros de plantio cavando, delimitando e nivelando. Utilizar ferramentas manuais como pá"&amp;"s, ancinhos, serras de poda, aparadores de cerca viva ou arbustos, ou machados. Regar gramados, árvores ou plantas usando sistemas de irrigação portáteis, mangueiras ou regadores. Auxiliar na instalação de blocos de concreto pré-moldados sem argamassa. Mo"&amp;"vimentar e organizar plantas prontas para instalação ou venda; separar e organizar pedidos de plantas para instalações paisagísticas programadas. Os funcionários darão suporte às operações de paisagismo movimentando e organizando plantas prontas para vend"&amp;"a ou instalação no campo, regando plantas em vasos para manter sua viabilidade até a instalação ou venda, separando e organizando pedidos de plantas para instalações paisagísticas programadas e realocando o estoque dentro da oficina, conforme instruções. "&amp;"Manter a limpeza das áreas de trabalho e de organização. Poderá dirigir o veículo da equipe. Não é necessário possuir carteira de habilitação para esta vaga. Caso o candidato já possua uma carteira de habilitação padrão, não comercial, poderá ser solicita"&amp;"do a dirigir um veículo até os locais de trabalho, conforme necessário. Todas as tarefas são executadas sob a supervisão do supervisor. Classificação da Função: 53-7062.00 - Operários e Movimentadores de Carga, Estoque e Materiais. A classificação e descr"&amp;"ição da função/setor inclui informações gerais sobre o cargo, de acordo com o ONET/OES e o Sistema de Classificação Industrial da América do Norte (NAICS). Consulte as Funções e a Ordem de Serviço para obter mais informações. Requisitos da Função Experiên"&amp;"cia Necessária: Não. Requisitos Especiais: Ter 18 anos ou mais. Apresentar comprovante de autorização legal para trabalhar nos Estados Unidos. Executar atividades físicas, como levantar, equilibrar-se, caminhar, abaixar-se, manusear, posicionar, mover e m"&amp;"anipular materiais; usar força estática para exercer força muscular máxima para levantar, empurrar, puxar e carregar objetos de até 23 kg. Todos os candidatos devem ser capazes, dispostos e qualificados para executar o trabalho descrito e devem estar disp"&amp;"oníveis durante todo o período especificado. Trabalho ao ar livre, exposto às intempéries; deve ser capaz de realizar trabalho fisicamente extenuante por longos períodos, ocasionalmente em calor ou frio extremos. Condições climáticas variáveis ​​se aplica"&amp;"m; a carga horária pode sofrer alterações (+/-), com possibilidade de tempo de inatividade e/ou horas extras. Número de horas por semana: 40 Horário de trabalho (início/término): 7h00 - 17h00")</f>
        <v>***Resposta à Solicitação de Informações*** Essas tarefas são realizadas em dois ambientes operacionais: (1) a divisão de instalação paisagística do empregador, que atende clientes residenciais e comerciais em locais de trabalho externos, e (2) o centro de jardinagem do empregador, um estabelecimento comercial de varejo onde plantas já prontas, adquiridas de fornecedores atacadistas, são vendidas ao público e a empreiteiros. O empregador não cultiva, propaga ou colhe nenhuma planta. Todo o material vegetal manuseado pelos funcionários é comprado no atacado e vendido ou instalado como um produto comercial acabado. O centro de jardinagem é um negócio comercial de varejo, não uma fazenda ou operação agrícola. Os equipamentos motorizados de pequeno porte podem incluir, entre outros: roçadeiras (finalidade: aparar bordas de gramados e vegetação excessiva); sopradores de folhas (finalidade: limpar aparas e detritos de locais de trabalho e superfícies pavimentadas); cortadores de grama manuais (finalidade: cortar grama em locais residenciais e comerciais); compactador de placa vibratória (finalidade: compactar solo e base de cascalho durante instalações de paisagismo e muros de contenção). Todos os equipamentos motorizados de pequeno porte são operados sob a supervisão de um supervisor. ***Original F.a.2*** Executar trabalhos de paisagismo e instalação em locais residenciais e comerciais, utilizando ferramentas manuais e elétricas, incluindo pás, ancinhos, compactadores, níveis, carrinhos de mão e compactadores manuais; pode operar pequenos equipamentos elétricos conforme designado. Paisagismo de terrenos utilizando ferramentas manuais ou elétricas. Seguir projetos paisagísticos planejados para determinar onde colocar grama ou plantar flores ou folhagens. Instalar jardins de pedra, sistemas de drenagem, sistemas de irrigação e muros de contenção. Plantar sementes, bulbos, folhagens, plantas floríferas, grama, forrações, árvores ou arbustos e aplicar cobertura morta para proteção, utilizando ferramentas de jardinagem. Transportar ou espalhar terra vegetal. Utilizar métodos de irrigação para ajustar a quantidade de água consumida e evitar desperdício. Criar e preparar novos canteiros de plantio cavando, delimitando e nivelando. Utilizar ferramentas manuais como pás, ancinhos, serras de poda, aparadores de cerca viva ou arbustos, ou machados. Regar gramados, árvores ou plantas usando sistemas de irrigação portáteis, mangueiras ou regadores. Auxiliar na instalação de blocos de concreto pré-moldados sem argamassa. Movimentar e organizar plantas prontas para instalação ou venda; separar e organizar pedidos de plantas para instalações paisagísticas programadas. Os funcionários darão suporte às operações de paisagismo movimentando e organizando plantas prontas para venda ou instalação no campo, regando plantas em vasos para manter sua viabilidade até a instalação ou venda, separando e organizando pedidos de plantas para instalações paisagísticas programadas e realocando o estoque dentro da oficina, conforme instruções. Manter a limpeza das áreas de trabalho e de organização. Poderá dirigir o veículo da equipe. Não é necessário possuir carteira de habilitação para esta vaga. Caso o candidato já possua uma carteira de habilitação padrão, não comercial, poderá ser solicitado a dirigir um veículo até os locais de trabalho, conforme necessário. Todas as tarefas são executadas sob a supervisão do supervisor. Classificação da Função: 53-7062.00 - Operários e Movimentadores de Carga, Estoque e Materiais. A classificação e descrição da função/setor inclui informações gerais sobre o cargo, de acordo com o ONET/OES e o Sistema de Classificação Industrial da América do Norte (NAICS). Consulte as Funções e a Ordem de Serviço para obter mais informações. Requisitos da Função Experiência Necessária: Não. Requisitos Especiais: Ter 18 anos ou mais. Apresentar comprovante de autorização legal para trabalhar nos Estados Unidos. Executar atividades físicas, como levantar, equilibrar-se, caminhar, abaixar-se, manusear, posicionar, mover e manipular materiais; usar força estática para exercer força muscular máxima para levantar, empurrar, puxar e carregar objetos de até 23 kg. Todos os candidatos devem ser capazes, dispostos e qualificados para executar o trabalho descrito e devem estar disponíveis durante todo o período especificado. Trabalho ao ar livre, exposto às intempéries; deve ser capaz de realizar trabalho fisicamente extenuante por longos períodos, ocasionalmente em calor ou frio extremos. Condições climáticas variáveis ​​se aplicam; a carga horária pode sofrer alterações (+/-), com possibilidade de tempo de inatividade e/ou horas extras. Número de horas por semana: 40 Horário de trabalho (início/término): 7h00 - 17h00</v>
      </c>
    </row>
    <row r="667" ht="20.25" customHeight="1">
      <c r="A667" s="8" t="s">
        <v>3200</v>
      </c>
      <c r="B667" s="8" t="s">
        <v>3201</v>
      </c>
      <c r="C667" s="8" t="s">
        <v>3202</v>
      </c>
      <c r="D667" s="8" t="s">
        <v>71</v>
      </c>
      <c r="E667" s="9" t="s">
        <v>19</v>
      </c>
      <c r="F667" s="9" t="s">
        <v>20</v>
      </c>
      <c r="G667" s="9" t="s">
        <v>524</v>
      </c>
      <c r="H667" s="8" t="s">
        <v>3203</v>
      </c>
      <c r="I667" s="8" t="s">
        <v>3204</v>
      </c>
      <c r="J667" s="9">
        <v>16.84</v>
      </c>
      <c r="K667" s="9">
        <v>4.0</v>
      </c>
      <c r="L667" s="8" t="s">
        <v>3205</v>
      </c>
      <c r="M667" s="8" t="s">
        <v>3206</v>
      </c>
      <c r="N667" s="7" t="str">
        <f>IFERROR(__xludf.DUMMYFUNCTION("GOOGLETRANSLATE(L667, ""en"", ""pt"")"),"Tecnologia de piso")</f>
        <v>Tecnologia de piso</v>
      </c>
      <c r="O667" s="7" t="str">
        <f>IFERROR(__xludf.DUMMYFUNCTION("IF(M667="""","""",GOOGLETRANSLATE(M667,""en"",""pt""))"),"Responsável pela manutenção geral dos pisos de superfície dura e carpetes (limpeza a seco e úmida, remoção de ceras antigas, enceramento, aspiração, lavagem com xampu, polimento e lustro utilizando máquinas comerciais) das áreas de refeições, comuns e pri"&amp;"vativas dos clubes durante o período de maior movimento sazonal. É responsável pela mistura e uso seguros e adequados das soluções de limpeza e segue todas as precauções de segurança. Executa serviços adicionais de limpeza, como limpeza de banheiros e out"&amp;"ras áreas comuns, coleta de toalhas e roupas de cama sujas, remoção de lixo e limpeza de calçadas com soprador ou lavadora de alta pressão. Utiliza equipamentos de proteção individual em todas as funções apropriadas. Executa as atividades de limpeza dentr"&amp;"o das diretrizes estabelecidas e áreas designadas para garantir que os padrões de qualidade, as normas de segurança e as expectativas de atendimento ao cliente sejam atendidos. Responsável pela conclusão satisfatória e pontual da área de limpeza designada"&amp;", de acordo com o cronograma. O trabalho pode ser realizado em todos os turnos, incluindo o turno da noite. Deve ser capaz de levantar/mover 18 kg e ficar em pé, caminhar, se abaixar e alcançar objetos continuamente por 8 horas ou mais diariamente. Dias e"&amp;" horas de trabalho previstos por semana e escala: 35 horas por semana (no mínimo). Cinco turnos por semana durante a semana de trabalho de sete dias. Os horários de trabalho padrão são das 21h às 5h, das 7h às 15h e das 14h às 23h. O trabalho é realizado "&amp;"principalmente no turno da noite, embora algum trabalho diurno possa ser necessário. Horas extras: Somente quando necessário. VEJA O DOCUMENTO ANEXO PARA OBTER UMA CÓPIA COMPLETA DA OFERTA DE EMPREGO - Observação para o Oficial Certificador: Em anexo, enc"&amp;"ontra-se uma cópia completa da oferta de emprego. Caso seja necessário adicionar alguma informação desta oferta de emprego ao formulário ETA-9142, concedemos permissão para que você adicione as informações listadas neste anexo. Classificação do Cargo: 37-"&amp;"2011.00 - Zeladores e Faxineiros, exceto Empregadas Domésticas e Auxiliares de Limpeza. A classificação e descrição do cargo/setor inclui informações gerais sobre a posição, de acordo com o ONET/OES e o Sistema de Classificação Industrial da América do No"&amp;"rte (NAICS). Consulte as Funções e a Ordem de Serviço para obter mais informações. Requisitos do Cargo Experiência Necessária: Não Requisitos Especiais: Deve ter 18 anos de idade; Aprovação em exame toxicológico pré-admissional (de acordo com a Política d"&amp;"e Ambiente de Trabalho Livre de Drogas da empresa) e verificação de antecedentes. Isso se aplica a vagas sazonais e anuais em tempo integral, independentemente de nacionalidade, raça, gênero ou status de visto. Disponibilidade para trabalhar em todos os t"&amp;"urnos, incluindo fins de semana, noites, madrugadas e feriados. É necessário apresentar postura e aparência profissionais. Número de horas semanais: 56. Horário de trabalho (início/término): 21h às 5h.")</f>
        <v>Responsável pela manutenção geral dos pisos de superfície dura e carpetes (limpeza a seco e úmida, remoção de ceras antigas, enceramento, aspiração, lavagem com xampu, polimento e lustro utilizando máquinas comerciais) das áreas de refeições, comuns e privativas dos clubes durante o período de maior movimento sazonal. É responsável pela mistura e uso seguros e adequados das soluções de limpeza e segue todas as precauções de segurança. Executa serviços adicionais de limpeza, como limpeza de banheiros e outras áreas comuns, coleta de toalhas e roupas de cama sujas, remoção de lixo e limpeza de calçadas com soprador ou lavadora de alta pressão. Utiliza equipamentos de proteção individual em todas as funções apropriadas. Executa as atividades de limpeza dentro das diretrizes estabelecidas e áreas designadas para garantir que os padrões de qualidade, as normas de segurança e as expectativas de atendimento ao cliente sejam atendidos. Responsável pela conclusão satisfatória e pontual da área de limpeza designada, de acordo com o cronograma. O trabalho pode ser realizado em todos os turnos, incluindo o turno da noite. Deve ser capaz de levantar/mover 18 kg e ficar em pé, caminhar, se abaixar e alcançar objetos continuamente por 8 horas ou mais diariamente. Dias e horas de trabalho previstos por semana e escala: 35 horas por semana (no mínimo). Cinco turnos por semana durante a semana de trabalho de sete dias. Os horários de trabalho padrão são das 21h às 5h, das 7h às 15h e das 14h às 23h. O trabalho é realizado principalmente no turno da noite, embora algum trabalho diurno possa ser necessário. Horas extras: Somente quando necessário. VEJA O DOCUMENTO ANEXO PARA OBTER UMA CÓPIA COMPLETA DA OFERTA DE EMPREGO - Observação para o Oficial Certificador: Em anexo, encontra-se uma cópia completa da oferta de emprego. Caso seja necessário adicionar alguma informação desta oferta de emprego ao formulário ETA-9142, concedemos permissão para que você adicione as informações listadas neste anexo. Classificação do Cargo: 37-2011.00 - Zeladores e Faxineiros, exceto Empregadas Domésticas e Auxiliares de Limpeza. A classificação e descrição do cargo/setor inclui informações gerais sobre a posição, de acordo com o ONET/OES e o Sistema de Classificação Industrial da América do Norte (NAICS). Consulte as Funções e a Ordem de Serviço para obter mais informações. Requisitos do Cargo Experiência Necessária: Não Requisitos Especiais: Deve ter 18 anos de idade; Aprovação em exame toxicológico pré-admissional (de acordo com a Política de Ambiente de Trabalho Livre de Drogas da empresa) e verificação de antecedentes. Isso se aplica a vagas sazonais e anuais em tempo integral, independentemente de nacionalidade, raça, gênero ou status de visto. Disponibilidade para trabalhar em todos os turnos, incluindo fins de semana, noites, madrugadas e feriados. É necessário apresentar postura e aparência profissionais. Número de horas semanais: 56. Horário de trabalho (início/término): 21h às 5h.</v>
      </c>
    </row>
    <row r="668" ht="20.25" customHeight="1">
      <c r="A668" s="3" t="s">
        <v>3207</v>
      </c>
      <c r="B668" s="3" t="s">
        <v>3201</v>
      </c>
      <c r="C668" s="3" t="s">
        <v>3202</v>
      </c>
      <c r="D668" s="3" t="s">
        <v>71</v>
      </c>
      <c r="E668" s="4" t="s">
        <v>19</v>
      </c>
      <c r="F668" s="4" t="s">
        <v>20</v>
      </c>
      <c r="G668" s="4" t="s">
        <v>524</v>
      </c>
      <c r="H668" s="3" t="s">
        <v>3203</v>
      </c>
      <c r="I668" s="3" t="s">
        <v>3204</v>
      </c>
      <c r="J668" s="4">
        <v>16.97</v>
      </c>
      <c r="K668" s="4">
        <v>120.0</v>
      </c>
      <c r="L668" s="3" t="s">
        <v>1690</v>
      </c>
      <c r="M668" s="3" t="s">
        <v>3208</v>
      </c>
      <c r="N668" s="7" t="str">
        <f>IFERROR(__xludf.DUMMYFUNCTION("GOOGLETRANSLATE(L668, ""en"", ""pt"")"),"Atendente de Sala de Jantar")</f>
        <v>Atendente de Sala de Jantar</v>
      </c>
      <c r="O668" s="7" t="str">
        <f>IFERROR(__xludf.DUMMYFUNCTION("IF(M668="""","""",GOOGLETRANSLATE(M668,""en"",""pt""))"),"Executa tarefas de serviço, limpeza, preparação e reposição de estoque para o restaurante, bem como para festas, casamentos e banquetes, e atende às solicitações dos sócios do clube. Serve e repõe bebidas, pãezinhos e todos os outros itens do jantar dos s"&amp;"ócios. Limpa as mesas e prepara as áreas de jantar e eventos, troca as toalhas de mesa e arruma as mesas; recolhe a louça suja; repõe o estoque de toalhas de mesa limpas, copos, talheres e pratos. Executa outras tarefas no salão, que podem incluir atender"&amp;" o telefone para fazer reservas ou pedidos para viagem, e recepcionar, acomodar e agradecer aos clientes. Dias e horários de trabalho previstos por semana: 35 horas por semana (no mínimo). Cinco turnos por semana durante a semana de trabalho de sete dias."&amp;" O horário de funcionamento é das 6h às 24h. Os horários de turno padrão são das 7h às 15h, das 10h às 15h e das 16h às 13h. Os funcionários podem ser escalados para turnos duplos. Poderá ser necessário iniciar o expediente cedo (6h) e terminar tarde (0h)"&amp;", dependendo dos eventos (por exemplo, festas particulares, casamentos, banquetes). Horas extras: Somente quando necessário. VEJA O DOCUMENTO ANEXO PARA OBTER UMA CÓPIA COMPLETA DA OFERTA DE EMPREGO - Observação para o Oficial Certificador: Em anexo, enco"&amp;"ntra-se uma cópia completa da oferta de emprego. Caso seja necessário adicionar alguma informação desta oferta de emprego ao formulário ETA-9142, concedemos permissão para que você adicione as informações listadas neste anexo. Classificação do Cargo: 35-9"&amp;"011.00 - Atendentes de Refeitório e Cafeteria e Auxiliares de Barman. A classificação e descrição do cargo/setor incluem informações gerais sobre a posição, de acordo com o ONET/OES e o Sistema de Classificação Industrial da América do Norte (NAICS). Cons"&amp;"ulte as Funções e a Ordem de Serviço para obter mais informações. Requisitos do Cargo Experiência Necessária: Não. Requisitos Especiais: Ter 18 anos de idade ou mais; ser aprovado no exame toxicológico pré-admissional (de acordo com a Política de Ambiente"&amp;" de Trabalho Livre de Drogas da empresa) e na verificação de antecedentes. Isso inclui vagas sazonais e anuais em tempo integral e se aplica a todos os candidatos, independentemente de sua nacionalidade, raça, gênero ou situação de visto. É necessário ter"&amp;" disponibilidade para trabalhar em todos os turnos, incluindo fins de semana, noites e feriados. É imprescindível apresentar uma postura e aparência profissionais. Número de horas por semana: 56. Horário de trabalho (início/término): 7h às 15h.")</f>
        <v>Executa tarefas de serviço, limpeza, preparação e reposição de estoque para o restaurante, bem como para festas, casamentos e banquetes, e atende às solicitações dos sócios do clube. Serve e repõe bebidas, pãezinhos e todos os outros itens do jantar dos sócios. Limpa as mesas e prepara as áreas de jantar e eventos, troca as toalhas de mesa e arruma as mesas; recolhe a louça suja; repõe o estoque de toalhas de mesa limpas, copos, talheres e pratos. Executa outras tarefas no salão, que podem incluir atender o telefone para fazer reservas ou pedidos para viagem, e recepcionar, acomodar e agradecer aos clientes. Dias e horários de trabalho previstos por semana: 35 horas por semana (no mínimo). Cinco turnos por semana durante a semana de trabalho de sete dias. O horário de funcionamento é das 6h às 24h. Os horários de turno padrão são das 7h às 15h, das 10h às 15h e das 16h às 13h. Os funcionários podem ser escalados para turnos duplos. Poderá ser necessário iniciar o expediente cedo (6h) e terminar tarde (0h), dependendo dos eventos (por exemplo, festas particulares, casamentos, banquetes). Horas extras: Somente quando necessário. VEJA O DOCUMENTO ANEXO PARA OBTER UMA CÓPIA COMPLETA DA OFERTA DE EMPREGO - Observação para o Oficial Certificador: Em anexo, encontra-se uma cópia completa da oferta de emprego. Caso seja necessário adicionar alguma informação desta oferta de emprego ao formulário ETA-9142, concedemos permissão para que você adicione as informações listadas neste anexo. Classificação do Cargo: 35-9011.00 - Atendentes de Refeitório e Cafeteria e Auxiliares de Barman. A classificação e descrição do cargo/setor incluem informações gerais sobre a posição, de acordo com o ONET/OES e o Sistema de Classificação Industrial da América do Norte (NAICS). Consulte as Funções e a Ordem de Serviço para obter mais informações. Requisitos do Cargo Experiência Necessária: Não. Requisitos Especiais: Ter 18 anos de idade ou mais; ser aprovado no exame toxicológico pré-admissional (de acordo com a Política de Ambiente de Trabalho Livre de Drogas da empresa) e na verificação de antecedentes. Isso inclui vagas sazonais e anuais em tempo integral e se aplica a todos os candidatos, independentemente de sua nacionalidade, raça, gênero ou situação de visto. É necessário ter disponibilidade para trabalhar em todos os turnos, incluindo fins de semana, noites e feriados. É imprescindível apresentar uma postura e aparência profissionais. Número de horas por semana: 56. Horário de trabalho (início/término): 7h às 15h.</v>
      </c>
    </row>
    <row r="669" ht="20.25" customHeight="1">
      <c r="A669" s="8" t="s">
        <v>3209</v>
      </c>
      <c r="B669" s="8" t="s">
        <v>3201</v>
      </c>
      <c r="C669" s="8" t="s">
        <v>3202</v>
      </c>
      <c r="D669" s="8" t="s">
        <v>71</v>
      </c>
      <c r="E669" s="9" t="s">
        <v>19</v>
      </c>
      <c r="F669" s="9" t="s">
        <v>20</v>
      </c>
      <c r="G669" s="9" t="s">
        <v>524</v>
      </c>
      <c r="H669" s="8" t="s">
        <v>3203</v>
      </c>
      <c r="I669" s="8" t="s">
        <v>3204</v>
      </c>
      <c r="J669" s="9">
        <v>17.32</v>
      </c>
      <c r="K669" s="9">
        <v>65.0</v>
      </c>
      <c r="L669" s="8" t="s">
        <v>387</v>
      </c>
      <c r="M669" s="8" t="s">
        <v>3210</v>
      </c>
      <c r="N669" s="7" t="str">
        <f>IFERROR(__xludf.DUMMYFUNCTION("GOOGLETRANSLATE(L669, ""en"", ""pt"")"),"Ordem de serviço não disponível")</f>
        <v>Ordem de serviço não disponível</v>
      </c>
      <c r="O669" s="7" t="str">
        <f>IFERROR(__xludf.DUMMYFUNCTION("IF(M669="""","""",GOOGLETRANSLATE(M669,""en"",""pt""))"),"Executa todos os métodos de preparo de alimentos, controla as porções e decora todos os pratos de acordo com os padrões estabelecidos pelo Clube. Mantém altos padrões de qualidade na produção de alimentos para garantir a satisfação dos sócios e convidados"&amp;". Inspeciona e limpa as áreas de preparo de alimentos, como equipamentos e superfícies de trabalho, ou áreas de serviço, para garantir práticas seguras e higiênicas de manipulação de alimentos. Prepara, cozinha, tempera e apresenta os alimentos de acordo "&amp;"com as receitas e os padrões do Clube. Assa, grelha e cozinha no vapor carnes, peixes, legumes, pães, sobremesas e outros alimentos. Garante que os alimentos sejam armazenados e cozidos na temperatura correta, regulando a temperatura de fornos, grelhas e "&amp;"assadeiras. Garante o frescor dos alimentos e ingredientes, verificando a qualidade, controlando os itens novos e antigos e fazendo o rodízio do estoque. Dias e horários de trabalho previstos por semana: 40 horas semanais. Cinco turnos por semana, durante"&amp;" a semana de trabalho de sete dias. O horário de funcionamento é das 3h às 24h. Os horários de trabalho padrão são das 7h às 15h, das 14h às 22h e das 3h às 11h. Inícios de turno mais cedo (3h) e términos mais tarde (0h) podem ser necessários dependendo d"&amp;"os eventos (por exemplo, festas particulares, casamentos, banquetes). Horas extras: Sim. Conforme necessário. VEJA O DOCUMENTO ANEXO PARA OBTER UMA CÓPIA COMPLETA DA OFERTA DE EMPREGO - Observação para o Oficial Certificador: Em anexo, encontra-se uma cóp"&amp;"ia completa da oferta de emprego. Caso seja necessário adicionar alguma informação desta oferta de emprego ao formulário ETA-9142, concedemos permissão para adicionar as informações listadas neste anexo. Classificação do Cargo: 35-2014.00 - Cozinheiros, R"&amp;"estaurante. A classificação e descrição do cargo/setor incluem informações gerais sobre a posição, de acordo com o ONET/OES e o Sistema de Classificação Industrial da América do Norte. Consulte as Funções e a Ordem de Serviço para obter mais informações. "&amp;"Requisitos da Vaga Experiência Necessária: Sim Meses de Experiência Necessários: 12 Requisitos Especiais: Um ano de experiência como cozinheiro(a) em um ambiente de alta gastronomia ou, alternativamente, um ano de formação culinária formal. É necessário t"&amp;"er 18 anos de idade; ser aprovado(a) no exame toxicológico pré-admissional (de acordo com a Política de Ambiente de Trabalho Livre de Drogas da empresa) e na verificação de antecedentes. Isso inclui vagas sazonais e anuais em tempo integral e se aplica a "&amp;"todos os candidatos, independentemente de nacionalidade, raça, sexo ou status de visto. Disponibilidade para trabalhar em todos os turnos, incluindo fins de semana, noites e feriados. É necessário apresentar comportamento e aparência profissionais. Número"&amp;" de Horas por Semana: 56 Horário de Trabalho (Início/Término): 7h às 15h")</f>
        <v>Executa todos os métodos de preparo de alimentos, controla as porções e decora todos os pratos de acordo com os padrões estabelecidos pelo Clube. Mantém altos padrões de qualidade na produção de alimentos para garantir a satisfação dos sócios e convidados. Inspeciona e limpa as áreas de preparo de alimentos, como equipamentos e superfícies de trabalho, ou áreas de serviço, para garantir práticas seguras e higiênicas de manipulação de alimentos. Prepara, cozinha, tempera e apresenta os alimentos de acordo com as receitas e os padrões do Clube. Assa, grelha e cozinha no vapor carnes, peixes, legumes, pães, sobremesas e outros alimentos. Garante que os alimentos sejam armazenados e cozidos na temperatura correta, regulando a temperatura de fornos, grelhas e assadeiras. Garante o frescor dos alimentos e ingredientes, verificando a qualidade, controlando os itens novos e antigos e fazendo o rodízio do estoque. Dias e horários de trabalho previstos por semana: 40 horas semanais. Cinco turnos por semana, durante a semana de trabalho de sete dias. O horário de funcionamento é das 3h às 24h. Os horários de trabalho padrão são das 7h às 15h, das 14h às 22h e das 3h às 11h. Inícios de turno mais cedo (3h) e términos mais tarde (0h) podem ser necessários dependendo dos eventos (por exemplo, festas particulares, casamentos, banquetes). Horas extras: Sim. Conforme necessário. VEJA O DOCUMENTO ANEXO PARA OBTER UMA CÓPIA COMPLETA DA OFERTA DE EMPREGO - Observação para o Oficial Certificador: Em anexo, encontra-se uma cópia completa da oferta de emprego. Caso seja necessário adicionar alguma informação desta oferta de emprego ao formulário ETA-9142, concedemos permissão para adicionar as informações listadas neste anexo. Classificação do Cargo: 35-2014.00 - Cozinheiros, Restaurante. A classificação e descrição do cargo/setor incluem informações gerais sobre a posição, de acordo com o ONET/OES e o Sistema de Classificação Industrial da América do Norte. Consulte as Funções e a Ordem de Serviço para obter mais informações. Requisitos da Vaga Experiência Necessária: Sim Meses de Experiência Necessários: 12 Requisitos Especiais: Um ano de experiência como cozinheiro(a) em um ambiente de alta gastronomia ou, alternativamente, um ano de formação culinária formal. É necessário ter 18 anos de idade; ser aprovado(a) no exame toxicológico pré-admissional (de acordo com a Política de Ambiente de Trabalho Livre de Drogas da empresa) e na verificação de antecedentes. Isso inclui vagas sazonais e anuais em tempo integral e se aplica a todos os candidatos, independentemente de nacionalidade, raça, sexo ou status de visto. Disponibilidade para trabalhar em todos os turnos, incluindo fins de semana, noites e feriados. É necessário apresentar comportamento e aparência profissionais. Número de Horas por Semana: 56 Horário de Trabalho (Início/Término): 7h às 15h</v>
      </c>
    </row>
    <row r="670" ht="20.25" customHeight="1">
      <c r="A670" s="3" t="s">
        <v>3211</v>
      </c>
      <c r="B670" s="3" t="s">
        <v>2969</v>
      </c>
      <c r="C670" s="3" t="s">
        <v>1000</v>
      </c>
      <c r="D670" s="3" t="s">
        <v>55</v>
      </c>
      <c r="E670" s="4" t="s">
        <v>19</v>
      </c>
      <c r="F670" s="4" t="s">
        <v>20</v>
      </c>
      <c r="G670" s="4" t="s">
        <v>307</v>
      </c>
      <c r="H670" s="3" t="s">
        <v>2970</v>
      </c>
      <c r="I670" s="3" t="s">
        <v>2971</v>
      </c>
      <c r="J670" s="4">
        <v>26.84</v>
      </c>
      <c r="K670" s="4">
        <v>21.0</v>
      </c>
      <c r="L670" s="3" t="s">
        <v>2972</v>
      </c>
      <c r="M670" s="3" t="s">
        <v>2973</v>
      </c>
      <c r="N670" s="7" t="str">
        <f>IFERROR(__xludf.DUMMYFUNCTION("GOOGLETRANSLATE(L670, ""en"", ""pt"")"),"Motorista de caminhão betoneira e caminhão pesado")</f>
        <v>Motorista de caminhão betoneira e caminhão pesado</v>
      </c>
      <c r="O670" s="7" t="str">
        <f>IFERROR(__xludf.DUMMYFUNCTION("IF(M670="""","""",GOOGLETRANSLATE(M670,""en"",""pt""))"),"Operar caminhões betoneira e transportar concreto e materiais de construção para os locais de trabalho. Os motoristas devem limpar e manter os caminhões, incluindo a inspeção diária de segurança, verificação e reabastecimento diário de combustível e outro"&amp;"s fluidos, além de realizar pequenas manutenções nos veículos. Preencher a documentação das cargas transportadas e entregá-la diariamente. Classificação da vaga: 53-3032.00 - Motoristas de Caminhão Pesado e Carreta. A classificação e descrição da vaga/set"&amp;"or incluem informações gerais sobre o cargo, de acordo com o ONET/OES e o Sistema de Classificação Industrial da América do Norte (NAICS). Consulte as Funções e a Ordem de Serviço para obter mais informações. Requisitos da vaga: Experiência necessária: Nã"&amp;"o. Requisitos especiais: DEVE SER APROVADO NO EXAME FÍSICO DO DEPARTAMENTO DE TRANSPORTES. DEVE SER CAPAZ DE LEVANTAR E CARREGAR 18 KG POR 9 METROS. CARTEIRA DE HABILITAÇÃO CATEGORIA B OBRIGATÓRIA, CARTEIRA CATEGORIA A OU EQUIVALENTE A CARTEIRA DE HABILIT"&amp;"AÇÃO COMERCIAL INTERNACIONAL (CNH) DESEJÁVEL. É necessário possuir um bom histórico de condução e habilidades ao volante. O candidato deve ter 21 anos ou mais. É obrigatório passar por testes de drogas e álcool antes da contratação. O candidato deve ser c"&amp;"apaz de lidar com temperaturas extremas. O funcionário deve ser capaz de ler e falar inglês suficientemente bem para conversar com o público em geral, entender placas e sinais de trânsito em inglês, responder a perguntas oficiais e fazer anotações em rela"&amp;"tórios e registros. Número de horas por semana: 40. Horário de trabalho (início/término): 7h às 17h.")</f>
        <v>Operar caminhões betoneira e transportar concreto e materiais de construção para os locais de trabalho. Os motoristas devem limpar e manter os caminhões, incluindo a inspeção diária de segurança, verificação e reabastecimento diário de combustível e outros fluidos, além de realizar pequenas manutenções nos veículos. Preencher a documentação das cargas transportadas e entregá-la diariamente. Classificação da vaga: 53-3032.00 - Motoristas de Caminhão Pesado e Carreta. A classificação e descrição da vaga/setor incluem informações gerais sobre o cargo, de acordo com o ONET/OES e o Sistema de Classificação Industrial da América do Norte (NAICS). Consulte as Funções e a Ordem de Serviço para obter mais informações. Requisitos da vaga: Experiência necessária: Não. Requisitos especiais: DEVE SER APROVADO NO EXAME FÍSICO DO DEPARTAMENTO DE TRANSPORTES. DEVE SER CAPAZ DE LEVANTAR E CARREGAR 18 KG POR 9 METROS. CARTEIRA DE HABILITAÇÃO CATEGORIA B OBRIGATÓRIA, CARTEIRA CATEGORIA A OU EQUIVALENTE A CARTEIRA DE HABILITAÇÃO COMERCIAL INTERNACIONAL (CNH) DESEJÁVEL. É necessário possuir um bom histórico de condução e habilidades ao volante. O candidato deve ter 21 anos ou mais. É obrigatório passar por testes de drogas e álcool antes da contratação. O candidato deve ser capaz de lidar com temperaturas extremas. O funcionário deve ser capaz de ler e falar inglês suficientemente bem para conversar com o público em geral, entender placas e sinais de trânsito em inglês, responder a perguntas oficiais e fazer anotações em relatórios e registros. Número de horas por semana: 40. Horário de trabalho (início/término): 7h às 17h.</v>
      </c>
    </row>
    <row r="671" ht="20.25" customHeight="1">
      <c r="A671" s="8" t="s">
        <v>3212</v>
      </c>
      <c r="B671" s="8" t="s">
        <v>3213</v>
      </c>
      <c r="C671" s="8" t="s">
        <v>1000</v>
      </c>
      <c r="D671" s="8" t="s">
        <v>117</v>
      </c>
      <c r="E671" s="9" t="s">
        <v>19</v>
      </c>
      <c r="F671" s="9" t="s">
        <v>20</v>
      </c>
      <c r="G671" s="9" t="s">
        <v>307</v>
      </c>
      <c r="H671" s="8" t="s">
        <v>3214</v>
      </c>
      <c r="I671" s="8" t="s">
        <v>3215</v>
      </c>
      <c r="J671" s="9">
        <v>15.66</v>
      </c>
      <c r="K671" s="9">
        <v>19.0</v>
      </c>
      <c r="L671" s="8" t="s">
        <v>1720</v>
      </c>
      <c r="M671" s="8" t="s">
        <v>3216</v>
      </c>
      <c r="N671" s="7" t="str">
        <f>IFERROR(__xludf.DUMMYFUNCTION("GOOGLETRANSLATE(L671, ""en"", ""pt"")"),"Ajudantes de Carpinteiro")</f>
        <v>Ajudantes de Carpinteiro</v>
      </c>
      <c r="O671" s="7" t="str">
        <f>IFERROR(__xludf.DUMMYFUNCTION("IF(M671="""","""",GOOGLETRANSLATE(M671,""en"",""pt""))"),"Auxiliar carpinteiros realizando tarefas que exigem menos habilidade, incluindo carregar ferramentas e madeira, fazer cortes simples em madeira, fixar peças de madeira com grampos e placas de fixação, posicionar formas de madeira e segurar a madeira no lu"&amp;"gar usando um gabarito, e limpar o local de trabalho. Classificação da função: 47-3012.00 - Ajudantes de Carpinteiro. A classificação e descrição da função/setor inclui informações gerais sobre o cargo, de acordo com o ONET/OES e o Sistema de Classificaçã"&amp;"o Industrial da América do Norte (NAICS). Consulte as Funções e a Ordem de Serviço para obter mais informações. Requisitos da função: Experiência necessária: Não. Requisitos especiais: Deve ser capaz de levantar e carregar 34 kg por 69 metros. Deve ser ca"&amp;"paz de lidar com temperaturas extremas. Trabalho em alguns fins de semana. Número de horas por semana: 40. Horário de trabalho (início/término): 18h45 - 5h15.")</f>
        <v>Auxiliar carpinteiros realizando tarefas que exigem menos habilidade, incluindo carregar ferramentas e madeira, fazer cortes simples em madeira, fixar peças de madeira com grampos e placas de fixação, posicionar formas de madeira e segurar a madeira no lugar usando um gabarito, e limpar o local de trabalho. Classificação da função: 47-3012.00 - Ajudantes de Carpinteiro. A classificação e descrição da função/setor inclui informações gerais sobre o cargo, de acordo com o ONET/OES e o Sistema de Classificação Industrial da América do Norte (NAICS). Consulte as Funções e a Ordem de Serviço para obter mais informações. Requisitos da função: Experiência necessária: Não. Requisitos especiais: Deve ser capaz de levantar e carregar 34 kg por 69 metros. Deve ser capaz de lidar com temperaturas extremas. Trabalho em alguns fins de semana. Número de horas por semana: 40. Horário de trabalho (início/término): 18h45 - 5h15.</v>
      </c>
    </row>
    <row r="672" ht="20.25" customHeight="1">
      <c r="A672" s="3" t="s">
        <v>3217</v>
      </c>
      <c r="B672" s="3" t="s">
        <v>3213</v>
      </c>
      <c r="C672" s="3" t="s">
        <v>1000</v>
      </c>
      <c r="D672" s="3" t="s">
        <v>117</v>
      </c>
      <c r="E672" s="4" t="s">
        <v>19</v>
      </c>
      <c r="F672" s="4" t="s">
        <v>20</v>
      </c>
      <c r="G672" s="4" t="s">
        <v>307</v>
      </c>
      <c r="H672" s="3" t="s">
        <v>3214</v>
      </c>
      <c r="I672" s="3" t="s">
        <v>3215</v>
      </c>
      <c r="J672" s="4">
        <v>17.56</v>
      </c>
      <c r="K672" s="4">
        <v>14.0</v>
      </c>
      <c r="L672" s="3" t="s">
        <v>1720</v>
      </c>
      <c r="M672" s="3" t="s">
        <v>3218</v>
      </c>
      <c r="N672" s="7" t="str">
        <f>IFERROR(__xludf.DUMMYFUNCTION("GOOGLETRANSLATE(L672, ""en"", ""pt"")"),"Ajudantes de Carpinteiro")</f>
        <v>Ajudantes de Carpinteiro</v>
      </c>
      <c r="O672" s="7" t="str">
        <f>IFERROR(__xludf.DUMMYFUNCTION("IF(M672="""","""",GOOGLETRANSLATE(M672,""en"",""pt""))"),"Auxiliar carpinteiros realizando tarefas que exigem menos habilidade, incluindo carregar ferramentas e madeira, fazer cortes simples em madeira, fixar peças de madeira com grampos e placas de fixação, posicionar formas de madeira e segurar a madeira no lu"&amp;"gar usando um gabarito, e limpar o local de trabalho. Classificação da vaga: 47-3012.00 - Ajudantes de Carpinteiro. A classificação e descrição da vaga/setor inclui informações gerais sobre a posição, de acordo com o ONET/OES e o Sistema de Classificação "&amp;"Industrial da América do Norte (NAICS). Consulte as Funções e a Ordem de Serviço para obter mais informações. Requisitos da vaga: Experiência necessária: Não. Requisitos especiais: Deve ser capaz de levantar e carregar 34 kg por 68 metros. Deve ser capaz "&amp;"de lidar com temperaturas extremas. Trabalho em alguns fins de semana. Número de horas por semana: 40. Horário de trabalho (início/término): 15h30 - 2h00.")</f>
        <v>Auxiliar carpinteiros realizando tarefas que exigem menos habilidade, incluindo carregar ferramentas e madeira, fazer cortes simples em madeira, fixar peças de madeira com grampos e placas de fixação, posicionar formas de madeira e segurar a madeira no lugar usando um gabarito, e limpar o local de trabalho. Classificação da vaga: 47-3012.00 - Ajudantes de Carpinteiro. A classificação e descrição da vaga/setor inclui informações gerais sobre a posição, de acordo com o ONET/OES e o Sistema de Classificação Industrial da América do Norte (NAICS). Consulte as Funções e a Ordem de Serviço para obter mais informações. Requisitos da vaga: Experiência necessária: Não. Requisitos especiais: Deve ser capaz de levantar e carregar 34 kg por 68 metros. Deve ser capaz de lidar com temperaturas extremas. Trabalho em alguns fins de semana. Número de horas por semana: 40. Horário de trabalho (início/término): 15h30 - 2h00.</v>
      </c>
    </row>
    <row r="673" ht="20.25" customHeight="1">
      <c r="A673" s="8" t="s">
        <v>3219</v>
      </c>
      <c r="B673" s="8" t="s">
        <v>3213</v>
      </c>
      <c r="C673" s="8" t="s">
        <v>1000</v>
      </c>
      <c r="D673" s="8" t="s">
        <v>117</v>
      </c>
      <c r="E673" s="9" t="s">
        <v>19</v>
      </c>
      <c r="F673" s="9" t="s">
        <v>20</v>
      </c>
      <c r="G673" s="9" t="s">
        <v>307</v>
      </c>
      <c r="H673" s="8" t="s">
        <v>3214</v>
      </c>
      <c r="I673" s="8" t="s">
        <v>3215</v>
      </c>
      <c r="J673" s="9">
        <v>26.45</v>
      </c>
      <c r="K673" s="9">
        <v>2.0</v>
      </c>
      <c r="L673" s="8" t="s">
        <v>2961</v>
      </c>
      <c r="M673" s="8" t="s">
        <v>3220</v>
      </c>
      <c r="N673" s="7" t="str">
        <f>IFERROR(__xludf.DUMMYFUNCTION("GOOGLETRANSLATE(L673, ""en"", ""pt"")"),"Motoristas de caminhão semirreboque")</f>
        <v>Motoristas de caminhão semirreboque</v>
      </c>
      <c r="O673" s="7" t="str">
        <f>IFERROR(__xludf.DUMMYFUNCTION("IF(M673="""","""",GOOGLETRANSLATE(M673,""en"",""pt""))"),"Carregar e descarregar treliças. Amarrar cargas. Dirigir da fábrica até o local de entrega e retornar à fábrica diariamente. Seguir as normas do DOT (Departamento de Transportes dos EUA). As larguras podem ser maiores que o permitido. Os caminhões pesam a"&amp;"proximadamente 15 toneladas (33.001 lbs). Classificação da vaga: 53-3032.00 - Motoristas de Caminhão Pesado e Carreta. A classificação e descrição da vaga/setor incluem informações gerais sobre o cargo, de acordo com o ONET/OES e o Sistema de Classificaçã"&amp;"o Industrial da América do Norte (NAICS). Consulte as Funções e a Ordem de Serviço para obter mais informações. Requisitos da vaga: Experiência necessária: Não. Requisitos especiais: Deve ser capaz de levantar e carregar 34 kg (75 lbs) por 70 metros (75 j"&amp;"ardas). Deve possuir carteira de habilitação comercial categoria A ou internacional, bom histórico de direção e habilidades de direção. O trabalhador deve ser capaz de ler e falar inglês o suficiente para conversar com o público em geral, entender placas "&amp;"e sinais de trânsito em inglês, responder a perguntas oficiais e fazer anotações em relatórios e registros. Número de horas por semana: 40 Horário de trabalho (início/término): 6h00 - 16h00")</f>
        <v>Carregar e descarregar treliças. Amarrar cargas. Dirigir da fábrica até o local de entrega e retornar à fábrica diariamente. Seguir as normas do DOT (Departamento de Transportes dos EUA). As larguras podem ser maiores que o permitido. Os caminhões pesam aproximadamente 15 toneladas (33.001 lbs). Classificação da vaga: 53-3032.00 - Motoristas de Caminhão Pesado e Carreta. A classificação e descrição da vaga/setor incluem informações gerais sobre o cargo, de acordo com o ONET/OES e o Sistema de Classificação Industrial da América do Norte (NAICS). Consulte as Funções e a Ordem de Serviço para obter mais informações. Requisitos da vaga: Experiência necessária: Não. Requisitos especiais: Deve ser capaz de levantar e carregar 34 kg (75 lbs) por 70 metros (75 jardas). Deve possuir carteira de habilitação comercial categoria A ou internacional, bom histórico de direção e habilidades de direção. O trabalhador deve ser capaz de ler e falar inglês o suficiente para conversar com o público em geral, entender placas e sinais de trânsito em inglês, responder a perguntas oficiais e fazer anotações em relatórios e registros. Número de horas por semana: 40 Horário de trabalho (início/término): 6h00 - 16h00</v>
      </c>
    </row>
    <row r="674" ht="20.25" customHeight="1">
      <c r="A674" s="3" t="s">
        <v>3221</v>
      </c>
      <c r="B674" s="3" t="s">
        <v>3213</v>
      </c>
      <c r="C674" s="3" t="s">
        <v>1000</v>
      </c>
      <c r="D674" s="3" t="s">
        <v>117</v>
      </c>
      <c r="E674" s="4" t="s">
        <v>19</v>
      </c>
      <c r="F674" s="4" t="s">
        <v>20</v>
      </c>
      <c r="G674" s="4" t="s">
        <v>307</v>
      </c>
      <c r="H674" s="3" t="s">
        <v>3214</v>
      </c>
      <c r="I674" s="3" t="s">
        <v>3215</v>
      </c>
      <c r="J674" s="4">
        <v>15.66</v>
      </c>
      <c r="K674" s="4">
        <v>25.0</v>
      </c>
      <c r="L674" s="3" t="s">
        <v>1720</v>
      </c>
      <c r="M674" s="3" t="s">
        <v>3218</v>
      </c>
      <c r="N674" s="7" t="str">
        <f>IFERROR(__xludf.DUMMYFUNCTION("GOOGLETRANSLATE(L674, ""en"", ""pt"")"),"Ajudantes de Carpinteiro")</f>
        <v>Ajudantes de Carpinteiro</v>
      </c>
      <c r="O674" s="7" t="str">
        <f>IFERROR(__xludf.DUMMYFUNCTION("IF(M674="""","""",GOOGLETRANSLATE(M674,""en"",""pt""))"),"Auxiliar carpinteiros realizando tarefas que exigem menos habilidade, incluindo carregar ferramentas e madeira, fazer cortes simples em madeira, fixar peças de madeira com grampos e placas de fixação, posicionar formas de madeira e segurar a madeira no lu"&amp;"gar usando um gabarito, e limpar o local de trabalho. Classificação da vaga: 47-3012.00 - Ajudantes de Carpinteiro. A classificação e descrição da vaga/setor inclui informações gerais sobre a posição, de acordo com o ONET/OES e o Sistema de Classificação "&amp;"Industrial da América do Norte (NAICS). Consulte as Funções e a Ordem de Serviço para obter mais informações. Requisitos da vaga: Experiência necessária: Não. Requisitos especiais: Deve ser capaz de levantar e carregar 34 kg por 68 metros. Deve ser capaz "&amp;"de lidar com temperaturas extremas. Trabalho em alguns fins de semana. Número de horas por semana: 40. Horário de trabalho (início/término): 15h30 - 2h00.")</f>
        <v>Auxiliar carpinteiros realizando tarefas que exigem menos habilidade, incluindo carregar ferramentas e madeira, fazer cortes simples em madeira, fixar peças de madeira com grampos e placas de fixação, posicionar formas de madeira e segurar a madeira no lugar usando um gabarito, e limpar o local de trabalho. Classificação da vaga: 47-3012.00 - Ajudantes de Carpinteiro. A classificação e descrição da vaga/setor inclui informações gerais sobre a posição, de acordo com o ONET/OES e o Sistema de Classificação Industrial da América do Norte (NAICS). Consulte as Funções e a Ordem de Serviço para obter mais informações. Requisitos da vaga: Experiência necessária: Não. Requisitos especiais: Deve ser capaz de levantar e carregar 34 kg por 68 metros. Deve ser capaz de lidar com temperaturas extremas. Trabalho em alguns fins de semana. Número de horas por semana: 40. Horário de trabalho (início/término): 15h30 - 2h00.</v>
      </c>
    </row>
    <row r="675" ht="20.25" customHeight="1">
      <c r="A675" s="8" t="s">
        <v>3222</v>
      </c>
      <c r="B675" s="8" t="s">
        <v>3213</v>
      </c>
      <c r="C675" s="8" t="s">
        <v>1000</v>
      </c>
      <c r="D675" s="8" t="s">
        <v>117</v>
      </c>
      <c r="E675" s="9" t="s">
        <v>19</v>
      </c>
      <c r="F675" s="9" t="s">
        <v>20</v>
      </c>
      <c r="G675" s="9" t="s">
        <v>307</v>
      </c>
      <c r="H675" s="8" t="s">
        <v>3214</v>
      </c>
      <c r="I675" s="8" t="s">
        <v>3215</v>
      </c>
      <c r="J675" s="9">
        <v>26.11</v>
      </c>
      <c r="K675" s="9">
        <v>2.0</v>
      </c>
      <c r="L675" s="8" t="s">
        <v>3223</v>
      </c>
      <c r="M675" s="8" t="s">
        <v>3220</v>
      </c>
      <c r="N675" s="7" t="str">
        <f>IFERROR(__xludf.DUMMYFUNCTION("GOOGLETRANSLATE(L675, ""en"", ""pt"")"),"Motorista de caminhão semirreboque")</f>
        <v>Motorista de caminhão semirreboque</v>
      </c>
      <c r="O675" s="7" t="str">
        <f>IFERROR(__xludf.DUMMYFUNCTION("IF(M675="""","""",GOOGLETRANSLATE(M675,""en"",""pt""))"),"Carregar e descarregar treliças. Amarrar cargas. Dirigir da fábrica até o local de entrega e retornar à fábrica diariamente. Seguir as normas do DOT (Departamento de Transportes dos EUA). As larguras podem ser maiores que o permitido. Os caminhões pesam a"&amp;"proximadamente 15 toneladas (33.001 lbs). Classificação da vaga: 53-3032.00 - Motoristas de Caminhão Pesado e Carreta. A classificação e descrição da vaga/setor incluem informações gerais sobre o cargo, de acordo com o ONET/OES e o Sistema de Classificaçã"&amp;"o Industrial da América do Norte (NAICS). Consulte as Funções e a Ordem de Serviço para obter mais informações. Requisitos da vaga: Experiência necessária: Não. Requisitos especiais: Deve ser capaz de levantar e carregar 34 kg (75 lbs) por 70 metros (75 j"&amp;"ardas). Deve possuir carteira de habilitação comercial categoria A ou internacional, bom histórico de direção e habilidades de direção. O trabalhador deve ser capaz de ler e falar inglês o suficiente para conversar com o público em geral, entender placas "&amp;"e sinais de trânsito em inglês, responder a perguntas oficiais e fazer anotações em relatórios e registros. Número de horas por semana: 40 Horário de trabalho (início/término): 6h00 - 16h00")</f>
        <v>Carregar e descarregar treliças. Amarrar cargas. Dirigir da fábrica até o local de entrega e retornar à fábrica diariamente. Seguir as normas do DOT (Departamento de Transportes dos EUA). As larguras podem ser maiores que o permitido. Os caminhões pesam aproximadamente 15 toneladas (33.001 lbs). Classificação da vaga: 53-3032.00 - Motoristas de Caminhão Pesado e Carreta. A classificação e descrição da vaga/setor incluem informações gerais sobre o cargo, de acordo com o ONET/OES e o Sistema de Classificação Industrial da América do Norte (NAICS). Consulte as Funções e a Ordem de Serviço para obter mais informações. Requisitos da vaga: Experiência necessária: Não. Requisitos especiais: Deve ser capaz de levantar e carregar 34 kg (75 lbs) por 70 metros (75 jardas). Deve possuir carteira de habilitação comercial categoria A ou internacional, bom histórico de direção e habilidades de direção. O trabalhador deve ser capaz de ler e falar inglês o suficiente para conversar com o público em geral, entender placas e sinais de trânsito em inglês, responder a perguntas oficiais e fazer anotações em relatórios e registros. Número de horas por semana: 40 Horário de trabalho (início/término): 6h00 - 16h00</v>
      </c>
    </row>
    <row r="676" ht="20.25" customHeight="1">
      <c r="A676" s="3" t="s">
        <v>3224</v>
      </c>
      <c r="B676" s="3" t="s">
        <v>3213</v>
      </c>
      <c r="C676" s="3" t="s">
        <v>1000</v>
      </c>
      <c r="D676" s="3" t="s">
        <v>117</v>
      </c>
      <c r="E676" s="4" t="s">
        <v>19</v>
      </c>
      <c r="F676" s="4" t="s">
        <v>20</v>
      </c>
      <c r="G676" s="4" t="s">
        <v>307</v>
      </c>
      <c r="H676" s="3" t="s">
        <v>3214</v>
      </c>
      <c r="I676" s="3" t="s">
        <v>3215</v>
      </c>
      <c r="J676" s="4">
        <v>23.2</v>
      </c>
      <c r="K676" s="4">
        <v>25.0</v>
      </c>
      <c r="L676" s="3" t="s">
        <v>3225</v>
      </c>
      <c r="M676" s="3" t="s">
        <v>3226</v>
      </c>
      <c r="N676" s="7" t="str">
        <f>IFERROR(__xludf.DUMMYFUNCTION("GOOGLETRANSLATE(L676, ""en"", ""pt"")"),"Montadores de Equipe")</f>
        <v>Montadores de Equipe</v>
      </c>
      <c r="O676" s="7" t="str">
        <f>IFERROR(__xludf.DUMMYFUNCTION("IF(M676="""","""",GOOGLETRANSLATE(M676,""en"",""pt""))"),"***Resposta à Solicitação de Informações*** Processo de Montagem Uma descrição mais detalhada das funções e responsabilidades deste cargo é a seguinte: a) Inspecionar a madeira pré-cortada para garantir a qualidade, sinalizar rachaduras, cortes de serra i"&amp;"nadequados e qualquer outro problema de controle de qualidade. b) Organizar a madeira na mesa de acordo com um padrão específico. Uma mesa de treliça com batentes (discos automáticos) é utilizada para garantir a configuração correta da treliça. Os trabalh"&amp;"adores recebem luvas para evitar lascas, perfurações e arranhões. c) Encaixar a madeira firmemente no padrão correto antes de unir todos os componentes. d) Garantir que o tipo correto de pregos e as placas de treliça do tamanho adequado sejam utilizados. "&amp;"Os pregos e as placas de treliça corretos são fornecidos aos trabalhadores, que devem verificar se correspondem ao projeto. O projeto é exibido aos trabalhadores em uma tela eletrônica. e) Garantir que as placas e os pregos sejam colocados no local corret"&amp;"o e nas quantidades adequadas. Os trabalhadores recebem plantas ou mapas eletrônicos em uma tela semelhante a uma TV, que podem consultar e seguir durante o processo. Há pistolas de pregos pneumáticas, mangueiras, compressores, martelos, cintos de ferrame"&amp;"ntas, capacetes, óculos de segurança e coletes. f) Certifique-se de que os componentes de madeira estejam unidos corretamente, com o posicionamento adequado das placas e sem grandes folgas entre os componentes. g) Utilize a mesa de treliça, o pórtico de r"&amp;"olos ou a prensa de pórtico, conforme necessário, para garantir que os componentes da treliça estejam planos e resistentes quando unidos. h) Inspecione toda a treliça em busca de rachaduras, fendas ou juntas quebradas. i) Inspecione também o produto final"&amp;" da treliça para garantir que ele atenda às dimensões e configuração adequadas antes do envio. Operar máquinas e equipamentos pesados: 1) Mesa de treliça, pórtico de rolos ou prensa de pórtico. 2) Uma equipe de montadores é responsável por todo o processo"&amp;" de montagem da treliça. Isso significa que a equipe pega os diferentes componentes da treliça e os monta em um produto final. Cada membro da equipe deve entender e ser capaz de executar cada tarefa no processo de montagem. Quando a treliça é muito grande"&amp;", ou quando a madeira da treliça está ligeiramente torcida ou não está encaixando bem as placas de fixação, o montador da equipe pode, quando necessário, operar um pórtico de rolos para treliças (ou prensa de pórtico), uma máquina industrial robusta usada"&amp;" na fabricação de treliças para incorporar placas de conexão metálicas em treliças de madeira para telhados ou pisos. Com várias paradas de segurança e risco mínimo para o funcionário, o pórtico se desloca ao longo da mesa de montagem, usando rolos de aço"&amp;" maciços para pressionar as placas em ambos os lados da junta. O trabalhador precisa apenas pressionar um único botão para operar o pórtico de rolos para treliças ou a prensa de pórtico, portanto, são necessárias habilidades técnicas, experiência ou capac"&amp;"idade mínimas para operar a prensa. Como os trabalhadores se revezam nas posições e o pórtico de rolos para treliças não é usado o tempo todo, um montador individual da equipe o utilizaria apenas intermitentemente. ***Original*** Trabalhar em equipe para "&amp;"montar treliças de telhado e piso ou painéis de parede. Executar todas as tarefas realizadas pela equipe no processo de montagem e alternar entre várias linhas de produção. Realizar verificações de qualidade durante a montagem. Operar máquinas e equipamen"&amp;"tos pesados. Limpar as áreas de trabalho. Classificação da função: 51-7042.00 - Preparadores, operadores e auxiliares de máquinas para trabalhar madeira, exceto serras. A classificação e descrição da função/setor incluem informações gerais sobre o cargo, "&amp;"de acordo com o ONET/OES e o Sistema de Classificação Industrial da América do Norte (NAICS). Consulte as atribuições e a ordem de serviço para obter mais informações. Requisitos da função: Experiência necessária: Não. Requisitos especiais: Deve ser capaz"&amp;" de levantar e carregar 34 kg por 68 metros. Deve ser capaz de lidar com temperaturas extremas. Trabalho em alguns fins de semana. Número de horas por semana: 40. Horário de trabalho (início/término): 15h30 - 2h00.")</f>
        <v>***Resposta à Solicitação de Informações*** Processo de Montagem Uma descrição mais detalhada das funções e responsabilidades deste cargo é a seguinte: a) Inspecionar a madeira pré-cortada para garantir a qualidade, sinalizar rachaduras, cortes de serra inadequados e qualquer outro problema de controle de qualidade. b) Organizar a madeira na mesa de acordo com um padrão específico. Uma mesa de treliça com batentes (discos automáticos) é utilizada para garantir a configuração correta da treliça. Os trabalhadores recebem luvas para evitar lascas, perfurações e arranhões. c) Encaixar a madeira firmemente no padrão correto antes de unir todos os componentes. d) Garantir que o tipo correto de pregos e as placas de treliça do tamanho adequado sejam utilizados. Os pregos e as placas de treliça corretos são fornecidos aos trabalhadores, que devem verificar se correspondem ao projeto. O projeto é exibido aos trabalhadores em uma tela eletrônica. e) Garantir que as placas e os pregos sejam colocados no local correto e nas quantidades adequadas. Os trabalhadores recebem plantas ou mapas eletrônicos em uma tela semelhante a uma TV, que podem consultar e seguir durante o processo. Há pistolas de pregos pneumáticas, mangueiras, compressores, martelos, cintos de ferramentas, capacetes, óculos de segurança e coletes. f) Certifique-se de que os componentes de madeira estejam unidos corretamente, com o posicionamento adequado das placas e sem grandes folgas entre os componentes. g) Utilize a mesa de treliça, o pórtico de rolos ou a prensa de pórtico, conforme necessário, para garantir que os componentes da treliça estejam planos e resistentes quando unidos. h) Inspecione toda a treliça em busca de rachaduras, fendas ou juntas quebradas. i) Inspecione também o produto final da treliça para garantir que ele atenda às dimensões e configuração adequadas antes do envio. Operar máquinas e equipamentos pesados: 1) Mesa de treliça, pórtico de rolos ou prensa de pórtico. 2) Uma equipe de montadores é responsável por todo o processo de montagem da treliça. Isso significa que a equipe pega os diferentes componentes da treliça e os monta em um produto final. Cada membro da equipe deve entender e ser capaz de executar cada tarefa no processo de montagem. Quando a treliça é muito grande, ou quando a madeira da treliça está ligeiramente torcida ou não está encaixando bem as placas de fixação, o montador da equipe pode, quando necessário, operar um pórtico de rolos para treliças (ou prensa de pórtico), uma máquina industrial robusta usada na fabricação de treliças para incorporar placas de conexão metálicas em treliças de madeira para telhados ou pisos. Com várias paradas de segurança e risco mínimo para o funcionário, o pórtico se desloca ao longo da mesa de montagem, usando rolos de aço maciços para pressionar as placas em ambos os lados da junta. O trabalhador precisa apenas pressionar um único botão para operar o pórtico de rolos para treliças ou a prensa de pórtico, portanto, são necessárias habilidades técnicas, experiência ou capacidade mínimas para operar a prensa. Como os trabalhadores se revezam nas posições e o pórtico de rolos para treliças não é usado o tempo todo, um montador individual da equipe o utilizaria apenas intermitentemente. ***Original*** Trabalhar em equipe para montar treliças de telhado e piso ou painéis de parede. Executar todas as tarefas realizadas pela equipe no processo de montagem e alternar entre várias linhas de produção. Realizar verificações de qualidade durante a montagem. Operar máquinas e equipamentos pesados. Limpar as áreas de trabalho. Classificação da função: 51-7042.00 - Preparadores, operadores e auxiliares de máquinas para trabalhar madeira, exceto serras. A classificação e descrição da função/setor incluem informações gerais sobre o cargo, de acordo com o ONET/OES e o Sistema de Classificação Industrial da América do Norte (NAICS). Consulte as atribuições e a ordem de serviço para obter mais informações. Requisitos da função: Experiência necessária: Não. Requisitos especiais: Deve ser capaz de levantar e carregar 34 kg por 68 metros. Deve ser capaz de lidar com temperaturas extremas. Trabalho em alguns fins de semana. Número de horas por semana: 40. Horário de trabalho (início/término): 15h30 - 2h00.</v>
      </c>
    </row>
    <row r="677" ht="20.25" customHeight="1">
      <c r="A677" s="8" t="s">
        <v>3227</v>
      </c>
      <c r="B677" s="8" t="s">
        <v>3213</v>
      </c>
      <c r="C677" s="8" t="s">
        <v>1000</v>
      </c>
      <c r="D677" s="8" t="s">
        <v>117</v>
      </c>
      <c r="E677" s="9" t="s">
        <v>44</v>
      </c>
      <c r="F677" s="9" t="s">
        <v>20</v>
      </c>
      <c r="G677" s="9" t="s">
        <v>307</v>
      </c>
      <c r="H677" s="8" t="s">
        <v>3214</v>
      </c>
      <c r="I677" s="8" t="s">
        <v>3215</v>
      </c>
      <c r="J677" s="9">
        <v>21.64</v>
      </c>
      <c r="K677" s="9">
        <v>14.0</v>
      </c>
      <c r="L677" s="8" t="s">
        <v>3228</v>
      </c>
      <c r="M677" s="8" t="s">
        <v>3229</v>
      </c>
      <c r="N677" s="7" t="str">
        <f>IFERROR(__xludf.DUMMYFUNCTION("GOOGLETRANSLATE(L677, ""en"", ""pt"")"),"Auxiliares de Operários de Produção")</f>
        <v>Auxiliares de Operários de Produção</v>
      </c>
      <c r="O677" s="7" t="str">
        <f>IFERROR(__xludf.DUMMYFUNCTION("IF(M677="""","""",GOOGLETRANSLATE(M677,""en"",""pt""))"),"***Resposta à Solicitação de Informações*** Movimentação de Materiais da Sala de Serraria para as Mesas de Produção Utilizando Carrinhos: Os Auxiliares de Produção transportam madeira serrada e componentes de madeira da sala de serraria para as mesas de p"&amp;"rodução designadas, utilizando carrinhos operados manualmente e equipamentos de movimentação de materiais. As tarefas incluem carregar, movimentar, organizar, posicionar e entregar materiais às mesas/estações de trabalho de produção para os operadores de "&amp;"máquinas e pessoal de produção. Os auxiliares executam funções de manuseio de materiais e suporte, e não operam máquinas de produção principais de forma independente. Amarração de Matérias-Primas e Produtos Acabados: Sob a supervisão de um Supervisor, os "&amp;"Auxiliares de Produção auxiliam na preparação de matérias-primas e produtos acabados para armazenamento e movimentação, agrupando, alinhando, segurando e fixando feixes de madeira serrada e produtos acabados e materiais relacionados. As tarefas incluem po"&amp;"sicionar os materiais, colocar cintas ao redor dos feixes e preparar os produtos para transporte dentro e fora da fábrica. O principal equipamento utilizado para esta tarefa é uma cintadora metálica. Operação de Ferramentas Manuais de Amarração: Os Auxili"&amp;"ares de Produção utilizam ferramentas manuais de amarração (cintas metálicas) para apertar e fixar cintas metálicas ou plásticas ao redor de feixes de madeira serrada e produtos acabados. As funções incluem alimentar o material de cintagem através da ferr"&amp;"amenta, aplicar tensão, fixar as cintas, aparar o excesso de material e auxiliar nas operações de embalagem. O equipamento inclui grampos e cortadores de cintagem manuais para metal. Operar ferramentas pneumáticas manuais em mesas de produção: Os auxiliar"&amp;"es de produção utilizam ferramentas pneumáticas manuais (grampeadores e pregadores pneumáticos) para fixar componentes simples de treliças em mesas de produção. Pequenas tupias pneumáticas cortam aberturas simples em painéis de parede através de compensad"&amp;"o OSB. As funções incluem posicionar corretamente os materiais sob a direção dos líderes de mesa, colocar e martelar placas de conexão de metal, fixar os materiais durante a fixação e executar tarefas repetitivas de suporte à produção. O equipamento inclu"&amp;"i ferramentas pneumáticas manuais, como grampeadores e pregadores pneumáticos, mangueiras de ar, tupias, martelos, pregos, conectores, placas de metal e madeira. ***Original*** Auxiliar o operador da máquina classificando, movendo e posicionando a madeira"&amp;". Mover o material da sala de serragem para as mesas de produção usando cartões. Cintagem de matérias-primas e produtos acabados. Operar ferramentas de cintagem manuais. Contar e classificar pequenas placas de metal. Operar ferramentas pneumáticas manuais"&amp;" em mesas de produção. Limpar o local de trabalho. Classificação da função: 51-2099.00 - Montadores e Fabricantes, Outros. A classificação e descrição da função/setor inclui informações gerais sobre o cargo, de acordo com o ONET/OES e o Sistema de Classif"&amp;"icação Industrial da América do Norte (NAICS). Consulte as Funções e a Ordem de Serviço para obter mais informações. Requisitos da função: Experiência necessária: Não. Requisitos especiais: Deve ser capaz de levantar e carregar 34 kg por 68 metros. Deve s"&amp;"er capaz de lidar com temperaturas extremas. Trabalho em alguns fins de semana. Número de horas por semana: 40. Horário de trabalho (início/término): 18h45 - 5h15.")</f>
        <v>***Resposta à Solicitação de Informações*** Movimentação de Materiais da Sala de Serraria para as Mesas de Produção Utilizando Carrinhos: Os Auxiliares de Produção transportam madeira serrada e componentes de madeira da sala de serraria para as mesas de produção designadas, utilizando carrinhos operados manualmente e equipamentos de movimentação de materiais. As tarefas incluem carregar, movimentar, organizar, posicionar e entregar materiais às mesas/estações de trabalho de produção para os operadores de máquinas e pessoal de produção. Os auxiliares executam funções de manuseio de materiais e suporte, e não operam máquinas de produção principais de forma independente. Amarração de Matérias-Primas e Produtos Acabados: Sob a supervisão de um Supervisor, os Auxiliares de Produção auxiliam na preparação de matérias-primas e produtos acabados para armazenamento e movimentação, agrupando, alinhando, segurando e fixando feixes de madeira serrada e produtos acabados e materiais relacionados. As tarefas incluem posicionar os materiais, colocar cintas ao redor dos feixes e preparar os produtos para transporte dentro e fora da fábrica. O principal equipamento utilizado para esta tarefa é uma cintadora metálica. Operação de Ferramentas Manuais de Amarração: Os Auxiliares de Produção utilizam ferramentas manuais de amarração (cintas metálicas) para apertar e fixar cintas metálicas ou plásticas ao redor de feixes de madeira serrada e produtos acabados. As funções incluem alimentar o material de cintagem através da ferramenta, aplicar tensão, fixar as cintas, aparar o excesso de material e auxiliar nas operações de embalagem. O equipamento inclui grampos e cortadores de cintagem manuais para metal. Operar ferramentas pneumáticas manuais em mesas de produção: Os auxiliares de produção utilizam ferramentas pneumáticas manuais (grampeadores e pregadores pneumáticos) para fixar componentes simples de treliças em mesas de produção. Pequenas tupias pneumáticas cortam aberturas simples em painéis de parede através de compensado OSB. As funções incluem posicionar corretamente os materiais sob a direção dos líderes de mesa, colocar e martelar placas de conexão de metal, fixar os materiais durante a fixação e executar tarefas repetitivas de suporte à produção. O equipamento inclui ferramentas pneumáticas manuais, como grampeadores e pregadores pneumáticos, mangueiras de ar, tupias, martelos, pregos, conectores, placas de metal e madeira. ***Original*** Auxiliar o operador da máquina classificando, movendo e posicionando a madeira. Mover o material da sala de serragem para as mesas de produção usando cartões. Cintagem de matérias-primas e produtos acabados. Operar ferramentas de cintagem manuais. Contar e classificar pequenas placas de metal. Operar ferramentas pneumáticas manuais em mesas de produção. Limpar o local de trabalho. Classificação da função: 51-2099.00 - Montadores e Fabricantes, Outros. A classificação e descrição da função/setor inclui informações gerais sobre o cargo, de acordo com o ONET/OES e o Sistema de Classificação Industrial da América do Norte (NAICS). Consulte as Funções e a Ordem de Serviço para obter mais informações. Requisitos da função: Experiência necessária: Não. Requisitos especiais: Deve ser capaz de levantar e carregar 34 kg por 68 metros. Deve ser capaz de lidar com temperaturas extremas. Trabalho em alguns fins de semana. Número de horas por semana: 40. Horário de trabalho (início/término): 18h45 - 5h15.</v>
      </c>
    </row>
    <row r="678" ht="20.25" customHeight="1">
      <c r="A678" s="3" t="s">
        <v>3230</v>
      </c>
      <c r="B678" s="3" t="s">
        <v>3213</v>
      </c>
      <c r="C678" s="3" t="s">
        <v>1000</v>
      </c>
      <c r="D678" s="3" t="s">
        <v>117</v>
      </c>
      <c r="E678" s="4" t="s">
        <v>44</v>
      </c>
      <c r="F678" s="4" t="s">
        <v>20</v>
      </c>
      <c r="G678" s="4" t="s">
        <v>307</v>
      </c>
      <c r="H678" s="3" t="s">
        <v>3214</v>
      </c>
      <c r="I678" s="3" t="s">
        <v>3215</v>
      </c>
      <c r="J678" s="4">
        <v>23.21</v>
      </c>
      <c r="K678" s="4">
        <v>16.0</v>
      </c>
      <c r="L678" s="3" t="s">
        <v>3225</v>
      </c>
      <c r="M678" s="3" t="s">
        <v>3231</v>
      </c>
      <c r="N678" s="7" t="str">
        <f>IFERROR(__xludf.DUMMYFUNCTION("GOOGLETRANSLATE(L678, ""en"", ""pt"")"),"Montadores de Equipe")</f>
        <v>Montadores de Equipe</v>
      </c>
      <c r="O678" s="7" t="str">
        <f>IFERROR(__xludf.DUMMYFUNCTION("IF(M678="""","""",GOOGLETRANSLATE(M678,""en"",""pt""))"),"***Resposta à Solicitação de Informações*** Processo de Montagem Uma descrição mais detalhada das funções e responsabilidades deste cargo é a seguinte: a) Inspecionar a madeira pré-cortada para garantir a qualidade, sinalizar rachaduras, cortes de serra i"&amp;"nadequados e qualquer outro problema de controle de qualidade. b) Organizar a madeira na mesa de acordo com um padrão específico. Uma mesa de treliça com batentes (discos automáticos) é utilizada para garantir a configuração correta da treliça. Os trabalh"&amp;"adores recebem luvas para evitar lascas, perfurações e arranhões. c) Encaixar a madeira firmemente no padrão correto antes de unir todos os componentes. d) Garantir que o tipo correto de pregos e as placas de treliça do tamanho adequado sejam utilizados. "&amp;"Os pregos e as placas de treliça corretos são fornecidos aos trabalhadores, que devem verificar se correspondem ao projeto. O projeto é exibido aos trabalhadores em uma tela eletrônica. e) Garantir que as placas e os pregos sejam colocados no local corret"&amp;"o e nas quantidades adequadas. Os trabalhadores recebem plantas ou mapas eletrônicos em uma tela semelhante a uma TV, que podem consultar e seguir durante o processo. Há pistolas de pregos pneumáticas, mangueiras, compressores, martelos, cintos de ferrame"&amp;"ntas, capacetes, óculos de segurança e coletes. f) Certifique-se de que os componentes de madeira estejam unidos corretamente, com o posicionamento adequado das placas e sem grandes folgas entre os componentes. g) Utilize a mesa de treliça, o pórtico de r"&amp;"olos ou a prensa de pórtico, conforme necessário, para garantir que os componentes da treliça estejam planos e resistentes quando unidos. h) Inspecione toda a treliça em busca de rachaduras, fendas ou juntas quebradas. i) Inspecione também o produto final"&amp;" da treliça para garantir que ele atenda às dimensões e configuração adequadas antes do envio. Operar máquinas e equipamentos pesados: 1) Mesa de treliça, pórtico de rolos ou prensa de pórtico. 2) Uma equipe de montadores é responsável por todo o processo"&amp;" de montagem da treliça. Isso significa que a equipe pega os diferentes componentes da treliça e os monta em um produto final. Cada membro da equipe deve entender e ser capaz de executar cada tarefa no processo de montagem. Quando a treliça é muito grande"&amp;", ou quando a madeira da treliça está ligeiramente torcida ou não está encaixando bem as placas de fixação, o montador da equipe pode, quando necessário, operar um pórtico de rolos para treliças (ou prensa de pórtico), uma máquina industrial robusta usada"&amp;" na fabricação de treliças para incorporar placas de conexão metálicas em treliças de madeira para telhados ou pisos. Com várias paradas de segurança e risco mínimo para o funcionário, o pórtico se desloca ao longo da mesa de montagem, usando rolos de aço"&amp;" maciços para pressionar as placas em ambos os lados da junta. O trabalhador precisa apenas pressionar um único botão para operar o pórtico de rolos para treliças ou a prensa de pórtico, portanto, são necessárias habilidades técnicas, experiência ou capac"&amp;"idade mínimas para operar a prensa. Como os trabalhadores se revezam nas posições e o pórtico de rolos para treliças não é usado o tempo todo, um montador individual da equipe o utilizaria apenas intermitentemente. ***Original*** Trabalhar em equipe para "&amp;"montar treliças de telhado e piso ou painéis de parede. Executar todas as tarefas realizadas pela equipe no processo de montagem e alternar entre várias linhas de produção. Realizar verificações de qualidade durante a montagem. Operar máquinas e equipamen"&amp;"tos pesados. Limpar as áreas de trabalho. Classificação da função: 51-7042.00 - Preparadores, operadores e auxiliares de máquinas para trabalhar madeira, exceto serras. A classificação e descrição da função/setor incluem informações gerais sobre o cargo, "&amp;"de acordo com o ONET/OES e o Sistema de Classificação Industrial da América do Norte (NAICS). Consulte as atribuições e a ordem de serviço para obter mais informações. Requisitos da função: Experiência necessária: Não. Requisitos especiais: Deve ser capaz"&amp;" de levantar e carregar 34 kg por 68 metros. Deve ser capaz de lidar com temperaturas extremas. Trabalho em alguns fins de semana. Número de horas por semana: 40. Horário de trabalho (início/término): 18h45 - 5h15.")</f>
        <v>***Resposta à Solicitação de Informações*** Processo de Montagem Uma descrição mais detalhada das funções e responsabilidades deste cargo é a seguinte: a) Inspecionar a madeira pré-cortada para garantir a qualidade, sinalizar rachaduras, cortes de serra inadequados e qualquer outro problema de controle de qualidade. b) Organizar a madeira na mesa de acordo com um padrão específico. Uma mesa de treliça com batentes (discos automáticos) é utilizada para garantir a configuração correta da treliça. Os trabalhadores recebem luvas para evitar lascas, perfurações e arranhões. c) Encaixar a madeira firmemente no padrão correto antes de unir todos os componentes. d) Garantir que o tipo correto de pregos e as placas de treliça do tamanho adequado sejam utilizados. Os pregos e as placas de treliça corretos são fornecidos aos trabalhadores, que devem verificar se correspondem ao projeto. O projeto é exibido aos trabalhadores em uma tela eletrônica. e) Garantir que as placas e os pregos sejam colocados no local correto e nas quantidades adequadas. Os trabalhadores recebem plantas ou mapas eletrônicos em uma tela semelhante a uma TV, que podem consultar e seguir durante o processo. Há pistolas de pregos pneumáticas, mangueiras, compressores, martelos, cintos de ferramentas, capacetes, óculos de segurança e coletes. f) Certifique-se de que os componentes de madeira estejam unidos corretamente, com o posicionamento adequado das placas e sem grandes folgas entre os componentes. g) Utilize a mesa de treliça, o pórtico de rolos ou a prensa de pórtico, conforme necessário, para garantir que os componentes da treliça estejam planos e resistentes quando unidos. h) Inspecione toda a treliça em busca de rachaduras, fendas ou juntas quebradas. i) Inspecione também o produto final da treliça para garantir que ele atenda às dimensões e configuração adequadas antes do envio. Operar máquinas e equipamentos pesados: 1) Mesa de treliça, pórtico de rolos ou prensa de pórtico. 2) Uma equipe de montadores é responsável por todo o processo de montagem da treliça. Isso significa que a equipe pega os diferentes componentes da treliça e os monta em um produto final. Cada membro da equipe deve entender e ser capaz de executar cada tarefa no processo de montagem. Quando a treliça é muito grande, ou quando a madeira da treliça está ligeiramente torcida ou não está encaixando bem as placas de fixação, o montador da equipe pode, quando necessário, operar um pórtico de rolos para treliças (ou prensa de pórtico), uma máquina industrial robusta usada na fabricação de treliças para incorporar placas de conexão metálicas em treliças de madeira para telhados ou pisos. Com várias paradas de segurança e risco mínimo para o funcionário, o pórtico se desloca ao longo da mesa de montagem, usando rolos de aço maciços para pressionar as placas em ambos os lados da junta. O trabalhador precisa apenas pressionar um único botão para operar o pórtico de rolos para treliças ou a prensa de pórtico, portanto, são necessárias habilidades técnicas, experiência ou capacidade mínimas para operar a prensa. Como os trabalhadores se revezam nas posições e o pórtico de rolos para treliças não é usado o tempo todo, um montador individual da equipe o utilizaria apenas intermitentemente. ***Original*** Trabalhar em equipe para montar treliças de telhado e piso ou painéis de parede. Executar todas as tarefas realizadas pela equipe no processo de montagem e alternar entre várias linhas de produção. Realizar verificações de qualidade durante a montagem. Operar máquinas e equipamentos pesados. Limpar as áreas de trabalho. Classificação da função: 51-7042.00 - Preparadores, operadores e auxiliares de máquinas para trabalhar madeira, exceto serras. A classificação e descrição da função/setor incluem informações gerais sobre o cargo, de acordo com o ONET/OES e o Sistema de Classificação Industrial da América do Norte (NAICS). Consulte as atribuições e a ordem de serviço para obter mais informações. Requisitos da função: Experiência necessária: Não. Requisitos especiais: Deve ser capaz de levantar e carregar 34 kg por 68 metros. Deve ser capaz de lidar com temperaturas extremas. Trabalho em alguns fins de semana. Número de horas por semana: 40. Horário de trabalho (início/término): 18h45 - 5h15.</v>
      </c>
    </row>
    <row r="679" ht="20.25" customHeight="1">
      <c r="A679" s="8" t="s">
        <v>3232</v>
      </c>
      <c r="B679" s="8" t="s">
        <v>3233</v>
      </c>
      <c r="C679" s="8" t="s">
        <v>2995</v>
      </c>
      <c r="D679" s="8" t="s">
        <v>36</v>
      </c>
      <c r="E679" s="9" t="s">
        <v>44</v>
      </c>
      <c r="F679" s="9" t="s">
        <v>20</v>
      </c>
      <c r="G679" s="9" t="s">
        <v>80</v>
      </c>
      <c r="H679" s="8" t="s">
        <v>3234</v>
      </c>
      <c r="I679" s="8" t="s">
        <v>3235</v>
      </c>
      <c r="J679" s="9">
        <v>17.69</v>
      </c>
      <c r="K679" s="9">
        <v>36.0</v>
      </c>
      <c r="L679" s="8" t="s">
        <v>1562</v>
      </c>
      <c r="M679" s="8" t="s">
        <v>3236</v>
      </c>
      <c r="N679" s="7" t="str">
        <f>IFERROR(__xludf.DUMMYFUNCTION("GOOGLETRANSLATE(L679, ""en"", ""pt"")"),"Trabalhador de manutenção de rodovias")</f>
        <v>Trabalhador de manutenção de rodovias</v>
      </c>
      <c r="O679" s="7" t="str">
        <f>IFERROR(__xludf.DUMMYFUNCTION("IF(M679="""","""",GOOGLETRANSLATE(M679,""en"",""pt""))"),"As funções podem incluir: Todas as tarefas são realizadas em rodovias interestaduais: Recolher/remover lixo, cortar a grama e remover neve. Utilizar ferramentas manuais, como pás, ancinhos, serras de poda, aparadores de cerca viva ou arbustos, ou machados"&amp;". Operar veículos ou equipamentos motorizados, como cortadores de grama, tratores, veículos de dois eixos, sopradores de neve, motosserras, tesouras elétricas, cortadores de grama ou serras de poda, e outras atividades relacionadas à manutenção de rodovia"&amp;"s, conforme SOC/OES 47-4051 (onetonline.org). Horário padrão/esperado: Segunda a sexta, das 7h às 16h. Oferecemos mais de 40 horas semanais, sem incluir almoço e/ou intervalos. Possibilidade de trabalho nos fins de semana e feriados. Os horários de início"&amp;" e término, a carga horária e/ou horas extras podem variar, pois dependem de fatores como projeto/cronograma/necessidades do serviço, condições climáticas e tempo de deslocamento entre os locais de trabalho (se aplicável). Possibilidade de horas extras, m"&amp;"as não obrigatórias nem garantidas. A critério exclusivo do empregador: possíveis aumentos e/ou bônus com base em fatores individuais, como desempenho ou habilidades (não garantidos). Moradia compartilhada opcional disponível sem custo para o trabalhador."&amp;" Classificação da vaga: 47-4051.00 - Trabalhadores de Manutenção de Rodovias. A classificação e descrição da vaga/setor incluem informações gerais sobre o cargo, conforme ONET/OES e o Sistema de Classificação Industrial da América do Norte (NAICS). Consul"&amp;"te as Funções e a Ordem de Serviço para obter mais informações. Requisitos da vaga: Experiência exigida: Não. Requisitos especiais: É necessário ter 18 anos devido a questões de seguro. É necessário apresentar comprovante de autorização legal para trabalh"&amp;"ar nos Estados Unidos. Ambiente de trabalho livre de drogas, álcool e tabaco. Executar atividades físicas, como levantar, equilibrar-se, caminhar, abaixar-se, manusear, posicionar, mover e manipular materiais, utilizando força estática para exercer força "&amp;"muscular máxima para levantar, empurrar, puxar e carregar objetos de até 23 kg. Todos os candidatos devem ser capazes, dispostos e qualificados para executar o trabalho descrito e devem estar disponíveis durante todo o período especificado e para trabalha"&amp;"r em todas as áreas da vaga. O trabalho é realizado ao ar livre, exposto às intempéries; o candidato deve ser capaz de realizar trabalho fisicamente extenuante por longos períodos, ocasionalmente em calor ou frio extremos. As condições climáticas são vari"&amp;"áveis; a carga horária pode sofrer alterações (+/-), com possibilidade de períodos de inatividade e/ou horas extras. Número de horas por semana: 40. Horário de trabalho (início/término): 7h às 16h.")</f>
        <v>As funções podem incluir: Todas as tarefas são realizadas em rodovias interestaduais: Recolher/remover lixo, cortar a grama e remover neve. Utilizar ferramentas manuais, como pás, ancinhos, serras de poda, aparadores de cerca viva ou arbustos, ou machados. Operar veículos ou equipamentos motorizados, como cortadores de grama, tratores, veículos de dois eixos, sopradores de neve, motosserras, tesouras elétricas, cortadores de grama ou serras de poda, e outras atividades relacionadas à manutenção de rodovias, conforme SOC/OES 47-4051 (onetonline.org). Horário padrão/esperado: Segunda a sexta, das 7h às 16h. Oferecemos mais de 40 horas semanais, sem incluir almoço e/ou intervalos. Possibilidade de trabalho nos fins de semana e feriados. Os horários de início e término, a carga horária e/ou horas extras podem variar, pois dependem de fatores como projeto/cronograma/necessidades do serviço, condições climáticas e tempo de deslocamento entre os locais de trabalho (se aplicável). Possibilidade de horas extras, mas não obrigatórias nem garantidas. A critério exclusivo do empregador: possíveis aumentos e/ou bônus com base em fatores individuais, como desempenho ou habilidades (não garantidos). Moradia compartilhada opcional disponível sem custo para o trabalhador. Classificação da vaga: 47-4051.00 - Trabalhadores de Manutenção de Rodovias. A classificação e descrição da vaga/setor incluem informações gerais sobre o cargo, conforme ONET/OES e o Sistema de Classificação Industrial da América do Norte (NAICS). Consulte as Funções e a Ordem de Serviço para obter mais informações. Requisitos da vaga: Experiência exigida: Não. Requisitos especiais: É necessário ter 18 anos devido a questões de seguro. É necessário apresentar comprovante de autorização legal para trabalhar nos Estados Unidos. Ambiente de trabalho livre de drogas, álcool e tabaco. Executar atividades físicas, como levantar, equilibrar-se, caminhar, abaixar-se, manusear, posicionar, mover e manipular materiais, utilizando força estática para exercer força muscular máxima para levantar, empurrar, puxar e carregar objetos de até 23 kg. Todos os candidatos devem ser capazes, dispostos e qualificados para executar o trabalho descrito e devem estar disponíveis durante todo o período especificado e para trabalhar em todas as áreas da vaga. O trabalho é realizado ao ar livre, exposto às intempéries; o candidato deve ser capaz de realizar trabalho fisicamente extenuante por longos períodos, ocasionalmente em calor ou frio extremos. As condições climáticas são variáveis; a carga horária pode sofrer alterações (+/-), com possibilidade de períodos de inatividade e/ou horas extras. Número de horas por semana: 40. Horário de trabalho (início/término): 7h às 16h.</v>
      </c>
    </row>
    <row r="680" ht="20.25" customHeight="1">
      <c r="A680" s="3" t="s">
        <v>3237</v>
      </c>
      <c r="B680" s="3" t="s">
        <v>3238</v>
      </c>
      <c r="C680" s="3" t="s">
        <v>2995</v>
      </c>
      <c r="D680" s="3" t="s">
        <v>87</v>
      </c>
      <c r="E680" s="4" t="s">
        <v>19</v>
      </c>
      <c r="F680" s="4" t="s">
        <v>20</v>
      </c>
      <c r="G680" s="4" t="s">
        <v>3239</v>
      </c>
      <c r="H680" s="3" t="s">
        <v>3240</v>
      </c>
      <c r="I680" s="3" t="s">
        <v>3241</v>
      </c>
      <c r="J680" s="4">
        <v>17.49</v>
      </c>
      <c r="K680" s="4">
        <v>69.0</v>
      </c>
      <c r="L680" s="3" t="s">
        <v>463</v>
      </c>
      <c r="M680" s="3" t="s">
        <v>3242</v>
      </c>
      <c r="N680" s="7" t="str">
        <f>IFERROR(__xludf.DUMMYFUNCTION("GOOGLETRANSLATE(L680, ""en"", ""pt"")"),"Plantador de árvores")</f>
        <v>Plantador de árvores</v>
      </c>
      <c r="O680" s="7" t="str">
        <f>IFERROR(__xludf.DUMMYFUNCTION("IF(M680="""","""",GOOGLETRANSLATE(M680,""en"",""pt""))"),"As funções podem incluir: trabalho braçal ao ar livre para reflorestamento: manutenção e desenvolvimento de áreas florestais, incluindo o plantio manual de mudas de árvores e outras atividades relacionadas ao plantio de árvores, conforme SOC/OES 45-4011 ("&amp;"onetonline.org). Horário padrão/esperado: segunda a sexta, das 8h às 16h30. Oferecemos mais de 40 horas semanais, sem incluir almoço e/ou intervalos. Possibilidade de trabalho nos fins de semana e feriados. Os horários de início e término, a carga horária"&amp;" e/ou horas extras podem variar, pois dependem de fatores como necessidades do projeto/cronograma/serviço, condições climáticas e tempo de deslocamento entre os locais de trabalho (se aplicável). Horas extras são possíveis, mas não obrigatórias nem garant"&amp;"idas. A critério exclusivo do empregador: aumentos salariais e/ou bônus podem ser concedidos com base em fatores individuais, como desempenho ou habilidades (não garantidos). O pagamento por produção pode ser aplicado e varia de US$ 10 a US$ 600 por 1.000"&amp;" árvores plantadas. Os trabalhadores passarão por um período de treinamento em serviço (OJT) de 2 semanas, após o qual será estabelecida uma meta de produção diária de 2.200 árvores plantadas por dia de 8 horas (275 árvores plantadas por hora). O não cump"&amp;"rimento dessa meta poderá resultar em advertência disciplinar. Alojamento compartilhado opcional disponível sem custo para o trabalhador. Classificação da vaga: 45-4011.00 - Trabalhadores Florestais e de Conservação. A classificação e descrição da vaga/se"&amp;"tor incluem informações gerais sobre o cargo, de acordo com o ONET/OES e o Sistema de Classificação Industrial da América do Norte (NAICS). Consulte as Funções e a Ordem de Serviço para obter mais informações. Requisitos da vaga: Experiência exigida: Não."&amp;" Requisitos especiais: É necessário ter 18 anos devido a viagens. É necessário apresentar comprovante de autorização legal para trabalhar nos Estados Unidos. Ambiente de trabalho livre de drogas, álcool e tabaco. É necessário caminhar bastante (até 24 km/"&amp;"dia), além de se abaixar e se curvar carregando uma mochila (até 23 kg) em terrenos acidentados (fora de trilhas). Todos os candidatos devem ser capazes, estar dispostos e qualificados para executar o trabalho descrito e devem estar disponíveis durante to"&amp;"do o período especificado e trabalhar em todas as áreas do emprego pretendido. A critério do empregador/custo: o trabalhador poderá ser submetido a testes aleatórios de drogas/álcool durante o emprego: teste positivo/recusa em cumprir o teste = demissão. "&amp;"Possível verificação de antecedentes após a contratação, às custas do empregador. O trabalho é realizado ao ar livre, exposto às intempéries; o candidato deve ser capaz de realizar trabalho fisicamente extenuante por longas horas, ocasionalmente em calor "&amp;"ou frio extremos. As condições climáticas são variáveis; a carga horária pode sofrer alterações (+/-), podendo haver períodos de inatividade e/ou horas extras. Número de horas por semana: 40. Horário de trabalho (início/término): 8h00 - 16h30.")</f>
        <v>As funções podem incluir: trabalho braçal ao ar livre para reflorestamento: manutenção e desenvolvimento de áreas florestais, incluindo o plantio manual de mudas de árvores e outras atividades relacionadas ao plantio de árvores, conforme SOC/OES 45-4011 (onetonline.org). Horário padrão/esperado: segunda a sexta, das 8h às 16h30. Oferecemos mais de 40 horas semanais, sem incluir almoço e/ou intervalos. Possibilidade de trabalho nos fins de semana e feriados. Os horários de início e término, a carga horária e/ou horas extras podem variar, pois dependem de fatores como necessidades do projeto/cronograma/serviço, condições climáticas e tempo de deslocamento entre os locais de trabalho (se aplicável). Horas extras são possíveis, mas não obrigatórias nem garantidas. A critério exclusivo do empregador: aumentos salariais e/ou bônus podem ser concedidos com base em fatores individuais, como desempenho ou habilidades (não garantidos). O pagamento por produção pode ser aplicado e varia de US$ 10 a US$ 600 por 1.000 árvores plantadas. Os trabalhadores passarão por um período de treinamento em serviço (OJT) de 2 semanas, após o qual será estabelecida uma meta de produção diária de 2.200 árvores plantadas por dia de 8 horas (275 árvores plantadas por hora). O não cumprimento dessa meta poderá resultar em advertência disciplinar. Alojamento compartilhado opcional disponível sem custo para o trabalhador. Classificação da vaga: 45-4011.00 - Trabalhadores Florestais e de Conservação. A classificação e descrição da vaga/setor incluem informações gerais sobre o cargo, de acordo com o ONET/OES e o Sistema de Classificação Industrial da América do Norte (NAICS). Consulte as Funções e a Ordem de Serviço para obter mais informações. Requisitos da vaga: Experiência exigida: Não. Requisitos especiais: É necessário ter 18 anos devido a viagens. É necessário apresentar comprovante de autorização legal para trabalhar nos Estados Unidos. Ambiente de trabalho livre de drogas, álcool e tabaco. É necessário caminhar bastante (até 24 km/dia), além de se abaixar e se curvar carregando uma mochila (até 23 kg) em terrenos acidentados (fora de trilhas). Todos os candidatos devem ser capazes, estar dispostos e qualificados para executar o trabalho descrito e devem estar disponíveis durante todo o período especificado e trabalhar em todas as áreas do emprego pretendido. A critério do empregador/custo: o trabalhador poderá ser submetido a testes aleatórios de drogas/álcool durante o emprego: teste positivo/recusa em cumprir o teste = demissão. Possível verificação de antecedentes após a contratação, às custas do empregador. O trabalho é realizado ao ar livre, exposto às intempéries; o candidato deve ser capaz de realizar trabalho fisicamente extenuante por longas horas, ocasionalmente em calor ou frio extremos. As condições climáticas são variáveis; a carga horária pode sofrer alterações (+/-), podendo haver períodos de inatividade e/ou horas extras. Número de horas por semana: 40. Horário de trabalho (início/término): 8h00 - 16h30.</v>
      </c>
    </row>
    <row r="681" ht="20.25" customHeight="1">
      <c r="A681" s="8" t="s">
        <v>3243</v>
      </c>
      <c r="B681" s="8" t="s">
        <v>3244</v>
      </c>
      <c r="C681" s="8" t="s">
        <v>2995</v>
      </c>
      <c r="D681" s="8" t="s">
        <v>403</v>
      </c>
      <c r="E681" s="9" t="s">
        <v>44</v>
      </c>
      <c r="F681" s="9" t="s">
        <v>20</v>
      </c>
      <c r="G681" s="9" t="s">
        <v>377</v>
      </c>
      <c r="H681" s="8" t="s">
        <v>3245</v>
      </c>
      <c r="I681" s="8" t="s">
        <v>3246</v>
      </c>
      <c r="J681" s="9">
        <v>20.59</v>
      </c>
      <c r="K681" s="9">
        <v>15.0</v>
      </c>
      <c r="L681" s="8" t="s">
        <v>83</v>
      </c>
      <c r="M681" s="8" t="s">
        <v>3247</v>
      </c>
      <c r="N681" s="7" t="str">
        <f>IFERROR(__xludf.DUMMYFUNCTION("GOOGLETRANSLATE(L681, ""en"", ""pt"")"),"Trabalhador Florestal")</f>
        <v>Trabalhador Florestal</v>
      </c>
      <c r="O681" s="7" t="str">
        <f>IFERROR(__xludf.DUMMYFUNCTION("IF(M681="""","""",GOOGLETRANSLATE(M681,""en"",""pt""))"),"As funções podem incluir: cavar buracos em intervalos determinados, plantar mudas de árvores sem raízes em J ou U, compactar o solo para fixar as mudas usando ferramentas de plantio manuais OU de pé e outras atividades relacionadas a Trabalhador Florestal"&amp;", conforme SOC/OES 45-4011 (onetonline.org). Horário padrão/esperado: segunda a sexta, das 8h às 16h30. Oferecemos mais de 40 horas semanais, sem incluir almoço e/ou intervalos. Possibilidade de trabalho em fins de semana e feriados. Os horários de início"&amp;" e término, a carga horária e/ou horas extras podem variar, pois dependem de fatores como necessidades do projeto/cronograma/serviço, condições climáticas e tempo de deslocamento entre os locais de trabalho (se aplicável). Horas extras são possíveis, mas "&amp;"não obrigatórias nem garantidas. A critério exclusivo do empregador: aumentos salariais e/ou bônus podem ser concedidos com base em fatores individuais, como desempenho ou habilidades (não garantidos). Moradia compartilhada opcional, sem custo para o trab"&amp;"alhador. Classificação da Função: 45-4011.00 - Trabalhadores Florestais e de Conservação. A classificação e descrição da função/setor inclui informações gerais sobre o cargo, conforme o ONET/OES e o Sistema de Classificação Industrial da América do Norte."&amp;" Consulte as Funções e a Ordem de Serviço para obter mais informações. Requisitos da Função: Experiência Necessária: Sim. Meses de Experiência Necessários: 3. Requisitos Especiais: É necessário ter 18 anos devido a viagens. É necessário apresentar comprov"&amp;"ante de autorização legal para trabalhar nos Estados Unidos. Ambiente de trabalho livre de drogas, álcool e tabaco. Executar atividades físicas, como levantar, equilibrar-se, caminhar, abaixar-se, manusear, posicionar, mover e manipular materiais, utiliza"&amp;"ndo força estática para exercer força muscular máxima para levantar, empurrar, puxar e carregar objetos de até 23 kg. Todos os candidatos devem ser capazes, dispostos e qualificados para executar o trabalho descrito e devem estar disponíveis durante todo "&amp;"o período especificado e trabalhar em todas as áreas de atuação pretendidas. A critério/custo do Empregador: O trabalhador poderá ser submetido a testes aleatórios de drogas/álcool durante o emprego: teste positivo/recusa em cumprir o teste = demissão. Po"&amp;"ssível verificação de antecedentes após a contratação, às custas do empregador. O trabalho é realizado ao ar livre, exposto às intempéries; o candidato deve ser capaz de realizar trabalho fisicamente extenuante por longos períodos, ocasionalmente em calor"&amp;" ou frio extremos. Condições climáticas variáveis ​​se aplicam; a carga horária pode sofrer alterações (+/-), com possibilidade de períodos de inatividade e/ou horas extras. Número de horas por semana: 40. Horário de trabalho (início/término): 8h às 16h30"&amp;".")</f>
        <v>As funções podem incluir: cavar buracos em intervalos determinados, plantar mudas de árvores sem raízes em J ou U, compactar o solo para fixar as mudas usando ferramentas de plantio manuais OU de pé e outras atividades relacionadas a Trabalhador Florestal, conforme SOC/OES 45-4011 (onetonline.org). Horário padrão/esperado: segunda a sexta, das 8h às 16h30. Oferecemos mais de 40 horas semanais, sem incluir almoço e/ou intervalos. Possibilidade de trabalho em fins de semana e feriados. Os horários de início e término, a carga horária e/ou horas extras podem variar, pois dependem de fatores como necessidades do projeto/cronograma/serviço, condições climáticas e tempo de deslocamento entre os locais de trabalho (se aplicável). Horas extras são possíveis, mas não obrigatórias nem garantidas. A critério exclusivo do empregador: aumentos salariais e/ou bônus podem ser concedidos com base em fatores individuais, como desempenho ou habilidades (não garantidos). Moradia compartilhada opcional, sem custo para o trabalhador. Classificação da Função: 45-4011.00 - Trabalhadores Florestais e de Conservação. A classificação e descrição da função/setor inclui informações gerais sobre o cargo, conforme o ONET/OES e o Sistema de Classificação Industrial da América do Norte. Consulte as Funções e a Ordem de Serviço para obter mais informações. Requisitos da Função: Experiência Necessária: Sim. Meses de Experiência Necessários: 3. Requisitos Especiais: É necessário ter 18 anos devido a viagens. É necessário apresentar comprovante de autorização legal para trabalhar nos Estados Unidos. Ambiente de trabalho livre de drogas, álcool e tabaco. Executar atividades físicas, como levantar, equilibrar-se, caminhar, abaixar-se, manusear, posicionar, mover e manipular materiais, utilizando força estática para exercer força muscular máxima para levantar, empurrar, puxar e carregar objetos de até 23 kg. Todos os candidatos devem ser capazes, dispostos e qualificados para executar o trabalho descrito e devem estar disponíveis durante todo o período especificado e trabalhar em todas as áreas de atuação pretendidas. A critério/custo do Empregador: O trabalhador poderá ser submetido a testes aleatórios de drogas/álcool durante o emprego: teste positivo/recusa em cumprir o teste = demissão. Possível verificação de antecedentes após a contratação, às custas do empregador. O trabalho é realizado ao ar livre, exposto às intempéries; o candidato deve ser capaz de realizar trabalho fisicamente extenuante por longos períodos, ocasionalmente em calor ou frio extremos. Condições climáticas variáveis ​​se aplicam; a carga horária pode sofrer alterações (+/-), com possibilidade de períodos de inatividade e/ou horas extras. Número de horas por semana: 40. Horário de trabalho (início/término): 8h às 16h30.</v>
      </c>
    </row>
    <row r="682" ht="20.25" customHeight="1">
      <c r="A682" s="3" t="s">
        <v>3248</v>
      </c>
      <c r="B682" s="3" t="s">
        <v>3249</v>
      </c>
      <c r="C682" s="3" t="s">
        <v>2995</v>
      </c>
      <c r="D682" s="3" t="s">
        <v>596</v>
      </c>
      <c r="E682" s="4" t="s">
        <v>19</v>
      </c>
      <c r="F682" s="4" t="s">
        <v>20</v>
      </c>
      <c r="G682" s="4" t="s">
        <v>524</v>
      </c>
      <c r="H682" s="3" t="s">
        <v>3250</v>
      </c>
      <c r="I682" s="3" t="s">
        <v>3251</v>
      </c>
      <c r="J682" s="4">
        <v>16.55</v>
      </c>
      <c r="K682" s="4">
        <v>16.0</v>
      </c>
      <c r="L682" s="3" t="s">
        <v>83</v>
      </c>
      <c r="M682" s="3" t="s">
        <v>3252</v>
      </c>
      <c r="N682" s="7" t="str">
        <f>IFERROR(__xludf.DUMMYFUNCTION("GOOGLETRANSLATE(L682, ""en"", ""pt"")"),"Trabalhador Florestal")</f>
        <v>Trabalhador Florestal</v>
      </c>
      <c r="O682" s="7" t="str">
        <f>IFERROR(__xludf.DUMMYFUNCTION("IF(M682="""","""",GOOGLETRANSLATE(M682,""en"",""pt""))"),"As funções podem incluir: Classificar mudas de árvores, descartando as de qualidade inferior, de acordo com tabelas padrão ou instruções verbais. Coletar sementes para reflorestamento ou outros fins florestais. Selecionar mudas, preparar o solo ou plantar"&amp;" as árvores utilizando ferramentas manuais. Cortar pequenos caules lenhosos com ferramentas manuais e/ou elétricas para produzir mudas de acordo com as especificações necessárias. Desbastar ou espaçar as árvores. Identificar árvores doentes ou indesejávei"&amp;"s ​​e removê-las, além de outras atividades relacionadas ao trabalho florestal, conforme SOC/OES 45-4011 (onetonline.org). Horário padrão/esperado: Segunda a sexta, das 7h30 às 16h. Oferecemos mais de 40 horas semanais, sem incluir almoço e/ou intervalos."&amp;" Possibilidade de trabalho em fins de semana e feriados. Os horários de início e término, a carga horária e/ou horas extras podem variar, pois dependem de fatores como projetos/cronograma/necessidades do serviço, condições climáticas e tempo de deslocamen"&amp;"to entre os locais de trabalho (se aplicável). Horas extras são possíveis, mas não obrigatórias ou garantidas. A critério exclusivo do empregador: possíveis aumentos e/ou bônus com base em fatores individuais, como desempenho no trabalho ou habilidades (n"&amp;"ão garantidos). Moradia compartilhada opcional disponível sem custo para o trabalhador. Classificação do Cargo: 45-4011.00 - Trabalhadores Florestais e de Conservação. A classificação e descrição do cargo/setor incluem informações gerais sobre a posição, "&amp;"de acordo com o ONET/OES e o Sistema de Classificação Industrial da América do Norte. Consulte as Funções e a Ordem de Serviço para obter mais informações. Requisitos do Cargo Experiência Necessária: Sim Meses de Experiência Necessários: 3 Requisitos Espe"&amp;"ciais: É necessário ter 18 anos devido ao uso de equipamentos. É necessário apresentar comprovante de autorização legal para trabalhar nos Estados Unidos. Ambiente de trabalho livre de drogas, álcool e tabaco. Executar atividades físicas, como levantar, e"&amp;"quilibrar-se, caminhar, abaixar-se, manusear, posicionar, mover e manipular materiais; usar força estática para exercer força muscular máxima para levantar, empurrar, puxar e carregar objetos de até 23 kg. Todos os candidatos devem ser capazes, dispostos "&amp;"e qualificados para executar o trabalho descrito e devem estar disponíveis durante todo o período especificado e trabalhar em todas as áreas de atuação pretendidas. O trabalho é realizado ao ar livre, exposto às intempéries; o candidato deve ser capaz de "&amp;"realizar trabalho fisicamente extenuante por longos períodos, ocasionalmente em calor ou frio extremos. As condições climáticas são variáveis; a carga horária pode sofrer alterações (+/-), com possibilidade de períodos de inatividade e/ou horas extras. Nú"&amp;"mero de horas por semana: 40. Horário de trabalho (início/término): 7h30 às 16h.")</f>
        <v>As funções podem incluir: Classificar mudas de árvores, descartando as de qualidade inferior, de acordo com tabelas padrão ou instruções verbais. Coletar sementes para reflorestamento ou outros fins florestais. Selecionar mudas, preparar o solo ou plantar as árvores utilizando ferramentas manuais. Cortar pequenos caules lenhosos com ferramentas manuais e/ou elétricas para produzir mudas de acordo com as especificações necessárias. Desbastar ou espaçar as árvores. Identificar árvores doentes ou indesejáveis ​​e removê-las, além de outras atividades relacionadas ao trabalho florestal, conforme SOC/OES 45-4011 (onetonline.org). Horário padrão/esperado: Segunda a sexta, das 7h30 às 16h. Oferecemos mais de 40 horas semanais, sem incluir almoço e/ou intervalos. Possibilidade de trabalho em fins de semana e feriados. Os horários de início e término, a carga horária e/ou horas extras podem variar, pois dependem de fatores como projetos/cronograma/necessidades do serviço, condições climáticas e tempo de deslocamento entre os locais de trabalho (se aplicável). Horas extras são possíveis, mas não obrigatórias ou garantidas. A critério exclusivo do empregador: possíveis aumentos e/ou bônus com base em fatores individuais, como desempenho no trabalho ou habilidades (não garantidos). Moradia compartilhada opcional disponível sem custo para o trabalhador. Classificação do Cargo: 45-4011.00 - Trabalhadores Florestais e de Conservação. A classificação e descrição do cargo/setor incluem informações gerais sobre a posição, de acordo com o ONET/OES e o Sistema de Classificação Industrial da América do Norte. Consulte as Funções e a Ordem de Serviço para obter mais informações. Requisitos do Cargo Experiência Necessária: Sim Meses de Experiência Necessários: 3 Requisitos Especiais: É necessário ter 18 anos devido ao uso de equipamentos. É necessário apresentar comprovante de autorização legal para trabalhar nos Estados Unidos. Ambiente de trabalho livre de drogas, álcool e tabaco. Executar atividades físicas, como levantar, equilibrar-se, caminhar, abaixar-se, manusear, posicionar, mover e manipular materiais; usar força estática para exercer força muscular máxima para levantar, empurrar, puxar e carregar objetos de até 23 kg. Todos os candidatos devem ser capazes, dispostos e qualificados para executar o trabalho descrito e devem estar disponíveis durante todo o período especificado e trabalhar em todas as áreas de atuação pretendidas. O trabalho é realizado ao ar livre, exposto às intempéries; o candidato deve ser capaz de realizar trabalho fisicamente extenuante por longos períodos, ocasionalmente em calor ou frio extremos. As condições climáticas são variáveis; a carga horária pode sofrer alterações (+/-), com possibilidade de períodos de inatividade e/ou horas extras. Número de horas por semana: 40. Horário de trabalho (início/término): 7h30 às 16h.</v>
      </c>
    </row>
    <row r="683" ht="20.25" customHeight="1">
      <c r="A683" s="8" t="s">
        <v>3253</v>
      </c>
      <c r="B683" s="8" t="s">
        <v>3254</v>
      </c>
      <c r="C683" s="8" t="s">
        <v>1000</v>
      </c>
      <c r="D683" s="8" t="s">
        <v>117</v>
      </c>
      <c r="E683" s="9" t="s">
        <v>44</v>
      </c>
      <c r="F683" s="9" t="s">
        <v>20</v>
      </c>
      <c r="G683" s="9" t="s">
        <v>307</v>
      </c>
      <c r="H683" s="8" t="s">
        <v>3255</v>
      </c>
      <c r="I683" s="8" t="s">
        <v>3256</v>
      </c>
      <c r="J683" s="9">
        <v>27.19</v>
      </c>
      <c r="K683" s="9">
        <v>15.0</v>
      </c>
      <c r="L683" s="8" t="s">
        <v>302</v>
      </c>
      <c r="M683" s="8" t="s">
        <v>3257</v>
      </c>
      <c r="N683" s="7" t="str">
        <f>IFERROR(__xludf.DUMMYFUNCTION("GOOGLETRANSLATE(L683, ""en"", ""pt"")"),"Operários da construção civil")</f>
        <v>Operários da construção civil</v>
      </c>
      <c r="O683" s="7" t="str">
        <f>IFERROR(__xludf.DUMMYFUNCTION("IF(M683="""","""",GOOGLETRANSLATE(M683,""en"",""pt""))"),"Executar tarefas menores que envolvam trabalho manual em canteiros de obras de concreto. Medir e concluir projetos de construção. Misturar, despejar ou espalhar concreto usando betoneira portátil. Operar bombas e mangueiras de água/concreto e compressores"&amp;" e/ou geradores para fornecer ar/energia para ferramentas, máquinas ou equipamentos. Utilizar todos os tipos de ferramentas manuais, elétricas e pneumáticas. Posicionar e desmontar fôrmas para concretagem usando martelos, pregos ou parafusos. Alisar e dar"&amp;" acabamento ao cimento ou concreto recém-despejado usando desempenadeiras, colheres de pedreiro, réguas de nivelamento ou ferramentas elétricas de acabamento de concreto. Operar marteletes pneumáticos ou furadeiras para quebrar concreto ou pavimento. Posi"&amp;"cionar, unir, alinhar ou selar componentes estruturais, como seções de paredes de concreto ou tubulações. Amarrar vergalhões, posicionar fôrmas de alumínio para paredes e despejar todo o concreto. Limpar o canteiro de obras. Classificação da função: 47-20"&amp;"51.00 - Pedreiros e Acabadores de Concreto. A classificação e descrição da função/indústria incluem informações gerais sobre o cargo, de acordo com o ONET/OES e o Sistema de Classificação Industrial da América do Norte. Consulte as Funções e a Ordem de Se"&amp;"rviço para obter mais informações. Requisitos da vaga Experiência necessária: Sim Meses de experiência necessários: 1 Requisitos especiais: Deve ser capaz de levantar e carregar 34 kg por 68 metros e trabalhar em temperaturas extremas. Deverá viajar para "&amp;"locais de trabalho dentro da área de atuação pretendida. Número de horas por semana: 40 Horário de trabalho (início/término): 7h às 17h")</f>
        <v>Executar tarefas menores que envolvam trabalho manual em canteiros de obras de concreto. Medir e concluir projetos de construção. Misturar, despejar ou espalhar concreto usando betoneira portátil. Operar bombas e mangueiras de água/concreto e compressores e/ou geradores para fornecer ar/energia para ferramentas, máquinas ou equipamentos. Utilizar todos os tipos de ferramentas manuais, elétricas e pneumáticas. Posicionar e desmontar fôrmas para concretagem usando martelos, pregos ou parafusos. Alisar e dar acabamento ao cimento ou concreto recém-despejado usando desempenadeiras, colheres de pedreiro, réguas de nivelamento ou ferramentas elétricas de acabamento de concreto. Operar marteletes pneumáticos ou furadeiras para quebrar concreto ou pavimento. Posicionar, unir, alinhar ou selar componentes estruturais, como seções de paredes de concreto ou tubulações. Amarrar vergalhões, posicionar fôrmas de alumínio para paredes e despejar todo o concreto. Limpar o canteiro de obras. Classificação da função: 47-2051.00 - Pedreiros e Acabadores de Concreto. A classificação e descrição da função/indústria incluem informações gerais sobre o cargo, de acordo com o ONET/OES e o Sistema de Classificação Industrial da América do Norte. Consulte as Funções e a Ordem de Serviço para obter mais informações. Requisitos da vaga Experiência necessária: Sim Meses de experiência necessários: 1 Requisitos especiais: Deve ser capaz de levantar e carregar 34 kg por 68 metros e trabalhar em temperaturas extremas. Deverá viajar para locais de trabalho dentro da área de atuação pretendida. Número de horas por semana: 40 Horário de trabalho (início/término): 7h às 17h</v>
      </c>
    </row>
    <row r="684" ht="20.25" customHeight="1">
      <c r="A684" s="3" t="s">
        <v>3258</v>
      </c>
      <c r="B684" s="3" t="s">
        <v>3259</v>
      </c>
      <c r="C684" s="3" t="s">
        <v>3202</v>
      </c>
      <c r="D684" s="3" t="s">
        <v>71</v>
      </c>
      <c r="E684" s="4" t="s">
        <v>19</v>
      </c>
      <c r="F684" s="4" t="s">
        <v>20</v>
      </c>
      <c r="G684" s="4" t="s">
        <v>377</v>
      </c>
      <c r="H684" s="3" t="s">
        <v>3260</v>
      </c>
      <c r="I684" s="3" t="s">
        <v>3261</v>
      </c>
      <c r="J684" s="4">
        <v>17.78</v>
      </c>
      <c r="K684" s="4">
        <v>10.0</v>
      </c>
      <c r="L684" s="3" t="s">
        <v>3262</v>
      </c>
      <c r="M684" s="3" t="s">
        <v>3263</v>
      </c>
      <c r="N684" s="7" t="str">
        <f>IFERROR(__xludf.DUMMYFUNCTION("GOOGLETRANSLATE(L684, ""en"", ""pt"")"),"Trabalhador de manutenção de campo de golfe")</f>
        <v>Trabalhador de manutenção de campo de golfe</v>
      </c>
      <c r="O684" s="7" t="str">
        <f>IFERROR(__xludf.DUMMYFUNCTION("IF(M684="""","""",GOOGLETRANSLATE(M684,""en"",""pt""))"),"Os funcionários de manutenção do campo de golfe serão responsáveis ​​pela manutenção do campo de golfe e das áreas comuns, utilizando ferramentas manuais e elétricas. As tarefas incluirão: colocação de grama, corte de grama, poda, plantio, irrigação, fert"&amp;"ilização, escavação, rastelagem e instalação de aspersores. A jornada de trabalho prevista é de no mínimo 35 horas semanais. O campo funciona sete dias por semana, incluindo feriados. Os turnos são os seguintes: das 6h30 às 16h; das 6h às 9h30; e das 6h à"&amp;"s 11h. Os turnos mais longos incluem intervalos. Os dias e horários de trabalho podem variar e podem ser alterados de acordo com eventos especiais. Horas extras: somente quando necessário. CONSULTE O DOCUMENTO ANEXO PARA OBTER UMA CÓPIA COMPLETA DA OFERTA"&amp;" DE EMPREGO - Observação para o Oficial Certificador: Em anexo, encontra-se uma cópia completa da oferta de emprego. Caso seja necessário adicionar alguma informação desta oferta de emprego ao formulário ETA-9142, autorizamos a inclusão das informações li"&amp;"stadas neste anexo. Classificação da Função: 37-3011.00 - Trabalhadores de Paisagismo e Manutenção de Jardins. A classificação e descrição da função/setor inclui informações gerais sobre o cargo, de acordo com o ONET/OES e o Sistema de Classificação Indus"&amp;"trial da América do Norte (NAICS). Consulte as Funções e a Ordem de Serviço para obter mais informações. Requisitos da Função Experiência Necessária: Sim Meses de Experiência Necessários: 3 Requisitos Especiais: É necessário ter três meses de experiência "&amp;"em manutenção de jardins em um hotel de alto padrão, resort ou clube privado. É necessário passar por um exame toxicológico e verificação de antecedentes criminais antes da contratação; isso se aplica a todos os candidatos, independentemente de nacionalid"&amp;"ade, raça, sexo ou status de visto, tanto para vagas sazonais quanto anuais em tempo integral. É necessário ter disponibilidade para trabalhar em todos os turnos, incluindo fins de semana e feriados. Número de Horas por Semana: 35 Horário de Trabalho (Iní"&amp;"cio/Término): 6h00 - 11h00")</f>
        <v>Os funcionários de manutenção do campo de golfe serão responsáveis ​​pela manutenção do campo de golfe e das áreas comuns, utilizando ferramentas manuais e elétricas. As tarefas incluirão: colocação de grama, corte de grama, poda, plantio, irrigação, fertilização, escavação, rastelagem e instalação de aspersores. A jornada de trabalho prevista é de no mínimo 35 horas semanais. O campo funciona sete dias por semana, incluindo feriados. Os turnos são os seguintes: das 6h30 às 16h; das 6h às 9h30; e das 6h às 11h. Os turnos mais longos incluem intervalos. Os dias e horários de trabalho podem variar e podem ser alterados de acordo com eventos especiais. Horas extras: somente quando necessário. CONSULTE O DOCUMENTO ANEXO PARA OBTER UMA CÓPIA COMPLETA DA OFERTA DE EMPREGO - Observação para o Oficial Certificador: Em anexo, encontra-se uma cópia completa da oferta de emprego. Caso seja necessário adicionar alguma informação desta oferta de emprego ao formulário ETA-9142, autorizamos a inclusão das informações listadas neste anexo. Classificação da Função: 37-3011.00 - Trabalhadores de Paisagismo e Manutenção de Jardins. A classificação e descrição da função/setor inclui informações gerais sobre o cargo, de acordo com o ONET/OES e o Sistema de Classificação Industrial da América do Norte (NAICS). Consulte as Funções e a Ordem de Serviço para obter mais informações. Requisitos da Função Experiência Necessária: Sim Meses de Experiência Necessários: 3 Requisitos Especiais: É necessário ter três meses de experiência em manutenção de jardins em um hotel de alto padrão, resort ou clube privado. É necessário passar por um exame toxicológico e verificação de antecedentes criminais antes da contratação; isso se aplica a todos os candidatos, independentemente de nacionalidade, raça, sexo ou status de visto, tanto para vagas sazonais quanto anuais em tempo integral. É necessário ter disponibilidade para trabalhar em todos os turnos, incluindo fins de semana e feriados. Número de Horas por Semana: 35 Horário de Trabalho (Início/Término): 6h00 - 11h00</v>
      </c>
    </row>
    <row r="685" ht="20.25" customHeight="1">
      <c r="A685" s="8" t="s">
        <v>3264</v>
      </c>
      <c r="B685" s="8" t="s">
        <v>3265</v>
      </c>
      <c r="C685" s="8" t="s">
        <v>1000</v>
      </c>
      <c r="D685" s="8" t="s">
        <v>1297</v>
      </c>
      <c r="E685" s="9" t="s">
        <v>19</v>
      </c>
      <c r="F685" s="9" t="s">
        <v>20</v>
      </c>
      <c r="G685" s="9" t="s">
        <v>307</v>
      </c>
      <c r="H685" s="8" t="s">
        <v>3266</v>
      </c>
      <c r="I685" s="8" t="s">
        <v>3267</v>
      </c>
      <c r="J685" s="9">
        <v>26.84</v>
      </c>
      <c r="K685" s="9">
        <v>5.0</v>
      </c>
      <c r="L685" s="8" t="s">
        <v>2961</v>
      </c>
      <c r="M685" s="8" t="s">
        <v>3268</v>
      </c>
      <c r="N685" s="7" t="str">
        <f>IFERROR(__xludf.DUMMYFUNCTION("GOOGLETRANSLATE(L685, ""en"", ""pt"")"),"Motoristas de caminhão semirreboque")</f>
        <v>Motoristas de caminhão semirreboque</v>
      </c>
      <c r="O685" s="7" t="str">
        <f>IFERROR(__xludf.DUMMYFUNCTION("IF(M685="""","""",GOOGLETRANSLATE(M685,""en"",""pt""))"),"Carregar, transportar, descarregar, exportar e processar grãos, ração, ingredientes para ração, produtos a granel e produtos alimentícios em contêineres intermodais. Recolher contêineres intermodais vazios. Transportar produtos do produtor e/ou processado"&amp;"r para o usuário final, fazendas, processadores subsequentes e instalações de armazenamento. O produto será transportado por caminhões semirreboque com transmissão manual e reboques articulados, como tanques pneumáticos a granel, transportadores helicoida"&amp;"is a granel e combinados, caminhões-tanque para produtos a granel e furgões secos. Classificação da vaga: 53-3032.00 - Motoristas de Caminhão Pesado e Caminhão-Reboque. A classificação e descrição da vaga/setor incluem informações gerais sobre o cargo, de"&amp;" acordo com o ONET/OES e o Sistema de Classificação Industrial da América do Norte (NAICS). Consulte as Funções e a Ordem de Serviço para obter mais informações. Requisitos da vaga: Experiência necessária: Não. Requisitos especiais: Deve possuir CNH categ"&amp;"oria A. Deve ser capaz de levantar e carregar 34 kg por 70 metros. Deve ser capaz de lidar com temperaturas extremas. Trabalho em alguns fins de semana. Os veículos que os funcionários irão dirigir têm capacidade para um Peso Bruto Total (PBT) de pelo men"&amp;"os 26.001 libras. Além da Carteira Nacional de Habilitação (CNH) categoria A, nenhuma outra licença ou habilitação adicional é exigida. O trabalhador deve ser capaz de ler e falar inglês suficientemente bem para conversar com o público em geral, entender "&amp;"placas e sinais de trânsito em inglês, responder a perguntas oficiais e fazer anotações em relatórios e registros. Número de horas por semana: 40. Horário de trabalho (início/término): 7h às 17h.")</f>
        <v>Carregar, transportar, descarregar, exportar e processar grãos, ração, ingredientes para ração, produtos a granel e produtos alimentícios em contêineres intermodais. Recolher contêineres intermodais vazios. Transportar produtos do produtor e/ou processador para o usuário final, fazendas, processadores subsequentes e instalações de armazenamento. O produto será transportado por caminhões semirreboque com transmissão manual e reboques articulados, como tanques pneumáticos a granel, transportadores helicoidais a granel e combinados, caminhões-tanque para produtos a granel e furgões secos. Classificação da vaga: 53-3032.00 - Motoristas de Caminhão Pesado e Caminhão-Reboque. A classificação e descrição da vaga/setor incluem informações gerais sobre o cargo, de acordo com o ONET/OES e o Sistema de Classificação Industrial da América do Norte (NAICS). Consulte as Funções e a Ordem de Serviço para obter mais informações. Requisitos da vaga: Experiência necessária: Não. Requisitos especiais: Deve possuir CNH categoria A. Deve ser capaz de levantar e carregar 34 kg por 70 metros. Deve ser capaz de lidar com temperaturas extremas. Trabalho em alguns fins de semana. Os veículos que os funcionários irão dirigir têm capacidade para um Peso Bruto Total (PBT) de pelo menos 26.001 libras. Além da Carteira Nacional de Habilitação (CNH) categoria A, nenhuma outra licença ou habilitação adicional é exigida. O trabalhador deve ser capaz de ler e falar inglês suficientemente bem para conversar com o público em geral, entender placas e sinais de trânsito em inglês, responder a perguntas oficiais e fazer anotações em relatórios e registros. Número de horas por semana: 40. Horário de trabalho (início/término): 7h às 17h.</v>
      </c>
    </row>
    <row r="686" ht="20.25" customHeight="1">
      <c r="A686" s="3" t="s">
        <v>3269</v>
      </c>
      <c r="B686" s="3" t="s">
        <v>3270</v>
      </c>
      <c r="C686" s="3" t="s">
        <v>2995</v>
      </c>
      <c r="D686" s="3" t="s">
        <v>102</v>
      </c>
      <c r="E686" s="4" t="s">
        <v>19</v>
      </c>
      <c r="F686" s="4" t="s">
        <v>20</v>
      </c>
      <c r="G686" s="4" t="s">
        <v>80</v>
      </c>
      <c r="H686" s="3" t="s">
        <v>3271</v>
      </c>
      <c r="I686" s="3" t="s">
        <v>3272</v>
      </c>
      <c r="J686" s="4">
        <v>12.39</v>
      </c>
      <c r="K686" s="4">
        <v>5.0</v>
      </c>
      <c r="L686" s="3" t="s">
        <v>105</v>
      </c>
      <c r="M686" s="3" t="s">
        <v>3273</v>
      </c>
      <c r="N686" s="7" t="str">
        <f>IFERROR(__xludf.DUMMYFUNCTION("GOOGLETRANSLATE(L686, ""en"", ""pt"")"),"Abridores de Ostras")</f>
        <v>Abridores de Ostras</v>
      </c>
      <c r="O686" s="7" t="str">
        <f>IFERROR(__xludf.DUMMYFUNCTION("IF(M686="""","""",GOOGLETRANSLATE(M686,""en"",""pt""))"),"As funções podem incluir: Utilizar faca/espátula para abrir ostras: cortar, limpar, aparar, fatiar, abrir e remover as ostras. Limpar a área de trabalho e outras atividades relacionadas à abertura de ostras, conforme SOC/OES 51-3022 (onetonline.org). Horá"&amp;"rio padrão/esperado: Segunda a sexta, das 6h às 13h30. Oferecemos 35 horas ou mais por semana, sem incluir almoço e/ou intervalos. Possibilidade de trabalho nos fins de semana e feriados. Os horários de início e término, a carga horária e/ou horas extras "&amp;"podem variar, pois dependem de fatores como projeto/cronograma/necessidades do serviço, condições climáticas e tempo de deslocamento entre os locais de trabalho (se aplicável). Horas extras são possíveis, mas não obrigatórias ou garantidas. A critério exc"&amp;"lusivo do empregador: aumentos salariais e/ou bônus podem ser concedidos com base em fatores individuais, como desempenho ou habilidade (não garantidos). Pagamento por produção a US$ 1,50/lb de carne de ostra. O trabalhador nunca receberá menos que o salá"&amp;"rio vigente. Classificação da vaga: 51-3022.00 - Cortadores e Aparadores de Carne, Aves e Peixes. A classificação e descrição da vaga/setor inclui informações gerais sobre o cargo, de acordo com o ONET/OES e o Sistema de Classificação Industrial da Améric"&amp;"a do Norte (NAICS). Consulte as Funções e a Ordem de Serviço para obter mais informações. Requisitos da vaga: Experiência necessária: Sim. Meses de experiência necessários: 3. Requisitos especiais: Deve apresentar comprovante de autorização legal para tra"&amp;"balhar nos Estados Unidos. Ambiente de trabalho livre de drogas, álcool e tabaco. Executar atividades físicas, como levantar, equilibrar-se, caminhar, abaixar-se, manusear, posicionar, mover e manipular materiais; usar força estática para exercer força mu"&amp;"scular máxima para levantar, empurrar, puxar e carregar objetos de até 18 kg. Todos os candidatos devem ser capazes, dispostos e qualificados para executar o trabalho descrito e devem estar disponíveis durante todo o período especificado. A entrega e a di"&amp;"sponibilidade de frutos do mar provenientes de pescadores podem resultar em possíveis períodos de inatividade devido às condições climáticas. Número de horas por semana: 35 Horário de trabalho (início/término): 6h00 - 13h30")</f>
        <v>As funções podem incluir: Utilizar faca/espátula para abrir ostras: cortar, limpar, aparar, fatiar, abrir e remover as ostras. Limpar a área de trabalho e outras atividades relacionadas à abertura de ostras, conforme SOC/OES 51-3022 (onetonline.org). Horário padrão/esperado: Segunda a sexta, das 6h às 13h30. Oferecemos 35 horas ou mais por semana, sem incluir almoço e/ou intervalos. Possibilidade de trabalho nos fins de semana e feriados. Os horários de início e término, a carga horária e/ou horas extras podem variar, pois dependem de fatores como projeto/cronograma/necessidades do serviço, condições climáticas e tempo de deslocamento entre os locais de trabalho (se aplicável). Horas extras são possíveis, mas não obrigatórias ou garantidas. A critério exclusivo do empregador: aumentos salariais e/ou bônus podem ser concedidos com base em fatores individuais, como desempenho ou habilidade (não garantidos). Pagamento por produção a US$ 1,50/lb de carne de ostra. O trabalhador nunca receberá menos que o salário vigente. Classificação da vaga: 51-3022.00 - Cortadores e Aparadores de Carne, Aves e Peixes. A classificação e descrição da vaga/setor inclui informações gerais sobre o cargo, de acordo com o ONET/OES e o Sistema de Classificação Industrial da América do Norte (NAICS). Consulte as Funções e a Ordem de Serviço para obter mais informações. Requisitos da vaga: Experiência necessária: Sim. Meses de experiência necessários: 3. Requisitos especiais: Deve apresentar comprovante de autorização legal para trabalhar nos Estados Unidos. Ambiente de trabalho livre de drogas, álcool e tabaco. Executar atividades físicas, como levantar, equilibrar-se, caminhar, abaixar-se, manusear, posicionar, mover e manipular materiais; usar força estática para exercer força muscular máxima para levantar, empurrar, puxar e carregar objetos de até 18 kg. Todos os candidatos devem ser capazes, dispostos e qualificados para executar o trabalho descrito e devem estar disponíveis durante todo o período especificado. A entrega e a disponibilidade de frutos do mar provenientes de pescadores podem resultar em possíveis períodos de inatividade devido às condições climáticas. Número de horas por semana: 35 Horário de trabalho (início/término): 6h00 - 13h30</v>
      </c>
    </row>
    <row r="687" ht="20.25" customHeight="1">
      <c r="A687" s="8" t="s">
        <v>3274</v>
      </c>
      <c r="B687" s="8" t="s">
        <v>2892</v>
      </c>
      <c r="C687" s="8" t="s">
        <v>54</v>
      </c>
      <c r="D687" s="8" t="s">
        <v>284</v>
      </c>
      <c r="E687" s="9" t="s">
        <v>44</v>
      </c>
      <c r="F687" s="9" t="s">
        <v>20</v>
      </c>
      <c r="G687" s="9" t="s">
        <v>384</v>
      </c>
      <c r="H687" s="8" t="s">
        <v>2893</v>
      </c>
      <c r="I687" s="8" t="s">
        <v>2894</v>
      </c>
      <c r="J687" s="9">
        <v>16.55</v>
      </c>
      <c r="K687" s="9">
        <v>665.0</v>
      </c>
      <c r="L687" s="8" t="s">
        <v>83</v>
      </c>
      <c r="M687" s="8" t="s">
        <v>3275</v>
      </c>
      <c r="N687" s="7" t="str">
        <f>IFERROR(__xludf.DUMMYFUNCTION("GOOGLETRANSLATE(L687, ""en"", ""pt"")"),"Trabalhador Florestal")</f>
        <v>Trabalhador Florestal</v>
      </c>
      <c r="O687" s="7" t="str">
        <f>IFERROR(__xludf.DUMMYFUNCTION("IF(M687="""","""",GOOGLETRANSLATE(M687,""en"",""pt""))"),"As funções podem incluir: Plantar mudas/árvores para reflorestamento de áreas florestais: plantar árvores de raiz nua ou em contêineres, sem raízes em J ou U. Cultivar, transportar e selecionar as mudas para escolher o local ideal de plantio, considerando"&amp;" as necessidades de sombra e solo. Utilizar: pá, enxada, pé de cabra, enxada mecânica ou perfurador de solo motorizado. Verificar o funcionamento adequado dos equipamentos e reduzir a vegetação concorrente. Possibilidade de dirigir ocasionalmente e outras"&amp;" atividades relacionadas a Trabalhador Florestal, conforme SOC/OES 45-4011 (onetonline.org). Horário padrão/esperado: Segunda a sexta, das 8h às 16h. Oferecendo 35 horas semanais ou mais, sem incluir almoço e/ou intervalos. Possibilidade de trabalho em fi"&amp;"ns de semana e feriados. Os horários de início e término, a carga horária e/ou horas extras podem variar, dependendo de fatores como projeto/cronograma/necessidades do serviço, condições climáticas e tempo de deslocamento entre os locais de trabalho (se a"&amp;"plicável). Horas extras são possíveis, mas não obrigatórias ou garantidas. A critério exclusivo do empregador: possíveis aumentos e/ou bônus com base em fatores individuais, como desempenho ou habilidade (não garantidos). Pagamento por produção pode ser a"&amp;"plicado: o trabalhador nunca receberá menos do que o Salário Vigente ou o salário mínimo federal/estadual/municipal. Moradia compartilhada opcional disponível sem custo para o trabalhador. Classificação do Cargo: 45-4011.00 - Trabalhadores Florestais e de"&amp;" Conservação. A classificação e descrição do cargo/setor incluem informações gerais sobre a posição, de acordo com o ONET/OES e o Sistema de Classificação Industrial da América do Norte. Consulte as Funções e a Ordem de Serviço para obter mais informações"&amp;". Requisitos do Cargo Experiência Necessária: Não. Requisitos Especiais: Deve ter 18 anos devido a viagens. Deve apresentar comprovante de autorização legal para trabalhar nos Estados Unidos. Ambiente de trabalho livre de drogas, álcool e tabaco. Deve cam"&amp;"inhar bastante (até 24 km/dia), além de se abaixar e se curvar carregando uma mochila (até 23 kg) em terrenos acidentados (fora de trilhas). Todos os candidatos devem ser capazes, estar dispostos e qualificados para executar o trabalho descrito e devem es"&amp;"tar disponíveis durante todo o período especificado e trabalhar em todas as áreas do emprego pretendido. A critério do empregador/custo: o trabalhador poderá ser submetido a testes aleatórios de drogas/álcool durante o emprego: teste positivo/recusa em cu"&amp;"mprir o teste = demissão. O trabalho é realizado ao ar livre, exposto às intempéries; o candidato deve ser capaz de realizar trabalho fisicamente extenuante por longos períodos, ocasionalmente em calor ou frio extremos. As condições climáticas são variáve"&amp;"is; a carga horária pode sofrer alterações (+/-), com possibilidade de períodos de inatividade e/ou horas extras. Número de horas por semana: 35. Horário de trabalho (início/término): 8h às 16h.")</f>
        <v>As funções podem incluir: Plantar mudas/árvores para reflorestamento de áreas florestais: plantar árvores de raiz nua ou em contêineres, sem raízes em J ou U. Cultivar, transportar e selecionar as mudas para escolher o local ideal de plantio, considerando as necessidades de sombra e solo. Utilizar: pá, enxada, pé de cabra, enxada mecânica ou perfurador de solo motorizado. Verificar o funcionamento adequado dos equipamentos e reduzir a vegetação concorrente. Possibilidade de dirigir ocasionalmente e outras atividades relacionadas a Trabalhador Florestal, conforme SOC/OES 45-4011 (onetonline.org). Horário padrão/esperado: Segunda a sexta, das 8h às 16h. Oferecendo 35 horas semanais ou mais, sem incluir almoço e/ou intervalos. Possibilidade de trabalho em fins de semana e feriados. Os horários de início e término, a carga horária e/ou horas extras podem variar, dependendo de fatores como projeto/cronograma/necessidades do serviço, condições climáticas e tempo de deslocamento entre os locais de trabalho (se aplicável). Horas extras são possíveis, mas não obrigatórias ou garantidas. A critério exclusivo do empregador: possíveis aumentos e/ou bônus com base em fatores individuais, como desempenho ou habilidade (não garantidos). Pagamento por produção pode ser aplicado: o trabalhador nunca receberá menos do que o Salário Vigente ou o salário mínimo federal/estadual/municipal. Moradia compartilhada opcional disponível sem custo para o trabalhador. Classificação do Cargo: 45-4011.00 - Trabalhadores Florestais e de Conservação. A classificação e descrição do cargo/setor incluem informações gerais sobre a posição, de acordo com o ONET/OES e o Sistema de Classificação Industrial da América do Norte. Consulte as Funções e a Ordem de Serviço para obter mais informações. Requisitos do Cargo Experiência Necessária: Não. Requisitos Especiais: Deve ter 18 anos devido a viagens. Deve apresentar comprovante de autorização legal para trabalhar nos Estados Unidos. Ambiente de trabalho livre de drogas, álcool e tabaco. Deve caminhar bastante (até 24 km/dia), além de se abaixar e se curvar carregando uma mochila (até 23 kg) em terrenos acidentados (fora de trilhas). Todos os candidatos devem ser capazes, estar dispostos e qualificados para executar o trabalho descrito e devem estar disponíveis durante todo o período especificado e trabalhar em todas as áreas do emprego pretendido. A critério do empregador/custo: o trabalhador poderá ser submetido a testes aleatórios de drogas/álcool durante o emprego: teste positivo/recusa em cumprir o teste = demissão. O trabalho é realizado ao ar livre, exposto às intempéries; o candidato deve ser capaz de realizar trabalho fisicamente extenuante por longos períodos, ocasionalmente em calor ou frio extremos. As condições climáticas são variáveis; a carga horária pode sofrer alterações (+/-), com possibilidade de períodos de inatividade e/ou horas extras. Número de horas por semana: 35. Horário de trabalho (início/término): 8h às 16h.</v>
      </c>
    </row>
    <row r="688" ht="20.25" customHeight="1">
      <c r="A688" s="3" t="s">
        <v>3276</v>
      </c>
      <c r="B688" s="3" t="s">
        <v>2892</v>
      </c>
      <c r="C688" s="3" t="s">
        <v>54</v>
      </c>
      <c r="D688" s="3" t="s">
        <v>18</v>
      </c>
      <c r="E688" s="4" t="s">
        <v>44</v>
      </c>
      <c r="F688" s="4" t="s">
        <v>20</v>
      </c>
      <c r="G688" s="4" t="s">
        <v>2932</v>
      </c>
      <c r="H688" s="3" t="s">
        <v>2893</v>
      </c>
      <c r="I688" s="3" t="s">
        <v>2894</v>
      </c>
      <c r="J688" s="4">
        <v>15.6</v>
      </c>
      <c r="K688" s="4">
        <v>7.0</v>
      </c>
      <c r="L688" s="3" t="s">
        <v>1061</v>
      </c>
      <c r="M688" s="3" t="s">
        <v>3134</v>
      </c>
      <c r="N688" s="7" t="str">
        <f>IFERROR(__xludf.DUMMYFUNCTION("GOOGLETRANSLATE(L688, ""en"", ""pt"")"),"Auxiliar de Creche")</f>
        <v>Auxiliar de Creche</v>
      </c>
      <c r="O688" s="7" t="str">
        <f>IFERROR(__xludf.DUMMYFUNCTION("IF(M688="""","""",GOOGLETRANSLATE(M688,""en"",""pt""))"),"As funções podem incluir: Classificar mudas, estacas, árvores e arbustos já colhidos. Mover mudas e árvores em contêineres para classificá-las, organizá-las e alinhá-las. Em seguida, embalar e etiquetar as mudas, além de carregá-las manualmente para trans"&amp;"porte. Limpar equipamentos e a área de trabalho. Possibilidade de dirigir ocasionalmente e outras atividades relacionadas ao trabalho em viveiro, conforme SOC/OES 45-2092 (onetonline.org). Horário padrão/esperado: Segunda a sexta, das 8h às 16h. Oferecemo"&amp;"s de 35 a 35 horas semanais (ou mais), sem incluir almoço e/ou intervalos. Possibilidade de trabalho nos fins de semana e feriados. Os horários de início e término, a carga horária e/ou horas extras podem variar, dependendo de fatores como projetos/cronog"&amp;"rama/necessidades do serviço, condições climáticas e tempo de deslocamento entre os locais de trabalho (se aplicável). Horas extras são possíveis, mas não obrigatórias nem garantidas. A critério exclusivo do empregador: aumentos salariais e/ou bônus podem"&amp;" ser concedidos com base em fatores individuais, como desempenho ou habilidades (não garantidos). Pagamento por peça produzida: o trabalhador nunca receberá menos do que o Salário Vigente ou o salário mínimo federal/estadual/municipal. Classificação da fu"&amp;"nção: 45-2092.00 - Trabalhadores rurais e operários, cultivo, viveiro e estufa. A classificação e descrição da função/setor inclui informações gerais sobre o cargo, conforme o ONET/OES e o Sistema de Classificação Industrial da América do Norte (NAICS). C"&amp;"onsulte as Funções e a Ordem de Serviço para obter mais informações. Requisitos da função: Experiência exigida: Não. Requisitos especiais: Deve apresentar comprovante de autorização legal para trabalhar nos Estados Unidos. Ambiente de trabalho livre de dr"&amp;"ogas, álcool e tabaco. Executar atividades físicas como: levantar, equilibrar-se, caminhar, abaixar-se, manusear, posicionar, mover e manipular materiais; usar força estática para exercer força muscular máxima para levantar, empurrar, puxar e carregar obj"&amp;"etos de até 27 kg (possivelmente com a ajuda de outra pessoa). Todos os candidatos devem ser capazes, estar dispostos e qualificados para executar o trabalho descrito e devem estar disponíveis durante todo o período especificado. A critério do empregador "&amp;"e devido aos custos, o trabalhador poderá ser submetido a testes aleatórios de drogas/álcool durante o emprego: teste positivo/recusa em cumprir o teste resultará em demissão. O trabalho é realizado ao ar livre, exposto às intempéries; o candidato deve se"&amp;"r capaz de realizar trabalho fisicamente extenuante por longos períodos, ocasionalmente em calor ou frio extremos. As condições climáticas são variáveis; a carga horária pode sofrer alterações (+/-), com possibilidade de períodos de inatividade e/ou horas"&amp;" extras. Número de horas por semana: 35. Horário de trabalho (início/término): 8h às 16h.")</f>
        <v>As funções podem incluir: Classificar mudas, estacas, árvores e arbustos já colhidos. Mover mudas e árvores em contêineres para classificá-las, organizá-las e alinhá-las. Em seguida, embalar e etiquetar as mudas, além de carregá-las manualmente para transporte. Limpar equipamentos e a área de trabalho. Possibilidade de dirigir ocasionalmente e outras atividades relacionadas ao trabalho em viveiro, conforme SOC/OES 45-2092 (onetonline.org). Horário padrão/esperado: Segunda a sexta, das 8h às 16h. Oferecemos de 35 a 35 horas semanais (ou mais), sem incluir almoço e/ou intervalos. Possibilidade de trabalho nos fins de semana e feriados. Os horários de início e término, a carga horária e/ou horas extras podem variar, dependendo de fatores como projetos/cronograma/necessidades do serviço, condições climáticas e tempo de deslocamento entre os locais de trabalho (se aplicável). Horas extras são possíveis, mas não obrigatórias nem garantidas. A critério exclusivo do empregador: aumentos salariais e/ou bônus podem ser concedidos com base em fatores individuais, como desempenho ou habilidades (não garantidos). Pagamento por peça produzida: o trabalhador nunca receberá menos do que o Salário Vigente ou o salário mínimo federal/estadual/municipal. Classificação da função: 45-2092.00 - Trabalhadores rurais e operários, cultivo, viveiro e estufa. A classificação e descrição da função/setor inclui informações gerais sobre o cargo, conforme o ONET/OES e o Sistema de Classificação Industrial da América do Norte (NAICS). Consulte as Funções e a Ordem de Serviço para obter mais informações. Requisitos da função: Experiência exigida: Não. Requisitos especiais: Deve apresentar comprovante de autorização legal para trabalhar nos Estados Unidos. Ambiente de trabalho livre de drogas, álcool e tabaco. Executar atividades físicas como: levantar, equilibrar-se, caminhar, abaixar-se, manusear, posicionar, mover e manipular materiais; usar força estática para exercer força muscular máxima para levantar, empurrar, puxar e carregar objetos de até 27 kg (possivelmente com a ajuda de outra pessoa). Todos os candidatos devem ser capazes, estar dispostos e qualificados para executar o trabalho descrito e devem estar disponíveis durante todo o período especificado. A critério do empregador e devido aos custos, o trabalhador poderá ser submetido a testes aleatórios de drogas/álcool durante o emprego: teste positivo/recusa em cumprir o teste resultará em demissão. O trabalho é realizado ao ar livre, exposto às intempéries; o candidato deve ser capaz de realizar trabalho fisicamente extenuante por longos períodos, ocasionalmente em calor ou frio extremos. As condições climáticas são variáveis; a carga horária pode sofrer alterações (+/-), com possibilidade de períodos de inatividade e/ou horas extras. Número de horas por semana: 35. Horário de trabalho (início/término): 8h às 16h.</v>
      </c>
    </row>
    <row r="689" ht="20.25" customHeight="1">
      <c r="A689" s="8" t="s">
        <v>3277</v>
      </c>
      <c r="B689" s="8" t="s">
        <v>2892</v>
      </c>
      <c r="C689" s="8" t="s">
        <v>54</v>
      </c>
      <c r="D689" s="8" t="s">
        <v>64</v>
      </c>
      <c r="E689" s="9" t="s">
        <v>19</v>
      </c>
      <c r="F689" s="9" t="s">
        <v>20</v>
      </c>
      <c r="G689" s="9" t="s">
        <v>2932</v>
      </c>
      <c r="H689" s="8" t="s">
        <v>2893</v>
      </c>
      <c r="I689" s="8" t="s">
        <v>2894</v>
      </c>
      <c r="J689" s="9">
        <v>14.55</v>
      </c>
      <c r="K689" s="9">
        <v>25.0</v>
      </c>
      <c r="L689" s="8" t="s">
        <v>1061</v>
      </c>
      <c r="M689" s="8" t="s">
        <v>3134</v>
      </c>
      <c r="N689" s="7" t="str">
        <f>IFERROR(__xludf.DUMMYFUNCTION("GOOGLETRANSLATE(L689, ""en"", ""pt"")"),"Auxiliar de Creche")</f>
        <v>Auxiliar de Creche</v>
      </c>
      <c r="O689" s="7" t="str">
        <f>IFERROR(__xludf.DUMMYFUNCTION("IF(M689="""","""",GOOGLETRANSLATE(M689,""en"",""pt""))"),"As funções podem incluir: Classificar mudas, estacas, árvores e arbustos já colhidos. Mover mudas e árvores em contêineres para classificá-las, organizá-las e alinhá-las. Em seguida, embalar e etiquetar as mudas, além de carregá-las manualmente para trans"&amp;"porte. Limpar equipamentos e a área de trabalho. Possibilidade de dirigir ocasionalmente e outras atividades relacionadas ao trabalho em viveiro, conforme SOC/OES 45-2092 (onetonline.org). Horário padrão/esperado: Segunda a sexta, das 8h às 16h. Oferecemo"&amp;"s de 35 a 35 horas semanais (ou mais), sem incluir almoço e/ou intervalos. Possibilidade de trabalho nos fins de semana e feriados. Os horários de início e término, a carga horária e/ou horas extras podem variar, dependendo de fatores como projetos/cronog"&amp;"rama/necessidades do serviço, condições climáticas e tempo de deslocamento entre os locais de trabalho (se aplicável). Horas extras são possíveis, mas não obrigatórias nem garantidas. A critério exclusivo do empregador: aumentos salariais e/ou bônus podem"&amp;" ser concedidos com base em fatores individuais, como desempenho ou habilidades (não garantidos). Pagamento por peça produzida: o trabalhador nunca receberá menos do que o Salário Vigente ou o salário mínimo federal/estadual/municipal. Classificação da fu"&amp;"nção: 45-2092.00 - Trabalhadores rurais e operários, cultivo, viveiro e estufa. A classificação e descrição da função/setor inclui informações gerais sobre o cargo, conforme o ONET/OES e o Sistema de Classificação Industrial da América do Norte (NAICS). C"&amp;"onsulte as Funções e a Ordem de Serviço para obter mais informações. Requisitos da função: Experiência exigida: Não. Requisitos especiais: Deve apresentar comprovante de autorização legal para trabalhar nos Estados Unidos. Ambiente de trabalho livre de dr"&amp;"ogas, álcool e tabaco. Executar atividades físicas como: levantar, equilibrar-se, caminhar, abaixar-se, manusear, posicionar, mover e manipular materiais; usar força estática para exercer força muscular máxima para levantar, empurrar, puxar e carregar obj"&amp;"etos de até 27 kg (possivelmente com a ajuda de outra pessoa). Todos os candidatos devem ser capazes, estar dispostos e qualificados para executar o trabalho descrito e devem estar disponíveis durante todo o período especificado. A critério do empregador "&amp;"e devido aos custos, o trabalhador poderá ser submetido a testes aleatórios de drogas/álcool durante o emprego: teste positivo/recusa em cumprir o teste resultará em demissão. O trabalho é realizado ao ar livre, exposto às intempéries; o candidato deve se"&amp;"r capaz de realizar trabalho fisicamente extenuante por longos períodos, ocasionalmente em calor ou frio extremos. As condições climáticas são variáveis; a carga horária pode sofrer alterações (+/-), com possibilidade de períodos de inatividade e/ou horas"&amp;" extras. Número de horas por semana: 35. Horário de trabalho (início/término): 8h às 16h.")</f>
        <v>As funções podem incluir: Classificar mudas, estacas, árvores e arbustos já colhidos. Mover mudas e árvores em contêineres para classificá-las, organizá-las e alinhá-las. Em seguida, embalar e etiquetar as mudas, além de carregá-las manualmente para transporte. Limpar equipamentos e a área de trabalho. Possibilidade de dirigir ocasionalmente e outras atividades relacionadas ao trabalho em viveiro, conforme SOC/OES 45-2092 (onetonline.org). Horário padrão/esperado: Segunda a sexta, das 8h às 16h. Oferecemos de 35 a 35 horas semanais (ou mais), sem incluir almoço e/ou intervalos. Possibilidade de trabalho nos fins de semana e feriados. Os horários de início e término, a carga horária e/ou horas extras podem variar, dependendo de fatores como projetos/cronograma/necessidades do serviço, condições climáticas e tempo de deslocamento entre os locais de trabalho (se aplicável). Horas extras são possíveis, mas não obrigatórias nem garantidas. A critério exclusivo do empregador: aumentos salariais e/ou bônus podem ser concedidos com base em fatores individuais, como desempenho ou habilidades (não garantidos). Pagamento por peça produzida: o trabalhador nunca receberá menos do que o Salário Vigente ou o salário mínimo federal/estadual/municipal. Classificação da função: 45-2092.00 - Trabalhadores rurais e operários, cultivo, viveiro e estufa. A classificação e descrição da função/setor inclui informações gerais sobre o cargo, conforme o ONET/OES e o Sistema de Classificação Industrial da América do Norte (NAICS). Consulte as Funções e a Ordem de Serviço para obter mais informações. Requisitos da função: Experiência exigida: Não. Requisitos especiais: Deve apresentar comprovante de autorização legal para trabalhar nos Estados Unidos. Ambiente de trabalho livre de drogas, álcool e tabaco. Executar atividades físicas como: levantar, equilibrar-se, caminhar, abaixar-se, manusear, posicionar, mover e manipular materiais; usar força estática para exercer força muscular máxima para levantar, empurrar, puxar e carregar objetos de até 27 kg (possivelmente com a ajuda de outra pessoa). Todos os candidatos devem ser capazes, estar dispostos e qualificados para executar o trabalho descrito e devem estar disponíveis durante todo o período especificado. A critério do empregador e devido aos custos, o trabalhador poderá ser submetido a testes aleatórios de drogas/álcool durante o emprego: teste positivo/recusa em cumprir o teste resultará em demissão. O trabalho é realizado ao ar livre, exposto às intempéries; o candidato deve ser capaz de realizar trabalho fisicamente extenuante por longos períodos, ocasionalmente em calor ou frio extremos. As condições climáticas são variáveis; a carga horária pode sofrer alterações (+/-), com possibilidade de períodos de inatividade e/ou horas extras. Número de horas por semana: 35. Horário de trabalho (início/término): 8h às 16h.</v>
      </c>
    </row>
    <row r="690" ht="20.25" customHeight="1">
      <c r="A690" s="3" t="s">
        <v>3278</v>
      </c>
      <c r="B690" s="3" t="s">
        <v>3279</v>
      </c>
      <c r="C690" s="3" t="s">
        <v>3202</v>
      </c>
      <c r="D690" s="3" t="s">
        <v>71</v>
      </c>
      <c r="E690" s="4" t="s">
        <v>19</v>
      </c>
      <c r="F690" s="4" t="s">
        <v>20</v>
      </c>
      <c r="G690" s="4" t="s">
        <v>384</v>
      </c>
      <c r="H690" s="3" t="s">
        <v>3280</v>
      </c>
      <c r="I690" s="3" t="s">
        <v>3281</v>
      </c>
      <c r="J690" s="4">
        <v>19.39</v>
      </c>
      <c r="K690" s="4">
        <v>12.0</v>
      </c>
      <c r="L690" s="3" t="s">
        <v>1206</v>
      </c>
      <c r="M690" s="3" t="s">
        <v>3282</v>
      </c>
      <c r="N690" s="7" t="str">
        <f>IFERROR(__xludf.DUMMYFUNCTION("GOOGLETRANSLATE(L690, ""en"", ""pt"")"),"Servidor")</f>
        <v>Servidor</v>
      </c>
      <c r="O690" s="7" t="str">
        <f>IFERROR(__xludf.DUMMYFUNCTION("IF(M690="""","""",GOOGLETRANSLATE(M690,""en"",""pt""))"),"Os garçons serão responsáveis ​​por recepcionar os clientes, apresentar os cardápios, responder a perguntas sobre os itens do menu, anotar os pedidos de comida e bebida e servir os clientes nas mesas ou no bar. Preparar as contas e receber os pagamentos. "&amp;"Limpar as mesas, balcões e bares após os clientes terminarem de comer. Retirar pratos e copos das mesas, balcões e bares e levá-los para a cozinha para lavagem. Abastecer as áreas de serviço e o bar com suprimentos. Misturar e preparar os sabores para dri"&amp;"nks. Lavar copos e outros utensílios de servir nos bares. Preparar as mesas e áreas do bar para as refeições, incluindo a organização de itens como toalhas de mesa, talheres e copos. Poderá ser necessário trabalhar em ambientes externos e em eventos de ba"&amp;"nquetes; e poderá ser necessário servir os clientes utilizando um carrinho de golfe. Dias e horários de trabalho previstos por semana e escala: Todos os funcionários trabalharão no mínimo 35 horas por semana e 5 turnos por semana. Turnos: das 10h às 17h; "&amp;"das 16h às 22h. Os dias e horários dos turnos variam. Outros turnos não listados podem ser necessários dependendo dos eventos. Horas extras: Somente quando necessário. CONSULTE O DOCUMENTO ANEXO PARA OBTER UMA CÓPIA COMPLETA DA OFERTA DE EMPREGO - Observa"&amp;"ção para o Oficial Certificador: Em anexo, encontra-se uma cópia completa da oferta de emprego. Caso seja necessário adicionar alguma informação desta oferta de emprego ao formulário ETA-9142, concedemos permissão para que você inclua as informações lista"&amp;"das neste anexo. Classificação da Função: 35-3011.00 - Bartenders. A classificação e descrição da função/setor incluem informações gerais sobre o cargo, de acordo com o ONET/OES e o Sistema de Classificação Industrial da América do Norte (NAICS). Consulte"&amp;" as Funções e a Ordem de Serviço para obter mais informações. Requisitos da Função: Experiência Necessária: Sim. Meses de Experiência Necessários: 6. Requisitos Especiais: Seis meses de experiência como garçom/garçonete em um ambiente de alta gastronomia "&amp;"ou de grande movimento, em um restaurante sofisticado ou clube privado. É necessário passar por uma verificação de antecedentes pré-emprego; isso inclui vagas sazonais e anuais em tempo integral e se aplica a todos os candidatos, independentemente de sua "&amp;"nacionalidade, raça, sexo ou status de visto. Número de horas por semana: 49 Horário de trabalho (início/término): 10:00 - 17:00")</f>
        <v>Os garçons serão responsáveis ​​por recepcionar os clientes, apresentar os cardápios, responder a perguntas sobre os itens do menu, anotar os pedidos de comida e bebida e servir os clientes nas mesas ou no bar. Preparar as contas e receber os pagamentos. Limpar as mesas, balcões e bares após os clientes terminarem de comer. Retirar pratos e copos das mesas, balcões e bares e levá-los para a cozinha para lavagem. Abastecer as áreas de serviço e o bar com suprimentos. Misturar e preparar os sabores para drinks. Lavar copos e outros utensílios de servir nos bares. Preparar as mesas e áreas do bar para as refeições, incluindo a organização de itens como toalhas de mesa, talheres e copos. Poderá ser necessário trabalhar em ambientes externos e em eventos de banquetes; e poderá ser necessário servir os clientes utilizando um carrinho de golfe. Dias e horários de trabalho previstos por semana e escala: Todos os funcionários trabalharão no mínimo 35 horas por semana e 5 turnos por semana. Turnos: das 10h às 17h; das 16h às 22h. Os dias e horários dos turnos variam. Outros turnos não listados podem ser necessários dependendo dos eventos. Horas extras: Somente quando necessário. CONSULTE O DOCUMENTO ANEXO PARA OBTER UMA CÓPIA COMPLETA DA OFERTA DE EMPREGO - Observação para o Oficial Certificador: Em anexo, encontra-se uma cópia completa da oferta de emprego. Caso seja necessário adicionar alguma informação desta oferta de emprego ao formulário ETA-9142, concedemos permissão para que você inclua as informações listadas neste anexo. Classificação da Função: 35-3011.00 - Bartenders. A classificação e descrição da função/setor incluem informações gerais sobre o cargo, de acordo com o ONET/OES e o Sistema de Classificação Industrial da América do Norte (NAICS). Consulte as Funções e a Ordem de Serviço para obter mais informações. Requisitos da Função: Experiência Necessária: Sim. Meses de Experiência Necessários: 6. Requisitos Especiais: Seis meses de experiência como garçom/garçonete em um ambiente de alta gastronomia ou de grande movimento, em um restaurante sofisticado ou clube privado. É necessário passar por uma verificação de antecedentes pré-emprego; isso inclui vagas sazonais e anuais em tempo integral e se aplica a todos os candidatos, independentemente de sua nacionalidade, raça, sexo ou status de visto. Número de horas por semana: 49 Horário de trabalho (início/término): 10:00 - 17:00</v>
      </c>
    </row>
    <row r="691" ht="20.25" customHeight="1">
      <c r="A691" s="8" t="s">
        <v>3283</v>
      </c>
      <c r="B691" s="8" t="s">
        <v>3279</v>
      </c>
      <c r="C691" s="8" t="s">
        <v>3202</v>
      </c>
      <c r="D691" s="8" t="s">
        <v>71</v>
      </c>
      <c r="E691" s="9" t="s">
        <v>19</v>
      </c>
      <c r="F691" s="9" t="s">
        <v>20</v>
      </c>
      <c r="G691" s="9" t="s">
        <v>3284</v>
      </c>
      <c r="H691" s="8" t="s">
        <v>3285</v>
      </c>
      <c r="I691" s="8" t="s">
        <v>3286</v>
      </c>
      <c r="J691" s="9">
        <v>19.88</v>
      </c>
      <c r="K691" s="9">
        <v>6.0</v>
      </c>
      <c r="L691" s="8" t="s">
        <v>387</v>
      </c>
      <c r="M691" s="8" t="s">
        <v>3287</v>
      </c>
      <c r="N691" s="7" t="str">
        <f>IFERROR(__xludf.DUMMYFUNCTION("GOOGLETRANSLATE(L691, ""en"", ""pt"")"),"Ordem de serviço não disponível")</f>
        <v>Ordem de serviço não disponível</v>
      </c>
      <c r="O691" s="7" t="str">
        <f>IFERROR(__xludf.DUMMYFUNCTION("IF(M691="""","""",GOOGLETRANSLATE(M691,""en"",""pt""))"),"Executa todos os métodos de preparo de alimentos, controla as porções e decora todos os pratos de acordo com os padrões estabelecidos pelo Clube. Mantém altos padrões de qualidade na produção de alimentos para garantir a satisfação dos sócios e convidados"&amp;". Inspeciona e limpa as áreas de preparo de alimentos, como equipamentos e superfícies de trabalho, ou áreas de serviço, para garantir práticas seguras e higiênicas de manipulação de alimentos. Prepara, cozinha e tempera os alimentos de acordo com as rece"&amp;"itas. Assa, grelha e cozinha no vapor carnes, peixes, legumes, pães, sobremesas e outros alimentos. Garante que os alimentos sejam armazenados e cozidos na temperatura correta, regulando a temperatura de fornos, grelhas e assadeiras. Garante o frescor dos"&amp;" alimentos e ingredientes, verificando a qualidade, controlando os itens novos e antigos e fazendo o rodízio do estoque. Dias e horários de trabalho previstos por semana e escala: Todos os funcionários trabalharão no mínimo 35 horas por semana, em cinco t"&amp;"urnos semanais. Aberto sete dias por semana. Turnos das 14h às 22h. Outros turnos não listados podem ser necessários, dependendo dos eventos. Horas extras: Somente quando necessário. CONSULTE O DOCUMENTO ANEXO PARA OBTER UMA CÓPIA COMPLETA DA OFERTA DE EM"&amp;"PREGO - Observação para o Oficial Certificador: Em anexo, encontra-se uma cópia completa da oferta de emprego. Caso seja necessário adicionar alguma informação desta oferta de emprego ao formulário ETA-9142, concedemos permissão para que você adicione as "&amp;"informações listadas neste anexo. Classificação do Cargo: 35-2014.00 - Cozinheiros, Restaurante. A classificação e a descrição do cargo/setor incluem informações gerais sobre a posição, de acordo com o ONET/OES e o Sistema de Classificação Industrial da A"&amp;"mérica do Norte (NAICS). Consulte as Funções e a Ordem de Serviço para obter mais informações. Requisitos do Cargo Experiência Necessária: Sim Meses de Experiência Necessária: 6 Requisitos Especiais: Seis meses de experiência como cozinheiro(a). Disponibi"&amp;"lidade para trabalhar em todos os turnos, incluindo fins de semana, noites e feriados. Deve apresentar comportamento e aparência profissionais. Número de Horas por Semana: 56 Horário de Trabalho (Início/Término): 14h00 - 22h00")</f>
        <v>Executa todos os métodos de preparo de alimentos, controla as porções e decora todos os pratos de acordo com os padrões estabelecidos pelo Clube. Mantém altos padrões de qualidade na produção de alimentos para garantir a satisfação dos sócios e convidados. Inspeciona e limpa as áreas de preparo de alimentos, como equipamentos e superfícies de trabalho, ou áreas de serviço, para garantir práticas seguras e higiênicas de manipulação de alimentos. Prepara, cozinha e tempera os alimentos de acordo com as receitas. Assa, grelha e cozinha no vapor carnes, peixes, legumes, pães, sobremesas e outros alimentos. Garante que os alimentos sejam armazenados e cozidos na temperatura correta, regulando a temperatura de fornos, grelhas e assadeiras. Garante o frescor dos alimentos e ingredientes, verificando a qualidade, controlando os itens novos e antigos e fazendo o rodízio do estoque. Dias e horários de trabalho previstos por semana e escala: Todos os funcionários trabalharão no mínimo 35 horas por semana, em cinco turnos semanais. Aberto sete dias por semana. Turnos das 14h às 22h. Outros turnos não listados podem ser necessários, dependendo dos eventos. Horas extras: Somente quando necessário. CONSULTE O DOCUMENTO ANEXO PARA OBTER UMA CÓPIA COMPLETA DA OFERTA DE EMPREGO - Observação para o Oficial Certificador: Em anexo, encontra-se uma cópia completa da oferta de emprego. Caso seja necessário adicionar alguma informação desta oferta de emprego ao formulário ETA-9142, concedemos permissão para que você adicione as informações listadas neste anexo. Classificação do Cargo: 35-2014.00 - Cozinheiros, Restaurante. A classificação e a descrição do cargo/setor incluem informações gerais sobre a posição, de acordo com o ONET/OES e o Sistema de Classificação Industrial da América do Norte (NAICS). Consulte as Funções e a Ordem de Serviço para obter mais informações. Requisitos do Cargo Experiência Necessária: Sim Meses de Experiência Necessária: 6 Requisitos Especiais: Seis meses de experiência como cozinheiro(a). Disponibilidade para trabalhar em todos os turnos, incluindo fins de semana, noites e feriados. Deve apresentar comportamento e aparência profissionais. Número de Horas por Semana: 56 Horário de Trabalho (Início/Término): 14h00 - 22h00</v>
      </c>
    </row>
    <row r="692" ht="20.25" customHeight="1">
      <c r="A692" s="3" t="s">
        <v>3288</v>
      </c>
      <c r="B692" s="3" t="s">
        <v>3279</v>
      </c>
      <c r="C692" s="3" t="s">
        <v>3202</v>
      </c>
      <c r="D692" s="3" t="s">
        <v>71</v>
      </c>
      <c r="E692" s="4" t="s">
        <v>44</v>
      </c>
      <c r="F692" s="4" t="s">
        <v>20</v>
      </c>
      <c r="G692" s="4" t="s">
        <v>384</v>
      </c>
      <c r="H692" s="3" t="s">
        <v>3289</v>
      </c>
      <c r="I692" s="3" t="s">
        <v>3290</v>
      </c>
      <c r="J692" s="4">
        <v>18.95</v>
      </c>
      <c r="K692" s="4">
        <v>7.0</v>
      </c>
      <c r="L692" s="3" t="s">
        <v>1206</v>
      </c>
      <c r="M692" s="3" t="s">
        <v>3291</v>
      </c>
      <c r="N692" s="7" t="str">
        <f>IFERROR(__xludf.DUMMYFUNCTION("GOOGLETRANSLATE(L692, ""en"", ""pt"")"),"Servidor")</f>
        <v>Servidor</v>
      </c>
      <c r="O692" s="7" t="str">
        <f>IFERROR(__xludf.DUMMYFUNCTION("IF(M692="""","""",GOOGLETRANSLATE(M692,""en"",""pt""))"),"Responsável por recepcionar os clientes, preparar as áreas de refeição, anotar e registrar pedidos, transportar bandejas e pratos, servir alimentos e bebidas, e limpar e desocupar as mesas. Dias e horários de trabalho previstos por semana e escala: Todos "&amp;"os funcionários trabalharão no mínimo 35 horas por semana (não menos que isso) e 5 turnos por semana. Os dias e horários dos turnos variam. Turnos - Manhã: 7h às 13h; Tarde: 9h às 16h; Noite: 14h às 22h. Outros turnos não listados podem ser necessários de"&amp;"pendendo dos eventos. Horas extras: Somente quando necessário. VEJA O DOCUMENTO ANEXO PARA OBTER UMA CÓPIA COMPLETA DA OFERTA DE EMPREGO - Observação para o Oficial Certificador: Em anexo, encontra-se uma cópia completa da oferta de emprego. Caso seja nec"&amp;"essário adicionar alguma informação desta oferta de emprego ao formulário ETA-9142, concedemos permissão para adicionar as informações listadas neste anexo. Classificação da Função: 35-3031.00 - Garçons e Garçonetes. A classificação e descrição da função/"&amp;"setor inclui informações gerais sobre o cargo, de acordo com o ONET/OES e o Sistema de Classificação Industrial da América do Norte (NAICS). Consulte as Funções e a Ordem de Serviço para obter mais informações. Requisitos da Função: Experiência Necessária"&amp;": Sim. Meses de Experiência Necessários: 3. Requisitos Especiais: Três meses de experiência como garçom/garçonete em um ambiente de alta gastronomia ou de grande movimento, em um restaurante sofisticado, resort ou clube privado. É necessário passar por um"&amp;" exame toxicológico pré-admissional, de acordo com a política de contratação da empresa. Número de Horas por Semana: 49. Horário de Trabalho (Início/Término): 9h às 16h.")</f>
        <v>Responsável por recepcionar os clientes, preparar as áreas de refeição, anotar e registrar pedidos, transportar bandejas e pratos, servir alimentos e bebidas, e limpar e desocupar as mesas. Dias e horários de trabalho previstos por semana e escala: Todos os funcionários trabalharão no mínimo 35 horas por semana (não menos que isso) e 5 turnos por semana. Os dias e horários dos turnos variam. Turnos - Manhã: 7h às 13h; Tarde: 9h às 16h; Noite: 14h às 22h. Outros turnos não listados podem ser necessários dependendo dos eventos. Horas extras: Somente quando necessário. VEJA O DOCUMENTO ANEXO PARA OBTER UMA CÓPIA COMPLETA DA OFERTA DE EMPREGO - Observação para o Oficial Certificador: Em anexo, encontra-se uma cópia completa da oferta de emprego. Caso seja necessário adicionar alguma informação desta oferta de emprego ao formulário ETA-9142, concedemos permissão para adicionar as informações listadas neste anexo. Classificação da Função: 35-3031.00 - Garçons e Garçonetes. A classificação e descrição da função/setor inclui informações gerais sobre o cargo, de acordo com o ONET/OES e o Sistema de Classificação Industrial da América do Norte (NAICS). Consulte as Funções e a Ordem de Serviço para obter mais informações. Requisitos da Função: Experiência Necessária: Sim. Meses de Experiência Necessários: 3. Requisitos Especiais: Três meses de experiência como garçom/garçonete em um ambiente de alta gastronomia ou de grande movimento, em um restaurante sofisticado, resort ou clube privado. É necessário passar por um exame toxicológico pré-admissional, de acordo com a política de contratação da empresa. Número de Horas por Semana: 49. Horário de Trabalho (Início/Término): 9h às 16h.</v>
      </c>
    </row>
    <row r="693" ht="20.25" customHeight="1">
      <c r="A693" s="8" t="s">
        <v>3292</v>
      </c>
      <c r="B693" s="8" t="s">
        <v>3279</v>
      </c>
      <c r="C693" s="8" t="s">
        <v>3202</v>
      </c>
      <c r="D693" s="8" t="s">
        <v>71</v>
      </c>
      <c r="E693" s="9" t="s">
        <v>44</v>
      </c>
      <c r="F693" s="9" t="s">
        <v>20</v>
      </c>
      <c r="G693" s="9" t="s">
        <v>384</v>
      </c>
      <c r="H693" s="8" t="s">
        <v>3289</v>
      </c>
      <c r="I693" s="8" t="s">
        <v>3290</v>
      </c>
      <c r="J693" s="9">
        <v>18.0</v>
      </c>
      <c r="K693" s="9">
        <v>13.0</v>
      </c>
      <c r="L693" s="8" t="s">
        <v>387</v>
      </c>
      <c r="M693" s="8" t="s">
        <v>3293</v>
      </c>
      <c r="N693" s="7" t="str">
        <f>IFERROR(__xludf.DUMMYFUNCTION("GOOGLETRANSLATE(L693, ""en"", ""pt"")"),"Ordem de serviço não disponível")</f>
        <v>Ordem de serviço não disponível</v>
      </c>
      <c r="O693" s="7" t="str">
        <f>IFERROR(__xludf.DUMMYFUNCTION("IF(M693="""","""",GOOGLETRANSLATE(M693,""en"",""pt""))"),"Responsável pelo preparo, tempero e cozimento de sopas, carnes, legumes, sobremesas e outros itens alimentícios em um restaurante. Dias e horários de trabalho previstos por semana e escala: Todos os funcionários trabalharão no mínimo 35 horas por semana ("&amp;"não menos que isso) e 5 turnos por semana. Os dias e horários de trabalho variam. Turnos - Manhã: 7h às 13h; Tarde: 9h às 16h; Noite: 14h às 22h. Outros turnos não listados podem ser necessários dependendo das necessidades. Horas extras: Somente quando ne"&amp;"cessário. VEJA O DOCUMENTO ANEXO PARA OBTER UMA CÓPIA COMPLETA DA OFERTA DE EMPREGO - Observação para o Oficial Certificador: Em anexo, encontra-se uma cópia completa da oferta de emprego. Caso seja necessário adicionar alguma informação desta oferta de e"&amp;"mprego ao formulário ETA-9142, concedemos permissão para adicionar as informações listadas neste anexo. Classificação da vaga: 35-2014.00 - Cozinheiros(as) de Restaurante. A classificação e descrição da vaga/setor inclui informações gerais sobre o cargo, "&amp;"de acordo com o ONET/OES e o Sistema de Classificação Industrial da América do Norte (NAICS). Consulte as Funções e a Ordem de Serviço para obter mais informações. Requisitos da vaga: Experiência necessária: Sim. Meses de experiência necessários: 6. Requi"&amp;"sitos especiais: Seis meses de experiência como cozinheiro(a) em um ambiente de alta gastronomia ou de grande movimento, em um restaurante sofisticado, resort ou clube privado. É necessário passar por um exame toxicológico pré-admissional, de acordo com a"&amp;" política de contratação da empresa. Número de horas por semana: 49. Horário de trabalho (início/término): 9h às 16h.")</f>
        <v>Responsável pelo preparo, tempero e cozimento de sopas, carnes, legumes, sobremesas e outros itens alimentícios em um restaurante. Dias e horários de trabalho previstos por semana e escala: Todos os funcionários trabalharão no mínimo 35 horas por semana (não menos que isso) e 5 turnos por semana. Os dias e horários de trabalho variam. Turnos - Manhã: 7h às 13h; Tarde: 9h às 16h; Noite: 14h às 22h. Outros turnos não listados podem ser necessários dependendo das necessidades. Horas extras: Somente quando necessário. VEJA O DOCUMENTO ANEXO PARA OBTER UMA CÓPIA COMPLETA DA OFERTA DE EMPREGO - Observação para o Oficial Certificador: Em anexo, encontra-se uma cópia completa da oferta de emprego. Caso seja necessário adicionar alguma informação desta oferta de emprego ao formulário ETA-9142, concedemos permissão para adicionar as informações listadas neste anexo. Classificação da vaga: 35-2014.00 - Cozinheiros(as) de Restaurante. A classificação e descrição da vaga/setor inclui informações gerais sobre o cargo, de acordo com o ONET/OES e o Sistema de Classificação Industrial da América do Norte (NAICS). Consulte as Funções e a Ordem de Serviço para obter mais informações. Requisitos da vaga: Experiência necessária: Sim. Meses de experiência necessários: 6. Requisitos especiais: Seis meses de experiência como cozinheiro(a) em um ambiente de alta gastronomia ou de grande movimento, em um restaurante sofisticado, resort ou clube privado. É necessário passar por um exame toxicológico pré-admissional, de acordo com a política de contratação da empresa. Número de horas por semana: 49. Horário de trabalho (início/término): 9h às 16h.</v>
      </c>
    </row>
    <row r="694" ht="20.25" customHeight="1">
      <c r="A694" s="3" t="s">
        <v>3294</v>
      </c>
      <c r="B694" s="3" t="s">
        <v>3295</v>
      </c>
      <c r="C694" s="3" t="s">
        <v>197</v>
      </c>
      <c r="D694" s="3" t="s">
        <v>71</v>
      </c>
      <c r="E694" s="4" t="s">
        <v>44</v>
      </c>
      <c r="F694" s="4" t="s">
        <v>20</v>
      </c>
      <c r="G694" s="4" t="s">
        <v>524</v>
      </c>
      <c r="H694" s="3" t="s">
        <v>3296</v>
      </c>
      <c r="I694" s="3" t="s">
        <v>3297</v>
      </c>
      <c r="J694" s="4">
        <v>18.71</v>
      </c>
      <c r="K694" s="4">
        <v>13.0</v>
      </c>
      <c r="L694" s="3" t="s">
        <v>201</v>
      </c>
      <c r="M694" s="3" t="s">
        <v>3298</v>
      </c>
      <c r="N694" s="7" t="str">
        <f>IFERROR(__xludf.DUMMYFUNCTION("GOOGLETRANSLATE(L694, ""en"", ""pt"")"),"Servidores")</f>
        <v>Servidores</v>
      </c>
      <c r="O694" s="7" t="str">
        <f>IFERROR(__xludf.DUMMYFUNCTION("IF(M694="""","""",GOOGLETRANSLATE(M694,""en"",""pt""))"),"Receber pedidos, servir comidas e bebidas aos clientes. Limpar e arrumar as mesas. Receber pagamentos e fornecer recibos. Manter todos os postos de trabalho abastecidos. (13) vagas disponíveis. Período: 01/10/2026 a 31/05/2027. Necessário 3 meses de exper"&amp;"iência. Turnos rotativos. Dias de trabalho: segunda a domingo. Horário: 7h às 23h. Salário: US$ 18,71 a US$ 24 por hora, dependendo do desempenho; horas extras: US$ 28,07 a US$ 36 por hora. Pagamento quinzenal. O Clube oferece um bônus anual discricionári"&amp;"o ao final da temporada, com base no desempenho e nas condições da acomodação corporativa. Acomodação opcional disponível por US$ 180 por semana, sem necessidade de depósito. No entanto, reprovação na inspeção do apartamento/casa pode resultar em medidas "&amp;"disciplinares e/ou responsabilidade financeira pela reposição de itens danificados ou faltantes. Após o término do contrato de trabalho ou pedido de demissão, o trabalhador deverá desocupar a acomodação imediatamente, a menos que outras providências tenha"&amp;"m sido aprovadas e documentadas por escrito pelo The Country Club of Florida. Uniformes e refeições durante o turno serão fornecidos. Local de trabalho: 22 Country Road, Village of Golf, FL 33436. A vaga é temporária, em tempo integral. O salário será cal"&amp;"culado com base em uma semana de trabalho. Poderá haver até 10 horas extras, quando disponíveis. Todos os descontos obrigatórios por lei serão feitos no contracheque do trabalhador. O empregador fornecerá gratuitamente todas as ferramentas, materiais e eq"&amp;"uipamentos necessários para a execução do trabalho. O trabalhador receberá ou será reembolsado pelo transporte e subsistência (incluindo o custo razoável de hospedagem noturna, quando necessário, até US$ 110/noite para hospedagem com recibos) a uma taxa d"&amp;"e US$ 16,78 por dia durante a viagem, até um máximo de US$ 68,00 por dia com recibos, desde o local de onde o trabalhador veio trabalhar para o empregador, seja nos EUA ou no exterior, até o local de trabalho, se o trabalhador completar 50% do período de "&amp;"emprego coberto pela ordem de serviço, de acordo com 20 CFR 655.20(j)(1)(i), mediante inclusão no pagamento da semana aplicável. O empregador fornecerá ou pagará o custo do transporte de retorno e da subsistência diária do trabalhador, do local de trabalh"&amp;"o até o local de onde o trabalhador partiu para trabalhar para o empregador, independentemente de empregos intermediários, caso o trabalhador complete o período de emprego certificado ou seja demitido do emprego por qualquer motivo pelo empregador antes d"&amp;"o término do período, de acordo com o § 655.20(j)(1)(ii); os trabalhadores com visto H-2B serão reembolsados ​​na primeira semana de trabalho por todos os vistos, processamento de vistos, travessia de fronteira e outras taxas relacionadas, incluindo aquel"&amp;"as exigidas pelo governo (exceto taxas de passaporte). O empregador fornecerá aos trabalhadores todas as ferramentas, suprimentos e equipamentos necessários para o desempenho do trabalho, sem custo para o trabalhador, de acordo com o 20 CFR 655.20(k). Os "&amp;"candidatos qualificados podem enviar o currículo para John Collier, no endereço 22 Country Road, Village of Golf, FL 33436, por e-mail para TCCF@ccfgolf.com ou visitar o centro de empregos local em 3400 Belvedere Road, West Palm Beach, FL 33406. *Seu depó"&amp;"sito de segurança será reembolsado após a conclusão do contrato e a inspeção da moradia. Se um trabalhador abandonar o emprego sem a permissão do empregador ou abandonar a moradia antes do término do prazo de inscrição por qualquer motivo, exceto rescisão"&amp;" por parte do empregador, o trabalhador perderá todos os depósitos de moradia, dias de folga remunerada, férias e bônus. Após a rescisão ou demissão, o trabalhador deverá desocupar a moradia imediatamente, a menos que haja acordo com o empregador.* Classi"&amp;"ficação da vaga: 35-3031.00 - Garçons e Garçonetes. A classificação e a descrição da vaga/setor incluem informações gerais sobre o cargo, de acordo com o ONET/OES e o Sistema de Classificação Industrial da América do Norte. Consulte as Funções e a Ordem d"&amp;"e Serviço para obter mais informações. Requisitos da vaga Experiência necessária: Sim Meses de experiência necessários: 3 Número de horas por semana: 35 Horário de trabalho (início/término): 7h às 23h")</f>
        <v>Receber pedidos, servir comidas e bebidas aos clientes. Limpar e arrumar as mesas. Receber pagamentos e fornecer recibos. Manter todos os postos de trabalho abastecidos. (13) vagas disponíveis. Período: 01/10/2026 a 31/05/2027. Necessário 3 meses de experiência. Turnos rotativos. Dias de trabalho: segunda a domingo. Horário: 7h às 23h. Salário: US$ 18,71 a US$ 24 por hora, dependendo do desempenho; horas extras: US$ 28,07 a US$ 36 por hora. Pagamento quinzenal. O Clube oferece um bônus anual discricionário ao final da temporada, com base no desempenho e nas condições da acomodação corporativa. Acomodação opcional disponível por US$ 180 por semana, sem necessidade de depósito. No entanto, reprovação na inspeção do apartamento/casa pode resultar em medidas disciplinares e/ou responsabilidade financeira pela reposição de itens danificados ou faltantes. Após o término do contrato de trabalho ou pedido de demissão, o trabalhador deverá desocupar a acomodação imediatamente, a menos que outras providências tenham sido aprovadas e documentadas por escrito pelo The Country Club of Florida. Uniformes e refeições durante o turno serão fornecidos. Local de trabalho: 22 Country Road, Village of Golf, FL 33436. A vaga é temporária, em tempo integral. O salário será calculado com base em uma semana de trabalho. Poderá haver até 10 horas extras, quando disponíveis. Todos os descontos obrigatórios por lei serão feitos no contracheque do trabalhador. O empregador fornecerá gratuitamente todas as ferramentas, materiais e equipamentos necessários para a execução do trabalho. O trabalhador receberá ou será reembolsado pelo transporte e subsistência (incluindo o custo razoável de hospedagem noturna, quando necessário, até US$ 110/noite para hospedagem com recibos) a uma taxa de US$ 16,78 por dia durante a viagem, até um máximo de US$ 68,00 por dia com recibos, desde o local de onde o trabalhador veio trabalhar para o empregador, seja nos EUA ou no exterior, até o local de trabalho, se o trabalhador completar 50% do período de emprego coberto pela ordem de serviço, de acordo com 20 CFR 655.20(j)(1)(i), mediante inclusão no pagamento da semana aplicável. O empregador fornecerá ou pagará o custo do transporte de retorno e da subsistência diária do trabalhador, do local de trabalho até o local de onde o trabalhador partiu para trabalhar para o empregador, independentemente de empregos intermediários, caso o trabalhador complete o período de emprego certificado ou seja demitido do emprego por qualquer motivo pelo empregador antes do término do período, de acordo com o § 655.20(j)(1)(ii); os trabalhadores com visto H-2B serão reembolsados ​​na primeira semana de trabalho por todos os vistos, processamento de vistos, travessia de fronteira e outras taxas relacionadas, incluindo aquelas exigidas pelo governo (exceto taxas de passaporte). O empregador fornecerá aos trabalhadores todas as ferramentas, suprimentos e equipamentos necessários para o desempenho do trabalho, sem custo para o trabalhador, de acordo com o 20 CFR 655.20(k). Os candidatos qualificados podem enviar o currículo para John Collier, no endereço 22 Country Road, Village of Golf, FL 33436, por e-mail para TCCF@ccfgolf.com ou visitar o centro de empregos local em 3400 Belvedere Road, West Palm Beach, FL 33406. *Seu depósito de segurança será reembolsado após a conclusão do contrato e a inspeção da moradia. Se um trabalhador abandonar o emprego sem a permissão do empregador ou abandonar a moradia antes do término do prazo de inscrição por qualquer motivo, exceto rescisão por parte do empregador, o trabalhador perderá todos os depósitos de moradia, dias de folga remunerada, férias e bônus. Após a rescisão ou demissão, o trabalhador deverá desocupar a moradia imediatamente, a menos que haja acordo com o empregador.* Classificação da vaga: 35-3031.00 - Garçons e Garçonetes. A classificação e a descrição da vaga/setor incluem informações gerais sobre o cargo, de acordo com o ONET/OES e o Sistema de Classificação Industrial da América do Norte. Consulte as Funções e a Ordem de Serviço para obter mais informações. Requisitos da vaga Experiência necessária: Sim Meses de experiência necessários: 3 Número de horas por semana: 35 Horário de trabalho (início/término): 7h às 23h</v>
      </c>
    </row>
    <row r="695" ht="20.25" customHeight="1">
      <c r="A695" s="8" t="s">
        <v>3299</v>
      </c>
      <c r="B695" s="8" t="s">
        <v>3300</v>
      </c>
      <c r="C695" s="8" t="s">
        <v>54</v>
      </c>
      <c r="D695" s="8" t="s">
        <v>596</v>
      </c>
      <c r="E695" s="9" t="s">
        <v>19</v>
      </c>
      <c r="F695" s="9" t="s">
        <v>20</v>
      </c>
      <c r="G695" s="9" t="s">
        <v>236</v>
      </c>
      <c r="H695" s="8" t="s">
        <v>3301</v>
      </c>
      <c r="I695" s="8" t="s">
        <v>3302</v>
      </c>
      <c r="J695" s="9">
        <v>21.91</v>
      </c>
      <c r="K695" s="9">
        <v>14.0</v>
      </c>
      <c r="L695" s="8" t="s">
        <v>3303</v>
      </c>
      <c r="M695" s="8" t="s">
        <v>3304</v>
      </c>
      <c r="N695" s="7" t="str">
        <f>IFERROR(__xludf.DUMMYFUNCTION("GOOGLETRANSLATE(L695, ""en"", ""pt"")"),"Zelador: Trabalhador de Irrigação")</f>
        <v>Zelador: Trabalhador de Irrigação</v>
      </c>
      <c r="O695" s="7" t="str">
        <f>IFERROR(__xludf.DUMMYFUNCTION("IF(M695="""","""",GOOGLETRANSLATE(M695,""en"",""pt""))"),"As funções podem incluir: Recolher e remover: lixo/detritos. Instalar: sistemas de irrigação e drenagem. Manter os sistemas, incluindo a preparação para o inverno e a inicialização na primavera. Utilizar métodos de irrigação para ajustar o consumo de água"&amp;" e evitar desperdícios. Espalhar palha sobre o solo semeado para fixá-lo. Cavar: utilizar ferramentas manuais: pás. Irrigar gramados, árvores ou plantas e outras atividades relacionadas ao trabalho de jardineiro/trabalhador de irrigação, conforme SOC/OES "&amp;"37-3011 (onetonline.org). Horário padrão/esperado: Segunda a sexta, das 7h30 às 17h30. Oferecemos mais de 40 horas semanais, sem incluir almoço e/ou intervalos. Possibilidade de trabalho aos fins de semana e feriados. Os horários de início e término, a ca"&amp;"rga horária e/ou horas extras podem variar, pois dependem de fatores como projetos/cronograma/necessidades do serviço, condições climáticas e tempo de deslocamento entre os locais de trabalho (se aplicável). Horas extras são possíveis, mas não obrigatória"&amp;"s nem garantidas. A critério exclusivo do empregador: possíveis aumentos e/ou bônus com base em fatores individuais, como desempenho no trabalho ou habilidades (não garantidos). Classificação do Cargo: 37-3011.00 - Trabalhadores de Paisagismo e Manutenção"&amp;" de Jardins. A classificação e descrição do cargo/setor inclui informações gerais sobre a posição, conforme o ONET/OES e o Sistema de Classificação Industrial da América do Norte. Consulte as Funções e a Ordem de Serviço para obter mais informações. Requi"&amp;"sitos do Cargo Experiência Necessária: Não. Requisitos Especiais: É necessário ter 18 anos devido a questões de seguro. É necessário apresentar comprovante de autorização legal para trabalhar nos Estados Unidos. Ambiente de trabalho livre de drogas, álcoo"&amp;"l e tabaco. Executar atividades físicas, como levantar, equilibrar-se, caminhar, abaixar-se, manusear, posicionar, mover e manipular materiais, utilizando força estática para exercer força muscular máxima para levantar, empurrar, puxar e carregar objetos "&amp;"de até 23 kg. Todos os candidatos devem ser capazes, dispostos e qualificados para executar o trabalho descrito e devem estar disponíveis durante todo o período especificado e trabalhar em todas as áreas da vaga. O trabalho é realizado ao ar livre, expost"&amp;"o às intempéries. O candidato deve ser capaz de realizar trabalho fisicamente extenuante por longos períodos, ocasionalmente em condições de calor ou frio extremos. As condições climáticas são variáveis; a carga horária pode sofrer alterações (+/-), poden"&amp;"do haver períodos de inatividade e/ou horas extras. Número de horas por semana: 40. Horário de trabalho (início/término): 7h30 às 17h30.")</f>
        <v>As funções podem incluir: Recolher e remover: lixo/detritos. Instalar: sistemas de irrigação e drenagem. Manter os sistemas, incluindo a preparação para o inverno e a inicialização na primavera. Utilizar métodos de irrigação para ajustar o consumo de água e evitar desperdícios. Espalhar palha sobre o solo semeado para fixá-lo. Cavar: utilizar ferramentas manuais: pás. Irrigar gramados, árvores ou plantas e outras atividades relacionadas ao trabalho de jardineiro/trabalhador de irrigação, conforme SOC/OES 37-3011 (onetonline.org). Horário padrão/esperado: Segunda a sexta, das 7h30 às 17h30. Oferecemos mais de 40 horas semanais, sem incluir almoço e/ou intervalos. Possibilidade de trabalho aos fins de semana e feriados. Os horários de início e término, a carga horária e/ou horas extras podem variar, pois dependem de fatores como projetos/cronograma/necessidades do serviço, condições climáticas e tempo de deslocamento entre os locais de trabalho (se aplicável). Horas extras são possíveis, mas não obrigatórias nem garantidas. A critério exclusivo do empregador: possíveis aumentos e/ou bônus com base em fatores individuais, como desempenho no trabalho ou habilidades (não garantidos). Classificação do Cargo: 37-3011.00 - Trabalhadores de Paisagismo e Manutenção de Jardins. A classificação e descrição do cargo/setor inclui informações gerais sobre a posição, conforme o ONET/OES e o Sistema de Classificação Industrial da América do Norte. Consulte as Funções e a Ordem de Serviço para obter mais informações. Requisitos do Cargo Experiência Necessária: Não. Requisitos Especiais: É necessário ter 18 anos devido a questões de seguro. É necessário apresentar comprovante de autorização legal para trabalhar nos Estados Unidos. Ambiente de trabalho livre de drogas, álcool e tabaco. Executar atividades físicas, como levantar, equilibrar-se, caminhar, abaixar-se, manusear, posicionar, mover e manipular materiais, utilizando força estática para exercer força muscular máxima para levantar, empurrar, puxar e carregar objetos de até 23 kg. Todos os candidatos devem ser capazes, dispostos e qualificados para executar o trabalho descrito e devem estar disponíveis durante todo o período especificado e trabalhar em todas as áreas da vaga. O trabalho é realizado ao ar livre, exposto às intempéries. O candidato deve ser capaz de realizar trabalho fisicamente extenuante por longos períodos, ocasionalmente em condições de calor ou frio extremos. As condições climáticas são variáveis; a carga horária pode sofrer alterações (+/-), podendo haver períodos de inatividade e/ou horas extras. Número de horas por semana: 40. Horário de trabalho (início/término): 7h30 às 17h30.</v>
      </c>
    </row>
    <row r="696" ht="20.25" customHeight="1">
      <c r="A696" s="3" t="s">
        <v>3305</v>
      </c>
      <c r="B696" s="3" t="s">
        <v>3306</v>
      </c>
      <c r="C696" s="3" t="s">
        <v>3202</v>
      </c>
      <c r="D696" s="3" t="s">
        <v>71</v>
      </c>
      <c r="E696" s="4" t="s">
        <v>19</v>
      </c>
      <c r="F696" s="4" t="s">
        <v>20</v>
      </c>
      <c r="G696" s="4" t="s">
        <v>524</v>
      </c>
      <c r="H696" s="3" t="s">
        <v>3307</v>
      </c>
      <c r="I696" s="3" t="s">
        <v>3308</v>
      </c>
      <c r="J696" s="4">
        <v>16.0</v>
      </c>
      <c r="K696" s="4">
        <v>18.0</v>
      </c>
      <c r="L696" s="3" t="s">
        <v>3309</v>
      </c>
      <c r="M696" s="3" t="s">
        <v>3310</v>
      </c>
      <c r="N696" s="7" t="str">
        <f>IFERROR(__xludf.DUMMYFUNCTION("GOOGLETRANSLATE(L696, ""en"", ""pt"")"),"Atendente de Complexo Esportivo")</f>
        <v>Atendente de Complexo Esportivo</v>
      </c>
      <c r="O696" s="7" t="str">
        <f>IFERROR(__xludf.DUMMYFUNCTION("IF(M696="""","""",GOOGLETRANSLATE(M696,""en"",""pt""))"),"Executar diversas tarefas de atendimento nas instalações esportivas, recreativas e de bem-estar do clube. Agendar o uso das instalações esportivas, recreativas e de bem-estar. Registrar detalhes de uso, agendamentos, vendas e reparos de equipamentos. Prom"&amp;"over atividades esportivas, recreativas e de bem-estar aos membros, juntamente com as regras e regulamentos das instalações. Manter a organização e a limpeza das instalações e equipamentos esportivos, recreativos e de bem-estar, incluindo carrinhos de gol"&amp;"fe. Montar e desmontar sinalização, suprimentos e equipamentos em todas as instalações. Vender, alugar e recolher equipamentos esportivos. Auxiliar os membros na compra de produtos de bem-estar, roupas esportivas, acessórios esportivos e equipamentos espo"&amp;"rtivos e recreativos. Manter um estoque suficiente de toalhas, produtos, roupas esportivas e equipamentos acessíveis aos membros, incluindo o recebimento e armazenamento do inventário. Orientar os novos membros da comunidade sobre as instalações e os equi"&amp;"pamentos. Dias e horários de trabalho previstos por semana: Mínimo de 35 horas por semana (ou seja, não menos que isso). Todos os funcionários trabalham pelo menos 5 turnos por semana. Turnos típicos: 6h às 14h, 9h às 18h, 12h às 20h30. Os dias e horários"&amp;" dos turnos variam de acordo com a demanda ou o evento agendado. Horas extras: Somente quando necessário. VEJA O DOCUMENTO ANEXO PARA OBTER UMA CÓPIA COMPLETA DA OFERTA DE EMPREGO - Observação para o Oficial Certificador: Em anexo, encontra-se uma cópia c"&amp;"ompleta da oferta de emprego. Caso seja necessário adicionar alguma informação desta oferta de emprego ao formulário ETA-9142, concedemos permissão para que você adicione as informações listadas neste anexo. Classificação do Cargo: 39-3091.00 - Atendentes"&amp;" de Parques de Diversões e Recreação. A classificação e a descrição do cargo/setor incluem informações gerais sobre a posição, de acordo com o ONET/OES e o Sistema de Classificação Industrial da América do Norte (NAICS). Consulte as Funções e a Ordem de S"&amp;"erviço para obter mais informações. Requisitos do Cargo Experiência Necessária: Não. Requisitos Especiais: Ter no mínimo 18 anos de idade. Ser aprovado no exame toxicológico pré-admissional (de acordo com a Política de Ambiente de Trabalho Livre de Drogas"&amp;" da empresa). A Ibis realiza exames toxicológicos em todos os candidatos, incluindo funcionários nacionais e com visto H-2B. Isso inclui vagas sazonais e anuais em tempo integral e se aplica a todos os candidatos, independentemente de sua nacionalidade, r"&amp;"aça ou sexo. É necessário ter disponibilidade para trabalhar em todos os turnos, incluindo fins de semana, noites e feriados. É imprescindível apresentar uma postura e aparência profissionais. Número de horas por semana: 56. Horário de trabalho (início/té"&amp;"rmino): 6h às 14h.")</f>
        <v>Executar diversas tarefas de atendimento nas instalações esportivas, recreativas e de bem-estar do clube. Agendar o uso das instalações esportivas, recreativas e de bem-estar. Registrar detalhes de uso, agendamentos, vendas e reparos de equipamentos. Promover atividades esportivas, recreativas e de bem-estar aos membros, juntamente com as regras e regulamentos das instalações. Manter a organização e a limpeza das instalações e equipamentos esportivos, recreativos e de bem-estar, incluindo carrinhos de golfe. Montar e desmontar sinalização, suprimentos e equipamentos em todas as instalações. Vender, alugar e recolher equipamentos esportivos. Auxiliar os membros na compra de produtos de bem-estar, roupas esportivas, acessórios esportivos e equipamentos esportivos e recreativos. Manter um estoque suficiente de toalhas, produtos, roupas esportivas e equipamentos acessíveis aos membros, incluindo o recebimento e armazenamento do inventário. Orientar os novos membros da comunidade sobre as instalações e os equipamentos. Dias e horários de trabalho previstos por semana: Mínimo de 35 horas por semana (ou seja, não menos que isso). Todos os funcionários trabalham pelo menos 5 turnos por semana. Turnos típicos: 6h às 14h, 9h às 18h, 12h às 20h30. Os dias e horários dos turnos variam de acordo com a demanda ou o evento agendado. Horas extras: Somente quando necessário. VEJA O DOCUMENTO ANEXO PARA OBTER UMA CÓPIA COMPLETA DA OFERTA DE EMPREGO - Observação para o Oficial Certificador: Em anexo, encontra-se uma cópia completa da oferta de emprego. Caso seja necessário adicionar alguma informação desta oferta de emprego ao formulário ETA-9142, concedemos permissão para que você adicione as informações listadas neste anexo. Classificação do Cargo: 39-3091.00 - Atendentes de Parques de Diversões e Recreação. A classificação e a descrição do cargo/setor incluem informações gerais sobre a posição, de acordo com o ONET/OES e o Sistema de Classificação Industrial da América do Norte (NAICS). Consulte as Funções e a Ordem de Serviço para obter mais informações. Requisitos do Cargo Experiência Necessária: Não. Requisitos Especiais: Ter no mínimo 18 anos de idade. Ser aprovado no exame toxicológico pré-admissional (de acordo com a Política de Ambiente de Trabalho Livre de Drogas da empresa). A Ibis realiza exames toxicológicos em todos os candidatos, incluindo funcionários nacionais e com visto H-2B. Isso inclui vagas sazonais e anuais em tempo integral e se aplica a todos os candidatos, independentemente de sua nacionalidade, raça ou sexo. É necessário ter disponibilidade para trabalhar em todos os turnos, incluindo fins de semana, noites e feriados. É imprescindível apresentar uma postura e aparência profissionais. Número de horas por semana: 56. Horário de trabalho (início/término): 6h às 14h.</v>
      </c>
    </row>
    <row r="697" ht="20.25" customHeight="1">
      <c r="A697" s="8" t="s">
        <v>3311</v>
      </c>
      <c r="B697" s="8" t="s">
        <v>3306</v>
      </c>
      <c r="C697" s="8" t="s">
        <v>3202</v>
      </c>
      <c r="D697" s="8" t="s">
        <v>71</v>
      </c>
      <c r="E697" s="9" t="s">
        <v>19</v>
      </c>
      <c r="F697" s="9" t="s">
        <v>20</v>
      </c>
      <c r="G697" s="9" t="s">
        <v>524</v>
      </c>
      <c r="H697" s="8" t="s">
        <v>3307</v>
      </c>
      <c r="I697" s="8" t="s">
        <v>3308</v>
      </c>
      <c r="J697" s="9">
        <v>18.0</v>
      </c>
      <c r="K697" s="9">
        <v>8.0</v>
      </c>
      <c r="L697" s="8" t="s">
        <v>3312</v>
      </c>
      <c r="M697" s="8" t="s">
        <v>3313</v>
      </c>
      <c r="N697" s="7" t="str">
        <f>IFERROR(__xludf.DUMMYFUNCTION("GOOGLETRANSLATE(L697, ""en"", ""pt"")"),"Anfitrião/anfitriã")</f>
        <v>Anfitrião/anfitriã</v>
      </c>
      <c r="O697" s="7" t="str">
        <f>IFERROR(__xludf.DUMMYFUNCTION("IF(M697="""","""",GOOGLETRANSLATE(M697,""en"",""pt""))"),"Segue todos os procedimentos operacionais padrão estabelecidos para recepcionar e acomodar os membros. Aceita e confirma reservas por telefone, pessoalmente e por meio de sites de reservas online. Anota pedidos para viagem quando necessário. Recepciona ca"&amp;"lorosamente os membros e convidados e os acomoda de acordo com a disponibilidade de mesas e o sistema de rodízio. Prepara o serviço de jantar organizando cardápios, marcadores de mesa, cadeiras altas, placas de buffet, revisa as listas de reservas e confi"&amp;"rma as reservas, além de revisar a planta do salão. Auxilia no cumprimento das normas, como o uso de celulares, o código de vestimenta, a permissão para animais de serviço e o setor de achados e perdidos. Outras responsabilidades incluem limpar e arrumar "&amp;"as mesas do restaurante e do buffet (incluindo toalhas de mesa, talheres, copos, utensílios e condimentos), repor os itens do buffet e as bebidas. Garante que o salão de jantar e os postos de trabalho estejam devidamente limpos e abastecidos ao final do t"&amp;"urno. Dias e horários de trabalho previstos por semana: Mínimo de 35 horas semanais (ou seja, não menos que isso). Todos os funcionários trabalham pelo menos 5 turnos por semana. Turnos típicos: das 7h às 15h e das 15h às 23h. Os dias e horários de trabal"&amp;"ho variam de acordo com a demanda ou o evento agendado. Horas extras: Somente quando necessário. VEJA O DOCUMENTO ANEXO PARA OBTER UMA CÓPIA COMPLETA DA OFERTA DE EMPREGO - Observação para o Oficial Certificador: Em anexo, encontra-se uma cópia completa d"&amp;"a oferta de emprego. Caso seja necessário adicionar alguma informação desta oferta de emprego ao formulário ETA-9142, concedemos permissão para que você adicione as informações listadas neste anexo. Classificação do Cargo: 35-9011.00 - Atendentes de Refei"&amp;"tório e Cafeteria e Auxiliares de Barman. A classificação e descrição do cargo/setor incluem informações gerais sobre a posição, de acordo com o ONET/OES e o Sistema de Classificação Industrial da América do Norte (NAICS). Consulte as Funções e a Ordem de"&amp;" Serviço para obter mais informações. Requisitos do Cargo Experiência Necessária: Não. Requisitos Especiais: Ter no mínimo 18 anos de idade. Ser aprovado no exame toxicológico pré-admissional (de acordo com a Política de Ambiente de Trabalho Livre de Drog"&amp;"as da empresa). A Ibis realiza exames toxicológicos em todos os candidatos, incluindo funcionários nacionais e com visto H-2B. Isso inclui vagas sazonais e anuais em tempo integral e se aplica a todos os candidatos, independentemente de sua nacionalidade,"&amp;" raça ou gênero. É necessário ter disponibilidade para trabalhar em todos os turnos, incluindo fins de semana, noites e feriados. É imprescindível apresentar uma postura e aparência profissionais. Número de horas por semana: 56. Horário de trabalho (iníci"&amp;"o/término): 7h às 15h.")</f>
        <v>Segue todos os procedimentos operacionais padrão estabelecidos para recepcionar e acomodar os membros. Aceita e confirma reservas por telefone, pessoalmente e por meio de sites de reservas online. Anota pedidos para viagem quando necessário. Recepciona calorosamente os membros e convidados e os acomoda de acordo com a disponibilidade de mesas e o sistema de rodízio. Prepara o serviço de jantar organizando cardápios, marcadores de mesa, cadeiras altas, placas de buffet, revisa as listas de reservas e confirma as reservas, além de revisar a planta do salão. Auxilia no cumprimento das normas, como o uso de celulares, o código de vestimenta, a permissão para animais de serviço e o setor de achados e perdidos. Outras responsabilidades incluem limpar e arrumar as mesas do restaurante e do buffet (incluindo toalhas de mesa, talheres, copos, utensílios e condimentos), repor os itens do buffet e as bebidas. Garante que o salão de jantar e os postos de trabalho estejam devidamente limpos e abastecidos ao final do turno. Dias e horários de trabalho previstos por semana: Mínimo de 35 horas semanais (ou seja, não menos que isso). Todos os funcionários trabalham pelo menos 5 turnos por semana. Turnos típicos: das 7h às 15h e das 15h às 23h. Os dias e horários de trabalho variam de acordo com a demanda ou o evento agendado. Horas extras: Somente quando necessário. VEJA O DOCUMENTO ANEXO PARA OBTER UMA CÓPIA COMPLETA DA OFERTA DE EMPREGO - Observação para o Oficial Certificador: Em anexo, encontra-se uma cópia completa da oferta de emprego. Caso seja necessário adicionar alguma informação desta oferta de emprego ao formulário ETA-9142, concedemos permissão para que você adicione as informações listadas neste anexo. Classificação do Cargo: 35-9011.00 - Atendentes de Refeitório e Cafeteria e Auxiliares de Barman. A classificação e descrição do cargo/setor incluem informações gerais sobre a posição, de acordo com o ONET/OES e o Sistema de Classificação Industrial da América do Norte (NAICS). Consulte as Funções e a Ordem de Serviço para obter mais informações. Requisitos do Cargo Experiência Necessária: Não. Requisitos Especiais: Ter no mínimo 18 anos de idade. Ser aprovado no exame toxicológico pré-admissional (de acordo com a Política de Ambiente de Trabalho Livre de Drogas da empresa). A Ibis realiza exames toxicológicos em todos os candidatos, incluindo funcionários nacionais e com visto H-2B. Isso inclui vagas sazonais e anuais em tempo integral e se aplica a todos os candidatos, independentemente de sua nacionalidade, raça ou gênero. É necessário ter disponibilidade para trabalhar em todos os turnos, incluindo fins de semana, noites e feriados. É imprescindível apresentar uma postura e aparência profissionais. Número de horas por semana: 56. Horário de trabalho (início/término): 7h às 15h.</v>
      </c>
    </row>
    <row r="698" ht="20.25" customHeight="1">
      <c r="A698" s="3" t="s">
        <v>3314</v>
      </c>
      <c r="B698" s="3" t="s">
        <v>3306</v>
      </c>
      <c r="C698" s="3" t="s">
        <v>3202</v>
      </c>
      <c r="D698" s="3" t="s">
        <v>71</v>
      </c>
      <c r="E698" s="4" t="s">
        <v>44</v>
      </c>
      <c r="F698" s="4" t="s">
        <v>20</v>
      </c>
      <c r="G698" s="4" t="s">
        <v>524</v>
      </c>
      <c r="H698" s="3" t="s">
        <v>3307</v>
      </c>
      <c r="I698" s="3" t="s">
        <v>3308</v>
      </c>
      <c r="J698" s="4">
        <v>25.0</v>
      </c>
      <c r="K698" s="4">
        <v>8.0</v>
      </c>
      <c r="L698" s="3" t="s">
        <v>3315</v>
      </c>
      <c r="M698" s="3" t="s">
        <v>3316</v>
      </c>
      <c r="N698" s="7" t="str">
        <f>IFERROR(__xludf.DUMMYFUNCTION("GOOGLETRANSLATE(L698, ""en"", ""pt"")"),"Supervisor do refeitório")</f>
        <v>Supervisor do refeitório</v>
      </c>
      <c r="O698" s="7" t="str">
        <f>IFERROR(__xludf.DUMMYFUNCTION("IF(M698="""","""",GOOGLETRANSLATE(M698,""en"",""pt""))"),"Treinar, programar, supervisionar e coordenar diretamente as atividades dos funcionários envolvidos no serviço de alimentação. Interagir com os clientes para garantir a satisfação com a comida e o serviço, e solucionar quaisquer reclamações. Conversar com"&amp;" os clientes e apresentar as especialidades e características do estabelecimento. Manter contato com a equipe da cozinha, a gerência e a equipe do salão para garantir a satisfação dos clientes, além de um serviço rápido e cortês. Inspecionar as áreas de r"&amp;"efeição e serviço quanto à limpeza e organização adequadas. Solicitar suprimentos e equipamentos para mesas e estações de serviço. Auxiliar no atendimento aos clientes, no serviço de alimentos e bebidas e na limpeza e arrumação das mesas. Finalizar recibo"&amp;"s e relatórios do estabelecimento ao final do expediente. Auxiliar no planejamento de eventos especiais e festas particulares. Dias e horários de trabalho previstos por semana: Mínimo de 35 horas semanais (ou seja, não menos que isso). Todos os funcionári"&amp;"os trabalham pelo menos 5 turnos por semana. Turnos típicos: das 7h às 15h e das 15h às 23h. Os dias e horários dos turnos variam de acordo com a demanda ou o evento agendado. Horas extras: Somente quando necessário. CONSULTE O DOCUMENTO ANEXO PARA OBTER "&amp;"UMA CÓPIA COMPLETA DA OFERTA DE EMPREGO - Observação para o Oficial Certificador: Em anexo, encontra-se uma cópia completa da oferta de emprego. Caso seja necessário adicionar alguma informação desta oferta de emprego ao formulário ETA-9142, concedemos pe"&amp;"rmissão para que você inclua as informações listadas neste anexo. Classificação do Cargo: 35-1012.00 - Supervisores de Primeira Linha de Preparadores e Servidores de Alimentos. A classificação e a descrição do cargo/setor incluem informações gerais sobre "&amp;"a posição, de acordo com o ONET/OES e o Sistema de Classificação Industrial da América do Norte (NAICS). Consulte as Funções e a Ordem de Serviço para obter mais informações. Requisitos do Cargo Experiência Necessária: Não. Requisitos Especiais: Ter no mí"&amp;"nimo 18 anos de idade. Ser aprovado no exame toxicológico pré-admissional (de acordo com a Política de Ambiente de Trabalho Livre de Drogas da empresa). A Ibis realiza exames toxicológicos em todos os candidatos, incluindo funcionários nacionais e com vis"&amp;"to H-2B. Isso inclui vagas sazonais e anuais em tempo integral e se aplica a todos os candidatos, independentemente de sua nacionalidade, raça ou sexo. Disponibilidade para trabalhar em todos os turnos, incluindo fins de semana, noites e feriados. É impre"&amp;"scindível apresentar uma postura e aparência profissionais. Número de horas semanais: 56. Horário de trabalho (início/término): 7h às 15h.")</f>
        <v>Treinar, programar, supervisionar e coordenar diretamente as atividades dos funcionários envolvidos no serviço de alimentação. Interagir com os clientes para garantir a satisfação com a comida e o serviço, e solucionar quaisquer reclamações. Conversar com os clientes e apresentar as especialidades e características do estabelecimento. Manter contato com a equipe da cozinha, a gerência e a equipe do salão para garantir a satisfação dos clientes, além de um serviço rápido e cortês. Inspecionar as áreas de refeição e serviço quanto à limpeza e organização adequadas. Solicitar suprimentos e equipamentos para mesas e estações de serviço. Auxiliar no atendimento aos clientes, no serviço de alimentos e bebidas e na limpeza e arrumação das mesas. Finalizar recibos e relatórios do estabelecimento ao final do expediente. Auxiliar no planejamento de eventos especiais e festas particulares. Dias e horários de trabalho previstos por semana: Mínimo de 35 horas semanais (ou seja, não menos que isso). Todos os funcionários trabalham pelo menos 5 turnos por semana. Turnos típicos: das 7h às 15h e das 15h às 23h. Os dias e horários dos turnos variam de acordo com a demanda ou o evento agendado. Horas extras: Somente quando necessário. CONSULTE O DOCUMENTO ANEXO PARA OBTER UMA CÓPIA COMPLETA DA OFERTA DE EMPREGO - Observação para o Oficial Certificador: Em anexo, encontra-se uma cópia completa da oferta de emprego. Caso seja necessário adicionar alguma informação desta oferta de emprego ao formulário ETA-9142, concedemos permissão para que você inclua as informações listadas neste anexo. Classificação do Cargo: 35-1012.00 - Supervisores de Primeira Linha de Preparadores e Servidores de Alimentos. A classificação e a descrição do cargo/setor incluem informações gerais sobre a posição, de acordo com o ONET/OES e o Sistema de Classificação Industrial da América do Norte (NAICS). Consulte as Funções e a Ordem de Serviço para obter mais informações. Requisitos do Cargo Experiência Necessária: Não. Requisitos Especiais: Ter no mínimo 18 anos de idade. Ser aprovado no exame toxicológico pré-admissional (de acordo com a Política de Ambiente de Trabalho Livre de Drogas da empresa). A Ibis realiza exames toxicológicos em todos os candidatos, incluindo funcionários nacionais e com visto H-2B. Isso inclui vagas sazonais e anuais em tempo integral e se aplica a todos os candidatos, independentemente de sua nacionalidade, raça ou sexo. Disponibilidade para trabalhar em todos os turnos, incluindo fins de semana, noites e feriados. É imprescindível apresentar uma postura e aparência profissionais. Número de horas semanais: 56. Horário de trabalho (início/término): 7h às 15h.</v>
      </c>
    </row>
    <row r="699" ht="20.25" customHeight="1">
      <c r="A699" s="8" t="s">
        <v>3317</v>
      </c>
      <c r="B699" s="8" t="s">
        <v>3306</v>
      </c>
      <c r="C699" s="8" t="s">
        <v>3202</v>
      </c>
      <c r="D699" s="8" t="s">
        <v>71</v>
      </c>
      <c r="E699" s="9" t="s">
        <v>44</v>
      </c>
      <c r="F699" s="9" t="s">
        <v>20</v>
      </c>
      <c r="G699" s="9" t="s">
        <v>524</v>
      </c>
      <c r="H699" s="8" t="s">
        <v>3307</v>
      </c>
      <c r="I699" s="8" t="s">
        <v>3308</v>
      </c>
      <c r="J699" s="9">
        <v>18.0</v>
      </c>
      <c r="K699" s="9">
        <v>28.0</v>
      </c>
      <c r="L699" s="8" t="s">
        <v>586</v>
      </c>
      <c r="M699" s="8" t="s">
        <v>3318</v>
      </c>
      <c r="N699" s="7" t="str">
        <f>IFERROR(__xludf.DUMMYFUNCTION("GOOGLETRANSLATE(L699, ""en"", ""pt"")"),"Cozinheiro de linha")</f>
        <v>Cozinheiro de linha</v>
      </c>
      <c r="O699" s="7" t="str">
        <f>IFERROR(__xludf.DUMMYFUNCTION("IF(M699="""","""",GOOGLETRANSLATE(M699,""en"",""pt""))"),"***Resposta à Solicitação de Informações*** O(A) funcionário(a) será contratado(a) em um clube de campo privado que opera diversos espaços de serviço de alimentação, incluindo restaurantes para membros e um espaço para banquetes e eventos. O(A) cozinheiro"&amp;"(a) preparará alimentos tanto nas cozinhas dos restaurantes à la carte quanto na cozinha de banquetes, atendendo a eventos privados, casamentos, torneios e eventos para membros. As funções incluem preparar e cozinhar uma variedade de carnes, peixes, veget"&amp;"ais, assados ​​e outros itens do cardápio, de acordo com as receitas e padrões estabelecidos pelo clube, utilizando equipamentos e utensílios de cozinha comerciais. O preparo dos alimentos envolverá tanto pedidos individuais de membros quanto produção em "&amp;"grande escala. Nos restaurantes do clube, as refeições são preparadas à la carte, com base nas escolhas individuais de membros e convidados. Na cozinha de banquetes e eventos, o(a) funcionário(a) preparará alimentos em maiores quantidades para buffets, ba"&amp;"nquetes servidos à mesa, recepções e torneios. O(A) funcionário(a) auxiliará na montagem e desmontagem das áreas de serviço de banquetes e restaurantes, organizando estações de preparo, bandejas de buffet e decorações de alimentos para eventos e funções e"&amp;"speciais do clube. As tarefas específicas incluem transportar e posicionar rechauds, travessas, aquecedores de alimentos; Preparar estações de trabalho com fogões portáteis, liquidificadores, tábuas de corte, utensílios e ingredientes para uso durante o s"&amp;"erviço; organizar a apresentação dos alimentos, bem como remover os itens utilizados e guardá-los após o término do serviço. A decoração temática pode incluir a montagem de guarnições decorativas e ervas, além de estações de aperitivos ou sobremesas em di"&amp;"ferentes níveis, de acordo com o tema do evento. O funcionário utilizará ferramentas, equipamentos e materiais padrão de banquetes e cozinhas, incluindo carrinhos de serviço, rechauds e galões de combustível, utensílios para servir, aquecedores ou refrige"&amp;"radores portáteis para alimentos, estações de corte, suportes para buffet, lâmpadas de aquecimento, grelhas, fritadeiras, processadores de alimentos, batedeiras, fatiadores, assadeiras, panelas, frigideiras, travessas, bandejas de servir, recipientes térm"&amp;"icos para alimentos, caixas de gelo, carrinhos de banquete, suportes com rodinhas, facas de trinchar, pinças, conchas e equipamentos portáteis para estações de omeletes e massas. ***Original*** Inspecionar e limpar as áreas de preparação de alimentos, com"&amp;"o equipamentos e superfícies de trabalho, para garantir práticas seguras e higiênicas de manipulação de alimentos. Garantir que os alimentos sejam armazenados e cozidos na temperatura correta. Garantir o frescor dos alimentos e ingredientes, verificando a"&amp;" qualidade, controlando os itens novos e antigos e fazendo o rodízio dos produtos. Temperar e cozinhar os alimentos de acordo com as receitas aprovadas pela empresa. Assar, grelhar e cozinhar no vapor carnes, peixes, legumes e outros alimentos. Pesar, med"&amp;"ir e misturar ingredientes de acordo com as receitas da empresa, utilizando diversos utensílios e equipamentos de cozinha. Porcionar, organizar e decorar os alimentos de acordo com os padrões da empresa. Auxiliar na montagem e desmontagem de estações de p"&amp;"reparo, mesas de buffet, expositores e decorações temáticas. Garantir que as estações de trabalho sejam devidamente limpas ao final de cada turno. Dias e horários de trabalho previstos por semana: Mínimo de 35 horas por semana (ou seja, não menos que isso"&amp;"). Todos os funcionários trabalham pelo menos 5 turnos por semana. Turnos típicos: das 7h às 15h e das 15h às 23h. Os dias e horários dos turnos variam dependendo da demanda ou do evento agendado. Horas extras: Somente conforme necessário. VEJA O DOCUMENT"&amp;"O ANEXO PARA OBTER UMA CÓPIA COMPLETA DA OFERTA DE EMPREGO - Observação para o Oficial Certificador: Em anexo, encontra-se uma cópia completa da oferta de emprego. Caso seja necessário adicionar alguma informação desta oferta de emprego ao formulário ETA-"&amp;"9142, concedemos permissão para que você adicione as informações listadas neste anexo. Classificação do Cargo: 35-9011.00 - Atendentes de Refeitório e Cafeteria e Auxiliares de Barman. A classificação e descrição do cargo/setor incluem informações gerais "&amp;"sobre a posição, de acordo com o ONET/OES e o Sistema de Classificação Industrial da América do Norte (NAICS). Consulte as Funções e a Ordem de Serviço para obter mais informações. Requisitos do Cargo Experiência Necessária: Não. Requisitos Especiais: Ter"&amp;" no mínimo 18 anos de idade. Ser aprovado no exame toxicológico pré-admissional (de acordo com a Política de Ambiente de Trabalho Livre de Drogas da empresa). A Ibis realiza exames toxicológicos em todos os candidatos, incluindo funcionários nacionais e c"&amp;"om visto H-2B. Isso inclui vagas sazonais e anuais em tempo integral e se aplica a todos os candidatos, independentemente de sua nacionalidade, raça ou sexo. Disponibilidade para trabalhar em todos os turnos, incluindo fins de semana, noites e feriados. É"&amp;" imprescindível apresentar uma postura e aparência profissionais. Número de horas semanais: 56. Horário de trabalho (início/término): 7h às 15h.")</f>
        <v>***Resposta à Solicitação de Informações*** O(A) funcionário(a) será contratado(a) em um clube de campo privado que opera diversos espaços de serviço de alimentação, incluindo restaurantes para membros e um espaço para banquetes e eventos. O(A) cozinheiro(a) preparará alimentos tanto nas cozinhas dos restaurantes à la carte quanto na cozinha de banquetes, atendendo a eventos privados, casamentos, torneios e eventos para membros. As funções incluem preparar e cozinhar uma variedade de carnes, peixes, vegetais, assados ​​e outros itens do cardápio, de acordo com as receitas e padrões estabelecidos pelo clube, utilizando equipamentos e utensílios de cozinha comerciais. O preparo dos alimentos envolverá tanto pedidos individuais de membros quanto produção em grande escala. Nos restaurantes do clube, as refeições são preparadas à la carte, com base nas escolhas individuais de membros e convidados. Na cozinha de banquetes e eventos, o(a) funcionário(a) preparará alimentos em maiores quantidades para buffets, banquetes servidos à mesa, recepções e torneios. O(A) funcionário(a) auxiliará na montagem e desmontagem das áreas de serviço de banquetes e restaurantes, organizando estações de preparo, bandejas de buffet e decorações de alimentos para eventos e funções especiais do clube. As tarefas específicas incluem transportar e posicionar rechauds, travessas, aquecedores de alimentos; Preparar estações de trabalho com fogões portáteis, liquidificadores, tábuas de corte, utensílios e ingredientes para uso durante o serviço; organizar a apresentação dos alimentos, bem como remover os itens utilizados e guardá-los após o término do serviço. A decoração temática pode incluir a montagem de guarnições decorativas e ervas, além de estações de aperitivos ou sobremesas em diferentes níveis, de acordo com o tema do evento. O funcionário utilizará ferramentas, equipamentos e materiais padrão de banquetes e cozinhas, incluindo carrinhos de serviço, rechauds e galões de combustível, utensílios para servir, aquecedores ou refrigeradores portáteis para alimentos, estações de corte, suportes para buffet, lâmpadas de aquecimento, grelhas, fritadeiras, processadores de alimentos, batedeiras, fatiadores, assadeiras, panelas, frigideiras, travessas, bandejas de servir, recipientes térmicos para alimentos, caixas de gelo, carrinhos de banquete, suportes com rodinhas, facas de trinchar, pinças, conchas e equipamentos portáteis para estações de omeletes e massas. ***Original*** Inspecionar e limpar as áreas de preparação de alimentos, como equipamentos e superfícies de trabalho, para garantir práticas seguras e higiênicas de manipulação de alimentos. Garantir que os alimentos sejam armazenados e cozidos na temperatura correta. Garantir o frescor dos alimentos e ingredientes, verificando a qualidade, controlando os itens novos e antigos e fazendo o rodízio dos produtos. Temperar e cozinhar os alimentos de acordo com as receitas aprovadas pela empresa. Assar, grelhar e cozinhar no vapor carnes, peixes, legumes e outros alimentos. Pesar, medir e misturar ingredientes de acordo com as receitas da empresa, utilizando diversos utensílios e equipamentos de cozinha. Porcionar, organizar e decorar os alimentos de acordo com os padrões da empresa. Auxiliar na montagem e desmontagem de estações de preparo, mesas de buffet, expositores e decorações temáticas. Garantir que as estações de trabalho sejam devidamente limpas ao final de cada turno. Dias e horários de trabalho previstos por semana: Mínimo de 35 horas por semana (ou seja, não menos que isso). Todos os funcionários trabalham pelo menos 5 turnos por semana. Turnos típicos: das 7h às 15h e das 15h às 23h. Os dias e horários dos turnos variam dependendo da demanda ou do evento agendado. Horas extras: Somente conforme necessário. VEJA O DOCUMENTO ANEXO PARA OBTER UMA CÓPIA COMPLETA DA OFERTA DE EMPREGO - Observação para o Oficial Certificador: Em anexo, encontra-se uma cópia completa da oferta de emprego. Caso seja necessário adicionar alguma informação desta oferta de emprego ao formulário ETA-9142, concedemos permissão para que você adicione as informações listadas neste anexo. Classificação do Cargo: 35-9011.00 - Atendentes de Refeitório e Cafeteria e Auxiliares de Barman. A classificação e descrição do cargo/setor incluem informações gerais sobre a posição, de acordo com o ONET/OES e o Sistema de Classificação Industrial da América do Norte (NAICS). Consulte as Funções e a Ordem de Serviço para obter mais informações. Requisitos do Cargo Experiência Necessária: Não. Requisitos Especiais: Ter no mínimo 18 anos de idade. Ser aprovado no exame toxicológico pré-admissional (de acordo com a Política de Ambiente de Trabalho Livre de Drogas da empresa). A Ibis realiza exames toxicológicos em todos os candidatos, incluindo funcionários nacionais e com visto H-2B. Isso inclui vagas sazonais e anuais em tempo integral e se aplica a todos os candidatos, independentemente de sua nacionalidade, raça ou sexo. Disponibilidade para trabalhar em todos os turnos, incluindo fins de semana, noites e feriados. É imprescindível apresentar uma postura e aparência profissionais. Número de horas semanais: 56. Horário de trabalho (início/término): 7h às 15h.</v>
      </c>
    </row>
    <row r="700" ht="20.25" customHeight="1">
      <c r="A700" s="3" t="s">
        <v>3319</v>
      </c>
      <c r="B700" s="3" t="s">
        <v>3320</v>
      </c>
      <c r="C700" s="3" t="s">
        <v>2995</v>
      </c>
      <c r="D700" s="3" t="s">
        <v>140</v>
      </c>
      <c r="E700" s="4" t="s">
        <v>19</v>
      </c>
      <c r="F700" s="4" t="s">
        <v>20</v>
      </c>
      <c r="G700" s="4" t="s">
        <v>384</v>
      </c>
      <c r="H700" s="3" t="s">
        <v>3321</v>
      </c>
      <c r="I700" s="3" t="s">
        <v>3322</v>
      </c>
      <c r="J700" s="4">
        <v>16.73</v>
      </c>
      <c r="K700" s="4">
        <v>50.0</v>
      </c>
      <c r="L700" s="3" t="s">
        <v>83</v>
      </c>
      <c r="M700" s="3" t="s">
        <v>3323</v>
      </c>
      <c r="N700" s="7" t="str">
        <f>IFERROR(__xludf.DUMMYFUNCTION("GOOGLETRANSLATE(L700, ""en"", ""pt"")"),"Trabalhador Florestal")</f>
        <v>Trabalhador Florestal</v>
      </c>
      <c r="O700" s="7" t="str">
        <f>IFERROR(__xludf.DUMMYFUNCTION("IF(M700="""","""",GOOGLETRANSLATE(M700,""en"",""pt""))"),"As funções podem incluir: manutenção e construção de demarcações em áreas florestais, plantio de árvores: abertura de covas com a técnica adequada para garantir o máximo sucesso das mudas, pulverização de herbicidas/inseticidas e desbaste pré-comercial, a"&amp;"lém de outras atividades relacionadas ao trabalho florestal, conforme SOC/OES 45-4011 (onetonline.org). Horário padrão/esperado: segunda a sexta, das 8h às 17h. Oferecemos mais de 40 horas semanais, sem incluir almoço e/ou intervalos. Possibilidade de tra"&amp;"balho em fins de semana e feriados. Os horários de início e término, a carga horária e/ou horas extras podem variar, dependendo de fatores como necessidades do projeto/cronograma/serviço, condições climáticas e tempo de deslocamento entre os locais de tra"&amp;"balho (se aplicável). Horas extras são possíveis, mas não obrigatórias nem garantidas. A critério exclusivo do empregador: aumentos salariais e/ou bônus podem ser concedidos com base em fatores individuais, como desempenho ou habilidades (não garantidos)."&amp;" Moradia compartilhada opcional, sem custo para o trabalhador. Classificação da Função: 45-4011.00 - Trabalhadores Florestais e de Conservação. A classificação e descrição da função/setor inclui informações gerais sobre o cargo, conforme o ONET/OES e o Si"&amp;"stema de Classificação Industrial da América do Norte. Consulte as Funções e a Ordem de Serviço para obter mais informações. Requisitos da Função: Experiência Necessária: Não. Requisitos Especiais: É necessário ter 18 anos devido a viagens. É necessário a"&amp;"presentar comprovante de autorização legal para trabalhar nos Estados Unidos. Ambiente de trabalho livre de drogas, álcool e tabaco. É necessário caminhar bastante (até 24 km/dia), além de se abaixar e se curvar carregando uma mochila (até 23 kg) em terre"&amp;"nos acidentados (fora de trilhas). Todos os candidatos devem ser capazes, dispostos e qualificados para executar o trabalho descrito e devem estar disponíveis durante todo o período especificado e trabalhar em todas as áreas de atuação pretendidas. O trab"&amp;"alho é realizado ao ar livre, exposto às intempéries; o candidato deve ser capaz de realizar trabalho fisicamente extenuante por longos períodos, ocasionalmente em calor ou frio extremos. Condições climáticas variáveis ​​se aplicam; a carga horária pode s"&amp;"ofrer alterações (+/-), com possibilidade de períodos de inatividade e/ou horas extras. Número de horas por semana: 40 Horário de trabalho (início/término): 8h00 - 17h00")</f>
        <v>As funções podem incluir: manutenção e construção de demarcações em áreas florestais, plantio de árvores: abertura de covas com a técnica adequada para garantir o máximo sucesso das mudas, pulverização de herbicidas/inseticidas e desbaste pré-comercial, além de outras atividades relacionadas ao trabalho florestal, conforme SOC/OES 45-4011 (onetonline.org). Horário padrão/esperado: segunda a sexta, das 8h às 17h. Oferecemos mais de 40 horas semanais, sem incluir almoço e/ou intervalos. Possibilidade de trabalho em fins de semana e feriados. Os horários de início e término, a carga horária e/ou horas extras podem variar, dependendo de fatores como necessidades do projeto/cronograma/serviço, condições climáticas e tempo de deslocamento entre os locais de trabalho (se aplicável). Horas extras são possíveis, mas não obrigatórias nem garantidas. A critério exclusivo do empregador: aumentos salariais e/ou bônus podem ser concedidos com base em fatores individuais, como desempenho ou habilidades (não garantidos). Moradia compartilhada opcional, sem custo para o trabalhador. Classificação da Função: 45-4011.00 - Trabalhadores Florestais e de Conservação. A classificação e descrição da função/setor inclui informações gerais sobre o cargo, conforme o ONET/OES e o Sistema de Classificação Industrial da América do Norte. Consulte as Funções e a Ordem de Serviço para obter mais informações. Requisitos da Função: Experiência Necessária: Não. Requisitos Especiais: É necessário ter 18 anos devido a viagens. É necessário apresentar comprovante de autorização legal para trabalhar nos Estados Unidos. Ambiente de trabalho livre de drogas, álcool e tabaco. É necessário caminhar bastante (até 24 km/dia), além de se abaixar e se curvar carregando uma mochila (até 23 kg) em terrenos acidentados (fora de trilhas). Todos os candidatos devem ser capazes, dispostos e qualificados para executar o trabalho descrito e devem estar disponíveis durante todo o período especificado e trabalhar em todas as áreas de atuação pretendidas. O trabalho é realizado ao ar livre, exposto às intempéries; o candidato deve ser capaz de realizar trabalho fisicamente extenuante por longos períodos, ocasionalmente em calor ou frio extremos. Condições climáticas variáveis ​​se aplicam; a carga horária pode sofrer alterações (+/-), com possibilidade de períodos de inatividade e/ou horas extras. Número de horas por semana: 40 Horário de trabalho (início/término): 8h00 - 17h00</v>
      </c>
    </row>
    <row r="701" ht="20.25" customHeight="1">
      <c r="A701" s="8" t="s">
        <v>3324</v>
      </c>
      <c r="B701" s="8" t="s">
        <v>3325</v>
      </c>
      <c r="C701" s="8" t="s">
        <v>3326</v>
      </c>
      <c r="D701" s="8" t="s">
        <v>87</v>
      </c>
      <c r="E701" s="9" t="s">
        <v>19</v>
      </c>
      <c r="F701" s="9" t="s">
        <v>20</v>
      </c>
      <c r="G701" s="9" t="s">
        <v>377</v>
      </c>
      <c r="H701" s="8" t="s">
        <v>3327</v>
      </c>
      <c r="I701" s="8" t="s">
        <v>3328</v>
      </c>
      <c r="J701" s="9">
        <v>14.99</v>
      </c>
      <c r="K701" s="9">
        <v>30.0</v>
      </c>
      <c r="L701" s="8" t="s">
        <v>232</v>
      </c>
      <c r="M701" s="8" t="s">
        <v>3329</v>
      </c>
      <c r="N701" s="7" t="str">
        <f>IFERROR(__xludf.DUMMYFUNCTION("GOOGLETRANSLATE(L701, ""en"", ""pt"")"),"Limpa-mato para faixas de servidão de serviços públicos")</f>
        <v>Limpa-mato para faixas de servidão de serviços públicos</v>
      </c>
      <c r="O701" s="7" t="str">
        <f>IFERROR(__xludf.DUMMYFUNCTION("IF(M701="""","""",GOOGLETRANSLATE(M701,""en"",""pt""))"),"As funções podem incluir: Preservar e cuidar das faixas de domínio estabelecidas, removendo lixo e detritos. Pulverizar ou espalhar fertilizantes, herbicidas ou inseticidas em grama, arbustos ou árvores, usando equipamentos de pulverização manuais ou auto"&amp;"máticos. Usar ferramentas manuais, como pás, ancinhos, serras de poda e roçadeiras, para limpar a folhagem e outras atividades relacionadas à limpeza de vegetação em faixas de domínio de serviços públicos, conforme SOC/OES 37-3011 (onetonline.org). Horári"&amp;"o padrão/esperado: Segunda a sexta, das 7h às 17h. Oferecemos mais de 40 horas semanais, sem incluir almoço e/ou intervalos. Possibilidade de trabalho nos fins de semana e feriados. Os horários de início e término, a carga horária e/ou horas extras podem "&amp;"variar, pois dependem de outros fatores, como necessidades do projeto/cronograma/serviço, condições climáticas e tempo de deslocamento entre os locais de trabalho (se aplicável). Horas extras são possíveis, mas não obrigatórias nem garantidas. A critério "&amp;"exclusivo do empregador: possíveis aumentos e/ou bônus com base em fatores individuais, como desempenho no trabalho ou habilidades (não garantidos). Moradia compartilhada opcional disponível sem custo para o trabalhador. Classificação do Cargo: 37-3011.00"&amp;" - Trabalhadores de Paisagismo e Manutenção de Áreas Verdes. A classificação e descrição do cargo/setor incluem informações gerais sobre a posição, de acordo com o ONET/OES e o Sistema de Classificação Industrial da América do Norte. Consulte as Funções e"&amp;" a Ordem de Serviço para obter mais informações. Requisitos do Cargo Experiência Necessária: Sim Meses de Experiência Necessários: 2 Requisitos Especiais: É necessário ter 18 anos devido a viagens. É necessário apresentar comprovante de autorização legal "&amp;"para trabalhar nos Estados Unidos. Ambiente de trabalho livre de drogas, álcool e tabaco. Executar atividades físicas, como levantar, equilibrar-se, caminhar, abaixar-se, manusear, posicionar, mover e manipular materiais; usar força estática para exercer "&amp;"força muscular máxima para levantar, empurrar, puxar e carregar objetos de até 18 kg. Todos os candidatos devem ser capazes, estar dispostos e qualificados para executar o trabalho descrito e devem estar disponíveis durante todo o período especificado e t"&amp;"rabalhar em todas as áreas da função pretendida. O trabalho é realizado ao ar livre, exposto às intempéries; o candidato deve ser capaz de realizar trabalho fisicamente extenuante por longos períodos, ocasionalmente em calor ou frio extremos. As condições"&amp;" climáticas são variáveis; a carga horária pode sofrer alterações (+/-), podendo haver períodos de inatividade e/ou horas extras. Número de horas por semana: 40. Horário de trabalho (início/término): 7h às 17h.")</f>
        <v>As funções podem incluir: Preservar e cuidar das faixas de domínio estabelecidas, removendo lixo e detritos. Pulverizar ou espalhar fertilizantes, herbicidas ou inseticidas em grama, arbustos ou árvores, usando equipamentos de pulverização manuais ou automáticos. Usar ferramentas manuais, como pás, ancinhos, serras de poda e roçadeiras, para limpar a folhagem e outras atividades relacionadas à limpeza de vegetação em faixas de domínio de serviços públicos, conforme SOC/OES 37-3011 (onetonline.org). Horário padrão/esperado: Segunda a sexta, das 7h às 17h. Oferecemos mais de 40 horas semanais, sem incluir almoço e/ou intervalos. Possibilidade de trabalho nos fins de semana e feriados. Os horários de início e término, a carga horária e/ou horas extras podem variar, pois dependem de outros fatores, como necessidades do projeto/cronograma/serviço, condições climáticas e tempo de deslocamento entre os locais de trabalho (se aplicável). Horas extras são possíveis, mas não obrigatórias nem garantidas. A critério exclusivo do empregador: possíveis aumentos e/ou bônus com base em fatores individuais, como desempenho no trabalho ou habilidades (não garantidos). Moradia compartilhada opcional disponível sem custo para o trabalhador. Classificação do Cargo: 37-3011.00 - Trabalhadores de Paisagismo e Manutenção de Áreas Verdes. A classificação e descrição do cargo/setor incluem informações gerais sobre a posição, de acordo com o ONET/OES e o Sistema de Classificação Industrial da América do Norte. Consulte as Funções e a Ordem de Serviço para obter mais informações. Requisitos do Cargo Experiência Necessária: Sim Meses de Experiência Necessários: 2 Requisitos Especiais: É necessário ter 18 anos devido a viagens. É necessário apresentar comprovante de autorização legal para trabalhar nos Estados Unidos. Ambiente de trabalho livre de drogas, álcool e tabaco. Executar atividades físicas, como levantar, equilibrar-se, caminhar, abaixar-se, manusear, posicionar, mover e manipular materiais; usar força estática para exercer força muscular máxima para levantar, empurrar, puxar e carregar objetos de até 18 kg. Todos os candidatos devem ser capazes, estar dispostos e qualificados para executar o trabalho descrito e devem estar disponíveis durante todo o período especificado e trabalhar em todas as áreas da função pretendida. O trabalho é realizado ao ar livre, exposto às intempéries; o candidato deve ser capaz de realizar trabalho fisicamente extenuante por longos períodos, ocasionalmente em calor ou frio extremos. As condições climáticas são variáveis; a carga horária pode sofrer alterações (+/-), podendo haver períodos de inatividade e/ou horas extras. Número de horas por semana: 40. Horário de trabalho (início/término): 7h às 17h.</v>
      </c>
    </row>
    <row r="702" ht="20.25" customHeight="1">
      <c r="A702" s="3" t="s">
        <v>3330</v>
      </c>
      <c r="B702" s="3" t="s">
        <v>3331</v>
      </c>
      <c r="C702" s="3" t="s">
        <v>3202</v>
      </c>
      <c r="D702" s="3" t="s">
        <v>71</v>
      </c>
      <c r="E702" s="4" t="s">
        <v>19</v>
      </c>
      <c r="F702" s="4" t="s">
        <v>20</v>
      </c>
      <c r="G702" s="4" t="s">
        <v>524</v>
      </c>
      <c r="H702" s="3" t="s">
        <v>3332</v>
      </c>
      <c r="I702" s="3" t="s">
        <v>3333</v>
      </c>
      <c r="J702" s="4">
        <v>21.48</v>
      </c>
      <c r="K702" s="4">
        <v>16.0</v>
      </c>
      <c r="L702" s="3" t="s">
        <v>1206</v>
      </c>
      <c r="M702" s="3" t="s">
        <v>3334</v>
      </c>
      <c r="N702" s="7" t="str">
        <f>IFERROR(__xludf.DUMMYFUNCTION("GOOGLETRANSLATE(L702, ""en"", ""pt"")"),"Servidor")</f>
        <v>Servidor</v>
      </c>
      <c r="O702" s="7" t="str">
        <f>IFERROR(__xludf.DUMMYFUNCTION("IF(M702="""","""",GOOGLETRANSLATE(M702,""en"",""pt""))"),"*Resposta à Solicitação de Informações* As funções são desempenhadas em todos os locais de alimentação e bebidas do Clube, incluindo salas de jantar, pontos de venda de refeições informais, áreas externas de pátio/terraço, clube de praia e áreas da piscin"&amp;"a, áreas de bar/lounge, banquetes/eventos privados e estações de comida para viagem. O funcionário realiza a montagem/desmontagem das mesas; abastece as estações de serviço com bebidas, gelo, suprimentos de café, guarnições, utensílios e recipientes para "&amp;"viagem; organiza as estações de bebidas; auxilia na montagem/desmontagem de banquetes; recolhe pratos e lixo; limpa/higieniza mesas e áreas de serviço; varre e repõe suprimentos. Os equipamentos incluem bandejas, carrinhos, sistema de ponto de venda (PDV)"&amp;", dispensadores de bebidas, máquinas de refrigerante, máquinas de café/espresso, liquidificadores, máquinas de gelo, produtos de limpeza, roupas de mesa, porcelana, copos, talheres, utensílios de servir, coolers, recipientes de armazenamento, mesas, cadei"&amp;"ras, guarda-sóis e equipamentos de bar. O funcionário ocasionalmente opera equipamentos comerciais de espresso para preparar espresso, cappuccino, latte, café gelado e bebidas similares. O funcionário auxilia na organização de cadeiras de praia, guarda-só"&amp;"is, mesas, cadeiras, decorações, expositores e equipamentos para banquetes; abre, posiciona, fixa e fecha os guarda-sóis; e mantém as áreas externas para os hóspedes organizadas. Os equipamentos incluem móveis externos, materiais de exposição, equipamento"&amp;"s para eventos, produtos de limpeza e prateleiras de armazenamento. O funcionário abastece os refrigeradores de produtos para viagem com alimentos e bebidas e registra as compras no sistema de ponto de venda (PDV) nas unidades do Beach Club e do Bay Colon"&amp;"y Community Center. O funcionário auxilia os hóspedes prestando suporte no serviço de alimentos e bebidas; respondendo a perguntas sobre cardápios, comodidades e serviços do Clube; entregando alimentos, bebidas, toalhas e suprimentos; coordenando solicita"&amp;"ções com a equipe de serviço; e mantendo as áreas de serviço limpas. Os equipamentos incluem sistema de PDV, bandejas, carrinhos, utensílios de servir, equipamentos para bebidas, dispositivos de comunicação, cardápios, toalhas, suprimentos para hóspedes e"&amp;" materiais de limpeza. O funcionário auxilia na preparação final dos pratos, adicionando condimentos ou toques finais simples, organizando bandejas e verificando a precisão do pedido, a apresentação e a temperatura antes do serviço, utilizando bandejas de"&amp;" servir, utensílios, pinças, recipientes para guarnições e materiais de empratamento. Não realiza tarefas de cozinha. *Original* Receber, servir e entregar pedidos de comida e bebida; organizar e limpar todos os pontos de venda de comida e bebida e estaçõ"&amp;"es de serviço, incluindo áreas externas, bar e estações de bebidas; responder a perguntas sobre itens do cardápio e oferecer sugestões quando apropriado; inserir pedidos no sistema de ponto de venda (PDV); e montar a comida e as bebidas na bandeja. Prepar"&amp;"ar e servir bebidas alcoólicas e não alcoólicas de acordo com as políticas da empresa e as leis locais. Operar a máquina de café expresso e o liquidificador. Recomendar vinhos e servi-los aos sócios/convidados. Retirar a louça suja; lançar a conta na cont"&amp;"a do sócio; poderá ser necessário realizar tarefas em ambientes externos e em eventos de banquetes; e poderá ser necessário servir sócios/convidados utilizando o carrinho de golfe. Auxiliar na montagem e desmontagem de cadeiras de praia, guarda-sóis, mesa"&amp;"s, cadeiras, decorações, expositores e outros equipamentos. Realizar tarefas de limpeza leves, como remover detritos, recolher lixo, limpar e organizar móveis. Auxiliar na montagem e reposição de alimentos e bebidas para viagem. Auxiliar os hóspedes com s"&amp;"uas necessidades de serviço relacionadas ao Clube. Adquirir e manter conhecimento prático de todos os cardápios de comidas e bebidas, incluindo os pedidos para viagem. Garantir que os pedidos sejam preparados com a prioridade correta. Auxiliar na finaliza"&amp;"ção dos pratos quando necessário. Verificar os pratos antes da entrega, assegurando-se de precisão, apresentação e temperatura. Transmitir informações importantes entre a cozinha e os demais garçons. Dias/horários de trabalho previstos por semana: Todos o"&amp;"s funcionários trabalharão no mínimo 35 horas por semana. É necessário ter disponibilidade para trabalhar em todos os turnos, incluindo fins de semana, noites e feriados. Os dias e horários dos turnos variam de acordo com a demanda ou o evento agendado. O"&amp;"s turnos normais são das 9h às 16h; das 10h às 17h e das 16h às 22h. Classificação da vaga: 35-3011.00 - Bartenders. A classificação e descrição da vaga/setor incluem informações gerais sobre o cargo, de acordo com o ONET/OES e o Sistema de Classificação "&amp;"Industrial da América do Norte (NAICS). Consulte as Funções e a Ordem de Serviço para obter mais informações. Requisitos da vaga Experiência necessária: Sim Meses de experiência necessários: 6 Requisitos especiais: 6 meses de experiência como garçom/garço"&amp;"nete ou bartender em um ambiente de alta gastronomia ou com grande movimento, em um restaurante de luxo, hotel, resort ou clube privado, são obrigatórios. É necessário passar por exame toxicológico e verificação de antecedentes criminais antes da contrata"&amp;"ção, de acordo com a política de contratação da empresa. É necessário saber ler, escrever e se comunicar com clareza. Número de horas por semana: 49 Horário de trabalho (início/término): 9h às 16h")</f>
        <v>*Resposta à Solicitação de Informações* As funções são desempenhadas em todos os locais de alimentação e bebidas do Clube, incluindo salas de jantar, pontos de venda de refeições informais, áreas externas de pátio/terraço, clube de praia e áreas da piscina, áreas de bar/lounge, banquetes/eventos privados e estações de comida para viagem. O funcionário realiza a montagem/desmontagem das mesas; abastece as estações de serviço com bebidas, gelo, suprimentos de café, guarnições, utensílios e recipientes para viagem; organiza as estações de bebidas; auxilia na montagem/desmontagem de banquetes; recolhe pratos e lixo; limpa/higieniza mesas e áreas de serviço; varre e repõe suprimentos. Os equipamentos incluem bandejas, carrinhos, sistema de ponto de venda (PDV), dispensadores de bebidas, máquinas de refrigerante, máquinas de café/espresso, liquidificadores, máquinas de gelo, produtos de limpeza, roupas de mesa, porcelana, copos, talheres, utensílios de servir, coolers, recipientes de armazenamento, mesas, cadeiras, guarda-sóis e equipamentos de bar. O funcionário ocasionalmente opera equipamentos comerciais de espresso para preparar espresso, cappuccino, latte, café gelado e bebidas similares. O funcionário auxilia na organização de cadeiras de praia, guarda-sóis, mesas, cadeiras, decorações, expositores e equipamentos para banquetes; abre, posiciona, fixa e fecha os guarda-sóis; e mantém as áreas externas para os hóspedes organizadas. Os equipamentos incluem móveis externos, materiais de exposição, equipamentos para eventos, produtos de limpeza e prateleiras de armazenamento. O funcionário abastece os refrigeradores de produtos para viagem com alimentos e bebidas e registra as compras no sistema de ponto de venda (PDV) nas unidades do Beach Club e do Bay Colony Community Center. O funcionário auxilia os hóspedes prestando suporte no serviço de alimentos e bebidas; respondendo a perguntas sobre cardápios, comodidades e serviços do Clube; entregando alimentos, bebidas, toalhas e suprimentos; coordenando solicitações com a equipe de serviço; e mantendo as áreas de serviço limpas. Os equipamentos incluem sistema de PDV, bandejas, carrinhos, utensílios de servir, equipamentos para bebidas, dispositivos de comunicação, cardápios, toalhas, suprimentos para hóspedes e materiais de limpeza. O funcionário auxilia na preparação final dos pratos, adicionando condimentos ou toques finais simples, organizando bandejas e verificando a precisão do pedido, a apresentação e a temperatura antes do serviço, utilizando bandejas de servir, utensílios, pinças, recipientes para guarnições e materiais de empratamento. Não realiza tarefas de cozinha. *Original* Receber, servir e entregar pedidos de comida e bebida; organizar e limpar todos os pontos de venda de comida e bebida e estações de serviço, incluindo áreas externas, bar e estações de bebidas; responder a perguntas sobre itens do cardápio e oferecer sugestões quando apropriado; inserir pedidos no sistema de ponto de venda (PDV); e montar a comida e as bebidas na bandeja. Preparar e servir bebidas alcoólicas e não alcoólicas de acordo com as políticas da empresa e as leis locais. Operar a máquina de café expresso e o liquidificador. Recomendar vinhos e servi-los aos sócios/convidados. Retirar a louça suja; lançar a conta na conta do sócio; poderá ser necessário realizar tarefas em ambientes externos e em eventos de banquetes; e poderá ser necessário servir sócios/convidados utilizando o carrinho de golfe. Auxiliar na montagem e desmontagem de cadeiras de praia, guarda-sóis, mesas, cadeiras, decorações, expositores e outros equipamentos. Realizar tarefas de limpeza leves, como remover detritos, recolher lixo, limpar e organizar móveis. Auxiliar na montagem e reposição de alimentos e bebidas para viagem. Auxiliar os hóspedes com suas necessidades de serviço relacionadas ao Clube. Adquirir e manter conhecimento prático de todos os cardápios de comidas e bebidas, incluindo os pedidos para viagem. Garantir que os pedidos sejam preparados com a prioridade correta. Auxiliar na finalização dos pratos quando necessário. Verificar os pratos antes da entrega, assegurando-se de precisão, apresentação e temperatura. Transmitir informações importantes entre a cozinha e os demais garçons. Dias/horários de trabalho previstos por semana: Todos os funcionários trabalharão no mínimo 35 horas por semana. É necessário ter disponibilidade para trabalhar em todos os turnos, incluindo fins de semana, noites e feriados. Os dias e horários dos turnos variam de acordo com a demanda ou o evento agendado. Os turnos normais são das 9h às 16h; das 10h às 17h e das 16h às 22h. Classificação da vaga: 35-3011.00 - Bartenders. A classificação e descrição da vaga/setor incluem informações gerais sobre o cargo, de acordo com o ONET/OES e o Sistema de Classificação Industrial da América do Norte (NAICS). Consulte as Funções e a Ordem de Serviço para obter mais informações. Requisitos da vaga Experiência necessária: Sim Meses de experiência necessários: 6 Requisitos especiais: 6 meses de experiência como garçom/garçonete ou bartender em um ambiente de alta gastronomia ou com grande movimento, em um restaurante de luxo, hotel, resort ou clube privado, são obrigatórios. É necessário passar por exame toxicológico e verificação de antecedentes criminais antes da contratação, de acordo com a política de contratação da empresa. É necessário saber ler, escrever e se comunicar com clareza. Número de horas por semana: 49 Horário de trabalho (início/término): 9h às 16h</v>
      </c>
    </row>
    <row r="703" ht="20.25" customHeight="1">
      <c r="A703" s="8" t="s">
        <v>3335</v>
      </c>
      <c r="B703" s="8" t="s">
        <v>3331</v>
      </c>
      <c r="C703" s="8" t="s">
        <v>3202</v>
      </c>
      <c r="D703" s="8" t="s">
        <v>71</v>
      </c>
      <c r="E703" s="9" t="s">
        <v>19</v>
      </c>
      <c r="F703" s="9" t="s">
        <v>20</v>
      </c>
      <c r="G703" s="9" t="s">
        <v>524</v>
      </c>
      <c r="H703" s="8" t="s">
        <v>3332</v>
      </c>
      <c r="I703" s="8" t="s">
        <v>3333</v>
      </c>
      <c r="J703" s="9">
        <v>19.88</v>
      </c>
      <c r="K703" s="9">
        <v>14.0</v>
      </c>
      <c r="L703" s="8" t="s">
        <v>586</v>
      </c>
      <c r="M703" s="8" t="s">
        <v>3336</v>
      </c>
      <c r="N703" s="7" t="str">
        <f>IFERROR(__xludf.DUMMYFUNCTION("GOOGLETRANSLATE(L703, ""en"", ""pt"")"),"Cozinheiro de linha")</f>
        <v>Cozinheiro de linha</v>
      </c>
      <c r="O703" s="7" t="str">
        <f>IFERROR(__xludf.DUMMYFUNCTION("IF(M703="""","""",GOOGLETRANSLATE(M703,""en"",""pt""))"),"Prepara, tempera e cozinha sopas, carnes, legumes, sobremesas e outros itens alimentícios diversos para consumo. Prepara os alimentos de acordo com as receitas e padrões do clube. Opera todos os equipamentos de cozinha. Notifica os supervisores sobre even"&amp;"tuais faltas inesperadas. Utiliza consistentemente práticas seguras e higiênicas de manipulação de alimentos. Garante que as estações de trabalho, a cozinha e os equipamentos estejam limpos, organizados e higienizados, seguindo os procedimentos adequados."&amp;" Armazena os suprimentos e ingredientes alimentícios seguindo a rotação, a etiquetagem e as normas de segurança alimentar. Garante que os pedidos sejam preparados com a prioridade correta. Agiliza o preparo dos alimentos, garantindo que a temperatura este"&amp;"ja dentro dos padrões de segurança alimentar e decorando os pratos de acordo com os padrões do clube e das receitas. Monta os pratos em bandejas e auxilia na entrega dos itens solicitados. Obtém e mantém conhecimento de todos os cardápios, incluindo os de"&amp;" comida para viagem. Pode ser necessário realizar tarefas em ambientes externos e em eventos de banquetes. Auxilia nas tarefas de limpeza, incluindo a montagem e desmontagem da linha de produção da cozinha, a limpeza da cozinha e a lavagem de pratos, pane"&amp;"las e outros itens, conforme necessário para que a cozinha funcione de forma eficiente e sem problemas. Organiza alimentos e itens de despensa, desmonta caixas e descarta o que for necessário. Mantém comunicação com a equipe de garçons. Zela pela seguranç"&amp;"a na área de trabalho. Auxilia na montagem e desmontagem de estações de comida, mesas de buffet e decorações temáticas. Dias e horários de trabalho previstos por semana: Todos os funcionários trabalharão no mínimo 35 horas por semana. É necessário ter dis"&amp;"ponibilidade para trabalhar em todos os turnos, incluindo fins de semana, noites e feriados. Os dias e horários dos turnos variam de acordo com a demanda ou o evento agendado. Os horários normais de turno são: das 9h às 16h; das 10h às 17h e das 16h às 22"&amp;"h. Horas extras: Somente quando necessário. VEJA O DOCUMENTO ANEXO PARA OBTER UMA CÓPIA COMPLETA DA OFERTA DE EMPREGO - Observação para o Oficial Certificador: Em anexo, encontra-se uma cópia completa da oferta de emprego. Caso seja necessário adicionar a"&amp;"lguma informação desta oferta de emprego ao formulário ETA-9142, concedemos permissão para que você adicione as informações listadas neste anexo. Classificação da vaga: 35-2014.00 - Cozinheiros(as), Restaurante. A classificação e descrição da vaga/setor i"&amp;"nclui informações gerais sobre o cargo, de acordo com o ONET/OES e o Sistema de Classificação Industrial da América do Norte (NAICS). Consulte as Funções e a Ordem de Serviço para obter mais informações. Requisitos da vaga: Experiência necessária: Sim. Me"&amp;"ses de experiência necessários: 6. Requisitos especiais: É necessário ter 6 meses de experiência como cozinheiro(a) de linha ou cozinheiro(a) em um ambiente de alta gastronomia ou de grande movimento, em um restaurante de alto padrão, hotel, resort ou clu"&amp;"be privado. É necessário passar por exame toxicológico e verificação de antecedentes criminais antes da contratação, de acordo com a política de contratação da empresa. É necessário saber ler, escrever e se comunicar com eficácia. Número de horas por sema"&amp;"na: 49. Horário de trabalho (início/término): 9h às 16h.")</f>
        <v>Prepara, tempera e cozinha sopas, carnes, legumes, sobremesas e outros itens alimentícios diversos para consumo. Prepara os alimentos de acordo com as receitas e padrões do clube. Opera todos os equipamentos de cozinha. Notifica os supervisores sobre eventuais faltas inesperadas. Utiliza consistentemente práticas seguras e higiênicas de manipulação de alimentos. Garante que as estações de trabalho, a cozinha e os equipamentos estejam limpos, organizados e higienizados, seguindo os procedimentos adequados. Armazena os suprimentos e ingredientes alimentícios seguindo a rotação, a etiquetagem e as normas de segurança alimentar. Garante que os pedidos sejam preparados com a prioridade correta. Agiliza o preparo dos alimentos, garantindo que a temperatura esteja dentro dos padrões de segurança alimentar e decorando os pratos de acordo com os padrões do clube e das receitas. Monta os pratos em bandejas e auxilia na entrega dos itens solicitados. Obtém e mantém conhecimento de todos os cardápios, incluindo os de comida para viagem. Pode ser necessário realizar tarefas em ambientes externos e em eventos de banquetes. Auxilia nas tarefas de limpeza, incluindo a montagem e desmontagem da linha de produção da cozinha, a limpeza da cozinha e a lavagem de pratos, panelas e outros itens, conforme necessário para que a cozinha funcione de forma eficiente e sem problemas. Organiza alimentos e itens de despensa, desmonta caixas e descarta o que for necessário. Mantém comunicação com a equipe de garçons. Zela pela segurança na área de trabalho. Auxilia na montagem e desmontagem de estações de comida, mesas de buffet e decorações temáticas. Dias e horários de trabalho previstos por semana: Todos os funcionários trabalharão no mínimo 35 horas por semana. É necessário ter disponibilidade para trabalhar em todos os turnos, incluindo fins de semana, noites e feriados. Os dias e horários dos turnos variam de acordo com a demanda ou o evento agendado. Os horários normais de turno são: das 9h às 16h; das 10h às 17h e das 16h às 22h. Horas extras: Somente quando necessário. VEJA O DOCUMENTO ANEXO PARA OBTER UMA CÓPIA COMPLETA DA OFERTA DE EMPREGO - Observação para o Oficial Certificador: Em anexo, encontra-se uma cópia completa da oferta de emprego. Caso seja necessário adicionar alguma informação desta oferta de emprego ao formulário ETA-9142, concedemos permissão para que você adicione as informações listadas neste anexo. Classificação da vaga: 35-2014.00 - Cozinheiros(as), Restaurante. A classificação e descrição da vaga/setor inclui informações gerais sobre o cargo, de acordo com o ONET/OES e o Sistema de Classificação Industrial da América do Norte (NAICS). Consulte as Funções e a Ordem de Serviço para obter mais informações. Requisitos da vaga: Experiência necessária: Sim. Meses de experiência necessários: 6. Requisitos especiais: É necessário ter 6 meses de experiência como cozinheiro(a) de linha ou cozinheiro(a) em um ambiente de alta gastronomia ou de grande movimento, em um restaurante de alto padrão, hotel, resort ou clube privado. É necessário passar por exame toxicológico e verificação de antecedentes criminais antes da contratação, de acordo com a política de contratação da empresa. É necessário saber ler, escrever e se comunicar com eficácia. Número de horas por semana: 49. Horário de trabalho (início/término): 9h às 16h.</v>
      </c>
    </row>
    <row r="704" ht="20.25" customHeight="1">
      <c r="A704" s="3" t="s">
        <v>3337</v>
      </c>
      <c r="B704" s="3" t="s">
        <v>3338</v>
      </c>
      <c r="C704" s="3" t="s">
        <v>3202</v>
      </c>
      <c r="D704" s="3" t="s">
        <v>71</v>
      </c>
      <c r="E704" s="4" t="s">
        <v>19</v>
      </c>
      <c r="F704" s="4" t="s">
        <v>20</v>
      </c>
      <c r="G704" s="4" t="s">
        <v>3339</v>
      </c>
      <c r="H704" s="3" t="s">
        <v>3340</v>
      </c>
      <c r="I704" s="3" t="s">
        <v>3341</v>
      </c>
      <c r="J704" s="4">
        <v>20.41</v>
      </c>
      <c r="K704" s="4">
        <v>12.0</v>
      </c>
      <c r="L704" s="3" t="s">
        <v>3342</v>
      </c>
      <c r="M704" s="3" t="s">
        <v>3343</v>
      </c>
      <c r="N704" s="7" t="str">
        <f>IFERROR(__xludf.DUMMYFUNCTION("GOOGLETRANSLATE(L704, ""en"", ""pt"")"),"Representante de Atendimento ao Cliente")</f>
        <v>Representante de Atendimento ao Cliente</v>
      </c>
      <c r="O704" s="7" t="str">
        <f>IFERROR(__xludf.DUMMYFUNCTION("IF(M704="""","""",GOOGLETRANSLATE(M704,""en"",""pt""))"),"Realiza contato com clientes para confirmar a venda de serviços e eventos de golfe. Cadastra clientes nos pacotes de golfe apropriados, além de anunciar eventos e promoções futuras. Interage com os clientes para fornecer informações básicas ou padronizada"&amp;"s em resposta a perguntas rotineiras sobre produtos e serviços. Pode lidar com reclamações gerais e resolvê-las. As funções incluem: entrar em contato com clientes por telefone ou pessoalmente para fornecer informações sobre produtos ou serviços, receber "&amp;"ou inserir pedidos, cancelar contas ou obter detalhes de reclamações. Manter registros das interações ou transações com os clientes, registrando detalhes de consultas, reclamações ou comentários, bem como as ações tomadas. Verificar se as alterações aprop"&amp;"riadas foram feitas para resolver os problemas dos clientes. Contatar os clientes para responder a perguntas ou notificá-los sobre os resultados da investigação de reclamações ou quaisquer ajustes planejados. Processar pagamentos quando aplicável. Preench"&amp;"er formulários de contrato, preparar registros de mudança de endereço ou emitir ordens de descontinuação de serviço, utilizando computadores. Encaminhar reclamações não resolvidas de clientes para os departamentos designados para investigação adicional. R"&amp;"esolver reclamações de clientes sobre serviços ou faturamento, realizando atividades como troca de mercadorias, reembolso ou ajuste de contas. Oferecer a venda de novos serviços ou produtos adicionais. Dias e horários de trabalho previstos por semana e es"&amp;"cala: 35 horas semanais (no mínimo). O horário de funcionamento é das 6h às 19h (incluindo fins de semana e feriados). Os horários dos turnos variam de acordo com a demanda semanal de trabalho. Os turnos são: semana de trabalho de 5 dias: 6h às 13h30; 7h "&amp;"às 14h30; 10h às 17h30; e 11h30 às 19h. Semana de trabalho de 4 dias: 9h45 às 19h; e 6h30 às 15h45. Horas extras: somente quando necessário. VEJA O DOCUMENTO ANEXO PARA OBTER UMA CÓPIA COMPLETA DA OFERTA DE EMPREGO - Observação para o Oficial Certificador"&amp;": Em anexo, encontra-se uma cópia completa da oferta de emprego. Caso seja necessário adicionar alguma informação desta oferta de emprego ao formulário ETA-9142, concedemos permissão para que você adicione as informações listadas neste anexo. Classificaçã"&amp;"o da vaga: 43-4051.00 - Representantes de Atendimento ao Cliente. A classificação e descrição da vaga/setor incluem informações gerais sobre o cargo, de acordo com o ONET/OES e o Sistema de Classificação Industrial da América do Norte (NAICS). Consulte as"&amp;" Atribuições e a Ordem de Serviço para obter mais informações. Requisitos da vaga: Experiência exigida: Não. Requisitos especiais: Não é necessária experiência. Ensino médio completo. Fluência em francês (oral e escrita). Número de horas semanais: 52. Hor"&amp;"ário de trabalho (início/término): 6h às 13h30.")</f>
        <v>Realiza contato com clientes para confirmar a venda de serviços e eventos de golfe. Cadastra clientes nos pacotes de golfe apropriados, além de anunciar eventos e promoções futuras. Interage com os clientes para fornecer informações básicas ou padronizadas em resposta a perguntas rotineiras sobre produtos e serviços. Pode lidar com reclamações gerais e resolvê-las. As funções incluem: entrar em contato com clientes por telefone ou pessoalmente para fornecer informações sobre produtos ou serviços, receber ou inserir pedidos, cancelar contas ou obter detalhes de reclamações. Manter registros das interações ou transações com os clientes, registrando detalhes de consultas, reclamações ou comentários, bem como as ações tomadas. Verificar se as alterações apropriadas foram feitas para resolver os problemas dos clientes. Contatar os clientes para responder a perguntas ou notificá-los sobre os resultados da investigação de reclamações ou quaisquer ajustes planejados. Processar pagamentos quando aplicável. Preencher formulários de contrato, preparar registros de mudança de endereço ou emitir ordens de descontinuação de serviço, utilizando computadores. Encaminhar reclamações não resolvidas de clientes para os departamentos designados para investigação adicional. Resolver reclamações de clientes sobre serviços ou faturamento, realizando atividades como troca de mercadorias, reembolso ou ajuste de contas. Oferecer a venda de novos serviços ou produtos adicionais. Dias e horários de trabalho previstos por semana e escala: 35 horas semanais (no mínimo). O horário de funcionamento é das 6h às 19h (incluindo fins de semana e feriados). Os horários dos turnos variam de acordo com a demanda semanal de trabalho. Os turnos são: semana de trabalho de 5 dias: 6h às 13h30; 7h às 14h30; 10h às 17h30; e 11h30 às 19h. Semana de trabalho de 4 dias: 9h45 às 19h; e 6h30 às 15h45. Horas extras: somente quando necessário. VEJA O DOCUMENTO ANEXO PARA OBTER UMA CÓPIA COMPLETA DA OFERTA DE EMPREGO - Observação para o Oficial Certificador: Em anexo, encontra-se uma cópia completa da oferta de emprego. Caso seja necessário adicionar alguma informação desta oferta de emprego ao formulário ETA-9142, concedemos permissão para que você adicione as informações listadas neste anexo. Classificação da vaga: 43-4051.00 - Representantes de Atendimento ao Cliente. A classificação e descrição da vaga/setor incluem informações gerais sobre o cargo, de acordo com o ONET/OES e o Sistema de Classificação Industrial da América do Norte (NAICS). Consulte as Atribuições e a Ordem de Serviço para obter mais informações. Requisitos da vaga: Experiência exigida: Não. Requisitos especiais: Não é necessária experiência. Ensino médio completo. Fluência em francês (oral e escrita). Número de horas semanais: 52. Horário de trabalho (início/término): 6h às 13h30.</v>
      </c>
    </row>
    <row r="705" ht="20.25" customHeight="1">
      <c r="A705" s="8" t="s">
        <v>3344</v>
      </c>
      <c r="B705" s="8" t="s">
        <v>3345</v>
      </c>
      <c r="C705" s="8" t="s">
        <v>1713</v>
      </c>
      <c r="D705" s="8" t="s">
        <v>79</v>
      </c>
      <c r="E705" s="9" t="s">
        <v>19</v>
      </c>
      <c r="F705" s="9" t="s">
        <v>20</v>
      </c>
      <c r="G705" s="9" t="s">
        <v>1280</v>
      </c>
      <c r="H705" s="8" t="s">
        <v>3346</v>
      </c>
      <c r="I705" s="8" t="s">
        <v>3347</v>
      </c>
      <c r="J705" s="9">
        <v>17.68</v>
      </c>
      <c r="K705" s="9">
        <v>30.0</v>
      </c>
      <c r="L705" s="8" t="s">
        <v>83</v>
      </c>
      <c r="M705" s="8" t="s">
        <v>3348</v>
      </c>
      <c r="N705" s="7" t="str">
        <f>IFERROR(__xludf.DUMMYFUNCTION("GOOGLETRANSLATE(L705, ""en"", ""pt"")"),"Trabalhador Florestal")</f>
        <v>Trabalhador Florestal</v>
      </c>
      <c r="O705" s="7" t="str">
        <f>IFERROR(__xludf.DUMMYFUNCTION("IF(M705="""","""",GOOGLETRANSLATE(M705,""en"",""pt""))"),"As funções podem incluir: sob supervisão, cultivar e transportar mudas; selecionar mudas de árvores, descartando as mudas abaixo do padrão, de acordo com tabelas padrão ou instruções verbais. Plantar mudas/árvores. Pulverizar ou injetar inseticidas na veg"&amp;"etação para matar insetos ou protegê-la contra doenças, ou herbicidas para reduzir a competição com outras plantas e estimular o crescimento. Podar árvores ou outras vegetações; cortar árvores ou toras. Limpar/descartar e empilhar arbustos. Possibilidade "&amp;"de dirigir ocasionalmente e outras atividades relacionadas a Trabalhador Florestal, conforme SOC/OES 45-4011 (onetonline.org). Horário padrão/esperado: segunda a sexta, das 6h às 14h. Oferecemos mais de 40 horas semanais, sem incluir almoço e/ou intervalo"&amp;"s. Possibilidade de trabalho em fins de semana e feriados. Os horários de início e término, a carga horária e/ou horas extras podem variar, pois dependem de fatores como projeto/cronograma/necessidades do serviço, condições climáticas e tempo de deslocame"&amp;"nto entre os locais de trabalho (se aplicável). Horas extras são possíveis, mas não obrigatórias ou garantidas. A critério exclusivo do empregador: possíveis aumentos e/ou bônus com base em fatores individuais, como desempenho no trabalho ou habilidades ("&amp;"não garantidos). Moradia compartilhada opcional disponível sem custo para o trabalhador. Classificação do Cargo: 45-4011.00 - Trabalhadores Florestais e de Conservação. A classificação e descrição do cargo/setor incluem informações gerais sobre a posição,"&amp;" de acordo com o ONET/OES e o Sistema de Classificação Industrial da América do Norte. Consulte as Funções e a Ordem de Serviço para obter mais informações. Requisitos do Cargo Experiência Necessária: Sim Meses de Experiência Necessários: 2 Requisitos Esp"&amp;"eciais: É necessário ter 18 anos devido a viagens. É necessário apresentar comprovante de autorização legal para trabalhar nos Estados Unidos. Ambiente de trabalho livre de drogas, álcool e tabaco. É necessário caminhar bastante (até 24 km/dia), além de s"&amp;"e abaixar e se curvar carregando uma mochila (até 18 kg) em terrenos acidentados (fora de trilhas). Todos os candidatos devem ser capazes, dispostos e qualificados para executar o trabalho descrito e devem estar disponíveis durante todo o período especifi"&amp;"cado e trabalhar em todas as áreas de atuação pretendidas. O trabalho é realizado ao ar livre, exposto às intempéries. O candidato deve ser capaz de realizar trabalhos fisicamente extenuantes por longos períodos, ocasionalmente em condições de calor ou fr"&amp;"io extremos. As condições climáticas são variáveis; a carga horária pode sofrer alterações, com possibilidade de períodos de inatividade e/ou horas extras. Número de horas por semana: 40. Horário de trabalho (início/término): 6h às 14h.")</f>
        <v>As funções podem incluir: sob supervisão, cultivar e transportar mudas; selecionar mudas de árvores, descartando as mudas abaixo do padrão, de acordo com tabelas padrão ou instruções verbais. Plantar mudas/árvores. Pulverizar ou injetar inseticidas na vegetação para matar insetos ou protegê-la contra doenças, ou herbicidas para reduzir a competição com outras plantas e estimular o crescimento. Podar árvores ou outras vegetações; cortar árvores ou toras. Limpar/descartar e empilhar arbustos. Possibilidade de dirigir ocasionalmente e outras atividades relacionadas a Trabalhador Florestal, conforme SOC/OES 45-4011 (onetonline.org). Horário padrão/esperado: segunda a sexta, das 6h às 14h. Oferecemos mais de 40 horas semanais, sem incluir almoço e/ou intervalos. Possibilidade de trabalho em fins de semana e feriados. Os horários de início e término, a carga horária e/ou horas extras podem variar, pois dependem de fatores como projeto/cronograma/necessidades do serviço, condições climáticas e tempo de deslocamento entre os locais de trabalho (se aplicável). Horas extras são possíveis, mas não obrigatórias ou garantidas. A critério exclusivo do empregador: possíveis aumentos e/ou bônus com base em fatores individuais, como desempenho no trabalho ou habilidades (não garantidos). Moradia compartilhada opcional disponível sem custo para o trabalhador. Classificação do Cargo: 45-4011.00 - Trabalhadores Florestais e de Conservação. A classificação e descrição do cargo/setor incluem informações gerais sobre a posição, de acordo com o ONET/OES e o Sistema de Classificação Industrial da América do Norte. Consulte as Funções e a Ordem de Serviço para obter mais informações. Requisitos do Cargo Experiência Necessária: Sim Meses de Experiência Necessários: 2 Requisitos Especiais: É necessário ter 18 anos devido a viagens. É necessário apresentar comprovante de autorização legal para trabalhar nos Estados Unidos. Ambiente de trabalho livre de drogas, álcool e tabaco. É necessário caminhar bastante (até 24 km/dia), além de se abaixar e se curvar carregando uma mochila (até 18 kg) em terrenos acidentados (fora de trilhas). Todos os candidatos devem ser capazes, dispostos e qualificados para executar o trabalho descrito e devem estar disponíveis durante todo o período especificado e trabalhar em todas as áreas de atuação pretendidas. O trabalho é realizado ao ar livre, exposto às intempéries. O candidato deve ser capaz de realizar trabalhos fisicamente extenuantes por longos períodos, ocasionalmente em condições de calor ou frio extremos. As condições climáticas são variáveis; a carga horária pode sofrer alterações, com possibilidade de períodos de inatividade e/ou horas extras. Número de horas por semana: 40. Horário de trabalho (início/término): 6h às 14h.</v>
      </c>
    </row>
    <row r="706" ht="20.25" customHeight="1">
      <c r="A706" s="3" t="s">
        <v>3349</v>
      </c>
      <c r="B706" s="3" t="s">
        <v>2390</v>
      </c>
      <c r="C706" s="3" t="s">
        <v>2391</v>
      </c>
      <c r="D706" s="3" t="s">
        <v>71</v>
      </c>
      <c r="E706" s="4" t="s">
        <v>44</v>
      </c>
      <c r="F706" s="4" t="s">
        <v>20</v>
      </c>
      <c r="G706" s="4" t="s">
        <v>1829</v>
      </c>
      <c r="H706" s="3" t="s">
        <v>2392</v>
      </c>
      <c r="I706" s="3" t="s">
        <v>2393</v>
      </c>
      <c r="J706" s="4">
        <v>22.99</v>
      </c>
      <c r="K706" s="4">
        <v>7.0</v>
      </c>
      <c r="L706" s="3" t="s">
        <v>2394</v>
      </c>
      <c r="M706" s="3" t="s">
        <v>3350</v>
      </c>
      <c r="N706" s="7" t="str">
        <f>IFERROR(__xludf.DUMMYFUNCTION("GOOGLETRANSLATE(L706, ""en"", ""pt"")"),"Trabalhador de Iluminação Natalina")</f>
        <v>Trabalhador de Iluminação Natalina</v>
      </c>
      <c r="O706" s="7" t="str">
        <f>IFERROR(__xludf.DUMMYFUNCTION("IF(M706="""","""",GOOGLETRANSLATE(M706,""en"",""pt""))"),"A vaga oferecida é para um auxiliar de iluminação natalina experiente, com no mínimo três meses de experiência na área. As responsabilidades incluem organizar e preparar o estoque de materiais de decoração natalina, instalar e/ou remover materiais dos loc"&amp;"ais de trabalho, carregar e descarregar materiais e prepará-los para armazenamento. É necessário ter capacidade para carregar e descarregar materiais e equipamentos que podem pesar até 23 kg. As exigências físicas descritas aqui são representativas daquel"&amp;"as que um empregador deve atender para desempenhar com sucesso as funções essenciais deste cargo. Classificação do Cargo: 49-9099.00 - Trabalhadores de Instalação, Manutenção e Reparo, Outros. A classificação e descrição do cargo/setor incluem informações"&amp;" gerais sobre a posição, de acordo com o ONET/OES e o Sistema de Classificação Industrial da América do Norte (NAICS). Consulte as Funções e a Ordem de Serviço para obter mais informações. Requisitos do Cargo Experiência Necessária: Sim Meses de Experiênc"&amp;"ia Necessários: 3 Requisitos Especiais: 3 meses de experiência prévia. Capacidade de levantar até 23 kg. Horas extras conforme necessário. Os turnos são das 8h às 17h e das 21h às 6h, de domingo a sábado. Os turnos serão atribuídos com base nas demandas d"&amp;"o projeto. Gostaríamos de esclarecer as informações do item F.a.5. Durante a semana de trabalho, que vai de domingo a sábado, os funcionários têm uma jornada de 40 horas semanais. O item F.a.5 não permite inserir essa jornada de trabalho. Se inserirmos 8 "&amp;"horas por dia, o sistema mostrará 56 horas semanais, o que não reflete com precisão a jornada de trabalho real. Número de horas por semana: 40. Horário de trabalho (início/término): 8h às 17h.")</f>
        <v>A vaga oferecida é para um auxiliar de iluminação natalina experiente, com no mínimo três meses de experiência na área. As responsabilidades incluem organizar e preparar o estoque de materiais de decoração natalina, instalar e/ou remover materiais dos locais de trabalho, carregar e descarregar materiais e prepará-los para armazenamento. É necessário ter capacidade para carregar e descarregar materiais e equipamentos que podem pesar até 23 kg. As exigências físicas descritas aqui são representativas daquelas que um empregador deve atender para desempenhar com sucesso as funções essenciais deste cargo. Classificação do Cargo: 49-9099.00 - Trabalhadores de Instalação, Manutenção e Reparo, Outros. A classificação e descrição do cargo/setor incluem informações gerais sobre a posição, de acordo com o ONET/OES e o Sistema de Classificação Industrial da América do Norte (NAICS). Consulte as Funções e a Ordem de Serviço para obter mais informações. Requisitos do Cargo Experiência Necessária: Sim Meses de Experiência Necessários: 3 Requisitos Especiais: 3 meses de experiência prévia. Capacidade de levantar até 23 kg. Horas extras conforme necessário. Os turnos são das 8h às 17h e das 21h às 6h, de domingo a sábado. Os turnos serão atribuídos com base nas demandas do projeto. Gostaríamos de esclarecer as informações do item F.a.5. Durante a semana de trabalho, que vai de domingo a sábado, os funcionários têm uma jornada de 40 horas semanais. O item F.a.5 não permite inserir essa jornada de trabalho. Se inserirmos 8 horas por dia, o sistema mostrará 56 horas semanais, o que não reflete com precisão a jornada de trabalho real. Número de horas por semana: 40. Horário de trabalho (início/término): 8h às 17h.</v>
      </c>
    </row>
    <row r="707" ht="20.25" customHeight="1">
      <c r="A707" s="8" t="s">
        <v>3351</v>
      </c>
      <c r="B707" s="8" t="s">
        <v>2390</v>
      </c>
      <c r="C707" s="8" t="s">
        <v>2391</v>
      </c>
      <c r="D707" s="8" t="s">
        <v>64</v>
      </c>
      <c r="E707" s="9" t="s">
        <v>44</v>
      </c>
      <c r="F707" s="9" t="s">
        <v>20</v>
      </c>
      <c r="G707" s="9" t="s">
        <v>1829</v>
      </c>
      <c r="H707" s="8" t="s">
        <v>2392</v>
      </c>
      <c r="I707" s="8" t="s">
        <v>2393</v>
      </c>
      <c r="J707" s="9">
        <v>22.3</v>
      </c>
      <c r="K707" s="9">
        <v>56.0</v>
      </c>
      <c r="L707" s="8" t="s">
        <v>2394</v>
      </c>
      <c r="M707" s="8" t="s">
        <v>2783</v>
      </c>
      <c r="N707" s="7" t="str">
        <f>IFERROR(__xludf.DUMMYFUNCTION("GOOGLETRANSLATE(L707, ""en"", ""pt"")"),"Trabalhador de Iluminação Natalina")</f>
        <v>Trabalhador de Iluminação Natalina</v>
      </c>
      <c r="O707" s="7" t="str">
        <f>IFERROR(__xludf.DUMMYFUNCTION("IF(M707="""","""",GOOGLETRANSLATE(M707,""en"",""pt""))"),"A vaga oferecida é para um auxiliar de iluminação natalina experiente, com no mínimo três meses de experiência na área. As responsabilidades incluem organizar e preparar o estoque de materiais de decoração natalina, instalar e/ou remover materiais dos loc"&amp;"ais de trabalho, carregar e descarregar materiais e prepará-los para armazenamento. É necessário ter capacidade para carregar e descarregar materiais e equipamentos que podem pesar até 23 kg. As exigências físicas descritas aqui são representativas daquel"&amp;"as que um empregador deve atender para desempenhar com sucesso as funções essenciais deste cargo. Classificação do Cargo: 49-9099.00 - Trabalhadores de Instalação, Manutenção e Reparo, Outros. A classificação e descrição do cargo/setor incluem informações"&amp;" gerais sobre a posição, de acordo com o ONET/OES e o Sistema de Classificação Industrial da América do Norte (NAICS). Consulte as Funções e a Ordem de Serviço para obter mais informações. Requisitos do Cargo Experiência Necessária: Sim Meses de Experiênc"&amp;"ia Necessários: 3 Requisitos Especiais: 3 meses de experiência prévia. Capacidade de levantar até 23 kg. Horas extras conforme necessário. Os turnos são das 8h às 17h e das 21h às 6h, de domingo a sábado. Os turnos serão atribuídos com base nas demandas d"&amp;"o projeto. Gostaríamos de esclarecer as informações do item F.a.5. Durante a semana de trabalho, que vai de domingo a sábado, os funcionários têm uma jornada de 40 horas semanais. O item F.a.5 não permite inserir essa jornada de trabalho. Se inserirmos 8 "&amp;"horas por dia, o sistema mostrará 56 horas semanais, o que não reflete com precisão a jornada de trabalho real. Número de horas por semana: 40. Horário de trabalho (início/término): 8h às 17h.")</f>
        <v>A vaga oferecida é para um auxiliar de iluminação natalina experiente, com no mínimo três meses de experiência na área. As responsabilidades incluem organizar e preparar o estoque de materiais de decoração natalina, instalar e/ou remover materiais dos locais de trabalho, carregar e descarregar materiais e prepará-los para armazenamento. É necessário ter capacidade para carregar e descarregar materiais e equipamentos que podem pesar até 23 kg. As exigências físicas descritas aqui são representativas daquelas que um empregador deve atender para desempenhar com sucesso as funções essenciais deste cargo. Classificação do Cargo: 49-9099.00 - Trabalhadores de Instalação, Manutenção e Reparo, Outros. A classificação e descrição do cargo/setor incluem informações gerais sobre a posição, de acordo com o ONET/OES e o Sistema de Classificação Industrial da América do Norte (NAICS). Consulte as Funções e a Ordem de Serviço para obter mais informações. Requisitos do Cargo Experiência Necessária: Sim Meses de Experiência Necessários: 3 Requisitos Especiais: 3 meses de experiência prévia. Capacidade de levantar até 23 kg. Horas extras conforme necessário. Os turnos são das 8h às 17h e das 21h às 6h, de domingo a sábado. Os turnos serão atribuídos com base nas demandas do projeto. Gostaríamos de esclarecer as informações do item F.a.5. Durante a semana de trabalho, que vai de domingo a sábado, os funcionários têm uma jornada de 40 horas semanais. O item F.a.5 não permite inserir essa jornada de trabalho. Se inserirmos 8 horas por dia, o sistema mostrará 56 horas semanais, o que não reflete com precisão a jornada de trabalho real. Número de horas por semana: 40. Horário de trabalho (início/término): 8h às 17h.</v>
      </c>
    </row>
    <row r="708" ht="20.25" customHeight="1">
      <c r="A708" s="3" t="s">
        <v>3352</v>
      </c>
      <c r="B708" s="3" t="s">
        <v>3353</v>
      </c>
      <c r="C708" s="3" t="s">
        <v>3202</v>
      </c>
      <c r="D708" s="3" t="s">
        <v>71</v>
      </c>
      <c r="E708" s="4" t="s">
        <v>19</v>
      </c>
      <c r="F708" s="4" t="s">
        <v>20</v>
      </c>
      <c r="G708" s="4" t="s">
        <v>524</v>
      </c>
      <c r="H708" s="3" t="s">
        <v>3354</v>
      </c>
      <c r="I708" s="3" t="s">
        <v>3355</v>
      </c>
      <c r="J708" s="4">
        <v>24.97</v>
      </c>
      <c r="K708" s="4">
        <v>8.0</v>
      </c>
      <c r="L708" s="3" t="s">
        <v>3356</v>
      </c>
      <c r="M708" s="3" t="s">
        <v>3357</v>
      </c>
      <c r="N708" s="7" t="str">
        <f>IFERROR(__xludf.DUMMYFUNCTION("GOOGLETRANSLATE(L708, ""en"", ""pt"")"),"Agente de Experiência do Cliente")</f>
        <v>Agente de Experiência do Cliente</v>
      </c>
      <c r="O708" s="7" t="str">
        <f>IFERROR(__xludf.DUMMYFUNCTION("IF(M708="""","""",GOOGLETRANSLATE(M708,""en"",""pt""))"),"Atender clientes por telefone ou pessoalmente para fornecer informações sobre os serviços do Desjardins, garantindo uma transição tranquila de suas atividades financeiras entre a rede canadense e as operações do Desjardins Bank; detalhar os produtos e ser"&amp;"viços oferecidos; e explicar as diferenças entre as operações canadenses do Desjardins e os serviços oferecidos pela subsidiária americana. Manter registros das interações ou transações com os clientes, registrando detalhes de consultas, reclamações ou co"&amp;"mentários e as ações tomadas. Aconselhar os clientes canadenses sobre como atender às suas necessidades bancárias da maneira mais eficiente e econômica. Auxiliar na abertura de novas contas, certificados de depósito e no atendimento a todas as consultas d"&amp;"os clientes. Confirmar o relacionamento da conta com a matriz canadense, verificando as informações fornecidas. Oferecer todos os produtos automatizados, incluindo Internet Banking, Mobile Banking, Extrato Eletrônico e Pagamento de Contas. Auxiliar no uso"&amp;" de todos os produtos automatizados e na resolução de quaisquer problemas, pessoalmente ou por telefone. Verificar o status OFAC e completar o Perfil de Informações do Cliente. Preparar os documentos de depósito necessários, como fichas de assinatura, dec"&amp;"larações e outros documentos para revisão e aprovação. Processar os lançamentos necessários no FISERV. Garante que todas as aberturas de contas estejam em conformidade com as políticas e regulamentos do banco. Pode também exigir algumas atividades de apoi"&amp;"o/substituto para auxiliar em períodos de grande volume de clientes ou durante ausências de caixas. Dias e horários de trabalho previstos por semana: Mínimo de 35 horas semanais. Necessário ter disponibilidade para trabalhar em todos os turnos: Segunda a "&amp;"sexta, das 8h às 16h ou das 9h às 17h. Horas extras: Somente quando necessário. VEJA O DOCUMENTO ANEXO PARA OBTER UMA CÓPIA COMPLETA DA OFERTA DE EMPREGO - Observação para o Oficial Certificador: Em anexo, encontra-se uma cópia completa da oferta de empre"&amp;"go. Caso seja necessário adicionar alguma informação desta oferta de emprego ao formulário ETA-9142, concedemos permissão para adicionar as informações listadas neste anexo. Classificação do Cargo: 43-4141.00 - Assistente de Abertura de Contas. A classifi"&amp;"cação e descrição do cargo/setor incluem informações gerais sobre a posição, de acordo com o ONET/OES e o Sistema de Classificação Industrial da América do Norte (NAICS). Consulte as Funções e a Ordem de Serviço para obter mais informações. Requisitos da "&amp;"vaga Experiência exigida: Não Requisitos especiais: Fluência em francês (oral e escrita); aprovação na verificação de antecedentes criminais pré-admissional; aprovação na autorização OFAC; e diploma de ensino médio. Número de horas semanais: 40 Horário de"&amp;" trabalho (início/término): 8h às 16h")</f>
        <v>Atender clientes por telefone ou pessoalmente para fornecer informações sobre os serviços do Desjardins, garantindo uma transição tranquila de suas atividades financeiras entre a rede canadense e as operações do Desjardins Bank; detalhar os produtos e serviços oferecidos; e explicar as diferenças entre as operações canadenses do Desjardins e os serviços oferecidos pela subsidiária americana. Manter registros das interações ou transações com os clientes, registrando detalhes de consultas, reclamações ou comentários e as ações tomadas. Aconselhar os clientes canadenses sobre como atender às suas necessidades bancárias da maneira mais eficiente e econômica. Auxiliar na abertura de novas contas, certificados de depósito e no atendimento a todas as consultas dos clientes. Confirmar o relacionamento da conta com a matriz canadense, verificando as informações fornecidas. Oferecer todos os produtos automatizados, incluindo Internet Banking, Mobile Banking, Extrato Eletrônico e Pagamento de Contas. Auxiliar no uso de todos os produtos automatizados e na resolução de quaisquer problemas, pessoalmente ou por telefone. Verificar o status OFAC e completar o Perfil de Informações do Cliente. Preparar os documentos de depósito necessários, como fichas de assinatura, declarações e outros documentos para revisão e aprovação. Processar os lançamentos necessários no FISERV. Garante que todas as aberturas de contas estejam em conformidade com as políticas e regulamentos do banco. Pode também exigir algumas atividades de apoio/substituto para auxiliar em períodos de grande volume de clientes ou durante ausências de caixas. Dias e horários de trabalho previstos por semana: Mínimo de 35 horas semanais. Necessário ter disponibilidade para trabalhar em todos os turnos: Segunda a sexta, das 8h às 16h ou das 9h às 17h. Horas extras: Somente quando necessário. VEJA O DOCUMENTO ANEXO PARA OBTER UMA CÓPIA COMPLETA DA OFERTA DE EMPREGO - Observação para o Oficial Certificador: Em anexo, encontra-se uma cópia completa da oferta de emprego. Caso seja necessário adicionar alguma informação desta oferta de emprego ao formulário ETA-9142, concedemos permissão para adicionar as informações listadas neste anexo. Classificação do Cargo: 43-4141.00 - Assistente de Abertura de Contas. A classificação e descrição do cargo/setor incluem informações gerais sobre a posição, de acordo com o ONET/OES e o Sistema de Classificação Industrial da América do Norte (NAICS). Consulte as Funções e a Ordem de Serviço para obter mais informações. Requisitos da vaga Experiência exigida: Não Requisitos especiais: Fluência em francês (oral e escrita); aprovação na verificação de antecedentes criminais pré-admissional; aprovação na autorização OFAC; e diploma de ensino médio. Número de horas semanais: 40 Horário de trabalho (início/término): 8h às 16h</v>
      </c>
    </row>
    <row r="709" ht="20.25" customHeight="1">
      <c r="A709" s="8" t="s">
        <v>3358</v>
      </c>
      <c r="B709" s="8" t="s">
        <v>3359</v>
      </c>
      <c r="C709" s="8" t="s">
        <v>391</v>
      </c>
      <c r="D709" s="8" t="s">
        <v>64</v>
      </c>
      <c r="E709" s="9" t="s">
        <v>19</v>
      </c>
      <c r="F709" s="9" t="s">
        <v>20</v>
      </c>
      <c r="G709" s="9" t="s">
        <v>369</v>
      </c>
      <c r="H709" s="8" t="s">
        <v>3360</v>
      </c>
      <c r="I709" s="8" t="s">
        <v>3361</v>
      </c>
      <c r="J709" s="9">
        <v>19.0</v>
      </c>
      <c r="K709" s="9">
        <v>67.0</v>
      </c>
      <c r="L709" s="8" t="s">
        <v>406</v>
      </c>
      <c r="M709" s="8" t="s">
        <v>3362</v>
      </c>
      <c r="N709" s="7" t="str">
        <f>IFERROR(__xludf.DUMMYFUNCTION("GOOGLETRANSLATE(L709, ""en"", ""pt"")"),"Trabalhador")</f>
        <v>Trabalhador</v>
      </c>
      <c r="O709" s="7" t="str">
        <f>IFERROR(__xludf.DUMMYFUNCTION("IF(M709="""","""",GOOGLETRANSLATE(M709,""en"",""pt""))"),"Remover e podar arbustos, descartar galhos, rastelar e limpar o terreno e os detritos restantes, plantar, espalhar cobertura morta, remover folhas, semear azevém e realizar a manutenção de inverno dos campos esportivos. Pode dirigir a caminhonete da empre"&amp;"sa ou outro veículo. Não é necessário possuir carteira de habilitação; no entanto, funcionários com carteira de habilitação válida podem ser designados para dirigir a caminhonete da empresa ou outro veículo não comercial. Não é necessária Carteira Naciona"&amp;"l de Habilitação (CNH) categoria D e os funcionários não serão obrigados a operar um veículo comercial. O empregador oferecerá um mínimo de 40 horas de trabalho por semana. Os horários de trabalho variam de segunda a sábado, com turnos entre 7h e 17h, com"&amp;" 1 hora de intervalo não remunerado. Os dias, horários e turnos de trabalho podem variar dependendo das condições climáticas. O empregador poderá aumentar o salário com base na experiência, nas mudanças nas condições de mercado e/ou fornecer remuneração a"&amp;"dicional por desempenho e tempo de serviço. Horas extras podem estar disponíveis. Será pago adicional por horas extras quando exigido por lei federal, estadual ou local, incluindo hora e meia após 40 horas semanais. Geralmente, quando houver horas extras "&amp;"disponíveis, o pagamento será de US$ 28,50 a US$ 33,00 por hora. O empregador fornecerá transporte diário de um ponto de encontro na região central do Condado de Collin até todos os locais de trabalho e vice-versa. Classificação da vaga: 37-3011.00 - Trab"&amp;"alhadores de Paisagismo e Manutenção de Áreas Verdes. A classificação e descrição da vaga/setor incluem informações gerais sobre o cargo, de acordo com o ONET/OES e o Sistema de Classificação Industrial da América do Norte (NAICS). Consulte as Funções e a"&amp;" Ordem de Serviço para obter mais informações. Requisitos da vaga: Experiência exigida: Sim. Meses de experiência exigidos: 3. Requisitos especiais: Capacidade de levantar 16 kg. Disponibilidade para trabalhar nos fins de semana e feriados. Os candidatos "&amp;"devem preencher uma ficha de emprego. Número de horas por semana: 40. Horário de trabalho (início/término): 7h às 16h.")</f>
        <v>Remover e podar arbustos, descartar galhos, rastelar e limpar o terreno e os detritos restantes, plantar, espalhar cobertura morta, remover folhas, semear azevém e realizar a manutenção de inverno dos campos esportivos. Pode dirigir a caminhonete da empresa ou outro veículo. Não é necessário possuir carteira de habilitação; no entanto, funcionários com carteira de habilitação válida podem ser designados para dirigir a caminhonete da empresa ou outro veículo não comercial. Não é necessária Carteira Nacional de Habilitação (CNH) categoria D e os funcionários não serão obrigados a operar um veículo comercial. O empregador oferecerá um mínimo de 40 horas de trabalho por semana. Os horários de trabalho variam de segunda a sábado, com turnos entre 7h e 17h, com 1 hora de intervalo não remunerado. Os dias, horários e turnos de trabalho podem variar dependendo das condições climáticas. O empregador poderá aumentar o salário com base na experiência, nas mudanças nas condições de mercado e/ou fornecer remuneração adicional por desempenho e tempo de serviço. Horas extras podem estar disponíveis. Será pago adicional por horas extras quando exigido por lei federal, estadual ou local, incluindo hora e meia após 40 horas semanais. Geralmente, quando houver horas extras disponíveis, o pagamento será de US$ 28,50 a US$ 33,00 por hora. O empregador fornecerá transporte diário de um ponto de encontro na região central do Condado de Collin até todos os locais de trabalho e vice-versa. Classificação da vaga: 37-3011.00 - Trabalhadores de Paisagismo e Manutenção de Áreas Verdes. A classificação e descrição da vaga/setor incluem informações gerais sobre o cargo, de acordo com o ONET/OES e o Sistema de Classificação Industrial da América do Norte (NAICS). Consulte as Funções e a Ordem de Serviço para obter mais informações. Requisitos da vaga: Experiência exigida: Sim. Meses de experiência exigidos: 3. Requisitos especiais: Capacidade de levantar 16 kg. Disponibilidade para trabalhar nos fins de semana e feriados. Os candidatos devem preencher uma ficha de emprego. Número de horas por semana: 40. Horário de trabalho (início/término): 7h às 16h.</v>
      </c>
    </row>
    <row r="710" ht="20.25" customHeight="1">
      <c r="A710" s="3" t="s">
        <v>3363</v>
      </c>
      <c r="B710" s="3" t="s">
        <v>3364</v>
      </c>
      <c r="C710" s="3" t="s">
        <v>3326</v>
      </c>
      <c r="D710" s="3" t="s">
        <v>71</v>
      </c>
      <c r="E710" s="4" t="s">
        <v>19</v>
      </c>
      <c r="F710" s="4" t="s">
        <v>20</v>
      </c>
      <c r="G710" s="4" t="s">
        <v>377</v>
      </c>
      <c r="H710" s="3" t="s">
        <v>3365</v>
      </c>
      <c r="I710" s="3" t="s">
        <v>3366</v>
      </c>
      <c r="J710" s="4">
        <v>16.94</v>
      </c>
      <c r="K710" s="4">
        <v>9.0</v>
      </c>
      <c r="L710" s="3" t="s">
        <v>3367</v>
      </c>
      <c r="M710" s="3" t="s">
        <v>3368</v>
      </c>
      <c r="N710" s="7" t="str">
        <f>IFERROR(__xludf.DUMMYFUNCTION("GOOGLETRANSLATE(L710, ""en"", ""pt"")"),"Zelador")</f>
        <v>Zelador</v>
      </c>
      <c r="O710" s="7" t="str">
        <f>IFERROR(__xludf.DUMMYFUNCTION("IF(M710="""","""",GOOGLETRANSLATE(M710,""en"",""pt""))"),"As funções podem incluir: Limpar pisos do prédio varrendo, passando pano, esfregando ou aspirando. Limpar janelas, divisórias de vidro ou espelhos usando água com sabão ou outros produtos de limpeza, esponjas ou rodos. Notificar os gerentes sobre a necess"&amp;"idade de grandes reparos ou adições aos sistemas operacionais do prédio. Tirar o pó de móveis, paredes, máquinas ou equipamentos. Limpar carpetes a vapor ou com xampu e outras atividades de zeladoria relacionadas, conforme SOC/OES 37-2011 (onetonline.org)"&amp;". Horário padrão/esperado: Segunda a sexta, das 8h30 às 17h. Oferecemos mais de 40 horas semanais, sem incluir almoço e/ou intervalos. Possibilidade de trabalho nos fins de semana e feriados. Os horários de início e término, a carga horária e/ou horas ext"&amp;"ras podem variar, pois dependem de fatores como projetos/cronograma/necessidades de serviço, condições climáticas e tempo de deslocamento entre os locais de trabalho (se aplicável). Horas extras são possíveis, mas não obrigatórias ou garantidas. A critéri"&amp;"o exclusivo do empregador: possíveis aumentos e/ou bônus com base em fatores individuais, como desempenho no trabalho ou habilidades (não garantidos). Classificação do Cargo: 37-2011.00 - Zeladores e Faxineiros, exceto Empregadas Domésticas e Faxineiras. "&amp;"A classificação e descrição do cargo/setor incluem informações gerais sobre a posição, de acordo com o ONET/OES e o Sistema de Classificação Industrial da América do Norte. Consulte as Funções e a Ordem de Serviço para obter mais informações. Requisitos d"&amp;"o Cargo Experiência Necessária: Não. Requisitos Especiais: É necessário ter 18 anos devido ao uso de equipamentos. É necessário apresentar comprovante de autorização legal para trabalhar nos Estados Unidos. Ambiente de trabalho livre de drogas, álcool e t"&amp;"abaco. Executar atividades físicas, como levantar, equilibrar-se, caminhar, abaixar-se, manusear, posicionar, mover e manipular materiais; usar força estática para exercer força muscular máxima para levantar, empurrar, puxar e carregar objetos de até 18 k"&amp;"g. Todos os candidatos devem ser capazes, estar dispostos e qualificados para executar o trabalho descrito e devem estar disponíveis durante todo o período especificado e trabalhar em todas as áreas do emprego pretendido. A critério do empregador/custo: O"&amp;" trabalhador poderá ser submetido a testes aleatórios de drogas/álcool durante o emprego: teste positivo/recusa em cumprir o teste = demissão. Possível verificação de antecedentes após a contratação, às custas do empregador. O horário de trabalho pode var"&amp;"iar de acordo com os picos e vales do turismo ao longo da temporada (+/-), possíveis períodos de baixa temporada e/ou horas extras. Número de horas por semana: 40. Horário de trabalho (início/término): 8h30 - 17h.")</f>
        <v>As funções podem incluir: Limpar pisos do prédio varrendo, passando pano, esfregando ou aspirando. Limpar janelas, divisórias de vidro ou espelhos usando água com sabão ou outros produtos de limpeza, esponjas ou rodos. Notificar os gerentes sobre a necessidade de grandes reparos ou adições aos sistemas operacionais do prédio. Tirar o pó de móveis, paredes, máquinas ou equipamentos. Limpar carpetes a vapor ou com xampu e outras atividades de zeladoria relacionadas, conforme SOC/OES 37-2011 (onetonline.org). Horário padrão/esperado: Segunda a sexta, das 8h30 às 17h. Oferecemos mais de 40 horas semanais, sem incluir almoço e/ou intervalos. Possibilidade de trabalho nos fins de semana e feriados. Os horários de início e término, a carga horária e/ou horas extras podem variar, pois dependem de fatores como projetos/cronograma/necessidades de serviço, condições climáticas e tempo de deslocamento entre os locais de trabalho (se aplicável). Horas extras são possíveis, mas não obrigatórias ou garantidas. A critério exclusivo do empregador: possíveis aumentos e/ou bônus com base em fatores individuais, como desempenho no trabalho ou habilidades (não garantidos). Classificação do Cargo: 37-2011.00 - Zeladores e Faxineiros, exceto Empregadas Domésticas e Faxineiras. A classificação e descrição do cargo/setor incluem informações gerais sobre a posição, de acordo com o ONET/OES e o Sistema de Classificação Industrial da América do Norte. Consulte as Funções e a Ordem de Serviço para obter mais informações. Requisitos do Cargo Experiência Necessária: Não. Requisitos Especiais: É necessário ter 18 anos devido ao uso de equipamentos. É necessário apresentar comprovante de autorização legal para trabalhar nos Estados Unidos. Ambiente de trabalho livre de drogas, álcool e tabaco. Executar atividades físicas, como levantar, equilibrar-se, caminhar, abaixar-se, manusear, posicionar, mover e manipular materiais; usar força estática para exercer força muscular máxima para levantar, empurrar, puxar e carregar objetos de até 18 kg. Todos os candidatos devem ser capazes, estar dispostos e qualificados para executar o trabalho descrito e devem estar disponíveis durante todo o período especificado e trabalhar em todas as áreas do emprego pretendido. A critério do empregador/custo: O trabalhador poderá ser submetido a testes aleatórios de drogas/álcool durante o emprego: teste positivo/recusa em cumprir o teste = demissão. Possível verificação de antecedentes após a contratação, às custas do empregador. O horário de trabalho pode variar de acordo com os picos e vales do turismo ao longo da temporada (+/-), possíveis períodos de baixa temporada e/ou horas extras. Número de horas por semana: 40. Horário de trabalho (início/término): 8h30 - 17h.</v>
      </c>
    </row>
    <row r="711" ht="20.25" customHeight="1">
      <c r="A711" s="8" t="s">
        <v>3369</v>
      </c>
      <c r="B711" s="8" t="s">
        <v>3370</v>
      </c>
      <c r="C711" s="8" t="s">
        <v>1000</v>
      </c>
      <c r="D711" s="8" t="s">
        <v>117</v>
      </c>
      <c r="E711" s="9" t="s">
        <v>19</v>
      </c>
      <c r="F711" s="9" t="s">
        <v>20</v>
      </c>
      <c r="G711" s="9" t="s">
        <v>307</v>
      </c>
      <c r="H711" s="8" t="s">
        <v>3371</v>
      </c>
      <c r="I711" s="8" t="s">
        <v>3372</v>
      </c>
      <c r="J711" s="9">
        <v>20.68</v>
      </c>
      <c r="K711" s="9">
        <v>2.0</v>
      </c>
      <c r="L711" s="8" t="s">
        <v>3373</v>
      </c>
      <c r="M711" s="8" t="s">
        <v>3374</v>
      </c>
      <c r="N711" s="7" t="str">
        <f>IFERROR(__xludf.DUMMYFUNCTION("GOOGLETRANSLATE(L711, ""en"", ""pt"")"),"Movimentação de Materiais")</f>
        <v>Movimentação de Materiais</v>
      </c>
      <c r="O711" s="7" t="str">
        <f>IFERROR(__xludf.DUMMYFUNCTION("IF(M711="""","""",GOOGLETRANSLATE(M711,""en"",""pt""))"),"Movimentar manualmente produtos agrícolas e garantir que o estoque esteja devidamente embalado, etiquetado e armazenado na fábrica de ração, área de armazenamento e/ou expedição. Limpar e manter equipamentos e locais de trabalho. É necessário ser capaz de"&amp;" levantar e carregar 23 kg por 45 metros, trabalhar em temperaturas extremas com níveis elevados de ruído, permanecer em pé por longos períodos, subir e descer escadas ou escadas de mão, seguir normas de segurança e usar equipamentos de proteção individua"&amp;"l, além de trabalhar em um ambiente dinâmico e com poeira. Classificação da função: 53-7062.00 - Operários e Movimentadores de Carga, Estoque e Materiais. A classificação e descrição da função/setor inclui informações gerais sobre o cargo, conforme o ONET"&amp;"/OES e o Sistema de Classificação Industrial da América do Norte (NAICS). Consulte as Funções e a Ordem de Serviço para obter mais informações. Requisitos da vaga Experiência necessária: Não Requisitos especiais: O candidato deve ser capaz de levantar e c"&amp;"arregar 23 kg por 45 metros, trabalhar em temperaturas extremas com níveis elevados de ruído, permanecer em pé por longos períodos, subir e descer escadas ou escadas de mão, seguir normas de segurança e usar equipamentos de proteção individual, além de tr"&amp;"abalhar em um ambiente dinâmico e com poeira. Número de horas por semana: 40 Horário de trabalho (início/término): 7h30 às 16h30")</f>
        <v>Movimentar manualmente produtos agrícolas e garantir que o estoque esteja devidamente embalado, etiquetado e armazenado na fábrica de ração, área de armazenamento e/ou expedição. Limpar e manter equipamentos e locais de trabalho. É necessário ser capaz de levantar e carregar 23 kg por 45 metros, trabalhar em temperaturas extremas com níveis elevados de ruído, permanecer em pé por longos períodos, subir e descer escadas ou escadas de mão, seguir normas de segurança e usar equipamentos de proteção individual, além de trabalhar em um ambiente dinâmico e com poeira. Classificação da função: 53-7062.00 - Operários e Movimentadores de Carga, Estoque e Materiais. A classificação e descrição da função/setor inclui informações gerais sobre o cargo, conforme o ONET/OES e o Sistema de Classificação Industrial da América do Norte (NAICS). Consulte as Funções e a Ordem de Serviço para obter mais informações. Requisitos da vaga Experiência necessária: Não Requisitos especiais: O candidato deve ser capaz de levantar e carregar 23 kg por 45 metros, trabalhar em temperaturas extremas com níveis elevados de ruído, permanecer em pé por longos períodos, subir e descer escadas ou escadas de mão, seguir normas de segurança e usar equipamentos de proteção individual, além de trabalhar em um ambiente dinâmico e com poeira. Número de horas por semana: 40 Horário de trabalho (início/término): 7h30 às 16h30</v>
      </c>
    </row>
    <row r="712" ht="20.25" customHeight="1">
      <c r="A712" s="3" t="s">
        <v>3375</v>
      </c>
      <c r="B712" s="3" t="s">
        <v>3376</v>
      </c>
      <c r="C712" s="3" t="s">
        <v>3326</v>
      </c>
      <c r="D712" s="3" t="s">
        <v>1197</v>
      </c>
      <c r="E712" s="4" t="s">
        <v>19</v>
      </c>
      <c r="F712" s="4" t="s">
        <v>20</v>
      </c>
      <c r="G712" s="4" t="s">
        <v>3377</v>
      </c>
      <c r="H712" s="3" t="s">
        <v>3378</v>
      </c>
      <c r="I712" s="3" t="s">
        <v>3379</v>
      </c>
      <c r="J712" s="4">
        <v>17.87</v>
      </c>
      <c r="K712" s="4">
        <v>70.0</v>
      </c>
      <c r="L712" s="3" t="s">
        <v>83</v>
      </c>
      <c r="M712" s="3" t="s">
        <v>3380</v>
      </c>
      <c r="N712" s="7" t="str">
        <f>IFERROR(__xludf.DUMMYFUNCTION("GOOGLETRANSLATE(L712, ""en"", ""pt"")"),"Trabalhador Florestal")</f>
        <v>Trabalhador Florestal</v>
      </c>
      <c r="O712" s="7" t="str">
        <f>IFERROR(__xludf.DUMMYFUNCTION("IF(M712="""","""",GOOGLETRANSLATE(M712,""en"",""pt""))"),"As funções podem incluir: cavar buracos para preparar o solo, selecionar mudas de árvores e plantá-las em áreas de reflorestamento, utilizando ferramentas manuais de plantio e fixando as mudas com cuidado no solo. Manter o crescimento das mudas por meio d"&amp;"e pulverização, desbaste, poda, trituração e manutenção da vegetação ao redor. Identificar e desbastar árvores doentes ou indesejáveis ​​utilizando motosserras; remover pilhas de detritos ou arbustos e outras atividades relacionadas ao trabalho florestal,"&amp;" conforme SOC/OES 45-4011 (onetonline.org). Horário padrão/esperado: segunda a sexta, das 8h às 16h30. Oferecemos mais de 40 horas semanais, sem incluir almoço e/ou intervalos. Possibilidade de trabalho em fins de semana e feriados. Os horários de início "&amp;"e término, a carga horária e/ou horas extras podem variar, pois dependem de fatores como necessidades do projeto/cronograma/serviço, condições climáticas e tempo de deslocamento entre os locais de trabalho (se aplicável). Horas extras são possíveis, mas n"&amp;"ão obrigatórias nem garantidas. A critério exclusivo do empregador: possíveis aumentos e/ou bônus com base em fatores individuais, como desempenho no trabalho ou habilidades (não garantidos). Moradia compartilhada opcional disponível sem custo para o trab"&amp;"alhador. Classificação do Cargo: 45-4011.00 - Trabalhadores Florestais e de Conservação. A classificação e descrição do cargo/setor incluem informações gerais sobre a posição, de acordo com o ONET/OES e o Sistema de Classificação Industrial da América do "&amp;"Norte. Consulte as Funções e a Ordem de Serviço para obter mais informações. Requisitos do Cargo Experiência Necessária: Não. Requisitos Especiais: É necessário ter 18 anos devido a viagens. É necessário apresentar comprovante de autorização legal para tr"&amp;"abalhar nos Estados Unidos. Ambiente de trabalho livre de drogas, álcool e tabaco. Executar atividades físicas, como levantar, equilibrar, caminhar, abaixar, manusear, posicionar, mover e manipular materiais, utilizando força estática para exercer força m"&amp;"uscular máxima para levantar, empurrar, puxar e carregar objetos de até 23 kg. Todos os candidatos devem ser capazes, dispostos e qualificados para executar o trabalho descrito e devem estar disponíveis durante todo o período especificado e trabalhar em t"&amp;"odas as áreas de atuação pretendidas. O trabalho é realizado ao ar livre, exposto às intempéries. O candidato deve ser capaz de realizar trabalhos fisicamente extenuantes por longos períodos, ocasionalmente em condições de calor ou frio extremos. As condi"&amp;"ções climáticas são variáveis; a carga horária pode sofrer alterações (+/-), podendo haver períodos de inatividade e/ou horas extras. Número de horas por semana: 40. Horário de trabalho (início/término): 8h às 16h30.")</f>
        <v>As funções podem incluir: cavar buracos para preparar o solo, selecionar mudas de árvores e plantá-las em áreas de reflorestamento, utilizando ferramentas manuais de plantio e fixando as mudas com cuidado no solo. Manter o crescimento das mudas por meio de pulverização, desbaste, poda, trituração e manutenção da vegetação ao redor. Identificar e desbastar árvores doentes ou indesejáveis ​​utilizando motosserras; remover pilhas de detritos ou arbustos e outras atividades relacionadas ao trabalho florestal, conforme SOC/OES 45-4011 (onetonline.org). Horário padrão/esperado: segunda a sexta, das 8h às 16h30. Oferecemos mais de 40 horas semanais, sem incluir almoço e/ou intervalos. Possibilidade de trabalho em fins de semana e feriados. Os horários de início e término, a carga horária e/ou horas extras podem variar, pois dependem de fatores como necessidades do projeto/cronograma/serviço, condições climáticas e tempo de deslocamento entre os locais de trabalho (se aplicável). Horas extras são possíveis, mas não obrigatórias nem garantidas. A critério exclusivo do empregador: possíveis aumentos e/ou bônus com base em fatores individuais, como desempenho no trabalho ou habilidades (não garantidos). Moradia compartilhada opcional disponível sem custo para o trabalhador. Classificação do Cargo: 45-4011.00 - Trabalhadores Florestais e de Conservação. A classificação e descrição do cargo/setor incluem informações gerais sobre a posição, de acordo com o ONET/OES e o Sistema de Classificação Industrial da América do Norte. Consulte as Funções e a Ordem de Serviço para obter mais informações. Requisitos do Cargo Experiência Necessária: Não. Requisitos Especiais: É necessário ter 18 anos devido a viagens. É necessário apresentar comprovante de autorização legal para trabalhar nos Estados Unidos. Ambiente de trabalho livre de drogas, álcool e tabaco. Executar atividades físicas, como levantar, equilibrar, caminhar, abaixar, manusear, posicionar, mover e manipular materiais, utilizando força estática para exercer força muscular máxima para levantar, empurrar, puxar e carregar objetos de até 23 kg. Todos os candidatos devem ser capazes, dispostos e qualificados para executar o trabalho descrito e devem estar disponíveis durante todo o período especificado e trabalhar em todas as áreas de atuação pretendidas. O trabalho é realizado ao ar livre, exposto às intempéries. O candidato deve ser capaz de realizar trabalhos fisicamente extenuantes por longos períodos, ocasionalmente em condições de calor ou frio extremos. As condições climáticas são variáveis; a carga horária pode sofrer alterações (+/-), podendo haver períodos de inatividade e/ou horas extras. Número de horas por semana: 40. Horário de trabalho (início/término): 8h às 16h30.</v>
      </c>
    </row>
    <row r="713" ht="20.25" customHeight="1">
      <c r="A713" s="8" t="s">
        <v>3381</v>
      </c>
      <c r="B713" s="8" t="s">
        <v>3382</v>
      </c>
      <c r="C713" s="8" t="s">
        <v>1904</v>
      </c>
      <c r="D713" s="8" t="s">
        <v>36</v>
      </c>
      <c r="E713" s="9" t="s">
        <v>44</v>
      </c>
      <c r="F713" s="9" t="s">
        <v>20</v>
      </c>
      <c r="G713" s="9" t="s">
        <v>377</v>
      </c>
      <c r="H713" s="8" t="s">
        <v>3383</v>
      </c>
      <c r="I713" s="8" t="s">
        <v>3384</v>
      </c>
      <c r="J713" s="9">
        <v>17.87</v>
      </c>
      <c r="K713" s="9">
        <v>150.0</v>
      </c>
      <c r="L713" s="8" t="s">
        <v>83</v>
      </c>
      <c r="M713" s="8" t="s">
        <v>3385</v>
      </c>
      <c r="N713" s="7" t="str">
        <f>IFERROR(__xludf.DUMMYFUNCTION("GOOGLETRANSLATE(L713, ""en"", ""pt"")"),"Trabalhador Florestal")</f>
        <v>Trabalhador Florestal</v>
      </c>
      <c r="O713" s="7" t="str">
        <f>IFERROR(__xludf.DUMMYFUNCTION("IF(M713="""","""",GOOGLETRANSLATE(M713,""en"",""pt""))"),"As funções podem incluir: manutenção e desenvolvimento de áreas florestais, incluindo o plantio manual de mudas de árvores sem raízes em J ou U; manutenção da vegetação circundante: poda, limpeza, pulverização, empilhamento, remoção de detritos, escavação"&amp;" de covas para plantio de mudas para reflorestamento (várias covas por dia), fixação das mudas compactando terra ao redor delas, acompanhamento do crescimento das mudas e outras atividades relacionadas a Trabalhador Florestal, conforme SOC/OES 45-4011 (on"&amp;"etonline.org). Horário padrão/esperado: segunda a sexta, das 8h às 17h. Oferecemos mais de 40 horas semanais, sem incluir almoço e/ou intervalos. Possibilidade de trabalho em fins de semana e feriados. Os horários de início e término, a carga horária e/ou"&amp;" horas extras podem variar, pois dependem de fatores como projetos/cronograma/necessidades do serviço, condições climáticas e tempo de deslocamento entre os locais de trabalho (se aplicável). Horas extras são possíveis, mas não obrigatórias nem garantidas"&amp;". A critério exclusivo do empregador: possíveis aumentos e/ou bônus com base em fatores individuais, como desempenho no trabalho ou habilidades (não garantidos). Moradia compartilhada opcional disponível sem custo para o trabalhador. Classificação do Carg"&amp;"o: 45-4011.00 - Trabalhadores Florestais e de Conservação. A classificação e descrição do cargo/setor incluem informações gerais sobre a posição, de acordo com o ONET/OES e o Sistema de Classificação Industrial da América do Norte. Consulte as Funções e a"&amp;" Ordem de Serviço para obter mais informações. Requisitos do Cargo Experiência Necessária: Sim Meses de Experiência Necessários: 3 Requisitos Especiais: É necessário ter 18 anos devido a viagens. É necessário apresentar comprovante de autorização legal pa"&amp;"ra trabalhar nos Estados Unidos. Ambiente de trabalho livre de drogas, álcool e tabaco. É necessário caminhar bastante (até 24 km/dia), além de se abaixar e se curvar carregando uma mochila (até 23 kg) em terrenos acidentados (fora de trilhas). Todos os c"&amp;"andidatos devem ser capazes, dispostos e qualificados para executar o trabalho descrito e devem estar disponíveis durante todo o período especificado e trabalhar em todas as áreas de atuação pretendidas. O trabalho é realizado ao ar livre, exposto às inte"&amp;"mpéries. O candidato deve ser capaz de realizar trabalhos fisicamente extenuantes por longos períodos, ocasionalmente em condições de calor ou frio extremos. As condições climáticas são variáveis; a carga horária pode sofrer alterações, com possibilidade "&amp;"de períodos de inatividade e/ou horas extras. Número de horas por semana: 40. Horário de trabalho (início/término): 8h às 17h.")</f>
        <v>As funções podem incluir: manutenção e desenvolvimento de áreas florestais, incluindo o plantio manual de mudas de árvores sem raízes em J ou U; manutenção da vegetação circundante: poda, limpeza, pulverização, empilhamento, remoção de detritos, escavação de covas para plantio de mudas para reflorestamento (várias covas por dia), fixação das mudas compactando terra ao redor delas, acompanhamento do crescimento das mudas e outras atividades relacionadas a Trabalhador Florestal, conforme SOC/OES 45-4011 (onetonline.org). Horário padrão/esperado: segunda a sexta, das 8h às 17h. Oferecemos mais de 40 horas semanais, sem incluir almoço e/ou intervalos. Possibilidade de trabalho em fins de semana e feriados. Os horários de início e término, a carga horária e/ou horas extras podem variar, pois dependem de fatores como projetos/cronograma/necessidades do serviço, condições climáticas e tempo de deslocamento entre os locais de trabalho (se aplicável). Horas extras são possíveis, mas não obrigatórias nem garantidas. A critério exclusivo do empregador: possíveis aumentos e/ou bônus com base em fatores individuais, como desempenho no trabalho ou habilidades (não garantidos). Moradia compartilhada opcional disponível sem custo para o trabalhador. Classificação do Cargo: 45-4011.00 - Trabalhadores Florestais e de Conservação. A classificação e descrição do cargo/setor incluem informações gerais sobre a posição, de acordo com o ONET/OES e o Sistema de Classificação Industrial da América do Norte. Consulte as Funções e a Ordem de Serviço para obter mais informações. Requisitos do Cargo Experiência Necessária: Sim Meses de Experiência Necessários: 3 Requisitos Especiais: É necessário ter 18 anos devido a viagens. É necessário apresentar comprovante de autorização legal para trabalhar nos Estados Unidos. Ambiente de trabalho livre de drogas, álcool e tabaco. É necessário caminhar bastante (até 24 km/dia), além de se abaixar e se curvar carregando uma mochila (até 23 kg) em terrenos acidentados (fora de trilhas). Todos os candidatos devem ser capazes, dispostos e qualificados para executar o trabalho descrito e devem estar disponíveis durante todo o período especificado e trabalhar em todas as áreas de atuação pretendidas. O trabalho é realizado ao ar livre, exposto às intempéries. O candidato deve ser capaz de realizar trabalhos fisicamente extenuantes por longos períodos, ocasionalmente em condições de calor ou frio extremos. As condições climáticas são variáveis; a carga horária pode sofrer alterações, com possibilidade de períodos de inatividade e/ou horas extras. Número de horas por semana: 40. Horário de trabalho (início/término): 8h às 17h.</v>
      </c>
    </row>
    <row r="714" ht="20.25" customHeight="1">
      <c r="A714" s="3" t="s">
        <v>3386</v>
      </c>
      <c r="B714" s="3" t="s">
        <v>3387</v>
      </c>
      <c r="C714" s="3" t="s">
        <v>2263</v>
      </c>
      <c r="D714" s="3" t="s">
        <v>64</v>
      </c>
      <c r="E714" s="4" t="s">
        <v>44</v>
      </c>
      <c r="F714" s="4" t="s">
        <v>20</v>
      </c>
      <c r="G714" s="4" t="s">
        <v>56</v>
      </c>
      <c r="H714" s="3" t="s">
        <v>3388</v>
      </c>
      <c r="I714" s="3" t="s">
        <v>3389</v>
      </c>
      <c r="J714" s="4">
        <v>23.29</v>
      </c>
      <c r="K714" s="4">
        <v>1.0</v>
      </c>
      <c r="L714" s="3" t="s">
        <v>3390</v>
      </c>
      <c r="M714" s="3" t="s">
        <v>3391</v>
      </c>
      <c r="N714" s="7" t="str">
        <f>IFERROR(__xludf.DUMMYFUNCTION("GOOGLETRANSLATE(L714, ""en"", ""pt"")"),"Treinador de Futebol Juvenil")</f>
        <v>Treinador de Futebol Juvenil</v>
      </c>
      <c r="O714" s="7" t="str">
        <f>IFERROR(__xludf.DUMMYFUNCTION("IF(M714="""","""",GOOGLETRANSLATE(M714,""en"",""pt""))"),"***Resposta à Solicitação de Informações*** “Atuar como treinador de goleiros do clube. Liderar sessões de treinamento, gerenciar equipes, desenvolver currículo de treinamento e avaliar jogadores. O treinador de futebol juvenil é responsável por treinar j"&amp;"ogadores de futebol juvenil em todas as faixas etárias designadas e manter as instalações esportivas do clube em ordem, organizando equipamentos, incluindo redes, cones, bolas e mantendo o campo conforme descrito abaixo na seção de instalações, para garan"&amp;"tir ambientes de jogo seguros e funcionais. As funções de treinamento incluem planejar e liderar treinos, instruir os jogadores em fundamentos e estratégias de jogo, gerenciar o desenvolvimento dos jogadores e supervisioná-los durante sessões de treinamen"&amp;"to e partidas. Na parte de manutenção das instalações relacionada ao gramado sintético, o profissional corta, apara, areja, semeia, fertiliza e demarca os campos de grama natural, além de aplicar as marcações de campo antes dos treinos e jogos. O profissi"&amp;"onal inspeciona e mantém cercas perimetrais, gols, sistemas de irrigação e equipamentos de campo, e resolve problemas de drenagem e água parada nas superfícies de jogo. A manutenção do campo inclui a remoção de detritos e lixo dos campos e áreas circundan"&amp;"tes, a poda de ervas daninhas ao longo das cercas e do perímetro das instalações, e a operação e manutenção de equipamentos de campo, como Cortadores de grama, aparadores de borda, roçadeiras, espalhadores e aeradores. Outras funções incluem montar e desm"&amp;"ontar traves portáteis, cones e equipamentos de treinamento, lavar os uniformes e coletes de treino da equipe, repor os suprimentos das instalações e realizar tarefas básicas de manutenção interna, como trocar filtros de ar e lâmpadas usando ferramentas m"&amp;"anuais, incluindo chaves de fenda, e relatar deficiências nas instalações à gerência. ***Original*** Atuar como treinador de goleiros do clube. Liderar sessões de treinamento, gerenciar equipes, desenvolver currículo de treinamento e avaliar jogadores. O "&amp;"treinador de futebol juvenil é responsável por treinar jogadores de futebol juvenil em todas as faixas etárias designadas e manter as instalações e terrenos esportivos do clube para garantir ambientes de jogo seguros e funcionais. As funções de treinament"&amp;"o incluem planejar e liderar treinos, instruir os jogadores em fundamentos e estratégia de jogo, gerenciar o desenvolvimento dos jogadores e supervisioná-los durante sessões de treinamento e partidas. No que diz respeito às instalações, o funcionário cort"&amp;"a, apara, areja, semeia, fertiliza e demarca campos de grama natural, e aplica as marcações de campo antes dos treinos e partidas. O funcionário inspeciona e mantém cercas perimetrais, traves, sistemas de irrigação e equipamentos de campo, e resolve probl"&amp;"emas. Problemas de drenagem e água parada nas superfícies de jogo. A manutenção do campo inclui a remoção de detritos e lixo dos campos e áreas adjacentes, o corte de ervas daninhas ao longo das cercas e do perímetro das instalações, e a operação e manute"&amp;"nção de equipamentos de manutenção, como cortadores de grama, aparadores de borda, espalhadores e aeradores. Outras responsabilidades incluem a montagem e desmontagem de traves portáteis, cones e equipamentos de treinamento, a lavagem dos uniformes e cole"&amp;"tes de treino da equipe, o reabastecimento de suprimentos das instalações e a execução de tarefas básicas de manutenção interna, como a troca de lâmpadas e o relato de deficiências das instalações à gerência. Classificação do Cargo: 27-2022.00 - Treinador"&amp;"es e Observadores. A classificação e descrição do cargo/setor inclui informações gerais sobre a posição, de acordo com o ONET/OES e o Sistema de Classificação Industrial da América do Norte. Consulte as Funções e a Ordem de Serviço para obter mais informa"&amp;"ções. Requisitos do Cargo Experiência Necessária: Sim Meses de Experiência Necessários: 12 Requisitos Especiais: A verificação de antecedentes pré-emprego pode ser exigida de trabalhadores estrangeiros e nacionais, sem custo para o trabalhador. É necessár"&amp;"io concluir o treinamento SafeSport, sem custo para o trabalhador. É necessário ter disponibilidade para trabalhar todos os dias. Turnos, incluindo fins de semana, noites e feriados. Necessário levantar/carregar 23 kg (50 lbs), quando necessário. Número d"&amp;"e horas por semana: 35. Horário de trabalho (início/término): 10h00 - 20h30.")</f>
        <v>***Resposta à Solicitação de Informações*** “Atuar como treinador de goleiros do clube. Liderar sessões de treinamento, gerenciar equipes, desenvolver currículo de treinamento e avaliar jogadores. O treinador de futebol juvenil é responsável por treinar jogadores de futebol juvenil em todas as faixas etárias designadas e manter as instalações esportivas do clube em ordem, organizando equipamentos, incluindo redes, cones, bolas e mantendo o campo conforme descrito abaixo na seção de instalações, para garantir ambientes de jogo seguros e funcionais. As funções de treinamento incluem planejar e liderar treinos, instruir os jogadores em fundamentos e estratégias de jogo, gerenciar o desenvolvimento dos jogadores e supervisioná-los durante sessões de treinamento e partidas. Na parte de manutenção das instalações relacionada ao gramado sintético, o profissional corta, apara, areja, semeia, fertiliza e demarca os campos de grama natural, além de aplicar as marcações de campo antes dos treinos e jogos. O profissional inspeciona e mantém cercas perimetrais, gols, sistemas de irrigação e equipamentos de campo, e resolve problemas de drenagem e água parada nas superfícies de jogo. A manutenção do campo inclui a remoção de detritos e lixo dos campos e áreas circundantes, a poda de ervas daninhas ao longo das cercas e do perímetro das instalações, e a operação e manutenção de equipamentos de campo, como Cortadores de grama, aparadores de borda, roçadeiras, espalhadores e aeradores. Outras funções incluem montar e desmontar traves portáteis, cones e equipamentos de treinamento, lavar os uniformes e coletes de treino da equipe, repor os suprimentos das instalações e realizar tarefas básicas de manutenção interna, como trocar filtros de ar e lâmpadas usando ferramentas manuais, incluindo chaves de fenda, e relatar deficiências nas instalações à gerência. ***Original*** Atuar como treinador de goleiros do clube. Liderar sessões de treinamento, gerenciar equipes, desenvolver currículo de treinamento e avaliar jogadores. O treinador de futebol juvenil é responsável por treinar jogadores de futebol juvenil em todas as faixas etárias designadas e manter as instalações e terrenos esportivos do clube para garantir ambientes de jogo seguros e funcionais. As funções de treinamento incluem planejar e liderar treinos, instruir os jogadores em fundamentos e estratégia de jogo, gerenciar o desenvolvimento dos jogadores e supervisioná-los durante sessões de treinamento e partidas. No que diz respeito às instalações, o funcionário corta, apara, areja, semeia, fertiliza e demarca campos de grama natural, e aplica as marcações de campo antes dos treinos e partidas. O funcionário inspeciona e mantém cercas perimetrais, traves, sistemas de irrigação e equipamentos de campo, e resolve problemas. Problemas de drenagem e água parada nas superfícies de jogo. A manutenção do campo inclui a remoção de detritos e lixo dos campos e áreas adjacentes, o corte de ervas daninhas ao longo das cercas e do perímetro das instalações, e a operação e manutenção de equipamentos de manutenção, como cortadores de grama, aparadores de borda, espalhadores e aeradores. Outras responsabilidades incluem a montagem e desmontagem de traves portáteis, cones e equipamentos de treinamento, a lavagem dos uniformes e coletes de treino da equipe, o reabastecimento de suprimentos das instalações e a execução de tarefas básicas de manutenção interna, como a troca de lâmpadas e o relato de deficiências das instalações à gerência. Classificação do Cargo: 27-2022.00 - Treinadores e Observadores. A classificação e descrição do cargo/setor inclui informações gerais sobre a posição, de acordo com o ONET/OES e o Sistema de Classificação Industrial da América do Norte. Consulte as Funções e a Ordem de Serviço para obter mais informações. Requisitos do Cargo Experiência Necessária: Sim Meses de Experiência Necessários: 12 Requisitos Especiais: A verificação de antecedentes pré-emprego pode ser exigida de trabalhadores estrangeiros e nacionais, sem custo para o trabalhador. É necessário concluir o treinamento SafeSport, sem custo para o trabalhador. É necessário ter disponibilidade para trabalhar todos os dias. Turnos, incluindo fins de semana, noites e feriados. Necessário levantar/carregar 23 kg (50 lbs), quando necessário. Número de horas por semana: 35. Horário de trabalho (início/término): 10h00 - 20h30.</v>
      </c>
    </row>
    <row r="715" ht="20.25" customHeight="1">
      <c r="A715" s="8" t="s">
        <v>3392</v>
      </c>
      <c r="B715" s="8" t="s">
        <v>3393</v>
      </c>
      <c r="C715" s="8" t="s">
        <v>197</v>
      </c>
      <c r="D715" s="8" t="s">
        <v>71</v>
      </c>
      <c r="E715" s="9" t="s">
        <v>19</v>
      </c>
      <c r="F715" s="9" t="s">
        <v>20</v>
      </c>
      <c r="G715" s="9" t="s">
        <v>524</v>
      </c>
      <c r="H715" s="8" t="s">
        <v>3394</v>
      </c>
      <c r="I715" s="8" t="s">
        <v>3395</v>
      </c>
      <c r="J715" s="9">
        <v>20.0</v>
      </c>
      <c r="K715" s="9">
        <v>4.0</v>
      </c>
      <c r="L715" s="8" t="s">
        <v>387</v>
      </c>
      <c r="M715" s="8" t="s">
        <v>3396</v>
      </c>
      <c r="N715" s="7" t="str">
        <f>IFERROR(__xludf.DUMMYFUNCTION("GOOGLETRANSLATE(L715, ""en"", ""pt"")"),"Ordem de serviço não disponível")</f>
        <v>Ordem de serviço não disponível</v>
      </c>
      <c r="O715" s="7" t="str">
        <f>IFERROR(__xludf.DUMMYFUNCTION("IF(M715="""","""",GOOGLETRANSLATE(M715,""en"",""pt""))"),"Preparar, cozinhar, refogar, grelhar e fritar itens como frutos do mar, carnes, aves, legumes, massas e sopas. Manter as áreas da cozinha limpas e higienizadas. Armazenar todos os produtos em locais adequados e realizar todos os demais serviços relacionad"&amp;"os à cozinha. (4) vagas disponíveis. Período: 01/10/2026 a 31/05/2027. Necessário 3 meses de experiência. Turnos rotativos. Dias de trabalho: segunda a domingo. Horário de trabalho: 6h às 22h. Salário: US$ 20 a US$ 25 por hora, com base no desempenho; US$"&amp;" 30 a US$ 37,50 por hora para horas extras. Pagamento quinzenal. 35 horas semanais. Alojamento opcional disponível por US$ 24 a US$ 30 por dia, com um depósito reembolsável de US$ 150 cobrado pela I&amp;O. Camisetas de uniforme fornecidas. Local de trabalho: "&amp;"10420 Washingtonia Palm Way, Fort Myers, FL 33966. Trabalho temporário em tempo integral. O salário será calculado com base em uma única semana de trabalho. Poderá ser feito até 10 horas extras, quando disponíveis. Todos os descontos exigidos por lei serã"&amp;"o efetuados no contracheque do trabalhador. O empregador fornecerá ao trabalhador, sem custos, todas as ferramentas, materiais e equipamentos necessários para a execução do trabalho. O trabalhador receberá ou será reembolsado pelas despesas de transporte "&amp;"e alimentação (incluindo o custo razoável de hospedagem, quando necessário, até US$ 110 por noite, mediante apresentação de recibos) no valor de US$ 16,78 por dia durante o deslocamento, até um máximo de US$ 68,00 por dia, mediante apresentação de recibos"&amp;", desde o local de origem do trabalhador, seja nos EUA ou no exterior, até o local de trabalho, caso o trabalhador complete 50% do período de trabalho abrangido pela ordem de serviço, em conformidade com o 20 CFR 655.20(j)(1)(i), mediante inclusão no cont"&amp;"racheque da semana correspondente. O empregador fornecerá ou pagará o custo do transporte de retorno e da subsistência diária do trabalhador, do local de trabalho até o local de onde o trabalhador partiu para trabalhar para o empregador, independentemente"&amp;" de empregos intermediários, caso o trabalhador complete o período de emprego certificado ou seja demitido do emprego por qualquer motivo pelo empregador antes do término do período, de acordo com o § 655.20(j)(1)(ii); os trabalhadores com visto H-2B serã"&amp;"o reembolsados ​​na primeira semana de trabalho por todos os vistos, processamento de vistos, travessia de fronteira e outras taxas relacionadas, incluindo aquelas exigidas pelo governo (exceto taxas de passaporte). O empregador fornecerá aos trabalhadore"&amp;"s todas as ferramentas, suprimentos e equipamentos necessários para o desempenho do trabalho, sem custo para o trabalhador, de acordo com o 20 CFR 655.20(k). Os candidatos qualificados podem enviar o currículo para Heather Becht, no endereço 10420 Washing"&amp;"tonia Palm Way, Fort Myers, FL 33966, por e-mail para H2Bjobs@hpgcc.com ou visitar o centro de empregos local em 6800 Shoppes at Plantation Drive, Suite 170, Fort Myers, FL 33912. *Seu depósito de segurança será reembolsado após a conclusão do contrato e "&amp;"a inspeção da moradia. Se um trabalhador abandonar o emprego sem a permissão do empregador ou abandonar a moradia antes do término do prazo de solicitação por qualquer motivo, exceto rescisão contratual por parte do empregador, o trabalhador perderá todos"&amp;" os depósitos de moradia, dias de folga remunerada, férias e bônus. Após a rescisão ou demissão, o trabalhador deverá desocupar a moradia imediatamente, a menos que haja acordo com o empregador.* Classificação do Cargo: 35-2014.00 - Cozinheiros, Restauran"&amp;"te. A classificação e a descrição do cargo/setor incluem informações gerais sobre a posição, de acordo com o ONET/OES e o Sistema de Classificação Industrial da América do Norte. Consulte as Funções e a Ordem de Serviço para obter mais informações. Requis"&amp;"itos da vaga Experiência necessária: Sim Meses de experiência necessários: 3 Número de horas por semana: 35 Horário de trabalho (início/término): 6h às 22h")</f>
        <v>Preparar, cozinhar, refogar, grelhar e fritar itens como frutos do mar, carnes, aves, legumes, massas e sopas. Manter as áreas da cozinha limpas e higienizadas. Armazenar todos os produtos em locais adequados e realizar todos os demais serviços relacionados à cozinha. (4) vagas disponíveis. Período: 01/10/2026 a 31/05/2027. Necessário 3 meses de experiência. Turnos rotativos. Dias de trabalho: segunda a domingo. Horário de trabalho: 6h às 22h. Salário: US$ 20 a US$ 25 por hora, com base no desempenho; US$ 30 a US$ 37,50 por hora para horas extras. Pagamento quinzenal. 35 horas semanais. Alojamento opcional disponível por US$ 24 a US$ 30 por dia, com um depósito reembolsável de US$ 150 cobrado pela I&amp;O. Camisetas de uniforme fornecidas. Local de trabalho: 10420 Washingtonia Palm Way, Fort Myers, FL 33966. Trabalho temporário em tempo integral. O salário será calculado com base em uma única semana de trabalho. Poderá ser feito até 10 horas extras, quando disponíveis. Todos os descontos exigidos por lei serão efetuados no contracheque do trabalhador. O empregador fornecerá ao trabalhador, sem custos, todas as ferramentas, materiais e equipamentos necessários para a execução do trabalho. O trabalhador receberá ou será reembolsado pelas despesas de transporte e alimentação (incluindo o custo razoável de hospedagem, quando necessário, até US$ 110 por noite, mediante apresentação de recibos) no valor de US$ 16,78 por dia durante o deslocamento, até um máximo de US$ 68,00 por dia, mediante apresentação de recibos, desde o local de origem do trabalhador, seja nos EUA ou no exterior, até o local de trabalho, caso o trabalhador complete 50% do período de trabalho abrangido pela ordem de serviço, em conformidade com o 20 CFR 655.20(j)(1)(i), mediante inclusão no contracheque da semana correspondente. O empregador fornecerá ou pagará o custo do transporte de retorno e da subsistência diária do trabalhador, do local de trabalho até o local de onde o trabalhador partiu para trabalhar para o empregador, independentemente de empregos intermediários, caso o trabalhador complete o período de emprego certificado ou seja demitido do emprego por qualquer motivo pelo empregador antes do término do período, de acordo com o § 655.20(j)(1)(ii); os trabalhadores com visto H-2B serão reembolsados ​​na primeira semana de trabalho por todos os vistos, processamento de vistos, travessia de fronteira e outras taxas relacionadas, incluindo aquelas exigidas pelo governo (exceto taxas de passaporte). O empregador fornecerá aos trabalhadores todas as ferramentas, suprimentos e equipamentos necessários para o desempenho do trabalho, sem custo para o trabalhador, de acordo com o 20 CFR 655.20(k). Os candidatos qualificados podem enviar o currículo para Heather Becht, no endereço 10420 Washingtonia Palm Way, Fort Myers, FL 33966, por e-mail para H2Bjobs@hpgcc.com ou visitar o centro de empregos local em 6800 Shoppes at Plantation Drive, Suite 170, Fort Myers, FL 33912. *Seu depósito de segurança será reembolsado após a conclusão do contrato e a inspeção da moradia. Se um trabalhador abandonar o emprego sem a permissão do empregador ou abandonar a moradia antes do término do prazo de solicitação por qualquer motivo, exceto rescisão contratual por parte do empregador, o trabalhador perderá todos os depósitos de moradia, dias de folga remunerada, férias e bônus. Após a rescisão ou demissão, o trabalhador deverá desocupar a moradia imediatamente, a menos que haja acordo com o empregador.* Classificação do Cargo: 35-2014.00 - Cozinheiros, Restaurante. A classificação e a descrição do cargo/setor incluem informações gerais sobre a posição, de acordo com o ONET/OES e o Sistema de Classificação Industrial da América do Norte. Consulte as Funções e a Ordem de Serviço para obter mais informações. Requisitos da vaga Experiência necessária: Sim Meses de experiência necessários: 3 Número de horas por semana: 35 Horário de trabalho (início/término): 6h às 22h</v>
      </c>
    </row>
    <row r="716" ht="20.25" customHeight="1">
      <c r="A716" s="3" t="s">
        <v>3397</v>
      </c>
      <c r="B716" s="3" t="s">
        <v>3393</v>
      </c>
      <c r="C716" s="3" t="s">
        <v>197</v>
      </c>
      <c r="D716" s="3" t="s">
        <v>71</v>
      </c>
      <c r="E716" s="4" t="s">
        <v>44</v>
      </c>
      <c r="F716" s="4" t="s">
        <v>20</v>
      </c>
      <c r="G716" s="4" t="s">
        <v>524</v>
      </c>
      <c r="H716" s="3" t="s">
        <v>3394</v>
      </c>
      <c r="I716" s="3" t="s">
        <v>3395</v>
      </c>
      <c r="J716" s="4">
        <v>18.95</v>
      </c>
      <c r="K716" s="4">
        <v>34.0</v>
      </c>
      <c r="L716" s="3" t="s">
        <v>1206</v>
      </c>
      <c r="M716" s="3" t="s">
        <v>3398</v>
      </c>
      <c r="N716" s="7" t="str">
        <f>IFERROR(__xludf.DUMMYFUNCTION("GOOGLETRANSLATE(L716, ""en"", ""pt"")"),"Servidor")</f>
        <v>Servidor</v>
      </c>
      <c r="O716" s="7" t="str">
        <f>IFERROR(__xludf.DUMMYFUNCTION("IF(M716="""","""",GOOGLETRANSLATE(M716,""en"",""pt""))"),"Receber pedidos, servir comidas e bebidas aos clientes. Limpar e arrumar as mesas. Receber pagamentos e fornecer recibos. Manter todos os postos de trabalho abastecidos. (34) vagas disponíveis. Período: 01/10/2026 a 31/05/2027. Necessário 3 meses de exper"&amp;"iência. Turnos rotativos. Dias de trabalho: segunda a domingo. Horário: 6h às 22h. Salário: US$ 12 a US$ 14 por hora, mais gorjetas, mas não menos que US$ 18,95 por hora, US$ 28,43 por hora em horas extras. Pagamento quinzenal. 35 horas semanais. Alojamen"&amp;"to opcional disponível por US$ 24 a US$ 30 por dia, com um depósito reembolsável de US$ 150 cobrado pela I&amp;O. Camisetas do uniforme fornecidas. Local de trabalho: 10420 Washingtonia Palm Way, Fort Myers, FL 33966. Trabalho temporário em tempo integral. O "&amp;"salário será calculado com base em uma única semana de trabalho. Possibilidade de até 10 horas extras, quando disponíveis. Todas as deduções do salário do trabalhador exigidas por lei serão feitas. O empregador fornecerá aos trabalhadores, sem custo algum"&amp;", todas as ferramentas, suprimentos e equipamentos necessários para a execução do trabalho. O trabalhador receberá ou será reembolsado pelas despesas de transporte e subsistência (incluindo o custo razoável de hospedagem noturna, quando necessário, até US"&amp;"$ 110 por noite, mediante apresentação de recibos) à taxa de US$ 16,78 por dia durante o deslocamento, até um máximo de US$ 68,00 por dia, mediante apresentação de recibos, desde o local de origem do trabalhador, seja nos EUA ou no exterior, até o local d"&amp;"e trabalho, caso o trabalhador complete 50% do período de trabalho abrangido pela ordem de serviço, em conformidade com 20 CFR 655.20(j)(1)(i), mediante inclusão no salário da semana correspondente. O empregador fornecerá ou pagará o custo do transporte d"&amp;"e retorno e da subsistência diária do trabalhador, do local de trabalho até o local de onde o trabalhador partiu para trabalhar para o empregador, independentemente de empregos intermediários, caso o trabalhador complete o período de emprego certificado o"&amp;"u seja demitido do emprego por qualquer motivo pelo empregador antes do término do período, de acordo com o § 655.20(j)(1)(ii); os trabalhadores com visto H-2B serão reembolsados ​​na primeira semana de trabalho por todos os vistos, processamento de visto"&amp;"s, travessia de fronteira e outras taxas relacionadas, incluindo aquelas exigidas pelo governo (exceto taxas de passaporte). O empregador fornecerá aos trabalhadores todas as ferramentas, suprimentos e equipamentos necessários para o desempenho do trabalh"&amp;"o, sem custo para o trabalhador, de acordo com o 20 CFR 655.20(k). Os candidatos qualificados podem enviar o currículo para Heather Becht, no endereço 10420 Washingtonia Palm Way, Fort Myers, FL 33966, por e-mail para H2Bjobs@hpgcc.com ou visitar o centro"&amp;" de empregos local em 6800 Shoppes at Plantation Drive, Suite 170, Fort Myers, FL 33912. *Seu depósito de segurança é reembolsável após a conclusão do contrato e a inspeção da moradia. Se um trabalhador abandonar o emprego sem a permissão do empregador ou"&amp;" abandonar a moradia antes do término do prazo de solicitação por qualquer motivo, exceto rescisão contratual por parte do empregador, o trabalhador perderá todos os depósitos de moradia, dias de folga remunerada, férias e bônus. Após a rescisão ou demiss"&amp;"ão, o trabalhador deverá desocupar a moradia imediatamente, a menos que haja acordo com o empregador.* Classificação da vaga: 35-3031.00 - Garçons e Garçonetes. A classificação e descrição da vaga/setor incluem informações gerais sobre o cargo, de acordo "&amp;"com o ONET/OES e o Sistema de Classificação Industrial da América do Norte (NAICS). Consulte a Descrição das Funções e a Ordem de Serviço para obter mais informações. Requisitos da Vaga Experiência Necessária: Sim Meses de Experiência Necessária: 3 Número"&amp;" de Horas por Semana: 35 Horário de Trabalho (Início/Término): 6h00 - 22h00")</f>
        <v>Receber pedidos, servir comidas e bebidas aos clientes. Limpar e arrumar as mesas. Receber pagamentos e fornecer recibos. Manter todos os postos de trabalho abastecidos. (34) vagas disponíveis. Período: 01/10/2026 a 31/05/2027. Necessário 3 meses de experiência. Turnos rotativos. Dias de trabalho: segunda a domingo. Horário: 6h às 22h. Salário: US$ 12 a US$ 14 por hora, mais gorjetas, mas não menos que US$ 18,95 por hora, US$ 28,43 por hora em horas extras. Pagamento quinzenal. 35 horas semanais. Alojamento opcional disponível por US$ 24 a US$ 30 por dia, com um depósito reembolsável de US$ 150 cobrado pela I&amp;O. Camisetas do uniforme fornecidas. Local de trabalho: 10420 Washingtonia Palm Way, Fort Myers, FL 33966. Trabalho temporário em tempo integral. O salário será calculado com base em uma única semana de trabalho. Possibilidade de até 10 horas extras, quando disponíveis. Todas as deduções do salário do trabalhador exigidas por lei serão feitas. O empregador fornecerá aos trabalhadores, sem custo algum, todas as ferramentas, suprimentos e equipamentos necessários para a execução do trabalho. O trabalhador receberá ou será reembolsado pelas despesas de transporte e subsistência (incluindo o custo razoável de hospedagem noturna, quando necessário, até US$ 110 por noite, mediante apresentação de recibos) à taxa de US$ 16,78 por dia durante o deslocamento, até um máximo de US$ 68,00 por dia, mediante apresentação de recibos, desde o local de origem do trabalhador, seja nos EUA ou no exterior, até o local de trabalho, caso o trabalhador complete 50% do período de trabalho abrangido pela ordem de serviço, em conformidade com 20 CFR 655.20(j)(1)(i), mediante inclusão no salário da semana correspondente. O empregador fornecerá ou pagará o custo do transporte de retorno e da subsistência diária do trabalhador, do local de trabalho até o local de onde o trabalhador partiu para trabalhar para o empregador, independentemente de empregos intermediários, caso o trabalhador complete o período de emprego certificado ou seja demitido do emprego por qualquer motivo pelo empregador antes do término do período, de acordo com o § 655.20(j)(1)(ii); os trabalhadores com visto H-2B serão reembolsados ​​na primeira semana de trabalho por todos os vistos, processamento de vistos, travessia de fronteira e outras taxas relacionadas, incluindo aquelas exigidas pelo governo (exceto taxas de passaporte). O empregador fornecerá aos trabalhadores todas as ferramentas, suprimentos e equipamentos necessários para o desempenho do trabalho, sem custo para o trabalhador, de acordo com o 20 CFR 655.20(k). Os candidatos qualificados podem enviar o currículo para Heather Becht, no endereço 10420 Washingtonia Palm Way, Fort Myers, FL 33966, por e-mail para H2Bjobs@hpgcc.com ou visitar o centro de empregos local em 6800 Shoppes at Plantation Drive, Suite 170, Fort Myers, FL 33912. *Seu depósito de segurança é reembolsável após a conclusão do contrato e a inspeção da moradia. Se um trabalhador abandonar o emprego sem a permissão do empregador ou abandonar a moradia antes do término do prazo de solicitação por qualquer motivo, exceto rescisão contratual por parte do empregador, o trabalhador perderá todos os depósitos de moradia, dias de folga remunerada, férias e bônus. Após a rescisão ou demissão, o trabalhador deverá desocupar a moradia imediatamente, a menos que haja acordo com o empregador.* Classificação da vaga: 35-3031.00 - Garçons e Garçonetes. A classificação e descrição da vaga/setor incluem informações gerais sobre o cargo, de acordo com o ONET/OES e o Sistema de Classificação Industrial da América do Norte (NAICS). Consulte a Descrição das Funções e a Ordem de Serviço para obter mais informações. Requisitos da Vaga Experiência Necessária: Sim Meses de Experiência Necessária: 3 Número de Horas por Semana: 35 Horário de Trabalho (Início/Término): 6h00 - 22h00</v>
      </c>
    </row>
    <row r="717" ht="20.25" customHeight="1">
      <c r="A717" s="8" t="s">
        <v>3399</v>
      </c>
      <c r="B717" s="8" t="s">
        <v>3175</v>
      </c>
      <c r="C717" s="8" t="s">
        <v>197</v>
      </c>
      <c r="D717" s="8" t="s">
        <v>71</v>
      </c>
      <c r="E717" s="9" t="s">
        <v>19</v>
      </c>
      <c r="F717" s="9" t="s">
        <v>20</v>
      </c>
      <c r="G717" s="9" t="s">
        <v>524</v>
      </c>
      <c r="H717" s="8" t="s">
        <v>3176</v>
      </c>
      <c r="I717" s="8" t="s">
        <v>3177</v>
      </c>
      <c r="J717" s="9">
        <v>15.6</v>
      </c>
      <c r="K717" s="9">
        <v>20.0</v>
      </c>
      <c r="L717" s="8" t="s">
        <v>484</v>
      </c>
      <c r="M717" s="8" t="s">
        <v>3400</v>
      </c>
      <c r="N717" s="7" t="str">
        <f>IFERROR(__xludf.DUMMYFUNCTION("GOOGLETRANSLATE(L717, ""en"", ""pt"")"),"Auxiliares de recreação")</f>
        <v>Auxiliares de recreação</v>
      </c>
      <c r="O717" s="7" t="str">
        <f>IFERROR(__xludf.DUMMYFUNCTION("IF(M717="""","""",GOOGLETRANSLATE(M717,""en"",""pt""))"),"Monitorar as atividades nas instalações. Poderá prestar assistência administrativa aos membros, incluindo verificação de cartões de membro, confirmação de reservas, organização de mercadorias e fornecimento de informações sobre as instalações, limpeza bás"&amp;"ica de áreas recreativas e comuns, incluindo a limpeza de balcões e áreas de estar com soluções de limpeza. (20) funcionários necessários. Período: 01/10/2026 a 31/05/2027. Necessária experiência de 3 meses. Turnos rotativos. Dias de trabalho: segunda a d"&amp;"omingo. Horário de trabalho: 6h às 22h. Salário: US$ 15,60 a US$ 26/hora, com base no desempenho; horas extras: US$ 23,40 a US$ 39/hora. Pagamento quinzenal. 35 horas/semana. Alojamento opcional fornecido por US$ 140/semana com um depósito de US$ 300, ree"&amp;"mbolsável após a conclusão do contrato e inspeção da acomodação. Bônus de US$ 500 para quem retorna pela primeira vez, US$ 1.000 para quem retorna pela segunda vez ou mais, além de um cartão-presente de Natal no Dia de Ação de Graças. Uniformes e refeiçõe"&amp;"s durante o turno fornecidos. Local de trabalho: 3500 Clubhouse Lane, Boynton Beach, FL 33436. O trabalho é temporário, em tempo integral. A remuneração será calculada com base em uma semana de trabalho. Poderá haver até 10 horas extras, quando disponívei"&amp;"s. Todos os descontos obrigatórios por lei serão feitos no contracheque do trabalhador. O empregador fornecerá gratuitamente ao trabalhador todas as ferramentas, materiais e equipamentos necessários para a execução do trabalho. O trabalhador receberá ou s"&amp;"erá reembolsado pelo transporte e subsistência (incluindo o custo razoável de hospedagem noturna, quando necessário, até US$ 110/noite para hospedagem com recibos) a uma taxa de US$ 16,78 por dia durante a viagem, até um máximo de US$ 68,00 por dia com re"&amp;"cibos, desde o local de onde o trabalhador veio trabalhar para o empregador, seja nos EUA ou no exterior, até o local de trabalho, se o trabalhador completar 50% do período de emprego coberto pela ordem de serviço, de acordo com 20 CFR 655.20(j)(1)(i), me"&amp;"diante inclusão no pagamento da semana aplicável. O empregador fornecerá ou pagará o custo do transporte de retorno e da subsistência diária do trabalhador, do local de trabalho até o local de onde o trabalhador partiu para trabalhar para o empregador, in"&amp;"dependentemente de empregos intermediários, caso o trabalhador complete o período de emprego certificado ou seja demitido do emprego por qualquer motivo pelo empregador antes do término do período, de acordo com o § 655.20(j)(1)(ii); os trabalhadores com "&amp;"visto H-2B serão reembolsados ​​na primeira semana de trabalho por todos os vistos, processamento de vistos, travessia de fronteira e outras taxas relacionadas, incluindo aquelas exigidas pelo governo (exceto taxas de passaporte). O empregador fornecerá a"&amp;"os trabalhadores todas as ferramentas, suprimentos e equipamentos necessários para o desempenho do trabalho, sem custo para o trabalhador, de acordo com o 20 CFR 655.20(k). Os candidatos qualificados podem enviar o currículo para Emily Viviano Rockle, no "&amp;"endereço 3500 Clubhouse Lane, Boynton Beach, FL 33436, por e-mail para careers@huntersrun.net ou visitar o centro de empregos local em 3400 Belvedere Road, West Palm Beach, FL 33406. *Seu depósito de segurança é reembolsável após a conclusão do contrato e"&amp;" a inspeção da moradia. Se um trabalhador abandonar o emprego sem a permissão do empregador ou abandonar a moradia antes do término do prazo de inscrição por qualquer motivo, exceto rescisão por parte do empregador, o trabalhador perderá todos os depósito"&amp;"s de moradia, dias de folga remunerada, férias e bônus. Após a rescisão ou demissão, o trabalhador deverá desocupar a moradia imediatamente, a menos que haja acordo com o empregador.* Classificação do Cargo: 39-3091.00 - Atendentes de Parques de Diversões"&amp;" e Recreação. A classificação e descrição do cargo/setor incluem informações gerais sobre a posição, de acordo com o ONET/OES e o Sistema de Classificação Industrial da América do Norte. Consulte as Funções e a Ordem de Serviço para obter mais informações"&amp;". Requisitos da vaga Experiência necessária: Sim Meses de experiência necessários: 3 Número de horas por semana: 35 Horário de trabalho (início/término): 6h às 22h")</f>
        <v>Monitorar as atividades nas instalações. Poderá prestar assistência administrativa aos membros, incluindo verificação de cartões de membro, confirmação de reservas, organização de mercadorias e fornecimento de informações sobre as instalações, limpeza básica de áreas recreativas e comuns, incluindo a limpeza de balcões e áreas de estar com soluções de limpeza. (20) funcionários necessários. Período: 01/10/2026 a 31/05/2027. Necessária experiência de 3 meses. Turnos rotativos. Dias de trabalho: segunda a domingo. Horário de trabalho: 6h às 22h. Salário: US$ 15,60 a US$ 26/hora, com base no desempenho; horas extras: US$ 23,40 a US$ 39/hora. Pagamento quinzenal. 35 horas/semana. Alojamento opcional fornecido por US$ 140/semana com um depósito de US$ 300, reembolsável após a conclusão do contrato e inspeção da acomodação. Bônus de US$ 500 para quem retorna pela primeira vez, US$ 1.000 para quem retorna pela segunda vez ou mais, além de um cartão-presente de Natal no Dia de Ação de Graças. Uniformes e refeições durante o turno fornecidos. Local de trabalho: 3500 Clubhouse Lane, Boynton Beach, FL 33436. O trabalho é temporário, em tempo integral. A remuneração será calculada com base em uma semana de trabalho. Poderá haver até 10 horas extras, quando disponíveis. Todos os descontos obrigatórios por lei serão feitos no contracheque do trabalhador. O empregador fornecerá gratuitamente ao trabalhador todas as ferramentas, materiais e equipamentos necessários para a execução do trabalho. O trabalhador receberá ou será reembolsado pelo transporte e subsistência (incluindo o custo razoável de hospedagem noturna, quando necessário, até US$ 110/noite para hospedagem com recibos) a uma taxa de US$ 16,78 por dia durante a viagem, até um máximo de US$ 68,00 por dia com recibos, desde o local de onde o trabalhador veio trabalhar para o empregador, seja nos EUA ou no exterior, até o local de trabalho, se o trabalhador completar 50% do período de emprego coberto pela ordem de serviço, de acordo com 20 CFR 655.20(j)(1)(i), mediante inclusão no pagamento da semana aplicável. O empregador fornecerá ou pagará o custo do transporte de retorno e da subsistência diária do trabalhador, do local de trabalho até o local de onde o trabalhador partiu para trabalhar para o empregador, independentemente de empregos intermediários, caso o trabalhador complete o período de emprego certificado ou seja demitido do emprego por qualquer motivo pelo empregador antes do término do período, de acordo com o § 655.20(j)(1)(ii); os trabalhadores com visto H-2B serão reembolsados ​​na primeira semana de trabalho por todos os vistos, processamento de vistos, travessia de fronteira e outras taxas relacionadas, incluindo aquelas exigidas pelo governo (exceto taxas de passaporte). O empregador fornecerá aos trabalhadores todas as ferramentas, suprimentos e equipamentos necessários para o desempenho do trabalho, sem custo para o trabalhador, de acordo com o 20 CFR 655.20(k). Os candidatos qualificados podem enviar o currículo para Emily Viviano Rockle, no endereço 3500 Clubhouse Lane, Boynton Beach, FL 33436, por e-mail para careers@huntersrun.net ou visitar o centro de empregos local em 3400 Belvedere Road, West Palm Beach, FL 33406. *Seu depósito de segurança é reembolsável após a conclusão do contrato e a inspeção da moradia. Se um trabalhador abandonar o emprego sem a permissão do empregador ou abandonar a moradia antes do término do prazo de inscrição por qualquer motivo, exceto rescisão por parte do empregador, o trabalhador perderá todos os depósitos de moradia, dias de folga remunerada, férias e bônus. Após a rescisão ou demissão, o trabalhador deverá desocupar a moradia imediatamente, a menos que haja acordo com o empregador.* Classificação do Cargo: 39-3091.00 - Atendentes de Parques de Diversões e Recreação. A classificação e descrição do cargo/setor incluem informações gerais sobre a posição, de acordo com o ONET/OES e o Sistema de Classificação Industrial da América do Norte. Consulte as Funções e a Ordem de Serviço para obter mais informações. Requisitos da vaga Experiência necessária: Sim Meses de experiência necessários: 3 Número de horas por semana: 35 Horário de trabalho (início/término): 6h às 22h</v>
      </c>
    </row>
    <row r="718" ht="20.25" customHeight="1">
      <c r="A718" s="3" t="s">
        <v>3401</v>
      </c>
      <c r="B718" s="3" t="s">
        <v>3175</v>
      </c>
      <c r="C718" s="3" t="s">
        <v>197</v>
      </c>
      <c r="D718" s="3" t="s">
        <v>71</v>
      </c>
      <c r="E718" s="4" t="s">
        <v>19</v>
      </c>
      <c r="F718" s="4" t="s">
        <v>20</v>
      </c>
      <c r="G718" s="4" t="s">
        <v>524</v>
      </c>
      <c r="H718" s="3" t="s">
        <v>3176</v>
      </c>
      <c r="I718" s="3" t="s">
        <v>3177</v>
      </c>
      <c r="J718" s="4">
        <v>22.56</v>
      </c>
      <c r="K718" s="4">
        <v>11.0</v>
      </c>
      <c r="L718" s="3" t="s">
        <v>3402</v>
      </c>
      <c r="M718" s="3" t="s">
        <v>3403</v>
      </c>
      <c r="N718" s="7" t="str">
        <f>IFERROR(__xludf.DUMMYFUNCTION("GOOGLETRANSLATE(L718, ""en"", ""pt"")"),"Supervisor de Alimentos e Bebidas")</f>
        <v>Supervisor de Alimentos e Bebidas</v>
      </c>
      <c r="O718" s="7" t="str">
        <f>IFERROR(__xludf.DUMMYFUNCTION("IF(M718="""","""",GOOGLETRANSLATE(M718,""en"",""pt""))"),"Executar diversas atividades financeiras, como manuseio de dinheiro, preparação de depósitos e folha de pagamento. Resolver reclamações de clientes relacionadas ao serviço de alimentação. Compilar e conciliar os recibos de caixa ao final do dia ou turno. "&amp;"Apresentar contas e receber pagamentos. Inspecionar suprimentos, equipamentos e áreas de trabalho para garantir um serviço eficiente e a conformidade com os padrões. (11) vagas disponíveis. Período: 01/10/2026 a 31/05/2027. Necessária experiência de 3 mes"&amp;"es. Turnos rotativos. Dias de trabalho: segunda a domingo. Horário de trabalho: 6h às 22h. Salário: US$ 21,98 a US$ 30/hora, mais gorjetas, mas não inferior a US$ 22,56/hora, e US$ 33,84/hora para horas extras. Pagamento quinzenal. 35 horas/semana. Alojam"&amp;"ento opcional por US$ 140/semana, com depósito de US$ 300, reembolsável após a assinatura do contrato e inspeção do imóvel. Bônus de US$ 500 para quem retorna pela primeira vez, US$ 1.000 para quem retorna pela segunda vez ou mais, além de um cartão-prese"&amp;"nte de Natal no Dia de Ação de Graças. Uniformes e refeições durante o turno são fornecidos. Local de trabalho: 3500 Clubhouse Lane, Boynton Beach, FL 33436. O trabalho é temporário, em tempo integral. A remuneração será calculada com base em uma única se"&amp;"mana de trabalho. Pode haver até 10 horas extras disponíveis. Todos os descontos obrigatórios por lei serão feitos no contracheque do trabalhador. O empregador fornecerá gratuitamente aos trabalhadores todas as ferramentas, materiais e equipamentos necess"&amp;"ários para a execução do trabalho. O trabalhador receberá ou será reembolsado pelo transporte e subsistência (incluindo o custo razoável de hospedagem noturna, quando necessário, até US$ 110/noite para hospedagem com recibos) a uma taxa de US$ 16,78 por d"&amp;"ia durante a viagem, até um máximo de US$ 68,00 por dia com recibos, desde o local de onde o trabalhador veio trabalhar para o empregador, seja nos EUA ou no exterior, até o local de trabalho, se o trabalhador completar 50% do período de emprego coberto p"&amp;"ela ordem de serviço, de acordo com 20 CFR 655.20(j)(1)(i), mediante inclusão no pagamento da semana aplicável. O empregador fornecerá ou pagará o custo do transporte de retorno e da subsistência diária do trabalhador, do local de trabalho até o local de "&amp;"onde o trabalhador partiu para trabalhar para o empregador, independentemente de empregos intermediários, caso o trabalhador complete o período de emprego certificado ou seja demitido do emprego por qualquer motivo pelo empregador antes do término do perí"&amp;"odo, de acordo com o § 655.20(j)(1)(ii); os trabalhadores com visto H-2B serão reembolsados ​​na primeira semana de trabalho por todos os vistos, processamento de vistos, travessia de fronteira e outras taxas relacionadas, incluindo aquelas exigidas pelo "&amp;"governo (exceto taxas de passaporte). O empregador fornecerá aos trabalhadores todas as ferramentas, suprimentos e equipamentos necessários para o desempenho do trabalho, sem custo para o trabalhador, de acordo com o 20 CFR 655.20(k). Os candidatos qualif"&amp;"icados podem enviar o currículo para Emily Viviano Rockle, aos cuidados de 3500 Clubhouse Lane, Boynton Beach, FL 33436, por e-mail para careers@huntersrun.net ou visitar o centro de empregos local em 3400 Belvedere Road, West Palm Beach, FL 33406. *Seu d"&amp;"epósito de segurança é reembolsável após a conclusão do contrato e a inspeção da moradia. Se um trabalhador abandonar o emprego sem a permissão do empregador ou abandonar a moradia antes do término do prazo de inscrição por qualquer motivo, exceto rescisã"&amp;"o por parte do empregador, o trabalhador perderá todos os depósitos de moradia, dias de folga remunerada, férias e bônus. Após a rescisão ou demissão, o trabalhador deverá desocupar a moradia imediatamente, a menos que haja acordo com o empregador.* Class"&amp;"ificação do Cargo: 35-1012.00 - Supervisores de Primeira Linha de Trabalhadores de Preparação e Serviço de Alimentos. A classificação e descrição do cargo/setor incluem informações gerais sobre a posição, de acordo com o ONET/OES e o Sistema de Classifica"&amp;"ção Industrial da América do Norte. Consulte as Funções e a Ordem de Serviço para obter mais informações. Requisitos da vaga Experiência necessária: Sim Meses de experiência necessários: 3 Número de horas por semana: 35 Horário de trabalho (início/término"&amp;"): 6h às 22h")</f>
        <v>Executar diversas atividades financeiras, como manuseio de dinheiro, preparação de depósitos e folha de pagamento. Resolver reclamações de clientes relacionadas ao serviço de alimentação. Compilar e conciliar os recibos de caixa ao final do dia ou turno. Apresentar contas e receber pagamentos. Inspecionar suprimentos, equipamentos e áreas de trabalho para garantir um serviço eficiente e a conformidade com os padrões. (11) vagas disponíveis. Período: 01/10/2026 a 31/05/2027. Necessária experiência de 3 meses. Turnos rotativos. Dias de trabalho: segunda a domingo. Horário de trabalho: 6h às 22h. Salário: US$ 21,98 a US$ 30/hora, mais gorjetas, mas não inferior a US$ 22,56/hora, e US$ 33,84/hora para horas extras. Pagamento quinzenal. 35 horas/semana. Alojamento opcional por US$ 140/semana, com depósito de US$ 300, reembolsável após a assinatura do contrato e inspeção do imóvel. Bônus de US$ 500 para quem retorna pela primeira vez, US$ 1.000 para quem retorna pela segunda vez ou mais, além de um cartão-presente de Natal no Dia de Ação de Graças. Uniformes e refeições durante o turno são fornecidos. Local de trabalho: 3500 Clubhouse Lane, Boynton Beach, FL 33436. O trabalho é temporário, em tempo integral. A remuneração será calculada com base em uma única semana de trabalho. Pode haver até 10 horas extras disponíveis. Todos os descontos obrigatórios por lei serão feitos no contracheque do trabalhador. O empregador fornecerá gratuitamente aos trabalhadores todas as ferramentas, materiais e equipamentos necessários para a execução do trabalho. O trabalhador receberá ou será reembolsado pelo transporte e subsistência (incluindo o custo razoável de hospedagem noturna, quando necessário, até US$ 110/noite para hospedagem com recibos) a uma taxa de US$ 16,78 por dia durante a viagem, até um máximo de US$ 68,00 por dia com recibos, desde o local de onde o trabalhador veio trabalhar para o empregador, seja nos EUA ou no exterior, até o local de trabalho, se o trabalhador completar 50% do período de emprego coberto pela ordem de serviço, de acordo com 20 CFR 655.20(j)(1)(i), mediante inclusão no pagamento da semana aplicável. O empregador fornecerá ou pagará o custo do transporte de retorno e da subsistência diária do trabalhador, do local de trabalho até o local de onde o trabalhador partiu para trabalhar para o empregador, independentemente de empregos intermediários, caso o trabalhador complete o período de emprego certificado ou seja demitido do emprego por qualquer motivo pelo empregador antes do término do período, de acordo com o § 655.20(j)(1)(ii); os trabalhadores com visto H-2B serão reembolsados ​​na primeira semana de trabalho por todos os vistos, processamento de vistos, travessia de fronteira e outras taxas relacionadas, incluindo aquelas exigidas pelo governo (exceto taxas de passaporte). O empregador fornecerá aos trabalhadores todas as ferramentas, suprimentos e equipamentos necessários para o desempenho do trabalho, sem custo para o trabalhador, de acordo com o 20 CFR 655.20(k). Os candidatos qualificados podem enviar o currículo para Emily Viviano Rockle, aos cuidados de 3500 Clubhouse Lane, Boynton Beach, FL 33436, por e-mail para careers@huntersrun.net ou visitar o centro de empregos local em 3400 Belvedere Road, West Palm Beach, FL 33406. *Seu depósito de segurança é reembolsável após a conclusão do contrato e a inspeção da moradia. Se um trabalhador abandonar o emprego sem a permissão do empregador ou abandonar a moradia antes do término do prazo de inscrição por qualquer motivo, exceto rescisão por parte do empregador, o trabalhador perderá todos os depósitos de moradia, dias de folga remunerada, férias e bônus. Após a rescisão ou demissão, o trabalhador deverá desocupar a moradia imediatamente, a menos que haja acordo com o empregador.* Classificação do Cargo: 35-1012.00 - Supervisores de Primeira Linha de Trabalhadores de Preparação e Serviço de Alimentos. A classificação e descrição do cargo/setor incluem informações gerais sobre a posição, de acordo com o ONET/OES e o Sistema de Classificação Industrial da América do Norte. Consulte as Funções e a Ordem de Serviço para obter mais informações. Requisitos da vaga Experiência necessária: Sim Meses de experiência necessários: 3 Número de horas por semana: 35 Horário de trabalho (início/término): 6h às 22h</v>
      </c>
    </row>
    <row r="719" ht="20.25" customHeight="1">
      <c r="A719" s="8" t="s">
        <v>3404</v>
      </c>
      <c r="B719" s="8" t="s">
        <v>3175</v>
      </c>
      <c r="C719" s="8" t="s">
        <v>197</v>
      </c>
      <c r="D719" s="8" t="s">
        <v>71</v>
      </c>
      <c r="E719" s="9" t="s">
        <v>19</v>
      </c>
      <c r="F719" s="9" t="s">
        <v>20</v>
      </c>
      <c r="G719" s="9" t="s">
        <v>524</v>
      </c>
      <c r="H719" s="8" t="s">
        <v>3176</v>
      </c>
      <c r="I719" s="8" t="s">
        <v>3177</v>
      </c>
      <c r="J719" s="9">
        <v>19.51</v>
      </c>
      <c r="K719" s="9">
        <v>8.0</v>
      </c>
      <c r="L719" s="8" t="s">
        <v>1684</v>
      </c>
      <c r="M719" s="8" t="s">
        <v>3405</v>
      </c>
      <c r="N719" s="7" t="str">
        <f>IFERROR(__xludf.DUMMYFUNCTION("GOOGLETRANSLATE(L719, ""en"", ""pt"")"),"Barman")</f>
        <v>Barman</v>
      </c>
      <c r="O719" s="7" t="str">
        <f>IFERROR(__xludf.DUMMYFUNCTION("IF(M719="""","""",GOOGLETRANSLATE(M719,""en"",""pt""))"),"Recebe pedidos, prepara e serve bebidas aos clientes. Mantém o bar abastecido e limpo, leva a comida da cozinha para o bar e recebe pagamentos. (8) vagas disponíveis. Período: 01/10/2026 a 31/05/2027. Necessário 3 meses de experiência. Turnos rotativos. D"&amp;"ias de trabalho: segunda a domingo. Horário: 6h às 22h. Salário: US$ 16 a US$ 19 por hora, mais gorjetas, mas não menos que US$ 19,51 por hora. Hora extra: US$ 29,27 por hora. Pagamento quinzenal. 35 horas semanais. Alojamento opcional por US$ 140 por sem"&amp;"ana, com depósito de US$ 300, reembolsável após o término do contrato e inspeção do imóvel. Bônus de US$ 500 para quem retorna pela primeira vez, US$ 1.000 para quem retorna pela segunda vez ou mais, além de um cartão-presente de Natal no Dia de Ação de G"&amp;"raças. Uniformes e refeições durante o turno fornecidos. Local de trabalho: 3500 Clubhouse Lane, Boynton Beach, FL 33436. O trabalho é temporário, em tempo integral. A remuneração será calculada com base em uma semana de trabalho. Poderá haver até 10 hora"&amp;"s extras, quando disponíveis. Todos os descontos obrigatórios por lei serão feitos no contracheque do trabalhador. O empregador fornecerá gratuitamente ao trabalhador todas as ferramentas, materiais e equipamentos necessários para a execução do trabalho. "&amp;"O trabalhador receberá ou será reembolsado pelo transporte e subsistência (incluindo o custo razoável de hospedagem noturna, quando necessário, até US$ 110/noite para hospedagem com recibos) a uma taxa de US$ 16,78 por dia durante a viagem, até um máximo "&amp;"de US$ 68,00 por dia com recibos, desde o local de onde o trabalhador veio trabalhar para o empregador, seja nos EUA ou no exterior, até o local de trabalho, se o trabalhador completar 50% do período de emprego coberto pela ordem de serviço, de acordo com"&amp;" 20 CFR 655.20(j)(1)(i), mediante inclusão no pagamento da semana aplicável. O empregador fornecerá ou pagará o custo do transporte de retorno e da subsistência diária do trabalhador, do local de trabalho até o local de onde o trabalhador partiu para trab"&amp;"alhar para o empregador, independentemente de empregos intermediários, caso o trabalhador complete o período de emprego certificado ou seja demitido do emprego por qualquer motivo pelo empregador antes do término do período, de acordo com o § 655.20(j)(1)"&amp;"(ii); os trabalhadores com visto H-2B serão reembolsados ​​na primeira semana de trabalho por todos os vistos, processamento de vistos, travessia de fronteira e outras taxas relacionadas, incluindo aquelas exigidas pelo governo (exceto taxas de passaporte"&amp;"). O empregador fornecerá aos trabalhadores todas as ferramentas, suprimentos e equipamentos necessários para o desempenho do trabalho, sem custo para o trabalhador, de acordo com o 20 CFR 655.20(k). Os candidatos qualificados podem enviar o currículo par"&amp;"a Emily Viviano Rockle, aos cuidados de 3500 Clubhouse Lane, Boynton Beach, FL 33436, por e-mail para careers@huntersrun.net ou visitar o centro de empregos local em 3400 Belvedere Road, West Palm Beach, FL 33406. *Seu depósito de segurança é reembolsável"&amp;" após a conclusão do contrato e a inspeção da moradia. Se um trabalhador abandonar o emprego sem a permissão do empregador ou abandonar a moradia antes do término do prazo de inscrição por qualquer motivo, exceto rescisão por parte do empregador, o trabal"&amp;"hador perderá todos os depósitos de moradia, dias de folga remunerada, férias e bônus. Após a rescisão ou demissão, o trabalhador deverá desocupar a moradia imediatamente, a menos que haja acordo com o empregador.* Classificação do Cargo: 35-3011.00 - Bar"&amp;"tenders. A classificação e descrição do cargo/setor incluem informações gerais sobre a posição, de acordo com o ONET/OES e o Sistema de Classificação Industrial da América do Norte. Consulte as Funções e a Ordem de Serviço para obter mais informações. Req"&amp;"uisitos da vaga Experiência necessária: Sim Meses de experiência necessários: 3 Número de horas por semana: 35 Horário de trabalho (início/término): 6h às 22h")</f>
        <v>Recebe pedidos, prepara e serve bebidas aos clientes. Mantém o bar abastecido e limpo, leva a comida da cozinha para o bar e recebe pagamentos. (8) vagas disponíveis. Período: 01/10/2026 a 31/05/2027. Necessário 3 meses de experiência. Turnos rotativos. Dias de trabalho: segunda a domingo. Horário: 6h às 22h. Salário: US$ 16 a US$ 19 por hora, mais gorjetas, mas não menos que US$ 19,51 por hora. Hora extra: US$ 29,27 por hora. Pagamento quinzenal. 35 horas semanais. Alojamento opcional por US$ 140 por semana, com depósito de US$ 300, reembolsável após o término do contrato e inspeção do imóvel. Bônus de US$ 500 para quem retorna pela primeira vez, US$ 1.000 para quem retorna pela segunda vez ou mais, além de um cartão-presente de Natal no Dia de Ação de Graças. Uniformes e refeições durante o turno fornecidos. Local de trabalho: 3500 Clubhouse Lane, Boynton Beach, FL 33436. O trabalho é temporário, em tempo integral. A remuneração será calculada com base em uma semana de trabalho. Poderá haver até 10 horas extras, quando disponíveis. Todos os descontos obrigatórios por lei serão feitos no contracheque do trabalhador. O empregador fornecerá gratuitamente ao trabalhador todas as ferramentas, materiais e equipamentos necessários para a execução do trabalho. O trabalhador receberá ou será reembolsado pelo transporte e subsistência (incluindo o custo razoável de hospedagem noturna, quando necessário, até US$ 110/noite para hospedagem com recibos) a uma taxa de US$ 16,78 por dia durante a viagem, até um máximo de US$ 68,00 por dia com recibos, desde o local de onde o trabalhador veio trabalhar para o empregador, seja nos EUA ou no exterior, até o local de trabalho, se o trabalhador completar 50% do período de emprego coberto pela ordem de serviço, de acordo com 20 CFR 655.20(j)(1)(i), mediante inclusão no pagamento da semana aplicável. O empregador fornecerá ou pagará o custo do transporte de retorno e da subsistência diária do trabalhador, do local de trabalho até o local de onde o trabalhador partiu para trabalhar para o empregador, independentemente de empregos intermediários, caso o trabalhador complete o período de emprego certificado ou seja demitido do emprego por qualquer motivo pelo empregador antes do término do período, de acordo com o § 655.20(j)(1)(ii); os trabalhadores com visto H-2B serão reembolsados ​​na primeira semana de trabalho por todos os vistos, processamento de vistos, travessia de fronteira e outras taxas relacionadas, incluindo aquelas exigidas pelo governo (exceto taxas de passaporte). O empregador fornecerá aos trabalhadores todas as ferramentas, suprimentos e equipamentos necessários para o desempenho do trabalho, sem custo para o trabalhador, de acordo com o 20 CFR 655.20(k). Os candidatos qualificados podem enviar o currículo para Emily Viviano Rockle, aos cuidados de 3500 Clubhouse Lane, Boynton Beach, FL 33436, por e-mail para careers@huntersrun.net ou visitar o centro de empregos local em 3400 Belvedere Road, West Palm Beach, FL 33406. *Seu depósito de segurança é reembolsável após a conclusão do contrato e a inspeção da moradia. Se um trabalhador abandonar o emprego sem a permissão do empregador ou abandonar a moradia antes do término do prazo de inscrição por qualquer motivo, exceto rescisão por parte do empregador, o trabalhador perderá todos os depósitos de moradia, dias de folga remunerada, férias e bônus. Após a rescisão ou demissão, o trabalhador deverá desocupar a moradia imediatamente, a menos que haja acordo com o empregador.* Classificação do Cargo: 35-3011.00 - Bartenders. A classificação e descrição do cargo/setor incluem informações gerais sobre a posição, de acordo com o ONET/OES e o Sistema de Classificação Industrial da América do Norte. Consulte as Funções e a Ordem de Serviço para obter mais informações. Requisitos da vaga Experiência necessária: Sim Meses de experiência necessários: 3 Número de horas por semana: 35 Horário de trabalho (início/término): 6h às 22h</v>
      </c>
    </row>
    <row r="720" ht="20.25" customHeight="1">
      <c r="A720" s="3" t="s">
        <v>3406</v>
      </c>
      <c r="B720" s="3" t="s">
        <v>3175</v>
      </c>
      <c r="C720" s="3" t="s">
        <v>197</v>
      </c>
      <c r="D720" s="3" t="s">
        <v>71</v>
      </c>
      <c r="E720" s="4" t="s">
        <v>19</v>
      </c>
      <c r="F720" s="4" t="s">
        <v>20</v>
      </c>
      <c r="G720" s="4" t="s">
        <v>524</v>
      </c>
      <c r="H720" s="3" t="s">
        <v>3176</v>
      </c>
      <c r="I720" s="3" t="s">
        <v>3177</v>
      </c>
      <c r="J720" s="4">
        <v>18.71</v>
      </c>
      <c r="K720" s="4">
        <v>32.0</v>
      </c>
      <c r="L720" s="3" t="s">
        <v>201</v>
      </c>
      <c r="M720" s="3" t="s">
        <v>3407</v>
      </c>
      <c r="N720" s="7" t="str">
        <f>IFERROR(__xludf.DUMMYFUNCTION("GOOGLETRANSLATE(L720, ""en"", ""pt"")"),"Servidores")</f>
        <v>Servidores</v>
      </c>
      <c r="O720" s="7" t="str">
        <f>IFERROR(__xludf.DUMMYFUNCTION("IF(M720="""","""",GOOGLETRANSLATE(M720,""en"",""pt""))"),"Receber pedidos, levar comida e bebidas aos clientes. Limpar e arrumar as mesas. Receber pagamentos e entregar recibos. Manter todos os postos de trabalho abastecidos. Servir pão, água e café. Receber os clientes. (32) vagas disponíveis. Período: 01/10/20"&amp;"26 a 31/05/2027. Necessário 3 meses de experiência. Turnos rotativos. Dias de trabalho: segunda a domingo. Horário: 6h às 22h. Salário: US$ 11,98 a US$ 12 por hora, mais gorjetas, mas não menos que US$ 18,71 por hora, US$ 28,07 por hora em horas extras. P"&amp;"agamento quinzenal. 35 horas semanais. Alojamento opcional por US$ 140 por semana, com depósito de US$ 300, reembolsável após o término do contrato e inspeção do imóvel. Bônus de US$ 500 para quem retorna pela primeira vez, US$ 1.000 para quem retorna pel"&amp;"a segunda vez ou mais, além de um cartão-presente de Natal no Dia de Ação de Graças. Uniformes e refeições durante o turno fornecidos. Local de trabalho: 3500 Clubhouse Lane, Boynton Beach, FL 33436. O trabalho é temporário, em tempo integral. A remuneraç"&amp;"ão será calculada com base em uma semana de trabalho. Poderá haver até 10 horas extras, quando disponíveis. Todos os descontos obrigatórios por lei serão feitos no contracheque do trabalhador. O empregador fornecerá gratuitamente ao trabalhador todas as f"&amp;"erramentas, materiais e equipamentos necessários para a execução do trabalho. O trabalhador receberá ou será reembolsado pelo transporte e subsistência (incluindo o custo razoável de hospedagem noturna, quando necessário, até US$ 110/noite para hospedagem"&amp;" com recibos) a uma taxa de US$ 16,78 por dia durante a viagem, até um máximo de US$ 68,00 por dia com recibos, desde o local de onde o trabalhador veio trabalhar para o empregador, seja nos EUA ou no exterior, até o local de trabalho, se o trabalhador co"&amp;"mpletar 50% do período de emprego coberto pela ordem de serviço, de acordo com 20 CFR 655.20(j)(1)(i), mediante inclusão no pagamento da semana aplicável. O empregador fornecerá ou pagará o custo do transporte de retorno e da subsistência diária do trabal"&amp;"hador, do local de trabalho até o local de onde o trabalhador partiu para trabalhar para o empregador, independentemente de empregos intermediários, caso o trabalhador complete o período de emprego certificado ou seja demitido do emprego por qualquer moti"&amp;"vo pelo empregador antes do término do período, de acordo com o § 655.20(j)(1)(ii); os trabalhadores com visto H-2B serão reembolsados ​​na primeira semana de trabalho por todos os vistos, processamento de vistos, travessia de fronteira e outras taxas rel"&amp;"acionadas, incluindo aquelas exigidas pelo governo (exceto taxas de passaporte). O empregador fornecerá aos trabalhadores todas as ferramentas, suprimentos e equipamentos necessários para o desempenho do trabalho, sem custo para o trabalhador, de acordo c"&amp;"om o 20 CFR 655.20(k). Os candidatos qualificados podem enviar o currículo para Emily Viviano Rockle, aos cuidados de 3500 Clubhouse Lane, Boynton Beach, FL 33436, por e-mail para careers@huntersrun.net ou visitar o centro de empregos local em 3400 Belved"&amp;"ere Road, West Palm Beach, FL 33406. *Seu depósito de segurança é reembolsável após a conclusão do contrato e a inspeção da moradia. Se um trabalhador abandonar o emprego sem a permissão do empregador ou abandonar a moradia antes do término do prazo de in"&amp;"scrição por qualquer motivo, exceto rescisão por parte do empregador, o trabalhador perderá todos os depósitos de moradia, dias de folga remunerada, férias e bônus. Após a rescisão ou demissão, o trabalhador deverá desocupar a moradia imediatamente, a men"&amp;"os que haja acordo com o empregador.* Classificação do Cargo: 35-3031.00 - Garçons e Garçonetes. A classificação e descrição do cargo/setor incluem informações gerais sobre a posição, de acordo com o ONET/OES e o Sistema de Classificação Industrial da Amé"&amp;"rica do Norte. Consulte as Funções e a Ordem de Serviço para obter mais informações. Requisitos da vaga Experiência necessária: Sim Meses de experiência necessários: 3 Número de horas por semana: 35 Horário de trabalho (início/término): 6h às 22h")</f>
        <v>Receber pedidos, levar comida e bebidas aos clientes. Limpar e arrumar as mesas. Receber pagamentos e entregar recibos. Manter todos os postos de trabalho abastecidos. Servir pão, água e café. Receber os clientes. (32) vagas disponíveis. Período: 01/10/2026 a 31/05/2027. Necessário 3 meses de experiência. Turnos rotativos. Dias de trabalho: segunda a domingo. Horário: 6h às 22h. Salário: US$ 11,98 a US$ 12 por hora, mais gorjetas, mas não menos que US$ 18,71 por hora, US$ 28,07 por hora em horas extras. Pagamento quinzenal. 35 horas semanais. Alojamento opcional por US$ 140 por semana, com depósito de US$ 300, reembolsável após o término do contrato e inspeção do imóvel. Bônus de US$ 500 para quem retorna pela primeira vez, US$ 1.000 para quem retorna pela segunda vez ou mais, além de um cartão-presente de Natal no Dia de Ação de Graças. Uniformes e refeições durante o turno fornecidos. Local de trabalho: 3500 Clubhouse Lane, Boynton Beach, FL 33436. O trabalho é temporário, em tempo integral. A remuneração será calculada com base em uma semana de trabalho. Poderá haver até 10 horas extras, quando disponíveis. Todos os descontos obrigatórios por lei serão feitos no contracheque do trabalhador. O empregador fornecerá gratuitamente ao trabalhador todas as ferramentas, materiais e equipamentos necessários para a execução do trabalho. O trabalhador receberá ou será reembolsado pelo transporte e subsistência (incluindo o custo razoável de hospedagem noturna, quando necessário, até US$ 110/noite para hospedagem com recibos) a uma taxa de US$ 16,78 por dia durante a viagem, até um máximo de US$ 68,00 por dia com recibos, desde o local de onde o trabalhador veio trabalhar para o empregador, seja nos EUA ou no exterior, até o local de trabalho, se o trabalhador completar 50% do período de emprego coberto pela ordem de serviço, de acordo com 20 CFR 655.20(j)(1)(i), mediante inclusão no pagamento da semana aplicável. O empregador fornecerá ou pagará o custo do transporte de retorno e da subsistência diária do trabalhador, do local de trabalho até o local de onde o trabalhador partiu para trabalhar para o empregador, independentemente de empregos intermediários, caso o trabalhador complete o período de emprego certificado ou seja demitido do emprego por qualquer motivo pelo empregador antes do término do período, de acordo com o § 655.20(j)(1)(ii); os trabalhadores com visto H-2B serão reembolsados ​​na primeira semana de trabalho por todos os vistos, processamento de vistos, travessia de fronteira e outras taxas relacionadas, incluindo aquelas exigidas pelo governo (exceto taxas de passaporte). O empregador fornecerá aos trabalhadores todas as ferramentas, suprimentos e equipamentos necessários para o desempenho do trabalho, sem custo para o trabalhador, de acordo com o 20 CFR 655.20(k). Os candidatos qualificados podem enviar o currículo para Emily Viviano Rockle, aos cuidados de 3500 Clubhouse Lane, Boynton Beach, FL 33436, por e-mail para careers@huntersrun.net ou visitar o centro de empregos local em 3400 Belvedere Road, West Palm Beach, FL 33406. *Seu depósito de segurança é reembolsável após a conclusão do contrato e a inspeção da moradia. Se um trabalhador abandonar o emprego sem a permissão do empregador ou abandonar a moradia antes do término do prazo de inscrição por qualquer motivo, exceto rescisão por parte do empregador, o trabalhador perderá todos os depósitos de moradia, dias de folga remunerada, férias e bônus. Após a rescisão ou demissão, o trabalhador deverá desocupar a moradia imediatamente, a menos que haja acordo com o empregador.* Classificação do Cargo: 35-3031.00 - Garçons e Garçonetes. A classificação e descrição do cargo/setor incluem informações gerais sobre a posição, de acordo com o ONET/OES e o Sistema de Classificação Industrial da América do Norte. Consulte as Funções e a Ordem de Serviço para obter mais informações. Requisitos da vaga Experiência necessária: Sim Meses de experiência necessários: 3 Número de horas por semana: 35 Horário de trabalho (início/término): 6h às 22h</v>
      </c>
    </row>
    <row r="721" ht="20.25" customHeight="1">
      <c r="A721" s="8" t="s">
        <v>3408</v>
      </c>
      <c r="B721" s="8" t="s">
        <v>3175</v>
      </c>
      <c r="C721" s="8" t="s">
        <v>197</v>
      </c>
      <c r="D721" s="8" t="s">
        <v>71</v>
      </c>
      <c r="E721" s="9" t="s">
        <v>44</v>
      </c>
      <c r="F721" s="9" t="s">
        <v>20</v>
      </c>
      <c r="G721" s="9" t="s">
        <v>524</v>
      </c>
      <c r="H721" s="8" t="s">
        <v>3176</v>
      </c>
      <c r="I721" s="8" t="s">
        <v>3177</v>
      </c>
      <c r="J721" s="9">
        <v>23.66</v>
      </c>
      <c r="K721" s="9">
        <v>3.0</v>
      </c>
      <c r="L721" s="8" t="s">
        <v>3409</v>
      </c>
      <c r="M721" s="8" t="s">
        <v>3410</v>
      </c>
      <c r="N721" s="7" t="str">
        <f>IFERROR(__xludf.DUMMYFUNCTION("GOOGLETRANSLATE(L721, ""en"", ""pt"")"),"Manutenção")</f>
        <v>Manutenção</v>
      </c>
      <c r="O721" s="7" t="str">
        <f>IFERROR(__xludf.DUMMYFUNCTION("IF(M721="""","""",GOOGLETRANSLATE(M721,""en"",""pt""))"),"Instalação, desmontagem, manutenção e reparo de equipamentos como urinóis/vasos sanitários, equipamentos externos, remoção de lixo de vários locais da propriedade. Utilização de ferramentas manuais e elétricas, transporte de ferramentas, peças e equipamen"&amp;"tos entre os locais de trabalho na propriedade. (3) vagas disponíveis. Período: 01/10/2026 a 31/05/2027. Necessária experiência de 3 meses. Turnos rotativos. Dias de trabalho: segunda a domingo. Horário de trabalho: 7h às 23h. Salário: US$ 23,66 a US$ 26/"&amp;"hora, com base no desempenho; horas extras: US$ 35,49 a US$ 39/hora. Pagamento quinzenal. 35 horas semanais. Alojamento opcional por US$ 140/semana, com depósito de US$ 300, reembolsável após a conclusão do contrato e inspeção do imóvel. Bônus de US$ 500 "&amp;"para quem retorna pela primeira vez, US$ 1.000 para quem retorna pela segunda vez ou mais, além de um cartão-presente de Natal no Dia de Ação de Graças. Uniformes e refeições durante o turno fornecidos. Local de trabalho: 3500 Clubhouse Lane, Boynton Beac"&amp;"h, FL 33436. O trabalho é temporário, em tempo integral. A remuneração será calculada com base em uma semana de trabalho. Poderá haver até 10 horas extras, quando disponíveis. Todos os descontos obrigatórios por lei serão feitos no contracheque do trabalh"&amp;"ador. O empregador fornecerá gratuitamente ao trabalhador todas as ferramentas, materiais e equipamentos necessários para a execução do trabalho. O trabalhador receberá ou será reembolsado pelo transporte e subsistência (incluindo o custo razoável de hosp"&amp;"edagem noturna, quando necessário, até US$ 110/noite para hospedagem com recibos) a uma taxa de US$ 16,78 por dia durante a viagem, até um máximo de US$ 68,00 por dia com recibos, desde o local de onde o trabalhador veio trabalhar para o empregador, seja "&amp;"nos EUA ou no exterior, até o local de trabalho, se o trabalhador completar 50% do período de emprego coberto pela ordem de serviço, de acordo com 20 CFR 655.20(j)(1)(i), mediante inclusão no pagamento da semana aplicável. O empregador fornecerá ou pagará"&amp;" o custo do transporte de retorno e da subsistência diária do trabalhador, do local de trabalho até o local de onde o trabalhador partiu para trabalhar para o empregador, independentemente de empregos intermediários, caso o trabalhador complete o período "&amp;"de emprego certificado ou seja demitido do emprego por qualquer motivo pelo empregador antes do término do período, de acordo com o § 655.20(j)(1)(ii); os trabalhadores com visto H-2B serão reembolsados ​​na primeira semana de trabalho por todos os vistos"&amp;", processamento de vistos, travessia de fronteira e outras taxas relacionadas, incluindo aquelas exigidas pelo governo (exceto taxas de passaporte). O empregador fornecerá aos trabalhadores todas as ferramentas, suprimentos e equipamentos necessários para"&amp;" o desempenho do trabalho, sem custo para o trabalhador, de acordo com o 20 CFR 655.20(k). Os candidatos qualificados podem enviar o currículo para Emily Viviano Rockle, no endereço 3500 Clubhouse Lane, Boynton Beach, FL 33436, por e-mail para careers@hun"&amp;"tersrun.net ou visitar o centro de empregos local em 3400 Belvedere Road, West Palm Beach, FL 33406. *Seu depósito de segurança é reembolsável após a conclusão do contrato e a inspeção da moradia. Se um trabalhador abandonar o emprego sem a permissão do e"&amp;"mpregador ou abandonar a moradia antes do término do prazo de inscrição por qualquer motivo, exceto rescisão por parte do empregador, o trabalhador perderá todos os depósitos de moradia, dias de folga remunerada, férias e bônus. Após a rescisão ou demissã"&amp;"o, o trabalhador deverá desocupar a moradia imediatamente, a menos que haja acordo com o empregador.* Classificação do Cargo: 49-9071.00 - Trabalhadores de Manutenção e Reparos, Geral. A classificação e descrição do cargo/setor incluem informações gerais "&amp;"sobre a posição, de acordo com o ONET/OES e o Sistema de Classificação Industrial da América do Norte. Consulte as Funções e a Ordem de Serviço para obter mais informações. Requisitos da vaga Experiência necessária: Sim Meses de experiência necessários: 3"&amp;" Número de horas por semana: 35 Horário de trabalho (início/término): 7h às 23h")</f>
        <v>Instalação, desmontagem, manutenção e reparo de equipamentos como urinóis/vasos sanitários, equipamentos externos, remoção de lixo de vários locais da propriedade. Utilização de ferramentas manuais e elétricas, transporte de ferramentas, peças e equipamentos entre os locais de trabalho na propriedade. (3) vagas disponíveis. Período: 01/10/2026 a 31/05/2027. Necessária experiência de 3 meses. Turnos rotativos. Dias de trabalho: segunda a domingo. Horário de trabalho: 7h às 23h. Salário: US$ 23,66 a US$ 26/hora, com base no desempenho; horas extras: US$ 35,49 a US$ 39/hora. Pagamento quinzenal. 35 horas semanais. Alojamento opcional por US$ 140/semana, com depósito de US$ 300, reembolsável após a conclusão do contrato e inspeção do imóvel. Bônus de US$ 500 para quem retorna pela primeira vez, US$ 1.000 para quem retorna pela segunda vez ou mais, além de um cartão-presente de Natal no Dia de Ação de Graças. Uniformes e refeições durante o turno fornecidos. Local de trabalho: 3500 Clubhouse Lane, Boynton Beach, FL 33436. O trabalho é temporário, em tempo integral. A remuneração será calculada com base em uma semana de trabalho. Poderá haver até 10 horas extras, quando disponíveis. Todos os descontos obrigatórios por lei serão feitos no contracheque do trabalhador. O empregador fornecerá gratuitamente ao trabalhador todas as ferramentas, materiais e equipamentos necessários para a execução do trabalho. O trabalhador receberá ou será reembolsado pelo transporte e subsistência (incluindo o custo razoável de hospedagem noturna, quando necessário, até US$ 110/noite para hospedagem com recibos) a uma taxa de US$ 16,78 por dia durante a viagem, até um máximo de US$ 68,00 por dia com recibos, desde o local de onde o trabalhador veio trabalhar para o empregador, seja nos EUA ou no exterior, até o local de trabalho, se o trabalhador completar 50% do período de emprego coberto pela ordem de serviço, de acordo com 20 CFR 655.20(j)(1)(i), mediante inclusão no pagamento da semana aplicável. O empregador fornecerá ou pagará o custo do transporte de retorno e da subsistência diária do trabalhador, do local de trabalho até o local de onde o trabalhador partiu para trabalhar para o empregador, independentemente de empregos intermediários, caso o trabalhador complete o período de emprego certificado ou seja demitido do emprego por qualquer motivo pelo empregador antes do término do período, de acordo com o § 655.20(j)(1)(ii); os trabalhadores com visto H-2B serão reembolsados ​​na primeira semana de trabalho por todos os vistos, processamento de vistos, travessia de fronteira e outras taxas relacionadas, incluindo aquelas exigidas pelo governo (exceto taxas de passaporte). O empregador fornecerá aos trabalhadores todas as ferramentas, suprimentos e equipamentos necessários para o desempenho do trabalho, sem custo para o trabalhador, de acordo com o 20 CFR 655.20(k). Os candidatos qualificados podem enviar o currículo para Emily Viviano Rockle, no endereço 3500 Clubhouse Lane, Boynton Beach, FL 33436, por e-mail para careers@huntersrun.net ou visitar o centro de empregos local em 3400 Belvedere Road, West Palm Beach, FL 33406. *Seu depósito de segurança é reembolsável após a conclusão do contrato e a inspeção da moradia. Se um trabalhador abandonar o emprego sem a permissão do empregador ou abandonar a moradia antes do término do prazo de inscrição por qualquer motivo, exceto rescisão por parte do empregador, o trabalhador perderá todos os depósitos de moradia, dias de folga remunerada, férias e bônus. Após a rescisão ou demissão, o trabalhador deverá desocupar a moradia imediatamente, a menos que haja acordo com o empregador.* Classificação do Cargo: 49-9071.00 - Trabalhadores de Manutenção e Reparos, Geral. A classificação e descrição do cargo/setor incluem informações gerais sobre a posição, de acordo com o ONET/OES e o Sistema de Classificação Industrial da América do Norte. Consulte as Funções e a Ordem de Serviço para obter mais informações. Requisitos da vaga Experiência necessária: Sim Meses de experiência necessários: 3 Número de horas por semana: 35 Horário de trabalho (início/término): 7h às 23h</v>
      </c>
    </row>
    <row r="722" ht="20.25" customHeight="1">
      <c r="A722" s="3" t="s">
        <v>3411</v>
      </c>
      <c r="B722" s="3" t="s">
        <v>3175</v>
      </c>
      <c r="C722" s="3" t="s">
        <v>197</v>
      </c>
      <c r="D722" s="3" t="s">
        <v>71</v>
      </c>
      <c r="E722" s="4" t="s">
        <v>44</v>
      </c>
      <c r="F722" s="4" t="s">
        <v>20</v>
      </c>
      <c r="G722" s="4" t="s">
        <v>524</v>
      </c>
      <c r="H722" s="3" t="s">
        <v>3176</v>
      </c>
      <c r="I722" s="3" t="s">
        <v>3177</v>
      </c>
      <c r="J722" s="4">
        <v>17.49</v>
      </c>
      <c r="K722" s="4">
        <v>40.0</v>
      </c>
      <c r="L722" s="3" t="s">
        <v>387</v>
      </c>
      <c r="M722" s="3" t="s">
        <v>3412</v>
      </c>
      <c r="N722" s="7" t="str">
        <f>IFERROR(__xludf.DUMMYFUNCTION("GOOGLETRANSLATE(L722, ""en"", ""pt"")"),"Ordem de serviço não disponível")</f>
        <v>Ordem de serviço não disponível</v>
      </c>
      <c r="O722" s="7" t="str">
        <f>IFERROR(__xludf.DUMMYFUNCTION("IF(M722="""","""",GOOGLETRANSLATE(M722,""en"",""pt""))"),"Preparar, limpar, refogar, grelhar e fritar alimentos como frutos do mar, carnes, aves e vegetais. Manter todas as estações limpas, higienizadas e abastecidas. (40) vagas disponíveis. Período: 01/10/2026 a 31/05/2027. Necessário 3 meses de experiência. Tu"&amp;"rnos rotativos. Dias de trabalho: segunda a domingo. Horário: 6h às 22h. Salário: US$ 17,49 a US$ 26 por hora, com base no desempenho; horas extras: US$ 26,24 a US$ 39 por hora. Pagamento quinzenal. 35 horas semanais. Alojamento opcional por US$ 140 por s"&amp;"emana, com depósito de US$ 300, reembolsável após a conclusão do contrato e inspeção do imóvel. Bônus de US$ 500 para quem retorna pela primeira vez, US$ 1.000 para quem retorna pela segunda vez ou mais, além de um cartão-presente de Natal no Dia de Ação "&amp;"de Graças. Uniformes e refeições durante o turno fornecidos. Local de trabalho: 3500 Clubhouse Lane, Boynton Beach, FL 33436. O trabalho é temporário, em tempo integral. A remuneração será calculada com base em uma semana de trabalho. Poderá haver até 10 "&amp;"horas extras, quando disponíveis. Todos os descontos obrigatórios por lei serão feitos no contracheque do trabalhador. O empregador fornecerá gratuitamente ao trabalhador todas as ferramentas, materiais e equipamentos necessários para a execução do trabal"&amp;"ho. O trabalhador receberá ou será reembolsado pelo transporte e subsistência (incluindo o custo razoável de hospedagem noturna, quando necessário, até US$ 110/noite para hospedagem com recibos) a uma taxa de US$ 16,78 por dia durante a viagem, até um máx"&amp;"imo de US$ 68,00 por dia com recibos, desde o local de onde o trabalhador veio trabalhar para o empregador, seja nos EUA ou no exterior, até o local de trabalho, se o trabalhador completar 50% do período de emprego coberto pela ordem de serviço, de acordo"&amp;" com 20 CFR 655.20(j)(1)(i), mediante inclusão no pagamento da semana aplicável. O empregador fornecerá ou pagará o custo do transporte de retorno e da subsistência diária do trabalhador, do local de trabalho até o local de onde o trabalhador partiu para "&amp;"trabalhar para o empregador, independentemente de empregos intermediários, caso o trabalhador complete o período de emprego certificado ou seja demitido do emprego por qualquer motivo pelo empregador antes do término do período, de acordo com o § 655.20(j"&amp;")(1)(ii); os trabalhadores com visto H-2B serão reembolsados ​​na primeira semana de trabalho por todos os vistos, processamento de vistos, travessia de fronteira e outras taxas relacionadas, incluindo aquelas exigidas pelo governo (exceto taxas de passap"&amp;"orte). O empregador fornecerá aos trabalhadores todas as ferramentas, suprimentos e equipamentos necessários para o desempenho do trabalho, sem custo para o trabalhador, de acordo com o 20 CFR 655.20(k). Os candidatos qualificados podem enviar o currículo"&amp;" para Emily Viviano Rockle, aos cuidados de 3500 Clubhouse Lane, Boynton Beach, FL 33436, por e-mail para careers@huntersrun.net ou visitar o centro de empregos local em 3400 Belvedere Road, West Palm Beach, FL 33406. *Seu depósito de segurança é reembols"&amp;"ável após a conclusão do contrato e a inspeção da moradia. Se um trabalhador abandonar o emprego sem a permissão do empregador ou abandonar a moradia antes do término do prazo de inscrição por qualquer motivo, exceto rescisão por parte do empregador, o tr"&amp;"abalhador perderá todos os depósitos de moradia, dias de folga remunerada, férias e bônus. Após a rescisão ou demissão, o trabalhador deverá desocupar a moradia imediatamente, a menos que haja acordo com o empregador.* Classificação do Cargo: 35-2014.00 -"&amp;" Cozinheiros, Restaurante. A classificação e descrição do cargo/setor incluem informações gerais sobre a posição, de acordo com o ONET/OES e o Sistema de Classificação Industrial da América do Norte. Consulte as Funções e a Ordem de Serviço para obter mai"&amp;"s informações. Requisitos da vaga Experiência necessária: Sim Meses de experiência necessários: 3 Número de horas por semana: 35 Horário de trabalho (início/término): 6h às 22h")</f>
        <v>Preparar, limpar, refogar, grelhar e fritar alimentos como frutos do mar, carnes, aves e vegetais. Manter todas as estações limpas, higienizadas e abastecidas. (40) vagas disponíveis. Período: 01/10/2026 a 31/05/2027. Necessário 3 meses de experiência. Turnos rotativos. Dias de trabalho: segunda a domingo. Horário: 6h às 22h. Salário: US$ 17,49 a US$ 26 por hora, com base no desempenho; horas extras: US$ 26,24 a US$ 39 por hora. Pagamento quinzenal. 35 horas semanais. Alojamento opcional por US$ 140 por semana, com depósito de US$ 300, reembolsável após a conclusão do contrato e inspeção do imóvel. Bônus de US$ 500 para quem retorna pela primeira vez, US$ 1.000 para quem retorna pela segunda vez ou mais, além de um cartão-presente de Natal no Dia de Ação de Graças. Uniformes e refeições durante o turno fornecidos. Local de trabalho: 3500 Clubhouse Lane, Boynton Beach, FL 33436. O trabalho é temporário, em tempo integral. A remuneração será calculada com base em uma semana de trabalho. Poderá haver até 10 horas extras, quando disponíveis. Todos os descontos obrigatórios por lei serão feitos no contracheque do trabalhador. O empregador fornecerá gratuitamente ao trabalhador todas as ferramentas, materiais e equipamentos necessários para a execução do trabalho. O trabalhador receberá ou será reembolsado pelo transporte e subsistência (incluindo o custo razoável de hospedagem noturna, quando necessário, até US$ 110/noite para hospedagem com recibos) a uma taxa de US$ 16,78 por dia durante a viagem, até um máximo de US$ 68,00 por dia com recibos, desde o local de onde o trabalhador veio trabalhar para o empregador, seja nos EUA ou no exterior, até o local de trabalho, se o trabalhador completar 50% do período de emprego coberto pela ordem de serviço, de acordo com 20 CFR 655.20(j)(1)(i), mediante inclusão no pagamento da semana aplicável. O empregador fornecerá ou pagará o custo do transporte de retorno e da subsistência diária do trabalhador, do local de trabalho até o local de onde o trabalhador partiu para trabalhar para o empregador, independentemente de empregos intermediários, caso o trabalhador complete o período de emprego certificado ou seja demitido do emprego por qualquer motivo pelo empregador antes do término do período, de acordo com o § 655.20(j)(1)(ii); os trabalhadores com visto H-2B serão reembolsados ​​na primeira semana de trabalho por todos os vistos, processamento de vistos, travessia de fronteira e outras taxas relacionadas, incluindo aquelas exigidas pelo governo (exceto taxas de passaporte). O empregador fornecerá aos trabalhadores todas as ferramentas, suprimentos e equipamentos necessários para o desempenho do trabalho, sem custo para o trabalhador, de acordo com o 20 CFR 655.20(k). Os candidatos qualificados podem enviar o currículo para Emily Viviano Rockle, aos cuidados de 3500 Clubhouse Lane, Boynton Beach, FL 33436, por e-mail para careers@huntersrun.net ou visitar o centro de empregos local em 3400 Belvedere Road, West Palm Beach, FL 33406. *Seu depósito de segurança é reembolsável após a conclusão do contrato e a inspeção da moradia. Se um trabalhador abandonar o emprego sem a permissão do empregador ou abandonar a moradia antes do término do prazo de inscrição por qualquer motivo, exceto rescisão por parte do empregador, o trabalhador perderá todos os depósitos de moradia, dias de folga remunerada, férias e bônus. Após a rescisão ou demissão, o trabalhador deverá desocupar a moradia imediatamente, a menos que haja acordo com o empregador.* Classificação do Cargo: 35-2014.00 - Cozinheiros, Restaurante. A classificação e descrição do cargo/setor incluem informações gerais sobre a posição, de acordo com o ONET/OES e o Sistema de Classificação Industrial da América do Norte. Consulte as Funções e a Ordem de Serviço para obter mais informações. Requisitos da vaga Experiência necessária: Sim Meses de experiência necessários: 3 Número de horas por semana: 35 Horário de trabalho (início/término): 6h às 22h</v>
      </c>
    </row>
    <row r="723" ht="20.25" customHeight="1">
      <c r="A723" s="8" t="s">
        <v>3413</v>
      </c>
      <c r="B723" s="8" t="s">
        <v>3175</v>
      </c>
      <c r="C723" s="8" t="s">
        <v>197</v>
      </c>
      <c r="D723" s="8" t="s">
        <v>71</v>
      </c>
      <c r="E723" s="9" t="s">
        <v>44</v>
      </c>
      <c r="F723" s="9" t="s">
        <v>20</v>
      </c>
      <c r="G723" s="9" t="s">
        <v>524</v>
      </c>
      <c r="H723" s="8" t="s">
        <v>3176</v>
      </c>
      <c r="I723" s="8" t="s">
        <v>3177</v>
      </c>
      <c r="J723" s="9">
        <v>18.94</v>
      </c>
      <c r="K723" s="9">
        <v>27.0</v>
      </c>
      <c r="L723" s="8" t="s">
        <v>1690</v>
      </c>
      <c r="M723" s="8" t="s">
        <v>3414</v>
      </c>
      <c r="N723" s="7" t="str">
        <f>IFERROR(__xludf.DUMMYFUNCTION("GOOGLETRANSLATE(L723, ""en"", ""pt"")"),"Atendente de Sala de Jantar")</f>
        <v>Atendente de Sala de Jantar</v>
      </c>
      <c r="O723" s="7" t="str">
        <f>IFERROR(__xludf.DUMMYFUNCTION("IF(M723="""","""",GOOGLETRANSLATE(M723,""en"",""pt""))"),"Limpar e arrumar mesas, levar comida da cozinha para as mesas, servir água/café e auxiliar nas operações gerais do serviço de alimentação. Os funcionários receberão os clientes, entregarão comida e bebidas às mesas, recolherão a louça usada e prepararão a"&amp;"s mesas para novos clientes. Os funcionários poderão responder a perguntas gerais sobre os itens do cardápio, mas não anotarão pedidos de comida nem processarão pagamentos dos clientes. Moverão mesas e cadeiras conforme necessário para eventos ou para a m"&amp;"ontagem do salão. Manterão todas as áreas de trabalho limpas, higienizadas e organizadas. Abastecerão bares, estações de serviço e áreas de refeição com suprimentos, utensílios e bebidas. Auxiliarão a equipe da cozinha e do serviço na manutenção do bom fu"&amp;"ncionamento do restaurante. (27) funcionários necessários. Período: 01/10/2026 a 31/05/2027. Necessária experiência de 3 meses. Turnos rotativos. Dias de trabalho: segunda a domingo. Horário de trabalho: 6h às 22h. Salário: US$ 15,52 a US$ 17/hora mais go"&amp;"rjetas, mas não menos que US$ 18,94/hora, US$ 28,41/hora para horas extras. Pagamento quinzenal. 35 horas/semana. Alojamento opcional disponível por US$ 140/semana com um depósito de US$ 300, reembolsável após a conclusão do contrato e inspeção do alojame"&amp;"nto. Bônus de US$ 500 para quem retorna pela primeira vez, US$ 1.000 para quem retorna pela segunda vez ou mais, além de um cartão-presente de Natal no Dia de Ação de Graças. Uniformes e refeições durante o turno fornecidos. Local de trabalho: 3500 Clubho"&amp;"use Lane, Boynton Beach, FL 33436. O trabalho é temporário em tempo integral. Uma única semana de trabalho será usada para calcular o salário. Pode haver até 10 horas extras quando disponíveis. Todas as deduções do salário do trabalhador exigidas por lei "&amp;"serão feitas. O empregador fornecerá aos trabalhadores, sem custo, todas as ferramentas, suprimentos e equipamentos necessários para a execução do trabalho. O trabalhador receberá ou será reembolsado pelo transporte e subsistência (incluindo o custo razoá"&amp;"vel de hospedagem noturna, quando necessário, até US$ 110/noite para hospedagem com recibos) a uma taxa de US$ 16,78 por dia durante a viagem, até um máximo de US$ 68,00 por dia com recibos, desde o local de onde o trabalhador veio trabalhar para o empreg"&amp;"ador, seja nos EUA ou no exterior, até o local de trabalho, se o trabalhador completar 50% do período de emprego coberto pela ordem de serviço, de acordo com 20 CFR 655.20(j)(1)(i), mediante inclusão no pagamento da semana aplicável. O empregador fornecer"&amp;"á ou pagará o custo do transporte de retorno e da subsistência diária do trabalhador, do local de trabalho até o local de onde o trabalhador partiu para trabalhar para o empregador, independentemente de empregos intermediários, caso o trabalhador complete"&amp;" o período de emprego certificado ou seja demitido do emprego por qualquer motivo pelo empregador antes do término do período, de acordo com o § 655.20(j)(1)(ii); os trabalhadores com visto H-2B serão reembolsados ​​na primeira semana de trabalho por todo"&amp;"s os vistos, processamento de vistos, travessia de fronteira e outras taxas relacionadas, incluindo aquelas exigidas pelo governo (exceto taxas de passaporte). O empregador fornecerá aos trabalhadores todas as ferramentas, suprimentos e equipamentos neces"&amp;"sários para o desempenho do trabalho, sem custo para o trabalhador, de acordo com o 20 CFR 655.20(k). Os candidatos qualificados podem enviar o currículo para Emily Viviano Rockle, no endereço 3500 Clubhouse Lane, Boynton Beach, FL 33436, por e-mail para "&amp;"careers@huntersrun.net ou visitar o centro de empregos local em 3400 Belvedere Road, West Palm Beach, FL 33406. *Seu depósito de segurança é reembolsável após a conclusão do contrato e a inspeção da moradia. Se um trabalhador abandonar o emprego sem a per"&amp;"missão do empregador ou abandonar a moradia antes do término do prazo de inscrição por qualquer motivo, exceto rescisão por parte do empregador, o trabalhador perderá todos os depósitos de moradia, dias de folga remunerada, férias e bônus. Após a rescisão"&amp;" ou demissão, o trabalhador deverá desocupar a moradia imediatamente, a menos que haja acordo com o empregador.* Classificação do Cargo: 53-7062.00 - Operários e Movimentadores de Carga, Estoque e Materiais. A classificação e descrição do cargo/setor incl"&amp;"uem informações gerais sobre a posição, de acordo com o ONET/OES e o Sistema de Classificação Industrial da América do Norte. Consulte as Funções e a Ordem de Serviço para obter mais informações. Requisitos da vaga Experiência necessária: Sim Meses de exp"&amp;"eriência necessários: 3 Número de horas por semana: 35 Horário de trabalho (início/término): 6h às 22h")</f>
        <v>Limpar e arrumar mesas, levar comida da cozinha para as mesas, servir água/café e auxiliar nas operações gerais do serviço de alimentação. Os funcionários receberão os clientes, entregarão comida e bebidas às mesas, recolherão a louça usada e prepararão as mesas para novos clientes. Os funcionários poderão responder a perguntas gerais sobre os itens do cardápio, mas não anotarão pedidos de comida nem processarão pagamentos dos clientes. Moverão mesas e cadeiras conforme necessário para eventos ou para a montagem do salão. Manterão todas as áreas de trabalho limpas, higienizadas e organizadas. Abastecerão bares, estações de serviço e áreas de refeição com suprimentos, utensílios e bebidas. Auxiliarão a equipe da cozinha e do serviço na manutenção do bom funcionamento do restaurante. (27) funcionários necessários. Período: 01/10/2026 a 31/05/2027. Necessária experiência de 3 meses. Turnos rotativos. Dias de trabalho: segunda a domingo. Horário de trabalho: 6h às 22h. Salário: US$ 15,52 a US$ 17/hora mais gorjetas, mas não menos que US$ 18,94/hora, US$ 28,41/hora para horas extras. Pagamento quinzenal. 35 horas/semana. Alojamento opcional disponível por US$ 140/semana com um depósito de US$ 300, reembolsável após a conclusão do contrato e inspeção do alojamento. Bônus de US$ 500 para quem retorna pela primeira vez, US$ 1.000 para quem retorna pela segunda vez ou mais, além de um cartão-presente de Natal no Dia de Ação de Graças. Uniformes e refeições durante o turno fornecidos. Local de trabalho: 3500 Clubhouse Lane, Boynton Beach, FL 33436. O trabalho é temporário em tempo integral. Uma única semana de trabalho será usada para calcular o salário. Pode haver até 10 horas extras quando disponíveis. Todas as deduções do salário do trabalhador exigidas por lei serão feitas. O empregador fornecerá aos trabalhadores, sem custo, todas as ferramentas, suprimentos e equipamentos necessários para a execução do trabalho. O trabalhador receberá ou será reembolsado pelo transporte e subsistência (incluindo o custo razoável de hospedagem noturna, quando necessário, até US$ 110/noite para hospedagem com recibos) a uma taxa de US$ 16,78 por dia durante a viagem, até um máximo de US$ 68,00 por dia com recibos, desde o local de onde o trabalhador veio trabalhar para o empregador, seja nos EUA ou no exterior, até o local de trabalho, se o trabalhador completar 50% do período de emprego coberto pela ordem de serviço, de acordo com 20 CFR 655.20(j)(1)(i), mediante inclusão no pagamento da semana aplicável. O empregador fornecerá ou pagará o custo do transporte de retorno e da subsistência diária do trabalhador, do local de trabalho até o local de onde o trabalhador partiu para trabalhar para o empregador, independentemente de empregos intermediários, caso o trabalhador complete o período de emprego certificado ou seja demitido do emprego por qualquer motivo pelo empregador antes do término do período, de acordo com o § 655.20(j)(1)(ii); os trabalhadores com visto H-2B serão reembolsados ​​na primeira semana de trabalho por todos os vistos, processamento de vistos, travessia de fronteira e outras taxas relacionadas, incluindo aquelas exigidas pelo governo (exceto taxas de passaporte). O empregador fornecerá aos trabalhadores todas as ferramentas, suprimentos e equipamentos necessários para o desempenho do trabalho, sem custo para o trabalhador, de acordo com o 20 CFR 655.20(k). Os candidatos qualificados podem enviar o currículo para Emily Viviano Rockle, no endereço 3500 Clubhouse Lane, Boynton Beach, FL 33436, por e-mail para careers@huntersrun.net ou visitar o centro de empregos local em 3400 Belvedere Road, West Palm Beach, FL 33406. *Seu depósito de segurança é reembolsável após a conclusão do contrato e a inspeção da moradia. Se um trabalhador abandonar o emprego sem a permissão do empregador ou abandonar a moradia antes do término do prazo de inscrição por qualquer motivo, exceto rescisão por parte do empregador, o trabalhador perderá todos os depósitos de moradia, dias de folga remunerada, férias e bônus. Após a rescisão ou demissão, o trabalhador deverá desocupar a moradia imediatamente, a menos que haja acordo com o empregador.* Classificação do Cargo: 53-7062.00 - Operários e Movimentadores de Carga, Estoque e Materiais. A classificação e descrição do cargo/setor incluem informações gerais sobre a posição, de acordo com o ONET/OES e o Sistema de Classificação Industrial da América do Norte. Consulte as Funções e a Ordem de Serviço para obter mais informações. Requisitos da vaga Experiência necessária: Sim Meses de experiência necessários: 3 Número de horas por semana: 35 Horário de trabalho (início/término): 6h às 22h</v>
      </c>
    </row>
    <row r="724" ht="20.25" customHeight="1">
      <c r="A724" s="3" t="s">
        <v>3415</v>
      </c>
      <c r="B724" s="3" t="s">
        <v>3416</v>
      </c>
      <c r="C724" s="3" t="s">
        <v>197</v>
      </c>
      <c r="D724" s="3" t="s">
        <v>2494</v>
      </c>
      <c r="E724" s="4" t="s">
        <v>19</v>
      </c>
      <c r="F724" s="4" t="s">
        <v>20</v>
      </c>
      <c r="G724" s="4" t="s">
        <v>524</v>
      </c>
      <c r="H724" s="3" t="s">
        <v>3417</v>
      </c>
      <c r="I724" s="3" t="s">
        <v>3418</v>
      </c>
      <c r="J724" s="4">
        <v>19.24</v>
      </c>
      <c r="K724" s="4">
        <v>4.0</v>
      </c>
      <c r="L724" s="3" t="s">
        <v>387</v>
      </c>
      <c r="M724" s="3" t="s">
        <v>3419</v>
      </c>
      <c r="N724" s="7" t="str">
        <f>IFERROR(__xludf.DUMMYFUNCTION("GOOGLETRANSLATE(L724, ""en"", ""pt"")"),"Ordem de serviço não disponível")</f>
        <v>Ordem de serviço não disponível</v>
      </c>
      <c r="O724" s="7" t="str">
        <f>IFERROR(__xludf.DUMMYFUNCTION("IF(M724="""","""",GOOGLETRANSLATE(M724,""en"",""pt""))"),"Preparar, cozinhar, refogar e grelhar itens como frutos do mar, carnes, aves, legumes e massas. Manter as áreas da cozinha limpas e higienizadas. Armazenar todos os produtos em locais adequados. (4) vagas disponíveis. Período: 01/10/2026 a 31/05/2027. Nec"&amp;"essário 3 meses de experiência. Turnos rotativos. Dias de trabalho: segunda a domingo. Horário de trabalho: 6h às 22h. Salário: US$ 19,24 a US$ 24/hora, com base no desempenho; US$ 28,86 a US$ 36/hora para horas extras. Pagamento quinzenal. 35 horas/seman"&amp;"a. Alojamento opcional disponível por US$ 250 a US$ 300/semana (US$ 250/semana para apartamento de 2 quartos ou US$ 300/semana para estúdio), com depósito não reembolsável de US$ 50. Bônus de fim de temporada disponível. Uniformes e refeições durante o tu"&amp;"rno fornecidos. Local de trabalho: 3355 Cody Lane, Teton Village, WY 83025. Trabalho temporário em tempo integral. Uma única semana de trabalho será utilizada para calcular os salários. O trabalhador poderá receber até 10 horas extras, quando disponíveis."&amp;" Todas as deduções exigidas por lei serão feitas no contracheque do trabalhador. O empregador fornecerá ao trabalhador, sem custos, todas as ferramentas, suprimentos e equipamentos necessários para a execução do trabalho. O trabalhador receberá ou será re"&amp;"embolsado pelas despesas de transporte e subsistência (incluindo o custo razoável de hospedagem, quando necessário, até US$ 110 por noite, mediante apresentação de recibos) à taxa de US$ 16,78 por dia durante o deslocamento, até um máximo de US$ 68,00 por"&amp;" dia, mediante apresentação de recibos, desde o local de origem do trabalhador, seja nos EUA ou no exterior, até o local de trabalho, caso o trabalhador complete 50% do período de trabalho coberto pela ordem de serviço, em conformidade com 20 CFR 655.20(j"&amp;")(1)(i), mediante inclusão no contracheque da semana correspondente. O empregador fornecerá ou pagará o custo do transporte de retorno e da subsistência diária do trabalhador, do local de trabalho até o local de onde o trabalhador partiu para trabalhar pa"&amp;"ra o empregador, independentemente de empregos intermediários, caso o trabalhador complete o período de emprego certificado ou seja demitido do emprego por qualquer motivo pelo empregador antes do término do período, de acordo com o § 655.20(j)(1)(ii); os"&amp;" trabalhadores com visto H-2B serão reembolsados ​​na primeira semana de trabalho por todos os vistos, processamento de vistos, travessia de fronteira e outras taxas relacionadas, incluindo aquelas exigidas pelo governo (exceto taxas de passaporte). O emp"&amp;"regador fornecerá aos trabalhadores todas as ferramentas, suprimentos e equipamentos necessários para o desempenho do trabalho, sem custo para o trabalhador, de acordo com o 20 CFR 655.20(k). Os candidatos qualificados podem enviar o currículo para John N"&amp;"ewman, no endereço 3355 Cody Lane, Teton Village, WY 83025, por e-mail para H2BJOBS@HOBACKCLUB.COM ou visitar o centro de empregos local no endereço 155 West Gill Avenue, PO Box 1003, Jackson, WY 83001. *Seu depósito de segurança será reembolsado após a c"&amp;"onclusão do contrato e a inspeção da moradia. Se um trabalhador abandonar o emprego sem a permissão do empregador ou abandonar a moradia antes do término do prazo de inscrição por qualquer motivo, exceto rescisão contratual por parte do empregador, o trab"&amp;"alhador perderá todos os depósitos de moradia, dias de folga remunerada, férias e bônus. Após a rescisão ou demissão, o trabalhador deverá desocupar a moradia imediatamente, a menos que haja acordo com o empregador.* Classificação do Cargo: 35-2014.00 - C"&amp;"ozinheiros, Restaurante. A classificação e a descrição do cargo/setor incluem informações gerais sobre a posição, de acordo com o ONET/OES e o Sistema de Classificação Industrial da América do Norte. Consulte as Funções e a Ordem de Serviço para obter mai"&amp;"s informações. Requisitos da vaga Experiência necessária: Sim Meses de experiência necessários: 3 Número de horas por semana: 35 Horário de trabalho (início/término): 6h às 22h")</f>
        <v>Preparar, cozinhar, refogar e grelhar itens como frutos do mar, carnes, aves, legumes e massas. Manter as áreas da cozinha limpas e higienizadas. Armazenar todos os produtos em locais adequados. (4) vagas disponíveis. Período: 01/10/2026 a 31/05/2027. Necessário 3 meses de experiência. Turnos rotativos. Dias de trabalho: segunda a domingo. Horário de trabalho: 6h às 22h. Salário: US$ 19,24 a US$ 24/hora, com base no desempenho; US$ 28,86 a US$ 36/hora para horas extras. Pagamento quinzenal. 35 horas/semana. Alojamento opcional disponível por US$ 250 a US$ 300/semana (US$ 250/semana para apartamento de 2 quartos ou US$ 300/semana para estúdio), com depósito não reembolsável de US$ 50. Bônus de fim de temporada disponível. Uniformes e refeições durante o turno fornecidos. Local de trabalho: 3355 Cody Lane, Teton Village, WY 83025. Trabalho temporário em tempo integral. Uma única semana de trabalho será utilizada para calcular os salários. O trabalhador poderá receber até 10 horas extras, quando disponíveis. Todas as deduções exigidas por lei serão feitas no contracheque do trabalhador. O empregador fornecerá ao trabalhador, sem custos, todas as ferramentas, suprimentos e equipamentos necessários para a execução do trabalho. O trabalhador receberá ou será reembolsado pelas despesas de transporte e subsistência (incluindo o custo razoável de hospedagem, quando necessário, até US$ 110 por noite, mediante apresentação de recibos) à taxa de US$ 16,78 por dia durante o deslocamento, até um máximo de US$ 68,00 por dia, mediante apresentação de recibos, desde o local de origem do trabalhador, seja nos EUA ou no exterior, até o local de trabalho, caso o trabalhador complete 50% do período de trabalho coberto pela ordem de serviço, em conformidade com 20 CFR 655.20(j)(1)(i), mediante inclusão no contracheque da semana correspondente. O empregador fornecerá ou pagará o custo do transporte de retorno e da subsistência diária do trabalhador, do local de trabalho até o local de onde o trabalhador partiu para trabalhar para o empregador, independentemente de empregos intermediários, caso o trabalhador complete o período de emprego certificado ou seja demitido do emprego por qualquer motivo pelo empregador antes do término do período, de acordo com o § 655.20(j)(1)(ii); os trabalhadores com visto H-2B serão reembolsados ​​na primeira semana de trabalho por todos os vistos, processamento de vistos, travessia de fronteira e outras taxas relacionadas, incluindo aquelas exigidas pelo governo (exceto taxas de passaporte). O empregador fornecerá aos trabalhadores todas as ferramentas, suprimentos e equipamentos necessários para o desempenho do trabalho, sem custo para o trabalhador, de acordo com o 20 CFR 655.20(k). Os candidatos qualificados podem enviar o currículo para John Newman, no endereço 3355 Cody Lane, Teton Village, WY 83025, por e-mail para H2BJOBS@HOBACKCLUB.COM ou visitar o centro de empregos local no endereço 155 West Gill Avenue, PO Box 1003, Jackson, WY 83001. *Seu depósito de segurança será reembolsado após a conclusão do contrato e a inspeção da moradia. Se um trabalhador abandonar o emprego sem a permissão do empregador ou abandonar a moradia antes do término do prazo de inscrição por qualquer motivo, exceto rescisão contratual por parte do empregador, o trabalhador perderá todos os depósitos de moradia, dias de folga remunerada, férias e bônus. Após a rescisão ou demissão, o trabalhador deverá desocupar a moradia imediatamente, a menos que haja acordo com o empregador.* Classificação do Cargo: 35-2014.00 - Cozinheiros, Restaurante. A classificação e a descrição do cargo/setor incluem informações gerais sobre a posição, de acordo com o ONET/OES e o Sistema de Classificação Industrial da América do Norte. Consulte as Funções e a Ordem de Serviço para obter mais informações. Requisitos da vaga Experiência necessária: Sim Meses de experiência necessários: 3 Número de horas por semana: 35 Horário de trabalho (início/término): 6h às 22h</v>
      </c>
    </row>
    <row r="725" ht="20.25" customHeight="1">
      <c r="A725" s="8" t="s">
        <v>3420</v>
      </c>
      <c r="B725" s="8" t="s">
        <v>3416</v>
      </c>
      <c r="C725" s="8" t="s">
        <v>197</v>
      </c>
      <c r="D725" s="8" t="s">
        <v>2494</v>
      </c>
      <c r="E725" s="9" t="s">
        <v>19</v>
      </c>
      <c r="F725" s="9" t="s">
        <v>20</v>
      </c>
      <c r="G725" s="9" t="s">
        <v>524</v>
      </c>
      <c r="H725" s="8" t="s">
        <v>3417</v>
      </c>
      <c r="I725" s="8" t="s">
        <v>3418</v>
      </c>
      <c r="J725" s="9">
        <v>14.75</v>
      </c>
      <c r="K725" s="9">
        <v>6.0</v>
      </c>
      <c r="L725" s="8" t="s">
        <v>1206</v>
      </c>
      <c r="M725" s="8" t="s">
        <v>3421</v>
      </c>
      <c r="N725" s="7" t="str">
        <f>IFERROR(__xludf.DUMMYFUNCTION("GOOGLETRANSLATE(L725, ""en"", ""pt"")"),"Servidor")</f>
        <v>Servidor</v>
      </c>
      <c r="O725" s="7" t="str">
        <f>IFERROR(__xludf.DUMMYFUNCTION("IF(M725="""","""",GOOGLETRANSLATE(M725,""en"",""pt""))"),"Receber pedidos, levar comida e bebidas aos clientes. Limpar e arrumar as mesas. Receber pagamentos e entregar recibos. Manter todos os postos de trabalho abastecidos. Servir pão, água e café. Receber os clientes. (6) vagas disponíveis. Período: 01/10/202"&amp;"6 a 31/05/2027. Necessário 3 meses de experiência. Turnos rotativos. Dias de trabalho: segunda a domingo. Horário: 6h às 22h. Salário: US$ 17 a US$ 22 por hora, mais gorjetas, mas não menos que US$ 14,75 por hora, US$ 22,13 por hora para horas extras. Pag"&amp;"amento quinzenal. 35 horas semanais. Alojamento opcional por US$ 250 a US$ 300 por semana (US$ 250 por semana para apartamento de 2 quartos ou US$ 300 por semana para estúdio), com depósito não reembolsável de US$ 50. Bônus de fim de temporada disponível."&amp;" Uniformes e refeições durante o turno fornecidos. Local de trabalho: 3355 Cody Lane, Teton Village, WY 83025. Trabalho temporário em tempo integral. Uma única semana de trabalho será utilizada para calcular os salários. O trabalhador poderá receber até 1"&amp;"0 horas extras, quando disponíveis. Todas as deduções exigidas por lei serão feitas no contracheque do trabalhador. O empregador fornecerá ao trabalhador, sem custos, todas as ferramentas, suprimentos e equipamentos necessários para a execução do trabalho"&amp;". O trabalhador receberá ou será reembolsado pelas despesas de transporte e subsistência (incluindo o custo razoável de hospedagem, quando necessário, até US$ 110 por noite, mediante apresentação de recibos) à taxa de US$ 16,78 por dia durante o deslocame"&amp;"nto, até um máximo de US$ 68,00 por dia, mediante apresentação de recibos, desde o local de origem do trabalhador, seja nos EUA ou no exterior, até o local de trabalho, caso o trabalhador complete 50% do período de trabalho coberto pela ordem de serviço, "&amp;"em conformidade com 20 CFR 655.20(j)(1)(i), mediante inclusão no contracheque da semana correspondente. O empregador fornecerá ou pagará o custo do transporte de retorno e da subsistência diária do trabalhador, do local de trabalho até o local de onde o t"&amp;"rabalhador partiu para trabalhar para o empregador, independentemente de empregos intermediários, caso o trabalhador complete o período de emprego certificado ou seja demitido do emprego por qualquer motivo pelo empregador antes do término do período, de "&amp;"acordo com o § 655.20(j)(1)(ii); os trabalhadores com visto H-2B serão reembolsados ​​na primeira semana de trabalho por todos os vistos, processamento de vistos, travessia de fronteira e outras taxas relacionadas, incluindo aquelas exigidas pelo governo "&amp;"(exceto taxas de passaporte). O empregador fornecerá aos trabalhadores todas as ferramentas, suprimentos e equipamentos necessários para o desempenho do trabalho, sem custo para o trabalhador, de acordo com o 20 CFR 655.20(k). Os candidatos qualificados p"&amp;"odem enviar o currículo para John Newman, no endereço 3355 Cody Lane, Teton Village, WY 83025, por e-mail para H2BJOBS@HOBACKCLUB.COM ou visitar o centro de empregos local no endereço 155 West Gill Avenue, PO Box 1003, Jackson, WY 83001. *Seu depósito de "&amp;"segurança será reembolsado após a conclusão do contrato e a inspeção da moradia. Se um trabalhador abandonar o emprego sem a permissão do empregador ou abandonar a moradia antes do término do prazo de inscrição por qualquer motivo, exceto rescisão por par"&amp;"te do empregador, o trabalhador perderá todos os depósitos de moradia, dias de folga remunerada, férias e bônus. Após a rescisão ou demissão, o trabalhador deverá desocupar a moradia imediatamente, a menos que haja acordo com o empregador.* Classificação "&amp;"da vaga: 35-3031.00 - Garçons e Garçonetes. A classificação e a descrição da vaga/setor incluem informações gerais sobre o cargo, de acordo com o ONET/OES e o Sistema de Classificação Industrial da América do Norte. Consulte as Funções e a Ordem de Serviç"&amp;"o para obter mais informações. Requisitos da vaga Experiência necessária: Sim Meses de experiência necessários: 3 Número de horas por semana: 35 Horário de trabalho (início/término): 6h às 22h")</f>
        <v>Receber pedidos, levar comida e bebidas aos clientes. Limpar e arrumar as mesas. Receber pagamentos e entregar recibos. Manter todos os postos de trabalho abastecidos. Servir pão, água e café. Receber os clientes. (6) vagas disponíveis. Período: 01/10/2026 a 31/05/2027. Necessário 3 meses de experiência. Turnos rotativos. Dias de trabalho: segunda a domingo. Horário: 6h às 22h. Salário: US$ 17 a US$ 22 por hora, mais gorjetas, mas não menos que US$ 14,75 por hora, US$ 22,13 por hora para horas extras. Pagamento quinzenal. 35 horas semanais. Alojamento opcional por US$ 250 a US$ 300 por semana (US$ 250 por semana para apartamento de 2 quartos ou US$ 300 por semana para estúdio), com depósito não reembolsável de US$ 50. Bônus de fim de temporada disponível. Uniformes e refeições durante o turno fornecidos. Local de trabalho: 3355 Cody Lane, Teton Village, WY 83025. Trabalho temporário em tempo integral. Uma única semana de trabalho será utilizada para calcular os salários. O trabalhador poderá receber até 10 horas extras, quando disponíveis. Todas as deduções exigidas por lei serão feitas no contracheque do trabalhador. O empregador fornecerá ao trabalhador, sem custos, todas as ferramentas, suprimentos e equipamentos necessários para a execução do trabalho. O trabalhador receberá ou será reembolsado pelas despesas de transporte e subsistência (incluindo o custo razoável de hospedagem, quando necessário, até US$ 110 por noite, mediante apresentação de recibos) à taxa de US$ 16,78 por dia durante o deslocamento, até um máximo de US$ 68,00 por dia, mediante apresentação de recibos, desde o local de origem do trabalhador, seja nos EUA ou no exterior, até o local de trabalho, caso o trabalhador complete 50% do período de trabalho coberto pela ordem de serviço, em conformidade com 20 CFR 655.20(j)(1)(i), mediante inclusão no contracheque da semana correspondente. O empregador fornecerá ou pagará o custo do transporte de retorno e da subsistência diária do trabalhador, do local de trabalho até o local de onde o trabalhador partiu para trabalhar para o empregador, independentemente de empregos intermediários, caso o trabalhador complete o período de emprego certificado ou seja demitido do emprego por qualquer motivo pelo empregador antes do término do período, de acordo com o § 655.20(j)(1)(ii); os trabalhadores com visto H-2B serão reembolsados ​​na primeira semana de trabalho por todos os vistos, processamento de vistos, travessia de fronteira e outras taxas relacionadas, incluindo aquelas exigidas pelo governo (exceto taxas de passaporte). O empregador fornecerá aos trabalhadores todas as ferramentas, suprimentos e equipamentos necessários para o desempenho do trabalho, sem custo para o trabalhador, de acordo com o 20 CFR 655.20(k). Os candidatos qualificados podem enviar o currículo para John Newman, no endereço 3355 Cody Lane, Teton Village, WY 83025, por e-mail para H2BJOBS@HOBACKCLUB.COM ou visitar o centro de empregos local no endereço 155 West Gill Avenue, PO Box 1003, Jackson, WY 83001. *Seu depósito de segurança será reembolsado após a conclusão do contrato e a inspeção da moradia. Se um trabalhador abandonar o emprego sem a permissão do empregador ou abandonar a moradia antes do término do prazo de inscrição por qualquer motivo, exceto rescisão por parte do empregador, o trabalhador perderá todos os depósitos de moradia, dias de folga remunerada, férias e bônus. Após a rescisão ou demissão, o trabalhador deverá desocupar a moradia imediatamente, a menos que haja acordo com o empregador.* Classificação da vaga: 35-3031.00 - Garçons e Garçonetes. A classificação e a descrição da vaga/setor incluem informações gerais sobre o cargo, de acordo com o ONET/OES e o Sistema de Classificação Industrial da América do Norte. Consulte as Funções e a Ordem de Serviço para obter mais informações. Requisitos da vaga Experiência necessária: Sim Meses de experiência necessários: 3 Número de horas por semana: 35 Horário de trabalho (início/término): 6h às 22h</v>
      </c>
    </row>
    <row r="726" ht="20.25" customHeight="1">
      <c r="A726" s="3" t="s">
        <v>3422</v>
      </c>
      <c r="B726" s="3" t="s">
        <v>3423</v>
      </c>
      <c r="C726" s="3" t="s">
        <v>1904</v>
      </c>
      <c r="D726" s="3" t="s">
        <v>51</v>
      </c>
      <c r="E726" s="4" t="s">
        <v>19</v>
      </c>
      <c r="F726" s="4" t="s">
        <v>20</v>
      </c>
      <c r="G726" s="4" t="s">
        <v>29</v>
      </c>
      <c r="H726" s="3" t="s">
        <v>3424</v>
      </c>
      <c r="I726" s="3" t="s">
        <v>3425</v>
      </c>
      <c r="J726" s="4">
        <v>20.72</v>
      </c>
      <c r="K726" s="4">
        <v>15.0</v>
      </c>
      <c r="L726" s="3" t="s">
        <v>83</v>
      </c>
      <c r="M726" s="3" t="s">
        <v>3426</v>
      </c>
      <c r="N726" s="7" t="str">
        <f>IFERROR(__xludf.DUMMYFUNCTION("GOOGLETRANSLATE(L726, ""en"", ""pt"")"),"Trabalhador Florestal")</f>
        <v>Trabalhador Florestal</v>
      </c>
      <c r="O726" s="7" t="str">
        <f>IFERROR(__xludf.DUMMYFUNCTION("IF(M726="""","""",GOOGLETRANSLATE(M726,""en"",""pt""))"),"As funções podem incluir: selecionar mudas de árvores, descartar mudas de qualidade inferior, preparar o solo e plantar árvores em áreas de reflorestamento. Consultar os trabalhadores para identificar árvores doentes ou indesejáveis ​​e removê-las de acor"&amp;"do com marcas, tamanhos, tipos ou classificação. Reduzir a vegetação concorrente: pulverizar/injetar herbicidas e podar árvores ou outra vegetação por meio de limpeza/descarte de arbustos, empilhamento e poda, além de outras atividades relacionadas ao tra"&amp;"balho florestal, conforme SOC/OES 45-4011 (onetonline.org). Horário padrão/esperado: segunda a sexta, das 7h às 15h. Oferecemos mais de 40 horas semanais, sem incluir almoço e/ou intervalos. Possibilidade de trabalho em fins de semana e feriados. Os horár"&amp;"ios de início e término, a carga horária e/ou horas extras podem variar, pois dependem de outros fatores, como necessidades do projeto/cronograma/serviço, condições climáticas e tempo de deslocamento entre os locais de trabalho (se aplicável). Horas extra"&amp;"s são possíveis, mas não obrigatórias nem garantidas. A critério exclusivo do empregador: possíveis aumentos e/ou bônus com base em fatores individuais, como desempenho no trabalho ou habilidades (não garantidos). Moradia compartilhada opcional disponível"&amp;" sem custo para o trabalhador. Classificação do Cargo: 45-4011.00 - Trabalhadores Florestais e de Conservação. A classificação e descrição do cargo/setor incluem informações gerais sobre a posição, de acordo com o ONET/OES e o Sistema de Classificação Ind"&amp;"ustrial da América do Norte. Consulte as Funções e a Ordem de Serviço para obter mais informações. Requisitos do Cargo Experiência Necessária: Não. Requisitos Especiais: É necessário ter 18 anos devido ao seguro. É necessário apresentar comprovante de aut"&amp;"orização legal para trabalhar nos Estados Unidos. Ambiente de trabalho livre de drogas, álcool e tabaco. É necessário caminhar bastante (até 24 km/dia), além de se abaixar e se curvar carregando uma mochila (até 30 kg) em terrenos acidentados (fora de tri"&amp;"lhas). Todos os candidatos devem ser capazes, dispostos e qualificados para executar o trabalho descrito e devem estar disponíveis durante todo o período especificado e trabalhar em todas as áreas de atuação pretendidas. O trabalho é realizado ao ar livre"&amp;", exposto às intempéries. O candidato deve ser capaz de realizar trabalhos fisicamente extenuantes por longos períodos, ocasionalmente em condições de calor ou frio extremos. As condições climáticas são variáveis; a carga horária pode sofrer alterações, c"&amp;"om possibilidade de períodos de inatividade e/ou horas extras. Número de horas por semana: 40. Horário de trabalho (início/término): 7h às 15h.")</f>
        <v>As funções podem incluir: selecionar mudas de árvores, descartar mudas de qualidade inferior, preparar o solo e plantar árvores em áreas de reflorestamento. Consultar os trabalhadores para identificar árvores doentes ou indesejáveis ​​e removê-las de acordo com marcas, tamanhos, tipos ou classificação. Reduzir a vegetação concorrente: pulverizar/injetar herbicidas e podar árvores ou outra vegetação por meio de limpeza/descarte de arbustos, empilhamento e poda, além de outras atividades relacionadas ao trabalho florestal, conforme SOC/OES 45-4011 (onetonline.org). Horário padrão/esperado: segunda a sexta, das 7h às 15h. Oferecemos mais de 40 horas semanais, sem incluir almoço e/ou intervalos. Possibilidade de trabalho em fins de semana e feriados. Os horários de início e término, a carga horária e/ou horas extras podem variar, pois dependem de outros fatores, como necessidades do projeto/cronograma/serviço, condições climáticas e tempo de deslocamento entre os locais de trabalho (se aplicável). Horas extras são possíveis, mas não obrigatórias nem garantidas. A critério exclusivo do empregador: possíveis aumentos e/ou bônus com base em fatores individuais, como desempenho no trabalho ou habilidades (não garantidos). Moradia compartilhada opcional disponível sem custo para o trabalhador. Classificação do Cargo: 45-4011.00 - Trabalhadores Florestais e de Conservação. A classificação e descrição do cargo/setor incluem informações gerais sobre a posição, de acordo com o ONET/OES e o Sistema de Classificação Industrial da América do Norte. Consulte as Funções e a Ordem de Serviço para obter mais informações. Requisitos do Cargo Experiência Necessária: Não. Requisitos Especiais: É necessário ter 18 anos devido ao seguro. É necessário apresentar comprovante de autorização legal para trabalhar nos Estados Unidos. Ambiente de trabalho livre de drogas, álcool e tabaco. É necessário caminhar bastante (até 24 km/dia), além de se abaixar e se curvar carregando uma mochila (até 30 kg) em terrenos acidentados (fora de trilhas). Todos os candidatos devem ser capazes, dispostos e qualificados para executar o trabalho descrito e devem estar disponíveis durante todo o período especificado e trabalhar em todas as áreas de atuação pretendidas. O trabalho é realizado ao ar livre, exposto às intempéries. O candidato deve ser capaz de realizar trabalhos fisicamente extenuantes por longos períodos, ocasionalmente em condições de calor ou frio extremos. As condições climáticas são variáveis; a carga horária pode sofrer alterações, com possibilidade de períodos de inatividade e/ou horas extras. Número de horas por semana: 40. Horário de trabalho (início/término): 7h às 15h.</v>
      </c>
    </row>
    <row r="727" ht="20.25" customHeight="1">
      <c r="A727" s="8" t="s">
        <v>3427</v>
      </c>
      <c r="B727" s="8" t="s">
        <v>3428</v>
      </c>
      <c r="C727" s="8" t="s">
        <v>1000</v>
      </c>
      <c r="D727" s="8" t="s">
        <v>117</v>
      </c>
      <c r="E727" s="9" t="s">
        <v>19</v>
      </c>
      <c r="F727" s="9" t="s">
        <v>20</v>
      </c>
      <c r="G727" s="9" t="s">
        <v>307</v>
      </c>
      <c r="H727" s="8" t="s">
        <v>3429</v>
      </c>
      <c r="I727" s="8" t="s">
        <v>3430</v>
      </c>
      <c r="J727" s="9">
        <v>22.22</v>
      </c>
      <c r="K727" s="9">
        <v>9.0</v>
      </c>
      <c r="L727" s="8" t="s">
        <v>302</v>
      </c>
      <c r="M727" s="8" t="s">
        <v>3431</v>
      </c>
      <c r="N727" s="7" t="str">
        <f>IFERROR(__xludf.DUMMYFUNCTION("GOOGLETRANSLATE(L727, ""en"", ""pt"")"),"Operários da construção civil")</f>
        <v>Operários da construção civil</v>
      </c>
      <c r="O727" s="7" t="str">
        <f>IFERROR(__xludf.DUMMYFUNCTION("IF(M727="""","""",GOOGLETRANSLATE(M727,""en"",""pt""))"),"Executar tarefas que envolvam trabalho braçal em canteiro de obras de concreto. Preparar o local para a concretagem, carregando e descarregando materiais, utilizando linhas de marcação, cortando madeira com serra circular, utilizando marreta para cravar e"&amp;"stacas no solo, cavando e nivelando a terra com pás e compactadores de solo. Auxiliar na concretagem utilizando carrinhos de mão, rastelos e pás. Aplicar concreto. Recolher resíduos. Limpar o canteiro de obras. Classificação da Função: 47-2061.00 - Auxili"&amp;"ares de Construção. A classificação e descrição da função/setor incluem informações gerais sobre o cargo, de acordo com o ONET/OES e o Sistema de Classificação Industrial da América do Norte (NAICS). Consulte as Funções e a Ordem de Serviço para obter mai"&amp;"s informações. Requisitos da Função: Experiência Necessária: Não. Requisitos Especiais: Trabalho em alguns fins de semana. Capacidade de levantar e carregar 34 kg por 68 metros. Capacidade de suportar temperaturas extremas. Número de Horas por Semana: 40."&amp;" Horário de Trabalho (Início/Término): 7h. - 17h00")</f>
        <v>Executar tarefas que envolvam trabalho braçal em canteiro de obras de concreto. Preparar o local para a concretagem, carregando e descarregando materiais, utilizando linhas de marcação, cortando madeira com serra circular, utilizando marreta para cravar estacas no solo, cavando e nivelando a terra com pás e compactadores de solo. Auxiliar na concretagem utilizando carrinhos de mão, rastelos e pás. Aplicar concreto. Recolher resíduos. Limpar o canteiro de obras. Classificação da Função: 47-2061.00 - Auxiliares de Construção. A classificação e descrição da função/setor incluem informações gerais sobre o cargo, de acordo com o ONET/OES e o Sistema de Classificação Industrial da América do Norte (NAICS). Consulte as Funções e a Ordem de Serviço para obter mais informações. Requisitos da Função: Experiência Necessária: Não. Requisitos Especiais: Trabalho em alguns fins de semana. Capacidade de levantar e carregar 34 kg por 68 metros. Capacidade de suportar temperaturas extremas. Número de Horas por Semana: 40. Horário de Trabalho (Início/Término): 7h. - 17h00</v>
      </c>
    </row>
    <row r="728" ht="20.25" customHeight="1">
      <c r="A728" s="3" t="s">
        <v>3432</v>
      </c>
      <c r="B728" s="3" t="s">
        <v>3433</v>
      </c>
      <c r="C728" s="3" t="s">
        <v>3202</v>
      </c>
      <c r="D728" s="3" t="s">
        <v>71</v>
      </c>
      <c r="E728" s="4" t="s">
        <v>19</v>
      </c>
      <c r="F728" s="4" t="s">
        <v>20</v>
      </c>
      <c r="G728" s="4" t="s">
        <v>524</v>
      </c>
      <c r="H728" s="3" t="s">
        <v>3434</v>
      </c>
      <c r="I728" s="3" t="s">
        <v>3435</v>
      </c>
      <c r="J728" s="4">
        <v>22.0</v>
      </c>
      <c r="K728" s="4">
        <v>13.0</v>
      </c>
      <c r="L728" s="3" t="s">
        <v>387</v>
      </c>
      <c r="M728" s="3" t="s">
        <v>3436</v>
      </c>
      <c r="N728" s="7" t="str">
        <f>IFERROR(__xludf.DUMMYFUNCTION("GOOGLETRANSLATE(L728, ""en"", ""pt"")"),"Ordem de serviço não disponível")</f>
        <v>Ordem de serviço não disponível</v>
      </c>
      <c r="O728" s="7" t="str">
        <f>IFERROR(__xludf.DUMMYFUNCTION("IF(M728="""","""",GOOGLETRANSLATE(M728,""en"",""pt""))"),"Preparar, temperar e cozinhar pratos como sopas, carnes, legumes ou sobremesas. Organizar as estações de trabalho com todos os ingredientes e utensílios de cozinha necessários. Capacidade de compreender, executar e concluir uma lista de preparação diária."&amp;" Preparar os ingredientes para uso no cozimento, como picar e descascar legumes, cortar carne e preparar pratos com amido. Cozinhar os alimentos utilizando diversas técnicas, buscando os melhores resultados. Garantir que os pratos sejam servidos simultane"&amp;"amente, com alta qualidade e em tempo hábil. Garantir uma ótima apresentação, decorando os pratos antes de serem servidos. Manter a estação de trabalho da cozinha higienizada e organizada. Garantir que todos os alimentos e outros itens sejam armazenados e"&amp;" rotacionados corretamente. Verificar a qualidade dos ingredientes. Monitorar o mise en place e comunicar ao Chef a necessidade de novos produtos. Dias e horários de trabalho previstos por semana: Os funcionários trabalharão no mínimo 35 horas por semana."&amp;" Aberto sete dias por semana. O horário de funcionamento é de 24 horas por dia. Horário de trabalho semanal: 5h às 13h, 6h às 14h, 7h às 15h, 8h às 16h, 9h às 17h, 10h às 18h, 13h às 21h, 14h às 22h, 15h às 23h, 16h à meia-noite, 22h às 6h. Os dias e horá"&amp;"rios de trabalho variam. Outros turnos não listados podem ser necessários dependendo das circunstâncias. Horas extras: Somente quando necessário. VEJA O DOCUMENTO ANEXO PARA OBTER UMA CÓPIA COMPLETA DA OFERTA DE EMPREGO - Observação para o Oficial Certifi"&amp;"cador: Em anexo, encontra-se uma cópia completa da oferta de emprego. Caso seja necessário adicionar alguma informação desta oferta de emprego ao formulário ETA-9142, concedemos permissão para que você adicione as informações listadas neste anexo. Classif"&amp;"icação da vaga: 35-2014.00 - Cozinheiros(as), Restaurante. A classificação e descrição da vaga/setor inclui informações gerais sobre o cargo, de acordo com o ONET/OES e o Sistema de Classificação Industrial da América do Norte (NAICS). Consulte as Funções"&amp;" e a Ordem de Serviço para obter mais informações. Requisitos da vaga: Experiência necessária: Sim. Meses de experiência necessários: 12. Requisitos especiais: É necessário um ano de experiência como cozinheiro(a). É obrigatório passar por exame toxicológ"&amp;"ico pré-admissional (de acordo com a Política de Ambiente de Trabalho Livre de Drogas da empresa) e verificação de antecedentes. Isso se aplica a vagas sazonais e anuais em tempo integral, independentemente de nacionalidade, raça, sexo ou status de visto."&amp;" É necessário ter disponibilidade para trabalhar em todos os turnos, incluindo fins de semana, noites e feriados. Número de horas por semana: 56. Horário de trabalho (início/término): 9h às 17h.")</f>
        <v>Preparar, temperar e cozinhar pratos como sopas, carnes, legumes ou sobremesas. Organizar as estações de trabalho com todos os ingredientes e utensílios de cozinha necessários. Capacidade de compreender, executar e concluir uma lista de preparação diária. Preparar os ingredientes para uso no cozimento, como picar e descascar legumes, cortar carne e preparar pratos com amido. Cozinhar os alimentos utilizando diversas técnicas, buscando os melhores resultados. Garantir que os pratos sejam servidos simultaneamente, com alta qualidade e em tempo hábil. Garantir uma ótima apresentação, decorando os pratos antes de serem servidos. Manter a estação de trabalho da cozinha higienizada e organizada. Garantir que todos os alimentos e outros itens sejam armazenados e rotacionados corretamente. Verificar a qualidade dos ingredientes. Monitorar o mise en place e comunicar ao Chef a necessidade de novos produtos. Dias e horários de trabalho previstos por semana: Os funcionários trabalharão no mínimo 35 horas por semana. Aberto sete dias por semana. O horário de funcionamento é de 24 horas por dia. Horário de trabalho semanal: 5h às 13h, 6h às 14h, 7h às 15h, 8h às 16h, 9h às 17h, 10h às 18h, 13h às 21h, 14h às 22h, 15h às 23h, 16h à meia-noite, 22h às 6h. Os dias e horários de trabalho variam. Outros turnos não listados podem ser necessários dependendo das circunstâncias. Horas extras: Somente quando necessário. VEJA O DOCUMENTO ANEXO PARA OBTER UMA CÓPIA COMPLETA DA OFERTA DE EMPREGO - Observação para o Oficial Certificador: Em anexo, encontra-se uma cópia completa da oferta de emprego. Caso seja necessário adicionar alguma informação desta oferta de emprego ao formulário ETA-9142, concedemos permissão para que você adicione as informações listadas neste anexo. Classificação da vaga: 35-2014.00 - Cozinheiros(as), Restaurante. A classificação e descrição da vaga/setor inclui informações gerais sobre o cargo, de acordo com o ONET/OES e o Sistema de Classificação Industrial da América do Norte (NAICS). Consulte as Funções e a Ordem de Serviço para obter mais informações. Requisitos da vaga: Experiência necessária: Sim. Meses de experiência necessários: 12. Requisitos especiais: É necessário um ano de experiência como cozinheiro(a). É obrigatório passar por exame toxicológico pré-admissional (de acordo com a Política de Ambiente de Trabalho Livre de Drogas da empresa) e verificação de antecedentes. Isso se aplica a vagas sazonais e anuais em tempo integral, independentemente de nacionalidade, raça, sexo ou status de visto. É necessário ter disponibilidade para trabalhar em todos os turnos, incluindo fins de semana, noites e feriados. Número de horas por semana: 56. Horário de trabalho (início/término): 9h às 17h.</v>
      </c>
    </row>
    <row r="729" ht="20.25" customHeight="1">
      <c r="A729" s="8" t="s">
        <v>3437</v>
      </c>
      <c r="B729" s="8" t="s">
        <v>3433</v>
      </c>
      <c r="C729" s="8" t="s">
        <v>3202</v>
      </c>
      <c r="D729" s="8" t="s">
        <v>71</v>
      </c>
      <c r="E729" s="9" t="s">
        <v>44</v>
      </c>
      <c r="F729" s="9" t="s">
        <v>20</v>
      </c>
      <c r="G729" s="9" t="s">
        <v>524</v>
      </c>
      <c r="H729" s="8" t="s">
        <v>3434</v>
      </c>
      <c r="I729" s="8" t="s">
        <v>3435</v>
      </c>
      <c r="J729" s="9">
        <v>26.0</v>
      </c>
      <c r="K729" s="9">
        <v>1.0</v>
      </c>
      <c r="L729" s="8" t="s">
        <v>3315</v>
      </c>
      <c r="M729" s="8" t="s">
        <v>3438</v>
      </c>
      <c r="N729" s="7" t="str">
        <f>IFERROR(__xludf.DUMMYFUNCTION("GOOGLETRANSLATE(L729, ""en"", ""pt"")"),"Supervisor do refeitório")</f>
        <v>Supervisor do refeitório</v>
      </c>
      <c r="O729" s="7" t="str">
        <f>IFERROR(__xludf.DUMMYFUNCTION("IF(M729="""","""",GOOGLETRANSLATE(M729,""en"",""pt""))"),"O Supervisor de Salão é responsável por supervisionar e coordenar as operações diárias do salão do restaurante, garantindo um serviço eficiente e uma experiência positiva para os clientes. A função supervisiona a equipe de atendimento durante o expediente"&amp;", auxilia no treinamento e na elaboração de escalas, monitora os padrões de serviço e apoia as operações do restaurante durante períodos de alta ocupação e demanda sazonal. As responsabilidades incluem: Supervisionar e coordenar as operações diárias do sa"&amp;"lão e a equipe de atendimento; Realizar reuniões pré-turno e comunicar as atualizações operacionais diárias; Monitorar a satisfação dos clientes e responder prontamente às suas solicitações e reclamações; Garantir o cumprimento dos padrões de serviço, apr"&amp;"esentação pessoal e requisitos de higiene; Auxiliar no treinamento da equipe e fornecer orientações durante os períodos de serviço; Manter-se atualizado sobre os cardápios de comidas e bebidas, incluindo vinhos, coquetéis, cervejas e pratos do dia; Coorde"&amp;"nar o fluxo de clientes, reservas e atribuição de mesas; Auxiliar no monitoramento dos níveis de estoque e suprimentos operacionais; Apoiar os procedimentos de abertura e fechamento do restaurante; Utilizar os sistemas de PDV (Ponto de Venda) e auxiliar n"&amp;"a elaboração de relatórios operacionais, conforme necessário; e Trabalhar em estreita colaboração com a equipe culinária e de alimentos e bebidas para manter a eficiência das operações de serviço. Dias e horários de trabalho previstos por semana e escala:"&amp;" Os funcionários trabalharão no mínimo 35 horas por semana. Aberto sete dias por semana. O horário de funcionamento é de 24 horas por dia. Horários dos turnos semanais: 5h às 13h, 6h às 14h, 7h às 15h, 8h às 16h, 9h às 17h, 10h às 18h, 13h às 21h, 14h às "&amp;"22h, 15h às 23h, 16h à meia-noite, 22h às 6h. Os dias e horários dos turnos variam. Outros turnos não listados podem ser necessários dependendo das necessidades. Horas extras: Somente quando necessário. VEJA O DOCUMENTO ANEXO PARA OBTER UMA CÓPIA COMPLETA"&amp;" DA OFERTA DE EMPREGO - Observação para o Oficial Certificador: Em anexo, encontra-se uma cópia completa da oferta de emprego. Caso seja necessário adicionar alguma informação sobre esta oferta de emprego ao formulário ETA-9142, concedemos permissão para "&amp;"que você inclua as informações listadas neste anexo. Classificação do Cargo: 35-1012.00 - Supervisores de Primeira Linha de Preparadores e Atendentes de Alimentos. A classificação e descrição do cargo/setor incluem informações gerais sobre a posição, de a"&amp;"cordo com o ONET/OES e o Sistema de Classificação Industrial da América do Norte (NAICS). Consulte as Funções e a Ordem de Serviço para obter mais informações. Requisitos do Cargo Experiência Necessária: Sim Meses de Experiência Necessários: 24 Requisitos"&amp;" Especiais: Dois anos de experiência em supervisão em restaurantes, hotelaria ou operações de alimentos e bebidas. Habilidade para se comunicar eficazmente com clientes, gerência e colegas de trabalho. Habilidade para supervisionar a equipe e manter os pa"&amp;"drões de serviço em um ambiente dinâmico. É necessário passar por um exame toxicológico pré-admissional (de acordo com a Política de Ambiente de Trabalho Livre de Drogas da empresa) e verificação de antecedentes. Isso se aplica a todos os candidatos, inde"&amp;"pendentemente de nacionalidade, raça, sexo ou status de visto, e inclui vagas sazonais e anuais em tempo integral. Disponibilidade para trabalhar em todos os turnos, incluindo fins de semana, noites e feriados. Número de horas por semana: 56. Horário de t"&amp;"rabalho (início/término): 9h às 17h.")</f>
        <v>O Supervisor de Salão é responsável por supervisionar e coordenar as operações diárias do salão do restaurante, garantindo um serviço eficiente e uma experiência positiva para os clientes. A função supervisiona a equipe de atendimento durante o expediente, auxilia no treinamento e na elaboração de escalas, monitora os padrões de serviço e apoia as operações do restaurante durante períodos de alta ocupação e demanda sazonal. As responsabilidades incluem: Supervisionar e coordenar as operações diárias do salão e a equipe de atendimento; Realizar reuniões pré-turno e comunicar as atualizações operacionais diárias; Monitorar a satisfação dos clientes e responder prontamente às suas solicitações e reclamações; Garantir o cumprimento dos padrões de serviço, apresentação pessoal e requisitos de higiene; Auxiliar no treinamento da equipe e fornecer orientações durante os períodos de serviço; Manter-se atualizado sobre os cardápios de comidas e bebidas, incluindo vinhos, coquetéis, cervejas e pratos do dia; Coordenar o fluxo de clientes, reservas e atribuição de mesas; Auxiliar no monitoramento dos níveis de estoque e suprimentos operacionais; Apoiar os procedimentos de abertura e fechamento do restaurante; Utilizar os sistemas de PDV (Ponto de Venda) e auxiliar na elaboração de relatórios operacionais, conforme necessário; e Trabalhar em estreita colaboração com a equipe culinária e de alimentos e bebidas para manter a eficiência das operações de serviço. Dias e horários de trabalho previstos por semana e escala: Os funcionários trabalharão no mínimo 35 horas por semana. Aberto sete dias por semana. O horário de funcionamento é de 24 horas por dia. Horários dos turnos semanais: 5h às 13h, 6h às 14h, 7h às 15h, 8h às 16h, 9h às 17h, 10h às 18h, 13h às 21h, 14h às 22h, 15h às 23h, 16h à meia-noite, 22h às 6h. Os dias e horários dos turnos variam. Outros turnos não listados podem ser necessários dependendo das necessidades. Horas extras: Somente quando necessário. VEJA O DOCUMENTO ANEXO PARA OBTER UMA CÓPIA COMPLETA DA OFERTA DE EMPREGO - Observação para o Oficial Certificador: Em anexo, encontra-se uma cópia completa da oferta de emprego. Caso seja necessário adicionar alguma informação sobre esta oferta de emprego ao formulário ETA-9142, concedemos permissão para que você inclua as informações listadas neste anexo. Classificação do Cargo: 35-1012.00 - Supervisores de Primeira Linha de Preparadores e Atendentes de Alimentos. A classificação e descrição do cargo/setor incluem informações gerais sobre a posição, de acordo com o ONET/OES e o Sistema de Classificação Industrial da América do Norte (NAICS). Consulte as Funções e a Ordem de Serviço para obter mais informações. Requisitos do Cargo Experiência Necessária: Sim Meses de Experiência Necessários: 24 Requisitos Especiais: Dois anos de experiência em supervisão em restaurantes, hotelaria ou operações de alimentos e bebidas. Habilidade para se comunicar eficazmente com clientes, gerência e colegas de trabalho. Habilidade para supervisionar a equipe e manter os padrões de serviço em um ambiente dinâmico. É necessário passar por um exame toxicológico pré-admissional (de acordo com a Política de Ambiente de Trabalho Livre de Drogas da empresa) e verificação de antecedentes. Isso se aplica a todos os candidatos, independentemente de nacionalidade, raça, sexo ou status de visto, e inclui vagas sazonais e anuais em tempo integral. Disponibilidade para trabalhar em todos os turnos, incluindo fins de semana, noites e feriados. Número de horas por semana: 56. Horário de trabalho (início/término): 9h às 17h.</v>
      </c>
    </row>
    <row r="730" ht="20.25" customHeight="1">
      <c r="A730" s="3" t="s">
        <v>3439</v>
      </c>
      <c r="B730" s="3" t="s">
        <v>3433</v>
      </c>
      <c r="C730" s="3" t="s">
        <v>3202</v>
      </c>
      <c r="D730" s="3" t="s">
        <v>71</v>
      </c>
      <c r="E730" s="4" t="s">
        <v>44</v>
      </c>
      <c r="F730" s="4" t="s">
        <v>20</v>
      </c>
      <c r="G730" s="4" t="s">
        <v>524</v>
      </c>
      <c r="H730" s="3" t="s">
        <v>3434</v>
      </c>
      <c r="I730" s="3" t="s">
        <v>3435</v>
      </c>
      <c r="J730" s="4">
        <v>17.91</v>
      </c>
      <c r="K730" s="4">
        <v>4.0</v>
      </c>
      <c r="L730" s="3" t="s">
        <v>3440</v>
      </c>
      <c r="M730" s="3" t="s">
        <v>3441</v>
      </c>
      <c r="N730" s="7" t="str">
        <f>IFERROR(__xludf.DUMMYFUNCTION("GOOGLETRANSLATE(L730, ""en"", ""pt"")"),"Auxiliar de Garçom/Entregador de Comida")</f>
        <v>Auxiliar de Garçom/Entregador de Comida</v>
      </c>
      <c r="O730" s="7" t="str">
        <f>IFERROR(__xludf.DUMMYFUNCTION("IF(M730="""","""",GOOGLETRANSLATE(M730,""en"",""pt""))"),"As responsabilidades incluem arrumar e arrumar as mesas, retirar a louça usada, auxiliar os garçons com a reposição de bebidas, apoiar as operações do salão para aprimorar a experiência geral do cliente e facilitar o serviço de alimentação, o que inclui e"&amp;"ntregar os pedidos da cozinha às mesas dos clientes, garantindo precisão e agilidade no serviço, e manter a limpeza e a organização do salão. Principais Responsabilidades: Entregar os pedidos da cozinha às mesas dos clientes com rapidez e precisão; ser o "&amp;"ponto de contato entre a equipe do salão e a equipe da cozinha; auxiliar na arrumação das mesas com os pratos, talheres e guardanapos adequados; limpar e arrumar as mesas após a saída dos clientes, garantindo a limpeza e a preparação para novos clientes; "&amp;"repor bebidas e auxiliar os clientes com necessidades adicionais, conforme orientação dos garçons; e manter a limpeza e a organização dos postos de serviço e do salão. Dias e horários de trabalho previstos por semana: Os funcionários trabalharão no mínimo"&amp;" 35 horas por semana. Aberto sete dias por semana. O horário de funcionamento é de 24 horas por dia. Horário de trabalho semanal: 5h às 13h, 6h às 14h, 7h às 15h, 8h às 16h, 9h às 17h, 10h às 18h, 13h às 21h, 14h às 22h, 15h às 23h, 16h à meia-noite, 22h "&amp;"às 6h. Os dias e horários de trabalho variam. Outros turnos não listados podem ser necessários dependendo das circunstâncias. Horas extras: Somente quando necessário. VEJA O DOCUMENTO ANEXO PARA OBTER UMA CÓPIA COMPLETA DA OFERTA DE EMPREGO - Observação p"&amp;"ara o Oficial Certificador: Em anexo, encontra-se uma cópia completa da oferta de emprego. Caso seja necessário adicionar alguma informação desta oferta de emprego ao formulário ETA-9142, concedemos permissão para que você adicione as informações listadas"&amp;" neste anexo. Classificação da vaga: 35-9011.00 - Atendentes de Refeitório e Cafeteria e Auxiliares de Bar. A classificação e descrição da vaga/setor inclui informações gerais sobre o cargo, de acordo com o ONET/OES e o Sistema de Classificação Industrial"&amp;" da América do Norte (NAICS). Consulte as Funções e a Ordem de Serviço para obter mais informações. Requisitos da vaga: Experiência exigida: Não. Requisitos especiais: Não é necessária experiência. É necessário passar por exame toxicológico pré-admissiona"&amp;"l (de acordo com a Política de Ambiente de Trabalho Livre de Drogas da empresa) e verificação de antecedentes. Isso se aplica a vagas sazonais e anuais em tempo integral, independentemente de nacionalidade, raça, sexo ou status de visto. É necessário ter "&amp;"disponibilidade para trabalhar em todos os turnos, incluindo fins de semana, noites e feriados. Número de horas por semana: 56. Horário de trabalho (início/término): 9h às 17h.")</f>
        <v>As responsabilidades incluem arrumar e arrumar as mesas, retirar a louça usada, auxiliar os garçons com a reposição de bebidas, apoiar as operações do salão para aprimorar a experiência geral do cliente e facilitar o serviço de alimentação, o que inclui entregar os pedidos da cozinha às mesas dos clientes, garantindo precisão e agilidade no serviço, e manter a limpeza e a organização do salão. Principais Responsabilidades: Entregar os pedidos da cozinha às mesas dos clientes com rapidez e precisão; ser o ponto de contato entre a equipe do salão e a equipe da cozinha; auxiliar na arrumação das mesas com os pratos, talheres e guardanapos adequados; limpar e arrumar as mesas após a saída dos clientes, garantindo a limpeza e a preparação para novos clientes; repor bebidas e auxiliar os clientes com necessidades adicionais, conforme orientação dos garçons; e manter a limpeza e a organização dos postos de serviço e do salão. Dias e horários de trabalho previstos por semana: Os funcionários trabalharão no mínimo 35 horas por semana. Aberto sete dias por semana. O horário de funcionamento é de 24 horas por dia. Horário de trabalho semanal: 5h às 13h, 6h às 14h, 7h às 15h, 8h às 16h, 9h às 17h, 10h às 18h, 13h às 21h, 14h às 22h, 15h às 23h, 16h à meia-noite, 22h às 6h. Os dias e horários de trabalho variam. Outros turnos não listados podem ser necessários dependendo das circunstâncias. Horas extras: Somente quando necessário. VEJA O DOCUMENTO ANEXO PARA OBTER UMA CÓPIA COMPLETA DA OFERTA DE EMPREGO - Observação para o Oficial Certificador: Em anexo, encontra-se uma cópia completa da oferta de emprego. Caso seja necessário adicionar alguma informação desta oferta de emprego ao formulário ETA-9142, concedemos permissão para que você adicione as informações listadas neste anexo. Classificação da vaga: 35-9011.00 - Atendentes de Refeitório e Cafeteria e Auxiliares de Bar. A classificação e descrição da vaga/setor inclui informações gerais sobre o cargo, de acordo com o ONET/OES e o Sistema de Classificação Industrial da América do Norte (NAICS). Consulte as Funções e a Ordem de Serviço para obter mais informações. Requisitos da vaga: Experiência exigida: Não. Requisitos especiais: Não é necessária experiência. É necessário passar por exame toxicológico pré-admissional (de acordo com a Política de Ambiente de Trabalho Livre de Drogas da empresa) e verificação de antecedentes. Isso se aplica a vagas sazonais e anuais em tempo integral, independentemente de nacionalidade, raça, sexo ou status de visto. É necessário ter disponibilidade para trabalhar em todos os turnos, incluindo fins de semana, noites e feriados. Número de horas por semana: 56. Horário de trabalho (início/término): 9h às 17h.</v>
      </c>
    </row>
    <row r="731" ht="20.25" customHeight="1">
      <c r="A731" s="8" t="s">
        <v>3442</v>
      </c>
      <c r="B731" s="8" t="s">
        <v>3443</v>
      </c>
      <c r="C731" s="8" t="s">
        <v>1131</v>
      </c>
      <c r="D731" s="8" t="s">
        <v>109</v>
      </c>
      <c r="E731" s="9" t="s">
        <v>19</v>
      </c>
      <c r="F731" s="9" t="s">
        <v>20</v>
      </c>
      <c r="G731" s="9" t="s">
        <v>1065</v>
      </c>
      <c r="H731" s="8" t="s">
        <v>3444</v>
      </c>
      <c r="I731" s="8" t="s">
        <v>3445</v>
      </c>
      <c r="J731" s="9">
        <v>18.69</v>
      </c>
      <c r="K731" s="9">
        <v>4.0</v>
      </c>
      <c r="L731" s="8" t="s">
        <v>59</v>
      </c>
      <c r="M731" s="8" t="s">
        <v>3446</v>
      </c>
      <c r="N731" s="7" t="str">
        <f>IFERROR(__xludf.DUMMYFUNCTION("GOOGLETRANSLATE(L731, ""en"", ""pt"")"),"Trabalhador de paisagismo")</f>
        <v>Trabalhador de paisagismo</v>
      </c>
      <c r="O731" s="7" t="str">
        <f>IFERROR(__xludf.DUMMYFUNCTION("IF(M731="""","""",GOOGLETRANSLATE(M731,""en"",""pt""))"),"Paisagismo e manutenção de terrenos utilizando ferramentas manuais ou elétricas. Os trabalhadores geralmente executam uma variedade de tarefas, que podem incluir qualquer combinação das seguintes: colocação de grama, corte de grama, poda, plantio, rega, f"&amp;"ertilização, escavação e rastelagem. Classificação da função: 37-3011.00 - Trabalhadores de Paisagismo e Manutenção de Terrenos. A classificação e descrição da função/setor incluem informações gerais sobre o cargo, de acordo com o ONET/OES e o Sistema de "&amp;"Classificação Industrial da América do Norte (NAICS). Consulte as Funções e a Ordem de Serviço para obter mais informações. Requisitos da função: Experiência necessária: Não. Requisitos especiais: Deve ser capaz de levantar/carregar 23 kg, quando necessár"&amp;"io. Trabalho aos sábados e domingos, quando necessário. Número de horas por semana: 40. Horário de trabalho (início/término): 8h às 17h.")</f>
        <v>Paisagismo e manutenção de terrenos utilizando ferramentas manuais ou elétricas. Os trabalhadores geralmente executam uma variedade de tarefas, que podem incluir qualquer combinação das seguintes: colocação de grama, corte de grama, poda, plantio, rega, fertilização, escavação e rastelagem. Classificação da função: 37-3011.00 - Trabalhadores de Paisagismo e Manutenção de Terrenos. A classificação e descrição da função/setor incluem informações gerais sobre o cargo, de acordo com o ONET/OES e o Sistema de Classificação Industrial da América do Norte (NAICS). Consulte as Funções e a Ordem de Serviço para obter mais informações. Requisitos da função: Experiência necessária: Não. Requisitos especiais: Deve ser capaz de levantar/carregar 23 kg, quando necessário. Trabalho aos sábados e domingos, quando necessário. Número de horas por semana: 40. Horário de trabalho (início/término): 8h às 17h.</v>
      </c>
    </row>
    <row r="732" ht="20.25" customHeight="1">
      <c r="A732" s="3" t="s">
        <v>3447</v>
      </c>
      <c r="B732" s="3" t="s">
        <v>3448</v>
      </c>
      <c r="C732" s="3" t="s">
        <v>1000</v>
      </c>
      <c r="D732" s="3" t="s">
        <v>117</v>
      </c>
      <c r="E732" s="4" t="s">
        <v>19</v>
      </c>
      <c r="F732" s="4" t="s">
        <v>20</v>
      </c>
      <c r="G732" s="4" t="s">
        <v>307</v>
      </c>
      <c r="H732" s="3" t="s">
        <v>3449</v>
      </c>
      <c r="I732" s="3" t="s">
        <v>3450</v>
      </c>
      <c r="J732" s="4">
        <v>23.61</v>
      </c>
      <c r="K732" s="4">
        <v>4.0</v>
      </c>
      <c r="L732" s="3" t="s">
        <v>262</v>
      </c>
      <c r="M732" s="3" t="s">
        <v>3451</v>
      </c>
      <c r="N732" s="7" t="str">
        <f>IFERROR(__xludf.DUMMYFUNCTION("GOOGLETRANSLATE(L732, ""en"", ""pt"")"),"Operário da construção civil")</f>
        <v>Operário da construção civil</v>
      </c>
      <c r="O732" s="7" t="str">
        <f>IFERROR(__xludf.DUMMYFUNCTION("IF(M732="""","""",GOOGLETRANSLATE(M732,""en"",""pt""))"),"Executar tarefas que envolvam trabalho físico em canteiros de obras. Pode operar ferramentas manuais e elétricas de todos os tipos: martelos pneumáticos, compactadores de solo, betoneiras, pequenos guindastes mecânicos, equipamentos de topografia e mediçã"&amp;"o, e uma variedade de outros equipamentos e instrumentos. Pode limpar e preparar locais, cavar valas, instalar escoras para sustentar as laterais das escavações, montar andaimes e limpar entulhos, detritos e outros materiais residuais. Pode auxiliar outro"&amp;"s trabalhadores especializados. Classificação da função: 47-2061.00 - Auxiliares de Construção Civil. A classificação e descrição da função/setor inclui informações gerais sobre o cargo, de acordo com o ONET/OES e o Sistema de Classificação Industrial da "&amp;"América do Norte (NAICS). Consulte as Funções e a Ordem de Serviço para obter mais informações. Requisitos da vaga: Experiência necessária: Não. Requisitos especiais: Deve ser capaz de levantar 34 kg por 45 metros. Deve ser capaz de lidar com temperaturas"&amp;" extremas. Trabalho em alguns fins de semana. Número de horas por semana: 40. Horário de trabalho (início/término): 7h às 17h.")</f>
        <v>Executar tarefas que envolvam trabalho físico em canteiros de obras. Pode operar ferramentas manuais e elétricas de todos os tipos: martelos pneumáticos, compactadores de solo, betoneiras, pequenos guindastes mecânicos, equipamentos de topografia e medição, e uma variedade de outros equipamentos e instrumentos. Pode limpar e preparar locais, cavar valas, instalar escoras para sustentar as laterais das escavações, montar andaimes e limpar entulhos, detritos e outros materiais residuais. Pode auxiliar outros trabalhadores especializados. Classificação da função: 47-2061.00 - Auxiliares de Construção Civil. A classificação e descrição da função/setor inclui informações gerais sobre o cargo, de acordo com o ONET/OES e o Sistema de Classificação Industrial da América do Norte (NAICS). Consulte as Funções e a Ordem de Serviço para obter mais informações. Requisitos da vaga: Experiência necessária: Não. Requisitos especiais: Deve ser capaz de levantar 34 kg por 45 metros. Deve ser capaz de lidar com temperaturas extremas. Trabalho em alguns fins de semana. Número de horas por semana: 40. Horário de trabalho (início/término): 7h às 17h.</v>
      </c>
    </row>
    <row r="733" ht="20.25" customHeight="1">
      <c r="A733" s="8" t="s">
        <v>3452</v>
      </c>
      <c r="B733" s="8" t="s">
        <v>3448</v>
      </c>
      <c r="C733" s="8" t="s">
        <v>1000</v>
      </c>
      <c r="D733" s="8" t="s">
        <v>117</v>
      </c>
      <c r="E733" s="9" t="s">
        <v>19</v>
      </c>
      <c r="F733" s="9" t="s">
        <v>20</v>
      </c>
      <c r="G733" s="9" t="s">
        <v>307</v>
      </c>
      <c r="H733" s="8" t="s">
        <v>3449</v>
      </c>
      <c r="I733" s="8" t="s">
        <v>3450</v>
      </c>
      <c r="J733" s="9">
        <v>18.6</v>
      </c>
      <c r="K733" s="9">
        <v>4.0</v>
      </c>
      <c r="L733" s="8" t="s">
        <v>2196</v>
      </c>
      <c r="M733" s="8" t="s">
        <v>3453</v>
      </c>
      <c r="N733" s="7" t="str">
        <f>IFERROR(__xludf.DUMMYFUNCTION("GOOGLETRANSLATE(L733, ""en"", ""pt"")"),"Paisagistas")</f>
        <v>Paisagistas</v>
      </c>
      <c r="O733" s="7" t="str">
        <f>IFERROR(__xludf.DUMMYFUNCTION("IF(M733="""","""",GOOGLETRANSLATE(M733,""en"",""pt""))"),"Paisagismo e manutenção de terrenos utilizando ferramentas manuais ou elétricas. Os trabalhadores geralmente executam uma variedade de tarefas, que podem incluir qualquer combinação das seguintes: cortar grama, aparar, regar, fertilizar, cavar, rastelar e"&amp;" instalar sistemas de irrigação e drenagem. Classificação da função: 37-3011.00 - Trabalhadores de Paisagismo e Manutenção de Terrenos. A classificação e descrição da função/setor incluem informações gerais sobre o cargo, de acordo com o ONET/OES e o Sist"&amp;"ema de Classificação Industrial da América do Norte (NAICS). Consulte as Funções e a Ordem de Serviço para obter mais informações. Requisitos da função: Experiência necessária: Não. Requisitos especiais: Deve ser capaz de lidar com temperaturas extremas. "&amp;"Deve ser capaz de levantar e carregar 34 kg por 45 metros. Trabalho em alguns fins de semana. Número de horas por semana: 40. Horário de trabalho (início/término): 7h às 17h.")</f>
        <v>Paisagismo e manutenção de terrenos utilizando ferramentas manuais ou elétricas. Os trabalhadores geralmente executam uma variedade de tarefas, que podem incluir qualquer combinação das seguintes: cortar grama, aparar, regar, fertilizar, cavar, rastelar e instalar sistemas de irrigação e drenagem. Classificação da função: 37-3011.00 - Trabalhadores de Paisagismo e Manutenção de Terrenos. A classificação e descrição da função/setor incluem informações gerais sobre o cargo, de acordo com o ONET/OES e o Sistema de Classificação Industrial da América do Norte (NAICS). Consulte as Funções e a Ordem de Serviço para obter mais informações. Requisitos da função: Experiência necessária: Não. Requisitos especiais: Deve ser capaz de lidar com temperaturas extremas. Deve ser capaz de levantar e carregar 34 kg por 45 metros. Trabalho em alguns fins de semana. Número de horas por semana: 40. Horário de trabalho (início/término): 7h às 17h.</v>
      </c>
    </row>
    <row r="734" ht="20.25" customHeight="1">
      <c r="A734" s="3" t="s">
        <v>3454</v>
      </c>
      <c r="B734" s="3" t="s">
        <v>3455</v>
      </c>
      <c r="C734" s="3" t="s">
        <v>1000</v>
      </c>
      <c r="D734" s="3" t="s">
        <v>117</v>
      </c>
      <c r="E734" s="4" t="s">
        <v>19</v>
      </c>
      <c r="F734" s="4" t="s">
        <v>20</v>
      </c>
      <c r="G734" s="4" t="s">
        <v>307</v>
      </c>
      <c r="H734" s="3" t="s">
        <v>3456</v>
      </c>
      <c r="I734" s="3" t="s">
        <v>3457</v>
      </c>
      <c r="J734" s="4">
        <v>15.49</v>
      </c>
      <c r="K734" s="4">
        <v>6.0</v>
      </c>
      <c r="L734" s="3" t="s">
        <v>1720</v>
      </c>
      <c r="M734" s="3" t="s">
        <v>3458</v>
      </c>
      <c r="N734" s="7" t="str">
        <f>IFERROR(__xludf.DUMMYFUNCTION("GOOGLETRANSLATE(L734, ""en"", ""pt"")"),"Ajudantes de Carpinteiro")</f>
        <v>Ajudantes de Carpinteiro</v>
      </c>
      <c r="O734" s="7" t="str">
        <f>IFERROR(__xludf.DUMMYFUNCTION("IF(M734="""","""",GOOGLETRANSLATE(M734,""en"",""pt""))"),"Auxiliar carpinteiros realizando tarefas que exigem menos habilidade, incluindo carregar ferramentas e madeira, fazer cortes simples em madeira, pregar peças de madeira simples, posicionar fôrmas de madeira e limpar o local de trabalho. Classificação da v"&amp;"aga: 47-3012.00 - Ajudantes de Carpinteiro. A classificação e descrição da vaga/setor inclui informações gerais sobre a posição, de acordo com o ONET/OES e o Sistema de Classificação Industrial da América do Norte (NAICS). Consulte as Funções e a Ordem de"&amp;" Serviço para obter mais informações. Requisitos da vaga: Experiência necessária: Sim. Meses de experiência necessários: 2. Requisitos especiais: Deve ser capaz de levantar e carregar 34 kg por 68 metros. Deve ser capaz de lidar com temperaturas extremas."&amp;" Trabalho em alguns fins de semana. 2 meses de experiência em montagem de fôrmas de madeira são necessários. Número de horas por semana: 40. Horário de trabalho (início/término): 7h às 17h.")</f>
        <v>Auxiliar carpinteiros realizando tarefas que exigem menos habilidade, incluindo carregar ferramentas e madeira, fazer cortes simples em madeira, pregar peças de madeira simples, posicionar fôrmas de madeira e limpar o local de trabalho. Classificação da vaga: 47-3012.00 - Ajudantes de Carpinteiro. A classificação e descrição da vaga/setor inclui informações gerais sobre a posição, de acordo com o ONET/OES e o Sistema de Classificação Industrial da América do Norte (NAICS). Consulte as Funções e a Ordem de Serviço para obter mais informações. Requisitos da vaga: Experiência necessária: Sim. Meses de experiência necessários: 2. Requisitos especiais: Deve ser capaz de levantar e carregar 34 kg por 68 metros. Deve ser capaz de lidar com temperaturas extremas. Trabalho em alguns fins de semana. 2 meses de experiência em montagem de fôrmas de madeira são necessários. Número de horas por semana: 40. Horário de trabalho (início/término): 7h às 17h.</v>
      </c>
    </row>
    <row r="735" ht="20.25" customHeight="1">
      <c r="A735" s="8" t="s">
        <v>3459</v>
      </c>
      <c r="B735" s="8" t="s">
        <v>3460</v>
      </c>
      <c r="C735" s="8" t="s">
        <v>1000</v>
      </c>
      <c r="D735" s="8" t="s">
        <v>278</v>
      </c>
      <c r="E735" s="9" t="s">
        <v>19</v>
      </c>
      <c r="F735" s="9" t="s">
        <v>20</v>
      </c>
      <c r="G735" s="9" t="s">
        <v>307</v>
      </c>
      <c r="H735" s="8" t="s">
        <v>3461</v>
      </c>
      <c r="I735" s="8" t="s">
        <v>3462</v>
      </c>
      <c r="J735" s="9">
        <v>17.88</v>
      </c>
      <c r="K735" s="9">
        <v>24.0</v>
      </c>
      <c r="L735" s="8" t="s">
        <v>1720</v>
      </c>
      <c r="M735" s="8" t="s">
        <v>3463</v>
      </c>
      <c r="N735" s="7" t="str">
        <f>IFERROR(__xludf.DUMMYFUNCTION("GOOGLETRANSLATE(L735, ""en"", ""pt"")"),"Ajudantes de Carpinteiro")</f>
        <v>Ajudantes de Carpinteiro</v>
      </c>
      <c r="O735" s="7" t="str">
        <f>IFERROR(__xludf.DUMMYFUNCTION("IF(M735="""","""",GOOGLETRANSLATE(M735,""en"",""pt""))"),"Auxiliar carpinteiros na montagem de estruturas, carregando ferramentas e madeira, fazendo cortes simples, pregando peças de madeira, montando componentes para os carpinteiros responsáveis ​​e limpando o local de trabalho. O trabalho envolve exposição a a"&amp;"lturas, temperaturas extremas, atividades físicas intensas e movimentos repetitivos. É necessário o uso correto e preciso de trena. Classificação da vaga: 47-3012.00 - Ajudantes de Carpinteiro. A classificação e descrição da vaga/setor incluem informações"&amp;" gerais sobre o cargo, de acordo com o ONET/OES e o Sistema de Classificação Industrial da América do Norte (NAICS). Consulte as Funções e a Ordem de Serviço para obter mais informações. Requisitos da vaga: Experiência necessária: Não. Requisitos especiai"&amp;"s: Capacidade de levantar e carregar 34 kg por 68 metros. Trabalho em alguns fins de semana. Capacidade de lidar com temperaturas extremas. Número de horas por semana: 40. Horário de trabalho (início/término): 7h às 18h.")</f>
        <v>Auxiliar carpinteiros na montagem de estruturas, carregando ferramentas e madeira, fazendo cortes simples, pregando peças de madeira, montando componentes para os carpinteiros responsáveis ​​e limpando o local de trabalho. O trabalho envolve exposição a alturas, temperaturas extremas, atividades físicas intensas e movimentos repetitivos. É necessário o uso correto e preciso de trena. Classificação da vaga: 47-3012.00 - Ajudantes de Carpinteiro. A classificação e descrição da vaga/setor incluem informações gerais sobre o cargo, de acordo com o ONET/OES e o Sistema de Classificação Industrial da América do Norte (NAICS). Consulte as Funções e a Ordem de Serviço para obter mais informações. Requisitos da vaga: Experiência necessária: Não. Requisitos especiais: Capacidade de levantar e carregar 34 kg por 68 metros. Trabalho em alguns fins de semana. Capacidade de lidar com temperaturas extremas. Número de horas por semana: 40. Horário de trabalho (início/término): 7h às 18h.</v>
      </c>
    </row>
    <row r="736" ht="20.25" customHeight="1">
      <c r="A736" s="3" t="s">
        <v>3464</v>
      </c>
      <c r="B736" s="3" t="s">
        <v>2066</v>
      </c>
      <c r="C736" s="3" t="s">
        <v>2067</v>
      </c>
      <c r="D736" s="3" t="s">
        <v>2068</v>
      </c>
      <c r="E736" s="4" t="s">
        <v>44</v>
      </c>
      <c r="F736" s="4" t="s">
        <v>20</v>
      </c>
      <c r="G736" s="4" t="s">
        <v>2069</v>
      </c>
      <c r="H736" s="3" t="s">
        <v>2070</v>
      </c>
      <c r="I736" s="3" t="s">
        <v>2071</v>
      </c>
      <c r="J736" s="4">
        <v>20.18</v>
      </c>
      <c r="K736" s="4">
        <v>6.0</v>
      </c>
      <c r="L736" s="3" t="s">
        <v>3465</v>
      </c>
      <c r="M736" s="3" t="s">
        <v>3466</v>
      </c>
      <c r="N736" s="7" t="str">
        <f>IFERROR(__xludf.DUMMYFUNCTION("GOOGLETRANSLATE(L736, ""en"", ""pt"")"),"Montador")</f>
        <v>Montador</v>
      </c>
      <c r="O736" s="7" t="str">
        <f>IFERROR(__xludf.DUMMYFUNCTION("IF(M736="""","""",GOOGLETRANSLATE(M736,""en"",""pt""))"),"**Resposta à Solicitação de Informações II** O trabalho é realizado em canteiros de obras de projetos de instalações de armazenamento de energia em baterias (BESS) em Porto Rico. Trata-se de um ambiente de construção ativo ao ar livre, onde componentes es"&amp;"truturais e elétricos são instalados como parte da construção da instalação. O profissional atuará diretamente no local do projeto, onde os equipamentos são entregues, posicionados e instalados sobre fundações e dentro de áreas designadas. O trabalho tamb"&amp;"ém pode ocorrer em áreas de equipamentos parcialmente fechadas, como dentro ou ao redor de contêineres de baterias e instalações de equipamentos elétricos. As atividades são realizadas em conjunto com outros profissionais da construção, com coordenação en"&amp;"tre diferentes especialidades para apoiar o processo de instalação e garantir a sequência adequada do trabalho. A função envolve o trabalho com componentes utilizados em sistemas de armazenamento de energia em baterias (BESS), incluindo: componentes estru"&amp;"turais como suportes metálicos, suportes de equipamentos e fundações; contêineres e invólucros de baterias usados ​​para abrigar equipamentos de armazenamento de energia; equipamentos elétricos como inversores, transformadores e componentes relacionados; "&amp;"infraestrutura elétrica, incluindo conduítes, bandejas de cabos e sistemas de fiação; sistemas de cabeamento (cabos de energia e comunicação); sistemas de aterramento e conexões elétricas básicas do local; sistemas de suporte, como iluminação, energia aux"&amp;"iliar e equipamentos de monitoramento. Todos os componentes são instalados e fixados no local com base nos desenhos e especificações do projeto, como parte da construção geral da instalação. **Resposta à Solicitação de Informações (RFI)** Embora atue no s"&amp;"etor de energias renováveis, que inclui projetos envolvendo sistemas de energia solar e instalações de armazenamento de baterias, a função específica de Montador abrangida por esta solicitação não envolve principalmente a instalação de painéis solares ou "&amp;"sistemas fotovoltaicos (PV). **Original** Montar, instalar e fixar componentes estruturais e elétricos de acordo com os desenhos e especificações do projeto. Ler e interpretar plantas e projetos de layout. Instalar estruturas metálicas, contêineres de bat"&amp;"erias, transformadores, inversores, conduítes elétricos e sistemas de bandejas de cabos. Alinhar, nivelar e fixar componentes usando ferramentas manuais e elétricas, sistemas de ancoragem e equipamentos de soldagem, conforme necessário. Coordenar com outr"&amp;"as equipes para garantir a sequência correta e evitar conflitos de instalação. Inspecionar e verificar o posicionamento e a funcionalidade corretos dos equipamentos antes do comissionamento e realizar pequenos ajustes quando necessário. Manter a conformid"&amp;"ade com os padrões de segurança e qualidade. Classificação da vaga: 47-2221.00 - Montador de Estruturas Metálicas. A classificação e a descrição da vaga/setor incluem informações gerais sobre o cargo, de acordo com o ONET/OES e o Sistema de Classificação "&amp;"Industrial da América do Norte (NAICS). Consulte as Funções e a Ordem de Serviço para obter mais informações. Requisitos da vaga: Experiência necessária: Sim. Meses de experiência necessários: 36. Requisitos especiais: Mínimo de 36 meses de experiência co"&amp;"mo Montador. A escala de trabalho pode variar e incluir fins de semana e feriados, conforme necessário. Capacidade de levantar/carregar/empurrar/puxar 23 kg. 5 dias por semana, 8,5 horas por dia. Horário de trabalho diário previsto: das 7h às 13h e das 14"&amp;"h às 16h30, de segunda a sexta-feira. Salário: US$ 20,18/hora para a unidade de Ponce e US$ 18,68/hora para a unidade de Caguas. Possibilidade de horas extras: US$ 30,27/hora para a unidade de Ponce e US$ 28,02/hora para a unidade de Caguas. Pagamento sem"&amp;"anal. Locais de trabalho: Guayanilla, Caguas e Ponce. Carga horária: 42 horas semanais. Horário de trabalho (início/término): 7h às 16h30.")</f>
        <v>**Resposta à Solicitação de Informações II** O trabalho é realizado em canteiros de obras de projetos de instalações de armazenamento de energia em baterias (BESS) em Porto Rico. Trata-se de um ambiente de construção ativo ao ar livre, onde componentes estruturais e elétricos são instalados como parte da construção da instalação. O profissional atuará diretamente no local do projeto, onde os equipamentos são entregues, posicionados e instalados sobre fundações e dentro de áreas designadas. O trabalho também pode ocorrer em áreas de equipamentos parcialmente fechadas, como dentro ou ao redor de contêineres de baterias e instalações de equipamentos elétricos. As atividades são realizadas em conjunto com outros profissionais da construção, com coordenação entre diferentes especialidades para apoiar o processo de instalação e garantir a sequência adequada do trabalho. A função envolve o trabalho com componentes utilizados em sistemas de armazenamento de energia em baterias (BESS), incluindo: componentes estruturais como suportes metálicos, suportes de equipamentos e fundações; contêineres e invólucros de baterias usados ​​para abrigar equipamentos de armazenamento de energia; equipamentos elétricos como inversores, transformadores e componentes relacionados; infraestrutura elétrica, incluindo conduítes, bandejas de cabos e sistemas de fiação; sistemas de cabeamento (cabos de energia e comunicação); sistemas de aterramento e conexões elétricas básicas do local; sistemas de suporte, como iluminação, energia auxiliar e equipamentos de monitoramento. Todos os componentes são instalados e fixados no local com base nos desenhos e especificações do projeto, como parte da construção geral da instalação. **Resposta à Solicitação de Informações (RFI)** Embora atue no setor de energias renováveis, que inclui projetos envolvendo sistemas de energia solar e instalações de armazenamento de baterias, a função específica de Montador abrangida por esta solicitação não envolve principalmente a instalação de painéis solares ou sistemas fotovoltaicos (PV). **Original** Montar, instalar e fixar componentes estruturais e elétricos de acordo com os desenhos e especificações do projeto. Ler e interpretar plantas e projetos de layout. Instalar estruturas metálicas, contêineres de baterias, transformadores, inversores, conduítes elétricos e sistemas de bandejas de cabos. Alinhar, nivelar e fixar componentes usando ferramentas manuais e elétricas, sistemas de ancoragem e equipamentos de soldagem, conforme necessário. Coordenar com outras equipes para garantir a sequência correta e evitar conflitos de instalação. Inspecionar e verificar o posicionamento e a funcionalidade corretos dos equipamentos antes do comissionamento e realizar pequenos ajustes quando necessário. Manter a conformidade com os padrões de segurança e qualidade. Classificação da vaga: 47-2221.00 - Montador de Estruturas Metálicas. A classificação e a descrição da vaga/setor incluem informações gerais sobre o cargo, de acordo com o ONET/OES e o Sistema de Classificação Industrial da América do Norte (NAICS). Consulte as Funções e a Ordem de Serviço para obter mais informações. Requisitos da vaga: Experiência necessária: Sim. Meses de experiência necessários: 36. Requisitos especiais: Mínimo de 36 meses de experiência como Montador. A escala de trabalho pode variar e incluir fins de semana e feriados, conforme necessário. Capacidade de levantar/carregar/empurrar/puxar 23 kg. 5 dias por semana, 8,5 horas por dia. Horário de trabalho diário previsto: das 7h às 13h e das 14h às 16h30, de segunda a sexta-feira. Salário: US$ 20,18/hora para a unidade de Ponce e US$ 18,68/hora para a unidade de Caguas. Possibilidade de horas extras: US$ 30,27/hora para a unidade de Ponce e US$ 28,02/hora para a unidade de Caguas. Pagamento semanal. Locais de trabalho: Guayanilla, Caguas e Ponce. Carga horária: 42 horas semanais. Horário de trabalho (início/término): 7h às 16h30.</v>
      </c>
    </row>
    <row r="737" ht="20.25" customHeight="1">
      <c r="A737" s="8" t="s">
        <v>3467</v>
      </c>
      <c r="B737" s="8" t="s">
        <v>3468</v>
      </c>
      <c r="C737" s="8" t="s">
        <v>1000</v>
      </c>
      <c r="D737" s="8" t="s">
        <v>117</v>
      </c>
      <c r="E737" s="9" t="s">
        <v>19</v>
      </c>
      <c r="F737" s="9" t="s">
        <v>20</v>
      </c>
      <c r="G737" s="9" t="s">
        <v>307</v>
      </c>
      <c r="H737" s="8" t="s">
        <v>3469</v>
      </c>
      <c r="I737" s="8" t="s">
        <v>3470</v>
      </c>
      <c r="J737" s="9">
        <v>22.35</v>
      </c>
      <c r="K737" s="9">
        <v>6.0</v>
      </c>
      <c r="L737" s="8" t="s">
        <v>262</v>
      </c>
      <c r="M737" s="8" t="s">
        <v>3471</v>
      </c>
      <c r="N737" s="7" t="str">
        <f>IFERROR(__xludf.DUMMYFUNCTION("GOOGLETRANSLATE(L737, ""en"", ""pt"")"),"Operário da construção civil")</f>
        <v>Operário da construção civil</v>
      </c>
      <c r="O737" s="7" t="str">
        <f>IFERROR(__xludf.DUMMYFUNCTION("IF(M737="""","""",GOOGLETRANSLATE(M737,""en"",""pt""))"),"Construção em concreto residencial e comercial. Medir e demarcar sapatas e fundações. Escavar sapatas e nivelar o terreno de acordo com as especificações. Incorporar material de reforço no concreto, posicionar fôrmas de alumínio para paredes e aplicar tod"&amp;"o o concreto. Limpar o local da obra. Classificação da função: 47-2061.00 - Auxiliar de Construção. A classificação e descrição da função/setor incluem informações gerais sobre o cargo, conforme o ONET/OES e o Sistema de Classificação Industrial da Améric"&amp;"a do Norte (NAICS). Consulte as Funções e a Ordem de Serviço para obter mais informações. Requisitos da vaga: Experiência necessária: Sim. Meses de experiência necessários: 3. Requisitos especiais: Deve ser capaz de levantar e carregar 34 kg por 68 metros"&amp;". Deve ser capaz de lidar com temperaturas extremas. Trabalho em alguns fins de semana. 3 meses de experiência em construção em concreto são necessários. Número de horas por semana: 40. Horário de trabalho (início/término): 7h às 17h30.")</f>
        <v>Construção em concreto residencial e comercial. Medir e demarcar sapatas e fundações. Escavar sapatas e nivelar o terreno de acordo com as especificações. Incorporar material de reforço no concreto, posicionar fôrmas de alumínio para paredes e aplicar todo o concreto. Limpar o local da obra. Classificação da função: 47-2061.00 - Auxiliar de Construção. A classificação e descrição da função/setor incluem informações gerais sobre o cargo, conforme o ONET/OES e o Sistema de Classificação Industrial da América do Norte (NAICS). Consulte as Funções e a Ordem de Serviço para obter mais informações. Requisitos da vaga: Experiência necessária: Sim. Meses de experiência necessários: 3. Requisitos especiais: Deve ser capaz de levantar e carregar 34 kg por 68 metros. Deve ser capaz de lidar com temperaturas extremas. Trabalho em alguns fins de semana. 3 meses de experiência em construção em concreto são necessários. Número de horas por semana: 40. Horário de trabalho (início/término): 7h às 17h30.</v>
      </c>
    </row>
    <row r="738" ht="20.25" customHeight="1">
      <c r="A738" s="3" t="s">
        <v>3472</v>
      </c>
      <c r="B738" s="3" t="s">
        <v>3468</v>
      </c>
      <c r="C738" s="3" t="s">
        <v>1000</v>
      </c>
      <c r="D738" s="3" t="s">
        <v>117</v>
      </c>
      <c r="E738" s="4" t="s">
        <v>19</v>
      </c>
      <c r="F738" s="4" t="s">
        <v>20</v>
      </c>
      <c r="G738" s="4" t="s">
        <v>307</v>
      </c>
      <c r="H738" s="3" t="s">
        <v>3469</v>
      </c>
      <c r="I738" s="3" t="s">
        <v>3470</v>
      </c>
      <c r="J738" s="4">
        <v>23.49</v>
      </c>
      <c r="K738" s="4">
        <v>6.0</v>
      </c>
      <c r="L738" s="3" t="s">
        <v>262</v>
      </c>
      <c r="M738" s="3" t="s">
        <v>3471</v>
      </c>
      <c r="N738" s="7" t="str">
        <f>IFERROR(__xludf.DUMMYFUNCTION("GOOGLETRANSLATE(L738, ""en"", ""pt"")"),"Operário da construção civil")</f>
        <v>Operário da construção civil</v>
      </c>
      <c r="O738" s="7" t="str">
        <f>IFERROR(__xludf.DUMMYFUNCTION("IF(M738="""","""",GOOGLETRANSLATE(M738,""en"",""pt""))"),"Construção em concreto residencial e comercial. Medir e demarcar sapatas e fundações. Escavar sapatas e nivelar o terreno de acordo com as especificações. Incorporar material de reforço no concreto, posicionar fôrmas de alumínio para paredes e aplicar tod"&amp;"o o concreto. Limpar o local da obra. Classificação da função: 47-2061.00 - Auxiliar de Construção. A classificação e descrição da função/setor incluem informações gerais sobre o cargo, conforme o ONET/OES e o Sistema de Classificação Industrial da Améric"&amp;"a do Norte (NAICS). Consulte as Funções e a Ordem de Serviço para obter mais informações. Requisitos da vaga: Experiência necessária: Sim. Meses de experiência necessários: 3. Requisitos especiais: Deve ser capaz de levantar e carregar 34 kg por 68 metros"&amp;". Deve ser capaz de lidar com temperaturas extremas. Trabalho em alguns fins de semana. 3 meses de experiência em construção em concreto são necessários. Número de horas por semana: 40. Horário de trabalho (início/término): 7h às 17h30.")</f>
        <v>Construção em concreto residencial e comercial. Medir e demarcar sapatas e fundações. Escavar sapatas e nivelar o terreno de acordo com as especificações. Incorporar material de reforço no concreto, posicionar fôrmas de alumínio para paredes e aplicar todo o concreto. Limpar o local da obra. Classificação da função: 47-2061.00 - Auxiliar de Construção. A classificação e descrição da função/setor incluem informações gerais sobre o cargo, conforme o ONET/OES e o Sistema de Classificação Industrial da América do Norte (NAICS). Consulte as Funções e a Ordem de Serviço para obter mais informações. Requisitos da vaga: Experiência necessária: Sim. Meses de experiência necessários: 3. Requisitos especiais: Deve ser capaz de levantar e carregar 34 kg por 68 metros. Deve ser capaz de lidar com temperaturas extremas. Trabalho em alguns fins de semana. 3 meses de experiência em construção em concreto são necessários. Número de horas por semana: 40. Horário de trabalho (início/término): 7h às 17h30.</v>
      </c>
    </row>
    <row r="739" ht="20.25" customHeight="1">
      <c r="A739" s="8" t="s">
        <v>3473</v>
      </c>
      <c r="B739" s="8" t="s">
        <v>3474</v>
      </c>
      <c r="C739" s="8" t="s">
        <v>2263</v>
      </c>
      <c r="D739" s="8" t="s">
        <v>306</v>
      </c>
      <c r="E739" s="9" t="s">
        <v>19</v>
      </c>
      <c r="F739" s="9" t="s">
        <v>20</v>
      </c>
      <c r="G739" s="9" t="s">
        <v>345</v>
      </c>
      <c r="H739" s="8" t="s">
        <v>3475</v>
      </c>
      <c r="I739" s="8" t="s">
        <v>3476</v>
      </c>
      <c r="J739" s="9">
        <v>19.93</v>
      </c>
      <c r="K739" s="9">
        <v>12.0</v>
      </c>
      <c r="L739" s="8" t="s">
        <v>1490</v>
      </c>
      <c r="M739" s="8" t="s">
        <v>3477</v>
      </c>
      <c r="N739" s="7" t="str">
        <f>IFERROR(__xludf.DUMMYFUNCTION("GOOGLETRANSLATE(L739, ""en"", ""pt"")"),"Zelador")</f>
        <v>Zelador</v>
      </c>
      <c r="O739" s="7" t="str">
        <f>IFERROR(__xludf.DUMMYFUNCTION("IF(M739="""","""",GOOGLETRANSLATE(M739,""en"",""pt""))"),"As tarefas incluem a remoção de neve, manutenção de terrenos, como limpeza de lixo e preparação de sistemas de irrigação para o inverno, e outras atividades relacionadas à manutenção de instalações e estradas, como a limpeza de folhas, neve ou detritos em"&amp;" vias públicas. Os trabalhadores não dirigirão caminhões limpa-neve. Utilizarão ferramentas manuais, como pás e vassouras de neve, além de equipamentos motorizados portáteis, como sopradores de neve elétricos ou a gasolina. Há possibilidade de limpeza de "&amp;"folhas no outono e na primavera, poda de inverno, plantio de plantas perenes, remoção de folhas e cobertura morta em canteiros. Também será responsável pelo degelo e remoção de neve de calçadas, entradas de garagem e estacionamentos de diversas propriedad"&amp;"es residenciais e comerciais, utilizando ferramentas manuais como vassouras de neve e pás, e espalhando soluções de degelo, incluindo cloreto de cálcio ou sal grosso, manualmente. Poderá ainda utilizar sopradores de neve elétricos ou a gasolina, conforme "&amp;"necessário. Classificação da Função: 37-3011.00 - Trabalhadores de Paisagismo e Manutenção de Jardins. A classificação e descrição da função/setor inclui informações gerais sobre o cargo, de acordo com o ONET/OES e o Sistema de Classificação Industrial da"&amp;" América do Norte (NAICS). Consulte as Funções e a Ordem de Serviço para obter mais informações. Requisitos da Função Experiência Necessária: Não. Requisitos Especiais: Deve ser capaz de realizar trabalho físico ao ar livre por até 8 horas por dia, em tod"&amp;"as as condições climáticas, incluindo frio, neve e chuva. Horas extras e trabalho aos fins de semana podem ser necessários. Deve ser capaz de levantar até 23 kg. Número de Horas por Semana: 35. Horário de Trabalho (Início/Término): 7h às 17h.")</f>
        <v>As tarefas incluem a remoção de neve, manutenção de terrenos, como limpeza de lixo e preparação de sistemas de irrigação para o inverno, e outras atividades relacionadas à manutenção de instalações e estradas, como a limpeza de folhas, neve ou detritos em vias públicas. Os trabalhadores não dirigirão caminhões limpa-neve. Utilizarão ferramentas manuais, como pás e vassouras de neve, além de equipamentos motorizados portáteis, como sopradores de neve elétricos ou a gasolina. Há possibilidade de limpeza de folhas no outono e na primavera, poda de inverno, plantio de plantas perenes, remoção de folhas e cobertura morta em canteiros. Também será responsável pelo degelo e remoção de neve de calçadas, entradas de garagem e estacionamentos de diversas propriedades residenciais e comerciais, utilizando ferramentas manuais como vassouras de neve e pás, e espalhando soluções de degelo, incluindo cloreto de cálcio ou sal grosso, manualmente. Poderá ainda utilizar sopradores de neve elétricos ou a gasolina, conforme necessário. Classificação da Função: 37-3011.00 - Trabalhadores de Paisagismo e Manutenção de Jardins. A classificação e descrição da função/setor inclui informações gerais sobre o cargo, de acordo com o ONET/OES e o Sistema de Classificação Industrial da América do Norte (NAICS). Consulte as Funções e a Ordem de Serviço para obter mais informações. Requisitos da Função Experiência Necessária: Não. Requisitos Especiais: Deve ser capaz de realizar trabalho físico ao ar livre por até 8 horas por dia, em todas as condições climáticas, incluindo frio, neve e chuva. Horas extras e trabalho aos fins de semana podem ser necessários. Deve ser capaz de levantar até 23 kg. Número de Horas por Semana: 35. Horário de Trabalho (Início/Término): 7h às 17h.</v>
      </c>
    </row>
    <row r="740" ht="20.25" customHeight="1">
      <c r="A740" s="3" t="s">
        <v>3478</v>
      </c>
      <c r="B740" s="3" t="s">
        <v>3479</v>
      </c>
      <c r="C740" s="3" t="s">
        <v>1000</v>
      </c>
      <c r="D740" s="3" t="s">
        <v>117</v>
      </c>
      <c r="E740" s="4" t="s">
        <v>19</v>
      </c>
      <c r="F740" s="4" t="s">
        <v>20</v>
      </c>
      <c r="G740" s="4" t="s">
        <v>307</v>
      </c>
      <c r="H740" s="3" t="s">
        <v>3480</v>
      </c>
      <c r="I740" s="3" t="s">
        <v>3481</v>
      </c>
      <c r="J740" s="4">
        <v>20.26</v>
      </c>
      <c r="K740" s="4">
        <v>4.0</v>
      </c>
      <c r="L740" s="3" t="s">
        <v>3482</v>
      </c>
      <c r="M740" s="3" t="s">
        <v>3483</v>
      </c>
      <c r="N740" s="7" t="str">
        <f>IFERROR(__xludf.DUMMYFUNCTION("GOOGLETRANSLATE(L740, ""en"", ""pt"")"),"Pulverizadores de sementes")</f>
        <v>Pulverizadores de sementes</v>
      </c>
      <c r="O740" s="7" t="str">
        <f>IFERROR(__xludf.DUMMYFUNCTION("IF(M740="""","""",GOOGLETRANSLATE(M740,""en"",""pt""))"),"Transportar mistura de sementes e feno, movimentar terra, cavar buracos, fertilizar grama e espalhar sementes. Rastelar, cavar, semear, cortar grama, plantar e realizar outros trabalhos braçais essenciais para as operações da empresa. Classificação da vag"&amp;"a: 37-3011.00 - Trabalhadores de Paisagismo e Manutenção de Áreas Verdes. A classificação e descrição da vaga/setor incluem informações gerais sobre o cargo, de acordo com o ONET/OES e o Sistema de Classificação Industrial da América do Norte (NAICS). Con"&amp;"sulte as Funções e a Ordem de Serviço para obter mais informações. Requisitos da vaga: Experiência necessária: Não. Requisitos especiais: Deve ser capaz de levantar e carregar 34 kg por 68 metros. Deve ser capaz de lidar com temperaturas extremas. Trabalh"&amp;"o em alguns fins de semana. Número de horas por semana: 40. Horário de trabalho (início/término): 7h às 17h.")</f>
        <v>Transportar mistura de sementes e feno, movimentar terra, cavar buracos, fertilizar grama e espalhar sementes. Rastelar, cavar, semear, cortar grama, plantar e realizar outros trabalhos braçais essenciais para as operações da empresa. Classificação da vaga: 37-3011.00 - Trabalhadores de Paisagismo e Manutenção de Áreas Verdes. A classificação e descrição da vaga/setor incluem informações gerais sobre o cargo, de acordo com o ONET/OES e o Sistema de Classificação Industrial da América do Norte (NAICS). Consulte as Funções e a Ordem de Serviço para obter mais informações. Requisitos da vaga: Experiência necessária: Não. Requisitos especiais: Deve ser capaz de levantar e carregar 34 kg por 68 metros. Deve ser capaz de lidar com temperaturas extremas. Trabalho em alguns fins de semana. Número de horas por semana: 40. Horário de trabalho (início/término): 7h às 17h.</v>
      </c>
    </row>
    <row r="741" ht="20.25" customHeight="1">
      <c r="A741" s="8" t="s">
        <v>3484</v>
      </c>
      <c r="B741" s="8" t="s">
        <v>3479</v>
      </c>
      <c r="C741" s="8" t="s">
        <v>1000</v>
      </c>
      <c r="D741" s="8" t="s">
        <v>117</v>
      </c>
      <c r="E741" s="9" t="s">
        <v>19</v>
      </c>
      <c r="F741" s="9" t="s">
        <v>20</v>
      </c>
      <c r="G741" s="9" t="s">
        <v>307</v>
      </c>
      <c r="H741" s="8" t="s">
        <v>3480</v>
      </c>
      <c r="I741" s="8" t="s">
        <v>3481</v>
      </c>
      <c r="J741" s="9">
        <v>19.39</v>
      </c>
      <c r="K741" s="9">
        <v>4.0</v>
      </c>
      <c r="L741" s="8" t="s">
        <v>3482</v>
      </c>
      <c r="M741" s="8" t="s">
        <v>3483</v>
      </c>
      <c r="N741" s="7" t="str">
        <f>IFERROR(__xludf.DUMMYFUNCTION("GOOGLETRANSLATE(L741, ""en"", ""pt"")"),"Pulverizadores de sementes")</f>
        <v>Pulverizadores de sementes</v>
      </c>
      <c r="O741" s="7" t="str">
        <f>IFERROR(__xludf.DUMMYFUNCTION("IF(M741="""","""",GOOGLETRANSLATE(M741,""en"",""pt""))"),"Transportar mistura de sementes e feno, movimentar terra, cavar buracos, fertilizar grama e espalhar sementes. Rastelar, cavar, semear, cortar grama, plantar e realizar outros trabalhos braçais essenciais para as operações da empresa. Classificação da vag"&amp;"a: 37-3011.00 - Trabalhadores de Paisagismo e Manutenção de Áreas Verdes. A classificação e descrição da vaga/setor incluem informações gerais sobre o cargo, de acordo com o ONET/OES e o Sistema de Classificação Industrial da América do Norte (NAICS). Con"&amp;"sulte as Funções e a Ordem de Serviço para obter mais informações. Requisitos da vaga: Experiência necessária: Não. Requisitos especiais: Deve ser capaz de levantar e carregar 34 kg por 68 metros. Deve ser capaz de lidar com temperaturas extremas. Trabalh"&amp;"o em alguns fins de semana. Número de horas por semana: 40. Horário de trabalho (início/término): 7h às 17h.")</f>
        <v>Transportar mistura de sementes e feno, movimentar terra, cavar buracos, fertilizar grama e espalhar sementes. Rastelar, cavar, semear, cortar grama, plantar e realizar outros trabalhos braçais essenciais para as operações da empresa. Classificação da vaga: 37-3011.00 - Trabalhadores de Paisagismo e Manutenção de Áreas Verdes. A classificação e descrição da vaga/setor incluem informações gerais sobre o cargo, de acordo com o ONET/OES e o Sistema de Classificação Industrial da América do Norte (NAICS). Consulte as Funções e a Ordem de Serviço para obter mais informações. Requisitos da vaga: Experiência necessária: Não. Requisitos especiais: Deve ser capaz de levantar e carregar 34 kg por 68 metros. Deve ser capaz de lidar com temperaturas extremas. Trabalho em alguns fins de semana. Número de horas por semana: 40. Horário de trabalho (início/término): 7h às 17h.</v>
      </c>
    </row>
    <row r="742" ht="20.25" customHeight="1">
      <c r="A742" s="3" t="s">
        <v>3485</v>
      </c>
      <c r="B742" s="3" t="s">
        <v>3479</v>
      </c>
      <c r="C742" s="3" t="s">
        <v>1000</v>
      </c>
      <c r="D742" s="3" t="s">
        <v>117</v>
      </c>
      <c r="E742" s="4" t="s">
        <v>44</v>
      </c>
      <c r="F742" s="4" t="s">
        <v>20</v>
      </c>
      <c r="G742" s="4" t="s">
        <v>307</v>
      </c>
      <c r="H742" s="3" t="s">
        <v>3480</v>
      </c>
      <c r="I742" s="3" t="s">
        <v>3481</v>
      </c>
      <c r="J742" s="4">
        <v>19.33</v>
      </c>
      <c r="K742" s="4">
        <v>4.0</v>
      </c>
      <c r="L742" s="3" t="s">
        <v>3482</v>
      </c>
      <c r="M742" s="3" t="s">
        <v>3483</v>
      </c>
      <c r="N742" s="7" t="str">
        <f>IFERROR(__xludf.DUMMYFUNCTION("GOOGLETRANSLATE(L742, ""en"", ""pt"")"),"Pulverizadores de sementes")</f>
        <v>Pulverizadores de sementes</v>
      </c>
      <c r="O742" s="7" t="str">
        <f>IFERROR(__xludf.DUMMYFUNCTION("IF(M742="""","""",GOOGLETRANSLATE(M742,""en"",""pt""))"),"Transportar mistura de sementes e feno, movimentar terra, cavar buracos, fertilizar grama e espalhar sementes. Rastelar, cavar, semear, cortar grama, plantar e realizar outros trabalhos braçais essenciais para as operações da empresa. Classificação da vag"&amp;"a: 37-3011.00 - Trabalhadores de Paisagismo e Manutenção de Áreas Verdes. A classificação e descrição da vaga/setor incluem informações gerais sobre o cargo, de acordo com o ONET/OES e o Sistema de Classificação Industrial da América do Norte (NAICS). Con"&amp;"sulte as Funções e a Ordem de Serviço para obter mais informações. Requisitos da vaga: Experiência necessária: Não. Requisitos especiais: Deve ser capaz de levantar e carregar 34 kg por 68 metros. Deve ser capaz de lidar com temperaturas extremas. Trabalh"&amp;"o em alguns fins de semana. Número de horas por semana: 40. Horário de trabalho (início/término): 7h às 17h.")</f>
        <v>Transportar mistura de sementes e feno, movimentar terra, cavar buracos, fertilizar grama e espalhar sementes. Rastelar, cavar, semear, cortar grama, plantar e realizar outros trabalhos braçais essenciais para as operações da empresa. Classificação da vaga: 37-3011.00 - Trabalhadores de Paisagismo e Manutenção de Áreas Verdes. A classificação e descrição da vaga/setor incluem informações gerais sobre o cargo, de acordo com o ONET/OES e o Sistema de Classificação Industrial da América do Norte (NAICS). Consulte as Funções e a Ordem de Serviço para obter mais informações. Requisitos da vaga: Experiência necessária: Não. Requisitos especiais: Deve ser capaz de levantar e carregar 34 kg por 68 metros. Deve ser capaz de lidar com temperaturas extremas. Trabalho em alguns fins de semana. Número de horas por semana: 40. Horário de trabalho (início/término): 7h às 17h.</v>
      </c>
    </row>
    <row r="743" ht="20.25" customHeight="1">
      <c r="A743" s="8" t="s">
        <v>3486</v>
      </c>
      <c r="B743" s="8" t="s">
        <v>3487</v>
      </c>
      <c r="C743" s="8" t="s">
        <v>2263</v>
      </c>
      <c r="D743" s="8" t="s">
        <v>64</v>
      </c>
      <c r="E743" s="9" t="s">
        <v>19</v>
      </c>
      <c r="F743" s="9" t="s">
        <v>20</v>
      </c>
      <c r="G743" s="9" t="s">
        <v>377</v>
      </c>
      <c r="H743" s="8" t="s">
        <v>3488</v>
      </c>
      <c r="I743" s="8" t="s">
        <v>3489</v>
      </c>
      <c r="J743" s="9">
        <v>17.18</v>
      </c>
      <c r="K743" s="9">
        <v>18.0</v>
      </c>
      <c r="L743" s="8" t="s">
        <v>3490</v>
      </c>
      <c r="M743" s="8" t="s">
        <v>3491</v>
      </c>
      <c r="N743" s="7" t="str">
        <f>IFERROR(__xludf.DUMMYFUNCTION("GOOGLETRANSLATE(L743, ""en"", ""pt"")"),"Marinheiro de convés, barco de pesca de ostras")</f>
        <v>Marinheiro de convés, barco de pesca de ostras</v>
      </c>
      <c r="O743" s="7" t="str">
        <f>IFERROR(__xludf.DUMMYFUNCTION("IF(M743="""","""",GOOGLETRANSLATE(M743,""en"",""pt""))"),"Embarque diariamente em embarcações e navegue até baías costeiras, rios e braços de mar designados para a coleta de ostras para consumo humano. Lance redes de arrasto, armadilhas e equipamentos de coleta relacionados na água para raspar o fundo e recolher"&amp;" as ostras; levante as redes cheias para o convés do barco ao final de cada viagem e retire as ostras colhidas. Selecione e classifique cada ostra para garantir que atenda ao tamanho mínimo exigido para o consumo, de 7,6 cm (3 polegadas), devolvendo as os"&amp;"tras menores ou indesejáveis ​​à água. Lave as ostras restantes no convés com água para remover a sujeira, pese, ensaque, etiquete e empilhe os sacos para transporte. Descarregar os sacos do barco no cais ao retornar ao porto para coleta por caminhões ref"&amp;"rigerados e entrega à fábrica de processamento. Mantenha a área de trabalho da embarcação limpa e organizada ao final de cada dia de trabalho. O trabalho será realizado em vários locais no Texas, incluindo os endereços 122 Bay Ave, Seadrift, TX 77983 e 73"&amp;"2 Broadway Street, Port Lavaca, TX 77979. Classificação da vaga: 45-3031.00 - Trabalhadores da Pesca e Caça. A classificação e descrição da vaga/setor incluem informações gerais sobre o cargo, de acordo com o ONET/OES e o Sistema de Classificação Industri"&amp;"al da América do Norte (NAICS). Consulte as Funções e a Ordem de Serviço para obter mais informações. Requisitos da vaga: Experiência necessária: Não. Requisitos especiais: Deve ser capaz de levantar e carregar até 34 kg. Alergias a frutos do mar podem se"&amp;"r fatais. O horário de trabalho varia devido às condições climáticas, problemas mecânicos e outros imprevistos. Trabalho nos fins de semana e horas extras são possíveis. Disposição para trabalhar ao ar livre em barcos de pesca de ostras, exposto às intemp"&amp;"éries; deve ser capaz de realizar trabalho fisicamente extenuante por longos períodos, ocasionalmente em calor extremo. Todos os candidatos devem ser capazes, estar dispostos e qualificados para realizar o trabalho descrito e devem estar disponíveis duran"&amp;"te todo o período especificado. Número de horas por semana: 40 Horário de trabalho (início/término): 6h00 - 14h00")</f>
        <v>Embarque diariamente em embarcações e navegue até baías costeiras, rios e braços de mar designados para a coleta de ostras para consumo humano. Lance redes de arrasto, armadilhas e equipamentos de coleta relacionados na água para raspar o fundo e recolher as ostras; levante as redes cheias para o convés do barco ao final de cada viagem e retire as ostras colhidas. Selecione e classifique cada ostra para garantir que atenda ao tamanho mínimo exigido para o consumo, de 7,6 cm (3 polegadas), devolvendo as ostras menores ou indesejáveis ​​à água. Lave as ostras restantes no convés com água para remover a sujeira, pese, ensaque, etiquete e empilhe os sacos para transporte. Descarregar os sacos do barco no cais ao retornar ao porto para coleta por caminhões refrigerados e entrega à fábrica de processamento. Mantenha a área de trabalho da embarcação limpa e organizada ao final de cada dia de trabalho. O trabalho será realizado em vários locais no Texas, incluindo os endereços 122 Bay Ave, Seadrift, TX 77983 e 732 Broadway Street, Port Lavaca, TX 77979. Classificação da vaga: 45-3031.00 - Trabalhadores da Pesca e Caça. A classificação e descrição da vaga/setor incluem informações gerais sobre o cargo, de acordo com o ONET/OES e o Sistema de Classificação Industrial da América do Norte (NAICS). Consulte as Funções e a Ordem de Serviço para obter mais informações. Requisitos da vaga: Experiência necessária: Não. Requisitos especiais: Deve ser capaz de levantar e carregar até 34 kg. Alergias a frutos do mar podem ser fatais. O horário de trabalho varia devido às condições climáticas, problemas mecânicos e outros imprevistos. Trabalho nos fins de semana e horas extras são possíveis. Disposição para trabalhar ao ar livre em barcos de pesca de ostras, exposto às intempéries; deve ser capaz de realizar trabalho fisicamente extenuante por longos períodos, ocasionalmente em calor extremo. Todos os candidatos devem ser capazes, estar dispostos e qualificados para realizar o trabalho descrito e devem estar disponíveis durante todo o período especificado. Número de horas por semana: 40 Horário de trabalho (início/término): 6h00 - 14h00</v>
      </c>
    </row>
    <row r="744" ht="20.25" customHeight="1">
      <c r="A744" s="3" t="s">
        <v>3492</v>
      </c>
      <c r="B744" s="3" t="s">
        <v>2897</v>
      </c>
      <c r="C744" s="3" t="s">
        <v>2898</v>
      </c>
      <c r="D744" s="3" t="s">
        <v>663</v>
      </c>
      <c r="E744" s="4" t="s">
        <v>19</v>
      </c>
      <c r="F744" s="4" t="s">
        <v>20</v>
      </c>
      <c r="G744" s="4" t="s">
        <v>345</v>
      </c>
      <c r="H744" s="3" t="s">
        <v>3493</v>
      </c>
      <c r="I744" s="3" t="s">
        <v>2901</v>
      </c>
      <c r="J744" s="4">
        <v>27.08</v>
      </c>
      <c r="K744" s="4">
        <v>15.0</v>
      </c>
      <c r="L744" s="3" t="s">
        <v>3494</v>
      </c>
      <c r="M744" s="3" t="s">
        <v>3495</v>
      </c>
      <c r="N744" s="7" t="str">
        <f>IFERROR(__xludf.DUMMYFUNCTION("GOOGLETRANSLATE(L744, ""en"", ""pt"")"),"Trabalhador de montanha II")</f>
        <v>Trabalhador de montanha II</v>
      </c>
      <c r="O744" s="7" t="str">
        <f>IFERROR(__xludf.DUMMYFUNCTION("IF(M744="""","""",GOOGLETRANSLATE(M744,""en"",""pt""))"),"As funções incluem auxiliar na produção e manutenção de neve antes e depois da temporada; verificar se há problemas mecânicos nos veículos de neve designados antes e depois da operação; preencher ordens de serviço para quaisquer problemas mecânicos e enca"&amp;"minhá-las aos mecânicos dos veículos de neve; manter as rampas dos teleféricos; participar de reuniões do departamento e concluir os projetos designados; operar e monitorar canhões de neve remotamente via computador a partir da central de produção de neve"&amp;"; realizar reparos em tubulações; operar bombas, ventiladores e compressores manualmente ou remotamente; remover neve manualmente, com sopradores de neve ou com arados; deslocar-se com segurança em motos de neve, veículos de neve, snowboards ou esquis; se"&amp;"guir os planos diários de preparação e produção de neve para atingir as metas de produção; construir, manter e preparar parques de neve; realizar operações de guincho; reunir-se com os colegas antes da partida para determinar rotas e técnicas de preparaçã"&amp;"o (individualmente ou em grupo); transportar cargas da montanha para os lodges designados; e operar veículos de neve e outros equipamentos nas pistas de esqui designadas. É necessário ser capaz de caminhar e trabalhar em condições climáticas extremas, com"&amp;"o frio e mau tempo; movimentar equipamentos em encostas cobertas de neve e gelo; e auxiliar nas operações de montanha antes e depois da temporada. Os funcionários podem ser solicitados a colaborar com outros departamentos da montanha e auxiliar em tarefas"&amp;" adicionais, conforme necessário, para dar suporte às operações do resort. Classificação do Cargo: 49-9099.00 - Trabalhadores de Instalação, Manutenção e Reparo, Outros. A classificação e descrição do cargo/setor incluem informações gerais sobre a posição"&amp;", de acordo com o ONET/OES e o Sistema de Classificação Industrial da América do Norte (NAICS). Consulte as Funções e a Ordem de Serviço para obter mais informações. Requisitos do Cargo Experiência Necessária: Sim Meses de Experiência Necessários: 2 Requi"&amp;"sitos Especiais: O candidato deve passar por uma verificação de antecedentes pré-emprego. Número de Horas por Semana: 40 Horário de Trabalho (Início/Término): 8h às 16h")</f>
        <v>As funções incluem auxiliar na produção e manutenção de neve antes e depois da temporada; verificar se há problemas mecânicos nos veículos de neve designados antes e depois da operação; preencher ordens de serviço para quaisquer problemas mecânicos e encaminhá-las aos mecânicos dos veículos de neve; manter as rampas dos teleféricos; participar de reuniões do departamento e concluir os projetos designados; operar e monitorar canhões de neve remotamente via computador a partir da central de produção de neve; realizar reparos em tubulações; operar bombas, ventiladores e compressores manualmente ou remotamente; remover neve manualmente, com sopradores de neve ou com arados; deslocar-se com segurança em motos de neve, veículos de neve, snowboards ou esquis; seguir os planos diários de preparação e produção de neve para atingir as metas de produção; construir, manter e preparar parques de neve; realizar operações de guincho; reunir-se com os colegas antes da partida para determinar rotas e técnicas de preparação (individualmente ou em grupo); transportar cargas da montanha para os lodges designados; e operar veículos de neve e outros equipamentos nas pistas de esqui designadas. É necessário ser capaz de caminhar e trabalhar em condições climáticas extremas, como frio e mau tempo; movimentar equipamentos em encostas cobertas de neve e gelo; e auxiliar nas operações de montanha antes e depois da temporada. Os funcionários podem ser solicitados a colaborar com outros departamentos da montanha e auxiliar em tarefas adicionais, conforme necessário, para dar suporte às operações do resort. Classificação do Cargo: 49-9099.00 - Trabalhadores de Instalação, Manutenção e Reparo, Outros. A classificação e descrição do cargo/setor incluem informações gerais sobre a posição, de acordo com o ONET/OES e o Sistema de Classificação Industrial da América do Norte (NAICS). Consulte as Funções e a Ordem de Serviço para obter mais informações. Requisitos do Cargo Experiência Necessária: Sim Meses de Experiência Necessários: 2 Requisitos Especiais: O candidato deve passar por uma verificação de antecedentes pré-emprego. Número de Horas por Semana: 40 Horário de Trabalho (Início/Término): 8h às 16h</v>
      </c>
    </row>
    <row r="745" ht="20.25" customHeight="1">
      <c r="A745" s="8" t="s">
        <v>3496</v>
      </c>
      <c r="B745" s="8" t="s">
        <v>3300</v>
      </c>
      <c r="C745" s="8" t="s">
        <v>54</v>
      </c>
      <c r="D745" s="8" t="s">
        <v>1172</v>
      </c>
      <c r="E745" s="9" t="s">
        <v>44</v>
      </c>
      <c r="F745" s="9" t="s">
        <v>20</v>
      </c>
      <c r="G745" s="9" t="s">
        <v>236</v>
      </c>
      <c r="H745" s="8" t="s">
        <v>3301</v>
      </c>
      <c r="I745" s="8" t="s">
        <v>3302</v>
      </c>
      <c r="J745" s="9">
        <v>21.91</v>
      </c>
      <c r="K745" s="9">
        <v>18.0</v>
      </c>
      <c r="L745" s="8" t="s">
        <v>3303</v>
      </c>
      <c r="M745" s="8" t="s">
        <v>3304</v>
      </c>
      <c r="N745" s="7" t="str">
        <f>IFERROR(__xludf.DUMMYFUNCTION("GOOGLETRANSLATE(L745, ""en"", ""pt"")"),"Zelador: Trabalhador de Irrigação")</f>
        <v>Zelador: Trabalhador de Irrigação</v>
      </c>
      <c r="O745" s="7" t="str">
        <f>IFERROR(__xludf.DUMMYFUNCTION("IF(M745="""","""",GOOGLETRANSLATE(M745,""en"",""pt""))"),"As funções podem incluir: Recolher e remover: lixo/detritos. Instalar: sistemas de irrigação e drenagem. Manter os sistemas, incluindo a preparação para o inverno e a inicialização na primavera. Utilizar métodos de irrigação para ajustar o consumo de água"&amp;" e evitar desperdícios. Espalhar palha sobre o solo semeado para fixá-lo. Cavar: utilizar ferramentas manuais: pás. Irrigar gramados, árvores ou plantas e outras atividades relacionadas ao trabalho de jardineiro/trabalhador de irrigação, conforme SOC/OES "&amp;"37-3011 (onetonline.org). Horário padrão/esperado: Segunda a sexta, das 7h30 às 17h30. Oferecemos mais de 40 horas semanais, sem incluir almoço e/ou intervalos. Possibilidade de trabalho aos fins de semana e feriados. Os horários de início e término, a ca"&amp;"rga horária e/ou horas extras podem variar, pois dependem de fatores como projetos/cronograma/necessidades do serviço, condições climáticas e tempo de deslocamento entre os locais de trabalho (se aplicável). Horas extras são possíveis, mas não obrigatória"&amp;"s nem garantidas. A critério exclusivo do empregador: possíveis aumentos e/ou bônus com base em fatores individuais, como desempenho no trabalho ou habilidades (não garantidos). Classificação do Cargo: 37-3011.00 - Trabalhadores de Paisagismo e Manutenção"&amp;" de Jardins. A classificação e descrição do cargo/setor inclui informações gerais sobre a posição, conforme o ONET/OES e o Sistema de Classificação Industrial da América do Norte. Consulte as Funções e a Ordem de Serviço para obter mais informações. Requi"&amp;"sitos do Cargo Experiência Necessária: Não. Requisitos Especiais: É necessário ter 18 anos devido a questões de seguro. É necessário apresentar comprovante de autorização legal para trabalhar nos Estados Unidos. Ambiente de trabalho livre de drogas, álcoo"&amp;"l e tabaco. Executar atividades físicas, como levantar, equilibrar-se, caminhar, abaixar-se, manusear, posicionar, mover e manipular materiais, utilizando força estática para exercer força muscular máxima para levantar, empurrar, puxar e carregar objetos "&amp;"de até 23 kg. Todos os candidatos devem ser capazes, dispostos e qualificados para executar o trabalho descrito e devem estar disponíveis durante todo o período especificado e trabalhar em todas as áreas da vaga. O trabalho é realizado ao ar livre, expost"&amp;"o às intempéries. O candidato deve ser capaz de realizar trabalho fisicamente extenuante por longos períodos, ocasionalmente em condições de calor ou frio extremos. As condições climáticas são variáveis; a carga horária pode sofrer alterações (+/-), poden"&amp;"do haver períodos de inatividade e/ou horas extras. Número de horas por semana: 40. Horário de trabalho (início/término): 7h30 às 17h30.")</f>
        <v>As funções podem incluir: Recolher e remover: lixo/detritos. Instalar: sistemas de irrigação e drenagem. Manter os sistemas, incluindo a preparação para o inverno e a inicialização na primavera. Utilizar métodos de irrigação para ajustar o consumo de água e evitar desperdícios. Espalhar palha sobre o solo semeado para fixá-lo. Cavar: utilizar ferramentas manuais: pás. Irrigar gramados, árvores ou plantas e outras atividades relacionadas ao trabalho de jardineiro/trabalhador de irrigação, conforme SOC/OES 37-3011 (onetonline.org). Horário padrão/esperado: Segunda a sexta, das 7h30 às 17h30. Oferecemos mais de 40 horas semanais, sem incluir almoço e/ou intervalos. Possibilidade de trabalho aos fins de semana e feriados. Os horários de início e término, a carga horária e/ou horas extras podem variar, pois dependem de fatores como projetos/cronograma/necessidades do serviço, condições climáticas e tempo de deslocamento entre os locais de trabalho (se aplicável). Horas extras são possíveis, mas não obrigatórias nem garantidas. A critério exclusivo do empregador: possíveis aumentos e/ou bônus com base em fatores individuais, como desempenho no trabalho ou habilidades (não garantidos). Classificação do Cargo: 37-3011.00 - Trabalhadores de Paisagismo e Manutenção de Jardins. A classificação e descrição do cargo/setor inclui informações gerais sobre a posição, conforme o ONET/OES e o Sistema de Classificação Industrial da América do Norte. Consulte as Funções e a Ordem de Serviço para obter mais informações. Requisitos do Cargo Experiência Necessária: Não. Requisitos Especiais: É necessário ter 18 anos devido a questões de seguro. É necessário apresentar comprovante de autorização legal para trabalhar nos Estados Unidos. Ambiente de trabalho livre de drogas, álcool e tabaco. Executar atividades físicas, como levantar, equilibrar-se, caminhar, abaixar-se, manusear, posicionar, mover e manipular materiais, utilizando força estática para exercer força muscular máxima para levantar, empurrar, puxar e carregar objetos de até 23 kg. Todos os candidatos devem ser capazes, dispostos e qualificados para executar o trabalho descrito e devem estar disponíveis durante todo o período especificado e trabalhar em todas as áreas da vaga. O trabalho é realizado ao ar livre, exposto às intempéries. O candidato deve ser capaz de realizar trabalho fisicamente extenuante por longos períodos, ocasionalmente em condições de calor ou frio extremos. As condições climáticas são variáveis; a carga horária pode sofrer alterações (+/-), podendo haver períodos de inatividade e/ou horas extras. Número de horas por semana: 40. Horário de trabalho (início/término): 7h30 às 17h30.</v>
      </c>
    </row>
    <row r="746" ht="20.25" customHeight="1">
      <c r="A746" s="3" t="s">
        <v>3497</v>
      </c>
      <c r="B746" s="3" t="s">
        <v>3498</v>
      </c>
      <c r="C746" s="3" t="s">
        <v>1713</v>
      </c>
      <c r="D746" s="3" t="s">
        <v>102</v>
      </c>
      <c r="E746" s="4" t="s">
        <v>19</v>
      </c>
      <c r="F746" s="4" t="s">
        <v>20</v>
      </c>
      <c r="G746" s="4" t="s">
        <v>377</v>
      </c>
      <c r="H746" s="3" t="s">
        <v>3499</v>
      </c>
      <c r="I746" s="3" t="s">
        <v>3500</v>
      </c>
      <c r="J746" s="4">
        <v>16.54</v>
      </c>
      <c r="K746" s="4">
        <v>7.0</v>
      </c>
      <c r="L746" s="3" t="s">
        <v>262</v>
      </c>
      <c r="M746" s="3" t="s">
        <v>3501</v>
      </c>
      <c r="N746" s="7" t="str">
        <f>IFERROR(__xludf.DUMMYFUNCTION("GOOGLETRANSLATE(L746, ""en"", ""pt"")"),"Operário da construção civil")</f>
        <v>Operário da construção civil</v>
      </c>
      <c r="O746" s="7" t="str">
        <f>IFERROR(__xludf.DUMMYFUNCTION("IF(M746="""","""",GOOGLETRANSLATE(M746,""en"",""pt""))"),"As funções podem incluir: Sob a supervisão do supervisor/líder de equipe, ler plantas e especificações para medir, marcar ou registrar aberturas ou distâncias para delimitar as áreas onde as atividades de construção serão realizadas. Limpar ou preparar os"&amp;" canteiros de obras para eliminar possíveis riscos. Carregar, descarregar ou identificar materiais de construção, máquinas ou ferramentas, distribuindo-os para seus respectivos locais. Recuperar materiais úteis. Cavar valas ou trincheiras, aterrar, compac"&amp;"tar e nivelar o solo de acordo com as especificações, utilizando picaretas, pás ou ancinhos. Posicionar componentes quando necessário. Aplicar selantes e materiais de pulverização para limpar, revestir ou selar superfícies e outras atividades relacionadas"&amp;" à construção civil, conforme SOC/OES 47-2061 (onetonline.org). Horário padrão/esperado: Segunda a sexta, das 7h às 15h. Oferecemos mais de 40 horas semanais, sem incluir o horário de almoço e/ou intervalos. Possibilidade de trabalho nos fins de semana e "&amp;"feriados. Os horários de início e término, a carga horária oferecida e/ou a possibilidade de horas extras podem variar, pois dependem de fatores como necessidades do projeto/cronograma/serviço, condições climáticas e tempo de deslocamento entre os locais "&amp;"de trabalho (se aplicável). Horas extras são possíveis, mas não obrigatórias nem garantidas. A critério exclusivo do empregador: aumentos salariais e/ou bônus podem ser concedidos com base em fatores individuais, como desempenho ou habilidades (não garant"&amp;"idos). Classificação da vaga: 47-2061.00 - Auxiliares de Construção. A classificação e a descrição da vaga/setor incluem informações gerais sobre o cargo, conforme o ONET/OES e o Sistema de Classificação Industrial da América do Norte (NAICS). Consulte as"&amp;" Funções e a Ordem de Serviço para obter mais informações. Requisitos da vaga: Experiência exigida: Sim. Meses de experiência exigidos: 3. Requisitos especiais: É necessário ter 18 anos ou mais, devido às leis trabalhistas estaduais. É necessário apresent"&amp;"ar comprovante de autorização legal para trabalhar nos Estados Unidos. Ambiente de trabalho livre de drogas, álcool e tabaco. Executar atividades físicas, como levantar, equilibrar-se, caminhar, abaixar-se, manusear, posicionar, mover e manipular materiai"&amp;"s; usar força estática para exercer força muscular máxima para levantar, empurrar, puxar e carregar objetos de até 25 kg. Todos os candidatos devem ser capazes, dispostos e qualificados para executar o trabalho descrito e devem estar disponíveis durante t"&amp;"odo o período especificado e trabalhar em todas as áreas da empresa. O trabalho é realizado ao ar livre, exposto às intempéries; o candidato deve ser capaz de realizar trabalho fisicamente extenuante por longos períodos, ocasionalmente em calor ou frio ex"&amp;"tremos. As condições climáticas são variáveis; a carga horária pode sofrer alterações (+/-), com possibilidade de períodos de inatividade e/ou horas extras. Número de horas por semana: 40. Horário de trabalho (início/término): 7h às 15h.")</f>
        <v>As funções podem incluir: Sob a supervisão do supervisor/líder de equipe, ler plantas e especificações para medir, marcar ou registrar aberturas ou distâncias para delimitar as áreas onde as atividades de construção serão realizadas. Limpar ou preparar os canteiros de obras para eliminar possíveis riscos. Carregar, descarregar ou identificar materiais de construção, máquinas ou ferramentas, distribuindo-os para seus respectivos locais. Recuperar materiais úteis. Cavar valas ou trincheiras, aterrar, compactar e nivelar o solo de acordo com as especificações, utilizando picaretas, pás ou ancinhos. Posicionar componentes quando necessário. Aplicar selantes e materiais de pulverização para limpar, revestir ou selar superfícies e outras atividades relacionadas à construção civil, conforme SOC/OES 47-2061 (onetonline.org). Horário padrão/esperado: Segunda a sexta, das 7h às 15h. Oferecemos mais de 40 horas semanais, sem incluir o horário de almoço e/ou intervalos. Possibilidade de trabalho nos fins de semana e feriados. Os horários de início e término, a carga horária oferecida e/ou a possibilidade de horas extras podem variar, pois dependem de fatores como necessidades do projeto/cronograma/serviço, condições climáticas e tempo de deslocamento entre os locais de trabalho (se aplicável). Horas extras são possíveis, mas não obrigatórias nem garantidas. A critério exclusivo do empregador: aumentos salariais e/ou bônus podem ser concedidos com base em fatores individuais, como desempenho ou habilidades (não garantidos). Classificação da vaga: 47-2061.00 - Auxiliares de Construção. A classificação e a descrição da vaga/setor incluem informações gerais sobre o cargo, conforme o ONET/OES e o Sistema de Classificação Industrial da América do Norte (NAICS). Consulte as Funções e a Ordem de Serviço para obter mais informações. Requisitos da vaga: Experiência exigida: Sim. Meses de experiência exigidos: 3. Requisitos especiais: É necessário ter 18 anos ou mais, devido às leis trabalhistas estaduais. É necessário apresentar comprovante de autorização legal para trabalhar nos Estados Unidos. Ambiente de trabalho livre de drogas, álcool e tabaco. Executar atividades físicas, como levantar, equilibrar-se, caminhar, abaixar-se, manusear, posicionar, mover e manipular materiais; usar força estática para exercer força muscular máxima para levantar, empurrar, puxar e carregar objetos de até 25 kg. Todos os candidatos devem ser capazes, dispostos e qualificados para executar o trabalho descrito e devem estar disponíveis durante todo o período especificado e trabalhar em todas as áreas da empresa. O trabalho é realizado ao ar livre, exposto às intempéries; o candidato deve ser capaz de realizar trabalho fisicamente extenuante por longos períodos, ocasionalmente em calor ou frio extremos. As condições climáticas são variáveis; a carga horária pode sofrer alterações (+/-), com possibilidade de períodos de inatividade e/ou horas extras. Número de horas por semana: 40. Horário de trabalho (início/término): 7h às 15h.</v>
      </c>
    </row>
    <row r="747" ht="20.25" customHeight="1">
      <c r="A747" s="8" t="s">
        <v>3502</v>
      </c>
      <c r="B747" s="8" t="s">
        <v>3306</v>
      </c>
      <c r="C747" s="8" t="s">
        <v>3202</v>
      </c>
      <c r="D747" s="8" t="s">
        <v>71</v>
      </c>
      <c r="E747" s="9" t="s">
        <v>19</v>
      </c>
      <c r="F747" s="9" t="s">
        <v>20</v>
      </c>
      <c r="G747" s="9" t="s">
        <v>524</v>
      </c>
      <c r="H747" s="8" t="s">
        <v>3307</v>
      </c>
      <c r="I747" s="8" t="s">
        <v>3308</v>
      </c>
      <c r="J747" s="9">
        <v>19.0</v>
      </c>
      <c r="K747" s="9">
        <v>100.0</v>
      </c>
      <c r="L747" s="8" t="s">
        <v>1690</v>
      </c>
      <c r="M747" s="8" t="s">
        <v>3503</v>
      </c>
      <c r="N747" s="7" t="str">
        <f>IFERROR(__xludf.DUMMYFUNCTION("GOOGLETRANSLATE(L747, ""en"", ""pt"")"),"Atendente de Sala de Jantar")</f>
        <v>Atendente de Sala de Jantar</v>
      </c>
      <c r="O747" s="7" t="str">
        <f>IFERROR(__xludf.DUMMYFUNCTION("IF(M747="""","""",GOOGLETRANSLATE(M747,""en"",""pt""))"),"Segue todos os procedimentos operacionais padrão estabelecidos para acomodar os membros, anotar os pedidos de comida e bebida e servir alimentos e bebidas. Repõe os lanches e sobremesas de cortesia para os membros. As tarefas adicionais incluem limpar e a"&amp;"rrumar as mesas do refeitório e do buffet (incluindo toalhas de mesa, talheres, copos, utensílios e condimentos), repor os itens do buffet, repor as bebidas, montar e desmontar mesas de banquete, cadeiras, decorações, expositores e outros equipamentos par"&amp;"a eventos especiais e festas particulares. Garante que o refeitório e os postos de trabalho estejam devidamente limpos e reabastecidos ao final de cada turno. As tarefas de montagem e desmontagem incluem: colocar e retirar toalhas de mesa e expositores do"&amp;" buffet; montar e retirar centros de mesa, como arranjos florais, velas e decoração de mesa; colocar e retirar os jogos americanos: pratos, copos, talheres, guardanapos; colocar e retirar capas de assento nas cadeiras; montar e desmontar os dispensadores "&amp;"de café e água; abastecer e retirar pratos, copos e utensílios das prateleiras do buffet (reabastecendo conforme necessário); colocar e remover placas de sinalização para eventos em todo o clube; Coloca e retira cartões de comida em expositores de banquet"&amp;"es; e coloca e retira itens de comida em mesas de buffet usando suportes e pequenas caixas decorativas para criar uma apresentação em vários níveis. Ferramentas/Equipamentos Utilizados: carrinhos com rodinhas, bandejas, mesas de bandejas, recipientes de g"&amp;"elo; e outros equipamentos (dependendo do evento): polidora de copos, baldes de gelo. Dias e horários de trabalho previstos por semana e escala: Horário de Trabalho: Mínimo de 35 horas por semana (ou seja, não menos que isso). Todos os funcionários trabal"&amp;"ham pelo menos 5 turnos por semana. Turnos típicos: das 7h às 15h e das 15h às 23h. Os dias e horários dos turnos variam dependendo da demanda ou do evento agendado. Horas extras: Somente quando necessário. VEJA O DOCUMENTO ANEXO PARA OBTER UMA CÓPIA COMP"&amp;"LETA DA OFERTA DE EMPREGO - Observação para o Oficial Certificador: Em anexo, encontra-se uma cópia completa da oferta de emprego. Caso alguma informação desta oferta de emprego precise ser adicionada ao formulário ETA-9142, concedemos permissão para adic"&amp;"ionar as informações listadas neste anexo. Classificação da vaga: 35-3031.00 - Garçons e Garçonetes. A classificação e descrição da vaga/setor inclui informações gerais sobre o cargo, de acordo com o ONET/OES e o Sistema de Classificação Industrial da Amé"&amp;"rica do Norte (NAICS). Consulte as Funções e a Ordem de Serviço para obter mais informações. Requisitos da vaga: Experiência necessária: Não. Requisitos especiais: Ter no mínimo 18 anos de idade. Ser aprovado no exame toxicológico pré-admissional (de acor"&amp;"do com a Política de Ambiente de Trabalho Livre de Drogas da empresa). A Ibis realiza exames toxicológicos em todos os candidatos, incluindo funcionários nacionais e com visto H-2B. Isso inclui vagas sazonais e anuais em tempo integral e se aplica a todos"&amp;" os candidatos, independentemente de sua nacionalidade, raça ou sexo. Ter disponibilidade para trabalhar em todos os turnos, incluindo fins de semana, noites e feriados. Apresentar comportamento e aparência profissionais. Número de horas por semana: 56. H"&amp;"orário de trabalho (início/término): 7h às 15h.")</f>
        <v>Segue todos os procedimentos operacionais padrão estabelecidos para acomodar os membros, anotar os pedidos de comida e bebida e servir alimentos e bebidas. Repõe os lanches e sobremesas de cortesia para os membros. As tarefas adicionais incluem limpar e arrumar as mesas do refeitório e do buffet (incluindo toalhas de mesa, talheres, copos, utensílios e condimentos), repor os itens do buffet, repor as bebidas, montar e desmontar mesas de banquete, cadeiras, decorações, expositores e outros equipamentos para eventos especiais e festas particulares. Garante que o refeitório e os postos de trabalho estejam devidamente limpos e reabastecidos ao final de cada turno. As tarefas de montagem e desmontagem incluem: colocar e retirar toalhas de mesa e expositores do buffet; montar e retirar centros de mesa, como arranjos florais, velas e decoração de mesa; colocar e retirar os jogos americanos: pratos, copos, talheres, guardanapos; colocar e retirar capas de assento nas cadeiras; montar e desmontar os dispensadores de café e água; abastecer e retirar pratos, copos e utensílios das prateleiras do buffet (reabastecendo conforme necessário); colocar e remover placas de sinalização para eventos em todo o clube; Coloca e retira cartões de comida em expositores de banquetes; e coloca e retira itens de comida em mesas de buffet usando suportes e pequenas caixas decorativas para criar uma apresentação em vários níveis. Ferramentas/Equipamentos Utilizados: carrinhos com rodinhas, bandejas, mesas de bandejas, recipientes de gelo; e outros equipamentos (dependendo do evento): polidora de copos, baldes de gelo. Dias e horários de trabalho previstos por semana e escala: Horário de Trabalho: Mínimo de 35 horas por semana (ou seja, não menos que isso). Todos os funcionários trabalham pelo menos 5 turnos por semana. Turnos típicos: das 7h às 15h e das 15h às 23h. Os dias e horários dos turnos variam dependendo da demanda ou do evento agendado. Horas extras: Somente quando necessário. VEJA O DOCUMENTO ANEXO PARA OBTER UMA CÓPIA COMPLETA DA OFERTA DE EMPREGO - Observação para o Oficial Certificador: Em anexo, encontra-se uma cópia completa da oferta de emprego. Caso alguma informação desta oferta de emprego precise ser adicionada ao formulário ETA-9142, concedemos permissão para adicionar as informações listadas neste anexo. Classificação da vaga: 35-3031.00 - Garçons e Garçonetes. A classificação e descrição da vaga/setor inclui informações gerais sobre o cargo, de acordo com o ONET/OES e o Sistema de Classificação Industrial da América do Norte (NAICS). Consulte as Funções e a Ordem de Serviço para obter mais informações. Requisitos da vaga: Experiência necessária: Não. Requisitos especiais: Ter no mínimo 18 anos de idade. Ser aprovado no exame toxicológico pré-admissional (de acordo com a Política de Ambiente de Trabalho Livre de Drogas da empresa). A Ibis realiza exames toxicológicos em todos os candidatos, incluindo funcionários nacionais e com visto H-2B. Isso inclui vagas sazonais e anuais em tempo integral e se aplica a todos os candidatos, independentemente de sua nacionalidade, raça ou sexo. Ter disponibilidade para trabalhar em todos os turnos, incluindo fins de semana, noites e feriados. Apresentar comportamento e aparência profissionais. Número de horas por semana: 56. Horário de trabalho (início/término): 7h às 15h.</v>
      </c>
    </row>
    <row r="748" ht="20.25" customHeight="1">
      <c r="A748" s="3" t="s">
        <v>3504</v>
      </c>
      <c r="B748" s="3" t="s">
        <v>3306</v>
      </c>
      <c r="C748" s="3" t="s">
        <v>3202</v>
      </c>
      <c r="D748" s="3" t="s">
        <v>71</v>
      </c>
      <c r="E748" s="4" t="s">
        <v>44</v>
      </c>
      <c r="F748" s="4" t="s">
        <v>20</v>
      </c>
      <c r="G748" s="4" t="s">
        <v>524</v>
      </c>
      <c r="H748" s="3" t="s">
        <v>3307</v>
      </c>
      <c r="I748" s="3" t="s">
        <v>3308</v>
      </c>
      <c r="J748" s="4">
        <v>20.0</v>
      </c>
      <c r="K748" s="4">
        <v>7.0</v>
      </c>
      <c r="L748" s="3" t="s">
        <v>741</v>
      </c>
      <c r="M748" s="3" t="s">
        <v>3505</v>
      </c>
      <c r="N748" s="7" t="str">
        <f>IFERROR(__xludf.DUMMYFUNCTION("GOOGLETRANSLATE(L748, ""en"", ""pt"")"),"Bartenders")</f>
        <v>Bartenders</v>
      </c>
      <c r="O748" s="7" t="str">
        <f>IFERROR(__xludf.DUMMYFUNCTION("IF(M748="""","""",GOOGLETRANSLATE(M748,""en"",""pt""))"),"Criar receitas de bebidas, misturar e servir bebidas (alcoólicas e não alcoólicas) aos membros. Seguir todos os procedimentos operacionais padrão estabelecidos para receber e servir pedidos de comida e bebida. As funções adicionais incluem limpar e arruma"&amp;"r as mesas (incluindo toalhas de mesa, talheres, copos, utensílios e condimentos), montar e desmontar bares portáteis e mesas de banquete, cadeiras, decorações, expositores e outros equipamentos para eventos especiais e festas particulares. Garantir que a"&amp;" área do bar e os equipamentos estejam devidamente limpos e reabastecidos com copos, bebidas alcoólicas, misturas, etc., ao final de cada turno. As tarefas de montagem e desmontagem incluem: abastecer e desmontar bares portáteis com gelo, saca-rolhas, mis"&amp;"turas, coqueteleiras, bebidas alcoólicas/vinho e copos; colocar e retirar guarnições, canudos, guardanapos e mexedores para o serviço; montar e desmontar o sistema/tablets de ponto de venda portáteis, se aplicável; levar os copos e coqueteleiras usados ​​"&amp;"para a área de lavagem após o evento; e limpar e higienizar as superfícies do bar portátil após o término do serviço. Ferramentas/Equipamentos Utilizados: Carrinhos com rodinhas, recipientes/caixas de gelo, mesas de bandejas; e outros equipamentos utiliza"&amp;"dos (dependendo do evento): liquidificadores, decantadores de vinho, cortador de limão/lima, polidor de vidro, baldes de gelo. Dias e horários de trabalho previstos por semana e escala: Mínimo de 35 horas por semana (ou seja, não menos que isso). Todos os"&amp;" funcionários trabalham pelo menos 5 turnos por semana. Turnos típicos: das 7h às 15h e das 15h às 23h. Os dias e horários dos turnos variam dependendo da demanda ou do evento agendado. Horas extras: Somente quando necessário. VEJA O DOCUMENTO ANEXO PARA "&amp;"OBTER UMA CÓPIA COMPLETA DA OFERTA DE EMPREGO - Observação para o Oficial Certificador: Em anexo, encontra-se uma cópia completa da oferta de emprego. Caso seja necessário adicionar alguma informação desta oferta de emprego ao formulário ETA-9142, concede"&amp;"mos permissão para que você adicione as informações listadas neste anexo. Classificação da vaga: 35-3011.00 - Bartenders. A classificação e descrição da vaga/setor inclui informações gerais sobre o cargo, de acordo com o ONET/OES e o Sistema de Classifica"&amp;"ção Industrial da América do Norte (NAICS). Consulte as Funções e a Ordem de Serviço para obter mais informações. Requisitos da vaga: Experiência necessária: Não. Requisitos especiais: Ter no mínimo 18 anos de idade. Ser aprovado no exame toxicológico pré"&amp;"-admissional (de acordo com a Política de Ambiente de Trabalho Livre de Drogas da empresa). A Ibis realiza exames toxicológicos em todos os candidatos, incluindo funcionários nacionais e com visto H-2B. Isso inclui vagas sazonais e anuais em tempo integra"&amp;"l e se aplica a todos os candidatos, independentemente de sua nacionalidade, raça ou sexo. Ter disponibilidade para trabalhar em todos os turnos, incluindo fins de semana, noites e feriados. Apresentar comportamento e aparência profissionais. Número de ho"&amp;"ras por semana: 56. Horário de trabalho (início/término): 7h às 15h.")</f>
        <v>Criar receitas de bebidas, misturar e servir bebidas (alcoólicas e não alcoólicas) aos membros. Seguir todos os procedimentos operacionais padrão estabelecidos para receber e servir pedidos de comida e bebida. As funções adicionais incluem limpar e arrumar as mesas (incluindo toalhas de mesa, talheres, copos, utensílios e condimentos), montar e desmontar bares portáteis e mesas de banquete, cadeiras, decorações, expositores e outros equipamentos para eventos especiais e festas particulares. Garantir que a área do bar e os equipamentos estejam devidamente limpos e reabastecidos com copos, bebidas alcoólicas, misturas, etc., ao final de cada turno. As tarefas de montagem e desmontagem incluem: abastecer e desmontar bares portáteis com gelo, saca-rolhas, misturas, coqueteleiras, bebidas alcoólicas/vinho e copos; colocar e retirar guarnições, canudos, guardanapos e mexedores para o serviço; montar e desmontar o sistema/tablets de ponto de venda portáteis, se aplicável; levar os copos e coqueteleiras usados ​​para a área de lavagem após o evento; e limpar e higienizar as superfícies do bar portátil após o término do serviço. Ferramentas/Equipamentos Utilizados: Carrinhos com rodinhas, recipientes/caixas de gelo, mesas de bandejas; e outros equipamentos utilizados (dependendo do evento): liquidificadores, decantadores de vinho, cortador de limão/lima, polidor de vidro, baldes de gelo. Dias e horários de trabalho previstos por semana e escala: Mínimo de 35 horas por semana (ou seja, não menos que isso). Todos os funcionários trabalham pelo menos 5 turnos por semana. Turnos típicos: das 7h às 15h e das 15h às 23h. Os dias e horários dos turnos variam dependendo da demanda ou do evento agendado. Horas extras: Somente quando necessário. VEJA O DOCUMENTO ANEXO PARA OBTER UMA CÓPIA COMPLETA DA OFERTA DE EMPREGO - Observação para o Oficial Certificador: Em anexo, encontra-se uma cópia completa da oferta de emprego. Caso seja necessário adicionar alguma informação desta oferta de emprego ao formulário ETA-9142, concedemos permissão para que você adicione as informações listadas neste anexo. Classificação da vaga: 35-3011.00 - Bartenders. A classificação e descrição da vaga/setor inclui informações gerais sobre o cargo, de acordo com o ONET/OES e o Sistema de Classificação Industrial da América do Norte (NAICS). Consulte as Funções e a Ordem de Serviço para obter mais informações. Requisitos da vaga: Experiência necessária: Não. Requisitos especiais: Ter no mínimo 18 anos de idade. Ser aprovado no exame toxicológico pré-admissional (de acordo com a Política de Ambiente de Trabalho Livre de Drogas da empresa). A Ibis realiza exames toxicológicos em todos os candidatos, incluindo funcionários nacionais e com visto H-2B. Isso inclui vagas sazonais e anuais em tempo integral e se aplica a todos os candidatos, independentemente de sua nacionalidade, raça ou sexo. Ter disponibilidade para trabalhar em todos os turnos, incluindo fins de semana, noites e feriados. Apresentar comportamento e aparência profissionais. Número de horas por semana: 56. Horário de trabalho (início/término): 7h às 15h.</v>
      </c>
    </row>
    <row r="749" ht="20.25" customHeight="1">
      <c r="A749" s="8" t="s">
        <v>3506</v>
      </c>
      <c r="B749" s="8" t="s">
        <v>3507</v>
      </c>
      <c r="C749" s="8" t="s">
        <v>54</v>
      </c>
      <c r="D749" s="8" t="s">
        <v>79</v>
      </c>
      <c r="E749" s="9" t="s">
        <v>19</v>
      </c>
      <c r="F749" s="9" t="s">
        <v>20</v>
      </c>
      <c r="G749" s="9" t="s">
        <v>437</v>
      </c>
      <c r="H749" s="8" t="s">
        <v>3508</v>
      </c>
      <c r="I749" s="8" t="s">
        <v>3509</v>
      </c>
      <c r="J749" s="9">
        <v>17.68</v>
      </c>
      <c r="K749" s="9">
        <v>35.0</v>
      </c>
      <c r="L749" s="8" t="s">
        <v>83</v>
      </c>
      <c r="M749" s="8" t="s">
        <v>3510</v>
      </c>
      <c r="N749" s="7" t="str">
        <f>IFERROR(__xludf.DUMMYFUNCTION("GOOGLETRANSLATE(L749, ""en"", ""pt"")"),"Trabalhador Florestal")</f>
        <v>Trabalhador Florestal</v>
      </c>
      <c r="O749" s="7" t="str">
        <f>IFERROR(__xludf.DUMMYFUNCTION("IF(M749="""","""",GOOGLETRANSLATE(M749,""en"",""pt""))"),"As funções podem incluir: Preparar/selecionar/transportar mudas; plantar mudas/árvores. Podar árvores ou outra vegetação; cortar árvores ou toras para reduzir a vegetação concorrente. SOB A SUPERVISÃO DE TÉCNICOS FLORESTAIS: auxiliar na limpeza/descarte d"&amp;"e vegetação rasteira, empilhamento e abertura de aceiros/construção de faixas de contenção de incêndio. Possibilidade de condução ocasional e outras atividades relacionadas a Trabalhador Florestal, conforme SOC/OES 45-4011 (onetonline.org). Horário padrão"&amp;"/esperado: Segunda a sexta, das 6h às 15h. Oferecemos mais de 40 horas semanais, sem incluir almoço e/ou intervalos. Possibilidade de trabalho aos fins de semana/feriados. Os horários de início e término, a carga horária e/ou horas extras podem variar, po"&amp;"is dependem de fatores como projeto/cronograma/necessidades do serviço, condições climáticas e tempo de deslocamento entre os locais de trabalho (se aplicável). Horas extras são possíveis, mas não obrigatórias ou garantidas. A critério exclusivo do empreg"&amp;"ador: possíveis aumentos e/ou bônus com base em fatores individuais, como desempenho no trabalho ou habilidades (não garantidos). Moradia compartilhada opcional disponível sem custo para o trabalhador. Classificação do Cargo: 25-4011.00 - Arquivistas. A c"&amp;"lassificação e descrição do cargo/setor incluem informações gerais sobre a posição, de acordo com o ONET/OES e o Sistema de Classificação Industrial da América do Norte. Consulte as Funções e a Ordem de Serviço para obter mais informações. Requisitos do C"&amp;"argo Experiência Necessária: Sim Meses de Experiência Necessários: 3 Requisitos Especiais: *** DEVE TER 3 MESES DE EXPERIÊNCIA COM ROÇADEIRA/MOTOSSERRA. *** Deve ter 18 anos ou mais devido a viagens. Deve apresentar comprovante de autorização legal para t"&amp;"rabalhar nos Estados Unidos. Ambiente de trabalho livre de drogas, álcool e tabaco. Deve caminhar bastante (até 24 km/dia), além de se abaixar e se curvar carregando uma mochila (até 23 kg) em terrenos acidentados (fora de trilhas). Todos os candidatos de"&amp;"vem ser capazes, dispostos e qualificados para executar o trabalho descrito e devem estar disponíveis durante todo o período especificado e trabalhar em todas as áreas do emprego pretendido. A critério do empregador/custo: O trabalhador poderá ser submeti"&amp;"do a testes aleatórios de drogas/álcool durante o emprego: teste positivo/recusa em cumprir = demissão. O trabalho é realizado ao ar livre, exposto às intempéries; o trabalhador deve ser capaz de realizar trabalho fisicamente extenuante por longas horas, "&amp;"ocasionalmente em calor ou frio extremos. As condições climáticas são variáveis; a carga horária pode sofrer alterações (+/-), podendo haver períodos de inatividade e/ou horas extras. NEM TODOS OS TRABALHADORES SÃO OBRIGADOS A DIRIGIR: Os trabalhadores qu"&amp;"e optarem por realizar tarefas ocasionais de direção e transportar outros trabalhadores conforme necessário deverão cumprir todos os requisitos legais aplicáveis ​​para operar o veículo registrado fornecido pelo empregador, incluindo a obtenção de uma car"&amp;"teira de habilitação válida nos EUA e qualquer autorização ou registro de Empregado Contratado de Trabalho Agrícola (FLCE) necessário, se aplicável. Número de horas por semana: 40. Horário de trabalho (início/término): 6h. - 15h00")</f>
        <v>As funções podem incluir: Preparar/selecionar/transportar mudas; plantar mudas/árvores. Podar árvores ou outra vegetação; cortar árvores ou toras para reduzir a vegetação concorrente. SOB A SUPERVISÃO DE TÉCNICOS FLORESTAIS: auxiliar na limpeza/descarte de vegetação rasteira, empilhamento e abertura de aceiros/construção de faixas de contenção de incêndio. Possibilidade de condução ocasional e outras atividades relacionadas a Trabalhador Florestal, conforme SOC/OES 45-4011 (onetonline.org). Horário padrão/esperado: Segunda a sexta, das 6h às 15h. Oferecemos mais de 40 horas semanais, sem incluir almoço e/ou intervalos. Possibilidade de trabalho aos fins de semana/feriados. Os horários de início e término, a carga horária e/ou horas extras podem variar, pois dependem de fatores como projeto/cronograma/necessidades do serviço, condições climáticas e tempo de deslocamento entre os locais de trabalho (se aplicável). Horas extras são possíveis, mas não obrigatórias ou garantidas. A critério exclusivo do empregador: possíveis aumentos e/ou bônus com base em fatores individuais, como desempenho no trabalho ou habilidades (não garantidos). Moradia compartilhada opcional disponível sem custo para o trabalhador. Classificação do Cargo: 25-4011.00 - Arquivistas. A classificação e descrição do cargo/setor incluem informações gerais sobre a posição, de acordo com o ONET/OES e o Sistema de Classificação Industrial da América do Norte. Consulte as Funções e a Ordem de Serviço para obter mais informações. Requisitos do Cargo Experiência Necessária: Sim Meses de Experiência Necessários: 3 Requisitos Especiais: *** DEVE TER 3 MESES DE EXPERIÊNCIA COM ROÇADEIRA/MOTOSSERRA. *** Deve ter 18 anos ou mais devido a viagens. Deve apresentar comprovante de autorização legal para trabalhar nos Estados Unidos. Ambiente de trabalho livre de drogas, álcool e tabaco. Deve caminhar bastante (até 24 km/dia), além de se abaixar e se curvar carregando uma mochila (até 23 kg) em terrenos acidentados (fora de trilhas). Todos os candidatos devem ser capazes, dispostos e qualificados para executar o trabalho descrito e devem estar disponíveis durante todo o período especificado e trabalhar em todas as áreas do emprego pretendido. A critério do empregador/custo: O trabalhador poderá ser submetido a testes aleatórios de drogas/álcool durante o emprego: teste positivo/recusa em cumprir = demissão. O trabalho é realizado ao ar livre, exposto às intempéries; o trabalhador deve ser capaz de realizar trabalho fisicamente extenuante por longas horas, ocasionalmente em calor ou frio extremos. As condições climáticas são variáveis; a carga horária pode sofrer alterações (+/-), podendo haver períodos de inatividade e/ou horas extras. NEM TODOS OS TRABALHADORES SÃO OBRIGADOS A DIRIGIR: Os trabalhadores que optarem por realizar tarefas ocasionais de direção e transportar outros trabalhadores conforme necessário deverão cumprir todos os requisitos legais aplicáveis ​​para operar o veículo registrado fornecido pelo empregador, incluindo a obtenção de uma carteira de habilitação válida nos EUA e qualquer autorização ou registro de Empregado Contratado de Trabalho Agrícola (FLCE) necessário, se aplicável. Número de horas por semana: 40. Horário de trabalho (início/término): 6h. - 15h00</v>
      </c>
    </row>
    <row r="750" ht="20.25" customHeight="1">
      <c r="A750" s="3" t="s">
        <v>3511</v>
      </c>
      <c r="B750" s="3" t="s">
        <v>3512</v>
      </c>
      <c r="C750" s="3" t="s">
        <v>2263</v>
      </c>
      <c r="D750" s="3" t="s">
        <v>249</v>
      </c>
      <c r="E750" s="4" t="s">
        <v>19</v>
      </c>
      <c r="F750" s="4" t="s">
        <v>20</v>
      </c>
      <c r="G750" s="4" t="s">
        <v>307</v>
      </c>
      <c r="H750" s="3" t="s">
        <v>3513</v>
      </c>
      <c r="I750" s="3" t="s">
        <v>3514</v>
      </c>
      <c r="J750" s="4">
        <v>19.22</v>
      </c>
      <c r="K750" s="4">
        <v>4.0</v>
      </c>
      <c r="L750" s="3" t="s">
        <v>1490</v>
      </c>
      <c r="M750" s="3" t="s">
        <v>3515</v>
      </c>
      <c r="N750" s="7" t="str">
        <f>IFERROR(__xludf.DUMMYFUNCTION("GOOGLETRANSLATE(L750, ""en"", ""pt"")"),"Zelador")</f>
        <v>Zelador</v>
      </c>
      <c r="O750" s="7" t="str">
        <f>IFERROR(__xludf.DUMMYFUNCTION("IF(M750="""","""",GOOGLETRANSLATE(M750,""en"",""pt""))"),"Remover neve com pá. Descongelar e remover neve de calçadas, entradas de garagem e estacionamentos de diversas propriedades residenciais e comerciais, utilizando ferramentas manuais como vassouras de neve, pás e espalhando soluções de degelo, incluindo cl"&amp;"oreto de cálcio ou sal grosso, manualmente. Manutenção de áreas externas, como limpeza de lixo e outras tarefas relacionadas à manutenção das instalações, como a remoção de folhas, neve ou detritos utilizando ferramentas manuais ou equipamentos elétricos,"&amp;" incluindo, entre outros, ancinhos, pás e sopradores de neve/folhas. Preparação e ativação do sistema de irrigação para o inverno. Possibilidade de limpeza de outono e primavera, incluindo rastelar, triturar e compostar folhas, remover material vegetal mo"&amp;"rto, podar plantas perenes, cobrir canteiros com cobertura morta e podar rente ao solo. Coletar agulhas de pinheiro manualmente para guirlandas. Cortar grama, conforme necessário. Pode também utilizar sopradores de neve elétricos ou a gasolina, conforme n"&amp;"ecessário. Pode dirigir o veículo da equipe até os locais de trabalho, conforme necessário. Não dirigirá caminhão limpa-neve. Classificação da Função: 37-3011.00 - Trabalhadores de Paisagismo e Manutenção de Jardins. A classificação e descrição da função/"&amp;"setor inclui informações gerais sobre o cargo, conforme o ONET/OES e o Sistema de Classificação Industrial da América do Norte (NAICS). Consulte as Funções e a Ordem de Serviço para obter mais informações. Requisitos da Função Experiência Necessária: Não."&amp;" Requisitos Especiais: Deve possuir ou ser capaz de obter uma carteira de habilitação válida nos EUA (não comercial). Deve ter 18 anos ou mais. Deve apresentar comprovante de autorização legal para trabalhar nos Estados Unidos. Executar atividades físicas"&amp;", como levantar, equilibrar-se, caminhar, abaixar-se, manusear, posicionar, mover e manipular materiais; usar força estática para exercer força muscular máxima para levantar, empurrar, puxar e carregar objetos de até 23 kg (50 lbs). Todos os candidatos de"&amp;"vem ser capazes, dispostos e qualificados para executar o trabalho descrito e devem estar disponíveis durante todo o período especificado. Trabalho ao ar livre, exposto às intempéries; deve ser capaz de realizar trabalho fisicamente extenuante por longas "&amp;"horas, ocasionalmente em calor ou frio extremos. Condições climáticas variáveis ​​se aplicam; a carga horária pode sofrer alterações (+/-), com possibilidade de tempo ocioso e/ou horas extras. É necessário possuir ou ser capaz de obter uma carteira de hab"&amp;"ilitação americana válida, não comercial. Número de horas por semana: 35. Horário de trabalho (início/término): 8h às 16h30.")</f>
        <v>Remover neve com pá. Descongelar e remover neve de calçadas, entradas de garagem e estacionamentos de diversas propriedades residenciais e comerciais, utilizando ferramentas manuais como vassouras de neve, pás e espalhando soluções de degelo, incluindo cloreto de cálcio ou sal grosso, manualmente. Manutenção de áreas externas, como limpeza de lixo e outras tarefas relacionadas à manutenção das instalações, como a remoção de folhas, neve ou detritos utilizando ferramentas manuais ou equipamentos elétricos, incluindo, entre outros, ancinhos, pás e sopradores de neve/folhas. Preparação e ativação do sistema de irrigação para o inverno. Possibilidade de limpeza de outono e primavera, incluindo rastelar, triturar e compostar folhas, remover material vegetal morto, podar plantas perenes, cobrir canteiros com cobertura morta e podar rente ao solo. Coletar agulhas de pinheiro manualmente para guirlandas. Cortar grama, conforme necessário. Pode também utilizar sopradores de neve elétricos ou a gasolina, conforme necessário. Pode dirigir o veículo da equipe até os locais de trabalho, conforme necessário. Não dirigirá caminhão limpa-neve. Classificação da Função: 37-3011.00 - Trabalhadores de Paisagismo e Manutenção de Jardins. A classificação e descrição da função/setor inclui informações gerais sobre o cargo, conforme o ONET/OES e o Sistema de Classificação Industrial da América do Norte (NAICS). Consulte as Funções e a Ordem de Serviço para obter mais informações. Requisitos da Função Experiência Necessária: Não. Requisitos Especiais: Deve possuir ou ser capaz de obter uma carteira de habilitação válida nos EUA (não comercial). Deve ter 18 anos ou mais. Deve apresentar comprovante de autorização legal para trabalhar nos Estados Unidos. Executar atividades físicas, como levantar, equilibrar-se, caminhar, abaixar-se, manusear, posicionar, mover e manipular materiais; usar força estática para exercer força muscular máxima para levantar, empurrar, puxar e carregar objetos de até 23 kg (50 lbs). Todos os candidatos devem ser capazes, dispostos e qualificados para executar o trabalho descrito e devem estar disponíveis durante todo o período especificado. Trabalho ao ar livre, exposto às intempéries; deve ser capaz de realizar trabalho fisicamente extenuante por longas horas, ocasionalmente em calor ou frio extremos. Condições climáticas variáveis ​​se aplicam; a carga horária pode sofrer alterações (+/-), com possibilidade de tempo ocioso e/ou horas extras. É necessário possuir ou ser capaz de obter uma carteira de habilitação americana válida, não comercial. Número de horas por semana: 35. Horário de trabalho (início/término): 8h às 16h30.</v>
      </c>
    </row>
    <row r="751" ht="20.25" customHeight="1">
      <c r="A751" s="8" t="s">
        <v>3516</v>
      </c>
      <c r="B751" s="8" t="s">
        <v>351</v>
      </c>
      <c r="C751" s="8"/>
      <c r="D751" s="8" t="s">
        <v>71</v>
      </c>
      <c r="E751" s="9" t="s">
        <v>19</v>
      </c>
      <c r="F751" s="9" t="s">
        <v>20</v>
      </c>
      <c r="G751" s="9" t="s">
        <v>155</v>
      </c>
      <c r="H751" s="8" t="s">
        <v>352</v>
      </c>
      <c r="I751" s="8" t="s">
        <v>353</v>
      </c>
      <c r="J751" s="9">
        <v>21.13</v>
      </c>
      <c r="K751" s="9">
        <v>150.0</v>
      </c>
      <c r="L751" s="8" t="s">
        <v>262</v>
      </c>
      <c r="M751" s="8" t="s">
        <v>3517</v>
      </c>
      <c r="N751" s="7" t="str">
        <f>IFERROR(__xludf.DUMMYFUNCTION("GOOGLETRANSLATE(L751, ""en"", ""pt"")"),"Operário da construção civil")</f>
        <v>Operário da construção civil</v>
      </c>
      <c r="O751" s="7" t="str">
        <f>IFERROR(__xludf.DUMMYFUNCTION("IF(M751="""","""",GOOGLETRANSLATE(M751,""en"",""pt""))"),"Executar trabalhos gerais de construção e limpeza em canteiros de obras. Carregar, descarregar e transportar materiais de construção, ferramentas e equipamentos. Auxiliar trabalhadores especializados conforme instruções. Cavar valas, aterrar escavações e "&amp;"preparar canteiros de obras. Operar ferramentas manuais e elétricas básicas. Limpar e preparar áreas de trabalho. Remover entulhos, lixo e materiais perigosos dos canteiros de obras. Auxiliar na demolição e remoção de materiais. Montar e desmontar estrutu"&amp;"ras temporárias, andaimes e barricadas. Misturar, despejar e espalhar materiais de construção, como concreto ou asfalto, conforme instruções. Auxiliar na montagem de estruturas, telhados, revestimentos, drywall ou outras tarefas gerais de construção. Segu"&amp;"ir as normas de segurança da OSHA e os procedimentos de segurança da empresa. Executar trabalhos fisicamente exigentes em ambientes externos e sob condições climáticas variáveis. Classificação da vaga: 47-2061.00 - Auxiliares de Construção. A classificaçã"&amp;"o e descrição da vaga/setor incluem informações gerais sobre o cargo, de acordo com o ONET/OES e o Sistema de Classificação Industrial da América do Norte. Consulte as Funções e a Ordem de Serviço para obter mais informações. Requisitos da vaga Experiênci"&amp;"a necessária: Não Número de horas por semana: 40 Horário de trabalho (início/término): 7h00 - 15h30")</f>
        <v>Executar trabalhos gerais de construção e limpeza em canteiros de obras. Carregar, descarregar e transportar materiais de construção, ferramentas e equipamentos. Auxiliar trabalhadores especializados conforme instruções. Cavar valas, aterrar escavações e preparar canteiros de obras. Operar ferramentas manuais e elétricas básicas. Limpar e preparar áreas de trabalho. Remover entulhos, lixo e materiais perigosos dos canteiros de obras. Auxiliar na demolição e remoção de materiais. Montar e desmontar estruturas temporárias, andaimes e barricadas. Misturar, despejar e espalhar materiais de construção, como concreto ou asfalto, conforme instruções. Auxiliar na montagem de estruturas, telhados, revestimentos, drywall ou outras tarefas gerais de construção. Seguir as normas de segurança da OSHA e os procedimentos de segurança da empresa. Executar trabalhos fisicamente exigentes em ambientes externos e sob condições climáticas variáveis. Classificação da vaga: 47-2061.00 - Auxiliares de Construção. A classificação e descrição da vaga/setor incluem informações gerais sobre o cargo, de acordo com o ONET/OES e o Sistema de Classificação Industrial da América do Norte. Consulte as Funções e a Ordem de Serviço para obter mais informações. Requisitos da vaga Experiência necessária: Não Número de horas por semana: 40 Horário de trabalho (início/término): 7h00 - 15h30</v>
      </c>
    </row>
    <row r="752" ht="20.25" customHeight="1">
      <c r="A752" s="3" t="s">
        <v>3518</v>
      </c>
      <c r="B752" s="3" t="s">
        <v>2355</v>
      </c>
      <c r="C752" s="3" t="s">
        <v>3326</v>
      </c>
      <c r="D752" s="3" t="s">
        <v>1197</v>
      </c>
      <c r="E752" s="4" t="s">
        <v>19</v>
      </c>
      <c r="F752" s="4" t="s">
        <v>20</v>
      </c>
      <c r="G752" s="4" t="s">
        <v>307</v>
      </c>
      <c r="H752" s="3" t="s">
        <v>2357</v>
      </c>
      <c r="I752" s="3" t="s">
        <v>2358</v>
      </c>
      <c r="J752" s="4">
        <v>17.35</v>
      </c>
      <c r="K752" s="4">
        <v>20.0</v>
      </c>
      <c r="L752" s="3" t="s">
        <v>3519</v>
      </c>
      <c r="M752" s="3" t="s">
        <v>3520</v>
      </c>
      <c r="N752" s="7" t="str">
        <f>IFERROR(__xludf.DUMMYFUNCTION("GOOGLETRANSLATE(L752, ""en"", ""pt"")"),"Fabricante de Coroas de Flores")</f>
        <v>Fabricante de Coroas de Flores</v>
      </c>
      <c r="O752" s="7" t="str">
        <f>IFERROR(__xludf.DUMMYFUNCTION("IF(M752="""","""",GOOGLETRANSLATE(M752,""en"",""pt""))"),"As funções podem incluir: Organizar manualmente galhos de pinheiro e folhagens naturais pré-cortados para criar coroas de flores comemorativas de Natal. Aparar os materiais usando tesouras de poda, modeladores e alicates manuais. Utilizar decorações natal"&amp;"inas, como fitas, laços e enfeites, para desenvolver novas criações e outras atividades relacionadas à confecção de coroas de flores, conforme SOC/OES 27-1023 (onetonline.org). Horário padrão/esperado: Segunda a sexta, das 8h às 16h30. Oferecemos mais de "&amp;"40 horas semanais, sem incluir almoço e/ou intervalos. Possibilidade de trabalho nos fins de semana e feriados. Os horários de início e término, a carga horária e/ou horas extras podem variar, pois dependem de fatores como necessidades do projeto/cronogra"&amp;"ma/serviço, condições climáticas e tempo de deslocamento entre os locais de trabalho (se aplicável). Horas extras são possíveis, mas não obrigatórias nem garantidas. A critério exclusivo do empregador: aumentos salariais e/ou bônus podem ser concedidos co"&amp;"m base em fatores individuais, como desempenho ou habilidades (não garantidos). Moradia compartilhada opcional disponível sem custo para o trabalhador. Classificação da vaga: 27-1023.00 - Designers Florais. A classificação e descrição da vaga/setor inclui"&amp;" informações gerais sobre a posição, de acordo com o ONET/OES e o Sistema de Classificação Industrial da América do Norte (NAICS). Consulte as Funções e a Ordem de Serviço para obter mais informações. Requisitos da vaga: Experiência necessária: Não. Requi"&amp;"sitos especiais: É necessário ter 18 anos ou mais devido a questões de seguro. É necessário apresentar comprovante de autorização legal para trabalhar nos Estados Unidos. Ambiente de trabalho livre de drogas, álcool e tabaco. Todos os candidatos devem ser"&amp;" capazes, dispostos e qualificados para executar o trabalho descrito e devem estar disponíveis durante todo o período especificado e trabalhar em todas as áreas da vaga. A carga horária pode variar de acordo com os picos e vales do turismo ao longo da tem"&amp;"porada (+/-), possíveis períodos de baixa temporada e/ou horas extras. Número de horas por semana: 40. Horário de trabalho (início/término): 8h às 16h30.")</f>
        <v>As funções podem incluir: Organizar manualmente galhos de pinheiro e folhagens naturais pré-cortados para criar coroas de flores comemorativas de Natal. Aparar os materiais usando tesouras de poda, modeladores e alicates manuais. Utilizar decorações natalinas, como fitas, laços e enfeites, para desenvolver novas criações e outras atividades relacionadas à confecção de coroas de flores, conforme SOC/OES 27-1023 (onetonline.org). Horário padrão/esperado: Segunda a sexta, das 8h às 16h30. Oferecemos mais de 40 horas semanais, sem incluir almoço e/ou intervalos. Possibilidade de trabalho nos fins de semana e feriados. Os horários de início e término, a carga horária e/ou horas extras podem variar, pois dependem de fatores como necessidades do projeto/cronograma/serviço, condições climáticas e tempo de deslocamento entre os locais de trabalho (se aplicável). Horas extras são possíveis, mas não obrigatórias nem garantidas. A critério exclusivo do empregador: aumentos salariais e/ou bônus podem ser concedidos com base em fatores individuais, como desempenho ou habilidades (não garantidos). Moradia compartilhada opcional disponível sem custo para o trabalhador. Classificação da vaga: 27-1023.00 - Designers Florais. A classificação e descrição da vaga/setor inclui informações gerais sobre a posição, de acordo com o ONET/OES e o Sistema de Classificação Industrial da América do Norte (NAICS). Consulte as Funções e a Ordem de Serviço para obter mais informações. Requisitos da vaga: Experiência necessária: Não. Requisitos especiais: É necessário ter 18 anos ou mais devido a questões de seguro. É necessário apresentar comprovante de autorização legal para trabalhar nos Estados Unidos. Ambiente de trabalho livre de drogas, álcool e tabaco. Todos os candidatos devem ser capazes, dispostos e qualificados para executar o trabalho descrito e devem estar disponíveis durante todo o período especificado e trabalhar em todas as áreas da vaga. A carga horária pode variar de acordo com os picos e vales do turismo ao longo da temporada (+/-), possíveis períodos de baixa temporada e/ou horas extras. Número de horas por semana: 40. Horário de trabalho (início/término): 8h às 16h30.</v>
      </c>
    </row>
    <row r="753" ht="20.25" customHeight="1">
      <c r="A753" s="8" t="s">
        <v>3521</v>
      </c>
      <c r="B753" s="8" t="s">
        <v>2355</v>
      </c>
      <c r="C753" s="8" t="s">
        <v>3326</v>
      </c>
      <c r="D753" s="8" t="s">
        <v>1197</v>
      </c>
      <c r="E753" s="9" t="s">
        <v>19</v>
      </c>
      <c r="F753" s="9" t="s">
        <v>20</v>
      </c>
      <c r="G753" s="9" t="s">
        <v>307</v>
      </c>
      <c r="H753" s="8" t="s">
        <v>2357</v>
      </c>
      <c r="I753" s="8" t="s">
        <v>2358</v>
      </c>
      <c r="J753" s="9">
        <v>20.78</v>
      </c>
      <c r="K753" s="9">
        <v>60.0</v>
      </c>
      <c r="L753" s="8" t="s">
        <v>1061</v>
      </c>
      <c r="M753" s="8" t="s">
        <v>3522</v>
      </c>
      <c r="N753" s="7" t="str">
        <f>IFERROR(__xludf.DUMMYFUNCTION("GOOGLETRANSLATE(L753, ""en"", ""pt"")"),"Auxiliar de Creche")</f>
        <v>Auxiliar de Creche</v>
      </c>
      <c r="O753" s="7" t="str">
        <f>IFERROR(__xludf.DUMMYFUNCTION("IF(M753="""","""",GOOGLETRANSLATE(M753,""en"",""pt""))"),"As funções podem incluir: A partir do nível do solo, usar tesouras de poda para cortar galhos de pinheiro em comprimentos de 15 a 25 cm, adequados para a confecção de coroas comemorativas de Natal. Recolher e armazenar todo o material podado em caixas man"&amp;"ualmente, além de outras atividades relacionadas ao trabalho em viveiro, conforme SOC/OES 45-2092 (onetonline.org). Horário padrão/esperado: Segunda a sexta, das 8h às 16h30. Oferecemos mais de 40 horas semanais, sem incluir almoço e/ou intervalos. Possib"&amp;"ilidade de trabalho nos fins de semana e feriados. Os horários de início e término, a carga horária e/ou horas extras podem variar, pois dependem de fatores como projetos/cronograma/necessidades do serviço, condições climáticas e tempo de deslocamento ent"&amp;"re os locais de trabalho (se aplicável). Horas extras são possíveis, mas não obrigatórias nem garantidas. A critério exclusivo do empregador: possíveis aumentos salariais e/ou bônus com base em fatores individuais, como desempenho ou habilidades (não gara"&amp;"ntidos). Moradia compartilhada opcional, disponível sem custo para o trabalhador. Classificação da Função: 45-2092.00 - Trabalhadores Rurais e Auxiliares de Cultivo, Viveiro e Estufa. A classificação e descrição da função/setor inclui informações gerais s"&amp;"obre o cargo, de acordo com o ONET/OES e o Sistema de Classificação Industrial da América do Norte (NAICS). Consulte as Funções e a Ordem de Serviço para obter mais informações. Requisitos da Função: Experiência Necessária: Não. Requisitos Especiais: É ne"&amp;"cessário ter 18 anos devido a questões de seguro. É necessário apresentar comprovante de autorização legal para trabalhar nos Estados Unidos. Ambiente de trabalho livre de drogas, álcool e tabaco. Executar atividades físicas, como levantar, equilibrar-se,"&amp;" caminhar, abaixar-se, manusear, posicionar, mover e manipular materiais, utilizando força estática para exercer força muscular máxima para levantar, empurrar, puxar e carregar objetos de até 23 kg. Todos os candidatos devem ser capazes, dispostos e quali"&amp;"ficados para executar o trabalho descrito e devem estar disponíveis durante todo o período especificado e trabalhar em todas as áreas de atuação pretendidas. O trabalho é realizado ao ar livre, exposto às intempéries; o candidato deve ser capaz de realiza"&amp;"r trabalho fisicamente extenuante por longos períodos, ocasionalmente em calor ou frio extremos. Condições climáticas variáveis ​​se aplicam. O horário de trabalho pode variar (+/-), podendo haver períodos de inatividade e/ou horas extras. Número de horas"&amp;" por semana: 40. Horário de trabalho (início/término): 8h00 - 16h30.")</f>
        <v>As funções podem incluir: A partir do nível do solo, usar tesouras de poda para cortar galhos de pinheiro em comprimentos de 15 a 25 cm, adequados para a confecção de coroas comemorativas de Natal. Recolher e armazenar todo o material podado em caixas manualmente, além de outras atividades relacionadas ao trabalho em viveiro, conforme SOC/OES 45-2092 (onetonline.org). Horário padrão/esperado: Segunda a sexta, das 8h às 16h30. Oferecemos mais de 40 horas semanais, sem incluir almoço e/ou intervalos. Possibilidade de trabalho nos fins de semana e feriados. Os horários de início e término, a carga horária e/ou horas extras podem variar, pois dependem de fatores como projetos/cronograma/necessidades do serviço, condições climáticas e tempo de deslocamento entre os locais de trabalho (se aplicável). Horas extras são possíveis, mas não obrigatórias nem garantidas. A critério exclusivo do empregador: possíveis aumentos salariais e/ou bônus com base em fatores individuais, como desempenho ou habilidades (não garantidos). Moradia compartilhada opcional, disponível sem custo para o trabalhador. Classificação da Função: 45-2092.00 - Trabalhadores Rurais e Auxiliares de Cultivo, Viveiro e Estufa. A classificação e descrição da função/setor inclui informações gerais sobre o cargo, de acordo com o ONET/OES e o Sistema de Classificação Industrial da América do Norte (NAICS). Consulte as Funções e a Ordem de Serviço para obter mais informações. Requisitos da Função: Experiência Necessária: Não. Requisitos Especiais: É necessário ter 18 anos devido a questões de seguro. É necessário apresentar comprovante de autorização legal para trabalhar nos Estados Unidos. Ambiente de trabalho livre de drogas, álcool e tabaco. Executar atividades físicas, como levantar, equilibrar-se, caminhar, abaixar-se, manusear, posicionar, mover e manipular materiais, utilizando força estática para exercer força muscular máxima para levantar, empurrar, puxar e carregar objetos de até 23 kg. Todos os candidatos devem ser capazes, dispostos e qualificados para executar o trabalho descrito e devem estar disponíveis durante todo o período especificado e trabalhar em todas as áreas de atuação pretendidas. O trabalho é realizado ao ar livre, exposto às intempéries; o candidato deve ser capaz de realizar trabalho fisicamente extenuante por longos períodos, ocasionalmente em calor ou frio extremos. Condições climáticas variáveis ​​se aplicam. O horário de trabalho pode variar (+/-), podendo haver períodos de inatividade e/ou horas extras. Número de horas por semana: 40. Horário de trabalho (início/término): 8h00 - 16h30.</v>
      </c>
    </row>
    <row r="754" ht="20.25" customHeight="1">
      <c r="A754" s="3" t="s">
        <v>3523</v>
      </c>
      <c r="B754" s="3" t="s">
        <v>3524</v>
      </c>
      <c r="C754" s="3" t="s">
        <v>2263</v>
      </c>
      <c r="D754" s="3" t="s">
        <v>306</v>
      </c>
      <c r="E754" s="4" t="s">
        <v>19</v>
      </c>
      <c r="F754" s="4" t="s">
        <v>20</v>
      </c>
      <c r="G754" s="4" t="s">
        <v>404</v>
      </c>
      <c r="H754" s="3" t="s">
        <v>3525</v>
      </c>
      <c r="I754" s="3" t="s">
        <v>3526</v>
      </c>
      <c r="J754" s="4">
        <v>19.93</v>
      </c>
      <c r="K754" s="4">
        <v>10.0</v>
      </c>
      <c r="L754" s="3" t="s">
        <v>1490</v>
      </c>
      <c r="M754" s="3" t="s">
        <v>3527</v>
      </c>
      <c r="N754" s="7" t="str">
        <f>IFERROR(__xludf.DUMMYFUNCTION("GOOGLETRANSLATE(L754, ""en"", ""pt"")"),"Zelador")</f>
        <v>Zelador</v>
      </c>
      <c r="O754" s="7" t="str">
        <f>IFERROR(__xludf.DUMMYFUNCTION("IF(M754="""","""",GOOGLETRANSLATE(M754,""en"",""pt""))"),"Remover neve, realizar manutenção de terrenos, como limpeza de lixo e preparação de sistemas de irrigação para o inverno, e outras tarefas relacionadas à manutenção das instalações, como limpeza de galhos, folhas, neve ou outros detritos. Possibilidade de"&amp;" limpeza de outono e primavera, incluindo rastelar, triturar e compostar folhas, remover material vegetal morto, cortar grama, podar plantas perenes, cobrir canteiros com cobertura morta e podar plantas dormentes a partir do nível do solo. Remover gelo e "&amp;"neve de calçadas, entradas de garagem e estacionamentos de diversas propriedades residenciais e comerciais, utilizando ferramentas manuais como vassouras de neve, pás e espalhando soluções de degelo, incluindo cloreto de cálcio ou sal grosso, manualmente."&amp;" Pode também utilizar sopradores de neve elétricos ou a gasolina, conforme necessário. Não dirigirá limpa-neve. Poderá dirigir veículo da equipe. Não é exigida carteira de habilitação como condição de emprego para esta vaga. Caso o candidato já possua uma"&amp;" carteira de habilitação padrão, não comercial, poderá ser solicitado a dirigir um veículo até os locais de trabalho, conforme necessário. Classificação da Função: 37-3011.00 - Trabalhadores de Paisagismo e Manutenção de Jardins. A classificação e descriç"&amp;"ão da função/setor inclui informações gerais sobre o cargo, de acordo com o ONET/OES e o Sistema de Classificação Industrial da América do Norte (NAICS). Consulte as Funções e a Ordem de Serviço para obter mais informações. Requisitos da Função Experiênci"&amp;"a Necessária: Não. Requisitos Especiais: Deve ser capaz de levantar/carregar 23 kg, quando necessário. Trabalho aos sábados e domingos, quando necessário. O horário de trabalho pode incluir turnos noturnos e horas extras durante emergências e condições cl"&amp;"imáticas adversas. Deve ser capaz de realizar trabalho braçal e físico ao ar livre em todas as condições climáticas (calor, frio, chuva, neve, etc.). Deve ter 18 anos de idade. Exame toxicológico pós-admissão e pós-acidente é obrigatório para trabalhadore"&amp;"s estrangeiros e nacionais, sem custo para os mesmos. Número de Horas por Semana: 35. Horário de Trabalho (Início/Término): 7h30 - 17h30.")</f>
        <v>Remover neve, realizar manutenção de terrenos, como limpeza de lixo e preparação de sistemas de irrigação para o inverno, e outras tarefas relacionadas à manutenção das instalações, como limpeza de galhos, folhas, neve ou outros detritos. Possibilidade de limpeza de outono e primavera, incluindo rastelar, triturar e compostar folhas, remover material vegetal morto, cortar grama, podar plantas perenes, cobrir canteiros com cobertura morta e podar plantas dormentes a partir do nível do solo. Remover gelo e neve de calçadas, entradas de garagem e estacionamentos de diversas propriedades residenciais e comerciais, utilizando ferramentas manuais como vassouras de neve, pás e espalhando soluções de degelo, incluindo cloreto de cálcio ou sal grosso, manualmente. Pode também utilizar sopradores de neve elétricos ou a gasolina, conforme necessário. Não dirigirá limpa-neve. Poderá dirigir veículo da equipe. Não é exigida carteira de habilitação como condição de emprego para esta vaga. Caso o candidato já possua uma carteira de habilitação padrão, não comercial, poderá ser solicitado a dirigir um veículo até os locais de trabalho, conforme necessário. Classificação da Função: 37-3011.00 - Trabalhadores de Paisagismo e Manutenção de Jardins. A classificação e descrição da função/setor inclui informações gerais sobre o cargo, de acordo com o ONET/OES e o Sistema de Classificação Industrial da América do Norte (NAICS). Consulte as Funções e a Ordem de Serviço para obter mais informações. Requisitos da Função Experiência Necessária: Não. Requisitos Especiais: Deve ser capaz de levantar/carregar 23 kg, quando necessário. Trabalho aos sábados e domingos, quando necessário. O horário de trabalho pode incluir turnos noturnos e horas extras durante emergências e condições climáticas adversas. Deve ser capaz de realizar trabalho braçal e físico ao ar livre em todas as condições climáticas (calor, frio, chuva, neve, etc.). Deve ter 18 anos de idade. Exame toxicológico pós-admissão e pós-acidente é obrigatório para trabalhadores estrangeiros e nacionais, sem custo para os mesmos. Número de Horas por Semana: 35. Horário de Trabalho (Início/Término): 7h30 - 17h30.</v>
      </c>
    </row>
    <row r="755" ht="20.25" customHeight="1">
      <c r="A755" s="8" t="s">
        <v>3528</v>
      </c>
      <c r="B755" s="8" t="s">
        <v>3529</v>
      </c>
      <c r="C755" s="8" t="s">
        <v>2898</v>
      </c>
      <c r="D755" s="8" t="s">
        <v>28</v>
      </c>
      <c r="E755" s="9" t="s">
        <v>19</v>
      </c>
      <c r="F755" s="9" t="s">
        <v>20</v>
      </c>
      <c r="G755" s="9" t="s">
        <v>29</v>
      </c>
      <c r="H755" s="8" t="s">
        <v>3530</v>
      </c>
      <c r="I755" s="8" t="s">
        <v>3531</v>
      </c>
      <c r="J755" s="9">
        <v>13.0</v>
      </c>
      <c r="K755" s="9">
        <v>50.0</v>
      </c>
      <c r="L755" s="8" t="s">
        <v>3532</v>
      </c>
      <c r="M755" s="8" t="s">
        <v>3533</v>
      </c>
      <c r="N755" s="7" t="str">
        <f>IFERROR(__xludf.DUMMYFUNCTION("GOOGLETRANSLATE(L755, ""en"", ""pt"")"),"Processador de lagostins")</f>
        <v>Processador de lagostins</v>
      </c>
      <c r="O755" s="7" t="str">
        <f>IFERROR(__xludf.DUMMYFUNCTION("IF(M755="""","""",GOOGLETRANSLATE(M755,""en"",""pt""))"),"As funções podem incluir preparar as máquinas para a nova temporada (as máquinas ficam inativas fora de temporada); preparar as áreas de serviço e os equipamentos; limpar e preparar as áreas de trabalho onde os equipamentos estão armazenados; limpar, higi"&amp;"enizar e organizar as áreas de embalagem, os postos de pesagem e lavar os equipamentos; descascar lagostins; limpar e cortar as partes dos lagostins para processamento futuro, remover partes e inspecionar o produto em busca de defeitos; pesar o produto, p"&amp;"repará-lo para venda ou consumo; etiquetar o produto; separar e inspecionar; e limpar o local de trabalho. Os trabalhadores podem auxiliar na limpeza das esteiras transportadoras e das superfícies dos equipamentos usando mangueiras de água e ferramentas b"&amp;"ásicas de limpeza enquanto os equipamentos estiverem desligados. Todas as tarefas são rotineiras, repetitivas e realizadas sob a supervisão de um supervisor. Os trabalhadores não operarão as máquinas de produção. Os equipamentos de produção são operados s"&amp;"omente por supervisores designados ou pessoal treinado. Os trabalhadores não ligarão, controlarão, ajustarão, repararão, farão manutenção ou operarão as máquinas de processamento. Classificação da vaga: 51-3022.00 - Cortadores e aparadores de carne, aves "&amp;"e peixes. A classificação e descrição da vaga/setor incluem informações gerais sobre o cargo, de acordo com o ONET/OES e o Sistema de Classificação Industrial da América do Norte (NAICS). Consulte as atribuições e a ordem de serviço para obter mais inform"&amp;"ações. Requisitos da vaga: Experiência necessária: Sim. Meses de experiência necessários: 1. Requisitos especiais: Exame toxicológico aleatório após a contratação (pago pelo empregador). Número de horas por semana: 40. Horário de trabalho (início/término)"&amp;": 7h30 às 16h30.")</f>
        <v>As funções podem incluir preparar as máquinas para a nova temporada (as máquinas ficam inativas fora de temporada); preparar as áreas de serviço e os equipamentos; limpar e preparar as áreas de trabalho onde os equipamentos estão armazenados; limpar, higienizar e organizar as áreas de embalagem, os postos de pesagem e lavar os equipamentos; descascar lagostins; limpar e cortar as partes dos lagostins para processamento futuro, remover partes e inspecionar o produto em busca de defeitos; pesar o produto, prepará-lo para venda ou consumo; etiquetar o produto; separar e inspecionar; e limpar o local de trabalho. Os trabalhadores podem auxiliar na limpeza das esteiras transportadoras e das superfícies dos equipamentos usando mangueiras de água e ferramentas básicas de limpeza enquanto os equipamentos estiverem desligados. Todas as tarefas são rotineiras, repetitivas e realizadas sob a supervisão de um supervisor. Os trabalhadores não operarão as máquinas de produção. Os equipamentos de produção são operados somente por supervisores designados ou pessoal treinado. Os trabalhadores não ligarão, controlarão, ajustarão, repararão, farão manutenção ou operarão as máquinas de processamento. Classificação da vaga: 51-3022.00 - Cortadores e aparadores de carne, aves e peixes. A classificação e descrição da vaga/setor incluem informações gerais sobre o cargo, de acordo com o ONET/OES e o Sistema de Classificação Industrial da América do Norte (NAICS). Consulte as atribuições e a ordem de serviço para obter mais informações. Requisitos da vaga: Experiência necessária: Sim. Meses de experiência necessários: 1. Requisitos especiais: Exame toxicológico aleatório após a contratação (pago pelo empregador). Número de horas por semana: 40. Horário de trabalho (início/término): 7h30 às 16h30.</v>
      </c>
    </row>
    <row r="756" ht="20.25" customHeight="1">
      <c r="A756" s="3" t="s">
        <v>3534</v>
      </c>
      <c r="B756" s="3" t="s">
        <v>3535</v>
      </c>
      <c r="C756" s="3" t="s">
        <v>2263</v>
      </c>
      <c r="D756" s="3" t="s">
        <v>71</v>
      </c>
      <c r="E756" s="4" t="s">
        <v>19</v>
      </c>
      <c r="F756" s="4" t="s">
        <v>20</v>
      </c>
      <c r="G756" s="4" t="s">
        <v>155</v>
      </c>
      <c r="H756" s="3" t="s">
        <v>3536</v>
      </c>
      <c r="I756" s="3" t="s">
        <v>3537</v>
      </c>
      <c r="J756" s="4">
        <v>16.9</v>
      </c>
      <c r="K756" s="4">
        <v>1.0</v>
      </c>
      <c r="L756" s="3" t="s">
        <v>3538</v>
      </c>
      <c r="M756" s="3" t="s">
        <v>3539</v>
      </c>
      <c r="N756" s="7" t="str">
        <f>IFERROR(__xludf.DUMMYFUNCTION("GOOGLETRANSLATE(L756, ""en"", ""pt"")"),"Coordenador de Atividades para Hóspedes")</f>
        <v>Coordenador de Atividades para Hóspedes</v>
      </c>
      <c r="O756" s="7" t="str">
        <f>IFERROR(__xludf.DUMMYFUNCTION("IF(M756="""","""",GOOGLETRANSLATE(M756,""en"",""pt""))"),"Liderar e auxiliar em atividades recreativas organizadas e passeios guiados ao ar livre para os hóspedes, incluindo excursões de bicicleta elétrica, bicicleta convencional ou similares em rotas estabelecidas. Gerenciar o ritmo do grupo e o bem-estar dos h"&amp;"óspedes; responder com calma a mudanças de circunstâncias. Fornecer orientações de segurança e monitorar o uso correto dos equipamentos de atividades. Interagir com os hóspedes de maneira amigável e profissional e promover a participação nas atividades pr"&amp;"ogramadas. Coordenar a programação diária de atividades com a equipe de atendimento ao hóspede. Preparar, manter e limpar as áreas de atividades e espaços de bem-estar. Monitorar as áreas de atividades quanto à segurança e relatar quaisquer problemas de m"&amp;"anutenção ou segurança à gerência. Demonstrar os procedimentos das atividades e fornecer orientação prática aos funcionários temporários durante as atividades. Realizar verificações diárias e semanais de prontidão das bicicletas elétricas (gerenciamento d"&amp;"a bateria, verificação de pneus/freios, limpeza, inventário) e relatar as necessidades de manutenção. Auxiliar no inventário, armazenamento e organização dos equipamentos ao final da temporada. Compartilhar observações operacionais e sugestões de melhoria"&amp;" com o Gerente Geral; auxiliar na documentação de Procedimentos Operacionais Padrão (POPs) e guias de referência rápida, conforme solicitado. Fornecer orientação prática e treinamento em experiência do cliente para a equipe de atividades temporária e de m"&amp;"eio período, demonstrando os procedimentos adequados para passeios, segurança e interação com os hóspedes. Apoie a integração com listas de verificação simples, rotinas de turno e padrões de serviço ""como fazemos aqui"". Sem supervisão ou autoridade gere"&amp;"ncial sobre contratação, demissão, remuneração, disciplina ou decisões de política. Classificação do Cargo: 39-7011.00 - Guias e Acompanhantes Turísticos. A classificação e descrição do cargo/setor inclui informações gerais sobre a posição, de acordo com "&amp;"o ONET/OES e o Sistema de Classificação Industrial da América do Norte. Consulte as Funções e a Ordem de Serviço para obter mais informações. Requisitos do Cargo Experiência Necessária: Sim Meses de Experiência Necessários: 12 Requisitos Especiais: Ambien"&amp;"tes recreativos internos e externos; ficar em pé, caminhar, curvar-se e levantar equipamentos com frequência. Trabalho realizado em condições climáticas variáveis. Deve ser capaz de levantar, puxar, empurrar ou carregar até 23 kg ou mais e caminhar ou fic"&amp;"ar em pé por longos períodos. Capacidade de alcançar acima da cabeça, abaixar-se, ajoelhar-se, agachar-se ou rastejar. Deve sentir-se confortável operando e demonstrando o manuseio seguro de bicicletas elétricas. Deve ter disponibilidade para trabalhar à "&amp;"noite, nos fins de semana e feriados, conforme necessário. Possibilidade de horas extras. Número de horas por semana: 40 Horário de trabalho (início/término): 8h00 - 17h00")</f>
        <v>Liderar e auxiliar em atividades recreativas organizadas e passeios guiados ao ar livre para os hóspedes, incluindo excursões de bicicleta elétrica, bicicleta convencional ou similares em rotas estabelecidas. Gerenciar o ritmo do grupo e o bem-estar dos hóspedes; responder com calma a mudanças de circunstâncias. Fornecer orientações de segurança e monitorar o uso correto dos equipamentos de atividades. Interagir com os hóspedes de maneira amigável e profissional e promover a participação nas atividades programadas. Coordenar a programação diária de atividades com a equipe de atendimento ao hóspede. Preparar, manter e limpar as áreas de atividades e espaços de bem-estar. Monitorar as áreas de atividades quanto à segurança e relatar quaisquer problemas de manutenção ou segurança à gerência. Demonstrar os procedimentos das atividades e fornecer orientação prática aos funcionários temporários durante as atividades. Realizar verificações diárias e semanais de prontidão das bicicletas elétricas (gerenciamento da bateria, verificação de pneus/freios, limpeza, inventário) e relatar as necessidades de manutenção. Auxiliar no inventário, armazenamento e organização dos equipamentos ao final da temporada. Compartilhar observações operacionais e sugestões de melhoria com o Gerente Geral; auxiliar na documentação de Procedimentos Operacionais Padrão (POPs) e guias de referência rápida, conforme solicitado. Fornecer orientação prática e treinamento em experiência do cliente para a equipe de atividades temporária e de meio período, demonstrando os procedimentos adequados para passeios, segurança e interação com os hóspedes. Apoie a integração com listas de verificação simples, rotinas de turno e padrões de serviço "como fazemos aqui". Sem supervisão ou autoridade gerencial sobre contratação, demissão, remuneração, disciplina ou decisões de política. Classificação do Cargo: 39-7011.00 - Guias e Acompanhantes Turísticos. A classificação e descrição do cargo/setor inclui informações gerais sobre a posição, de acordo com o ONET/OES e o Sistema de Classificação Industrial da América do Norte. Consulte as Funções e a Ordem de Serviço para obter mais informações. Requisitos do Cargo Experiência Necessária: Sim Meses de Experiência Necessários: 12 Requisitos Especiais: Ambientes recreativos internos e externos; ficar em pé, caminhar, curvar-se e levantar equipamentos com frequência. Trabalho realizado em condições climáticas variáveis. Deve ser capaz de levantar, puxar, empurrar ou carregar até 23 kg ou mais e caminhar ou ficar em pé por longos períodos. Capacidade de alcançar acima da cabeça, abaixar-se, ajoelhar-se, agachar-se ou rastejar. Deve sentir-se confortável operando e demonstrando o manuseio seguro de bicicletas elétricas. Deve ter disponibilidade para trabalhar à noite, nos fins de semana e feriados, conforme necessário. Possibilidade de horas extras. Número de horas por semana: 40 Horário de trabalho (início/término): 8h00 - 17h00</v>
      </c>
    </row>
    <row r="757" ht="20.25" customHeight="1">
      <c r="A757" s="8" t="s">
        <v>3540</v>
      </c>
      <c r="B757" s="8" t="s">
        <v>3541</v>
      </c>
      <c r="C757" s="8" t="s">
        <v>2263</v>
      </c>
      <c r="D757" s="8" t="s">
        <v>64</v>
      </c>
      <c r="E757" s="9" t="s">
        <v>19</v>
      </c>
      <c r="F757" s="9" t="s">
        <v>20</v>
      </c>
      <c r="G757" s="9" t="s">
        <v>377</v>
      </c>
      <c r="H757" s="8" t="s">
        <v>3542</v>
      </c>
      <c r="I757" s="8" t="s">
        <v>3543</v>
      </c>
      <c r="J757" s="9">
        <v>16.46</v>
      </c>
      <c r="K757" s="9">
        <v>12.0</v>
      </c>
      <c r="L757" s="8" t="s">
        <v>3544</v>
      </c>
      <c r="M757" s="8" t="s">
        <v>3545</v>
      </c>
      <c r="N757" s="7" t="str">
        <f>IFERROR(__xludf.DUMMYFUNCTION("GOOGLETRANSLATE(L757, ""en"", ""pt"")"),"Motorista de frutos do mar")</f>
        <v>Motorista de frutos do mar</v>
      </c>
      <c r="O757" s="7" t="str">
        <f>IFERROR(__xludf.DUMMYFUNCTION("IF(M757="""","""",GOOGLETRANSLATE(M757,""en"",""pt""))"),"Dirija veículos da empresa, incluindo vans de transporte, vans GMC Express e caminhonetes comuns com baús isotérmicos acoplados à carroceria, para entregar lagostins, frutos do mar e produtos relacionados aos clientes. Todos os veículos operados têm peso "&amp;"bruto total (PBT) inferior a 26.000 libras (aproximadamente 11.793 kg). Mantenha registros precisos, incluindo notas fiscais de vendas e entregas. Classificação da vaga: 53-3031.00 - Motorista/Vendedor. A classificação e descrição da vaga/setor incluem in"&amp;"formações gerais sobre o cargo, de acordo com o ONET/OES e o Sistema de Classificação Industrial da América do Norte (NAICS). Consulte as Funções e a Ordem de Serviço para obter mais informações. Requisitos da vaga: Experiência necessária: Sim. Meses de e"&amp;"xperiência necessários: 6. Requisitos especiais: Deve possuir carteira de habilitação não comercial válida nos EUA ou estar apto a obtê-la nos EUA em até 15 dias. Deve ser capaz de levantar/carregar até 23 kg (50 libras). Testes de drogas são obrigatórios"&amp;" para trabalhadores estrangeiros e nacionais após a contratação, de forma aleatória, mediante suspeita e após acidentes, sem custo para o trabalhador. A reprovação no teste de drogas resultará em demissão por justa causa. Este é um ambiente de trabalho li"&amp;"vre de drogas. A jornada de trabalho pode incluir horas extras. Todos os candidatos devem ser capazes, dispostos e qualificados para executar o trabalho descrito e devem estar disponíveis durante todo o período especificado. Número de horas por semana: 35"&amp;". Horário de trabalho (início/término): 1h00 - 12h00.")</f>
        <v>Dirija veículos da empresa, incluindo vans de transporte, vans GMC Express e caminhonetes comuns com baús isotérmicos acoplados à carroceria, para entregar lagostins, frutos do mar e produtos relacionados aos clientes. Todos os veículos operados têm peso bruto total (PBT) inferior a 26.000 libras (aproximadamente 11.793 kg). Mantenha registros precisos, incluindo notas fiscais de vendas e entregas. Classificação da vaga: 53-3031.00 - Motorista/Vendedor. A classificação e descrição da vaga/setor incluem informações gerais sobre o cargo, de acordo com o ONET/OES e o Sistema de Classificação Industrial da América do Norte (NAICS). Consulte as Funções e a Ordem de Serviço para obter mais informações. Requisitos da vaga: Experiência necessária: Sim. Meses de experiência necessários: 6. Requisitos especiais: Deve possuir carteira de habilitação não comercial válida nos EUA ou estar apto a obtê-la nos EUA em até 15 dias. Deve ser capaz de levantar/carregar até 23 kg (50 libras). Testes de drogas são obrigatórios para trabalhadores estrangeiros e nacionais após a contratação, de forma aleatória, mediante suspeita e após acidentes, sem custo para o trabalhador. A reprovação no teste de drogas resultará em demissão por justa causa. Este é um ambiente de trabalho livre de drogas. A jornada de trabalho pode incluir horas extras. Todos os candidatos devem ser capazes, dispostos e qualificados para executar o trabalho descrito e devem estar disponíveis durante todo o período especificado. Número de horas por semana: 35. Horário de trabalho (início/término): 1h00 - 12h00.</v>
      </c>
    </row>
    <row r="758" ht="20.25" customHeight="1">
      <c r="A758" s="3" t="s">
        <v>3546</v>
      </c>
      <c r="B758" s="3" t="s">
        <v>3541</v>
      </c>
      <c r="C758" s="3" t="s">
        <v>2263</v>
      </c>
      <c r="D758" s="3" t="s">
        <v>64</v>
      </c>
      <c r="E758" s="4" t="s">
        <v>19</v>
      </c>
      <c r="F758" s="4" t="s">
        <v>20</v>
      </c>
      <c r="G758" s="4" t="s">
        <v>3547</v>
      </c>
      <c r="H758" s="3" t="s">
        <v>3542</v>
      </c>
      <c r="I758" s="3" t="s">
        <v>3543</v>
      </c>
      <c r="J758" s="4">
        <v>16.33</v>
      </c>
      <c r="K758" s="4">
        <v>25.0</v>
      </c>
      <c r="L758" s="3" t="s">
        <v>3548</v>
      </c>
      <c r="M758" s="3" t="s">
        <v>3549</v>
      </c>
      <c r="N758" s="7" t="str">
        <f>IFERROR(__xludf.DUMMYFUNCTION("GOOGLETRANSLATE(L758, ""en"", ""pt"")"),"Processadores de frutos do mar")</f>
        <v>Processadores de frutos do mar</v>
      </c>
      <c r="O758" s="7" t="str">
        <f>IFERROR(__xludf.DUMMYFUNCTION("IF(M758="""","""",GOOGLETRANSLATE(M758,""en"",""pt""))"),"Descascar camarões; remover a veia de camarões; limpar caranguejos — retirar a casca para limpeza; lavar frutos do mar; pesar e etiquetar lagostins; lavar, classificar e separar lagostins; preparar frutos do mar para processamento; remover partes não come"&amp;"stíveis de frutos do mar; limpar/remover resíduos da parte comestível de frutos do mar; selecionar/remover lixo/matéria estranha de frutos do mar; preparar frutos do mar para venda ou consumo; pesar o produto; colocar os frutos do mar em recipientes aprop"&amp;"riados após o processamento para venda e/ou consumo; marcar/etiquetar o produto; examinar o produto para atender às especificações; cortar iscas; limpeza e higienização diárias do local de trabalho e dos equipamentos. Classificação da função: 45-2041.00 -"&amp;" Classificadores e Selecionadores de Produtos Agrícolas. A classificação e descrição da função/setor inclui informações gerais sobre o cargo, conforme o ONET/OES e o Sistema de Classificação Industrial da América do Norte. Consulte as Funções e a Ordem de"&amp;" Serviço para obter mais informações. Requisitos da Vaga Experiência Necessária: Sim Meses de Experiência Necessários: 3 Requisitos Especiais: Deve ser capaz de levantar/carregar até 23 kg (50 libras). Testes de drogas são obrigatórios para trabalhadores "&amp;"estrangeiros e nacionais após a contratação, de forma aleatória, mediante suspeita e após acidentes, sem custo para o trabalhador. A reprovação no teste de drogas resultará em demissão por justa causa. Este é um ambiente de trabalho livre de drogas. A car"&amp;"ga horária pode incluir horas extras. Todos os candidatos devem ser capazes, dispostos e qualificados para executar o trabalho descrito e devem estar disponíveis durante todo o período especificado. Número de Horas por Semana: 35 Horário de Trabalho (Iníc"&amp;"io/Término): 17h00 - 07h00")</f>
        <v>Descascar camarões; remover a veia de camarões; limpar caranguejos — retirar a casca para limpeza; lavar frutos do mar; pesar e etiquetar lagostins; lavar, classificar e separar lagostins; preparar frutos do mar para processamento; remover partes não comestíveis de frutos do mar; limpar/remover resíduos da parte comestível de frutos do mar; selecionar/remover lixo/matéria estranha de frutos do mar; preparar frutos do mar para venda ou consumo; pesar o produto; colocar os frutos do mar em recipientes apropriados após o processamento para venda e/ou consumo; marcar/etiquetar o produto; examinar o produto para atender às especificações; cortar iscas; limpeza e higienização diárias do local de trabalho e dos equipamentos. Classificação da função: 45-2041.00 - Classificadores e Selecionadores de Produtos Agrícolas. A classificação e descrição da função/setor inclui informações gerais sobre o cargo, conforme o ONET/OES e o Sistema de Classificação Industrial da América do Norte. Consulte as Funções e a Ordem de Serviço para obter mais informações. Requisitos da Vaga Experiência Necessária: Sim Meses de Experiência Necessários: 3 Requisitos Especiais: Deve ser capaz de levantar/carregar até 23 kg (50 libras). Testes de drogas são obrigatórios para trabalhadores estrangeiros e nacionais após a contratação, de forma aleatória, mediante suspeita e após acidentes, sem custo para o trabalhador. A reprovação no teste de drogas resultará em demissão por justa causa. Este é um ambiente de trabalho livre de drogas. A carga horária pode incluir horas extras. Todos os candidatos devem ser capazes, dispostos e qualificados para executar o trabalho descrito e devem estar disponíveis durante todo o período especificado. Número de Horas por Semana: 35 Horário de Trabalho (Início/Término): 17h00 - 07h00</v>
      </c>
    </row>
    <row r="759" ht="20.25" customHeight="1">
      <c r="A759" s="8" t="s">
        <v>3550</v>
      </c>
      <c r="B759" s="8" t="s">
        <v>3541</v>
      </c>
      <c r="C759" s="8" t="s">
        <v>2263</v>
      </c>
      <c r="D759" s="8" t="s">
        <v>64</v>
      </c>
      <c r="E759" s="9" t="s">
        <v>19</v>
      </c>
      <c r="F759" s="9" t="s">
        <v>20</v>
      </c>
      <c r="G759" s="9" t="s">
        <v>377</v>
      </c>
      <c r="H759" s="8" t="s">
        <v>3542</v>
      </c>
      <c r="I759" s="8" t="s">
        <v>3543</v>
      </c>
      <c r="J759" s="9">
        <v>18.98</v>
      </c>
      <c r="K759" s="9">
        <v>9.0</v>
      </c>
      <c r="L759" s="8" t="s">
        <v>3551</v>
      </c>
      <c r="M759" s="8" t="s">
        <v>3552</v>
      </c>
      <c r="N759" s="7" t="str">
        <f>IFERROR(__xludf.DUMMYFUNCTION("GOOGLETRANSLATE(L759, ""en"", ""pt"")"),"Operário de fábrica de frutos do mar")</f>
        <v>Operário de fábrica de frutos do mar</v>
      </c>
      <c r="O759" s="7" t="str">
        <f>IFERROR(__xludf.DUMMYFUNCTION("IF(M759="""","""",GOOGLETRANSLATE(M759,""en"",""pt""))"),"***Resposta à Solicitação de Informações*** A função de movimentação de lagostins refere-se à transferência manual de lagostins entre as estações de trabalho dentro da instalação, à medida que o produto passa pelas fases de recebimento, lavagem, classific"&amp;"ação/triagem, pesagem, aplicação de gelo e armazenamento do processamento. O trabalhador levanta e carrega manualmente sacos de malha, cestos de plástico e caixas de lagostins de uma estação para outra. A movimentação entre as estações é feita a pé, seja "&amp;"carregando o produto diretamente ou empilhando sacos/caixas em um carrinho de mão ou carrinho de transporte e empurrando-os manualmente pelo chão da fábrica. A função de carga e descarga de caminhões refere-se ao recebimento manual de entregas de lagostin"&amp;"s/frutos do mar crus e ao carregamento manual do produto acabado e embalado em caminhões de saída. Ao descarregar, o trabalhador remove manualmente sacos, cestos, caixas e recipientes do veículo de entrega e os transfere para a área de recebimento ou lava"&amp;"gem, seja carregando-os diretamente ou utilizando um carrinho de mão/carrinho de transporte. Durante o carregamento, o trabalhador empilha manualmente sacos, caixas e produtos paletizados na carroceria do caminhão. Todo o levantamento, transporte, empilha"&amp;"mento e fixação são realizados manualmente; o trabalhador não opera empilhadeiras ou qualquer outro equipamento motorizado para movimentação de materiais. Ferramentas, equipamentos e materiais utilizados: carrinhos de mão de duas rodas, carrinhos manuais "&amp;"de quatro rodas com plataforma, paleteiras manuais (sem motor, acionadas por bomba manual), paletes, pás e conchas de plástico, sacos de malha, cestos/caixas/recipientes de plástico, caixas e luvas impermeáveis. A limpeza e a manutenção mencionadas consis"&amp;"tem na higienização de rotina e na manutenção básica, não especializada, inerente às principais funções de movimentação de materiais do trabalhador, realizadas ao final de cada turno e ao longo do dia de trabalho, conforme necessário. As tarefas de limpez"&amp;"a incluem lavar, enxaguar, esfregar e higienizar superfícies de trabalho, mesas de aço inoxidável e recipientes, caixas, cestos e tanques usados ​​para armazenar e lavar caranguejos, camarões ou lagostins; As tarefas incluem a limpeza de cascas, detritos "&amp;"e resíduos orgânicos das estações de trabalho e pisos; varrição e lavagem de pisos e limpeza de ralos; e esvaziamento e forro de recipientes de lixo e descarte de resíduos de processamento em recipientes designados. As tarefas de manutenção se limitam a l"&amp;"impar e remover resíduos e detritos da área de trabalho, verificar se os tanques de lavagem, cestos, mangueiras e recipientes estão limpos e desobstruídos, reabastecer gelo e suprimentos de limpeza nas estações de trabalho e relatar qualquer mau funcionam"&amp;"ento do equipamento a um supervisor para manutenção; o trabalhador não realizará reparos mecânicos ou manutenção de qualquer equipamento. Para realizar essas tarefas, o trabalhador utiliza ferramentas e suprimentos de limpeza padrão, incluindo mangueiras "&amp;"de água e bicos de pulverização, escovas, pás, vassouras, esfregões, rodos, baldes, detergentes de grau alimentício e soluções sanitizantes, raspadores e pás para gelo e detritos, recipientes de lixo e equipamentos de proteção individual, como luvas imper"&amp;"meáveis, aventais e botas. ***Original*** As funções podem incluir: remover a cabeça do camarão; remover a veia do camarão; Limpar caranguejos – remover a casca para limpeza; lavar frutos do mar; selecionar/remover lixo/matéria estranha; examinar o produt"&amp;"o para atender às especificações; movimentar lagostins; pesar e etiquetar lagostins; paletizar lagostins; lavar, classificar e separar lagostins; carregar e descarregar caminhões; ensacar frutos do mar; congelar lagostins/frutos do mar; limpeza e manutenç"&amp;"ão diárias do local de trabalho e equipamentos. Classificação da função: 53-7062.00 - Operários e Movimentadores de Carga, Estoque e Materiais. A classificação e descrição da função/setor inclui informações gerais sobre o cargo, de acordo com o ONET/OES e"&amp;" o Sistema de Classificação Industrial da América do Norte. Consulte as Funções e a Ordem de Serviço para obter mais informações. Requisitos da vaga: Experiência exigida: Sim. Meses de experiência exigidos: 3. Requisitos especiais: Deve ser capaz de levan"&amp;"tar/carregar até 23 kg. Teste de drogas obrigatório para trabalhadores estrangeiros e nacionais após a contratação, aleatoriamente, por suspeita e após acidentes, sem custo para os trabalhadores. A reprovação no teste de drogas resultará em demissão por j"&amp;"usta causa. Este é um ambiente de trabalho livre de drogas. A carga horária pode incluir horas extras. Todos os candidatos devem ser capazes, estar dispostos e qualificados para executar o trabalho descrito e devem estar disponíveis durante todo o período"&amp;" especificado. Número de horas por semana: 35. Horário de trabalho (início/término): 17h às 7h.")</f>
        <v>***Resposta à Solicitação de Informações*** A função de movimentação de lagostins refere-se à transferência manual de lagostins entre as estações de trabalho dentro da instalação, à medida que o produto passa pelas fases de recebimento, lavagem, classificação/triagem, pesagem, aplicação de gelo e armazenamento do processamento. O trabalhador levanta e carrega manualmente sacos de malha, cestos de plástico e caixas de lagostins de uma estação para outra. A movimentação entre as estações é feita a pé, seja carregando o produto diretamente ou empilhando sacos/caixas em um carrinho de mão ou carrinho de transporte e empurrando-os manualmente pelo chão da fábrica. A função de carga e descarga de caminhões refere-se ao recebimento manual de entregas de lagostins/frutos do mar crus e ao carregamento manual do produto acabado e embalado em caminhões de saída. Ao descarregar, o trabalhador remove manualmente sacos, cestos, caixas e recipientes do veículo de entrega e os transfere para a área de recebimento ou lavagem, seja carregando-os diretamente ou utilizando um carrinho de mão/carrinho de transporte. Durante o carregamento, o trabalhador empilha manualmente sacos, caixas e produtos paletizados na carroceria do caminhão. Todo o levantamento, transporte, empilhamento e fixação são realizados manualmente; o trabalhador não opera empilhadeiras ou qualquer outro equipamento motorizado para movimentação de materiais. Ferramentas, equipamentos e materiais utilizados: carrinhos de mão de duas rodas, carrinhos manuais de quatro rodas com plataforma, paleteiras manuais (sem motor, acionadas por bomba manual), paletes, pás e conchas de plástico, sacos de malha, cestos/caixas/recipientes de plástico, caixas e luvas impermeáveis. A limpeza e a manutenção mencionadas consistem na higienização de rotina e na manutenção básica, não especializada, inerente às principais funções de movimentação de materiais do trabalhador, realizadas ao final de cada turno e ao longo do dia de trabalho, conforme necessário. As tarefas de limpeza incluem lavar, enxaguar, esfregar e higienizar superfícies de trabalho, mesas de aço inoxidável e recipientes, caixas, cestos e tanques usados ​​para armazenar e lavar caranguejos, camarões ou lagostins; As tarefas incluem a limpeza de cascas, detritos e resíduos orgânicos das estações de trabalho e pisos; varrição e lavagem de pisos e limpeza de ralos; e esvaziamento e forro de recipientes de lixo e descarte de resíduos de processamento em recipientes designados. As tarefas de manutenção se limitam a limpar e remover resíduos e detritos da área de trabalho, verificar se os tanques de lavagem, cestos, mangueiras e recipientes estão limpos e desobstruídos, reabastecer gelo e suprimentos de limpeza nas estações de trabalho e relatar qualquer mau funcionamento do equipamento a um supervisor para manutenção; o trabalhador não realizará reparos mecânicos ou manutenção de qualquer equipamento. Para realizar essas tarefas, o trabalhador utiliza ferramentas e suprimentos de limpeza padrão, incluindo mangueiras de água e bicos de pulverização, escovas, pás, vassouras, esfregões, rodos, baldes, detergentes de grau alimentício e soluções sanitizantes, raspadores e pás para gelo e detritos, recipientes de lixo e equipamentos de proteção individual, como luvas impermeáveis, aventais e botas. ***Original*** As funções podem incluir: remover a cabeça do camarão; remover a veia do camarão; Limpar caranguejos – remover a casca para limpeza; lavar frutos do mar; selecionar/remover lixo/matéria estranha; examinar o produto para atender às especificações; movimentar lagostins; pesar e etiquetar lagostins; paletizar lagostins; lavar, classificar e separar lagostins; carregar e descarregar caminhões; ensacar frutos do mar; congelar lagostins/frutos do mar; limpeza e manutenção diárias do local de trabalho e equipamentos. Classificação da função: 53-7062.00 - Operários e Movimentadores de Carga, Estoque e Materiais. A classificação e descrição da função/setor inclui informações gerais sobre o cargo, de acordo com o ONET/OES e o Sistema de Classificação Industrial da América do Norte. Consulte as Funções e a Ordem de Serviço para obter mais informações. Requisitos da vaga: Experiência exigida: Sim. Meses de experiência exigidos: 3. Requisitos especiais: Deve ser capaz de levantar/carregar até 23 kg. Teste de drogas obrigatório para trabalhadores estrangeiros e nacionais após a contratação, aleatoriamente, por suspeita e após acidentes, sem custo para os trabalhadores. A reprovação no teste de drogas resultará em demissão por justa causa. Este é um ambiente de trabalho livre de drogas. A carga horária pode incluir horas extras. Todos os candidatos devem ser capazes, estar dispostos e qualificados para executar o trabalho descrito e devem estar disponíveis durante todo o período especificado. Número de horas por semana: 35. Horário de trabalho (início/término): 17h às 7h.</v>
      </c>
    </row>
    <row r="760" ht="20.25" customHeight="1">
      <c r="A760" s="3" t="s">
        <v>3553</v>
      </c>
      <c r="B760" s="3" t="s">
        <v>3554</v>
      </c>
      <c r="C760" s="3" t="s">
        <v>2263</v>
      </c>
      <c r="D760" s="3" t="s">
        <v>126</v>
      </c>
      <c r="E760" s="4" t="s">
        <v>44</v>
      </c>
      <c r="F760" s="4" t="s">
        <v>20</v>
      </c>
      <c r="G760" s="4" t="s">
        <v>524</v>
      </c>
      <c r="H760" s="3" t="s">
        <v>3555</v>
      </c>
      <c r="I760" s="3" t="s">
        <v>3556</v>
      </c>
      <c r="J760" s="4">
        <v>32.37</v>
      </c>
      <c r="K760" s="4">
        <v>17.0</v>
      </c>
      <c r="L760" s="3" t="s">
        <v>3557</v>
      </c>
      <c r="M760" s="3" t="s">
        <v>3558</v>
      </c>
      <c r="N760" s="7" t="str">
        <f>IFERROR(__xludf.DUMMYFUNCTION("GOOGLETRANSLATE(L760, ""en"", ""pt"")"),"Ajudantes - pedreiros e assentadores de azulejos")</f>
        <v>Ajudantes - pedreiros e assentadores de azulejos</v>
      </c>
      <c r="O760" s="7" t="str">
        <f>IFERROR(__xludf.DUMMYFUNCTION("IF(M760="""","""",GOOGLETRANSLATE(M760,""en"",""pt""))"),"Remover neve de calçadas, entradas de garagem ou estacionamentos, utilizando limpa-neves, sopradores de neve ou pás de neve, ou espalhar produtos químicos para derreter a neve. Remover neve com pá. Remediar gelo utilizando areia e cloreto de magnésio. Ope"&amp;"rar sopradores de neve. Remover depósitos acumulados de neve de forma contínua em condições climáticas extremas em diversas propriedades comerciais, utilizando sopradores de neve elétricos ou a gasolina e pás de neve comerciais padrão. Não dirigir caminhã"&amp;"o limpa-neves. Carregar e descarregar materiais e equipamentos. Pode dirigir veículo da equipe. Não é exigida carteira de habilitação como condição de emprego para esta posição. Se o candidato já possuir uma carteira de habilitação padrão, não comercial, "&amp;"poderá ser solicitado a dirigir um veículo até os locais de trabalho, conforme necessário. Os trabalhadores também podem auxiliar em trabalhos internos quando o clima não permitir o trabalho na neve, incluindo as seguintes tarefas: Preparar superfícies in"&amp;"ternas e argamassa para assentar tijolos, blocos e/ou pedras. Assentar tijolos, blocos e/ou pedras e garantir que as ferramentas e equipamentos necessários estejam disponíveis. Manter o local de trabalho e a área de trabalho internos limpos, limpando toda"&amp;"s as ferramentas, equipamentos e materiais. Cortar materiais de construção, como travertino, azulejo cerâmico, azulejo de vidro, pedras ou outras substâncias. Preparar o local de trabalho e os materiais utilizando ferramentas como serra úmida, colheres de"&amp;" pedreiro e níveis de trânsito. Limpar as áreas de trabalho internas e os equipamentos para manter um ambiente interno limpo e livre de poeira. Classificação da função: 47-2021.00 - Pedreiros e Assentadores de Blocos. A classificação e a descrição da funç"&amp;"ão/setor incluem informações gerais sobre o cargo, de acordo com o ONET/OES e o Sistema de Classificação Industrial da América do Norte. Consulte as Funções e a Ordem de Serviço para obter mais informações. Requisitos da função: Experiência necessária: Nã"&amp;"o. Requisitos especiais: Ter 18 anos ou mais. Ser capaz de levantar e carregar 23 kg. Trabalho aos sábados e domingos, quando necessário. O horário de trabalho pode incluir noites e horas extras durante emergências e condições climáticas adversas. Ser cap"&amp;"az de realizar trabalho físico braçal ao ar livre em todas as condições climáticas. Testes de drogas pagos pelo empregador são obrigatórios para trabalhadores estrangeiros e nacionais após a contratação, aleatoriamente, em caso de suspeita de uso e após a"&amp;"cidentes. Número de horas por semana: 35 Horário de trabalho (início/término): 7h30 - 16h30")</f>
        <v>Remover neve de calçadas, entradas de garagem ou estacionamentos, utilizando limpa-neves, sopradores de neve ou pás de neve, ou espalhar produtos químicos para derreter a neve. Remover neve com pá. Remediar gelo utilizando areia e cloreto de magnésio. Operar sopradores de neve. Remover depósitos acumulados de neve de forma contínua em condições climáticas extremas em diversas propriedades comerciais, utilizando sopradores de neve elétricos ou a gasolina e pás de neve comerciais padrão. Não dirigir caminhão limpa-neves. Carregar e descarregar materiais e equipamentos. Pode dirigir veículo da equipe. Não é exigida carteira de habilitação como condição de emprego para esta posição. Se o candidato já possuir uma carteira de habilitação padrão, não comercial, poderá ser solicitado a dirigir um veículo até os locais de trabalho, conforme necessário. Os trabalhadores também podem auxiliar em trabalhos internos quando o clima não permitir o trabalho na neve, incluindo as seguintes tarefas: Preparar superfícies internas e argamassa para assentar tijolos, blocos e/ou pedras. Assentar tijolos, blocos e/ou pedras e garantir que as ferramentas e equipamentos necessários estejam disponíveis. Manter o local de trabalho e a área de trabalho internos limpos, limpando todas as ferramentas, equipamentos e materiais. Cortar materiais de construção, como travertino, azulejo cerâmico, azulejo de vidro, pedras ou outras substâncias. Preparar o local de trabalho e os materiais utilizando ferramentas como serra úmida, colheres de pedreiro e níveis de trânsito. Limpar as áreas de trabalho internas e os equipamentos para manter um ambiente interno limpo e livre de poeira. Classificação da função: 47-2021.00 - Pedreiros e Assentadores de Blocos. A classificação e a descrição da função/setor incluem informações gerais sobre o cargo, de acordo com o ONET/OES e o Sistema de Classificação Industrial da América do Norte. Consulte as Funções e a Ordem de Serviço para obter mais informações. Requisitos da função: Experiência necessária: Não. Requisitos especiais: Ter 18 anos ou mais. Ser capaz de levantar e carregar 23 kg. Trabalho aos sábados e domingos, quando necessário. O horário de trabalho pode incluir noites e horas extras durante emergências e condições climáticas adversas. Ser capaz de realizar trabalho físico braçal ao ar livre em todas as condições climáticas. Testes de drogas pagos pelo empregador são obrigatórios para trabalhadores estrangeiros e nacionais após a contratação, aleatoriamente, em caso de suspeita de uso e após acidentes. Número de horas por semana: 35 Horário de trabalho (início/término): 7h30 - 16h30</v>
      </c>
    </row>
    <row r="761" ht="20.25" customHeight="1">
      <c r="A761" s="8" t="s">
        <v>3559</v>
      </c>
      <c r="B761" s="8" t="s">
        <v>2390</v>
      </c>
      <c r="C761" s="8" t="s">
        <v>2391</v>
      </c>
      <c r="D761" s="8" t="s">
        <v>64</v>
      </c>
      <c r="E761" s="9" t="s">
        <v>19</v>
      </c>
      <c r="F761" s="9" t="s">
        <v>20</v>
      </c>
      <c r="G761" s="9" t="s">
        <v>1829</v>
      </c>
      <c r="H761" s="8" t="s">
        <v>2392</v>
      </c>
      <c r="I761" s="8" t="s">
        <v>2393</v>
      </c>
      <c r="J761" s="9">
        <v>23.31</v>
      </c>
      <c r="K761" s="9">
        <v>21.0</v>
      </c>
      <c r="L761" s="8" t="s">
        <v>2394</v>
      </c>
      <c r="M761" s="8" t="s">
        <v>3560</v>
      </c>
      <c r="N761" s="7" t="str">
        <f>IFERROR(__xludf.DUMMYFUNCTION("GOOGLETRANSLATE(L761, ""en"", ""pt"")"),"Trabalhador de Iluminação Natalina")</f>
        <v>Trabalhador de Iluminação Natalina</v>
      </c>
      <c r="O761" s="7" t="str">
        <f>IFERROR(__xludf.DUMMYFUNCTION("IF(M761="""","""",GOOGLETRANSLATE(M761,""en"",""pt""))"),"A vaga oferecida é para um auxiliar de iluminação natalina experiente, com no mínimo três meses de experiência na área. As responsabilidades incluem organizar e preparar o estoque de materiais de decoração natalina, instalar e/ou remover materiais dos loc"&amp;"ais de trabalho, carregar e descarregar materiais e prepará-los para armazenamento. É necessário ter capacidade para carregar e descarregar materiais e equipamentos que podem pesar até 23 kg. As exigências físicas descritas aqui são representativas daquel"&amp;"as que um empregador deve atender para desempenhar com sucesso as funções essenciais deste cargo. Classificação do Cargo: 49-9099.00 - Trabalhadores de Instalação, Manutenção e Reparo, Outros. A classificação e descrição do cargo/setor incluem informações"&amp;" gerais sobre a posição, de acordo com o ONET/OES e o Sistema de Classificação Industrial da América do Norte (NAICS). Consulte as Funções e a Ordem de Serviço para obter mais informações. Requisitos do Cargo Experiência Necessária: Sim Meses de Experiênc"&amp;"ia Necessários: 3 Requisitos Especiais: 3 meses de experiência prévia. Capacidade de levantar até 23 kg. Horas extras conforme necessário. Os turnos são das 8h às 17h e das 21h às 6h, de domingo a sábado. Os turnos serão atribuídos com base nas demandas d"&amp;"o projeto. Gostaríamos de esclarecer as informações do item F.a.5. Durante a semana de trabalho, que vai de domingo a sábado, os funcionários têm uma jornada de 40 horas semanais. O item F.a.5 não permite inserir essa jornada de trabalho. Se inserirmos 8 "&amp;"horas por dia, o sistema mostrará 56 horas semanais, o que não reflete com precisão a jornada de trabalho real. Número de horas por semana: 40. Horário de trabalho (início/término): 8h às 17h.")</f>
        <v>A vaga oferecida é para um auxiliar de iluminação natalina experiente, com no mínimo três meses de experiência na área. As responsabilidades incluem organizar e preparar o estoque de materiais de decoração natalina, instalar e/ou remover materiais dos locais de trabalho, carregar e descarregar materiais e prepará-los para armazenamento. É necessário ter capacidade para carregar e descarregar materiais e equipamentos que podem pesar até 23 kg. As exigências físicas descritas aqui são representativas daquelas que um empregador deve atender para desempenhar com sucesso as funções essenciais deste cargo. Classificação do Cargo: 49-9099.00 - Trabalhadores de Instalação, Manutenção e Reparo, Outros. A classificação e descrição do cargo/setor incluem informações gerais sobre a posição, de acordo com o ONET/OES e o Sistema de Classificação Industrial da América do Norte (NAICS). Consulte as Funções e a Ordem de Serviço para obter mais informações. Requisitos do Cargo Experiência Necessária: Sim Meses de Experiência Necessários: 3 Requisitos Especiais: 3 meses de experiência prévia. Capacidade de levantar até 23 kg. Horas extras conforme necessário. Os turnos são das 8h às 17h e das 21h às 6h, de domingo a sábado. Os turnos serão atribuídos com base nas demandas do projeto. Gostaríamos de esclarecer as informações do item F.a.5. Durante a semana de trabalho, que vai de domingo a sábado, os funcionários têm uma jornada de 40 horas semanais. O item F.a.5 não permite inserir essa jornada de trabalho. Se inserirmos 8 horas por dia, o sistema mostrará 56 horas semanais, o que não reflete com precisão a jornada de trabalho real. Número de horas por semana: 40. Horário de trabalho (início/término): 8h às 17h.</v>
      </c>
    </row>
    <row r="762" ht="20.25" customHeight="1">
      <c r="A762" s="3" t="s">
        <v>3561</v>
      </c>
      <c r="B762" s="3" t="s">
        <v>2390</v>
      </c>
      <c r="C762" s="3" t="s">
        <v>2391</v>
      </c>
      <c r="D762" s="3" t="s">
        <v>64</v>
      </c>
      <c r="E762" s="4" t="s">
        <v>19</v>
      </c>
      <c r="F762" s="4" t="s">
        <v>20</v>
      </c>
      <c r="G762" s="4" t="s">
        <v>1829</v>
      </c>
      <c r="H762" s="3" t="s">
        <v>2392</v>
      </c>
      <c r="I762" s="3" t="s">
        <v>2393</v>
      </c>
      <c r="J762" s="4">
        <v>19.29</v>
      </c>
      <c r="K762" s="4">
        <v>8.0</v>
      </c>
      <c r="L762" s="3" t="s">
        <v>2394</v>
      </c>
      <c r="M762" s="3" t="s">
        <v>2783</v>
      </c>
      <c r="N762" s="7" t="str">
        <f>IFERROR(__xludf.DUMMYFUNCTION("GOOGLETRANSLATE(L762, ""en"", ""pt"")"),"Trabalhador de Iluminação Natalina")</f>
        <v>Trabalhador de Iluminação Natalina</v>
      </c>
      <c r="O762" s="7" t="str">
        <f>IFERROR(__xludf.DUMMYFUNCTION("IF(M762="""","""",GOOGLETRANSLATE(M762,""en"",""pt""))"),"A vaga oferecida é para um auxiliar de iluminação natalina experiente, com no mínimo três meses de experiência na área. As responsabilidades incluem organizar e preparar o estoque de materiais de decoração natalina, instalar e/ou remover materiais dos loc"&amp;"ais de trabalho, carregar e descarregar materiais e prepará-los para armazenamento. É necessário ter capacidade para carregar e descarregar materiais e equipamentos que podem pesar até 23 kg. As exigências físicas descritas aqui são representativas daquel"&amp;"as que um empregador deve atender para desempenhar com sucesso as funções essenciais deste cargo. Classificação do Cargo: 49-9099.00 - Trabalhadores de Instalação, Manutenção e Reparo, Outros. A classificação e descrição do cargo/setor incluem informações"&amp;" gerais sobre a posição, de acordo com o ONET/OES e o Sistema de Classificação Industrial da América do Norte (NAICS). Consulte as Funções e a Ordem de Serviço para obter mais informações. Requisitos do Cargo Experiência Necessária: Sim Meses de Experiênc"&amp;"ia Necessários: 3 Requisitos Especiais: 3 meses de experiência prévia. Capacidade de levantar até 23 kg. Horas extras conforme necessário. Os turnos são das 8h às 17h e das 21h às 6h, de domingo a sábado. Os turnos serão atribuídos com base nas demandas d"&amp;"o projeto. Gostaríamos de esclarecer as informações do item F.a.5. Durante a semana de trabalho, que vai de domingo a sábado, os funcionários têm uma jornada de 40 horas semanais. O item F.a.5 não permite inserir essa jornada de trabalho. Se inserirmos 8 "&amp;"horas por dia, o sistema mostrará 56 horas semanais, o que não reflete com precisão a jornada de trabalho real. Número de horas por semana: 40. Horário de trabalho (início/término): 8h às 17h.")</f>
        <v>A vaga oferecida é para um auxiliar de iluminação natalina experiente, com no mínimo três meses de experiência na área. As responsabilidades incluem organizar e preparar o estoque de materiais de decoração natalina, instalar e/ou remover materiais dos locais de trabalho, carregar e descarregar materiais e prepará-los para armazenamento. É necessário ter capacidade para carregar e descarregar materiais e equipamentos que podem pesar até 23 kg. As exigências físicas descritas aqui são representativas daquelas que um empregador deve atender para desempenhar com sucesso as funções essenciais deste cargo. Classificação do Cargo: 49-9099.00 - Trabalhadores de Instalação, Manutenção e Reparo, Outros. A classificação e descrição do cargo/setor incluem informações gerais sobre a posição, de acordo com o ONET/OES e o Sistema de Classificação Industrial da América do Norte (NAICS). Consulte as Funções e a Ordem de Serviço para obter mais informações. Requisitos do Cargo Experiência Necessária: Sim Meses de Experiência Necessários: 3 Requisitos Especiais: 3 meses de experiência prévia. Capacidade de levantar até 23 kg. Horas extras conforme necessário. Os turnos são das 8h às 17h e das 21h às 6h, de domingo a sábado. Os turnos serão atribuídos com base nas demandas do projeto. Gostaríamos de esclarecer as informações do item F.a.5. Durante a semana de trabalho, que vai de domingo a sábado, os funcionários têm uma jornada de 40 horas semanais. O item F.a.5 não permite inserir essa jornada de trabalho. Se inserirmos 8 horas por dia, o sistema mostrará 56 horas semanais, o que não reflete com precisão a jornada de trabalho real. Número de horas por semana: 40. Horário de trabalho (início/término): 8h às 17h.</v>
      </c>
    </row>
    <row r="763" ht="20.25" customHeight="1">
      <c r="A763" s="8" t="s">
        <v>3562</v>
      </c>
      <c r="B763" s="8" t="s">
        <v>2390</v>
      </c>
      <c r="C763" s="8" t="s">
        <v>2391</v>
      </c>
      <c r="D763" s="8" t="s">
        <v>64</v>
      </c>
      <c r="E763" s="9" t="s">
        <v>19</v>
      </c>
      <c r="F763" s="9" t="s">
        <v>20</v>
      </c>
      <c r="G763" s="9" t="s">
        <v>1829</v>
      </c>
      <c r="H763" s="8" t="s">
        <v>2392</v>
      </c>
      <c r="I763" s="8" t="s">
        <v>2393</v>
      </c>
      <c r="J763" s="9">
        <v>25.9</v>
      </c>
      <c r="K763" s="9">
        <v>1.0</v>
      </c>
      <c r="L763" s="8" t="s">
        <v>3563</v>
      </c>
      <c r="M763" s="8" t="s">
        <v>3564</v>
      </c>
      <c r="N763" s="7" t="str">
        <f>IFERROR(__xludf.DUMMYFUNCTION("GOOGLETRANSLATE(L763, ""en"", ""pt"")"),"Capataz")</f>
        <v>Capataz</v>
      </c>
      <c r="O763" s="7" t="str">
        <f>IFERROR(__xludf.DUMMYFUNCTION("IF(M763="""","""",GOOGLETRANSLATE(M763,""en"",""pt""))"),"Utiliza listas de verificação para projetos, garantindo que os materiais estejam disponíveis e prontos para serem carregados nos caminhões; assegura que os materiais, ferramentas, produtos, etc., atribuídos a projetos específicos sejam entregues no prazo;"&amp;" transporta materiais até os locais de trabalho; garante que os materiais sejam devolvidos, descarregados e armazenados corretamente no depósito. Requer aprendizado rápido, com capacidade de lidar com múltiplas tarefas simultaneamente, manter o foco e ada"&amp;"ptar-se a diversos desafios; capacidade de executar procedimentos detalhados em um ambiente com tempo limitado; boas habilidades de comunicação escrita e verbal; forte senso de organização e urgência; e capacidade de trabalhar de forma independente e em e"&amp;"quipe. Classificação da função: 53-1042.00 - Supervisores de Primeira Linha de Ajudantes, Operários e Movimentadores de Materiais. A classificação e descrição da função/setor inclui informações gerais sobre o cargo, de acordo com o ONET/OES e o Sistema de"&amp;" Classificação Industrial da América do Norte. Consulte as Funções e a Ordem de Serviço para obter mais informações. Requisitos da Vaga Experiência Necessária: Sim Meses de Experiência Necessários: 12 Requisitos Especiais: Necessário possuir carteira de h"&amp;"abilitação válida, 12 meses de experiência prévia, capacidade de levantar até 23 kg, disponibilidade para horas extras conforme necessário. Conhecimento básico do Pacote Office (Word, Excel, PowerPoint) ou Google Docs, Planilhas e Apresentações. Conhecime"&amp;"nto e experiência na operação de diversas ferramentas, incluindo escadas e algumas máquinas. Deve ser capaz de levantar e/ou mover objetos de até 4,5 kg, frequentemente levantar e/ou mover objetos de até 23 kg e ocasionalmente levantar e/ou mover objetos "&amp;"com mais de 45 kg. Os turnos são das 8h às 17h e das 21h às 6h, de domingo a sábado. Os turnos serão atribuídos de acordo com as demandas do projeto. Gostaríamos de esclarecer a informação referente ao item F.a.5. Durante a semana de trabalho, que vai de "&amp;"domingo a sábado, os funcionários têm uma jornada de 40 horas semanais. O item F.a.5 não nos permite inserir essa escala de trabalho. Se inserirmos 8 horas por dia, o sistema mostrará 56 horas por semana, o que não reflete com precisão a jornada de trabal"&amp;"ho. Número de horas por semana: 40. Horário de trabalho (início/término): 8h às 17h.")</f>
        <v>Utiliza listas de verificação para projetos, garantindo que os materiais estejam disponíveis e prontos para serem carregados nos caminhões; assegura que os materiais, ferramentas, produtos, etc., atribuídos a projetos específicos sejam entregues no prazo; transporta materiais até os locais de trabalho; garante que os materiais sejam devolvidos, descarregados e armazenados corretamente no depósito. Requer aprendizado rápido, com capacidade de lidar com múltiplas tarefas simultaneamente, manter o foco e adaptar-se a diversos desafios; capacidade de executar procedimentos detalhados em um ambiente com tempo limitado; boas habilidades de comunicação escrita e verbal; forte senso de organização e urgência; e capacidade de trabalhar de forma independente e em equipe. Classificação da função: 53-1042.00 - Supervisores de Primeira Linha de Ajudantes, Operários e Movimentadores de Materiais. A classificação e descrição da função/setor inclui informações gerais sobre o cargo, de acordo com o ONET/OES e o Sistema de Classificação Industrial da América do Norte. Consulte as Funções e a Ordem de Serviço para obter mais informações. Requisitos da Vaga Experiência Necessária: Sim Meses de Experiência Necessários: 12 Requisitos Especiais: Necessário possuir carteira de habilitação válida, 12 meses de experiência prévia, capacidade de levantar até 23 kg, disponibilidade para horas extras conforme necessário. Conhecimento básico do Pacote Office (Word, Excel, PowerPoint) ou Google Docs, Planilhas e Apresentações. Conhecimento e experiência na operação de diversas ferramentas, incluindo escadas e algumas máquinas. Deve ser capaz de levantar e/ou mover objetos de até 4,5 kg, frequentemente levantar e/ou mover objetos de até 23 kg e ocasionalmente levantar e/ou mover objetos com mais de 45 kg. Os turnos são das 8h às 17h e das 21h às 6h, de domingo a sábado. Os turnos serão atribuídos de acordo com as demandas do projeto. Gostaríamos de esclarecer a informação referente ao item F.a.5. Durante a semana de trabalho, que vai de domingo a sábado, os funcionários têm uma jornada de 40 horas semanais. O item F.a.5 não nos permite inserir essa escala de trabalho. Se inserirmos 8 horas por dia, o sistema mostrará 56 horas por semana, o que não reflete com precisão a jornada de trabalho. Número de horas por semana: 40. Horário de trabalho (início/término): 8h às 17h.</v>
      </c>
    </row>
    <row r="764" ht="20.25" customHeight="1">
      <c r="A764" s="3" t="s">
        <v>3565</v>
      </c>
      <c r="B764" s="3" t="s">
        <v>2390</v>
      </c>
      <c r="C764" s="3" t="s">
        <v>2391</v>
      </c>
      <c r="D764" s="3" t="s">
        <v>64</v>
      </c>
      <c r="E764" s="4" t="s">
        <v>44</v>
      </c>
      <c r="F764" s="4" t="s">
        <v>20</v>
      </c>
      <c r="G764" s="4" t="s">
        <v>1829</v>
      </c>
      <c r="H764" s="3" t="s">
        <v>2392</v>
      </c>
      <c r="I764" s="3" t="s">
        <v>2393</v>
      </c>
      <c r="J764" s="4">
        <v>23.16</v>
      </c>
      <c r="K764" s="4">
        <v>19.0</v>
      </c>
      <c r="L764" s="3" t="s">
        <v>2394</v>
      </c>
      <c r="M764" s="3" t="s">
        <v>2783</v>
      </c>
      <c r="N764" s="7" t="str">
        <f>IFERROR(__xludf.DUMMYFUNCTION("GOOGLETRANSLATE(L764, ""en"", ""pt"")"),"Trabalhador de Iluminação Natalina")</f>
        <v>Trabalhador de Iluminação Natalina</v>
      </c>
      <c r="O764" s="7" t="str">
        <f>IFERROR(__xludf.DUMMYFUNCTION("IF(M764="""","""",GOOGLETRANSLATE(M764,""en"",""pt""))"),"A vaga oferecida é para um auxiliar de iluminação natalina experiente, com no mínimo três meses de experiência na área. As responsabilidades incluem organizar e preparar o estoque de materiais de decoração natalina, instalar e/ou remover materiais dos loc"&amp;"ais de trabalho, carregar e descarregar materiais e prepará-los para armazenamento. É necessário ter capacidade para carregar e descarregar materiais e equipamentos que podem pesar até 23 kg. As exigências físicas descritas aqui são representativas daquel"&amp;"as que um empregador deve atender para desempenhar com sucesso as funções essenciais deste cargo. Classificação do Cargo: 49-9099.00 - Trabalhadores de Instalação, Manutenção e Reparo, Outros. A classificação e descrição do cargo/setor incluem informações"&amp;" gerais sobre a posição, de acordo com o ONET/OES e o Sistema de Classificação Industrial da América do Norte (NAICS). Consulte as Funções e a Ordem de Serviço para obter mais informações. Requisitos do Cargo Experiência Necessária: Sim Meses de Experiênc"&amp;"ia Necessários: 3 Requisitos Especiais: 3 meses de experiência prévia. Capacidade de levantar até 23 kg. Horas extras conforme necessário. Os turnos são das 8h às 17h e das 21h às 6h, de domingo a sábado. Os turnos serão atribuídos com base nas demandas d"&amp;"o projeto. Gostaríamos de esclarecer as informações do item F.a.5. Durante a semana de trabalho, que vai de domingo a sábado, os funcionários têm uma jornada de 40 horas semanais. O item F.a.5 não permite inserir essa jornada de trabalho. Se inserirmos 8 "&amp;"horas por dia, o sistema mostrará 56 horas semanais, o que não reflete com precisão a jornada de trabalho real. Número de horas por semana: 40. Horário de trabalho (início/término): 8h às 17h.")</f>
        <v>A vaga oferecida é para um auxiliar de iluminação natalina experiente, com no mínimo três meses de experiência na área. As responsabilidades incluem organizar e preparar o estoque de materiais de decoração natalina, instalar e/ou remover materiais dos locais de trabalho, carregar e descarregar materiais e prepará-los para armazenamento. É necessário ter capacidade para carregar e descarregar materiais e equipamentos que podem pesar até 23 kg. As exigências físicas descritas aqui são representativas daquelas que um empregador deve atender para desempenhar com sucesso as funções essenciais deste cargo. Classificação do Cargo: 49-9099.00 - Trabalhadores de Instalação, Manutenção e Reparo, Outros. A classificação e descrição do cargo/setor incluem informações gerais sobre a posição, de acordo com o ONET/OES e o Sistema de Classificação Industrial da América do Norte (NAICS). Consulte as Funções e a Ordem de Serviço para obter mais informações. Requisitos do Cargo Experiência Necessária: Sim Meses de Experiência Necessários: 3 Requisitos Especiais: 3 meses de experiência prévia. Capacidade de levantar até 23 kg. Horas extras conforme necessário. Os turnos são das 8h às 17h e das 21h às 6h, de domingo a sábado. Os turnos serão atribuídos com base nas demandas do projeto. Gostaríamos de esclarecer as informações do item F.a.5. Durante a semana de trabalho, que vai de domingo a sábado, os funcionários têm uma jornada de 40 horas semanais. O item F.a.5 não permite inserir essa jornada de trabalho. Se inserirmos 8 horas por dia, o sistema mostrará 56 horas semanais, o que não reflete com precisão a jornada de trabalho real. Número de horas por semana: 40. Horário de trabalho (início/término): 8h às 17h.</v>
      </c>
    </row>
    <row r="765" ht="20.25" customHeight="1">
      <c r="A765" s="8" t="s">
        <v>3566</v>
      </c>
      <c r="B765" s="8" t="s">
        <v>2390</v>
      </c>
      <c r="C765" s="8" t="s">
        <v>2391</v>
      </c>
      <c r="D765" s="8" t="s">
        <v>64</v>
      </c>
      <c r="E765" s="9" t="s">
        <v>44</v>
      </c>
      <c r="F765" s="9" t="s">
        <v>20</v>
      </c>
      <c r="G765" s="9" t="s">
        <v>1829</v>
      </c>
      <c r="H765" s="8" t="s">
        <v>2392</v>
      </c>
      <c r="I765" s="8" t="s">
        <v>2393</v>
      </c>
      <c r="J765" s="9">
        <v>24.48</v>
      </c>
      <c r="K765" s="9">
        <v>10.0</v>
      </c>
      <c r="L765" s="8" t="s">
        <v>2394</v>
      </c>
      <c r="M765" s="8" t="s">
        <v>2783</v>
      </c>
      <c r="N765" s="7" t="str">
        <f>IFERROR(__xludf.DUMMYFUNCTION("GOOGLETRANSLATE(L765, ""en"", ""pt"")"),"Trabalhador de Iluminação Natalina")</f>
        <v>Trabalhador de Iluminação Natalina</v>
      </c>
      <c r="O765" s="7" t="str">
        <f>IFERROR(__xludf.DUMMYFUNCTION("IF(M765="""","""",GOOGLETRANSLATE(M765,""en"",""pt""))"),"A vaga oferecida é para um auxiliar de iluminação natalina experiente, com no mínimo três meses de experiência na área. As responsabilidades incluem organizar e preparar o estoque de materiais de decoração natalina, instalar e/ou remover materiais dos loc"&amp;"ais de trabalho, carregar e descarregar materiais e prepará-los para armazenamento. É necessário ter capacidade para carregar e descarregar materiais e equipamentos que podem pesar até 23 kg. As exigências físicas descritas aqui são representativas daquel"&amp;"as que um empregador deve atender para desempenhar com sucesso as funções essenciais deste cargo. Classificação do Cargo: 49-9099.00 - Trabalhadores de Instalação, Manutenção e Reparo, Outros. A classificação e descrição do cargo/setor incluem informações"&amp;" gerais sobre a posição, de acordo com o ONET/OES e o Sistema de Classificação Industrial da América do Norte (NAICS). Consulte as Funções e a Ordem de Serviço para obter mais informações. Requisitos do Cargo Experiência Necessária: Sim Meses de Experiênc"&amp;"ia Necessários: 3 Requisitos Especiais: 3 meses de experiência prévia. Capacidade de levantar até 23 kg. Horas extras conforme necessário. Os turnos são das 8h às 17h e das 21h às 6h, de domingo a sábado. Os turnos serão atribuídos com base nas demandas d"&amp;"o projeto. Gostaríamos de esclarecer as informações do item F.a.5. Durante a semana de trabalho, que vai de domingo a sábado, os funcionários têm uma jornada de 40 horas semanais. O item F.a.5 não permite inserir essa jornada de trabalho. Se inserirmos 8 "&amp;"horas por dia, o sistema mostrará 56 horas semanais, o que não reflete com precisão a jornada de trabalho real. Número de horas por semana: 40. Horário de trabalho (início/término): 8h às 17h.")</f>
        <v>A vaga oferecida é para um auxiliar de iluminação natalina experiente, com no mínimo três meses de experiência na área. As responsabilidades incluem organizar e preparar o estoque de materiais de decoração natalina, instalar e/ou remover materiais dos locais de trabalho, carregar e descarregar materiais e prepará-los para armazenamento. É necessário ter capacidade para carregar e descarregar materiais e equipamentos que podem pesar até 23 kg. As exigências físicas descritas aqui são representativas daquelas que um empregador deve atender para desempenhar com sucesso as funções essenciais deste cargo. Classificação do Cargo: 49-9099.00 - Trabalhadores de Instalação, Manutenção e Reparo, Outros. A classificação e descrição do cargo/setor incluem informações gerais sobre a posição, de acordo com o ONET/OES e o Sistema de Classificação Industrial da América do Norte (NAICS). Consulte as Funções e a Ordem de Serviço para obter mais informações. Requisitos do Cargo Experiência Necessária: Sim Meses de Experiência Necessários: 3 Requisitos Especiais: 3 meses de experiência prévia. Capacidade de levantar até 23 kg. Horas extras conforme necessário. Os turnos são das 8h às 17h e das 21h às 6h, de domingo a sábado. Os turnos serão atribuídos com base nas demandas do projeto. Gostaríamos de esclarecer as informações do item F.a.5. Durante a semana de trabalho, que vai de domingo a sábado, os funcionários têm uma jornada de 40 horas semanais. O item F.a.5 não permite inserir essa jornada de trabalho. Se inserirmos 8 horas por dia, o sistema mostrará 56 horas semanais, o que não reflete com precisão a jornada de trabalho real. Número de horas por semana: 40. Horário de trabalho (início/término): 8h às 17h.</v>
      </c>
    </row>
    <row r="766" ht="20.25" customHeight="1">
      <c r="A766" s="3" t="s">
        <v>3567</v>
      </c>
      <c r="B766" s="3" t="s">
        <v>3568</v>
      </c>
      <c r="C766" s="3" t="s">
        <v>2263</v>
      </c>
      <c r="D766" s="3" t="s">
        <v>133</v>
      </c>
      <c r="E766" s="4" t="s">
        <v>44</v>
      </c>
      <c r="F766" s="4" t="s">
        <v>20</v>
      </c>
      <c r="G766" s="4" t="s">
        <v>1441</v>
      </c>
      <c r="H766" s="3" t="s">
        <v>3569</v>
      </c>
      <c r="I766" s="3" t="s">
        <v>3570</v>
      </c>
      <c r="J766" s="4">
        <v>23.52</v>
      </c>
      <c r="K766" s="4">
        <v>25.0</v>
      </c>
      <c r="L766" s="3" t="s">
        <v>3571</v>
      </c>
      <c r="M766" s="3" t="s">
        <v>3572</v>
      </c>
      <c r="N766" s="7" t="str">
        <f>IFERROR(__xludf.DUMMYFUNCTION("GOOGLETRANSLATE(L766, ""en"", ""pt"")"),"Associado de entrega")</f>
        <v>Associado de entrega</v>
      </c>
      <c r="O766" s="7" t="str">
        <f>IFERROR(__xludf.DUMMYFUNCTION("IF(M766="""","""",GOOGLETRANSLATE(M766,""en"",""pt""))"),"Carregar vans e entregar encomendas em residências e empresas. Praticar direção segura. Interagir com os clientes. Manter o veículo de entrega limpo, abastecido e em boas condições de funcionamento. Realizar inspeções na van no início e no final do turno."&amp;" Transportar caixas de até 32 kg. Utilizar tecnologia portátil para entregar encomendas e gerenciar o progresso. A HORÁRIO PODE INCLUIR HORAS EXTRAS DURANTE A ALTA TEMPORADA. É necessário manter o veículo de entrega limpo, abastecido e em boas condições d"&amp;"e funcionamento em todos os momentos. É necessário conseguir entrar e sair da van com facilidade e realizar a inspeção da van no início e no final do turno. Classificação da vaga: 53-3033.00 - Motoristas de Caminhão Leve. A classificação e descrição da va"&amp;"ga/setor incluem informações gerais sobre o cargo, de acordo com o ONET/OES e o Sistema de Classificação Industrial da América do Norte. Consulte as Funções e a Ordem de Serviço para obter mais informações. Requisitos da vaga: Experiência necessária: Não."&amp;" Requisitos especiais: Deve possuir carteira de habilitação não comercial válida nos EUA ou estar apto a obtê-la nos EUA em até 15 dias. É necessário ter mais de 21 anos. Deve ser capaz de levantar/carregar até 32 kg, quando necessário. Deve possuir carte"&amp;"ira de habilitação não comercial válida nos EUA ou estar apto a obtê-la nos EUA (CNH comercial NÃO EXIGIDA) em até 15 dias. Trabalho aos sábados e domingos, quando necessário. Verificação de antecedentes e histórico de direção podem ser exigidos de trabal"&amp;"hadores estrangeiros e nacionais antes da contratação, sem custo para o trabalhador. Teste de drogas é obrigatório para trabalhadores estrangeiros e nacionais antes do início do trabalho e após a contratação, em caso de acidente, sem custo para os trabalh"&amp;"adores. A jornada de trabalho pode incluir horas extras durante a alta temporada. Número de horas por semana: 35. Horário de trabalho (início/término): 10h às 20h30.")</f>
        <v>Carregar vans e entregar encomendas em residências e empresas. Praticar direção segura. Interagir com os clientes. Manter o veículo de entrega limpo, abastecido e em boas condições de funcionamento. Realizar inspeções na van no início e no final do turno. Transportar caixas de até 32 kg. Utilizar tecnologia portátil para entregar encomendas e gerenciar o progresso. A HORÁRIO PODE INCLUIR HORAS EXTRAS DURANTE A ALTA TEMPORADA. É necessário manter o veículo de entrega limpo, abastecido e em boas condições de funcionamento em todos os momentos. É necessário conseguir entrar e sair da van com facilidade e realizar a inspeção da van no início e no final do turno. Classificação da vaga: 53-3033.00 - Motoristas de Caminhão Leve. A classificação e descrição da vaga/setor incluem informações gerais sobre o cargo, de acordo com o ONET/OES e o Sistema de Classificação Industrial da América do Norte. Consulte as Funções e a Ordem de Serviço para obter mais informações. Requisitos da vaga: Experiência necessária: Não. Requisitos especiais: Deve possuir carteira de habilitação não comercial válida nos EUA ou estar apto a obtê-la nos EUA em até 15 dias. É necessário ter mais de 21 anos. Deve ser capaz de levantar/carregar até 32 kg, quando necessário. Deve possuir carteira de habilitação não comercial válida nos EUA ou estar apto a obtê-la nos EUA (CNH comercial NÃO EXIGIDA) em até 15 dias. Trabalho aos sábados e domingos, quando necessário. Verificação de antecedentes e histórico de direção podem ser exigidos de trabalhadores estrangeiros e nacionais antes da contratação, sem custo para o trabalhador. Teste de drogas é obrigatório para trabalhadores estrangeiros e nacionais antes do início do trabalho e após a contratação, em caso de acidente, sem custo para os trabalhadores. A jornada de trabalho pode incluir horas extras durante a alta temporada. Número de horas por semana: 35. Horário de trabalho (início/término): 10h às 20h30.</v>
      </c>
    </row>
    <row r="767" ht="20.25" customHeight="1">
      <c r="A767" s="8" t="s">
        <v>3573</v>
      </c>
      <c r="B767" s="8" t="s">
        <v>3574</v>
      </c>
      <c r="C767" s="8" t="s">
        <v>116</v>
      </c>
      <c r="D767" s="8" t="s">
        <v>87</v>
      </c>
      <c r="E767" s="9" t="s">
        <v>44</v>
      </c>
      <c r="F767" s="9" t="s">
        <v>20</v>
      </c>
      <c r="G767" s="9" t="s">
        <v>377</v>
      </c>
      <c r="H767" s="8" t="s">
        <v>3575</v>
      </c>
      <c r="I767" s="8" t="s">
        <v>3576</v>
      </c>
      <c r="J767" s="9">
        <v>18.7</v>
      </c>
      <c r="K767" s="9">
        <v>2.0</v>
      </c>
      <c r="L767" s="8" t="s">
        <v>3577</v>
      </c>
      <c r="M767" s="8" t="s">
        <v>3578</v>
      </c>
      <c r="N767" s="7" t="str">
        <f>IFERROR(__xludf.DUMMYFUNCTION("GOOGLETRANSLATE(L767, ""en"", ""pt"")"),"Auxiliares - Trabalhadores de Manutenção e Reparo")</f>
        <v>Auxiliares - Trabalhadores de Manutenção e Reparo</v>
      </c>
      <c r="O767" s="7" t="str">
        <f>IFERROR(__xludf.DUMMYFUNCTION("IF(M767="""","""",GOOGLETRANSLATE(M767,""en"",""pt""))"),"As funções podem incluir: Auxiliar mecânicos experientes e pessoal de manutenção na revisão e conservação de reboques e equipamentos relacionados. As tarefas incluem trocar pneus, verificar e reparar as luzes dos reboques e realizar serviços de rotina nos"&amp;" equipamentos. Os funcionários também são responsáveis ​​por abastecer os equipamentos, movê-los para o próximo local de trabalho conforme instruções e manter a oficina limpa e organizada. Esta é uma função de auxiliar, desempenhada sob a supervisão de me"&amp;"cânicos qualificados e outros auxiliares de manutenção e reparo, conforme SOC/OES 49-9098 (onetonline.org). Horário padrão/esperado: Segunda a sexta, das 8h às 17h. Oferecemos mais de 40 horas semanais, sem incluir almoço e/ou intervalos. Possibilidade de"&amp;" trabalho nos fins de semana e feriados. Os horários de início e término, a carga horária e/ou horas extras podem variar, pois dependem de fatores como projetos/cronograma/necessidades de serviço, condições climáticas e tempo de deslocamento entre os loca"&amp;"is de trabalho (se aplicável). Horas extras são possíveis, mas não obrigatórias ou garantidas. A critério exclusivo do empregador: possíveis aumentos e/ou bônus com base em fatores individuais, como desempenho no trabalho ou habilidades (não garantidos). "&amp;"Classificação do Cargo: 49-9098.00 - Ajudantes - Trabalhadores de Instalação, Manutenção e Reparo. A classificação e descrição do cargo/setor inclui informações gerais sobre a posição, de acordo com o ONET/OES e o Sistema de Classificação Industrial da Am"&amp;"érica do Norte (NAICS). Consulte as Funções e a Ordem de Serviço para obter mais informações. Requisitos do Cargo Experiência Necessária: Não. Requisitos Especiais: É necessário ter 18 anos devido ao uso de equipamentos. É necessário apresentar comprovant"&amp;"e de autorização legal para trabalhar nos Estados Unidos. Ambiente de trabalho livre de drogas, álcool e tabaco. Executar atividades físicas, como levantar, equilibrar-se, caminhar, abaixar-se, manusear, posicionar, mover e manipular materiais, utilizando"&amp;" força estática para exercer força muscular máxima para levantar, empurrar, puxar e carregar objetos de até 23 kg. Todos os candidatos devem ser capazes, dispostos e qualificados para executar o trabalho descrito e devem estar disponíveis durante todo o p"&amp;"eríodo especificado e trabalhar em todas as áreas de atuação pretendidas. O trabalho é realizado ao ar livre, exposto às intempéries. O candidato deve ser capaz de realizar trabalhos fisicamente extenuantes por longos períodos, ocasionalmente em condições"&amp;" de calor ou frio extremos. As condições climáticas são variáveis; a carga horária pode sofrer alterações, com possibilidade de períodos de inatividade e/ou horas extras. Número de horas por semana: 40. Horário de trabalho (início/término): 8h às 17h.")</f>
        <v>As funções podem incluir: Auxiliar mecânicos experientes e pessoal de manutenção na revisão e conservação de reboques e equipamentos relacionados. As tarefas incluem trocar pneus, verificar e reparar as luzes dos reboques e realizar serviços de rotina nos equipamentos. Os funcionários também são responsáveis ​​por abastecer os equipamentos, movê-los para o próximo local de trabalho conforme instruções e manter a oficina limpa e organizada. Esta é uma função de auxiliar, desempenhada sob a supervisão de mecânicos qualificados e outros auxiliares de manutenção e reparo, conforme SOC/OES 49-9098 (onetonline.org). Horário padrão/esperado: Segunda a sexta, das 8h às 17h. Oferecemos mais de 40 horas semanais, sem incluir almoço e/ou intervalos. Possibilidade de trabalho nos fins de semana e feriados. Os horários de início e término, a carga horária e/ou horas extras podem variar, pois dependem de fatores como projetos/cronograma/necessidades de serviço, condições climáticas e tempo de deslocamento entre os locais de trabalho (se aplicável). Horas extras são possíveis, mas não obrigatórias ou garantidas. A critério exclusivo do empregador: possíveis aumentos e/ou bônus com base em fatores individuais, como desempenho no trabalho ou habilidades (não garantidos). Classificação do Cargo: 49-9098.00 - Ajudantes - Trabalhadores de Instalação, Manutenção e Reparo. A classificação e descrição do cargo/setor inclui informações gerais sobre a posição, de acordo com o ONET/OES e o Sistema de Classificação Industrial da América do Norte (NAICS). Consulte as Funções e a Ordem de Serviço para obter mais informações. Requisitos do Cargo Experiência Necessária: Não. Requisitos Especiais: É necessário ter 18 anos devido ao uso de equipamentos. É necessário apresentar comprovante de autorização legal para trabalhar nos Estados Unidos. Ambiente de trabalho livre de drogas, álcool e tabaco. Executar atividades físicas, como levantar, equilibrar-se, caminhar, abaixar-se, manusear, posicionar, mover e manipular materiais, utilizando força estática para exercer força muscular máxima para levantar, empurrar, puxar e carregar objetos de até 23 kg. Todos os candidatos devem ser capazes, dispostos e qualificados para executar o trabalho descrito e devem estar disponíveis durante todo o período especificado e trabalhar em todas as áreas de atuação pretendidas. O trabalho é realizado ao ar livre, exposto às intempéries. O candidato deve ser capaz de realizar trabalhos fisicamente extenuantes por longos períodos, ocasionalmente em condições de calor ou frio extremos. As condições climáticas são variáveis; a carga horária pode sofrer alterações, com possibilidade de períodos de inatividade e/ou horas extras. Número de horas por semana: 40. Horário de trabalho (início/término): 8h às 17h.</v>
      </c>
    </row>
    <row r="768" ht="20.25" customHeight="1">
      <c r="A768" s="3" t="s">
        <v>3579</v>
      </c>
      <c r="B768" s="3" t="s">
        <v>3574</v>
      </c>
      <c r="C768" s="3" t="s">
        <v>116</v>
      </c>
      <c r="D768" s="3" t="s">
        <v>87</v>
      </c>
      <c r="E768" s="4" t="s">
        <v>44</v>
      </c>
      <c r="F768" s="4" t="s">
        <v>20</v>
      </c>
      <c r="G768" s="4" t="s">
        <v>377</v>
      </c>
      <c r="H768" s="3" t="s">
        <v>3575</v>
      </c>
      <c r="I768" s="3" t="s">
        <v>3576</v>
      </c>
      <c r="J768" s="4">
        <v>18.07</v>
      </c>
      <c r="K768" s="4">
        <v>200.0</v>
      </c>
      <c r="L768" s="3" t="s">
        <v>1325</v>
      </c>
      <c r="M768" s="3" t="s">
        <v>3580</v>
      </c>
      <c r="N768" s="7" t="str">
        <f>IFERROR(__xludf.DUMMYFUNCTION("GOOGLETRANSLATE(L768, ""en"", ""pt"")"),"Zelador/trabalhador braçal")</f>
        <v>Zelador/trabalhador braçal</v>
      </c>
      <c r="O768" s="7" t="str">
        <f>IFERROR(__xludf.DUMMYFUNCTION("IF(M768="""","""",GOOGLETRANSLATE(M768,""en"",""pt""))"),"As funções podem incluir: Sob supervisão, realizar trabalho braçal para coletar e enfardar palha de pinheiro utilizando ferramentas manuais como ancinhos, forcados, roçadeiras e pás. Enfardar a palha de pinheiro, amarrar os fardos, carregar e descarregar."&amp;" Rastelar a palha de pinheiro e alimentá-la em máquinas para produzir grandes fardos redondos. O tipo de propriedade onde o trabalhador realizará as tarefas consiste principalmente em terrenos privados utilizados para a coleta de palha de pinheiro. A palh"&amp;"a de pinheiro coletada será utilizada como cobertura vegetal e adubo para paisagismo. Como atividade secundária, realizar manutenção de rotina e pequenos reparos em ferramentas/equipamentos manuais, limpando, inspecionando e cuidando das ferramentas, além"&amp;" de notificar o supervisor/encarregado sobre o status ou antes de qualquer falha, e outras atividades relacionadas a jardineiro/trabalhador braçal, conforme SOC/OES 37-3011 (onetonline.org). Horário padrão/esperado: Segunda a sexta, das 8h às 17h. Oferece"&amp;"ndo mais de 40 horas semanais, sem incluir almoço e/ou intervalos. Possibilidade de trabalho aos fins de semana/feriados. Os horários de início e término, a carga horária oferecida e/ou as horas extras podem variar, pois dependem de fatores como necessida"&amp;"des do projeto/cronograma/serviço, condições climáticas e tempo de deslocamento entre os locais de trabalho (se aplicável). Horas extras são possíveis, mas não obrigatórias nem garantidas. A critério exclusivo do empregador: possíveis aumentos e/ou bônus "&amp;"com base em fatores individuais, como desempenho ou habilidade (não garantidos). Pagamento por produção: possível pagamento por produção dependendo do trabalho concluído - US$ 1,00 por fardo enfardado, US$ 0,20 por fardo carregado (o trabalhador nunca rec"&amp;"eberá menos do que o Salário Mínimo Vigente ou o salário mínimo federal/estadual/municipal). Classificação da vaga: 37-3011.00 - Trabalhadores de Paisagismo e Manutenção de Jardins. A classificação e a descrição da vaga/setor incluem informações gerais so"&amp;"bre o cargo, de acordo com o ONET/OES e o Sistema de Classificação Industrial da América do Norte. Consulte as Funções e a Ordem de Serviço para obter mais informações. Requisitos da vaga: Experiência necessária: Não. Requisitos especiais: É necessário te"&amp;"r 18 anos devido ao uso de equipamentos. É necessário apresentar comprovante de autorização legal para trabalhar nos Estados Unidos. Ambiente de trabalho livre de drogas, álcool e tabaco. Atividades físicas incluem levantar, equilibrar-se, caminhar, agach"&amp;"ar-se, manusear, posicionar, mover e manipular materiais, utilizando força estática para exercer força muscular máxima para levantar, empurrar, puxar e carregar objetos de até 23 kg. Todos os candidatos devem ser capazes, dispostos e qualificados para rea"&amp;"lizar o trabalho descrito e devem estar disponíveis durante todo o período especificado, trabalhando em todas as áreas da empresa. O trabalho é realizado ao ar livre, exposto às intempéries; o candidato deve ser capaz de realizar trabalho fisicamente exte"&amp;"nuante por longos períodos, ocasionalmente em calor ou frio extremos. Condições climáticas variáveis ​​se aplicam; a carga horária pode sofrer alterações (+/-), com possibilidade de períodos de inatividade e/ou horas extras. Número de horas por semana: 40"&amp;". Horário de trabalho (início/término): 8h às 17h.")</f>
        <v>As funções podem incluir: Sob supervisão, realizar trabalho braçal para coletar e enfardar palha de pinheiro utilizando ferramentas manuais como ancinhos, forcados, roçadeiras e pás. Enfardar a palha de pinheiro, amarrar os fardos, carregar e descarregar. Rastelar a palha de pinheiro e alimentá-la em máquinas para produzir grandes fardos redondos. O tipo de propriedade onde o trabalhador realizará as tarefas consiste principalmente em terrenos privados utilizados para a coleta de palha de pinheiro. A palha de pinheiro coletada será utilizada como cobertura vegetal e adubo para paisagismo. Como atividade secundária, realizar manutenção de rotina e pequenos reparos em ferramentas/equipamentos manuais, limpando, inspecionando e cuidando das ferramentas, além de notificar o supervisor/encarregado sobre o status ou antes de qualquer falha, e outras atividades relacionadas a jardineiro/trabalhador braçal, conforme SOC/OES 37-3011 (onetonline.org). Horário padrão/esperado: Segunda a sexta, das 8h às 17h. Oferecendo mais de 40 horas semanais, sem incluir almoço e/ou intervalos. Possibilidade de trabalho aos fins de semana/feriados. Os horários de início e término, a carga horária oferecida e/ou as horas extras podem variar, pois dependem de fatores como necessidades do projeto/cronograma/serviço, condições climáticas e tempo de deslocamento entre os locais de trabalho (se aplicável). Horas extras são possíveis, mas não obrigatórias nem garantidas. A critério exclusivo do empregador: possíveis aumentos e/ou bônus com base em fatores individuais, como desempenho ou habilidade (não garantidos). Pagamento por produção: possível pagamento por produção dependendo do trabalho concluído - US$ 1,00 por fardo enfardado, US$ 0,20 por fardo carregado (o trabalhador nunca receberá menos do que o Salário Mínimo Vigente ou o salário mínimo federal/estadual/municipal). Classificação da vaga: 37-3011.00 - Trabalhadores de Paisagismo e Manutenção de Jardins. A classificação e a descrição da vaga/setor incluem informações gerais sobre o cargo, de acordo com o ONET/OES e o Sistema de Classificação Industrial da América do Norte. Consulte as Funções e a Ordem de Serviço para obter mais informações. Requisitos da vaga: Experiência necessária: Não. Requisitos especiais: É necessário ter 18 anos devido ao uso de equipamentos. É necessário apresentar comprovante de autorização legal para trabalhar nos Estados Unidos. Ambiente de trabalho livre de drogas, álcool e tabaco. Atividades físicas incluem levantar, equilibrar-se, caminhar, agachar-se, manusear, posicionar, mover e manipular materiais, utilizando força estática para exercer força muscular máxima para levantar, empurrar, puxar e carregar objetos de até 23 kg. Todos os candidatos devem ser capazes, dispostos e qualificados para realizar o trabalho descrito e devem estar disponíveis durante todo o período especificado, trabalhando em todas as áreas da empresa. O trabalho é realizado ao ar livre, exposto às intempéries; o candidato deve ser capaz de realizar trabalho fisicamente extenuante por longos períodos, ocasionalmente em calor ou frio extremos. Condições climáticas variáveis ​​se aplicam; a carga horária pode sofrer alterações (+/-), com possibilidade de períodos de inatividade e/ou horas extras. Número de horas por semana: 40. Horário de trabalho (início/término): 8h às 17h.</v>
      </c>
    </row>
    <row r="769" ht="20.25" customHeight="1">
      <c r="A769" s="8" t="s">
        <v>3581</v>
      </c>
      <c r="B769" s="8" t="s">
        <v>3582</v>
      </c>
      <c r="C769" s="8" t="s">
        <v>3326</v>
      </c>
      <c r="D769" s="8" t="s">
        <v>249</v>
      </c>
      <c r="E769" s="9" t="s">
        <v>44</v>
      </c>
      <c r="F769" s="9" t="s">
        <v>20</v>
      </c>
      <c r="G769" s="9" t="s">
        <v>80</v>
      </c>
      <c r="H769" s="8" t="s">
        <v>3583</v>
      </c>
      <c r="I769" s="8" t="s">
        <v>3584</v>
      </c>
      <c r="J769" s="9">
        <v>19.22</v>
      </c>
      <c r="K769" s="9">
        <v>10.0</v>
      </c>
      <c r="L769" s="8" t="s">
        <v>59</v>
      </c>
      <c r="M769" s="8" t="s">
        <v>3585</v>
      </c>
      <c r="N769" s="7" t="str">
        <f>IFERROR(__xludf.DUMMYFUNCTION("GOOGLETRANSLATE(L769, ""en"", ""pt"")"),"Trabalhador de paisagismo")</f>
        <v>Trabalhador de paisagismo</v>
      </c>
      <c r="O769" s="7" t="str">
        <f>IFERROR(__xludf.DUMMYFUNCTION("IF(M769="""","""",GOOGLETRANSLATE(M769,""en"",""pt""))"),"As funções podem incluir: cuidar de gramados já estabelecidos, cortando, cobrindo com mulch, aerando, capinando, regando, rastelando, soprando folhas, removendo palha, aparando ou fazendo o acabamento ao redor de canteiros de flores, caminhos ou muros. Po"&amp;"dar ou aparar árvores e arbustos rente ao solo. Colocar grama em placas, preparar e cavar buracos para novas plantas, transportar terra vegetal ou outros materiais de paisagismo. Remover neve de calçadas, entradas de garagem e espalhar sal ou areia nessas"&amp;" áreas – usando uma pá de neve manual, vassoura, ancinho ou espalhador manual, conforme necessário. Limpar o terreno, remover lixo e outras atividades relacionadas a serviços de paisagismo, conforme SOC/OES 37-3011 (onetonline.org). Horário padrão/esperad"&amp;"o: segunda a sexta, das 7h às 16h. Oferecemos mais de 40 horas semanais, sem incluir almoço e/ou intervalos. Possibilidade de trabalho nos fins de semana e feriados. Os horários de início e término, a carga horária oferecida e/ou a possibilidade de horas "&amp;"extras podem variar, pois dependem de fatores como necessidades do projeto/cronograma/serviço, condições climáticas e tempo de deslocamento entre os locais de trabalho (se aplicável). Horas extras são possíveis, mas não obrigatórias nem garantidas. A crit"&amp;"ério exclusivo do empregador: aumentos salariais e/ou bônus podem ser concedidos com base em fatores individuais, como desempenho ou habilidades (não garantidos). Classificação da vaga: 37-3011.00 - Trabalhadores de Paisagismo e Manutenção de Áreas Verdes"&amp;". A classificação e a descrição da vaga/setor incluem informações gerais sobre o cargo, conforme o ONET/OES e o Sistema de Classificação Industrial da América do Norte (NAICS). Consulte as Funções e a Ordem de Serviço para obter mais informações. Requisit"&amp;"os da vaga: Experiência exigida: Não. Requisitos especiais: É necessário ter 18 anos ou mais devido a questões de seguro. É necessário apresentar comprovante de autorização legal para trabalhar nos Estados Unidos. Ambiente de trabalho livre de drogas, álc"&amp;"ool e tabaco. Executar atividades físicas, como levantar, equilibrar-se, caminhar, abaixar-se, manusear, posicionar, mover e manipular materiais; usar força estática para exercer força muscular máxima para levantar, empurrar, puxar e carregar objetos de a"&amp;"té 23 kg. Todos os candidatos devem ser capazes, dispostos e qualificados para executar o trabalho descrito e devem estar disponíveis durante todo o período especificado e trabalhar em todas as áreas da empresa. O trabalho é realizado ao ar livre, exposto"&amp;" às intempéries; o candidato deve ser capaz de realizar trabalho fisicamente extenuante por longos períodos, ocasionalmente em calor ou frio extremos. As condições climáticas são variáveis; a carga horária pode sofrer alterações (+/-), com possibilidade d"&amp;"e períodos de inatividade e/ou horas extras. Número de horas por semana: 40. Horário de trabalho (início/término): 7h às 16h.")</f>
        <v>As funções podem incluir: cuidar de gramados já estabelecidos, cortando, cobrindo com mulch, aerando, capinando, regando, rastelando, soprando folhas, removendo palha, aparando ou fazendo o acabamento ao redor de canteiros de flores, caminhos ou muros. Podar ou aparar árvores e arbustos rente ao solo. Colocar grama em placas, preparar e cavar buracos para novas plantas, transportar terra vegetal ou outros materiais de paisagismo. Remover neve de calçadas, entradas de garagem e espalhar sal ou areia nessas áreas – usando uma pá de neve manual, vassoura, ancinho ou espalhador manual, conforme necessário. Limpar o terreno, remover lixo e outras atividades relacionadas a serviços de paisagismo, conforme SOC/OES 37-3011 (onetonline.org). Horário padrão/esperado: segunda a sexta, das 7h às 16h. Oferecemos mais de 40 horas semanais, sem incluir almoço e/ou intervalos. Possibilidade de trabalho nos fins de semana e feriados. Os horários de início e término, a carga horária oferecida e/ou a possibilidade de horas extras podem variar, pois dependem de fatores como necessidades do projeto/cronograma/serviço, condições climáticas e tempo de deslocamento entre os locais de trabalho (se aplicável). Horas extras são possíveis, mas não obrigatórias nem garantidas. A critério exclusivo do empregador: aumentos salariais e/ou bônus podem ser concedidos com base em fatores individuais, como desempenho ou habilidades (não garantidos). Classificação da vaga: 37-3011.00 - Trabalhadores de Paisagismo e Manutenção de Áreas Verdes. A classificação e a descrição da vaga/setor incluem informações gerais sobre o cargo, conforme o ONET/OES e o Sistema de Classificação Industrial da América do Norte (NAICS). Consulte as Funções e a Ordem de Serviço para obter mais informações. Requisitos da vaga: Experiência exigida: Não. Requisitos especiais: É necessário ter 18 anos ou mais devido a questões de seguro. É necessário apresentar comprovante de autorização legal para trabalhar nos Estados Unidos. Ambiente de trabalho livre de drogas, álcool e tabaco. Executar atividades físicas, como levantar, equilibrar-se, caminhar, abaixar-se, manusear, posicionar, mover e manipular materiais; usar força estática para exercer força muscular máxima para levantar, empurrar, puxar e carregar objetos de até 23 kg. Todos os candidatos devem ser capazes, dispostos e qualificados para executar o trabalho descrito e devem estar disponíveis durante todo o período especificado e trabalhar em todas as áreas da empresa. O trabalho é realizado ao ar livre, exposto às intempéries; o candidato deve ser capaz de realizar trabalho fisicamente extenuante por longos períodos, ocasionalmente em calor ou frio extremos. As condições climáticas são variáveis; a carga horária pode sofrer alterações (+/-), com possibilidade de períodos de inatividade e/ou horas extras. Número de horas por semana: 40. Horário de trabalho (início/término): 7h às 16h.</v>
      </c>
    </row>
    <row r="770" ht="20.25" customHeight="1">
      <c r="A770" s="3" t="s">
        <v>3586</v>
      </c>
      <c r="B770" s="3" t="s">
        <v>3587</v>
      </c>
      <c r="C770" s="3" t="s">
        <v>3588</v>
      </c>
      <c r="D770" s="3" t="s">
        <v>64</v>
      </c>
      <c r="E770" s="4" t="s">
        <v>19</v>
      </c>
      <c r="F770" s="4" t="s">
        <v>20</v>
      </c>
      <c r="G770" s="4" t="s">
        <v>198</v>
      </c>
      <c r="H770" s="3" t="s">
        <v>3589</v>
      </c>
      <c r="I770" s="3" t="s">
        <v>3590</v>
      </c>
      <c r="J770" s="4">
        <v>18.8</v>
      </c>
      <c r="K770" s="4">
        <v>18.0</v>
      </c>
      <c r="L770" s="3" t="s">
        <v>3591</v>
      </c>
      <c r="M770" s="3" t="s">
        <v>3592</v>
      </c>
      <c r="N770" s="7" t="str">
        <f>IFERROR(__xludf.DUMMYFUNCTION("GOOGLETRANSLATE(L770, ""en"", ""pt"")"),"Trabalhador de fazenda de ostras")</f>
        <v>Trabalhador de fazenda de ostras</v>
      </c>
      <c r="O770" s="7" t="str">
        <f>IFERROR(__xludf.DUMMYFUNCTION("IF(M770="""","""",GOOGLETRANSLATE(M770,""en"",""pt""))"),"Executar trabalho braçal pesado em uma fazenda de ostras, incluindo limpeza, seleção de ostras por tamanho e qualidade e embalagem para envio. Trabalhar em condições climáticas úmidas e variáveis, permanecendo em pé por longos períodos. As tarefas incluem"&amp;" limpeza (utilizando mangueiras com água doce, lavadoras de alta pressão, vassouras e escovas para remover água salgada de cestos e baldes, e para limpar o piso e as paredes do barco; retoques de pintura com pincéis e aplicação de epóxi com fibra de vidro"&amp;") e reparo de equipamentos (consertar cestos danificados, afiar facas, substituir luvas desgastadas e possivelmente realizar outras tarefas simples com ferramentas manuais), controle de estoque, registro das quantidades diárias de colheita e auxílio no ca"&amp;"rregamento e transporte (utilizando guindastes com cordas e polias, carrinhos de mão, paleteiras e plataformas elevatórias em caminhões para movimentar a carga entre o barco e os caminhões no cais). Classificação da função: 45-2093.00 - Trabalhadores rura"&amp;"is, animais de fazenda, rancho e aquicultura. A classificação e descrição da função/indústria incluem informações gerais sobre o cargo, conforme o ONET/OES e o Sistema de Classificação Industrial da América do Norte. Consulte a descrição das funções e a o"&amp;"rdem de serviço para obter mais informações. Requisitos da vaga: Experiência necessária: Não. Número de horas por semana: 40. Horário de trabalho (início/término): 7h às 17h.")</f>
        <v>Executar trabalho braçal pesado em uma fazenda de ostras, incluindo limpeza, seleção de ostras por tamanho e qualidade e embalagem para envio. Trabalhar em condições climáticas úmidas e variáveis, permanecendo em pé por longos períodos. As tarefas incluem limpeza (utilizando mangueiras com água doce, lavadoras de alta pressão, vassouras e escovas para remover água salgada de cestos e baldes, e para limpar o piso e as paredes do barco; retoques de pintura com pincéis e aplicação de epóxi com fibra de vidro) e reparo de equipamentos (consertar cestos danificados, afiar facas, substituir luvas desgastadas e possivelmente realizar outras tarefas simples com ferramentas manuais), controle de estoque, registro das quantidades diárias de colheita e auxílio no carregamento e transporte (utilizando guindastes com cordas e polias, carrinhos de mão, paleteiras e plataformas elevatórias em caminhões para movimentar a carga entre o barco e os caminhões no cais). Classificação da função: 45-2093.00 - Trabalhadores rurais, animais de fazenda, rancho e aquicultura. A classificação e descrição da função/indústria incluem informações gerais sobre o cargo, conforme o ONET/OES e o Sistema de Classificação Industrial da América do Norte. Consulte a descrição das funções e a ordem de serviço para obter mais informações. Requisitos da vaga: Experiência necessária: Não. Número de horas por semana: 40. Horário de trabalho (início/término): 7h às 17h.</v>
      </c>
    </row>
    <row r="771" ht="20.25" customHeight="1">
      <c r="A771" s="8" t="s">
        <v>3593</v>
      </c>
      <c r="B771" s="8" t="s">
        <v>3594</v>
      </c>
      <c r="C771" s="8" t="s">
        <v>3326</v>
      </c>
      <c r="D771" s="8" t="s">
        <v>55</v>
      </c>
      <c r="E771" s="9" t="s">
        <v>44</v>
      </c>
      <c r="F771" s="9" t="s">
        <v>20</v>
      </c>
      <c r="G771" s="9" t="s">
        <v>467</v>
      </c>
      <c r="H771" s="8" t="s">
        <v>3595</v>
      </c>
      <c r="I771" s="8" t="s">
        <v>3596</v>
      </c>
      <c r="J771" s="9">
        <v>19.8</v>
      </c>
      <c r="K771" s="9">
        <v>10.0</v>
      </c>
      <c r="L771" s="8" t="s">
        <v>3597</v>
      </c>
      <c r="M771" s="8" t="s">
        <v>3598</v>
      </c>
      <c r="N771" s="7" t="str">
        <f>IFERROR(__xludf.DUMMYFUNCTION("GOOGLETRANSLATE(L771, ""en"", ""pt"")"),"Zeladores/Remoção de Neve")</f>
        <v>Zeladores/Remoção de Neve</v>
      </c>
      <c r="O771" s="7" t="str">
        <f>IFERROR(__xludf.DUMMYFUNCTION("IF(M771="""","""",GOOGLETRANSLATE(M771,""en"",""pt""))"),"As funções podem incluir: Sob supervisão direta, realizar serviços de jardinagem/manutenção de propriedades residenciais ou comerciais, incluindo: cortar grama, aplicar cobertura morta, aerar, capinar, regar, rastelar, varrer folhas, remover palha, aparar"&amp;" ou cortar a vegetação ao redor de canteiros de flores, calçadas ou muros. Podar ou aparar árvores e arbustos. Colocar grama em placas, cavar buracos para novas plantas, transportar terra vegetal ou outros materiais de paisagismo. Remover neve de calçadas"&amp;", entradas de garagem ou estacionamentos e espalhar sal nessas áreas. Limpar o terreno, remover lixo e outras atividades relacionadas a serviços de jardinagem, conforme SOC/OES 37-3011 (onetonline.org). Horário padrão/esperado: Segunda a sexta, das 7h às "&amp;"15h. Oferecemos 35 horas ou mais por semana, sem incluir almoço e/ou intervalos. Possibilidade de trabalho em fins de semana e feriados. Os horários de início e término, a carga horária oferecida e/ou a possibilidade de horas extras podem variar, pois dep"&amp;"endem de fatores como necessidades do projeto/cronograma/serviço, condições climáticas e tempo de deslocamento entre os locais de trabalho (se aplicável). Horas extras são possíveis, mas não obrigatórias nem garantidas. A critério exclusivo do empregador:"&amp;" aumentos salariais e/ou bônus podem ser concedidos com base em fatores individuais, como desempenho ou habilidades (não garantidos). Classificação da vaga: 37-3011.00 - Trabalhadores de Paisagismo e Manutenção de Áreas Verdes. A classificação e a descriç"&amp;"ão da vaga/setor incluem informações gerais sobre o cargo, conforme o ONET/OES e o Sistema de Classificação Industrial da América do Norte (NAICS). Consulte as Funções e a Ordem de Serviço para obter mais informações. Requisitos da vaga: Experiência exigi"&amp;"da: Não. Requisitos especiais: É necessário ter 18 anos ou mais devido a questões de seguro. É necessário apresentar comprovante de autorização legal para trabalhar nos Estados Unidos. Ambiente de trabalho livre de drogas, álcool e tabaco. Executar ativid"&amp;"ades físicas, como levantar, equilibrar-se, caminhar, abaixar-se, manusear, posicionar, mover e manipular materiais; usar força estática para exercer força muscular máxima para levantar, empurrar, puxar e carregar objetos de até 18 kg. Todos os candidatos"&amp;" devem ser capazes, dispostos e qualificados para executar o trabalho descrito e devem estar disponíveis durante todo o período especificado e trabalhar em todas as áreas da empresa. Possível verificação de antecedentes após a contratação, às custas do em"&amp;"pregador. O trabalho é realizado ao ar livre, exposto às intempéries; o candidato deve ser capaz de realizar trabalho fisicamente extenuante por longos períodos, ocasionalmente em calor ou frio extremos. Condições climáticas variáveis ​​se aplicam; a carg"&amp;"a horária pode sofrer alterações (+/-), com possibilidade de períodos de inatividade e/ou horas extras. Número de horas por semana: 35. Horário de trabalho (início/término): 7h às 15h.")</f>
        <v>As funções podem incluir: Sob supervisão direta, realizar serviços de jardinagem/manutenção de propriedades residenciais ou comerciais, incluindo: cortar grama, aplicar cobertura morta, aerar, capinar, regar, rastelar, varrer folhas, remover palha, aparar ou cortar a vegetação ao redor de canteiros de flores, calçadas ou muros. Podar ou aparar árvores e arbustos. Colocar grama em placas, cavar buracos para novas plantas, transportar terra vegetal ou outros materiais de paisagismo. Remover neve de calçadas, entradas de garagem ou estacionamentos e espalhar sal nessas áreas. Limpar o terreno, remover lixo e outras atividades relacionadas a serviços de jardinagem, conforme SOC/OES 37-3011 (onetonline.org). Horário padrão/esperado: Segunda a sexta, das 7h às 15h. Oferecemos 35 horas ou mais por semana, sem incluir almoço e/ou intervalos. Possibilidade de trabalho em fins de semana e feriados. Os horários de início e término, a carga horária oferecida e/ou a possibilidade de horas extras podem variar, pois dependem de fatores como necessidades do projeto/cronograma/serviço, condições climáticas e tempo de deslocamento entre os locais de trabalho (se aplicável). Horas extras são possíveis, mas não obrigatórias nem garantidas. A critério exclusivo do empregador: aumentos salariais e/ou bônus podem ser concedidos com base em fatores individuais, como desempenho ou habilidades (não garantidos). Classificação da vaga: 37-3011.00 - Trabalhadores de Paisagismo e Manutenção de Áreas Verdes. A classificação e a descrição da vaga/setor incluem informações gerais sobre o cargo, conforme o ONET/OES e o Sistema de Classificação Industrial da América do Norte (NAICS). Consulte as Funções e a Ordem de Serviço para obter mais informações. Requisitos da vaga: Experiência exigida: Não. Requisitos especiais: É necessário ter 18 anos ou mais devido a questões de seguro. É necessário apresentar comprovante de autorização legal para trabalhar nos Estados Unidos. Ambiente de trabalho livre de drogas, álcool e tabaco. Executar atividades físicas, como levantar, equilibrar-se, caminhar, abaixar-se, manusear, posicionar, mover e manipular materiais; usar força estática para exercer força muscular máxima para levantar, empurrar, puxar e carregar objetos de até 18 kg. Todos os candidatos devem ser capazes, dispostos e qualificados para executar o trabalho descrito e devem estar disponíveis durante todo o período especificado e trabalhar em todas as áreas da empresa. Possível verificação de antecedentes após a contratação, às custas do empregador. O trabalho é realizado ao ar livre, exposto às intempéries; o candidato deve ser capaz de realizar trabalho fisicamente extenuante por longos períodos, ocasionalmente em calor ou frio extremos. Condições climáticas variáveis ​​se aplicam; a carga horária pode sofrer alterações (+/-), com possibilidade de períodos de inatividade e/ou horas extras. Número de horas por semana: 35. Horário de trabalho (início/término): 7h às 15h.</v>
      </c>
    </row>
    <row r="772" ht="20.25" customHeight="1">
      <c r="A772" s="3" t="s">
        <v>3599</v>
      </c>
      <c r="B772" s="3" t="s">
        <v>3600</v>
      </c>
      <c r="C772" s="3" t="s">
        <v>3601</v>
      </c>
      <c r="D772" s="3" t="s">
        <v>28</v>
      </c>
      <c r="E772" s="4" t="s">
        <v>19</v>
      </c>
      <c r="F772" s="4" t="s">
        <v>20</v>
      </c>
      <c r="G772" s="4" t="s">
        <v>80</v>
      </c>
      <c r="H772" s="3" t="s">
        <v>3602</v>
      </c>
      <c r="I772" s="3" t="s">
        <v>3603</v>
      </c>
      <c r="J772" s="4">
        <v>30.95</v>
      </c>
      <c r="K772" s="4">
        <v>10.0</v>
      </c>
      <c r="L772" s="3" t="s">
        <v>3604</v>
      </c>
      <c r="M772" s="3" t="s">
        <v>3605</v>
      </c>
      <c r="N772" s="7" t="str">
        <f>IFERROR(__xludf.DUMMYFUNCTION("GOOGLETRANSLATE(L772, ""en"", ""pt"")"),"Fabricante de armadilhas de arame")</f>
        <v>Fabricante de armadilhas de arame</v>
      </c>
      <c r="O772" s="7" t="str">
        <f>IFERROR(__xludf.DUMMYFUNCTION("IF(M772="""","""",GOOGLETRANSLATE(M772,""en"",""pt""))"),"As funções incluem a fabricação e preparação de armadilhas para lagostins e caranguejos. As tarefas incluem: dobrar e prender o arame revestido de vinil para formar as armadilhas; fixar anéis de plástico ao arame; moldar e dar forma à armadilha; carregar "&amp;"e descarregar as armadilhas e o arame; e limpar o local de trabalho. Classificação da função: 51-2099.00 - Montadores e Fabricantes, Outros. A classificação e descrição da função/setor incluem informações gerais sobre o cargo, de acordo com o ONET/OES e o"&amp;" Sistema de Classificação Industrial da América do Norte (NAICS). Consulte a Descrição das Funções e a Ordem de Serviço para obter mais informações. Requisitos da vaga: Experiência necessária: Sim. Meses de experiência necessários: 1. Requisitos especiais"&amp;": Exame toxicológico aleatório na admissão (pago pelo empregador). Número de horas por semana: 40. Horário de trabalho (início/término): 8h às 16h.")</f>
        <v>As funções incluem a fabricação e preparação de armadilhas para lagostins e caranguejos. As tarefas incluem: dobrar e prender o arame revestido de vinil para formar as armadilhas; fixar anéis de plástico ao arame; moldar e dar forma à armadilha; carregar e descarregar as armadilhas e o arame; e limpar o local de trabalho. Classificação da função: 51-2099.00 - Montadores e Fabricantes, Outros. A classificação e descrição da função/setor incluem informações gerais sobre o cargo, de acordo com o ONET/OES e o Sistema de Classificação Industrial da América do Norte (NAICS). Consulte a Descrição das Funções e a Ordem de Serviço para obter mais informações. Requisitos da vaga: Experiência necessária: Sim. Meses de experiência necessários: 1. Requisitos especiais: Exame toxicológico aleatório na admissão (pago pelo empregador). Número de horas por semana: 40. Horário de trabalho (início/término): 8h às 16h.</v>
      </c>
    </row>
    <row r="773" ht="20.25" customHeight="1">
      <c r="A773" s="8" t="s">
        <v>3606</v>
      </c>
      <c r="B773" s="8" t="s">
        <v>3607</v>
      </c>
      <c r="C773" s="8" t="s">
        <v>3588</v>
      </c>
      <c r="D773" s="8" t="s">
        <v>102</v>
      </c>
      <c r="E773" s="9" t="s">
        <v>19</v>
      </c>
      <c r="F773" s="9" t="s">
        <v>20</v>
      </c>
      <c r="G773" s="9" t="s">
        <v>155</v>
      </c>
      <c r="H773" s="8" t="s">
        <v>3608</v>
      </c>
      <c r="I773" s="8" t="s">
        <v>3609</v>
      </c>
      <c r="J773" s="9">
        <v>17.69</v>
      </c>
      <c r="K773" s="9">
        <v>20.0</v>
      </c>
      <c r="L773" s="8" t="s">
        <v>59</v>
      </c>
      <c r="M773" s="8" t="s">
        <v>3610</v>
      </c>
      <c r="N773" s="7" t="str">
        <f>IFERROR(__xludf.DUMMYFUNCTION("GOOGLETRANSLATE(L773, ""en"", ""pt"")"),"Trabalhador de paisagismo")</f>
        <v>Trabalhador de paisagismo</v>
      </c>
      <c r="O773" s="7" t="str">
        <f>IFERROR(__xludf.DUMMYFUNCTION("IF(M773="""","""",GOOGLETRANSLATE(M773,""en"",""pt""))"),"Esta equipe trabalha durante o período de dormência, preparando os terrenos para a construção de áreas externas no verão. As tarefas incluem nivelar o solo para pátios e calçadas (com minicarregadeira e rastelos), abrir valas para sistemas de irrigação (f"&amp;"azendo a vala com uma valeteira mecanizada e removendo o excesso de pedras e terra com pás e picaretas), escavar e formar buracos para lagos e piscinas (usando picaretas e pás para o acabamento e a modelagem), cavar buracos para árvores e arbustos (com ca"&amp;"vadeiras e pás), plantar árvores e arbustos (com pás e rastelos). Utilizam ferramentas manuais, valeteiras e, se treinados, minicarregadeiras. Classificação da função: 37-3011.00 - Trabalhadores de Paisagismo e Manutenção de Áreas Verdes. A classificação "&amp;"e descrição da função/setor incluem informações gerais sobre o cargo, de acordo com o ONET/OES e o Sistema de Classificação Industrial da América do Norte. Consulte as Funções e a Ordem de Serviço para obter mais informações. Requisitos da vaga Experiênci"&amp;"a necessária: Sim Meses de experiência necessários: 2 Número de horas por semana: 40 Horário de trabalho (início/término): 8h às 16h")</f>
        <v>Esta equipe trabalha durante o período de dormência, preparando os terrenos para a construção de áreas externas no verão. As tarefas incluem nivelar o solo para pátios e calçadas (com minicarregadeira e rastelos), abrir valas para sistemas de irrigação (fazendo a vala com uma valeteira mecanizada e removendo o excesso de pedras e terra com pás e picaretas), escavar e formar buracos para lagos e piscinas (usando picaretas e pás para o acabamento e a modelagem), cavar buracos para árvores e arbustos (com cavadeiras e pás), plantar árvores e arbustos (com pás e rastelos). Utilizam ferramentas manuais, valeteiras e, se treinados, minicarregadeiras. Classificação da função: 37-3011.00 - Trabalhadores de Paisagismo e Manutenção de Áreas Verdes. A classificação e descrição da função/setor incluem informações gerais sobre o cargo, de acordo com o ONET/OES e o Sistema de Classificação Industrial da América do Norte. Consulte as Funções e a Ordem de Serviço para obter mais informações. Requisitos da vaga Experiência necessária: Sim Meses de experiência necessários: 2 Número de horas por semana: 40 Horário de trabalho (início/término): 8h às 16h</v>
      </c>
    </row>
    <row r="774" ht="20.25" customHeight="1">
      <c r="A774" s="3" t="s">
        <v>3611</v>
      </c>
      <c r="B774" s="3" t="s">
        <v>3612</v>
      </c>
      <c r="C774" s="3" t="s">
        <v>3588</v>
      </c>
      <c r="D774" s="3" t="s">
        <v>71</v>
      </c>
      <c r="E774" s="4" t="s">
        <v>19</v>
      </c>
      <c r="F774" s="4" t="s">
        <v>20</v>
      </c>
      <c r="G774" s="4" t="s">
        <v>80</v>
      </c>
      <c r="H774" s="3" t="s">
        <v>3613</v>
      </c>
      <c r="I774" s="3" t="s">
        <v>3614</v>
      </c>
      <c r="J774" s="4">
        <v>15.49</v>
      </c>
      <c r="K774" s="4">
        <v>5.0</v>
      </c>
      <c r="L774" s="3" t="s">
        <v>3615</v>
      </c>
      <c r="M774" s="3" t="s">
        <v>3616</v>
      </c>
      <c r="N774" s="7" t="str">
        <f>IFERROR(__xludf.DUMMYFUNCTION("GOOGLETRANSLATE(L774, ""en"", ""pt"")"),"Empregada doméstica")</f>
        <v>Empregada doméstica</v>
      </c>
      <c r="O774" s="7" t="str">
        <f>IFERROR(__xludf.DUMMYFUNCTION("IF(M774="""","""",GOOGLETRANSLATE(M774,""en"",""pt""))"),"As camareiras usarão aspiradores de pó, vassouras, esfregões, escovas, espanadores, panos e flanelas com soluções de limpeza para aspirar carpetes, esfregar pisos de cerâmica e madeira, espanadores e flanelas para tirar o pó de superfícies como vidros de "&amp;"janelas, estrutura da cama, objetos pendurados na parede e escovas, panos e flanelas para limpar pias e vasos sanitários. Reporão os quartos com papel higiênico e facial, sabonetes, toalhas de banho e panos de rosto. Farão as camas com roupa de cama limpa"&amp;". Trabalharão na lavanderia quando designadas para lá, separando e carregando as máquinas de lavar com toalhas e roupa de cama, levando as roupas para as secadoras e dobrando e empilhando as peças limpas. Classificação do Cargo: 37-2012.00 - Camareiras e "&amp;"Auxiliares de Limpeza. A classificação e descrição do cargo/setor inclui informações gerais sobre a posição, de acordo com o ONET/OES e o Sistema de Classificação Industrial da América do Norte. Consulte as Funções e a Ordem de Serviço para obter mais inf"&amp;"ormações. Requisitos do Cargo: Experiência Necessária: Não. Número de Horas por Semana: 40. Horário de Trabalho (Início/Término): 9h. - 17h00")</f>
        <v>As camareiras usarão aspiradores de pó, vassouras, esfregões, escovas, espanadores, panos e flanelas com soluções de limpeza para aspirar carpetes, esfregar pisos de cerâmica e madeira, espanadores e flanelas para tirar o pó de superfícies como vidros de janelas, estrutura da cama, objetos pendurados na parede e escovas, panos e flanelas para limpar pias e vasos sanitários. Reporão os quartos com papel higiênico e facial, sabonetes, toalhas de banho e panos de rosto. Farão as camas com roupa de cama limpa. Trabalharão na lavanderia quando designadas para lá, separando e carregando as máquinas de lavar com toalhas e roupa de cama, levando as roupas para as secadoras e dobrando e empilhando as peças limpas. Classificação do Cargo: 37-2012.00 - Camareiras e Auxiliares de Limpeza. A classificação e descrição do cargo/setor inclui informações gerais sobre a posição, de acordo com o ONET/OES e o Sistema de Classificação Industrial da América do Norte. Consulte as Funções e a Ordem de Serviço para obter mais informações. Requisitos do Cargo: Experiência Necessária: Não. Número de Horas por Semana: 40. Horário de Trabalho (Início/Término): 9h. - 17h00</v>
      </c>
    </row>
    <row r="775" ht="20.25" customHeight="1">
      <c r="A775" s="8" t="s">
        <v>3617</v>
      </c>
      <c r="B775" s="8" t="s">
        <v>3618</v>
      </c>
      <c r="C775" s="8" t="s">
        <v>3601</v>
      </c>
      <c r="D775" s="8" t="s">
        <v>28</v>
      </c>
      <c r="E775" s="9" t="s">
        <v>19</v>
      </c>
      <c r="F775" s="9" t="s">
        <v>20</v>
      </c>
      <c r="G775" s="9" t="s">
        <v>377</v>
      </c>
      <c r="H775" s="8" t="s">
        <v>3619</v>
      </c>
      <c r="I775" s="8" t="s">
        <v>3620</v>
      </c>
      <c r="J775" s="9">
        <v>14.42</v>
      </c>
      <c r="K775" s="9">
        <v>6.0</v>
      </c>
      <c r="L775" s="8" t="s">
        <v>3621</v>
      </c>
      <c r="M775" s="8" t="s">
        <v>3622</v>
      </c>
      <c r="N775" s="7" t="str">
        <f>IFERROR(__xludf.DUMMYFUNCTION("GOOGLETRANSLATE(L775, ""en"", ""pt"")"),"Auxiliar de Preparação de Alimentos")</f>
        <v>Auxiliar de Preparação de Alimentos</v>
      </c>
      <c r="O775" s="7" t="str">
        <f>IFERROR(__xludf.DUMMYFUNCTION("IF(M775="""","""",GOOGLETRANSLATE(M775,""en"",""pt""))"),"Lavar, selecionar e cozinhar lagostins; manutenção geral da área da cozinha. Pode receber e registrar pedidos de clientes, preparar alimentos e bebidas simples; limpar e organizar as áreas de refeição, serviço e cozinha. Classificação do Cargo: 35-2015.00"&amp;" - Cozinheiros, Lanches Rápidos. A classificação e descrição do cargo/setor inclui informações gerais sobre a posição, de acordo com o ONET/OES e o Sistema de Classificação Industrial da América do Norte. Consulte as Funções e a Ordem de Serviço para obte"&amp;"r mais informações. Requisitos do Cargo: Experiência Necessária: Sim. Meses de Experiência Necessários: 3. Requisitos Especiais: Intervalo de almoço de 30 minutos não remunerado. Turno de trabalho adicional das 15h às 20h30, 7 dias por semana. Número de H"&amp;"oras por Semana: 35. Horário de Trabalho (Início/Término): 10h às 15h30.")</f>
        <v>Lavar, selecionar e cozinhar lagostins; manutenção geral da área da cozinha. Pode receber e registrar pedidos de clientes, preparar alimentos e bebidas simples; limpar e organizar as áreas de refeição, serviço e cozinha. Classificação do Cargo: 35-2015.00 - Cozinheiros, Lanches Rápidos. A classificação e descrição do cargo/setor inclui informações gerais sobre a posição, de acordo com o ONET/OES e o Sistema de Classificação Industrial da América do Norte. Consulte as Funções e a Ordem de Serviço para obter mais informações. Requisitos do Cargo: Experiência Necessária: Sim. Meses de Experiência Necessários: 3. Requisitos Especiais: Intervalo de almoço de 30 minutos não remunerado. Turno de trabalho adicional das 15h às 20h30, 7 dias por semana. Número de Horas por Semana: 35. Horário de Trabalho (Início/Término): 10h às 15h30.</v>
      </c>
    </row>
    <row r="776" ht="20.25" customHeight="1">
      <c r="A776" s="3" t="s">
        <v>3623</v>
      </c>
      <c r="B776" s="3" t="s">
        <v>3624</v>
      </c>
      <c r="C776" s="3" t="s">
        <v>3588</v>
      </c>
      <c r="D776" s="3" t="s">
        <v>596</v>
      </c>
      <c r="E776" s="4" t="s">
        <v>19</v>
      </c>
      <c r="F776" s="4" t="s">
        <v>20</v>
      </c>
      <c r="G776" s="4" t="s">
        <v>404</v>
      </c>
      <c r="H776" s="3" t="s">
        <v>3625</v>
      </c>
      <c r="I776" s="3" t="s">
        <v>3626</v>
      </c>
      <c r="J776" s="4">
        <v>18.39</v>
      </c>
      <c r="K776" s="4">
        <v>5.0</v>
      </c>
      <c r="L776" s="3" t="s">
        <v>3627</v>
      </c>
      <c r="M776" s="3" t="s">
        <v>3628</v>
      </c>
      <c r="N776" s="7" t="str">
        <f>IFERROR(__xludf.DUMMYFUNCTION("GOOGLETRANSLATE(L776, ""en"", ""pt"")"),"Auxiliar de cozinha/garçom")</f>
        <v>Auxiliar de cozinha/garçom</v>
      </c>
      <c r="O776" s="7" t="str">
        <f>IFERROR(__xludf.DUMMYFUNCTION("IF(M776="""","""",GOOGLETRANSLATE(M776,""en"",""pt""))"),"Auxiliar no preparo de alimentos na cozinha. Ser capaz de operar equipamentos de bar, como liquidificadores e processadores de alimentos, para preparar os pratos para os chefs. Atuar como garçom/garçonete e auxiliar o barman quando necessário. Classificaç"&amp;"ão da vaga: 35-9011.00 - Atendentes de Salão e Cafeteria e Auxiliares de Barman. A classificação e descrição da vaga/setor incluem informações gerais sobre o cargo, de acordo com o ONET/OES e o Sistema de Classificação Industrial da América do Norte (NAIC"&amp;"S). Consulte as Funções e a Ordem de Serviço para obter mais informações. Requisitos da vaga: Experiência necessária: Sim. Meses de experiência necessários: 3. Número de horas por semana: 40. Horário de trabalho (início/término): 11h às 20h30.")</f>
        <v>Auxiliar no preparo de alimentos na cozinha. Ser capaz de operar equipamentos de bar, como liquidificadores e processadores de alimentos, para preparar os pratos para os chefs. Atuar como garçom/garçonete e auxiliar o barman quando necessário. Classificação da vaga: 35-9011.00 - Atendentes de Salão e Cafeteria e Auxiliares de Barman. A classificação e descrição da vaga/setor incluem informações gerais sobre o cargo, de acordo com o ONET/OES e o Sistema de Classificação Industrial da América do Norte (NAICS). Consulte as Funções e a Ordem de Serviço para obter mais informações. Requisitos da vaga: Experiência necessária: Sim. Meses de experiência necessários: 3. Número de horas por semana: 40. Horário de trabalho (início/término): 11h às 20h30.</v>
      </c>
    </row>
    <row r="777" ht="20.25" customHeight="1">
      <c r="A777" s="8" t="s">
        <v>3629</v>
      </c>
      <c r="B777" s="8" t="s">
        <v>3630</v>
      </c>
      <c r="C777" s="8"/>
      <c r="D777" s="8" t="s">
        <v>271</v>
      </c>
      <c r="E777" s="9" t="s">
        <v>19</v>
      </c>
      <c r="F777" s="9" t="s">
        <v>20</v>
      </c>
      <c r="G777" s="9" t="s">
        <v>384</v>
      </c>
      <c r="H777" s="8" t="s">
        <v>3631</v>
      </c>
      <c r="I777" s="8" t="s">
        <v>3632</v>
      </c>
      <c r="J777" s="9">
        <v>21.11</v>
      </c>
      <c r="K777" s="9">
        <v>37.0</v>
      </c>
      <c r="L777" s="8" t="s">
        <v>262</v>
      </c>
      <c r="M777" s="8" t="s">
        <v>3633</v>
      </c>
      <c r="N777" s="7" t="str">
        <f>IFERROR(__xludf.DUMMYFUNCTION("GOOGLETRANSLATE(L777, ""en"", ""pt"")"),"Operário da construção civil")</f>
        <v>Operário da construção civil</v>
      </c>
      <c r="O777" s="7" t="str">
        <f>IFERROR(__xludf.DUMMYFUNCTION("IF(M777="""","""",GOOGLETRANSLATE(M777,""en"",""pt""))"),"O Auxiliar de Construção Civil executa tarefas gerais de trabalho físico em canteiros de obras, sob a supervisão de profissionais qualificados. Suas principais funções incluem cavar, abrir valas e aterrar; carregar, descarregar e distribuir materiais, fer"&amp;"ramentas e equipamentos no canteiro de obras; e limpar e preparar as áreas de trabalho, removendo entulhos, detritos e outros resíduos. O trabalhador opera ferramentas manuais, equipamentos de pequeno porte e ferramentas de medição e corte aplicáveis ​​ao"&amp;" trabalho a ser executado, auxilia na junção de componentes e utiliza diversos equipamentos e instrumentos de construção, podendo também auxiliar na montagem, nivelamento ou desmontagem de andaimes, rampas e barricadas. Dependendo das necessidades do proj"&amp;"eto, o trabalhador também pode auxiliar profissionais experientes no manuseio de materiais, posicionamento de componentes, instalação de tubulações e outras tarefas de construção relacionadas. Deve seguir todos os procedimentos de segurança do local e uti"&amp;"lizar os equipamentos de proteção individual obrigatórios. É necessário ser capaz de realizar trabalhos fisicamente exigentes em diversas condições climáticas externas. Classificação da Função: 47-2061.00 - Operários da Construção Civil. A classificação e"&amp;" descrição da função/setor inclui informações gerais sobre o cargo, conforme o ONET/OES e o Sistema de Classificação Industrial da América do Norte (NAICS). Consulte as Funções e a Ordem de Serviço para obter mais informações. Requisitos da Função: Experi"&amp;"ência Necessária: Sim. Meses de Experiência Necessária: 3. Requisitos Especiais: 3 meses de experiência. Número de Horas por Semana: 40. Horário de Trabalho (Início/Término): 7h às 16h.")</f>
        <v>O Auxiliar de Construção Civil executa tarefas gerais de trabalho físico em canteiros de obras, sob a supervisão de profissionais qualificados. Suas principais funções incluem cavar, abrir valas e aterrar; carregar, descarregar e distribuir materiais, ferramentas e equipamentos no canteiro de obras; e limpar e preparar as áreas de trabalho, removendo entulhos, detritos e outros resíduos. O trabalhador opera ferramentas manuais, equipamentos de pequeno porte e ferramentas de medição e corte aplicáveis ​​ao trabalho a ser executado, auxilia na junção de componentes e utiliza diversos equipamentos e instrumentos de construção, podendo também auxiliar na montagem, nivelamento ou desmontagem de andaimes, rampas e barricadas. Dependendo das necessidades do projeto, o trabalhador também pode auxiliar profissionais experientes no manuseio de materiais, posicionamento de componentes, instalação de tubulações e outras tarefas de construção relacionadas. Deve seguir todos os procedimentos de segurança do local e utilizar os equipamentos de proteção individual obrigatórios. É necessário ser capaz de realizar trabalhos fisicamente exigentes em diversas condições climáticas externas. Classificação da Função: 47-2061.00 - Operários da Construção Civil. A classificação e descrição da função/setor inclui informações gerais sobre o cargo, conforme o ONET/OES e o Sistema de Classificação Industrial da América do Norte (NAICS). Consulte as Funções e a Ordem de Serviço para obter mais informações. Requisitos da Função: Experiência Necessária: Sim. Meses de Experiência Necessária: 3. Requisitos Especiais: 3 meses de experiência. Número de Horas por Semana: 40. Horário de Trabalho (Início/Término): 7h às 16h.</v>
      </c>
    </row>
    <row r="778" ht="20.25" customHeight="1">
      <c r="A778" s="3" t="s">
        <v>3634</v>
      </c>
      <c r="B778" s="3" t="s">
        <v>3635</v>
      </c>
      <c r="C778" s="3" t="s">
        <v>2263</v>
      </c>
      <c r="D778" s="3" t="s">
        <v>306</v>
      </c>
      <c r="E778" s="4" t="s">
        <v>19</v>
      </c>
      <c r="F778" s="4" t="s">
        <v>20</v>
      </c>
      <c r="G778" s="4" t="s">
        <v>345</v>
      </c>
      <c r="H778" s="3" t="s">
        <v>3636</v>
      </c>
      <c r="I778" s="3" t="s">
        <v>3637</v>
      </c>
      <c r="J778" s="4">
        <v>19.93</v>
      </c>
      <c r="K778" s="4">
        <v>10.0</v>
      </c>
      <c r="L778" s="3" t="s">
        <v>1490</v>
      </c>
      <c r="M778" s="3" t="s">
        <v>3638</v>
      </c>
      <c r="N778" s="7" t="str">
        <f>IFERROR(__xludf.DUMMYFUNCTION("GOOGLETRANSLATE(L778, ""en"", ""pt"")"),"Zelador")</f>
        <v>Zelador</v>
      </c>
      <c r="O778" s="7" t="str">
        <f>IFERROR(__xludf.DUMMYFUNCTION("IF(M778="""","""",GOOGLETRANSLATE(M778,""en"",""pt""))"),"As tarefas incluem a remoção de neve, manutenção de terrenos, como limpeza de lixo e preparação de sistemas de irrigação para o inverno, e outras atividades relacionadas à manutenção de instalações e estradas, como a limpeza de folhas, neve ou detritos em"&amp;" vias públicas. Os trabalhadores não dirigirão caminhões limpa-neve. Utilizarão ferramentas manuais, como pás e vassouras de neve, além de equipamentos motorizados portáteis, como sopradores de neve elétricos ou a gasolina. Há possibilidade de limpeza de "&amp;"outono e primavera, incluindo rastelar, triturar e compostar folhas, remover material vegetal morto, podar plantas perenes, aplicar cobertura morta em canteiros e realizar podas de inverno a partir do nível do solo. Também será necessário o degelo e a rem"&amp;"oção de neve de calçadas, entradas de garagem e estacionamentos de diversas propriedades residenciais e comerciais, utilizando ferramentas manuais como vassouras de neve e pás, e espalhando soluções de degelo, incluindo cloreto de cálcio ou sal grosso, ma"&amp;"nualmente. Poderá ainda utilizar sopradores de neve elétricos ou a gasolina, conforme a necessidade. Não é necessário possuir carteira de habilitação. Se um trabalhador possuir carteira de habilitação não comercial, poderá dirigir um veículo da equipe con"&amp;"forme necessário. Classificação da função: 37-3011.00 - Trabalhadores de Paisagismo e Manutenção de Áreas Verdes. A classificação e descrição da função/setor incluem informações gerais sobre o cargo, de acordo com o ONET/OES e o Sistema de Classificação I"&amp;"ndustrial da América do Norte (NAICS). Consulte as Funções e a Ordem de Serviço para obter mais informações. Requisitos da função: Experiência necessária: Não. Requisitos especiais: Deve ser capaz de levantar/carregar 23 kg, quando necessário. Trabalho ao"&amp;"s sábados e domingos, quando necessário. O horário de trabalho pode incluir turnos noturnos e horas extras durante emergências e condições climáticas adversas. Deve ser capaz de realizar trabalho braçal e físico ao ar livre em todas as condições climática"&amp;"s (calor, frio, chuva, neve, etc.). Número de horas por semana: 35. Horário de trabalho (início/término): 7h às 17h.")</f>
        <v>As tarefas incluem a remoção de neve, manutenção de terrenos, como limpeza de lixo e preparação de sistemas de irrigação para o inverno, e outras atividades relacionadas à manutenção de instalações e estradas, como a limpeza de folhas, neve ou detritos em vias públicas. Os trabalhadores não dirigirão caminhões limpa-neve. Utilizarão ferramentas manuais, como pás e vassouras de neve, além de equipamentos motorizados portáteis, como sopradores de neve elétricos ou a gasolina. Há possibilidade de limpeza de outono e primavera, incluindo rastelar, triturar e compostar folhas, remover material vegetal morto, podar plantas perenes, aplicar cobertura morta em canteiros e realizar podas de inverno a partir do nível do solo. Também será necessário o degelo e a remoção de neve de calçadas, entradas de garagem e estacionamentos de diversas propriedades residenciais e comerciais, utilizando ferramentas manuais como vassouras de neve e pás, e espalhando soluções de degelo, incluindo cloreto de cálcio ou sal grosso, manualmente. Poderá ainda utilizar sopradores de neve elétricos ou a gasolina, conforme a necessidade. Não é necessário possuir carteira de habilitação. Se um trabalhador possuir carteira de habilitação não comercial, poderá dirigir um veículo da equipe conforme necessário. Classificação da função: 37-3011.00 - Trabalhadores de Paisagismo e Manutenção de Áreas Verdes. A classificação e descrição da função/setor incluem informações gerais sobre o cargo, de acordo com o ONET/OES e o Sistema de Classificação Industrial da América do Norte (NAICS). Consulte as Funções e a Ordem de Serviço para obter mais informações. Requisitos da função: Experiência necessária: Não. Requisitos especiais: Deve ser capaz de levantar/carregar 23 kg, quando necessário. Trabalho aos sábados e domingos, quando necessário. O horário de trabalho pode incluir turnos noturnos e horas extras durante emergências e condições climáticas adversas. Deve ser capaz de realizar trabalho braçal e físico ao ar livre em todas as condições climáticas (calor, frio, chuva, neve, etc.). Número de horas por semana: 35. Horário de trabalho (início/término): 7h às 17h.</v>
      </c>
    </row>
    <row r="779" ht="20.25" customHeight="1">
      <c r="A779" s="8" t="s">
        <v>3639</v>
      </c>
      <c r="B779" s="8" t="s">
        <v>3640</v>
      </c>
      <c r="C779" s="8" t="s">
        <v>1000</v>
      </c>
      <c r="D779" s="8" t="s">
        <v>117</v>
      </c>
      <c r="E779" s="9" t="s">
        <v>44</v>
      </c>
      <c r="F779" s="9" t="s">
        <v>20</v>
      </c>
      <c r="G779" s="9" t="s">
        <v>307</v>
      </c>
      <c r="H779" s="8" t="s">
        <v>3641</v>
      </c>
      <c r="I779" s="8" t="s">
        <v>3642</v>
      </c>
      <c r="J779" s="9">
        <v>22.36</v>
      </c>
      <c r="K779" s="9">
        <v>4.0</v>
      </c>
      <c r="L779" s="8" t="s">
        <v>302</v>
      </c>
      <c r="M779" s="8" t="s">
        <v>3643</v>
      </c>
      <c r="N779" s="7" t="str">
        <f>IFERROR(__xludf.DUMMYFUNCTION("GOOGLETRANSLATE(L779, ""en"", ""pt"")"),"Operários da construção civil")</f>
        <v>Operários da construção civil</v>
      </c>
      <c r="O779" s="7" t="str">
        <f>IFERROR(__xludf.DUMMYFUNCTION("IF(M779="""","""",GOOGLETRANSLATE(M779,""en"",""pt""))"),"Executar tarefas que envolvam trabalho físico em canteiros de obras. Pode operar ferramentas manuais e elétricas de todos os tipos: martelos pneumáticos, compactadores de solo, betoneiras, pequenos guindastes mecânicos, equipamentos de topografia e mediçã"&amp;"o, e uma variedade de outros equipamentos e instrumentos. Pode limpar e preparar locais, cavar valas, instalar escoras para sustentar as laterais das escavações, montar andaimes e limpar entulhos, detritos e outros materiais residuais. Pode auxiliar outro"&amp;"s trabalhadores especializados. Classificação da função: 47-2061.00 - Auxiliares de Construção. A classificação e descrição da função/setor inclui informações gerais sobre o cargo, de acordo com o ONET/OES e o Sistema de Classificação Industrial da Améric"&amp;"a do Norte (NAICS). Consulte as Funções e a Ordem de Serviço para obter mais informações. Requisitos da função: Experiência necessária: Não. Requisitos especiais: Deve ser capaz de levantar e carregar 38 kg por 45 metros. Deve ser capaz de usar e ler uma "&amp;"trena com precisão, lidar com temperaturas extremas, seguir instruções, usar ferramentas manuais e elétricas e realizar movimentos repetitivos. Trabalho em alguns fins de semana. Número de horas por semana: 40 Horário de trabalho (início/término): 6h00 - "&amp;"17h00")</f>
        <v>Executar tarefas que envolvam trabalho físico em canteiros de obras. Pode operar ferramentas manuais e elétricas de todos os tipos: martelos pneumáticos, compactadores de solo, betoneiras, pequenos guindastes mecânicos, equipamentos de topografia e medição, e uma variedade de outros equipamentos e instrumentos. Pode limpar e preparar locais, cavar valas, instalar escoras para sustentar as laterais das escavações, montar andaimes e limpar entulhos, detritos e outros materiais residuais. Pode auxiliar outros trabalhadores especializados. Classificação da função: 47-2061.00 - Auxiliares de Construção. A classificação e descrição da função/setor inclui informações gerais sobre o cargo, de acordo com o ONET/OES e o Sistema de Classificação Industrial da América do Norte (NAICS). Consulte as Funções e a Ordem de Serviço para obter mais informações. Requisitos da função: Experiência necessária: Não. Requisitos especiais: Deve ser capaz de levantar e carregar 38 kg por 45 metros. Deve ser capaz de usar e ler uma trena com precisão, lidar com temperaturas extremas, seguir instruções, usar ferramentas manuais e elétricas e realizar movimentos repetitivos. Trabalho em alguns fins de semana. Número de horas por semana: 40 Horário de trabalho (início/término): 6h00 - 17h00</v>
      </c>
    </row>
    <row r="780" ht="20.25" customHeight="1">
      <c r="A780" s="3" t="s">
        <v>3644</v>
      </c>
      <c r="B780" s="3" t="s">
        <v>3645</v>
      </c>
      <c r="C780" s="3" t="s">
        <v>3588</v>
      </c>
      <c r="D780" s="3" t="s">
        <v>71</v>
      </c>
      <c r="E780" s="4" t="s">
        <v>44</v>
      </c>
      <c r="F780" s="4" t="s">
        <v>20</v>
      </c>
      <c r="G780" s="4" t="s">
        <v>80</v>
      </c>
      <c r="H780" s="3" t="s">
        <v>3646</v>
      </c>
      <c r="I780" s="3" t="s">
        <v>3647</v>
      </c>
      <c r="J780" s="4">
        <v>15.7</v>
      </c>
      <c r="K780" s="4">
        <v>10.0</v>
      </c>
      <c r="L780" s="3" t="s">
        <v>3615</v>
      </c>
      <c r="M780" s="3" t="s">
        <v>3648</v>
      </c>
      <c r="N780" s="7" t="str">
        <f>IFERROR(__xludf.DUMMYFUNCTION("GOOGLETRANSLATE(L780, ""en"", ""pt"")"),"Empregada doméstica")</f>
        <v>Empregada doméstica</v>
      </c>
      <c r="O780" s="7" t="str">
        <f>IFERROR(__xludf.DUMMYFUNCTION("IF(M780="""","""",GOOGLETRANSLATE(M780,""en"",""pt""))"),"Lavar e dobrar lençóis, fronhas, toalhas e edredons. Classificação da função: 37-2012.00 - Empregadas Domésticas e Auxiliares de Limpeza. A classificação e descrição da função/setor inclui informações gerais sobre o cargo, de acordo com o ONET/OES e o Sis"&amp;"tema de Classificação Industrial da América do Norte (NAICS). Consulte as Funções e a Ordem de Serviço para obter mais informações. Requisitos da vaga: Experiência necessária: Não. Número de horas por semana: 40. Horário de trabalho (início/término): 9h à"&amp;"s 17h.")</f>
        <v>Lavar e dobrar lençóis, fronhas, toalhas e edredons. Classificação da função: 37-2012.00 - Empregadas Domésticas e Auxiliares de Limpeza. A classificação e descrição da função/setor inclui informações gerais sobre o cargo, de acordo com o ONET/OES e o Sistema de Classificação Industrial da América do Norte (NAICS). Consulte as Funções e a Ordem de Serviço para obter mais informações. Requisitos da vaga: Experiência necessária: Não. Número de horas por semana: 40. Horário de trabalho (início/término): 9h às 17h.</v>
      </c>
    </row>
    <row r="781" ht="20.25" customHeight="1">
      <c r="A781" s="8" t="s">
        <v>3649</v>
      </c>
      <c r="B781" s="8" t="s">
        <v>2066</v>
      </c>
      <c r="C781" s="8" t="s">
        <v>2067</v>
      </c>
      <c r="D781" s="8" t="s">
        <v>2068</v>
      </c>
      <c r="E781" s="9" t="s">
        <v>19</v>
      </c>
      <c r="F781" s="9" t="s">
        <v>20</v>
      </c>
      <c r="G781" s="9" t="s">
        <v>2069</v>
      </c>
      <c r="H781" s="8" t="s">
        <v>2070</v>
      </c>
      <c r="I781" s="8" t="s">
        <v>2071</v>
      </c>
      <c r="J781" s="9">
        <v>15.6</v>
      </c>
      <c r="K781" s="9">
        <v>6.0</v>
      </c>
      <c r="L781" s="8" t="s">
        <v>3650</v>
      </c>
      <c r="M781" s="8" t="s">
        <v>3651</v>
      </c>
      <c r="N781" s="7" t="str">
        <f>IFERROR(__xludf.DUMMYFUNCTION("GOOGLETRANSLATE(L781, ""en"", ""pt"")"),"Operadores de Equipamentos de Construção")</f>
        <v>Operadores de Equipamentos de Construção</v>
      </c>
      <c r="O781" s="7" t="str">
        <f>IFERROR(__xludf.DUMMYFUNCTION("IF(M781="""","""",GOOGLETRANSLATE(M781,""en"",""pt""))"),"Opera um ou mais tipos de equipamentos motorizados de construção e equipamentos pesados ​​de construção para instalar sistemas de fundações profundas. Prepara, posiciona e manobra os equipamentos de acordo com os desenhos de construção, especificações e p"&amp;"lantas do local para apoiar as atividades de preparação do terreno, montagem de estruturas e instalação de fundações. Monitora o desempenho dos equipamentos e as condições do local, fazendo os ajustes necessários para atingir as tolerâncias exigidas e gar"&amp;"antir a colocação adequada de materiais e componentes estruturais. Realiza o planejamento e a marcação das áreas de trabalho com base nos planos do projeto e coordena as ações das máquinas com outras atividades de construção, posicionando e movimentando c"&amp;"argas em resposta a sinais manuais ou sonoros de supervisores, topógrafos e outros profissionais da construção. Inspeciona os equipamentos antes de cada uso para garantir a operação segura e eficiente e realiza a manutenção de rotina, incluindo limpeza, l"&amp;"ubrificação e comunicação de problemas mecânicos. Repara os equipamentos e faz ajustes de emergência quando necessário. Trabalha em projetos de construção de infraestrutura industrial e energética, incluindo sistemas de fundações para instalações de equip"&amp;"amentos pesados. Segue todas as normas e procedimentos de segurança, incluindo o uso de equipamentos de proteção individual e o cumprimento dos requisitos de segurança específicos do local para prevenir riscos associados a máquinas pesadas e atividades de"&amp;" construção. Classificação da Função: 47-2073.00 - Operadores de Máquinas e Outros Equipamentos de Construção. A classificação e descrição da função/setor inclui informações gerais sobre o cargo, de acordo com o ONET/OES e o Sistema de Classificação Indus"&amp;"trial da América do Norte (NAICS). Consulte as Funções e a Ordem de Serviço para obter mais informações. Requisitos da Função: Experiência Necessária: Sim. Meses de Experiência Necessários: 24. Requisitos Especiais: Mínimo de 24 meses de experiência como "&amp;"Operador de Equipamentos de Construção. A escala de trabalho pode variar e incluir fins de semana e feriados, conforme necessário. Capacidade de levantar/carregar/empurrar/puxar 23 kg. 5 dias por semana, 8,5 horas por dia. Horário de trabalho diário previ"&amp;"sto: das 7h às 13h e das 14h às 16h30, de segunda a sexta-feira. Salário: US$ 15,60/hora. Possibilidade de horas extras a US$ 23,40/hora. Pagamento semanal. Locais de trabalho: Guayanilla, Caguas, Ponce. Número de horas por semana: 42 Horário de trabalho "&amp;"(início/término): 7h00 - 16h30")</f>
        <v>Opera um ou mais tipos de equipamentos motorizados de construção e equipamentos pesados ​​de construção para instalar sistemas de fundações profundas. Prepara, posiciona e manobra os equipamentos de acordo com os desenhos de construção, especificações e plantas do local para apoiar as atividades de preparação do terreno, montagem de estruturas e instalação de fundações. Monitora o desempenho dos equipamentos e as condições do local, fazendo os ajustes necessários para atingir as tolerâncias exigidas e garantir a colocação adequada de materiais e componentes estruturais. Realiza o planejamento e a marcação das áreas de trabalho com base nos planos do projeto e coordena as ações das máquinas com outras atividades de construção, posicionando e movimentando cargas em resposta a sinais manuais ou sonoros de supervisores, topógrafos e outros profissionais da construção. Inspeciona os equipamentos antes de cada uso para garantir a operação segura e eficiente e realiza a manutenção de rotina, incluindo limpeza, lubrificação e comunicação de problemas mecânicos. Repara os equipamentos e faz ajustes de emergência quando necessário. Trabalha em projetos de construção de infraestrutura industrial e energética, incluindo sistemas de fundações para instalações de equipamentos pesados. Segue todas as normas e procedimentos de segurança, incluindo o uso de equipamentos de proteção individual e o cumprimento dos requisitos de segurança específicos do local para prevenir riscos associados a máquinas pesadas e atividades de construção. Classificação da Função: 47-2073.00 - Operadores de Máquinas e Outros Equipamentos de Construção. A classificação e descrição da função/setor inclui informações gerais sobre o cargo, de acordo com o ONET/OES e o Sistema de Classificação Industrial da América do Norte (NAICS). Consulte as Funções e a Ordem de Serviço para obter mais informações. Requisitos da Função: Experiência Necessária: Sim. Meses de Experiência Necessários: 24. Requisitos Especiais: Mínimo de 24 meses de experiência como Operador de Equipamentos de Construção. A escala de trabalho pode variar e incluir fins de semana e feriados, conforme necessário. Capacidade de levantar/carregar/empurrar/puxar 23 kg. 5 dias por semana, 8,5 horas por dia. Horário de trabalho diário previsto: das 7h às 13h e das 14h às 16h30, de segunda a sexta-feira. Salário: US$ 15,60/hora. Possibilidade de horas extras a US$ 23,40/hora. Pagamento semanal. Locais de trabalho: Guayanilla, Caguas, Ponce. Número de horas por semana: 42 Horário de trabalho (início/término): 7h00 - 16h30</v>
      </c>
    </row>
    <row r="782" ht="20.25" customHeight="1">
      <c r="A782" s="3" t="s">
        <v>3652</v>
      </c>
      <c r="B782" s="3" t="s">
        <v>2066</v>
      </c>
      <c r="C782" s="3" t="s">
        <v>2067</v>
      </c>
      <c r="D782" s="3" t="s">
        <v>2068</v>
      </c>
      <c r="E782" s="4" t="s">
        <v>44</v>
      </c>
      <c r="F782" s="4" t="s">
        <v>20</v>
      </c>
      <c r="G782" s="4" t="s">
        <v>2069</v>
      </c>
      <c r="H782" s="3" t="s">
        <v>2070</v>
      </c>
      <c r="I782" s="3" t="s">
        <v>2071</v>
      </c>
      <c r="J782" s="4">
        <v>37.99</v>
      </c>
      <c r="K782" s="4">
        <v>6.0</v>
      </c>
      <c r="L782" s="3" t="s">
        <v>3653</v>
      </c>
      <c r="M782" s="3" t="s">
        <v>3654</v>
      </c>
      <c r="N782" s="7" t="str">
        <f>IFERROR(__xludf.DUMMYFUNCTION("GOOGLETRANSLATE(L782, ""en"", ""pt"")"),"Operador de bate-estacas")</f>
        <v>Operador de bate-estacas</v>
      </c>
      <c r="O782" s="7" t="str">
        <f>IFERROR(__xludf.DUMMYFUNCTION("IF(M782="""","""",GOOGLETRANSLATE(M782,""en"",""pt""))"),"Opera equipamentos de cravação de estacas e de construção pesada para instalar sistemas de fundações profundas, incluindo estacas, estacas de apoio e colunas estruturais pré-fabricadas. Prepara, posiciona e opera máquinas hidráulicas e vibratórias de crav"&amp;"ação de estacas de acordo com desenhos de construção, especificações e plantas do local. Garante o alinhamento, a verticalidade e a profundidade corretos das estacas durante a instalação, monitorando o desempenho do equipamento e as condições do solo, faz"&amp;"endo os ajustes necessários para atingir as tolerâncias exigidas. Realiza o planejamento e a marcação da localização das estacas com base nos planos do projeto e coordena com supervisores, topógrafos e outras equipes de construção para garantir a sequênci"&amp;"a adequada e a colocação precisa das fundações. Inspeciona o equipamento antes do uso para garantir a operação segura e eficiente e realiza manutenção básica, como limpeza, lubrificação e comunicação de problemas mecânicos. Trabalha em projetos de constru"&amp;"ção de infraestrutura industrial e de energia, incluindo sistemas de fundação para instalações de equipamentos pesados. Segue todas as normas e procedimentos de segurança, incluindo o uso de equipamentos de proteção individual e o cumprimento dos requisit"&amp;"os de segurança específicos do local para prevenir riscos associados a máquinas pesadas e atividades de construção. Classificação da Função: 47-2072.00 - Operadores de Bate-Estacas. A classificação e descrição da função/setor inclui informações gerais sob"&amp;"re o cargo, de acordo com o ONET/OES e o Sistema de Classificação Industrial da América do Norte (NAICS). Consulte as Funções e a Ordem de Serviço para obter mais informações. Requisitos da Função: Experiência Necessária: Sim. Meses de Experiência Necessá"&amp;"rios: 36. Requisitos Especiais: Mínimo de 36 meses de experiência como Operador de Bate-Estacas. A escala de trabalho pode variar e incluir fins de semana e feriados, conforme necessário. Capacidade de levantar/carregar/empurrar/puxar 23 kg. 5 dias por se"&amp;"mana, 8,5 horas por dia. Horário de trabalho diário previsto: das 7h às 13h e das 14h às 16h30, de segunda a sexta-feira. Salário: US$ 37,99/hora. Possibilidade de horas extras a US$ 56,99/hora. Pagamento semanal. Locais de trabalho: Guayanilla, Caguas, P"&amp;"once. Número de horas por semana: 42 Horário de trabalho (início/término): 7h00 - 16h30")</f>
        <v>Opera equipamentos de cravação de estacas e de construção pesada para instalar sistemas de fundações profundas, incluindo estacas, estacas de apoio e colunas estruturais pré-fabricadas. Prepara, posiciona e opera máquinas hidráulicas e vibratórias de cravação de estacas de acordo com desenhos de construção, especificações e plantas do local. Garante o alinhamento, a verticalidade e a profundidade corretos das estacas durante a instalação, monitorando o desempenho do equipamento e as condições do solo, fazendo os ajustes necessários para atingir as tolerâncias exigidas. Realiza o planejamento e a marcação da localização das estacas com base nos planos do projeto e coordena com supervisores, topógrafos e outras equipes de construção para garantir a sequência adequada e a colocação precisa das fundações. Inspeciona o equipamento antes do uso para garantir a operação segura e eficiente e realiza manutenção básica, como limpeza, lubrificação e comunicação de problemas mecânicos. Trabalha em projetos de construção de infraestrutura industrial e de energia, incluindo sistemas de fundação para instalações de equipamentos pesados. Segue todas as normas e procedimentos de segurança, incluindo o uso de equipamentos de proteção individual e o cumprimento dos requisitos de segurança específicos do local para prevenir riscos associados a máquinas pesadas e atividades de construção. Classificação da Função: 47-2072.00 - Operadores de Bate-Estacas. A classificação e descrição da função/setor inclui informações gerais sobre o cargo, de acordo com o ONET/OES e o Sistema de Classificação Industrial da América do Norte (NAICS). Consulte as Funções e a Ordem de Serviço para obter mais informações. Requisitos da Função: Experiência Necessária: Sim. Meses de Experiência Necessários: 36. Requisitos Especiais: Mínimo de 36 meses de experiência como Operador de Bate-Estacas. A escala de trabalho pode variar e incluir fins de semana e feriados, conforme necessário. Capacidade de levantar/carregar/empurrar/puxar 23 kg. 5 dias por semana, 8,5 horas por dia. Horário de trabalho diário previsto: das 7h às 13h e das 14h às 16h30, de segunda a sexta-feira. Salário: US$ 37,99/hora. Possibilidade de horas extras a US$ 56,99/hora. Pagamento semanal. Locais de trabalho: Guayanilla, Caguas, Ponce. Número de horas por semana: 42 Horário de trabalho (início/término): 7h00 - 16h30</v>
      </c>
    </row>
    <row r="783" ht="20.25" customHeight="1">
      <c r="A783" s="8" t="s">
        <v>3655</v>
      </c>
      <c r="B783" s="8" t="s">
        <v>3656</v>
      </c>
      <c r="C783" s="8" t="s">
        <v>2263</v>
      </c>
      <c r="D783" s="8" t="s">
        <v>306</v>
      </c>
      <c r="E783" s="9" t="s">
        <v>19</v>
      </c>
      <c r="F783" s="9" t="s">
        <v>20</v>
      </c>
      <c r="G783" s="9" t="s">
        <v>345</v>
      </c>
      <c r="H783" s="8" t="s">
        <v>3657</v>
      </c>
      <c r="I783" s="8" t="s">
        <v>3658</v>
      </c>
      <c r="J783" s="9">
        <v>19.93</v>
      </c>
      <c r="K783" s="9">
        <v>10.0</v>
      </c>
      <c r="L783" s="8" t="s">
        <v>1490</v>
      </c>
      <c r="M783" s="8" t="s">
        <v>3659</v>
      </c>
      <c r="N783" s="7" t="str">
        <f>IFERROR(__xludf.DUMMYFUNCTION("GOOGLETRANSLATE(L783, ""en"", ""pt"")"),"Zelador")</f>
        <v>Zelador</v>
      </c>
      <c r="O783" s="7" t="str">
        <f>IFERROR(__xludf.DUMMYFUNCTION("IF(M783="""","""",GOOGLETRANSLATE(M783,""en"",""pt""))"),"Remoção de neve, manutenção de terrenos, como limpeza de lixo e preparação de sistemas de irrigação para o inverno, e outras tarefas atribuídas relacionadas à manutenção de instalações e estradas, como a limpeza de ruas e instalações de folhas, neve ou de"&amp;"tritos usando ferramentas manuais ou equipamentos motorizados, incluindo, entre outros, ancinhos, pás e sopradores de neve/folhas. Os trabalhadores não dirigirão caminhões limpa-neve. Os trabalhadores usarão ferramentas manuais, como pás e vassouras de ne"&amp;"ve, bem como equipamentos motorizados portáteis, como sopradores de neve elétricos ou a gasolina. Possibilidade de limpeza de outono e primavera, incluindo rastelar, triturar e compostar folhas, remoção de material vegetal morto, poda de plantas perenes, "&amp;"plantio de perenes, cobertura de canteiros com mulch e poda rente ao solo. Remoção de gelo e neve de calçadas, entradas de garagem e estacionamentos de várias propriedades residenciais e comerciais, usando ferramentas manuais, como vassouras de neve, pás "&amp;"e espalhando soluções de degelo, incluindo cloreto de cálcio ou sal grosso, manualmente. Poderá também utilizar sopradores de neve elétricos ou a gasolina, conforme necessário. Poderá dirigir o veículo da equipe. Não é exigida carteira de habilitação como"&amp;" condição de emprego para esta vaga. Caso o candidato já possua uma carteira de habilitação padrão, não comercial, poderá ser solicitado a dirigir um veículo até os locais de trabalho, conforme necessário. Classificação da vaga: 37-3011.00 - Trabalhadores"&amp;" de Paisagismo e Manutenção de Áreas Verdes. A classificação e descrição da vaga/setor incluem informações gerais sobre o cargo, de acordo com o ONET/OES e o Sistema de Classificação Industrial da América do Norte (NAICS). Consulte as Funções e a Ordem de"&amp;" Serviço para obter mais informações. Requisitos da vaga: Experiência exigida: Não. Requisitos especiais: DEVE TER 18 ANOS OU MAIS. DEVE LEVANTAR/CARREGAR 23 KG, QUANDO NECESSÁRIO. TRABALHO AOS SÁBADOS E DOMINGOS, QUANDO NECESSÁRIO. É imprescindível ter c"&amp;"apacidade para realizar trabalho físico ao ar livre por pelo menos 8 horas por dia, em todas as condições climáticas, incluindo frio, calor e chuva. Número de horas por semana: 35. Horário de trabalho (início/término): 7h às 17h.")</f>
        <v>Remoção de neve, manutenção de terrenos, como limpeza de lixo e preparação de sistemas de irrigação para o inverno, e outras tarefas atribuídas relacionadas à manutenção de instalações e estradas, como a limpeza de ruas e instalações de folhas, neve ou detritos usando ferramentas manuais ou equipamentos motorizados, incluindo, entre outros, ancinhos, pás e sopradores de neve/folhas. Os trabalhadores não dirigirão caminhões limpa-neve. Os trabalhadores usarão ferramentas manuais, como pás e vassouras de neve, bem como equipamentos motorizados portáteis, como sopradores de neve elétricos ou a gasolina. Possibilidade de limpeza de outono e primavera, incluindo rastelar, triturar e compostar folhas, remoção de material vegetal morto, poda de plantas perenes, plantio de perenes, cobertura de canteiros com mulch e poda rente ao solo. Remoção de gelo e neve de calçadas, entradas de garagem e estacionamentos de várias propriedades residenciais e comerciais, usando ferramentas manuais, como vassouras de neve, pás e espalhando soluções de degelo, incluindo cloreto de cálcio ou sal grosso, manualmente. Poderá também utilizar sopradores de neve elétricos ou a gasolina, conforme necessário. Poderá dirigir o veículo da equipe. Não é exigida carteira de habilitação como condição de emprego para esta vaga. Caso o candidato já possua uma carteira de habilitação padrão, não comercial, poderá ser solicitado a dirigir um veículo até os locais de trabalho, conforme necessário. Classificação da vaga: 37-3011.00 - Trabalhadores de Paisagismo e Manutenção de Áreas Verdes. A classificação e descrição da vaga/setor incluem informações gerais sobre o cargo, de acordo com o ONET/OES e o Sistema de Classificação Industrial da América do Norte (NAICS). Consulte as Funções e a Ordem de Serviço para obter mais informações. Requisitos da vaga: Experiência exigida: Não. Requisitos especiais: DEVE TER 18 ANOS OU MAIS. DEVE LEVANTAR/CARREGAR 23 KG, QUANDO NECESSÁRIO. TRABALHO AOS SÁBADOS E DOMINGOS, QUANDO NECESSÁRIO. É imprescindível ter capacidade para realizar trabalho físico ao ar livre por pelo menos 8 horas por dia, em todas as condições climáticas, incluindo frio, calor e chuva. Número de horas por semana: 35. Horário de trabalho (início/término): 7h às 17h.</v>
      </c>
    </row>
    <row r="784" ht="20.25" customHeight="1">
      <c r="A784" s="3" t="s">
        <v>3660</v>
      </c>
      <c r="B784" s="3" t="s">
        <v>3661</v>
      </c>
      <c r="C784" s="3" t="s">
        <v>3662</v>
      </c>
      <c r="D784" s="3" t="s">
        <v>71</v>
      </c>
      <c r="E784" s="4" t="s">
        <v>19</v>
      </c>
      <c r="F784" s="4" t="s">
        <v>20</v>
      </c>
      <c r="G784" s="4" t="s">
        <v>3663</v>
      </c>
      <c r="H784" s="3" t="s">
        <v>3664</v>
      </c>
      <c r="I784" s="3" t="s">
        <v>3665</v>
      </c>
      <c r="J784" s="4">
        <v>17.3</v>
      </c>
      <c r="K784" s="4">
        <v>6.0</v>
      </c>
      <c r="L784" s="3" t="s">
        <v>3666</v>
      </c>
      <c r="M784" s="3" t="s">
        <v>3667</v>
      </c>
      <c r="N784" s="7" t="str">
        <f>IFERROR(__xludf.DUMMYFUNCTION("GOOGLETRANSLATE(L784, ""en"", ""pt"")"),"Auxiliar de Cozinha")</f>
        <v>Auxiliar de Cozinha</v>
      </c>
      <c r="O784" s="7" t="str">
        <f>IFERROR(__xludf.DUMMYFUNCTION("IF(M784="""","""",GOOGLETRANSLATE(M784,""en"",""pt""))"),"1. Tipo de Cozinha e Produtos Preparados. O trabalho será realizado em uma cozinha comercial dentro de um restaurante salvadorenho de serviço completo, que atende aos códigos locais de saúde e segurança. As instalações incluem chapas, fritadeiras, fornos,"&amp;" banhos-maria, processadores de alimentos e balcões de preparação adequados para o preparo de grandes volumes de alimentos. O funcionário preparará pratos autênticos salvadorenhos, como pupusas (tortilhas de milho recheadas), yuca frita con chicharrón (ma"&amp;"ndioca frita com torresmo), tamales, pollo guisado (frango guisado), sopa de res (sopa de carne) e acompanhamentos tradicionais como arroz, frijoles (feijão) e curtido (pão frito). As tarefas incluem marinar carnes, misturar massa, operar equipamentos de "&amp;"cozinha, manter a segurança alimentar e coordenar com a equipe da cozinha para garantir um serviço ágil durante os horários de pico. 2. Ferramentas, Equipamentos e Finalidade. O funcionário trabalhará com as seguintes ferramentas e equipamentos para prepa"&amp;"rar a culinária salvadorenha: • Chapas e grelhas planas – para carnes e pupusas • Fritadeiras – para mandioca, banana-da-terra e pratos similares • Fornos – para assar e reaquecer • Processadores de alimentos/liquidificadores – para molhos e massas • Faca"&amp;"s, tábuas, utensílios e tigelas – para picar e misturar ingredientes • Banho-maria/aquecedores de alimentos – para manter os alimentos na temperatura adequada para servir • Refrigeradores/congeladores – para armazenar produtos perecíveis • Utensílios de l"&amp;"impeza e higienização – para manter um ambiente de trabalho seguro. Cada item é utilizado no preparo, cozimento e armazenamento de refeições tradicionais salvadorenhas, seguindo as normas sanitárias. 3. Limpeza e Higienização. O funcionário participará da"&amp;"s tarefas diárias de limpeza e higienização, utilizando uma pia de três compartimentos ou lava-louças para limpar todos os utensílios e superfícies. Outras tarefas incluem: • Limpar balcões e bancadas • Varrer e passar pano com solução sanitizante • Desca"&amp;"rtar o lixo em lixeiras designadas • Limpar grelhas, fritadeiras, fornos e refrigeradores em intervalos regulares • Usar EPIs, como luvas e aventais, durante todas as tarefas de limpeza • Preencher um registro de limpeza para documentar a conformidade. Es"&amp;"ses procedimentos são seguidos diariamente para atender aos requisitos de segurança alimentar e garantir a higiene da cozinha. 4. Recebimento, Manuseio e Armazenamento de Pedidos. Ao receber os pedidos, o funcionário verifica a quantidade e a qualidade em"&amp;" relação às notas fiscais, inspeciona os itens quanto ao frescor, danos e data de validade e relata quaisquer discrepâncias. As tarefas de armazenamento incluem: • Usar carrinhos, plataformas ou paleteiras para transportar mercadorias • Etiquetar e datar "&amp;"todos os produtos • Organizar os itens pelo método FIFO (Primeiro a Entrar, Primeiro a Sair) • Armazenar itens crus e cozidos separadamente • Manter temperaturas seguras e espaços de armazenamento limpos e organizados. Todas as práticas de armazenamento e"&amp;"stão alinhadas com os padrões de segurança e higiene. Classificação da Função: 35-2014.00 - Cozinheiros, Restaurante. A classificação e descrição da função/setor inclui informações gerais sobre o cargo, de acordo com o ONET/OES e o Sistema de Classificaçã"&amp;"o Industrial da América do Norte. Consulte as Funções e a Ordem de Serviço para obter mais informações. Requisitos da Função: Experiência Necessária: Sim. Meses de Experiência Necessária: 1. Requisitos Especiais: Um (1) mês de experiência em ambiente de r"&amp;"estaurante. Número de Horas por Semana: 35. Horário de Trabalho (Início/Término): 7h00 - 22h00.")</f>
        <v>1. Tipo de Cozinha e Produtos Preparados. O trabalho será realizado em uma cozinha comercial dentro de um restaurante salvadorenho de serviço completo, que atende aos códigos locais de saúde e segurança. As instalações incluem chapas, fritadeiras, fornos, banhos-maria, processadores de alimentos e balcões de preparação adequados para o preparo de grandes volumes de alimentos. O funcionário preparará pratos autênticos salvadorenhos, como pupusas (tortilhas de milho recheadas), yuca frita con chicharrón (mandioca frita com torresmo), tamales, pollo guisado (frango guisado), sopa de res (sopa de carne) e acompanhamentos tradicionais como arroz, frijoles (feijão) e curtido (pão frito). As tarefas incluem marinar carnes, misturar massa, operar equipamentos de cozinha, manter a segurança alimentar e coordenar com a equipe da cozinha para garantir um serviço ágil durante os horários de pico. 2. Ferramentas, Equipamentos e Finalidade. O funcionário trabalhará com as seguintes ferramentas e equipamentos para preparar a culinária salvadorenha: • Chapas e grelhas planas – para carnes e pupusas • Fritadeiras – para mandioca, banana-da-terra e pratos similares • Fornos – para assar e reaquecer • Processadores de alimentos/liquidificadores – para molhos e massas • Facas, tábuas, utensílios e tigelas – para picar e misturar ingredientes • Banho-maria/aquecedores de alimentos – para manter os alimentos na temperatura adequada para servir • Refrigeradores/congeladores – para armazenar produtos perecíveis • Utensílios de limpeza e higienização – para manter um ambiente de trabalho seguro. Cada item é utilizado no preparo, cozimento e armazenamento de refeições tradicionais salvadorenhas, seguindo as normas sanitárias. 3. Limpeza e Higienização. O funcionário participará das tarefas diárias de limpeza e higienização, utilizando uma pia de três compartimentos ou lava-louças para limpar todos os utensílios e superfícies. Outras tarefas incluem: • Limpar balcões e bancadas • Varrer e passar pano com solução sanitizante • Descartar o lixo em lixeiras designadas • Limpar grelhas, fritadeiras, fornos e refrigeradores em intervalos regulares • Usar EPIs, como luvas e aventais, durante todas as tarefas de limpeza • Preencher um registro de limpeza para documentar a conformidade. Esses procedimentos são seguidos diariamente para atender aos requisitos de segurança alimentar e garantir a higiene da cozinha. 4. Recebimento, Manuseio e Armazenamento de Pedidos. Ao receber os pedidos, o funcionário verifica a quantidade e a qualidade em relação às notas fiscais, inspeciona os itens quanto ao frescor, danos e data de validade e relata quaisquer discrepâncias. As tarefas de armazenamento incluem: • Usar carrinhos, plataformas ou paleteiras para transportar mercadorias • Etiquetar e datar todos os produtos • Organizar os itens pelo método FIFO (Primeiro a Entrar, Primeiro a Sair) • Armazenar itens crus e cozidos separadamente • Manter temperaturas seguras e espaços de armazenamento limpos e organizados. Todas as práticas de armazenamento estão alinhadas com os padrões de segurança e higiene. Classificação da Função: 35-2014.00 - Cozinheiros, Restaurante. A classificação e descrição da função/setor inclui informações gerais sobre o cargo, de acordo com o ONET/OES e o Sistema de Classificação Industrial da América do Norte. Consulte as Funções e a Ordem de Serviço para obter mais informações. Requisitos da Função: Experiência Necessária: Sim. Meses de Experiência Necessária: 1. Requisitos Especiais: Um (1) mês de experiência em ambiente de restaurante. Número de Horas por Semana: 35. Horário de Trabalho (Início/Término): 7h00 - 22h00.</v>
      </c>
    </row>
    <row r="785" ht="20.25" customHeight="1">
      <c r="A785" s="8" t="s">
        <v>3668</v>
      </c>
      <c r="B785" s="8" t="s">
        <v>3669</v>
      </c>
      <c r="C785" s="8" t="s">
        <v>3601</v>
      </c>
      <c r="D785" s="8" t="s">
        <v>28</v>
      </c>
      <c r="E785" s="9" t="s">
        <v>19</v>
      </c>
      <c r="F785" s="9" t="s">
        <v>20</v>
      </c>
      <c r="G785" s="9" t="s">
        <v>3670</v>
      </c>
      <c r="H785" s="8" t="s">
        <v>3671</v>
      </c>
      <c r="I785" s="8" t="s">
        <v>3672</v>
      </c>
      <c r="J785" s="9">
        <v>28.4</v>
      </c>
      <c r="K785" s="9">
        <v>6.0</v>
      </c>
      <c r="L785" s="8" t="s">
        <v>1200</v>
      </c>
      <c r="M785" s="8" t="s">
        <v>3673</v>
      </c>
      <c r="N785" s="7" t="str">
        <f>IFERROR(__xludf.DUMMYFUNCTION("GOOGLETRANSLATE(L785, ""en"", ""pt"")"),"Mecânico")</f>
        <v>Mecânico</v>
      </c>
      <c r="O785" s="7" t="str">
        <f>IFERROR(__xludf.DUMMYFUNCTION("IF(M785="""","""",GOOGLETRANSLATE(M785,""en"",""pt""))"),"Inspecionar, diagnosticar, ajustar e reparar caminhões. Ajustar equipamentos para garantir o desempenho ideal. Inspecionar, reparar e substituir peças defeituosas ou desgastadas, como rolamentos, pistões e engrenagens. Inspecionar sistemas de freio, mecan"&amp;"ismos de direção, transmissões, motores a diesel e outras peças de veículos. Revisar e testar componentes principais, como motores a diesel, sistemas hidráulicos e sistemas elétricos. Ajustar componentes do veículo de acordo com as especificações. Realiza"&amp;"r manutenção programada, como troca de óleo, verificação de níveis de fluidos, rodízio de pneus e limpeza e lubrificação de peças. Consultar clientes ou usuários para avaliar problemas. Desmontar equipamentos para manutenção ou reparo. Registrar detalhes "&amp;"dos reparos realizados e peças utilizadas. Remontar máquinas e equipamentos após o reparo, testar o funcionamento e fazer os ajustes necessários. Testar os veículos para garantir que funcionem corretamente. A jornada de trabalho diária inclui 1 hora de in"&amp;"tervalo para almoço não remunerado. Classificação da vaga: 49-3031.00 - Mecânicos de Ônibus e Caminhões e Especialistas em Motores a Diesel. A classificação e descrição da vaga/setor inclui informações gerais sobre o cargo, conforme ONET/OES e o Sistema d"&amp;"e Classificação Industrial da América do Norte (NAICS). Consulte a Descrição das Funções e a Ordem de Serviço para obter mais informações. Requisitos da Vaga Experiência Necessária: Sim Meses de Experiência Necessários: 3 Requisitos Especiais: Conheciment"&amp;"o e experiência em mecânica básica são necessários Número de Horas por Semana: 50 Horário de Trabalho (Início/Término): 6h às 17h")</f>
        <v>Inspecionar, diagnosticar, ajustar e reparar caminhões. Ajustar equipamentos para garantir o desempenho ideal. Inspecionar, reparar e substituir peças defeituosas ou desgastadas, como rolamentos, pistões e engrenagens. Inspecionar sistemas de freio, mecanismos de direção, transmissões, motores a diesel e outras peças de veículos. Revisar e testar componentes principais, como motores a diesel, sistemas hidráulicos e sistemas elétricos. Ajustar componentes do veículo de acordo com as especificações. Realizar manutenção programada, como troca de óleo, verificação de níveis de fluidos, rodízio de pneus e limpeza e lubrificação de peças. Consultar clientes ou usuários para avaliar problemas. Desmontar equipamentos para manutenção ou reparo. Registrar detalhes dos reparos realizados e peças utilizadas. Remontar máquinas e equipamentos após o reparo, testar o funcionamento e fazer os ajustes necessários. Testar os veículos para garantir que funcionem corretamente. A jornada de trabalho diária inclui 1 hora de intervalo para almoço não remunerado. Classificação da vaga: 49-3031.00 - Mecânicos de Ônibus e Caminhões e Especialistas em Motores a Diesel. A classificação e descrição da vaga/setor inclui informações gerais sobre o cargo, conforme ONET/OES e o Sistema de Classificação Industrial da América do Norte (NAICS). Consulte a Descrição das Funções e a Ordem de Serviço para obter mais informações. Requisitos da Vaga Experiência Necessária: Sim Meses de Experiência Necessários: 3 Requisitos Especiais: Conhecimento e experiência em mecânica básica são necessários Número de Horas por Semana: 50 Horário de Trabalho (Início/Término): 6h às 17h</v>
      </c>
    </row>
    <row r="786" ht="20.25" customHeight="1">
      <c r="A786" s="3" t="s">
        <v>3674</v>
      </c>
      <c r="B786" s="3" t="s">
        <v>3675</v>
      </c>
      <c r="C786" s="3" t="s">
        <v>2263</v>
      </c>
      <c r="D786" s="3" t="s">
        <v>55</v>
      </c>
      <c r="E786" s="4" t="s">
        <v>44</v>
      </c>
      <c r="F786" s="4" t="s">
        <v>20</v>
      </c>
      <c r="G786" s="4" t="s">
        <v>345</v>
      </c>
      <c r="H786" s="3" t="s">
        <v>3676</v>
      </c>
      <c r="I786" s="3" t="s">
        <v>3677</v>
      </c>
      <c r="J786" s="4">
        <v>19.8</v>
      </c>
      <c r="K786" s="4">
        <v>6.0</v>
      </c>
      <c r="L786" s="3" t="s">
        <v>1490</v>
      </c>
      <c r="M786" s="3" t="s">
        <v>3678</v>
      </c>
      <c r="N786" s="7" t="str">
        <f>IFERROR(__xludf.DUMMYFUNCTION("GOOGLETRANSLATE(L786, ""en"", ""pt"")"),"Zelador")</f>
        <v>Zelador</v>
      </c>
      <c r="O786" s="7" t="str">
        <f>IFERROR(__xludf.DUMMYFUNCTION("IF(M786="""","""",GOOGLETRANSLATE(M786,""en"",""pt""))"),"Remoção de neve, manutenção de terrenos, limpeza de lixo e outras tarefas relacionadas à manutenção das instalações, como limpeza de folhas, neve ou detritos usando ferramentas manuais ou equipamentos elétricos, incluindo, entre outros, ancinhos, pás e so"&amp;"pradores de neve/folhas. Preparação e ativação do sistema de irrigação para o inverno. Remoção ou substituição de vegetação morta. Possibilidade de limpeza de folhas no outono e na primavera, poda de inverno, plantio de plantas perenes, remoção de folhas "&amp;"e cobertura morta em canteiros. Poda de árvores e arbustos. Remoção de gelo e neve de calçadas, entradas de garagem e estacionamentos de diversas propriedades residenciais, municipais e comerciais, usando ferramentas manuais como vassouras de neve e pás, "&amp;"e espalhando soluções de degelo, incluindo cloreto de cálcio ou sal grosso. Pode também usar um soprador de neve elétrico ou a gasolina, conforme necessário. Pode dirigir veículos da equipe, conforme necessário. Classificação da Função: 37-3011.00 - Traba"&amp;"lhadores de Paisagismo e Manutenção de Jardins. A classificação e descrição da função/setor inclui informações gerais sobre o cargo, de acordo com o ONET/OES e o Sistema de Classificação Industrial da América do Norte (NAICS). Consulte as Funções e a Orde"&amp;"m de Serviço para obter mais informações. Requisitos da Função: Experiência Necessária: Não. Requisitos Especiais: É OBRIGATÓRIO POSSUIR CARTEIRA DE HABILITAÇÃO VÁLIDA DOS EUA OU SER CAPAZ DE OBTER CARTEIRA DE HABILITAÇÃO NOS EUA. É OBRIGATÓRIO LEVANTAR/C"&amp;"ARREGAR 23 KG, QUANDO NECESSÁRIO. Horas extras e trabalho aos sábados e domingos serão obrigatórios, quando necessário. É necessário ter capacidade para realizar trabalho físico ao ar livre por até 8 horas por dia, em todas as condições climáticas, inclui"&amp;"ndo frio, neve, calor e chuva. É necessário ter 18 anos ou mais. Número de horas por semana: 35. Horário de trabalho (início/término): 8h às 17h.")</f>
        <v>Remoção de neve, manutenção de terrenos, limpeza de lixo e outras tarefas relacionadas à manutenção das instalações, como limpeza de folhas, neve ou detritos usando ferramentas manuais ou equipamentos elétricos, incluindo, entre outros, ancinhos, pás e sopradores de neve/folhas. Preparação e ativação do sistema de irrigação para o inverno. Remoção ou substituição de vegetação morta. Possibilidade de limpeza de folhas no outono e na primavera, poda de inverno, plantio de plantas perenes, remoção de folhas e cobertura morta em canteiros. Poda de árvores e arbustos. Remoção de gelo e neve de calçadas, entradas de garagem e estacionamentos de diversas propriedades residenciais, municipais e comerciais, usando ferramentas manuais como vassouras de neve e pás, e espalhando soluções de degelo, incluindo cloreto de cálcio ou sal grosso. Pode também usar um soprador de neve elétrico ou a gasolina, conforme necessário. Pode dirigir veículos da equipe, conforme necessário. Classificação da Função: 37-3011.00 - Trabalhadores de Paisagismo e Manutenção de Jardins. A classificação e descrição da função/setor inclui informações gerais sobre o cargo, de acordo com o ONET/OES e o Sistema de Classificação Industrial da América do Norte (NAICS). Consulte as Funções e a Ordem de Serviço para obter mais informações. Requisitos da Função: Experiência Necessária: Não. Requisitos Especiais: É OBRIGATÓRIO POSSUIR CARTEIRA DE HABILITAÇÃO VÁLIDA DOS EUA OU SER CAPAZ DE OBTER CARTEIRA DE HABILITAÇÃO NOS EUA. É OBRIGATÓRIO LEVANTAR/CARREGAR 23 KG, QUANDO NECESSÁRIO. Horas extras e trabalho aos sábados e domingos serão obrigatórios, quando necessário. É necessário ter capacidade para realizar trabalho físico ao ar livre por até 8 horas por dia, em todas as condições climáticas, incluindo frio, neve, calor e chuva. É necessário ter 18 anos ou mais. Número de horas por semana: 35. Horário de trabalho (início/término): 8h às 17h.</v>
      </c>
    </row>
    <row r="787" ht="20.25" customHeight="1">
      <c r="A787" s="8" t="s">
        <v>3679</v>
      </c>
      <c r="B787" s="8" t="s">
        <v>3680</v>
      </c>
      <c r="C787" s="8" t="s">
        <v>2898</v>
      </c>
      <c r="D787" s="8" t="s">
        <v>28</v>
      </c>
      <c r="E787" s="9" t="s">
        <v>19</v>
      </c>
      <c r="F787" s="9" t="s">
        <v>20</v>
      </c>
      <c r="G787" s="9" t="s">
        <v>94</v>
      </c>
      <c r="H787" s="8" t="s">
        <v>3681</v>
      </c>
      <c r="I787" s="8" t="s">
        <v>3682</v>
      </c>
      <c r="J787" s="9">
        <v>15.78</v>
      </c>
      <c r="K787" s="9">
        <v>17.0</v>
      </c>
      <c r="L787" s="8" t="s">
        <v>3683</v>
      </c>
      <c r="M787" s="8" t="s">
        <v>3684</v>
      </c>
      <c r="N787" s="7" t="str">
        <f>IFERROR(__xludf.DUMMYFUNCTION("GOOGLETRANSLATE(L787, ""en"", ""pt"")"),"Caldeira de açúcar")</f>
        <v>Caldeira de açúcar</v>
      </c>
      <c r="O787" s="7" t="str">
        <f>IFERROR(__xludf.DUMMYFUNCTION("IF(M787="""","""",GOOGLETRANSLATE(M787,""en"",""pt""))"),"Auxílio na operação de tachos de vácuo aquecidos a vapor, cristalização e fabricação geral de açúcar bruto durante a safra, bem como trabalhos relacionados à produção de açúcar, conforme necessário ou designado. Classificação do Cargo: 51-3092.00 - Prepar"&amp;"adores de Lote de Alimentos. A classificação e descrição do cargo/setor incluem informações gerais sobre a posição, de acordo com o ONET/OES e o Sistema de Classificação Industrial da América do Norte (NAICS). Consulte as Funções e a Ordem de Serviço para"&amp;" obter mais informações. Requisitos do Cargo Experiência Necessária: Sim Meses de Experiência Necessários: 6 Requisitos Especiais: Exame toxicológico pós-admissão é obrigatório para todos os funcionários, nacionais e estrangeiros, na chegada ao local de t"&amp;"rabalho. Horário e dias de trabalho: Horário Básico: O horário de trabalho básico pode variar de 8 a 12 horas por dia, até 7 dias por semana; horas extras pagas após 48 horas; o horário inclui um intervalo de almoço não remunerado de 30 minutos. Horário: "&amp;"6h30 às 15h; 56 horas por semana. Número de horas por semana: 56 Horário de trabalho (início/término): 6h30 - 15h00")</f>
        <v>Auxílio na operação de tachos de vácuo aquecidos a vapor, cristalização e fabricação geral de açúcar bruto durante a safra, bem como trabalhos relacionados à produção de açúcar, conforme necessário ou designado. Classificação do Cargo: 51-3092.00 - Preparadores de Lote de Alimentos. A classificação e descrição do cargo/setor incluem informações gerais sobre a posição, de acordo com o ONET/OES e o Sistema de Classificação Industrial da América do Norte (NAICS). Consulte as Funções e a Ordem de Serviço para obter mais informações. Requisitos do Cargo Experiência Necessária: Sim Meses de Experiência Necessários: 6 Requisitos Especiais: Exame toxicológico pós-admissão é obrigatório para todos os funcionários, nacionais e estrangeiros, na chegada ao local de trabalho. Horário e dias de trabalho: Horário Básico: O horário de trabalho básico pode variar de 8 a 12 horas por dia, até 7 dias por semana; horas extras pagas após 48 horas; o horário inclui um intervalo de almoço não remunerado de 30 minutos. Horário: 6h30 às 15h; 56 horas por semana. Número de horas por semana: 56 Horário de trabalho (início/término): 6h30 - 15h00</v>
      </c>
    </row>
    <row r="788" ht="20.25" customHeight="1">
      <c r="A788" s="3" t="s">
        <v>3685</v>
      </c>
      <c r="B788" s="3" t="s">
        <v>3686</v>
      </c>
      <c r="C788" s="3" t="s">
        <v>3588</v>
      </c>
      <c r="D788" s="3" t="s">
        <v>71</v>
      </c>
      <c r="E788" s="4" t="s">
        <v>19</v>
      </c>
      <c r="F788" s="4" t="s">
        <v>20</v>
      </c>
      <c r="G788" s="4" t="s">
        <v>377</v>
      </c>
      <c r="H788" s="3" t="s">
        <v>3687</v>
      </c>
      <c r="I788" s="3" t="s">
        <v>3688</v>
      </c>
      <c r="J788" s="4">
        <v>26.21</v>
      </c>
      <c r="K788" s="4">
        <v>15.0</v>
      </c>
      <c r="L788" s="3" t="s">
        <v>3689</v>
      </c>
      <c r="M788" s="3" t="s">
        <v>3690</v>
      </c>
      <c r="N788" s="7" t="str">
        <f>IFERROR(__xludf.DUMMYFUNCTION("GOOGLETRANSLATE(L788, ""en"", ""pt"")"),"Instalador de pisos")</f>
        <v>Instalador de pisos</v>
      </c>
      <c r="O788" s="7" t="str">
        <f>IFERROR(__xludf.DUMMYFUNCTION("IF(M788="""","""",GOOGLETRANSLATE(M788,""en"",""pt""))"),"Remover o piso existente (remover o material do piso antigo, descartá-lo e limpar a área), preparar as áreas do piso (alisar áreas ásperas, remover pregos, excesso de madeira ou outros resíduos manualmente) e instalar o novo piso. Os tipos de piso a serem"&amp;" instalados incluem carpete, cerâmica e vinil. Classificação da função: 47-2042.00 - Instaladores de Piso, exceto Carpete, Madeira e Cerâmica. A classificação e descrição da função/setor incluem informações gerais sobre o cargo, de acordo com o ONET/OES e"&amp;" o Sistema de Classificação Industrial da América do Norte (NAICS). Consulte as Funções e a Ordem de Serviço para obter mais informações. Requisitos da vaga: Experiência necessária: Sim. Meses de experiência necessários: 3. Requisitos especiais: Capacidad"&amp;"e de levantar até 32 kg (70 libras). Número de horas por semana: 40. Horário de trabalho (início/término): 8h às 17h.")</f>
        <v>Remover o piso existente (remover o material do piso antigo, descartá-lo e limpar a área), preparar as áreas do piso (alisar áreas ásperas, remover pregos, excesso de madeira ou outros resíduos manualmente) e instalar o novo piso. Os tipos de piso a serem instalados incluem carpete, cerâmica e vinil. Classificação da função: 47-2042.00 - Instaladores de Piso, exceto Carpete, Madeira e Cerâmica. A classificação e descrição da função/setor incluem informações gerais sobre o cargo, de acordo com o ONET/OES e o Sistema de Classificação Industrial da América do Norte (NAICS). Consulte as Funções e a Ordem de Serviço para obter mais informações. Requisitos da vaga: Experiência necessária: Sim. Meses de experiência necessários: 3. Requisitos especiais: Capacidade de levantar até 32 kg (70 libras). Número de horas por semana: 40. Horário de trabalho (início/término): 8h às 17h.</v>
      </c>
    </row>
    <row r="789" ht="20.25" customHeight="1">
      <c r="A789" s="8" t="s">
        <v>3691</v>
      </c>
      <c r="B789" s="8" t="s">
        <v>2897</v>
      </c>
      <c r="C789" s="8" t="s">
        <v>2898</v>
      </c>
      <c r="D789" s="8" t="s">
        <v>663</v>
      </c>
      <c r="E789" s="9" t="s">
        <v>19</v>
      </c>
      <c r="F789" s="9" t="s">
        <v>20</v>
      </c>
      <c r="G789" s="9" t="s">
        <v>118</v>
      </c>
      <c r="H789" s="8" t="s">
        <v>2900</v>
      </c>
      <c r="I789" s="8" t="s">
        <v>2901</v>
      </c>
      <c r="J789" s="9">
        <v>15.67</v>
      </c>
      <c r="K789" s="9">
        <v>20.0</v>
      </c>
      <c r="L789" s="8" t="s">
        <v>3692</v>
      </c>
      <c r="M789" s="8" t="s">
        <v>3693</v>
      </c>
      <c r="N789" s="7" t="str">
        <f>IFERROR(__xludf.DUMMYFUNCTION("GOOGLETRANSLATE(L789, ""en"", ""pt"")"),"Cozinheiro II")</f>
        <v>Cozinheiro II</v>
      </c>
      <c r="O789" s="7" t="str">
        <f>IFERROR(__xludf.DUMMYFUNCTION("IF(M789="""","""",GOOGLETRANSLATE(M789,""en"",""pt""))"),"Descrição do cargo/funções: Cozinhar na área de preparo dos alimentos durante o horário de serviço e na linha de produção (chapa/quentes), incluindo leitura de pedidos, apresentação dos pratos e execução dos itens do cardápio de forma ágil. Após familiari"&amp;"zar-se com os processos corretos da cozinha, o Cozinheiro II poderá sugerir alguns pratos e preparações para o cardápio da semana, garantindo que a cozinha siga o método de execução mais preciso, sempre priorizando o trabalho em equipe e as instruções do "&amp;"chef. As funções incluem limpar e preparar os alimentos para o serviço; cobrir, etiquetar e datar os alimentos para armazenamento; manter um ambiente de trabalho constantemente seguro, limpo e higienizado; preparar os alimentos de acordo com as receitas e"&amp;"/ou padrões da casa; praticar os princípios adequados de armazenamento de alimentos; compreender e demonstrar as técnicas adequadas de Garde Manger para realçar a aparência dos alimentos; identificar, manusear e preparar diversos tipos de carnes e peixes "&amp;"de acordo com as especificações; preparar os itens da linha de produção de forma ágil, fácil e eficiente. Classificação do cargo: 35-2014.00 - Cozinheiros, Restaurante. A classificação e descrição do cargo/setor inclui informações gerais sobre a posição, "&amp;"de acordo com o ONET/OES e o Sistema de Classificação Industrial da América do Norte (NAICS). Consulte a Descrição das Funções e a Ordem de Serviço para obter mais informações. Requisitos da Vaga Experiência Necessária: Sim Meses de Experiência Necessário"&amp;"s: 6 Requisitos Especiais: O contratante considerará para emprego qualquer pessoa que possua pelo menos seis (6) meses de experiência em um restaurante de alto padrão ou de grande movimento, resort, clube privado ou ambiente turístico. O candidato deverá "&amp;"passar por uma verificação de antecedentes pré-emprego. Horário e dias de trabalho. Horário básico: 35 horas por semana. O horário de trabalho pode variar e incluir turnos noturnos, fins de semana e feriados. O trabalho pode ser realizado em qualquer dia "&amp;"da semana, de segunda a sábado. Exemplos de turnos: 6h às 13h ou 14h às 21h. Os horários dos turnos podem variar. Número de Horas por Semana: 35 Horário de Trabalho (Início/Término): 6h às 13h")</f>
        <v>Descrição do cargo/funções: Cozinhar na área de preparo dos alimentos durante o horário de serviço e na linha de produção (chapa/quentes), incluindo leitura de pedidos, apresentação dos pratos e execução dos itens do cardápio de forma ágil. Após familiarizar-se com os processos corretos da cozinha, o Cozinheiro II poderá sugerir alguns pratos e preparações para o cardápio da semana, garantindo que a cozinha siga o método de execução mais preciso, sempre priorizando o trabalho em equipe e as instruções do chef. As funções incluem limpar e preparar os alimentos para o serviço; cobrir, etiquetar e datar os alimentos para armazenamento; manter um ambiente de trabalho constantemente seguro, limpo e higienizado; preparar os alimentos de acordo com as receitas e/ou padrões da casa; praticar os princípios adequados de armazenamento de alimentos; compreender e demonstrar as técnicas adequadas de Garde Manger para realçar a aparência dos alimentos; identificar, manusear e preparar diversos tipos de carnes e peixes de acordo com as especificações; preparar os itens da linha de produção de forma ágil, fácil e eficiente. Classificação do cargo: 35-2014.00 - Cozinheiros, Restaurante. A classificação e descrição do cargo/setor inclui informações gerais sobre a posição, de acordo com o ONET/OES e o Sistema de Classificação Industrial da América do Norte (NAICS). Consulte a Descrição das Funções e a Ordem de Serviço para obter mais informações. Requisitos da Vaga Experiência Necessária: Sim Meses de Experiência Necessários: 6 Requisitos Especiais: O contratante considerará para emprego qualquer pessoa que possua pelo menos seis (6) meses de experiência em um restaurante de alto padrão ou de grande movimento, resort, clube privado ou ambiente turístico. O candidato deverá passar por uma verificação de antecedentes pré-emprego. Horário e dias de trabalho. Horário básico: 35 horas por semana. O horário de trabalho pode variar e incluir turnos noturnos, fins de semana e feriados. O trabalho pode ser realizado em qualquer dia da semana, de segunda a sábado. Exemplos de turnos: 6h às 13h ou 14h às 21h. Os horários dos turnos podem variar. Número de Horas por Semana: 35 Horário de Trabalho (Início/Término): 6h às 13h</v>
      </c>
    </row>
    <row r="790" ht="20.25" customHeight="1">
      <c r="A790" s="3" t="s">
        <v>3694</v>
      </c>
      <c r="B790" s="3" t="s">
        <v>3695</v>
      </c>
      <c r="C790" s="3" t="s">
        <v>1000</v>
      </c>
      <c r="D790" s="3" t="s">
        <v>133</v>
      </c>
      <c r="E790" s="4" t="s">
        <v>19</v>
      </c>
      <c r="F790" s="4" t="s">
        <v>20</v>
      </c>
      <c r="G790" s="4" t="s">
        <v>307</v>
      </c>
      <c r="H790" s="3" t="s">
        <v>3696</v>
      </c>
      <c r="I790" s="3" t="s">
        <v>3697</v>
      </c>
      <c r="J790" s="4">
        <v>32.57</v>
      </c>
      <c r="K790" s="4">
        <v>16.0</v>
      </c>
      <c r="L790" s="3" t="s">
        <v>1003</v>
      </c>
      <c r="M790" s="3" t="s">
        <v>3698</v>
      </c>
      <c r="N790" s="7" t="str">
        <f>IFERROR(__xludf.DUMMYFUNCTION("GOOGLETRANSLATE(L790, ""en"", ""pt"")"),"Acabadores de concreto")</f>
        <v>Acabadores de concreto</v>
      </c>
      <c r="O790" s="7" t="str">
        <f>IFERROR(__xludf.DUMMYFUNCTION("IF(M790="""","""",GOOGLETRANSLATE(M790,""en"",""pt""))"),"Preparar os canteiros de obras onde o concreto será despejado, orientando os operários a posicionar os materiais no local, medir as fôrmas, examinar o nivelamento e confirmar o layout correto das fôrmas. Posicionar e alinhar com segurança as fôrmas de mad"&amp;"eira e metal que conterão o concreto. Espalhar, nivelar e alisar o concreto usando rastelos, réguas de nivelamento manuais ou motorizadas, alisadoras mecânicas, pás ou ferramentas manuais. Desmontar as fôrmas e cortar o concreto com serras para concreto. "&amp;"Limpar o canteiro de obras. Classificação da Função: 47-2051.00 - Pedreiros e Acabadores de Concreto. A classificação e descrição da função/setor incluem informações gerais sobre o cargo, de acordo com o ONET/OES e o Sistema de Classificação Industrial da"&amp;" América do Norte (NAICS). Consulte as Funções e a Ordem de Serviço para obter mais informações. Requisitos da Função: Experiência Necessária: Sim. Meses de Experiência Necessários: 36. Requisitos Especiais: Trabalho em alguns fins de semana. Capacidade d"&amp;"e levantar e carregar 34 kg por 45 metros. Capacidade de suportar temperaturas extremas. 36 meses de experiência em acabamento de concreto são necessários. Número de horas por semana: 40 Horário de trabalho (início/término): 6h00 - 16h00")</f>
        <v>Preparar os canteiros de obras onde o concreto será despejado, orientando os operários a posicionar os materiais no local, medir as fôrmas, examinar o nivelamento e confirmar o layout correto das fôrmas. Posicionar e alinhar com segurança as fôrmas de madeira e metal que conterão o concreto. Espalhar, nivelar e alisar o concreto usando rastelos, réguas de nivelamento manuais ou motorizadas, alisadoras mecânicas, pás ou ferramentas manuais. Desmontar as fôrmas e cortar o concreto com serras para concreto. Limpar o canteiro de obras. Classificação da Função: 47-2051.00 - Pedreiros e Acabadores de Concreto. A classificação e descrição da função/setor incluem informações gerais sobre o cargo, de acordo com o ONET/OES e o Sistema de Classificação Industrial da América do Norte (NAICS). Consulte as Funções e a Ordem de Serviço para obter mais informações. Requisitos da Função: Experiência Necessária: Sim. Meses de Experiência Necessários: 36. Requisitos Especiais: Trabalho em alguns fins de semana. Capacidade de levantar e carregar 34 kg por 45 metros. Capacidade de suportar temperaturas extremas. 36 meses de experiência em acabamento de concreto são necessários. Número de horas por semana: 40 Horário de trabalho (início/término): 6h00 - 16h00</v>
      </c>
    </row>
    <row r="791" ht="20.25" customHeight="1">
      <c r="A791" s="8" t="s">
        <v>3699</v>
      </c>
      <c r="B791" s="8" t="s">
        <v>3695</v>
      </c>
      <c r="C791" s="8" t="s">
        <v>1000</v>
      </c>
      <c r="D791" s="8" t="s">
        <v>133</v>
      </c>
      <c r="E791" s="9" t="s">
        <v>19</v>
      </c>
      <c r="F791" s="9" t="s">
        <v>20</v>
      </c>
      <c r="G791" s="9" t="s">
        <v>307</v>
      </c>
      <c r="H791" s="8" t="s">
        <v>3696</v>
      </c>
      <c r="I791" s="8" t="s">
        <v>3697</v>
      </c>
      <c r="J791" s="9">
        <v>26.83</v>
      </c>
      <c r="K791" s="9">
        <v>25.0</v>
      </c>
      <c r="L791" s="8" t="s">
        <v>302</v>
      </c>
      <c r="M791" s="8" t="s">
        <v>3700</v>
      </c>
      <c r="N791" s="7" t="str">
        <f>IFERROR(__xludf.DUMMYFUNCTION("GOOGLETRANSLATE(L791, ""en"", ""pt"")"),"Operários da construção civil")</f>
        <v>Operários da construção civil</v>
      </c>
      <c r="O791" s="7" t="str">
        <f>IFERROR(__xludf.DUMMYFUNCTION("IF(M791="""","""",GOOGLETRANSLATE(M791,""en"",""pt""))"),"Executar tarefas menores que envolvam trabalho braçal em canteiro de obras de concreto. Preparar o local para a concretagem, carregando e descarregando materiais, utilizando linhas de referência, cortando madeira com serra circular, utilizando marreta par"&amp;"a cravar estacas no solo, cavando e nivelando a terra com pás e compactadores de placa. Auxiliar na concretagem utilizando carrinhos de mão, rastelos e pás. Limpar o canteiro de obras e recolher os resíduos. Classificação da Função: 47-2061.00 - Auxiliare"&amp;"s de Construção. A classificação e descrição da função/setor inclui informações gerais sobre o cargo, de acordo com o ONET/OES e o Sistema de Classificação Industrial da América do Norte (NAICS). Consulte as Funções e a Ordem de Serviço para obter mais in"&amp;"formações. Requisitos da Função: Experiência Necessária: Sim. Meses de Experiência Necessários: 3. Requisitos Especiais: Deve ser capaz de lidar com temperaturas extremas, operar ferramentas elétricas, ler e usar trena e levantar e carregar 34 kg por 45 m"&amp;"etros. Trabalho em alguns fins de semana. 3 meses de experiência em construção de concreto são necessários. Número de horas por semana: 40 Horário de trabalho (início/término): 18h00 - 16h00")</f>
        <v>Executar tarefas menores que envolvam trabalho braçal em canteiro de obras de concreto. Preparar o local para a concretagem, carregando e descarregando materiais, utilizando linhas de referência, cortando madeira com serra circular, utilizando marreta para cravar estacas no solo, cavando e nivelando a terra com pás e compactadores de placa. Auxiliar na concretagem utilizando carrinhos de mão, rastelos e pás. Limpar o canteiro de obras e recolher os resíduos. Classificação da Função: 47-2061.00 - Auxiliares de Construção. A classificação e descrição da função/setor inclui informações gerais sobre o cargo, de acordo com o ONET/OES e o Sistema de Classificação Industrial da América do Norte (NAICS). Consulte as Funções e a Ordem de Serviço para obter mais informações. Requisitos da Função: Experiência Necessária: Sim. Meses de Experiência Necessários: 3. Requisitos Especiais: Deve ser capaz de lidar com temperaturas extremas, operar ferramentas elétricas, ler e usar trena e levantar e carregar 34 kg por 45 metros. Trabalho em alguns fins de semana. 3 meses de experiência em construção de concreto são necessários. Número de horas por semana: 40 Horário de trabalho (início/término): 18h00 - 16h00</v>
      </c>
    </row>
    <row r="792" ht="20.25" customHeight="1">
      <c r="A792" s="3" t="s">
        <v>3701</v>
      </c>
      <c r="B792" s="3" t="s">
        <v>3702</v>
      </c>
      <c r="C792" s="3" t="s">
        <v>1000</v>
      </c>
      <c r="D792" s="3" t="s">
        <v>117</v>
      </c>
      <c r="E792" s="4" t="s">
        <v>44</v>
      </c>
      <c r="F792" s="4" t="s">
        <v>20</v>
      </c>
      <c r="G792" s="4" t="s">
        <v>307</v>
      </c>
      <c r="H792" s="3" t="s">
        <v>3703</v>
      </c>
      <c r="I792" s="3" t="s">
        <v>3704</v>
      </c>
      <c r="J792" s="4">
        <v>17.42</v>
      </c>
      <c r="K792" s="4">
        <v>5.0</v>
      </c>
      <c r="L792" s="3" t="s">
        <v>2196</v>
      </c>
      <c r="M792" s="3" t="s">
        <v>3705</v>
      </c>
      <c r="N792" s="7" t="str">
        <f>IFERROR(__xludf.DUMMYFUNCTION("GOOGLETRANSLATE(L792, ""en"", ""pt"")"),"Paisagistas")</f>
        <v>Paisagistas</v>
      </c>
      <c r="O792" s="7" t="str">
        <f>IFERROR(__xludf.DUMMYFUNCTION("IF(M792="""","""",GOOGLETRANSLATE(M792,""en"",""pt""))"),"***Resposta à Solicitação de Informações*** Manutenção de Paisagens: Os paisagistas realizam atividades rotineiras de paisagismo e manutenção de terrenos, incluindo cortar grama, aparar e delimitar áreas ajardinadas, regar gramados, árvores, arbustos, flo"&amp;"res e plantas, recolher e remover folhas, aparas de grama, lixo e outros detritos, e manter os jardins. Árvores, Arbustos e Cercas Vivas: Os paisagistas realizam a manutenção rotineira de árvores, arbustos e cercas vivas como parte dos serviços de paisagi"&amp;"smo. As tarefas incluem aparar ou cortar pequenos galhos, arbustos, cercas vivas e outras vegetações acessíveis do solo, utilizando tesouras de poda, podadores manuais, aparadores de cerca viva, serras de poda e ferramentas similares de paisagismo. Trabal"&amp;"ho em Nível do Solo: Qualquer poda de árvores realizada pelos paisagistas é feita inteiramente do solo. Os trabalhadores não sobem em árvores nem trabalham com cordas, arneses, escadas, plataformas elevatórias, caminhões com cesto aéreo ou plataformas ele"&amp;"vadas. Confirmação do Escopo e Classificação: A função está alinhada com o SOC 37-3011.00 (Trabalhadores de Paisagismo e Manutenção de Áreas Verdes). A função exclui expressamente as tarefas associadas a Podadores de Árvores (SOC 37-3013.00), incluindo es"&amp;"calada em árvores, poda aérea de árvores, trabalho em altura com árvores, serviços de arborista, poda de árvores de grande porte e operações de remoção de árvores. Qualquer poda de árvores, arbustos ou sebes é incidental aos serviços rotineiros de paisagi"&amp;"smo e manutenção de áreas verdes e é realizada inteiramente do solo, utilizando ferramentas normalmente associadas à manutenção de paisagens. Os trabalhadores não são contratados como arboristas ou podadores de árvores. Todos os serviços especializados de"&amp;" cuidados com árvores e arboristas são realizados, se houver, por trabalhadores qualificados separadamente. ***Tarefas Originais*** Recolher e remover lixo/detritos. Utilizar ferramentas manuais como pás, ancinhos, serras de poda, serras, aparadores de se"&amp;"bes ou arbustos ou machados. Operar cortadores de grama de grande porte, aparadores de grama e equipamentos motorizados, como cortadores de grama manuais, motosserras, tesouras de poda elétricas, sopradores, cortadores de grama ou serras de poda. Regar gr"&amp;"amados, árvores ou plantas usando sistemas de irrigação portáteis, mangueiras ou regadores. Podar ou aparar árvores, arbustos ou sebes usando tesouras de poda, podadores ou motosserras. Classificação da função: 37-3011.00 - Trabalhadores de Paisagismo e M"&amp;"anutenção de Áreas Verdes. A classificação e descrição da função/setor inclui informações gerais sobre o cargo, de acordo com o ONET/OES e o Sistema de Classificação Industrial da América do Norte. Consulte as Funções e a Ordem de Serviço para obter mais "&amp;"informações. Requisitos da função: Experiência necessária: Não. Requisitos especiais: Deve ser capaz de ficar em pé e caminhar por longos períodos e levantar repetidamente 27 kg e carregá-los por 45 metros. Deve ser capaz de trabalhar em temperaturas extr"&amp;"emas e condições climáticas adversas. Trabalho em alguns fins de semana. Número de horas por semana: 40 Horário de trabalho (início/término): 7h00 - 17h00")</f>
        <v>***Resposta à Solicitação de Informações*** Manutenção de Paisagens: Os paisagistas realizam atividades rotineiras de paisagismo e manutenção de terrenos, incluindo cortar grama, aparar e delimitar áreas ajardinadas, regar gramados, árvores, arbustos, flores e plantas, recolher e remover folhas, aparas de grama, lixo e outros detritos, e manter os jardins. Árvores, Arbustos e Cercas Vivas: Os paisagistas realizam a manutenção rotineira de árvores, arbustos e cercas vivas como parte dos serviços de paisagismo. As tarefas incluem aparar ou cortar pequenos galhos, arbustos, cercas vivas e outras vegetações acessíveis do solo, utilizando tesouras de poda, podadores manuais, aparadores de cerca viva, serras de poda e ferramentas similares de paisagismo. Trabalho em Nível do Solo: Qualquer poda de árvores realizada pelos paisagistas é feita inteiramente do solo. Os trabalhadores não sobem em árvores nem trabalham com cordas, arneses, escadas, plataformas elevatórias, caminhões com cesto aéreo ou plataformas elevadas. Confirmação do Escopo e Classificação: A função está alinhada com o SOC 37-3011.00 (Trabalhadores de Paisagismo e Manutenção de Áreas Verdes). A função exclui expressamente as tarefas associadas a Podadores de Árvores (SOC 37-3013.00), incluindo escalada em árvores, poda aérea de árvores, trabalho em altura com árvores, serviços de arborista, poda de árvores de grande porte e operações de remoção de árvores. Qualquer poda de árvores, arbustos ou sebes é incidental aos serviços rotineiros de paisagismo e manutenção de áreas verdes e é realizada inteiramente do solo, utilizando ferramentas normalmente associadas à manutenção de paisagens. Os trabalhadores não são contratados como arboristas ou podadores de árvores. Todos os serviços especializados de cuidados com árvores e arboristas são realizados, se houver, por trabalhadores qualificados separadamente. ***Tarefas Originais*** Recolher e remover lixo/detritos. Utilizar ferramentas manuais como pás, ancinhos, serras de poda, serras, aparadores de sebes ou arbustos ou machados. Operar cortadores de grama de grande porte, aparadores de grama e equipamentos motorizados, como cortadores de grama manuais, motosserras, tesouras de poda elétricas, sopradores, cortadores de grama ou serras de poda. Regar gramados, árvores ou plantas usando sistemas de irrigação portáteis, mangueiras ou regadores. Podar ou aparar árvores, arbustos ou sebes usando tesouras de poda, podadores ou motosserras. Classificação da função: 37-3011.00 - Trabalhadores de Paisagismo e Manutenção de Áreas Verdes. A classificação e descrição da função/setor inclui informações gerais sobre o cargo, de acordo com o ONET/OES e o Sistema de Classificação Industrial da América do Norte. Consulte as Funções e a Ordem de Serviço para obter mais informações. Requisitos da função: Experiência necessária: Não. Requisitos especiais: Deve ser capaz de ficar em pé e caminhar por longos períodos e levantar repetidamente 27 kg e carregá-los por 45 metros. Deve ser capaz de trabalhar em temperaturas extremas e condições climáticas adversas. Trabalho em alguns fins de semana. Número de horas por semana: 40 Horário de trabalho (início/término): 7h00 - 17h00</v>
      </c>
    </row>
    <row r="793" ht="20.25" customHeight="1">
      <c r="A793" s="8" t="s">
        <v>3706</v>
      </c>
      <c r="B793" s="8" t="s">
        <v>3707</v>
      </c>
      <c r="C793" s="8" t="s">
        <v>1000</v>
      </c>
      <c r="D793" s="8" t="s">
        <v>117</v>
      </c>
      <c r="E793" s="9" t="s">
        <v>44</v>
      </c>
      <c r="F793" s="9" t="s">
        <v>20</v>
      </c>
      <c r="G793" s="9" t="s">
        <v>307</v>
      </c>
      <c r="H793" s="8" t="s">
        <v>3708</v>
      </c>
      <c r="I793" s="8" t="s">
        <v>3709</v>
      </c>
      <c r="J793" s="9">
        <v>22.35</v>
      </c>
      <c r="K793" s="9">
        <v>8.0</v>
      </c>
      <c r="L793" s="8" t="s">
        <v>262</v>
      </c>
      <c r="M793" s="8" t="s">
        <v>3710</v>
      </c>
      <c r="N793" s="7" t="str">
        <f>IFERROR(__xludf.DUMMYFUNCTION("GOOGLETRANSLATE(L793, ""en"", ""pt"")"),"Operário da construção civil")</f>
        <v>Operário da construção civil</v>
      </c>
      <c r="O793" s="7" t="str">
        <f>IFERROR(__xludf.DUMMYFUNCTION("IF(M793="""","""",GOOGLETRANSLATE(M793,""en"",""pt""))"),"***Resposta à Solicitação de Informações*** Os operários da construção civil realizam trabalhos manuais básicos em apoio à obra com concreto. As tarefas incluem espalhar, nivelar e alisar o concreto recém-lançado usando ferramentas manuais simples, como p"&amp;"ás, rastelos, réguas de nivelamento, desempenadeiras manuais e vassouras, sob supervisão direta. Os operários não realizam acabamento especializado em concreto, como bordas, juntas, trabalhos decorativos ou tomam decisões independentes sobre a colocação o"&amp;"u a qualidade do acabamento do concreto. Todo o acabamento especializado em concreto é realizado por trabalhadores qualificados separadamente. Os operários da construção civil auxiliam em tarefas relacionadas a tubulações, carregando, posicionando, segura"&amp;"ndo e apoiando materiais de tubulação e preenchendo valas após a instalação. Os operários não cortam, conectam, soldam, vedam, testam ou instalam sistemas de tubulação. Todo o trabalho técnico de instalação e conexão de tubulações é realizado por profissi"&amp;"onais qualificados. Os operários da construção civil auxiliam os eletricistas carregando, organizando e colocando cabos, conduítes ou luvas em valas ou locais designados, conforme instruções. Os operários não conectam, terminam, emendam, testam, energizam"&amp;" ou trabalham em sistemas elétricos. Eles não executam tarefas de eletricista ou auxiliar de eletricista. Todo o trabalho elétrico especializado é realizado exclusivamente por eletricistas licenciados ou trabalhadores qualificados separadamente. Os trabal"&amp;"hadores da construção civil utilizam ferramentas manuais básicas típicas do trabalho braçal na construção, incluindo pás, ancinhos, carrinhos de mão, desempenadeiras manuais, réguas de nivelamento e vassouras. Os trabalhadores podem usar ferramentas elétr"&amp;"icas portáteis básicas apenas para preparação e limpeza do local. A função não envolve o uso de dispositivos de teste elétrico, equipamentos especializados ou máquinas que exijam certificação profissional. A função de trabalhador da construção civil envol"&amp;"ve trabalho físico de apoio às atividades de construção e está alinhada com as tarefas do O*NET para SOC 47-2061.00, incluindo movimentação de materiais, auxílio a trabalhadores qualificados, preparação e limpeza do local. A função exclui expressamente as"&amp;" tarefas associadas a auxiliares de eletricista (SOC 47-3013), eletricistas (SOC 47-2111), encanadores (SOC 47-2152), acabadores de concreto (SOC 47-2051) ou qualquer outra profissão especializada. Todo o trabalho especializado é realizado por trabalhador"&amp;"es qualificados separadamente. ***Atribuições Originais*** Executar tarefas que envolvam trabalho físico em canteiros de obras. Pode operar ferramentas manuais e elétricas de todos os tipos. Limpar e preparar locais, cavar valas, instalar escoras para sus"&amp;"tentar as laterais das escavações, montar e desmontar andaimes, limpar entulhos e outros materiais residuais e limpar ou reparar ferramentas. Misturar, despejar, espalhar e alisar concreto. Instalar tubulações e colocar cabos ou fios para eletricistas. Cl"&amp;"assificação da Função: 47-2061.00 - Auxiliares de Construção Civil. A classificação e descrição da função/setor inclui informações gerais sobre o cargo, de acordo com o ONET/OES e o Sistema de Classificação Industrial da América do Norte (NAICS). Consulte"&amp;" as Atribuições e a Ordem de Serviço para obter mais informações. Requisitos da Função Experiência Necessária: Sim Meses de Experiência Necessários: 3 Requisitos Especiais: 3 meses de experiência em construção civil são necessários. Deve ser capaz de leva"&amp;"ntar e carregar 34 kg por 45 metros. Deve ser capaz de lidar com temperaturas extremas. Trabalho em alguns fins de semana. Número de horas por semana: 40 Horário de trabalho (início/término): 6h00 - 16h30")</f>
        <v>***Resposta à Solicitação de Informações*** Os operários da construção civil realizam trabalhos manuais básicos em apoio à obra com concreto. As tarefas incluem espalhar, nivelar e alisar o concreto recém-lançado usando ferramentas manuais simples, como pás, rastelos, réguas de nivelamento, desempenadeiras manuais e vassouras, sob supervisão direta. Os operários não realizam acabamento especializado em concreto, como bordas, juntas, trabalhos decorativos ou tomam decisões independentes sobre a colocação ou a qualidade do acabamento do concreto. Todo o acabamento especializado em concreto é realizado por trabalhadores qualificados separadamente. Os operários da construção civil auxiliam em tarefas relacionadas a tubulações, carregando, posicionando, segurando e apoiando materiais de tubulação e preenchendo valas após a instalação. Os operários não cortam, conectam, soldam, vedam, testam ou instalam sistemas de tubulação. Todo o trabalho técnico de instalação e conexão de tubulações é realizado por profissionais qualificados. Os operários da construção civil auxiliam os eletricistas carregando, organizando e colocando cabos, conduítes ou luvas em valas ou locais designados, conforme instruções. Os operários não conectam, terminam, emendam, testam, energizam ou trabalham em sistemas elétricos. Eles não executam tarefas de eletricista ou auxiliar de eletricista. Todo o trabalho elétrico especializado é realizado exclusivamente por eletricistas licenciados ou trabalhadores qualificados separadamente. Os trabalhadores da construção civil utilizam ferramentas manuais básicas típicas do trabalho braçal na construção, incluindo pás, ancinhos, carrinhos de mão, desempenadeiras manuais, réguas de nivelamento e vassouras. Os trabalhadores podem usar ferramentas elétricas portáteis básicas apenas para preparação e limpeza do local. A função não envolve o uso de dispositivos de teste elétrico, equipamentos especializados ou máquinas que exijam certificação profissional. A função de trabalhador da construção civil envolve trabalho físico de apoio às atividades de construção e está alinhada com as tarefas do O*NET para SOC 47-2061.00, incluindo movimentação de materiais, auxílio a trabalhadores qualificados, preparação e limpeza do local. A função exclui expressamente as tarefas associadas a auxiliares de eletricista (SOC 47-3013), eletricistas (SOC 47-2111), encanadores (SOC 47-2152), acabadores de concreto (SOC 47-2051) ou qualquer outra profissão especializada. Todo o trabalho especializado é realizado por trabalhadores qualificados separadamente. ***Atribuições Originais*** Executar tarefas que envolvam trabalho físico em canteiros de obras. Pode operar ferramentas manuais e elétricas de todos os tipos. Limpar e preparar locais, cavar valas, instalar escoras para sustentar as laterais das escavações, montar e desmontar andaimes, limpar entulhos e outros materiais residuais e limpar ou reparar ferramentas. Misturar, despejar, espalhar e alisar concreto. Instalar tubulações e colocar cabos ou fios para eletricistas. Classificação da Função: 47-2061.00 - Auxiliares de Construção Civil. A classificação e descrição da função/setor inclui informações gerais sobre o cargo, de acordo com o ONET/OES e o Sistema de Classificação Industrial da América do Norte (NAICS). Consulte as Atribuições e a Ordem de Serviço para obter mais informações. Requisitos da Função Experiência Necessária: Sim Meses de Experiência Necessários: 3 Requisitos Especiais: 3 meses de experiência em construção civil são necessários. Deve ser capaz de levantar e carregar 34 kg por 45 metros. Deve ser capaz de lidar com temperaturas extremas. Trabalho em alguns fins de semana. Número de horas por semana: 40 Horário de trabalho (início/término): 6h00 - 16h30</v>
      </c>
    </row>
    <row r="794" ht="20.25" customHeight="1">
      <c r="A794" s="3" t="s">
        <v>3711</v>
      </c>
      <c r="B794" s="3" t="s">
        <v>3712</v>
      </c>
      <c r="C794" s="3" t="s">
        <v>1000</v>
      </c>
      <c r="D794" s="3" t="s">
        <v>344</v>
      </c>
      <c r="E794" s="4" t="s">
        <v>19</v>
      </c>
      <c r="F794" s="4" t="s">
        <v>20</v>
      </c>
      <c r="G794" s="4" t="s">
        <v>307</v>
      </c>
      <c r="H794" s="3" t="s">
        <v>3713</v>
      </c>
      <c r="I794" s="3" t="s">
        <v>3714</v>
      </c>
      <c r="J794" s="4">
        <v>19.58</v>
      </c>
      <c r="K794" s="4">
        <v>6.0</v>
      </c>
      <c r="L794" s="3" t="s">
        <v>1720</v>
      </c>
      <c r="M794" s="3" t="s">
        <v>3715</v>
      </c>
      <c r="N794" s="7" t="str">
        <f>IFERROR(__xludf.DUMMYFUNCTION("GOOGLETRANSLATE(L794, ""en"", ""pt"")"),"Ajudantes de Carpinteiro")</f>
        <v>Ajudantes de Carpinteiro</v>
      </c>
      <c r="O794" s="7" t="str">
        <f>IFERROR(__xludf.DUMMYFUNCTION("IF(M794="""","""",GOOGLETRANSLATE(M794,""en"",""pt""))"),"Auxiliar carpinteiros em tarefas que exigem menos habilidade, como carregar ferramentas e materiais, fazer cortes simples em madeira, pregar peças de madeira simples, posicionar fôrmas e limpar o local de trabalho. Classificação da função: 47-3012.00 - Aj"&amp;"udantes de Carpinteiro. A classificação e descrição da função/setor inclui informações gerais sobre o cargo, de acordo com o ONET/OES e o Sistema de Classificação Industrial da América do Norte (NAICS). Consulte as Funções e a Ordem de Serviço para obter "&amp;"mais informações. Requisitos da vaga: Experiência necessária: Sim. Meses de experiência necessários: 1. Requisitos especiais: 1 mês de experiência em construção de fôrmas. Deve ser capaz de levantar e carregar 34 kg por 68 metros. Deve ser capaz de lidar "&amp;"com temperaturas extremas. Trabalho em alguns fins de semana. Número de horas por semana: 40. Horário de trabalho (início/término): 7h às 15h30.")</f>
        <v>Auxiliar carpinteiros em tarefas que exigem menos habilidade, como carregar ferramentas e materiais, fazer cortes simples em madeira, pregar peças de madeira simples, posicionar fôrmas e limpar o local de trabalho. Classificação da função: 47-3012.00 - Ajudantes de Carpinteiro. A classificação e descrição da função/setor inclui informações gerais sobre o cargo, de acordo com o ONET/OES e o Sistema de Classificação Industrial da América do Norte (NAICS). Consulte as Funções e a Ordem de Serviço para obter mais informações. Requisitos da vaga: Experiência necessária: Sim. Meses de experiência necessários: 1. Requisitos especiais: 1 mês de experiência em construção de fôrmas. Deve ser capaz de levantar e carregar 34 kg por 68 metros. Deve ser capaz de lidar com temperaturas extremas. Trabalho em alguns fins de semana. Número de horas por semana: 40. Horário de trabalho (início/término): 7h às 15h30.</v>
      </c>
    </row>
    <row r="795" ht="20.25" customHeight="1">
      <c r="A795" s="8" t="s">
        <v>3716</v>
      </c>
      <c r="B795" s="8" t="s">
        <v>3717</v>
      </c>
      <c r="C795" s="8" t="s">
        <v>1000</v>
      </c>
      <c r="D795" s="8" t="s">
        <v>117</v>
      </c>
      <c r="E795" s="9" t="s">
        <v>19</v>
      </c>
      <c r="F795" s="9" t="s">
        <v>20</v>
      </c>
      <c r="G795" s="9" t="s">
        <v>307</v>
      </c>
      <c r="H795" s="8" t="s">
        <v>3718</v>
      </c>
      <c r="I795" s="8" t="s">
        <v>3719</v>
      </c>
      <c r="J795" s="9">
        <v>22.69</v>
      </c>
      <c r="K795" s="9">
        <v>10.0</v>
      </c>
      <c r="L795" s="8" t="s">
        <v>302</v>
      </c>
      <c r="M795" s="8" t="s">
        <v>3720</v>
      </c>
      <c r="N795" s="7" t="str">
        <f>IFERROR(__xludf.DUMMYFUNCTION("GOOGLETRANSLATE(L795, ""en"", ""pt"")"),"Operários da construção civil")</f>
        <v>Operários da construção civil</v>
      </c>
      <c r="O795" s="7" t="str">
        <f>IFERROR(__xludf.DUMMYFUNCTION("IF(M795="""","""",GOOGLETRANSLATE(M795,""en"",""pt""))"),"Resposta à Solicitação de Informações (RFI): Escavação de Fundações e Nivelamento do Terreno: Os operários da construção civil auxiliam nas atividades de escavação, realizando tarefas manuais e não especializadas sob a supervisão de profissionais qualific"&amp;"ados. Isso inclui cavar e remover o solo manualmente com pás, picaretas, ancinhos e carrinhos de mão, bem como espalhar, nivelar e compactar o solo manualmente para preparar as áreas para as fundações. Os operários medem as profundidades aproximadas usand"&amp;"o ferramentas manuais básicas, como trenas ou estacas de nivelamento, e removem o material escavado da área de trabalho. Os operários da construção civil não operam escavadeiras, valeteiras ou equipamentos motorizados de movimentação de terra. Toda a esca"&amp;"vação e nivelamento mecanizados são realizados por operadores de equipamentos qualificados. O papel dos operários se limita à preparação manual do local, limpeza e manuseio de materiais, de acordo com as atividades gerais de trabalho na construção civil. "&amp;"Posicionamento de Formas de Alumínio para Paredes e Concretagem: Os operários da construção civil auxiliam nas atividades de concretagem, movendo, posicionando e segurando formas leves de alumínio para paredes, conforme as instruções dos supervisores. Iss"&amp;"o inclui transportar as fôrmas para a área de trabalho, alinhá-las no lugar, inserir pinos ou grampos e manter os componentes firmes enquanto trabalhadores qualificados os fixam e ajustam. Os operários usam ferramentas manuais, como martelos, chaves e fer"&amp;"ramentas básicas de alinhamento para essas tarefas de apoio. Quando o concreto é lançado, os operários da construção civil auxiliam guiando calhas, espalhando o concreto fresco com pás e vibrando as fôrmas com ferramentas manuais, estritamente sob supervi"&amp;"são. Eles não realizam acabamento de concreto, alisamento de superfície, reforço estrutural ou instalação de vergalhões. Todo o trabalho especializado em concreto, acabamento, reforço e controle de qualidade é realizado por pedreiros, acabadores ou montad"&amp;"ores de estruturas metálicas qualificados separadamente. Descrição original da vaga: Construção de concreto residencial e comercial. Medir e demarcar sapatas e fundações. Escavar sapatas e nivelar o terreno de acordo com as especificações. Posicionar fôrm"&amp;"as de alumínio para paredes e lançar todo o concreto. Limpar o local. Classificação da função: 47-2061.00 - Operários da Construção Civil. A classificação e descrição da função/setor inclui informações gerais sobre o cargo, provenientes do ONET/OES e do S"&amp;"istema de Classificação Industrial da América do Norte (NAICS). Consulte a Descrição das Funções e a Ordem de Serviço para obter mais informações. Requisitos da Vaga Experiência Necessária: Sim Meses de Experiência Necessários: 2 Requisitos Especiais: Tra"&amp;"balho em alguns fins de semana. Deve ser capaz de levantar e carregar 34 kg por 45 metros. Deve ser capaz de lidar com temperaturas extremas. Número de Horas por Semana: 40 Horário de Trabalho (Início/Término): 6h às 17h")</f>
        <v>Resposta à Solicitação de Informações (RFI): Escavação de Fundações e Nivelamento do Terreno: Os operários da construção civil auxiliam nas atividades de escavação, realizando tarefas manuais e não especializadas sob a supervisão de profissionais qualificados. Isso inclui cavar e remover o solo manualmente com pás, picaretas, ancinhos e carrinhos de mão, bem como espalhar, nivelar e compactar o solo manualmente para preparar as áreas para as fundações. Os operários medem as profundidades aproximadas usando ferramentas manuais básicas, como trenas ou estacas de nivelamento, e removem o material escavado da área de trabalho. Os operários da construção civil não operam escavadeiras, valeteiras ou equipamentos motorizados de movimentação de terra. Toda a escavação e nivelamento mecanizados são realizados por operadores de equipamentos qualificados. O papel dos operários se limita à preparação manual do local, limpeza e manuseio de materiais, de acordo com as atividades gerais de trabalho na construção civil. Posicionamento de Formas de Alumínio para Paredes e Concretagem: Os operários da construção civil auxiliam nas atividades de concretagem, movendo, posicionando e segurando formas leves de alumínio para paredes, conforme as instruções dos supervisores. Isso inclui transportar as fôrmas para a área de trabalho, alinhá-las no lugar, inserir pinos ou grampos e manter os componentes firmes enquanto trabalhadores qualificados os fixam e ajustam. Os operários usam ferramentas manuais, como martelos, chaves e ferramentas básicas de alinhamento para essas tarefas de apoio. Quando o concreto é lançado, os operários da construção civil auxiliam guiando calhas, espalhando o concreto fresco com pás e vibrando as fôrmas com ferramentas manuais, estritamente sob supervisão. Eles não realizam acabamento de concreto, alisamento de superfície, reforço estrutural ou instalação de vergalhões. Todo o trabalho especializado em concreto, acabamento, reforço e controle de qualidade é realizado por pedreiros, acabadores ou montadores de estruturas metálicas qualificados separadamente. Descrição original da vaga: Construção de concreto residencial e comercial. Medir e demarcar sapatas e fundações. Escavar sapatas e nivelar o terreno de acordo com as especificações. Posicionar fôrmas de alumínio para paredes e lançar todo o concreto. Limpar o local. Classificação da função: 47-2061.00 - Operários da Construção Civil. A classificação e descrição da função/setor inclui informações gerais sobre o cargo, provenientes do ONET/OES e do Sistema de Classificação Industrial da América do Norte (NAICS). Consulte a Descrição das Funções e a Ordem de Serviço para obter mais informações. Requisitos da Vaga Experiência Necessária: Sim Meses de Experiência Necessários: 2 Requisitos Especiais: Trabalho em alguns fins de semana. Deve ser capaz de levantar e carregar 34 kg por 45 metros. Deve ser capaz de lidar com temperaturas extremas. Número de Horas por Semana: 40 Horário de Trabalho (Início/Término): 6h às 17h</v>
      </c>
    </row>
    <row r="796" ht="20.25" customHeight="1">
      <c r="A796" s="3" t="s">
        <v>3721</v>
      </c>
      <c r="B796" s="3" t="s">
        <v>3717</v>
      </c>
      <c r="C796" s="3" t="s">
        <v>1000</v>
      </c>
      <c r="D796" s="3" t="s">
        <v>117</v>
      </c>
      <c r="E796" s="4" t="s">
        <v>44</v>
      </c>
      <c r="F796" s="4" t="s">
        <v>20</v>
      </c>
      <c r="G796" s="4" t="s">
        <v>307</v>
      </c>
      <c r="H796" s="3" t="s">
        <v>3718</v>
      </c>
      <c r="I796" s="3" t="s">
        <v>3719</v>
      </c>
      <c r="J796" s="4">
        <v>22.35</v>
      </c>
      <c r="K796" s="4">
        <v>10.0</v>
      </c>
      <c r="L796" s="3" t="s">
        <v>302</v>
      </c>
      <c r="M796" s="3" t="s">
        <v>3720</v>
      </c>
      <c r="N796" s="7" t="str">
        <f>IFERROR(__xludf.DUMMYFUNCTION("GOOGLETRANSLATE(L796, ""en"", ""pt"")"),"Operários da construção civil")</f>
        <v>Operários da construção civil</v>
      </c>
      <c r="O796" s="7" t="str">
        <f>IFERROR(__xludf.DUMMYFUNCTION("IF(M796="""","""",GOOGLETRANSLATE(M796,""en"",""pt""))"),"Resposta à Solicitação de Informações (RFI): Escavação de Fundações e Nivelamento do Terreno: Os operários da construção civil auxiliam nas atividades de escavação, realizando tarefas manuais e não especializadas sob a supervisão de profissionais qualific"&amp;"ados. Isso inclui cavar e remover o solo manualmente com pás, picaretas, ancinhos e carrinhos de mão, bem como espalhar, nivelar e compactar o solo manualmente para preparar as áreas para as fundações. Os operários medem as profundidades aproximadas usand"&amp;"o ferramentas manuais básicas, como trenas ou estacas de nivelamento, e removem o material escavado da área de trabalho. Os operários da construção civil não operam escavadeiras, valeteiras ou equipamentos motorizados de movimentação de terra. Toda a esca"&amp;"vação e nivelamento mecanizados são realizados por operadores de equipamentos qualificados. O papel dos operários se limita à preparação manual do local, limpeza e manuseio de materiais, de acordo com as atividades gerais de trabalho na construção civil. "&amp;"Posicionamento de Formas de Alumínio para Paredes e Concretagem: Os operários da construção civil auxiliam nas atividades de concretagem, movendo, posicionando e segurando formas leves de alumínio para paredes, conforme as instruções dos supervisores. Iss"&amp;"o inclui transportar as fôrmas para a área de trabalho, alinhá-las no lugar, inserir pinos ou grampos e manter os componentes firmes enquanto trabalhadores qualificados os fixam e ajustam. Os operários usam ferramentas manuais, como martelos, chaves e fer"&amp;"ramentas básicas de alinhamento para essas tarefas de apoio. Quando o concreto é lançado, os operários da construção civil auxiliam guiando calhas, espalhando o concreto fresco com pás e vibrando as fôrmas com ferramentas manuais, estritamente sob supervi"&amp;"são. Eles não realizam acabamento de concreto, alisamento de superfície, reforço estrutural ou instalação de vergalhões. Todo o trabalho especializado em concreto, acabamento, reforço e controle de qualidade é realizado por pedreiros, acabadores ou montad"&amp;"ores de estruturas metálicas qualificados separadamente. Descrição original da vaga: Construção de concreto residencial e comercial. Medir e demarcar sapatas e fundações. Escavar sapatas e nivelar o terreno de acordo com as especificações. Posicionar fôrm"&amp;"as de alumínio para paredes e lançar todo o concreto. Limpar o local. Classificação da função: 47-2061.00 - Operários da Construção Civil. A classificação e descrição da função/setor inclui informações gerais sobre o cargo, provenientes do ONET/OES e do S"&amp;"istema de Classificação Industrial da América do Norte (NAICS). Consulte a Descrição das Funções e a Ordem de Serviço para obter mais informações. Requisitos da Vaga Experiência Necessária: Sim Meses de Experiência Necessários: 2 Requisitos Especiais: Tra"&amp;"balho em alguns fins de semana. Deve ser capaz de levantar e carregar 34 kg por 45 metros. Deve ser capaz de lidar com temperaturas extremas. Número de Horas por Semana: 40 Horário de Trabalho (Início/Término): 6h às 17h")</f>
        <v>Resposta à Solicitação de Informações (RFI): Escavação de Fundações e Nivelamento do Terreno: Os operários da construção civil auxiliam nas atividades de escavação, realizando tarefas manuais e não especializadas sob a supervisão de profissionais qualificados. Isso inclui cavar e remover o solo manualmente com pás, picaretas, ancinhos e carrinhos de mão, bem como espalhar, nivelar e compactar o solo manualmente para preparar as áreas para as fundações. Os operários medem as profundidades aproximadas usando ferramentas manuais básicas, como trenas ou estacas de nivelamento, e removem o material escavado da área de trabalho. Os operários da construção civil não operam escavadeiras, valeteiras ou equipamentos motorizados de movimentação de terra. Toda a escavação e nivelamento mecanizados são realizados por operadores de equipamentos qualificados. O papel dos operários se limita à preparação manual do local, limpeza e manuseio de materiais, de acordo com as atividades gerais de trabalho na construção civil. Posicionamento de Formas de Alumínio para Paredes e Concretagem: Os operários da construção civil auxiliam nas atividades de concretagem, movendo, posicionando e segurando formas leves de alumínio para paredes, conforme as instruções dos supervisores. Isso inclui transportar as fôrmas para a área de trabalho, alinhá-las no lugar, inserir pinos ou grampos e manter os componentes firmes enquanto trabalhadores qualificados os fixam e ajustam. Os operários usam ferramentas manuais, como martelos, chaves e ferramentas básicas de alinhamento para essas tarefas de apoio. Quando o concreto é lançado, os operários da construção civil auxiliam guiando calhas, espalhando o concreto fresco com pás e vibrando as fôrmas com ferramentas manuais, estritamente sob supervisão. Eles não realizam acabamento de concreto, alisamento de superfície, reforço estrutural ou instalação de vergalhões. Todo o trabalho especializado em concreto, acabamento, reforço e controle de qualidade é realizado por pedreiros, acabadores ou montadores de estruturas metálicas qualificados separadamente. Descrição original da vaga: Construção de concreto residencial e comercial. Medir e demarcar sapatas e fundações. Escavar sapatas e nivelar o terreno de acordo com as especificações. Posicionar fôrmas de alumínio para paredes e lançar todo o concreto. Limpar o local. Classificação da função: 47-2061.00 - Operários da Construção Civil. A classificação e descrição da função/setor inclui informações gerais sobre o cargo, provenientes do ONET/OES e do Sistema de Classificação Industrial da América do Norte (NAICS). Consulte a Descrição das Funções e a Ordem de Serviço para obter mais informações. Requisitos da Vaga Experiência Necessária: Sim Meses de Experiência Necessários: 2 Requisitos Especiais: Trabalho em alguns fins de semana. Deve ser capaz de levantar e carregar 34 kg por 45 metros. Deve ser capaz de lidar com temperaturas extremas. Número de Horas por Semana: 40 Horário de Trabalho (Início/Término): 6h às 17h</v>
      </c>
    </row>
    <row r="797" ht="20.25" customHeight="1">
      <c r="A797" s="8" t="s">
        <v>3722</v>
      </c>
      <c r="B797" s="8" t="s">
        <v>3717</v>
      </c>
      <c r="C797" s="8" t="s">
        <v>1000</v>
      </c>
      <c r="D797" s="8" t="s">
        <v>117</v>
      </c>
      <c r="E797" s="9" t="s">
        <v>44</v>
      </c>
      <c r="F797" s="9" t="s">
        <v>20</v>
      </c>
      <c r="G797" s="9" t="s">
        <v>307</v>
      </c>
      <c r="H797" s="8" t="s">
        <v>3718</v>
      </c>
      <c r="I797" s="8" t="s">
        <v>3719</v>
      </c>
      <c r="J797" s="9">
        <v>22.36</v>
      </c>
      <c r="K797" s="9">
        <v>10.0</v>
      </c>
      <c r="L797" s="8" t="s">
        <v>302</v>
      </c>
      <c r="M797" s="8" t="s">
        <v>3720</v>
      </c>
      <c r="N797" s="7" t="str">
        <f>IFERROR(__xludf.DUMMYFUNCTION("GOOGLETRANSLATE(L797, ""en"", ""pt"")"),"Operários da construção civil")</f>
        <v>Operários da construção civil</v>
      </c>
      <c r="O797" s="7" t="str">
        <f>IFERROR(__xludf.DUMMYFUNCTION("IF(M797="""","""",GOOGLETRANSLATE(M797,""en"",""pt""))"),"Resposta à Solicitação de Informações (RFI): Escavação de Fundações e Nivelamento do Terreno: Os operários da construção civil auxiliam nas atividades de escavação, realizando tarefas manuais e não especializadas sob a supervisão de profissionais qualific"&amp;"ados. Isso inclui cavar e remover o solo manualmente com pás, picaretas, ancinhos e carrinhos de mão, bem como espalhar, nivelar e compactar o solo manualmente para preparar as áreas para as fundações. Os operários medem as profundidades aproximadas usand"&amp;"o ferramentas manuais básicas, como trenas ou estacas de nivelamento, e removem o material escavado da área de trabalho. Os operários da construção civil não operam escavadeiras, valeteiras ou equipamentos motorizados de movimentação de terra. Toda a esca"&amp;"vação e nivelamento mecanizados são realizados por operadores de equipamentos qualificados. O papel dos operários se limita à preparação manual do local, limpeza e manuseio de materiais, de acordo com as atividades gerais de trabalho na construção civil. "&amp;"Posicionamento de Formas de Alumínio para Paredes e Concretagem: Os operários da construção civil auxiliam nas atividades de concretagem, movendo, posicionando e segurando formas leves de alumínio para paredes, conforme as instruções dos supervisores. Iss"&amp;"o inclui transportar as fôrmas para a área de trabalho, alinhá-las no lugar, inserir pinos ou grampos e manter os componentes firmes enquanto trabalhadores qualificados os fixam e ajustam. Os operários usam ferramentas manuais, como martelos, chaves e fer"&amp;"ramentas básicas de alinhamento para essas tarefas de apoio. Quando o concreto é lançado, os operários da construção civil auxiliam guiando calhas, espalhando o concreto fresco com pás e vibrando as fôrmas com ferramentas manuais, estritamente sob supervi"&amp;"são. Eles não realizam acabamento de concreto, alisamento de superfície, reforço estrutural ou instalação de vergalhões. Todo o trabalho especializado em concreto, acabamento, reforço e controle de qualidade é realizado por pedreiros, acabadores ou montad"&amp;"ores de estruturas metálicas qualificados separadamente. Descrição original da vaga: Construção de concreto residencial e comercial. Medir e demarcar sapatas e fundações. Escavar sapatas e nivelar o terreno de acordo com as especificações. Posicionar fôrm"&amp;"as de alumínio para paredes e lançar todo o concreto. Limpar o local. Classificação da função: 47-2061.00 - Operários da Construção Civil. A classificação e descrição da função/setor inclui informações gerais sobre o cargo, provenientes do ONET/OES e do S"&amp;"istema de Classificação Industrial da América do Norte (NAICS). Consulte a Descrição das Funções e a Ordem de Serviço para obter mais informações. Requisitos da Vaga Experiência Necessária: Sim Meses de Experiência Necessários: 2 Requisitos Especiais: Tra"&amp;"balho em alguns fins de semana. Deve ser capaz de levantar e carregar 34 kg por 45 metros. Deve ser capaz de lidar com temperaturas extremas. Número de Horas por Semana: 40 Horário de Trabalho (Início/Término): 6h às 17h")</f>
        <v>Resposta à Solicitação de Informações (RFI): Escavação de Fundações e Nivelamento do Terreno: Os operários da construção civil auxiliam nas atividades de escavação, realizando tarefas manuais e não especializadas sob a supervisão de profissionais qualificados. Isso inclui cavar e remover o solo manualmente com pás, picaretas, ancinhos e carrinhos de mão, bem como espalhar, nivelar e compactar o solo manualmente para preparar as áreas para as fundações. Os operários medem as profundidades aproximadas usando ferramentas manuais básicas, como trenas ou estacas de nivelamento, e removem o material escavado da área de trabalho. Os operários da construção civil não operam escavadeiras, valeteiras ou equipamentos motorizados de movimentação de terra. Toda a escavação e nivelamento mecanizados são realizados por operadores de equipamentos qualificados. O papel dos operários se limita à preparação manual do local, limpeza e manuseio de materiais, de acordo com as atividades gerais de trabalho na construção civil. Posicionamento de Formas de Alumínio para Paredes e Concretagem: Os operários da construção civil auxiliam nas atividades de concretagem, movendo, posicionando e segurando formas leves de alumínio para paredes, conforme as instruções dos supervisores. Isso inclui transportar as fôrmas para a área de trabalho, alinhá-las no lugar, inserir pinos ou grampos e manter os componentes firmes enquanto trabalhadores qualificados os fixam e ajustam. Os operários usam ferramentas manuais, como martelos, chaves e ferramentas básicas de alinhamento para essas tarefas de apoio. Quando o concreto é lançado, os operários da construção civil auxiliam guiando calhas, espalhando o concreto fresco com pás e vibrando as fôrmas com ferramentas manuais, estritamente sob supervisão. Eles não realizam acabamento de concreto, alisamento de superfície, reforço estrutural ou instalação de vergalhões. Todo o trabalho especializado em concreto, acabamento, reforço e controle de qualidade é realizado por pedreiros, acabadores ou montadores de estruturas metálicas qualificados separadamente. Descrição original da vaga: Construção de concreto residencial e comercial. Medir e demarcar sapatas e fundações. Escavar sapatas e nivelar o terreno de acordo com as especificações. Posicionar fôrmas de alumínio para paredes e lançar todo o concreto. Limpar o local. Classificação da função: 47-2061.00 - Operários da Construção Civil. A classificação e descrição da função/setor inclui informações gerais sobre o cargo, provenientes do ONET/OES e do Sistema de Classificação Industrial da América do Norte (NAICS). Consulte a Descrição das Funções e a Ordem de Serviço para obter mais informações. Requisitos da Vaga Experiência Necessária: Sim Meses de Experiência Necessários: 2 Requisitos Especiais: Trabalho em alguns fins de semana. Deve ser capaz de levantar e carregar 34 kg por 45 metros. Deve ser capaz de lidar com temperaturas extremas. Número de Horas por Semana: 40 Horário de Trabalho (Início/Término): 6h às 17h</v>
      </c>
    </row>
    <row r="798" ht="20.25" customHeight="1">
      <c r="A798" s="3" t="s">
        <v>3723</v>
      </c>
      <c r="B798" s="3" t="s">
        <v>3717</v>
      </c>
      <c r="C798" s="3" t="s">
        <v>1000</v>
      </c>
      <c r="D798" s="3" t="s">
        <v>299</v>
      </c>
      <c r="E798" s="4" t="s">
        <v>19</v>
      </c>
      <c r="F798" s="4" t="s">
        <v>20</v>
      </c>
      <c r="G798" s="4" t="s">
        <v>307</v>
      </c>
      <c r="H798" s="3" t="s">
        <v>3718</v>
      </c>
      <c r="I798" s="3" t="s">
        <v>3719</v>
      </c>
      <c r="J798" s="4">
        <v>28.42</v>
      </c>
      <c r="K798" s="4">
        <v>10.0</v>
      </c>
      <c r="L798" s="3" t="s">
        <v>302</v>
      </c>
      <c r="M798" s="3" t="s">
        <v>3720</v>
      </c>
      <c r="N798" s="7" t="str">
        <f>IFERROR(__xludf.DUMMYFUNCTION("GOOGLETRANSLATE(L798, ""en"", ""pt"")"),"Operários da construção civil")</f>
        <v>Operários da construção civil</v>
      </c>
      <c r="O798" s="7" t="str">
        <f>IFERROR(__xludf.DUMMYFUNCTION("IF(M798="""","""",GOOGLETRANSLATE(M798,""en"",""pt""))"),"Resposta à Solicitação de Informações (RFI): Escavação de Fundações e Nivelamento do Terreno: Os operários da construção civil auxiliam nas atividades de escavação, realizando tarefas manuais e não especializadas sob a supervisão de profissionais qualific"&amp;"ados. Isso inclui cavar e remover o solo manualmente com pás, picaretas, ancinhos e carrinhos de mão, bem como espalhar, nivelar e compactar o solo manualmente para preparar as áreas para as fundações. Os operários medem as profundidades aproximadas usand"&amp;"o ferramentas manuais básicas, como trenas ou estacas de nivelamento, e removem o material escavado da área de trabalho. Os operários da construção civil não operam escavadeiras, valeteiras ou equipamentos motorizados de movimentação de terra. Toda a esca"&amp;"vação e nivelamento mecanizados são realizados por operadores de equipamentos qualificados. O papel dos operários se limita à preparação manual do local, limpeza e manuseio de materiais, de acordo com as atividades gerais de trabalho na construção civil. "&amp;"Posicionamento de Formas de Alumínio para Paredes e Concretagem: Os operários da construção civil auxiliam nas atividades de concretagem, movendo, posicionando e segurando formas leves de alumínio para paredes, conforme as instruções dos supervisores. Iss"&amp;"o inclui transportar as fôrmas para a área de trabalho, alinhá-las no lugar, inserir pinos ou grampos e manter os componentes firmes enquanto trabalhadores qualificados os fixam e ajustam. Os operários usam ferramentas manuais, como martelos, chaves e fer"&amp;"ramentas básicas de alinhamento para essas tarefas de apoio. Quando o concreto é lançado, os operários da construção civil auxiliam guiando calhas, espalhando o concreto fresco com pás e vibrando as fôrmas com ferramentas manuais, estritamente sob supervi"&amp;"são. Eles não realizam acabamento de concreto, alisamento de superfície, reforço estrutural ou instalação de vergalhões. Todo o trabalho especializado em concreto, acabamento, reforço e controle de qualidade é realizado por pedreiros, acabadores ou montad"&amp;"ores de estruturas metálicas qualificados separadamente. Descrição original da vaga: Construção de concreto residencial e comercial. Medir e demarcar sapatas e fundações. Escavar sapatas e nivelar o terreno de acordo com as especificações. Posicionar fôrm"&amp;"as de alumínio para paredes e lançar todo o concreto. Limpar o local. Classificação da função: 47-2061.00 - Operários da Construção Civil. A classificação e descrição da função/setor inclui informações gerais sobre o cargo, provenientes do ONET/OES e do S"&amp;"istema de Classificação Industrial da América do Norte (NAICS). Consulte a Descrição das Funções e a Ordem de Serviço para obter mais informações. Requisitos da Vaga Experiência Necessária: Sim Meses de Experiência Necessários: 2 Requisitos Especiais: Tra"&amp;"balho em alguns fins de semana. Deve ser capaz de levantar e carregar 34 kg por 45 metros. Deve ser capaz de lidar com temperaturas extremas. Número de Horas por Semana: 40 Horário de Trabalho (Início/Término): 6h às 17h")</f>
        <v>Resposta à Solicitação de Informações (RFI): Escavação de Fundações e Nivelamento do Terreno: Os operários da construção civil auxiliam nas atividades de escavação, realizando tarefas manuais e não especializadas sob a supervisão de profissionais qualificados. Isso inclui cavar e remover o solo manualmente com pás, picaretas, ancinhos e carrinhos de mão, bem como espalhar, nivelar e compactar o solo manualmente para preparar as áreas para as fundações. Os operários medem as profundidades aproximadas usando ferramentas manuais básicas, como trenas ou estacas de nivelamento, e removem o material escavado da área de trabalho. Os operários da construção civil não operam escavadeiras, valeteiras ou equipamentos motorizados de movimentação de terra. Toda a escavação e nivelamento mecanizados são realizados por operadores de equipamentos qualificados. O papel dos operários se limita à preparação manual do local, limpeza e manuseio de materiais, de acordo com as atividades gerais de trabalho na construção civil. Posicionamento de Formas de Alumínio para Paredes e Concretagem: Os operários da construção civil auxiliam nas atividades de concretagem, movendo, posicionando e segurando formas leves de alumínio para paredes, conforme as instruções dos supervisores. Isso inclui transportar as fôrmas para a área de trabalho, alinhá-las no lugar, inserir pinos ou grampos e manter os componentes firmes enquanto trabalhadores qualificados os fixam e ajustam. Os operários usam ferramentas manuais, como martelos, chaves e ferramentas básicas de alinhamento para essas tarefas de apoio. Quando o concreto é lançado, os operários da construção civil auxiliam guiando calhas, espalhando o concreto fresco com pás e vibrando as fôrmas com ferramentas manuais, estritamente sob supervisão. Eles não realizam acabamento de concreto, alisamento de superfície, reforço estrutural ou instalação de vergalhões. Todo o trabalho especializado em concreto, acabamento, reforço e controle de qualidade é realizado por pedreiros, acabadores ou montadores de estruturas metálicas qualificados separadamente. Descrição original da vaga: Construção de concreto residencial e comercial. Medir e demarcar sapatas e fundações. Escavar sapatas e nivelar o terreno de acordo com as especificações. Posicionar fôrmas de alumínio para paredes e lançar todo o concreto. Limpar o local. Classificação da função: 47-2061.00 - Operários da Construção Civil. A classificação e descrição da função/setor inclui informações gerais sobre o cargo, provenientes do ONET/OES e do Sistema de Classificação Industrial da América do Norte (NAICS). Consulte a Descrição das Funções e a Ordem de Serviço para obter mais informações. Requisitos da Vaga Experiência Necessária: Sim Meses de Experiência Necessários: 2 Requisitos Especiais: Trabalho em alguns fins de semana. Deve ser capaz de levantar e carregar 34 kg por 45 metros. Deve ser capaz de lidar com temperaturas extremas. Número de Horas por Semana: 40 Horário de Trabalho (Início/Término): 6h às 17h</v>
      </c>
    </row>
    <row r="799" ht="20.25" customHeight="1">
      <c r="A799" s="8" t="s">
        <v>3724</v>
      </c>
      <c r="B799" s="8" t="s">
        <v>3717</v>
      </c>
      <c r="C799" s="8" t="s">
        <v>1000</v>
      </c>
      <c r="D799" s="8" t="s">
        <v>299</v>
      </c>
      <c r="E799" s="9" t="s">
        <v>19</v>
      </c>
      <c r="F799" s="9" t="s">
        <v>20</v>
      </c>
      <c r="G799" s="9" t="s">
        <v>307</v>
      </c>
      <c r="H799" s="8" t="s">
        <v>3718</v>
      </c>
      <c r="I799" s="8" t="s">
        <v>3719</v>
      </c>
      <c r="J799" s="9">
        <v>20.75</v>
      </c>
      <c r="K799" s="9">
        <v>10.0</v>
      </c>
      <c r="L799" s="8" t="s">
        <v>302</v>
      </c>
      <c r="M799" s="8" t="s">
        <v>3720</v>
      </c>
      <c r="N799" s="7" t="str">
        <f>IFERROR(__xludf.DUMMYFUNCTION("GOOGLETRANSLATE(L799, ""en"", ""pt"")"),"Operários da construção civil")</f>
        <v>Operários da construção civil</v>
      </c>
      <c r="O799" s="7" t="str">
        <f>IFERROR(__xludf.DUMMYFUNCTION("IF(M799="""","""",GOOGLETRANSLATE(M799,""en"",""pt""))"),"Resposta à Solicitação de Informações (RFI): Escavação de Fundações e Nivelamento do Terreno: Os operários da construção civil auxiliam nas atividades de escavação, realizando tarefas manuais e não especializadas sob a supervisão de profissionais qualific"&amp;"ados. Isso inclui cavar e remover o solo manualmente com pás, picaretas, ancinhos e carrinhos de mão, bem como espalhar, nivelar e compactar o solo manualmente para preparar as áreas para as fundações. Os operários medem as profundidades aproximadas usand"&amp;"o ferramentas manuais básicas, como trenas ou estacas de nivelamento, e removem o material escavado da área de trabalho. Os operários da construção civil não operam escavadeiras, valeteiras ou equipamentos motorizados de movimentação de terra. Toda a esca"&amp;"vação e nivelamento mecanizados são realizados por operadores de equipamentos qualificados. O papel dos operários se limita à preparação manual do local, limpeza e manuseio de materiais, de acordo com as atividades gerais de trabalho na construção civil. "&amp;"Posicionamento de Formas de Alumínio para Paredes e Concretagem: Os operários da construção civil auxiliam nas atividades de concretagem, movendo, posicionando e segurando formas leves de alumínio para paredes, conforme as instruções dos supervisores. Iss"&amp;"o inclui transportar as fôrmas para a área de trabalho, alinhá-las no lugar, inserir pinos ou grampos e manter os componentes firmes enquanto trabalhadores qualificados os fixam e ajustam. Os operários usam ferramentas manuais, como martelos, chaves e fer"&amp;"ramentas básicas de alinhamento para essas tarefas de apoio. Quando o concreto é lançado, os operários da construção civil auxiliam guiando calhas, espalhando o concreto fresco com pás e vibrando as fôrmas com ferramentas manuais, estritamente sob supervi"&amp;"são. Eles não realizam acabamento de concreto, alisamento de superfície, reforço estrutural ou instalação de vergalhões. Todo o trabalho especializado em concreto, acabamento, reforço e controle de qualidade é realizado por pedreiros, acabadores ou montad"&amp;"ores de estruturas metálicas qualificados separadamente. Descrição original da vaga: Construção de concreto residencial e comercial. Medir e demarcar sapatas e fundações. Escavar sapatas e nivelar o terreno de acordo com as especificações. Posicionar fôrm"&amp;"as de alumínio para paredes e lançar todo o concreto. Limpar o local. Classificação da função: 47-2061.00 - Operários da Construção Civil. A classificação e descrição da função/setor inclui informações gerais sobre o cargo, provenientes do ONET/OES e do S"&amp;"istema de Classificação Industrial da América do Norte (NAICS). Consulte a Descrição das Funções e a Ordem de Serviço para obter mais informações. Requisitos da Vaga Experiência Necessária: Sim Meses de Experiência Necessários: 2 Requisitos Especiais: Tra"&amp;"balho em alguns fins de semana. Deve ser capaz de levantar e carregar 34 kg por 45 metros. Deve ser capaz de lidar com temperaturas extremas. Número de Horas por Semana: 40 Horário de Trabalho (Início/Término): 6h às 17h")</f>
        <v>Resposta à Solicitação de Informações (RFI): Escavação de Fundações e Nivelamento do Terreno: Os operários da construção civil auxiliam nas atividades de escavação, realizando tarefas manuais e não especializadas sob a supervisão de profissionais qualificados. Isso inclui cavar e remover o solo manualmente com pás, picaretas, ancinhos e carrinhos de mão, bem como espalhar, nivelar e compactar o solo manualmente para preparar as áreas para as fundações. Os operários medem as profundidades aproximadas usando ferramentas manuais básicas, como trenas ou estacas de nivelamento, e removem o material escavado da área de trabalho. Os operários da construção civil não operam escavadeiras, valeteiras ou equipamentos motorizados de movimentação de terra. Toda a escavação e nivelamento mecanizados são realizados por operadores de equipamentos qualificados. O papel dos operários se limita à preparação manual do local, limpeza e manuseio de materiais, de acordo com as atividades gerais de trabalho na construção civil. Posicionamento de Formas de Alumínio para Paredes e Concretagem: Os operários da construção civil auxiliam nas atividades de concretagem, movendo, posicionando e segurando formas leves de alumínio para paredes, conforme as instruções dos supervisores. Isso inclui transportar as fôrmas para a área de trabalho, alinhá-las no lugar, inserir pinos ou grampos e manter os componentes firmes enquanto trabalhadores qualificados os fixam e ajustam. Os operários usam ferramentas manuais, como martelos, chaves e ferramentas básicas de alinhamento para essas tarefas de apoio. Quando o concreto é lançado, os operários da construção civil auxiliam guiando calhas, espalhando o concreto fresco com pás e vibrando as fôrmas com ferramentas manuais, estritamente sob supervisão. Eles não realizam acabamento de concreto, alisamento de superfície, reforço estrutural ou instalação de vergalhões. Todo o trabalho especializado em concreto, acabamento, reforço e controle de qualidade é realizado por pedreiros, acabadores ou montadores de estruturas metálicas qualificados separadamente. Descrição original da vaga: Construção de concreto residencial e comercial. Medir e demarcar sapatas e fundações. Escavar sapatas e nivelar o terreno de acordo com as especificações. Posicionar fôrmas de alumínio para paredes e lançar todo o concreto. Limpar o local. Classificação da função: 47-2061.00 - Operários da Construção Civil. A classificação e descrição da função/setor inclui informações gerais sobre o cargo, provenientes do ONET/OES e do Sistema de Classificação Industrial da América do Norte (NAICS). Consulte a Descrição das Funções e a Ordem de Serviço para obter mais informações. Requisitos da Vaga Experiência Necessária: Sim Meses de Experiência Necessários: 2 Requisitos Especiais: Trabalho em alguns fins de semana. Deve ser capaz de levantar e carregar 34 kg por 45 metros. Deve ser capaz de lidar com temperaturas extremas. Número de Horas por Semana: 40 Horário de Trabalho (Início/Término): 6h às 17h</v>
      </c>
    </row>
    <row r="800" ht="20.25" customHeight="1">
      <c r="A800" s="3" t="s">
        <v>3725</v>
      </c>
      <c r="B800" s="3" t="s">
        <v>3726</v>
      </c>
      <c r="C800" s="3" t="s">
        <v>3588</v>
      </c>
      <c r="D800" s="3" t="s">
        <v>596</v>
      </c>
      <c r="E800" s="4" t="s">
        <v>19</v>
      </c>
      <c r="F800" s="4" t="s">
        <v>20</v>
      </c>
      <c r="G800" s="4" t="s">
        <v>1662</v>
      </c>
      <c r="H800" s="3" t="s">
        <v>3727</v>
      </c>
      <c r="I800" s="3" t="s">
        <v>3728</v>
      </c>
      <c r="J800" s="4">
        <v>16.57</v>
      </c>
      <c r="K800" s="4">
        <v>4.0</v>
      </c>
      <c r="L800" s="3" t="s">
        <v>3729</v>
      </c>
      <c r="M800" s="3" t="s">
        <v>3730</v>
      </c>
      <c r="N800" s="7" t="str">
        <f>IFERROR(__xludf.DUMMYFUNCTION("GOOGLETRANSLATE(L800, ""en"", ""pt"")"),"Equipe de Cozinha")</f>
        <v>Equipe de Cozinha</v>
      </c>
      <c r="O800" s="7" t="str">
        <f>IFERROR(__xludf.DUMMYFUNCTION("IF(M800="""","""",GOOGLETRANSLATE(M800,""en"",""pt""))"),"Auxiliar na preparação de alimentos na cozinha, na linha de produção, e realizar a limpeza e a lavagem de louça. Ser capaz de operar lava-louças, grelha, fritadeira, forno, liquidificadores e processadores de alimentos para preparar os pratos para os chef"&amp;"s. Atuar como garçom e auxiliar de cozinha. Classificação da vaga: 35-9021.00 - Auxiliar de Cozinha (Lava-louças). A classificação e descrição da vaga/setor incluem informações gerais sobre o cargo, de acordo com o ONET/OES e o Sistema de Classificação In"&amp;"dustrial da América do Norte (NAICS). Consulte as Funções e a Ordem de Serviço para obter mais informações. Requisitos da vaga: Experiência necessária: Não. Número de horas por semana: 40. Horário de trabalho (início/término): 10h às 22h.")</f>
        <v>Auxiliar na preparação de alimentos na cozinha, na linha de produção, e realizar a limpeza e a lavagem de louça. Ser capaz de operar lava-louças, grelha, fritadeira, forno, liquidificadores e processadores de alimentos para preparar os pratos para os chefs. Atuar como garçom e auxiliar de cozinha. Classificação da vaga: 35-9021.00 - Auxiliar de Cozinha (Lava-louças). A classificação e descrição da vaga/setor incluem informações gerais sobre o cargo, de acordo com o ONET/OES e o Sistema de Classificação Industrial da América do Norte (NAICS). Consulte as Funções e a Ordem de Serviço para obter mais informações. Requisitos da vaga: Experiência necessária: Não. Número de horas por semana: 40. Horário de trabalho (início/término): 10h às 22h.</v>
      </c>
    </row>
    <row r="801" ht="20.25" customHeight="1">
      <c r="A801" s="8" t="s">
        <v>3731</v>
      </c>
      <c r="B801" s="8" t="s">
        <v>3732</v>
      </c>
      <c r="C801" s="8" t="s">
        <v>3588</v>
      </c>
      <c r="D801" s="8" t="s">
        <v>249</v>
      </c>
      <c r="E801" s="9" t="s">
        <v>19</v>
      </c>
      <c r="F801" s="9" t="s">
        <v>20</v>
      </c>
      <c r="G801" s="9" t="s">
        <v>146</v>
      </c>
      <c r="H801" s="8" t="s">
        <v>3733</v>
      </c>
      <c r="I801" s="8" t="s">
        <v>3734</v>
      </c>
      <c r="J801" s="9">
        <v>17.21</v>
      </c>
      <c r="K801" s="9">
        <v>10.0</v>
      </c>
      <c r="L801" s="8" t="s">
        <v>59</v>
      </c>
      <c r="M801" s="8" t="s">
        <v>3735</v>
      </c>
      <c r="N801" s="7" t="str">
        <f>IFERROR(__xludf.DUMMYFUNCTION("GOOGLETRANSLATE(L801, ""en"", ""pt"")"),"Trabalhador de paisagismo")</f>
        <v>Trabalhador de paisagismo</v>
      </c>
      <c r="O801" s="7" t="str">
        <f>IFERROR(__xludf.DUMMYFUNCTION("IF(M801="""","""",GOOGLETRANSLATE(M801,""en"",""pt""))"),"Os trabalhadores usarão cortadores de grama com coletores de folhas, rastelos, vassouras para a limpeza de outono; podadores, tesouras de poda e pequenas motosserras de poda de cabo longo para a poda. O plantio será feito com pás. Sopradores e vassouras s"&amp;"erão usados ​​para realizar a manutenção geral. As tarefas adicionais incluem a instalação de elementos de paisagismo (como pedras decorativas, placas e bancos), auxílio na preparação do sistema de irrigação para o inverno (remoção da água com ar comprimi"&amp;"do, substituição de aspersores quebrados), semeadura de inverno com semeadoras manuais e manutenção de equipamentos (lavagem, lubrificação e troca de óleo). Classificação do Cargo: 37-3011.00 - Trabalhadores de Paisagismo e Manutenção de Jardins. A classi"&amp;"ficação e descrição do cargo/setor incluem informações gerais sobre a posição, de acordo com o ONET/OES e o Sistema de Classificação Industrial da América do Norte. Consulte as Funções e a Ordem de Serviço para obter mais informações. Requisitos do Cargo:"&amp;" Experiência Necessária: Não. Requisitos Especiais: Capacidade de levantar até 23 kg. Número de horas por semana: 40 Horário de trabalho (início/término): 8h00 - 17h00")</f>
        <v>Os trabalhadores usarão cortadores de grama com coletores de folhas, rastelos, vassouras para a limpeza de outono; podadores, tesouras de poda e pequenas motosserras de poda de cabo longo para a poda. O plantio será feito com pás. Sopradores e vassouras serão usados ​​para realizar a manutenção geral. As tarefas adicionais incluem a instalação de elementos de paisagismo (como pedras decorativas, placas e bancos), auxílio na preparação do sistema de irrigação para o inverno (remoção da água com ar comprimido, substituição de aspersores quebrados), semeadura de inverno com semeadoras manuais e manutenção de equipamentos (lavagem, lubrificação e troca de óleo). Classificação do Cargo: 37-3011.00 - Trabalhadores de Paisagismo e Manutenção de Jardins. A classificação e descrição do cargo/setor incluem informações gerais sobre a posição, de acordo com o ONET/OES e o Sistema de Classificação Industrial da América do Norte. Consulte as Funções e a Ordem de Serviço para obter mais informações. Requisitos do Cargo: Experiência Necessária: Não. Requisitos Especiais: Capacidade de levantar até 23 kg. Número de horas por semana: 40 Horário de trabalho (início/término): 8h00 - 17h00</v>
      </c>
    </row>
    <row r="802" ht="20.25" customHeight="1">
      <c r="A802" s="3" t="s">
        <v>3736</v>
      </c>
      <c r="B802" s="3" t="s">
        <v>3737</v>
      </c>
      <c r="C802" s="3"/>
      <c r="D802" s="3" t="s">
        <v>102</v>
      </c>
      <c r="E802" s="4" t="s">
        <v>19</v>
      </c>
      <c r="F802" s="4" t="s">
        <v>20</v>
      </c>
      <c r="G802" s="4" t="s">
        <v>512</v>
      </c>
      <c r="H802" s="3" t="s">
        <v>3738</v>
      </c>
      <c r="I802" s="3" t="s">
        <v>3739</v>
      </c>
      <c r="J802" s="4">
        <v>22.41</v>
      </c>
      <c r="K802" s="4">
        <v>20.0</v>
      </c>
      <c r="L802" s="3" t="s">
        <v>3465</v>
      </c>
      <c r="M802" s="3" t="s">
        <v>3740</v>
      </c>
      <c r="N802" s="7" t="str">
        <f>IFERROR(__xludf.DUMMYFUNCTION("GOOGLETRANSLATE(L802, ""en"", ""pt"")"),"Montador")</f>
        <v>Montador</v>
      </c>
      <c r="O802" s="7" t="str">
        <f>IFERROR(__xludf.DUMMYFUNCTION("IF(M802="""","""",GOOGLETRANSLATE(M802,""en"",""pt""))"),"***Resposta à Solicitação de Informações*** O trabalho é realizado em canteiros de obras residenciais e comerciais nos condados de Jefferson e Shelby, na região metropolitana de Birmingham, Alabama. A C Construction é uma empresa de construção civil espec"&amp;"ializada na montagem e instalação de treliças de telhado e suportes estruturais similares para projetos de construção predial; portanto, o local onde o trabalho descrito é realizado fica na propriedade de nossos clientes. Os montadores utilizam ferramenta"&amp;"s manuais e máquinas para fabricar e montar treliças de telhado e suportes estruturais. As tarefas específicas incluem posicionar componentes pré-cortados no gabarito de montagem; colocar placas de conexão metálicas sobre as juntas e fixá-las; verificar a"&amp;"s dimensões usando réguas e calibradores; e inspecionar as treliças finalizadas para garantir a precisão. As ferramentas manuais utilizadas incluem tesouras de costura, tesouras de corte de metal, tesouras turbo, chaves de impacto, parafusadeiras, martelo"&amp;"s, alicates, cortadores de arame, martelos de aplainamento, esmerilhadeiras angulares e controladores de torque. As treliças de telhado são feitas de aço leve. As máquinas operadas incluem ferramentas para telhados com juntas de encaixe e laminadoras de b"&amp;"orda usadas para dobrar, moldar e unir painéis de telhado metálicos e componentes de treliça. Essas máquinas não envolvem serragem. As tarefas de corte são realizadas com ferramentas manuais, como tesouras de corte de metal e tesouras turbo. Os montadores"&amp;" produzem ou auxiliam na produção de componentes de treliças, medindo e verificando peças pré-cortadas, encaixando as peças de acordo com as instruções de montagem e fixando placas de conexão metálicas nas juntas usando ferramentas manuais e elétricas. As"&amp;" ferramentas utilizadas incluem alicates de costura manuais, soquetes, martelos, martelos de aplainamento, alicates, cortadores de arame, controladores de torque e parafusadeiras. Os componentes produzidos incluem conjuntos de treliças metálicas leves e s"&amp;"uportes estruturais usados ​​na construção de edifícios residenciais e comerciais. Os montadores movem os conjuntos de treliças acabados e os materiais manualmente ou usando carrinhos para a área de trabalho designada ou local de armazenamento ao final do"&amp;" dia de trabalho, para manter a área limpa e livre de peças perigosas. As tarefas incluem puxar placas de conexão metálicas, empilhar treliças acabadas, cintar e marcar materiais e empurrar carrinhos carregados para a posição correta. Os equipamentos util"&amp;"izados incluem carrinhos de mão, ferramentas de cintagem e materiais de marcação. Os trabalhadores auxiliam no posicionamento de treliças mais pesadas utilizando guindastes de braço. Os trabalhadores não operam guindastes de forma independente, mas auxili"&amp;"am na orientação e posicionamento de cargas sob a supervisão de um encarregado. ***Original*** O montador de treliças irá montar materiais pré-cortados, verificar o tamanho de cada peça pré-cortada, a precisão da montagem, utilizando régua e calibradores,"&amp;" encaixando as peças, colocando placas de reforço metálicas sobre as juntas de conexão e conectando as peças nas juntas, podendo produzir ou auxiliar na produção de componentes de acordo com as instruções, utilizando ferramentas manuais ou máquinas para c"&amp;"onstruir treliças e suportes similares utilizados em telhados na construção civil. Pode ser responsável por puxar placas, empilhar o produto acabado, cintar e marcar os materiais, e empurrar os produtos para a posição correta manualmente ou com guindaste,"&amp;" em carrinhos, até a área de trabalho apropriada ou armazená-los ao final do expediente para manter a área limpa e livre de peças perigosas. Classificação da Função: 51-2041.00 - Montadores e Montadores de Estruturas Metálicas. A classificação e descrição"&amp;" da função/setor inclui informações gerais sobre o cargo, de acordo com o ONET/OES e o Sistema de Classificação Industrial da América do Norte (NAICS). Consulte as Funções e a Ordem de Serviço para obter mais informações. Requisitos da Função Experiência "&amp;"Necessária: Sim Meses de Experiência Necessários: 3 Requisitos Especiais: Três meses de experiência como montador de treliças em construções residenciais ou comerciais. Deve ser capaz de se curvar, levantar e suportar até 23 kg, além de trabalhar em condi"&amp;"ções climáticas de calor extremo. É necessário viajar dentro dos condados de Jefferson e Shelby. Não há treinamento no local de trabalho disponível, nem é exigida escolaridade. Exame toxicológico pós-contratação obrigatório, pago pelo empregador. Todos os"&amp;" trabalhadores, americanos e estrangeiros, serão submetidos ao exame da mesma forma. Número de Horas por Semana: 40 Horário de Trabalho (Início/Término): 7h às 15h.")</f>
        <v>***Resposta à Solicitação de Informações*** O trabalho é realizado em canteiros de obras residenciais e comerciais nos condados de Jefferson e Shelby, na região metropolitana de Birmingham, Alabama. A C Construction é uma empresa de construção civil especializada na montagem e instalação de treliças de telhado e suportes estruturais similares para projetos de construção predial; portanto, o local onde o trabalho descrito é realizado fica na propriedade de nossos clientes. Os montadores utilizam ferramentas manuais e máquinas para fabricar e montar treliças de telhado e suportes estruturais. As tarefas específicas incluem posicionar componentes pré-cortados no gabarito de montagem; colocar placas de conexão metálicas sobre as juntas e fixá-las; verificar as dimensões usando réguas e calibradores; e inspecionar as treliças finalizadas para garantir a precisão. As ferramentas manuais utilizadas incluem tesouras de costura, tesouras de corte de metal, tesouras turbo, chaves de impacto, parafusadeiras, martelos, alicates, cortadores de arame, martelos de aplainamento, esmerilhadeiras angulares e controladores de torque. As treliças de telhado são feitas de aço leve. As máquinas operadas incluem ferramentas para telhados com juntas de encaixe e laminadoras de borda usadas para dobrar, moldar e unir painéis de telhado metálicos e componentes de treliça. Essas máquinas não envolvem serragem. As tarefas de corte são realizadas com ferramentas manuais, como tesouras de corte de metal e tesouras turbo. Os montadores produzem ou auxiliam na produção de componentes de treliças, medindo e verificando peças pré-cortadas, encaixando as peças de acordo com as instruções de montagem e fixando placas de conexão metálicas nas juntas usando ferramentas manuais e elétricas. As ferramentas utilizadas incluem alicates de costura manuais, soquetes, martelos, martelos de aplainamento, alicates, cortadores de arame, controladores de torque e parafusadeiras. Os componentes produzidos incluem conjuntos de treliças metálicas leves e suportes estruturais usados ​​na construção de edifícios residenciais e comerciais. Os montadores movem os conjuntos de treliças acabados e os materiais manualmente ou usando carrinhos para a área de trabalho designada ou local de armazenamento ao final do dia de trabalho, para manter a área limpa e livre de peças perigosas. As tarefas incluem puxar placas de conexão metálicas, empilhar treliças acabadas, cintar e marcar materiais e empurrar carrinhos carregados para a posição correta. Os equipamentos utilizados incluem carrinhos de mão, ferramentas de cintagem e materiais de marcação. Os trabalhadores auxiliam no posicionamento de treliças mais pesadas utilizando guindastes de braço. Os trabalhadores não operam guindastes de forma independente, mas auxiliam na orientação e posicionamento de cargas sob a supervisão de um encarregado. ***Original*** O montador de treliças irá montar materiais pré-cortados, verificar o tamanho de cada peça pré-cortada, a precisão da montagem, utilizando régua e calibradores, encaixando as peças, colocando placas de reforço metálicas sobre as juntas de conexão e conectando as peças nas juntas, podendo produzir ou auxiliar na produção de componentes de acordo com as instruções, utilizando ferramentas manuais ou máquinas para construir treliças e suportes similares utilizados em telhados na construção civil. Pode ser responsável por puxar placas, empilhar o produto acabado, cintar e marcar os materiais, e empurrar os produtos para a posição correta manualmente ou com guindaste, em carrinhos, até a área de trabalho apropriada ou armazená-los ao final do expediente para manter a área limpa e livre de peças perigosas. Classificação da Função: 51-2041.00 - Montadores e Montadores de Estruturas Metálicas. A classificação e descrição da função/setor inclui informações gerais sobre o cargo, de acordo com o ONET/OES e o Sistema de Classificação Industrial da América do Norte (NAICS). Consulte as Funções e a Ordem de Serviço para obter mais informações. Requisitos da Função Experiência Necessária: Sim Meses de Experiência Necessários: 3 Requisitos Especiais: Três meses de experiência como montador de treliças em construções residenciais ou comerciais. Deve ser capaz de se curvar, levantar e suportar até 23 kg, além de trabalhar em condições climáticas de calor extremo. É necessário viajar dentro dos condados de Jefferson e Shelby. Não há treinamento no local de trabalho disponível, nem é exigida escolaridade. Exame toxicológico pós-contratação obrigatório, pago pelo empregador. Todos os trabalhadores, americanos e estrangeiros, serão submetidos ao exame da mesma forma. Número de Horas por Semana: 40 Horário de Trabalho (Início/Término): 7h às 15h.</v>
      </c>
    </row>
    <row r="803" ht="20.25" customHeight="1">
      <c r="A803" s="8" t="s">
        <v>3741</v>
      </c>
      <c r="B803" s="8" t="s">
        <v>3742</v>
      </c>
      <c r="C803" s="8"/>
      <c r="D803" s="8" t="s">
        <v>532</v>
      </c>
      <c r="E803" s="9" t="s">
        <v>19</v>
      </c>
      <c r="F803" s="9" t="s">
        <v>20</v>
      </c>
      <c r="G803" s="9" t="s">
        <v>155</v>
      </c>
      <c r="H803" s="8" t="s">
        <v>3743</v>
      </c>
      <c r="I803" s="8" t="s">
        <v>3744</v>
      </c>
      <c r="J803" s="9">
        <v>3.52</v>
      </c>
      <c r="K803" s="9">
        <v>2.0</v>
      </c>
      <c r="L803" s="8" t="s">
        <v>354</v>
      </c>
      <c r="M803" s="8" t="s">
        <v>3745</v>
      </c>
      <c r="N803" s="7" t="str">
        <f>IFERROR(__xludf.DUMMYFUNCTION("GOOGLETRANSLATE(L803, ""en"", ""pt"")"),"Governanta")</f>
        <v>Governanta</v>
      </c>
      <c r="O803" s="7" t="str">
        <f>IFERROR(__xludf.DUMMYFUNCTION("IF(M803="""","""",GOOGLETRANSLATE(M803,""en"",""pt""))"),"Vaga de governanta residente, que envolve a limpeza de quartos de hóspedes, áreas comuns, banheiros, cozinha, janelas, pisos e móveis. A descrição do trabalho inclui preparar os quartos para o check-in e check-out dos hóspedes, garantir que todos os supri"&amp;"mentos estejam presentes em cada quarto antes da chegada dos hóspedes, lavar roupa, aspirar, arrumar a cama com lençóis e toalhas limpas, desinfetar o vaso sanitário, a roupa de cama e os pisos, recolher e descartar o lixo. A governanta atende a todas as "&amp;"necessidades previstas dos hóspedes, auxilia na orientação sobre o quarto, transporte e informações sobre lojas e restaurantes próximos. Espera-se que a governanta seja capaz de executar todas as tarefas de maneira profissional e manter um ambiente de tra"&amp;"balho seguro em todos os momentos. Classificação do trabalho: 37-2012.00 - Empregadas Domésticas e Faxineiras. A classificação e descrição do trabalho/setor inclui informações gerais sobre a posição de acordo com o ONET/OES e o Sistema de Classificação In"&amp;"dustrial da América do Norte. Consulte as Funções e a Ordem de Serviço para obter mais informações. Requisitos do trabalho: Experiência necessária: Não. Número de horas por semana: 40. Horário de trabalho (início/término): 9h. - 17h00")</f>
        <v>Vaga de governanta residente, que envolve a limpeza de quartos de hóspedes, áreas comuns, banheiros, cozinha, janelas, pisos e móveis. A descrição do trabalho inclui preparar os quartos para o check-in e check-out dos hóspedes, garantir que todos os suprimentos estejam presentes em cada quarto antes da chegada dos hóspedes, lavar roupa, aspirar, arrumar a cama com lençóis e toalhas limpas, desinfetar o vaso sanitário, a roupa de cama e os pisos, recolher e descartar o lixo. A governanta atende a todas as necessidades previstas dos hóspedes, auxilia na orientação sobre o quarto, transporte e informações sobre lojas e restaurantes próximos. Espera-se que a governanta seja capaz de executar todas as tarefas de maneira profissional e manter um ambiente de trabalho seguro em todos os momentos. Classificação do trabalho: 37-2012.00 - Empregadas Domésticas e Faxineiras. A classificação e descrição do trabalho/setor inclui informações gerais sobre a posição de acordo com o ONET/OES e o Sistema de Classificação Industrial da América do Norte. Consulte as Funções e a Ordem de Serviço para obter mais informações. Requisitos do trabalho: Experiência necessária: Não. Número de horas por semana: 40. Horário de trabalho (início/término): 9h. - 17h00</v>
      </c>
    </row>
    <row r="804" ht="20.25" customHeight="1">
      <c r="A804" s="3" t="s">
        <v>3746</v>
      </c>
      <c r="B804" s="3" t="s">
        <v>3747</v>
      </c>
      <c r="C804" s="3"/>
      <c r="D804" s="3" t="s">
        <v>71</v>
      </c>
      <c r="E804" s="4" t="s">
        <v>19</v>
      </c>
      <c r="F804" s="4" t="s">
        <v>20</v>
      </c>
      <c r="G804" s="4" t="s">
        <v>377</v>
      </c>
      <c r="H804" s="3" t="s">
        <v>3748</v>
      </c>
      <c r="I804" s="3" t="s">
        <v>3749</v>
      </c>
      <c r="J804" s="4">
        <v>37.53</v>
      </c>
      <c r="K804" s="4">
        <v>2.0</v>
      </c>
      <c r="L804" s="3" t="s">
        <v>387</v>
      </c>
      <c r="M804" s="3" t="s">
        <v>3750</v>
      </c>
      <c r="N804" s="7" t="str">
        <f>IFERROR(__xludf.DUMMYFUNCTION("GOOGLETRANSLATE(L804, ""en"", ""pt"")"),"Ordem de serviço não disponível")</f>
        <v>Ordem de serviço não disponível</v>
      </c>
      <c r="O804" s="7" t="str">
        <f>IFERROR(__xludf.DUMMYFUNCTION("IF(M804="""","""",GOOGLETRANSLATE(M804,""en"",""pt""))"),"Cozinhar e preparar alimentos para o café da manhã em um restaurante. Classificação da vaga: 35-1011.00 - Chefs e Cozinheiros Chefes. A classificação e descrição da vaga/setor incluem informações gerais sobre o cargo, de acordo com o ONET/OES e o Sistema "&amp;"de Classificação Industrial da América do Norte (NAICS). Consulte as Funções e a Ordem de Serviço para obter mais informações. Requisitos da vaga: Experiência necessária: Não. Requisitos especiais: Nenhum. Não são necessárias habilidades, licenças, certif"&amp;"icações ou formações específicas. Os candidatos devem ser capazes de desempenhar as funções descritas e ter disponibilidade para trabalhar durante todo o período de emprego. Número de horas por semana: 35. Horário de trabalho (início/término): 5h às 12h.")</f>
        <v>Cozinhar e preparar alimentos para o café da manhã em um restaurante. Classificação da vaga: 35-1011.00 - Chefs e Cozinheiros Chefes. A classificação e descrição da vaga/setor incluem informações gerais sobre o cargo, de acordo com o ONET/OES e o Sistema de Classificação Industrial da América do Norte (NAICS). Consulte as Funções e a Ordem de Serviço para obter mais informações. Requisitos da vaga: Experiência necessária: Não. Requisitos especiais: Nenhum. Não são necessárias habilidades, licenças, certificações ou formações específicas. Os candidatos devem ser capazes de desempenhar as funções descritas e ter disponibilidade para trabalhar durante todo o período de emprego. Número de horas por semana: 35. Horário de trabalho (início/término): 5h às 12h.</v>
      </c>
    </row>
    <row r="805" ht="20.25" customHeight="1">
      <c r="A805" s="8" t="s">
        <v>3751</v>
      </c>
      <c r="B805" s="8" t="s">
        <v>3752</v>
      </c>
      <c r="C805" s="8" t="s">
        <v>3753</v>
      </c>
      <c r="D805" s="8" t="s">
        <v>596</v>
      </c>
      <c r="E805" s="9" t="s">
        <v>19</v>
      </c>
      <c r="F805" s="9" t="s">
        <v>20</v>
      </c>
      <c r="G805" s="9" t="s">
        <v>404</v>
      </c>
      <c r="H805" s="8" t="s">
        <v>3754</v>
      </c>
      <c r="I805" s="8" t="s">
        <v>3755</v>
      </c>
      <c r="J805" s="9">
        <v>21.91</v>
      </c>
      <c r="K805" s="9">
        <v>3.0</v>
      </c>
      <c r="L805" s="8" t="s">
        <v>1490</v>
      </c>
      <c r="M805" s="8" t="s">
        <v>3756</v>
      </c>
      <c r="N805" s="7" t="str">
        <f>IFERROR(__xludf.DUMMYFUNCTION("GOOGLETRANSLATE(L805, ""en"", ""pt"")"),"Zelador")</f>
        <v>Zelador</v>
      </c>
      <c r="O805" s="7" t="str">
        <f>IFERROR(__xludf.DUMMYFUNCTION("IF(M805="""","""",GOOGLETRANSLATE(M805,""en"",""pt""))"),"Remover neve de calçadas e entradas de garagem residenciais usando equipamentos motorizados, como sopradores de neve, ou ferramentas manuais, como pás; realizar manutenção de áreas externas, como limpeza de lixo e preparação de sistemas de irrigação para "&amp;"o inverno; e outras tarefas relacionadas à manutenção de instalações, como a remoção de folhas, neve ou detritos usando ferramentas manuais ou equipamentos motorizados, incluindo, entre outros, ancinhos, pás e sopradores de neve/folhas. Pode haver necessi"&amp;"dade de limpeza de áreas externas no outono e na primavera, incluindo rastelar, triturar e compostar folhas, remover material vegetal morto, podar plantas perenes, aplicar cobertura morta em canteiros e realizar podas de inverno a partir do nível do solo."&amp;" Realizar o degelo e a remoção de neve de calçadas, entradas de garagem e estacionamentos de diversas propriedades residenciais e comerciais, usando ferramentas manuais, como vassouras de neve, pás e espalhando soluções de degelo, incluindo cloreto de cál"&amp;"cio ou sal grosso, manualmente. Pode também utilizar sopradores de neve elétricos ou a gasolina, conforme necessário. Pode dirigir o veículo da equipe. Classificação da Função: 37-3011.00 - Trabalhadores de Paisagismo e Manutenção de Jardins. A classifica"&amp;"ção e descrição da função/setor inclui informações gerais sobre o cargo, de acordo com o ONET/OES e o Sistema de Classificação Industrial da América do Norte (NAICS). Consulte as Funções e a Ordem de Serviço para obter mais informações. Requisitos da Funç"&amp;"ão Experiência Necessária: Não. Requisitos Especiais: Deve ser capaz de levantar/carregar 23 kg, quando necessário. Trabalho aos sábados e domingos, quando necessário. O horário de trabalho pode incluir noites, fins de semana, feriados e horas extras dura"&amp;"nte emergências e condições climáticas adversas. Deve ser capaz de realizar trabalho braçal e físico ao ar livre em todas as condições climáticas (calor, frio, chuva, neve, etc.). Número de Horas por Semana: 35. Horário de Trabalho (Início/Término): 7h30 "&amp;"- 16h30.")</f>
        <v>Remover neve de calçadas e entradas de garagem residenciais usando equipamentos motorizados, como sopradores de neve, ou ferramentas manuais, como pás; realizar manutenção de áreas externas, como limpeza de lixo e preparação de sistemas de irrigação para o inverno; e outras tarefas relacionadas à manutenção de instalações, como a remoção de folhas, neve ou detritos usando ferramentas manuais ou equipamentos motorizados, incluindo, entre outros, ancinhos, pás e sopradores de neve/folhas. Pode haver necessidade de limpeza de áreas externas no outono e na primavera, incluindo rastelar, triturar e compostar folhas, remover material vegetal morto, podar plantas perenes, aplicar cobertura morta em canteiros e realizar podas de inverno a partir do nível do solo. Realizar o degelo e a remoção de neve de calçadas, entradas de garagem e estacionamentos de diversas propriedades residenciais e comerciais, usando ferramentas manuais, como vassouras de neve, pás e espalhando soluções de degelo, incluindo cloreto de cálcio ou sal grosso, manualmente. Pode também utilizar sopradores de neve elétricos ou a gasolina, conforme necessário. Pode dirigir o veículo da equipe. Classificação da Função: 37-3011.00 - Trabalhadores de Paisagismo e Manutenção de Jardins. A classificação e descrição da função/setor inclui informações gerais sobre o cargo, de acordo com o ONET/OES e o Sistema de Classificação Industrial da América do Norte (NAICS). Consulte as Funções e a Ordem de Serviço para obter mais informações. Requisitos da Função Experiência Necessária: Não. Requisitos Especiais: Deve ser capaz de levantar/carregar 23 kg, quando necessário. Trabalho aos sábados e domingos, quando necessário. O horário de trabalho pode incluir noites, fins de semana, feriados e horas extras durante emergências e condições climáticas adversas. Deve ser capaz de realizar trabalho braçal e físico ao ar livre em todas as condições climáticas (calor, frio, chuva, neve, etc.). Número de Horas por Semana: 35. Horário de Trabalho (Início/Término): 7h30 - 16h30.</v>
      </c>
    </row>
    <row r="806" ht="20.25" customHeight="1">
      <c r="A806" s="3" t="s">
        <v>3757</v>
      </c>
      <c r="B806" s="3" t="s">
        <v>3758</v>
      </c>
      <c r="C806" s="3" t="s">
        <v>3759</v>
      </c>
      <c r="D806" s="3" t="s">
        <v>992</v>
      </c>
      <c r="E806" s="4" t="s">
        <v>19</v>
      </c>
      <c r="F806" s="4" t="s">
        <v>20</v>
      </c>
      <c r="G806" s="4" t="s">
        <v>345</v>
      </c>
      <c r="H806" s="3" t="s">
        <v>3760</v>
      </c>
      <c r="I806" s="3" t="s">
        <v>3761</v>
      </c>
      <c r="J806" s="4">
        <v>25.0</v>
      </c>
      <c r="K806" s="4">
        <v>2.0</v>
      </c>
      <c r="L806" s="3" t="s">
        <v>1490</v>
      </c>
      <c r="M806" s="3" t="s">
        <v>3762</v>
      </c>
      <c r="N806" s="7" t="str">
        <f>IFERROR(__xludf.DUMMYFUNCTION("GOOGLETRANSLATE(L806, ""en"", ""pt"")"),"Zelador")</f>
        <v>Zelador</v>
      </c>
      <c r="O806" s="7" t="str">
        <f>IFERROR(__xludf.DUMMYFUNCTION("IF(M806="""","""",GOOGLETRANSLATE(M806,""en"",""pt""))"),"Realizar serviços de remoção de neve em propriedades residenciais e comerciais, incluindo entradas de garagem, estacionamentos e calçadas, utilizando ferramentas manuais como pás e vassouras de neve, bem como equipamentos motorizados como sopradores de ne"&amp;"ve elétricos ou a gasolina. Aplicar materiais de degelo, como sal grosso ou cloreto de cálcio, para manter superfícies seguras para pedestres e motoristas. Auxiliar em tarefas gerais de manutenção de terrenos e instalações, incluindo coleta de lixo, limpe"&amp;"za de detritos como folhas e neve das entradas de edifícios e calçadas, e preparação de sistemas de irrigação para o inverno. Poderá realizar tarefas adicionais de jardinagem sazonal durante o outono e a primavera, como rastelar, colocar cobertura morta, "&amp;"compostar folhas, remover materiais vegetais mortos, podar plantas perenes, colocar cobertura morta em canteiros e realizar podas de inverno a partir do nível do solo. Poderá ser solicitado que dirija um veículo da equipe até os locais de trabalho, caso o"&amp;" trabalhador já possua uma carteira de habilitação válida (não comercial); no entanto, a carteira de habilitação não é uma condição para o emprego. Os trabalhadores não serão obrigados a operar um limpa-neve. Classificação da Função: 37-3011.00 - Trabalha"&amp;"dores de Paisagismo e Manutenção de Jardins. A classificação e descrição da função/setor inclui informações gerais sobre o cargo, de acordo com o ONET/OES e o Sistema de Classificação Industrial da América do Norte (NAICS). Consulte as Funções e a Ordem d"&amp;"e Serviço para obter mais informações. Requisitos da Função Experiência Necessária: Não. Requisitos Especiais: DEVE LEVANTAR/CARREGAR 23 KG QUANDO NECESSÁRIO. TRABALHO AOS SÁBADOS E DOMINGOS, QUANDO NECESSÁRIO. O HORÁRIO DE TRABALHO PODE INCLUIR NOITES E "&amp;"HORAS EXTRAS DURANTE EMERGÊNCIAS E CONDIÇÕES DE TEMPESTADES DE INVERNO. DEVE SER CAPAZ DE REALIZAR TRABALHO FÍSICO MANUAL AO AR LIVRE EM TODAS AS CONDIÇÕES CLIMÁTICAS (QUENTE, FRIO, CHUVA, NEVE, ETC.). Número de Horas por Semana: 40. Horário de Trabalho ("&amp;"Início/Término): 7h00 - 15h00.")</f>
        <v>Realizar serviços de remoção de neve em propriedades residenciais e comerciais, incluindo entradas de garagem, estacionamentos e calçadas, utilizando ferramentas manuais como pás e vassouras de neve, bem como equipamentos motorizados como sopradores de neve elétricos ou a gasolina. Aplicar materiais de degelo, como sal grosso ou cloreto de cálcio, para manter superfícies seguras para pedestres e motoristas. Auxiliar em tarefas gerais de manutenção de terrenos e instalações, incluindo coleta de lixo, limpeza de detritos como folhas e neve das entradas de edifícios e calçadas, e preparação de sistemas de irrigação para o inverno. Poderá realizar tarefas adicionais de jardinagem sazonal durante o outono e a primavera, como rastelar, colocar cobertura morta, compostar folhas, remover materiais vegetais mortos, podar plantas perenes, colocar cobertura morta em canteiros e realizar podas de inverno a partir do nível do solo. Poderá ser solicitado que dirija um veículo da equipe até os locais de trabalho, caso o trabalhador já possua uma carteira de habilitação válida (não comercial); no entanto, a carteira de habilitação não é uma condição para o emprego. Os trabalhadores não serão obrigados a operar um limpa-neve. Classificação da Função: 37-3011.00 - Trabalhadores de Paisagismo e Manutenção de Jardins. A classificação e descrição da função/setor inclui informações gerais sobre o cargo, de acordo com o ONET/OES e o Sistema de Classificação Industrial da América do Norte (NAICS). Consulte as Funções e a Ordem de Serviço para obter mais informações. Requisitos da Função Experiência Necessária: Não. Requisitos Especiais: DEVE LEVANTAR/CARREGAR 23 KG QUANDO NECESSÁRIO. TRABALHO AOS SÁBADOS E DOMINGOS, QUANDO NECESSÁRIO. O HORÁRIO DE TRABALHO PODE INCLUIR NOITES E HORAS EXTRAS DURANTE EMERGÊNCIAS E CONDIÇÕES DE TEMPESTADES DE INVERNO. DEVE SER CAPAZ DE REALIZAR TRABALHO FÍSICO MANUAL AO AR LIVRE EM TODAS AS CONDIÇÕES CLIMÁTICAS (QUENTE, FRIO, CHUVA, NEVE, ETC.). Número de Horas por Semana: 40. Horário de Trabalho (Início/Término): 7h00 - 15h00.</v>
      </c>
    </row>
    <row r="807" ht="20.25" customHeight="1">
      <c r="A807" s="8" t="s">
        <v>3763</v>
      </c>
      <c r="B807" s="8" t="s">
        <v>3764</v>
      </c>
      <c r="C807" s="8" t="s">
        <v>3759</v>
      </c>
      <c r="D807" s="8" t="s">
        <v>71</v>
      </c>
      <c r="E807" s="9" t="s">
        <v>19</v>
      </c>
      <c r="F807" s="9" t="s">
        <v>20</v>
      </c>
      <c r="G807" s="9" t="s">
        <v>80</v>
      </c>
      <c r="H807" s="8" t="s">
        <v>3765</v>
      </c>
      <c r="I807" s="8" t="s">
        <v>3766</v>
      </c>
      <c r="J807" s="9">
        <v>27.54</v>
      </c>
      <c r="K807" s="9">
        <v>10.0</v>
      </c>
      <c r="L807" s="8" t="s">
        <v>1415</v>
      </c>
      <c r="M807" s="8" t="s">
        <v>3767</v>
      </c>
      <c r="N807" s="7" t="str">
        <f>IFERROR(__xludf.DUMMYFUNCTION("GOOGLETRANSLATE(L807, ""en"", ""pt"")"),"Motorista de caminhão")</f>
        <v>Motorista de caminhão</v>
      </c>
      <c r="O807" s="7" t="str">
        <f>IFERROR(__xludf.DUMMYFUNCTION("IF(M807="""","""",GOOGLETRANSLATE(M807,""en"",""pt""))"),"Dirigir um caminhão articulado ou um caminhão com capacidade de carga de pelo menos 26.000 libras (Peso Bruto Total - PBT). Pode ser necessário descarregar o caminhão. Requer carteira de habilitação comercial. Verificar os veículos para garantir que os eq"&amp;"uipamentos estejam em boas condições de funcionamento. Fixar a carga para transporte, utilizando cordas, blocos, correntes, cintas ou lonas. Inspecionar as cargas para garantir que estejam seguras. Manobrar os caminhões para as posições de carga e descarg"&amp;"a, seguindo os sinais e verificando se o veículo e o equipamento de carga estão posicionados corretamente. Manter registros de horas trabalhadas e/ou status de serviço/reparo do veículo, seguindo as regulamentações estaduais e federais aplicáveis. Obter r"&amp;"ecibos ou assinaturas para as mercadorias entregues, conforme necessário. Pode ser necessário trabalhar à noite. Classificação da função: 53-3032.00 - Motoristas de Caminhão Pesado e Articulado. A classificação e descrição da função/setor incluem informaç"&amp;"ões gerais sobre o cargo, de acordo com o ONET/OES e o Sistema de Classificação Industrial da América do Norte (NAICS). Consulte as Funções e a Ordem de Serviço para obter mais informações. Requisitos da Vaga Experiência Necessária: Sim Meses de Experiênc"&amp;"ia Necessários: 12 Requisitos Especiais: É necessário possuir uma Carteira Nacional de Habilitação (CNH) categoria E com autorização para dirigir veículos com reboque duplo. A CNH deve ser da categoria apropriada e possuir a autorização necessária, se apl"&amp;"icável, que permita ao motorista conduzir um veículo com reboque duplo e peso bruto total superior a 11.793 kg (26.000 lbs). Por exemplo, uma CNH categoria E emitida pelo Departamento de Trânsito com autorização para dirigir veículos com reboque duplo (T)"&amp;" será aceita, ou uma CNH com restrição sazonal. - CNHs internacionais similares com autorização para dirigir veículos com reboque duplo também serão aceitas, como a Licença Federal de Condutor Categoria E em Modalidade Internacional do México, ou um Duplo"&amp;" Articulado Internacional, ou qualquer CNH válida equivalente com autorização para dirigir veículos com reboque duplo do país de origem. O candidato deve cumprir os requisitos aplicáveis ​​das normas do Departamento de Transportes dos Estados Unidos. Os c"&amp;"andidatos devem ter proficiência em inglês para se comunicar, ler e compreender a sinalização de trânsito e interagir com os agentes rodoviários. Os candidatos devem ter no mínimo 18 anos de idade, pois a função exige a operação de veículos comerciais pes"&amp;"ados ​​e uma Carteira Nacional de Habilitação (CNH) categoria E válida, com as devidas autorizações (ou CNH estrangeira equivalente). De acordo com a legislação da Flórida, os candidatos devem ter no mínimo 18 anos para obter uma CNH categoria E para diri"&amp;"gir veículos comerciais dentro do estado. Pode ser necessário trabalhar à noite. É preciso ter disponibilidade para trabalhar nos fins de semana, feriados e fazer horas extras. É preciso ter disponibilidade para trabalhar em turnos rotativos. Testes toxic"&amp;"ológicos aleatórios e verificação de antecedentes criminais podem ser exigidos antes e depois da contratação, sem custo para o trabalhador. Os candidatos serão submetidos a uma verificação de referências pré-contratual, que incluirá verificação de emprego"&amp;"s anteriores, histórico de direção e experiência profissional. Os candidatos podem ser solicitados a comprovar um histórico de direção limpo, apresentando o registro do veículo (MVR) ou por outros meios disponíveis, como por meio de verificação de referên"&amp;"cias. Os motoristas de caminhão viajarão como parte de suas funções regulares dentro das localidades geográficas especificadas no Anexo A para realizar entregas. É necessário conhecimento básico de inglês para ler placas de sinalização, preencher registro"&amp;"s de entrega, comunicar-se com a central de despacho e garantir a operação segura do veículo de acordo com as normas do Departamento de Transportes (DOT). O candidato deve possuir proficiência suficiente em inglês para conversar com o público, entender pl"&amp;"acas e sinais de trânsito em inglês, responder a solicitações oficiais e fazer anotações em relatórios e registros de acordo com 49 C.F.R. 391.11(b)(2). Número de horas por semana: 35. Horário de trabalho (início/término): 8h às 17h.")</f>
        <v>Dirigir um caminhão articulado ou um caminhão com capacidade de carga de pelo menos 26.000 libras (Peso Bruto Total - PBT). Pode ser necessário descarregar o caminhão. Requer carteira de habilitação comercial. Verificar os veículos para garantir que os equipamentos estejam em boas condições de funcionamento. Fixar a carga para transporte, utilizando cordas, blocos, correntes, cintas ou lonas. Inspecionar as cargas para garantir que estejam seguras. Manobrar os caminhões para as posições de carga e descarga, seguindo os sinais e verificando se o veículo e o equipamento de carga estão posicionados corretamente. Manter registros de horas trabalhadas e/ou status de serviço/reparo do veículo, seguindo as regulamentações estaduais e federais aplicáveis. Obter recibos ou assinaturas para as mercadorias entregues, conforme necessário. Pode ser necessário trabalhar à noite. Classificação da função: 53-3032.00 - Motoristas de Caminhão Pesado e Articulado. A classificação e descrição da função/setor incluem informações gerais sobre o cargo, de acordo com o ONET/OES e o Sistema de Classificação Industrial da América do Norte (NAICS). Consulte as Funções e a Ordem de Serviço para obter mais informações. Requisitos da Vaga Experiência Necessária: Sim Meses de Experiência Necessários: 12 Requisitos Especiais: É necessário possuir uma Carteira Nacional de Habilitação (CNH) categoria E com autorização para dirigir veículos com reboque duplo. A CNH deve ser da categoria apropriada e possuir a autorização necessária, se aplicável, que permita ao motorista conduzir um veículo com reboque duplo e peso bruto total superior a 11.793 kg (26.000 lbs). Por exemplo, uma CNH categoria E emitida pelo Departamento de Trânsito com autorização para dirigir veículos com reboque duplo (T) será aceita, ou uma CNH com restrição sazonal. - CNHs internacionais similares com autorização para dirigir veículos com reboque duplo também serão aceitas, como a Licença Federal de Condutor Categoria E em Modalidade Internacional do México, ou um Duplo Articulado Internacional, ou qualquer CNH válida equivalente com autorização para dirigir veículos com reboque duplo do país de origem. O candidato deve cumprir os requisitos aplicáveis ​​das normas do Departamento de Transportes dos Estados Unidos. Os candidatos devem ter proficiência em inglês para se comunicar, ler e compreender a sinalização de trânsito e interagir com os agentes rodoviários. Os candidatos devem ter no mínimo 18 anos de idade, pois a função exige a operação de veículos comerciais pesados ​​e uma Carteira Nacional de Habilitação (CNH) categoria E válida, com as devidas autorizações (ou CNH estrangeira equivalente). De acordo com a legislação da Flórida, os candidatos devem ter no mínimo 18 anos para obter uma CNH categoria E para dirigir veículos comerciais dentro do estado. Pode ser necessário trabalhar à noite. É preciso ter disponibilidade para trabalhar nos fins de semana, feriados e fazer horas extras. É preciso ter disponibilidade para trabalhar em turnos rotativos. Testes toxicológicos aleatórios e verificação de antecedentes criminais podem ser exigidos antes e depois da contratação, sem custo para o trabalhador. Os candidatos serão submetidos a uma verificação de referências pré-contratual, que incluirá verificação de empregos anteriores, histórico de direção e experiência profissional. Os candidatos podem ser solicitados a comprovar um histórico de direção limpo, apresentando o registro do veículo (MVR) ou por outros meios disponíveis, como por meio de verificação de referências. Os motoristas de caminhão viajarão como parte de suas funções regulares dentro das localidades geográficas especificadas no Anexo A para realizar entregas. É necessário conhecimento básico de inglês para ler placas de sinalização, preencher registros de entrega, comunicar-se com a central de despacho e garantir a operação segura do veículo de acordo com as normas do Departamento de Transportes (DOT). O candidato deve possuir proficiência suficiente em inglês para conversar com o público, entender placas e sinais de trânsito em inglês, responder a solicitações oficiais e fazer anotações em relatórios e registros de acordo com 49 C.F.R. 391.11(b)(2). Número de horas por semana: 35. Horário de trabalho (início/término): 8h às 17h.</v>
      </c>
    </row>
    <row r="808" ht="20.25" customHeight="1">
      <c r="A808" s="3" t="s">
        <v>3768</v>
      </c>
      <c r="B808" s="3" t="s">
        <v>3764</v>
      </c>
      <c r="C808" s="3" t="s">
        <v>3759</v>
      </c>
      <c r="D808" s="3" t="s">
        <v>306</v>
      </c>
      <c r="E808" s="4" t="s">
        <v>44</v>
      </c>
      <c r="F808" s="4" t="s">
        <v>20</v>
      </c>
      <c r="G808" s="4" t="s">
        <v>80</v>
      </c>
      <c r="H808" s="3" t="s">
        <v>3765</v>
      </c>
      <c r="I808" s="3" t="s">
        <v>3766</v>
      </c>
      <c r="J808" s="4">
        <v>27.01</v>
      </c>
      <c r="K808" s="4">
        <v>15.0</v>
      </c>
      <c r="L808" s="3" t="s">
        <v>1415</v>
      </c>
      <c r="M808" s="3" t="s">
        <v>3769</v>
      </c>
      <c r="N808" s="7" t="str">
        <f>IFERROR(__xludf.DUMMYFUNCTION("GOOGLETRANSLATE(L808, ""en"", ""pt"")"),"Motorista de caminhão")</f>
        <v>Motorista de caminhão</v>
      </c>
      <c r="O808" s="7" t="str">
        <f>IFERROR(__xludf.DUMMYFUNCTION("IF(M808="""","""",GOOGLETRANSLATE(M808,""en"",""pt""))"),"Dirigir um caminhão articulado ou um caminhão com capacidade de carga de pelo menos 26.000 libras (Peso Bruto Total - PBT). Pode ser necessário descarregar o caminhão. Requer carteira de habilitação comercial. Verificar os veículos para garantir que os eq"&amp;"uipamentos estejam em boas condições de funcionamento. Fixar a carga para transporte, utilizando cordas, blocos, correntes, cintas ou lonas. Inspecionar as cargas para garantir que estejam seguras. Manobrar os caminhões para as posições de carga e descarg"&amp;"a, seguindo os sinais e verificando se o veículo e o equipamento de carga estão posicionados corretamente. Manter registros de horas trabalhadas e/ou status de serviço/reparo do veículo, seguindo as regulamentações estaduais e federais aplicáveis. Obter r"&amp;"ecibos ou assinaturas para as mercadorias entregues, conforme necessário. Pode ser necessário trabalhar à noite. Classificação da função: 53-3032.00 - Motoristas de Caminhão Pesado e Articulado. A classificação e descrição da função/setor incluem informaç"&amp;"ões gerais sobre o cargo, de acordo com o ONET/OES e o Sistema de Classificação Industrial da América do Norte (NAICS). Consulte as Funções e a Ordem de Serviço para obter mais informações. Requisitos da Vaga Experiência Necessária: Sim Meses de Experiênc"&amp;"ia Necessários: 12 Requisitos Especiais: É necessário possuir uma Carteira Nacional de Habilitação (CNH) categoria E com autorização para dirigir veículos com reboque duplo. A CNH deve ser da categoria apropriada e possuir a autorização necessária, se apl"&amp;"icável, que permita ao motorista conduzir um veículo com reboque duplo e peso bruto total superior a 11.793 kg (26.000 lbs). Por exemplo, uma CNH categoria E emitida pelo Departamento de Trânsito com autorização para dirigir veículos com reboque duplo (T)"&amp;" será aceita, ou uma CNH com restrição sazonal. - CNHs internacionais similares com autorização para dirigir veículos com reboque duplo também serão aceitas, como a Licença Federal de Condutor Categoria ""E"" em Modalidade Internacional do México, ou um D"&amp;"uplo Articulado Internacional, ou qualquer CNH válida equivalente com autorização para dirigir veículos com reboque duplo do país de origem. O candidato deve cumprir os requisitos aplicáveis ​​das normas do Departamento de Transportes dos Estados Unidos. "&amp;"Os candidatos devem ter proficiência em inglês para se comunicar, ler e compreender a sinalização de trânsito e interagir com os agentes rodoviários. É necessário ter 18 anos de idade. Poderá ser necessário trabalhar à noite. É imprescindível ter disponib"&amp;"ilidade para trabalhar aos fins de semana, feriados e fazer horas extras. É necessário ter disponibilidade para trabalhar em turnos rotativos. Testes aleatórios de drogas e verificação de antecedentes criminais poderão ser exigidos antes e depois da contr"&amp;"atação, sem custo para o trabalhador. Os candidatos serão submetidos a uma verificação de referências pré-emprego, que incluirá verificação de empregos anteriores, histórico de direção e experiência profissional. Os candidatos poderão ser solicitados a co"&amp;"mprovar um histórico de direção limpo, apresentando o registro do veículo (MVR) ou por outros meios disponíveis, como por meio de verificação de referências. Os motoristas de caminhão viajarão como parte de suas funções regulares dentro das localidades ge"&amp;"ográficas especificadas no Anexo A (em todo o estado de Michigan e Ohio) para realizar entregas. É necessário ter proficiência básica em inglês para ler placas de sinalização, preencher registros de entrega, comunicar-se com a central de despacho e garant"&amp;"ir a operação segura do veículo de acordo com as normas do Departamento de Transportes (DOT). Deve possuir proficiência suficiente em inglês para conversar com o público, entender placas e sinais de trânsito em inglês, responder a perguntas oficiais e faz"&amp;"er anotações em relatórios e registros de acordo com 49 C.F.R. 391.11(b)(2) Número de horas por semana: 35 Horário de trabalho (início/término): 17h00 - 01h00")</f>
        <v>Dirigir um caminhão articulado ou um caminhão com capacidade de carga de pelo menos 26.000 libras (Peso Bruto Total - PBT). Pode ser necessário descarregar o caminhão. Requer carteira de habilitação comercial. Verificar os veículos para garantir que os equipamentos estejam em boas condições de funcionamento. Fixar a carga para transporte, utilizando cordas, blocos, correntes, cintas ou lonas. Inspecionar as cargas para garantir que estejam seguras. Manobrar os caminhões para as posições de carga e descarga, seguindo os sinais e verificando se o veículo e o equipamento de carga estão posicionados corretamente. Manter registros de horas trabalhadas e/ou status de serviço/reparo do veículo, seguindo as regulamentações estaduais e federais aplicáveis. Obter recibos ou assinaturas para as mercadorias entregues, conforme necessário. Pode ser necessário trabalhar à noite. Classificação da função: 53-3032.00 - Motoristas de Caminhão Pesado e Articulado. A classificação e descrição da função/setor incluem informações gerais sobre o cargo, de acordo com o ONET/OES e o Sistema de Classificação Industrial da América do Norte (NAICS). Consulte as Funções e a Ordem de Serviço para obter mais informações. Requisitos da Vaga Experiência Necessária: Sim Meses de Experiência Necessários: 12 Requisitos Especiais: É necessário possuir uma Carteira Nacional de Habilitação (CNH) categoria E com autorização para dirigir veículos com reboque duplo. A CNH deve ser da categoria apropriada e possuir a autorização necessária, se aplicável, que permita ao motorista conduzir um veículo com reboque duplo e peso bruto total superior a 11.793 kg (26.000 lbs). Por exemplo, uma CNH categoria E emitida pelo Departamento de Trânsito com autorização para dirigir veículos com reboque duplo (T) será aceita, ou uma CNH com restrição sazonal. - CNHs internacionais similares com autorização para dirigir veículos com reboque duplo também serão aceitas, como a Licença Federal de Condutor Categoria "E" em Modalidade Internacional do México, ou um Duplo Articulado Internacional, ou qualquer CNH válida equivalente com autorização para dirigir veículos com reboque duplo do país de origem. O candidato deve cumprir os requisitos aplicáveis ​​das normas do Departamento de Transportes dos Estados Unidos. Os candidatos devem ter proficiência em inglês para se comunicar, ler e compreender a sinalização de trânsito e interagir com os agentes rodoviários. É necessário ter 18 anos de idade. Poderá ser necessário trabalhar à noite. É imprescindível ter disponibilidade para trabalhar aos fins de semana, feriados e fazer horas extras. É necessário ter disponibilidade para trabalhar em turnos rotativos. Testes aleatórios de drogas e verificação de antecedentes criminais poderão ser exigidos antes e depois da contratação, sem custo para o trabalhador. Os candidatos serão submetidos a uma verificação de referências pré-emprego, que incluirá verificação de empregos anteriores, histórico de direção e experiência profissional. Os candidatos poderão ser solicitados a comprovar um histórico de direção limpo, apresentando o registro do veículo (MVR) ou por outros meios disponíveis, como por meio de verificação de referências. Os motoristas de caminhão viajarão como parte de suas funções regulares dentro das localidades geográficas especificadas no Anexo A (em todo o estado de Michigan e Ohio) para realizar entregas. É necessário ter proficiência básica em inglês para ler placas de sinalização, preencher registros de entrega, comunicar-se com a central de despacho e garantir a operação segura do veículo de acordo com as normas do Departamento de Transportes (DOT). Deve possuir proficiência suficiente em inglês para conversar com o público, entender placas e sinais de trânsito em inglês, responder a perguntas oficiais e fazer anotações em relatórios e registros de acordo com 49 C.F.R. 391.11(b)(2) Número de horas por semana: 35 Horário de trabalho (início/término): 17h00 - 01h00</v>
      </c>
    </row>
    <row r="809" ht="20.25" customHeight="1">
      <c r="A809" s="8" t="s">
        <v>3770</v>
      </c>
      <c r="B809" s="8" t="s">
        <v>3771</v>
      </c>
      <c r="C809" s="8"/>
      <c r="D809" s="8" t="s">
        <v>271</v>
      </c>
      <c r="E809" s="9" t="s">
        <v>19</v>
      </c>
      <c r="F809" s="9" t="s">
        <v>20</v>
      </c>
      <c r="G809" s="9" t="s">
        <v>229</v>
      </c>
      <c r="H809" s="8" t="s">
        <v>3772</v>
      </c>
      <c r="I809" s="8" t="s">
        <v>3773</v>
      </c>
      <c r="J809" s="9">
        <v>33.45</v>
      </c>
      <c r="K809" s="9">
        <v>30.0</v>
      </c>
      <c r="L809" s="8" t="s">
        <v>3774</v>
      </c>
      <c r="M809" s="8" t="s">
        <v>3775</v>
      </c>
      <c r="N809" s="7" t="str">
        <f>IFERROR(__xludf.DUMMYFUNCTION("GOOGLETRANSLATE(L809, ""en"", ""pt"")"),"Encanador de piscina")</f>
        <v>Encanador de piscina</v>
      </c>
      <c r="O809" s="7" t="str">
        <f>IFERROR(__xludf.DUMMYFUNCTION("IF(M809="""","""",GOOGLETRANSLATE(M809,""en"",""pt""))"),"O encanador de piscinas irá montar e instalar seções de tubos, tubulações e conexões em construções residenciais. Também poderá alterar e cortar aberturas em estruturas para acomodar tubos e conexões, além de reparar tubulações ou sistemas de tubulação us"&amp;"ando ferramentas manuais e elétricas. Encherá tubos ou acessórios hidráulicos com água, vapor ou ar para detectar e localizar vazamentos em piscinas. Poderá instalar equipamentos de aquecimento e refrigeração e sistemas de controle mecânico. Classificação"&amp;" da função: 47-2152.00 - Encanadores, Instaladores de Tubulações e Instaladores de Sistemas de Vapor. A classificação e descrição da função/setor inclui informações gerais sobre o cargo, de acordo com o ONET/OES e o Sistema de Classificação Industrial da "&amp;"América do Norte. Consulte as Funções e a Ordem de Serviço para obter mais informações. Requisitos da vaga: Experiência necessária: Sim. Meses de experiência necessários: 3. Requisitos especiais: TRÊS MESES DE EXPERIÊNCIA COMO ENCANADOR DE PISCINA EM AMBI"&amp;"ENTE DE CONSTRUÇÃO RESIDENCIAL. DEVE SE ABAIXAR, LEVANTAR E SUPORTAR ATÉ 23 KG, TRABALHAR EM CONDIÇÕES CLIMÁTICAS EXTREMAS. NÃO É NECESSÁRIO VIAJAR PARA FORA DA REGIÃO METROPOLITANA, NÃO É NECESSÁRIO TER QUALIFICAÇÃO ESCOLAR, NÃO HÁ TREINAMENTO NO LOCAL D"&amp;"E TRABALHO. EXAME TOXICOLÓGICO APÓS A CONTRATAÇÃO OBRIGATÓRIO E PAGO PELO EMPREGADOR. TODOS OS FUNCIONÁRIOS, INDEPENDENTES E TEMPORÁRIAS, SERÃO AVALIADOS DA MESMA FORMA. Número de horas por semana: 40. Horário de trabalho (início/término): 7h às 15h.")</f>
        <v>O encanador de piscinas irá montar e instalar seções de tubos, tubulações e conexões em construções residenciais. Também poderá alterar e cortar aberturas em estruturas para acomodar tubos e conexões, além de reparar tubulações ou sistemas de tubulação usando ferramentas manuais e elétricas. Encherá tubos ou acessórios hidráulicos com água, vapor ou ar para detectar e localizar vazamentos em piscinas. Poderá instalar equipamentos de aquecimento e refrigeração e sistemas de controle mecânico. Classificação da função: 47-2152.00 - Encanadores, Instaladores de Tubulações e Instaladores de Sistemas de Vapor. A classificação e descrição da função/setor inclui informações gerais sobre o cargo, de acordo com o ONET/OES e o Sistema de Classificação Industrial da América do Norte. Consulte as Funções e a Ordem de Serviço para obter mais informações. Requisitos da vaga: Experiência necessária: Sim. Meses de experiência necessários: 3. Requisitos especiais: TRÊS MESES DE EXPERIÊNCIA COMO ENCANADOR DE PISCINA EM AMBIENTE DE CONSTRUÇÃO RESIDENCIAL. DEVE SE ABAIXAR, LEVANTAR E SUPORTAR ATÉ 23 KG, TRABALHAR EM CONDIÇÕES CLIMÁTICAS EXTREMAS. NÃO É NECESSÁRIO VIAJAR PARA FORA DA REGIÃO METROPOLITANA, NÃO É NECESSÁRIO TER QUALIFICAÇÃO ESCOLAR, NÃO HÁ TREINAMENTO NO LOCAL DE TRABALHO. EXAME TOXICOLÓGICO APÓS A CONTRATAÇÃO OBRIGATÓRIO E PAGO PELO EMPREGADOR. TODOS OS FUNCIONÁRIOS, INDEPENDENTES E TEMPORÁRIAS, SERÃO AVALIADOS DA MESMA FORMA. Número de horas por semana: 40. Horário de trabalho (início/término): 7h às 15h.</v>
      </c>
    </row>
    <row r="810" ht="20.25" customHeight="1">
      <c r="A810" s="3" t="s">
        <v>3776</v>
      </c>
      <c r="B810" s="3" t="s">
        <v>3771</v>
      </c>
      <c r="C810" s="3"/>
      <c r="D810" s="3" t="s">
        <v>271</v>
      </c>
      <c r="E810" s="4" t="s">
        <v>44</v>
      </c>
      <c r="F810" s="4" t="s">
        <v>20</v>
      </c>
      <c r="G810" s="4" t="s">
        <v>229</v>
      </c>
      <c r="H810" s="3" t="s">
        <v>3772</v>
      </c>
      <c r="I810" s="3" t="s">
        <v>3773</v>
      </c>
      <c r="J810" s="4">
        <v>27.72</v>
      </c>
      <c r="K810" s="4">
        <v>10.0</v>
      </c>
      <c r="L810" s="3" t="s">
        <v>3774</v>
      </c>
      <c r="M810" s="3" t="s">
        <v>3775</v>
      </c>
      <c r="N810" s="7" t="str">
        <f>IFERROR(__xludf.DUMMYFUNCTION("GOOGLETRANSLATE(L810, ""en"", ""pt"")"),"Encanador de piscina")</f>
        <v>Encanador de piscina</v>
      </c>
      <c r="O810" s="7" t="str">
        <f>IFERROR(__xludf.DUMMYFUNCTION("IF(M810="""","""",GOOGLETRANSLATE(M810,""en"",""pt""))"),"O encanador de piscinas irá montar e instalar seções de tubos, tubulações e conexões em construções residenciais. Também poderá alterar e cortar aberturas em estruturas para acomodar tubos e conexões, além de reparar tubulações ou sistemas de tubulação us"&amp;"ando ferramentas manuais e elétricas. Encherá tubos ou acessórios hidráulicos com água, vapor ou ar para detectar e localizar vazamentos em piscinas. Poderá instalar equipamentos de aquecimento e refrigeração e sistemas de controle mecânico. Classificação"&amp;" da função: 47-2152.00 - Encanadores, Instaladores de Tubulações e Instaladores de Sistemas de Vapor. A classificação e descrição da função/setor inclui informações gerais sobre o cargo, de acordo com o ONET/OES e o Sistema de Classificação Industrial da "&amp;"América do Norte. Consulte as Funções e a Ordem de Serviço para obter mais informações. Requisitos da vaga: Experiência necessária: Sim. Meses de experiência necessários: 3. Requisitos especiais: TRÊS MESES DE EXPERIÊNCIA COMO ENCANADOR DE PISCINA EM AMBI"&amp;"ENTE DE CONSTRUÇÃO RESIDENCIAL. DEVE SE ABAIXAR, LEVANTAR E SUPORTAR ATÉ 23 KG, TRABALHAR EM CONDIÇÕES CLIMÁTICAS EXTREMAS. NÃO É NECESSÁRIO VIAJAR PARA FORA DA REGIÃO METROPOLITANA, NÃO É NECESSÁRIO TER QUALIFICAÇÃO ESCOLAR, NÃO HÁ TREINAMENTO NO LOCAL D"&amp;"E TRABALHO. EXAME TOXICOLÓGICO APÓS A CONTRATAÇÃO OBRIGATÓRIO E PAGO PELO EMPREGADOR. TODOS OS FUNCIONÁRIOS, INDEPENDENTES E TEMPORÁRIAS, SERÃO AVALIADOS DA MESMA FORMA. Número de horas por semana: 40. Horário de trabalho (início/término): 7h às 15h.")</f>
        <v>O encanador de piscinas irá montar e instalar seções de tubos, tubulações e conexões em construções residenciais. Também poderá alterar e cortar aberturas em estruturas para acomodar tubos e conexões, além de reparar tubulações ou sistemas de tubulação usando ferramentas manuais e elétricas. Encherá tubos ou acessórios hidráulicos com água, vapor ou ar para detectar e localizar vazamentos em piscinas. Poderá instalar equipamentos de aquecimento e refrigeração e sistemas de controle mecânico. Classificação da função: 47-2152.00 - Encanadores, Instaladores de Tubulações e Instaladores de Sistemas de Vapor. A classificação e descrição da função/setor inclui informações gerais sobre o cargo, de acordo com o ONET/OES e o Sistema de Classificação Industrial da América do Norte. Consulte as Funções e a Ordem de Serviço para obter mais informações. Requisitos da vaga: Experiência necessária: Sim. Meses de experiência necessários: 3. Requisitos especiais: TRÊS MESES DE EXPERIÊNCIA COMO ENCANADOR DE PISCINA EM AMBIENTE DE CONSTRUÇÃO RESIDENCIAL. DEVE SE ABAIXAR, LEVANTAR E SUPORTAR ATÉ 23 KG, TRABALHAR EM CONDIÇÕES CLIMÁTICAS EXTREMAS. NÃO É NECESSÁRIO VIAJAR PARA FORA DA REGIÃO METROPOLITANA, NÃO É NECESSÁRIO TER QUALIFICAÇÃO ESCOLAR, NÃO HÁ TREINAMENTO NO LOCAL DE TRABALHO. EXAME TOXICOLÓGICO APÓS A CONTRATAÇÃO OBRIGATÓRIO E PAGO PELO EMPREGADOR. TODOS OS FUNCIONÁRIOS, INDEPENDENTES E TEMPORÁRIAS, SERÃO AVALIADOS DA MESMA FORMA. Número de horas por semana: 40. Horário de trabalho (início/término): 7h às 15h.</v>
      </c>
    </row>
    <row r="811" ht="20.25" customHeight="1">
      <c r="A811" s="8" t="s">
        <v>3777</v>
      </c>
      <c r="B811" s="8" t="s">
        <v>3778</v>
      </c>
      <c r="C811" s="8"/>
      <c r="D811" s="8" t="s">
        <v>64</v>
      </c>
      <c r="E811" s="9" t="s">
        <v>44</v>
      </c>
      <c r="F811" s="9" t="s">
        <v>20</v>
      </c>
      <c r="G811" s="9" t="s">
        <v>404</v>
      </c>
      <c r="H811" s="8" t="s">
        <v>3779</v>
      </c>
      <c r="I811" s="8" t="s">
        <v>3780</v>
      </c>
      <c r="J811" s="9">
        <v>21.79</v>
      </c>
      <c r="K811" s="9">
        <v>21.0</v>
      </c>
      <c r="L811" s="8" t="s">
        <v>3781</v>
      </c>
      <c r="M811" s="8" t="s">
        <v>3782</v>
      </c>
      <c r="N811" s="7" t="str">
        <f>IFERROR(__xludf.DUMMYFUNCTION("GOOGLETRANSLATE(L811, ""en"", ""pt"")"),"Trabalhador de vergalhão")</f>
        <v>Trabalhador de vergalhão</v>
      </c>
      <c r="O811" s="7" t="str">
        <f>IFERROR(__xludf.DUMMYFUNCTION("IF(M811="""","""",GOOGLETRANSLATE(M811,""en"",""pt""))"),"Executar trabalho braçal; posicionar e fixar barras de aço ou malhas em fôrmas de concreto para reforçá-lo. Utilizar diversos fixadores, máquinas de dobrar vergalhões, maçaricos e ferramentas manuais. Inclui o uso de dobradeiras de vergalhões. Classificaç"&amp;"ão da função: 47-2171.00 - Trabalhadores de Ferro de Reforço e Vergalhões. A classificação e descrição da função/setor incluem informações gerais sobre o cargo, conforme o ONET/OES e o Sistema de Classificação Industrial da América do Norte (NAICS). Consu"&amp;"lte as atribuições e a Ordem de Serviço para obter mais informações. Requisitos da vaga: Experiência exigida: Sim. Meses de experiência exigidos: 6. Número de horas por semana: 40. Horário de trabalho (início/término): 7h às 16h.")</f>
        <v>Executar trabalho braçal; posicionar e fixar barras de aço ou malhas em fôrmas de concreto para reforçá-lo. Utilizar diversos fixadores, máquinas de dobrar vergalhões, maçaricos e ferramentas manuais. Inclui o uso de dobradeiras de vergalhões. Classificação da função: 47-2171.00 - Trabalhadores de Ferro de Reforço e Vergalhões. A classificação e descrição da função/setor incluem informações gerais sobre o cargo, conforme o ONET/OES e o Sistema de Classificação Industrial da América do Norte (NAICS). Consulte as atribuições e a Ordem de Serviço para obter mais informações. Requisitos da vaga: Experiência exigida: Sim. Meses de experiência exigidos: 6. Número de horas por semana: 40. Horário de trabalho (início/término): 7h às 16h.</v>
      </c>
    </row>
    <row r="812" ht="20.25" customHeight="1">
      <c r="A812" s="3" t="s">
        <v>3783</v>
      </c>
      <c r="B812" s="3" t="s">
        <v>3784</v>
      </c>
      <c r="C812" s="3"/>
      <c r="D812" s="3" t="s">
        <v>271</v>
      </c>
      <c r="E812" s="4" t="s">
        <v>19</v>
      </c>
      <c r="F812" s="4" t="s">
        <v>20</v>
      </c>
      <c r="G812" s="4" t="s">
        <v>512</v>
      </c>
      <c r="H812" s="3" t="s">
        <v>3785</v>
      </c>
      <c r="I812" s="3" t="s">
        <v>3786</v>
      </c>
      <c r="J812" s="4">
        <v>33.45</v>
      </c>
      <c r="K812" s="4">
        <v>10.0</v>
      </c>
      <c r="L812" s="3" t="s">
        <v>3774</v>
      </c>
      <c r="M812" s="3" t="s">
        <v>3787</v>
      </c>
      <c r="N812" s="7" t="str">
        <f>IFERROR(__xludf.DUMMYFUNCTION("GOOGLETRANSLATE(L812, ""en"", ""pt"")"),"Encanador de piscina")</f>
        <v>Encanador de piscina</v>
      </c>
      <c r="O812" s="7" t="str">
        <f>IFERROR(__xludf.DUMMYFUNCTION("IF(M812="""","""",GOOGLETRANSLATE(M812,""en"",""pt""))"),"Encanadores de piscinas montam e instalam seções de tubos, conexões e tubulações em construções residenciais. Podem também alterar e cortar aberturas em estruturas para acomodar tubos e conexões, além de reparar tubulações ou sistemas de tubulação usando "&amp;"ferramentas manuais e elétricas. Enchem tubos ou acessórios hidráulicos com água, vapor ou ar para detectar e localizar vazamentos em piscinas. Podem instalar equipamentos de aquecimento e refrigeração e sistemas de controle mecânico. Classificação da fun"&amp;"ção: 47-2152.00 - Encanadores, Instaladores de Tubulações e Instaladores de Vapor. A classificação e descrição da função/setor inclui informações gerais sobre o cargo, de acordo com o ONET/OES e o Sistema de Classificação Industrial da América do Norte (N"&amp;"AICS). Consulte as Funções e a Ordem de Serviço para obter mais informações. Requisitos da vaga: Experiência necessária: Sim. Meses de experiência necessários: 3. Requisitos especiais: Três meses de experiência como encanador de piscinas em ambiente de co"&amp;"nstrução residencial. Deve ser capaz de se abaixar, levantar e suportar até 23 kg, trabalhar em condições climáticas extremas. Não é necessário viajar para fora da região metropolitana, não é exigida escolaridade e não há treinamento disponível no local d"&amp;"e trabalho. Exame toxicológico pós-contratação obrigatório, pago pelo empregador. Todos os funcionários, americanos e estrangeiros, serão submetidos ao exame da mesma forma. Número de horas semanais: 40. Horário de trabalho (início/término): 7h às 15h.")</f>
        <v>Encanadores de piscinas montam e instalam seções de tubos, conexões e tubulações em construções residenciais. Podem também alterar e cortar aberturas em estruturas para acomodar tubos e conexões, além de reparar tubulações ou sistemas de tubulação usando ferramentas manuais e elétricas. Enchem tubos ou acessórios hidráulicos com água, vapor ou ar para detectar e localizar vazamentos em piscinas. Podem instalar equipamentos de aquecimento e refrigeração e sistemas de controle mecânico. Classificação da função: 47-2152.00 - Encanadores, Instaladores de Tubulações e Instaladores de Vapor. A classificação e descrição da função/setor inclui informações gerais sobre o cargo, de acordo com o ONET/OES e o Sistema de Classificação Industrial da América do Norte (NAICS). Consulte as Funções e a Ordem de Serviço para obter mais informações. Requisitos da vaga: Experiência necessária: Sim. Meses de experiência necessários: 3. Requisitos especiais: Três meses de experiência como encanador de piscinas em ambiente de construção residencial. Deve ser capaz de se abaixar, levantar e suportar até 23 kg, trabalhar em condições climáticas extremas. Não é necessário viajar para fora da região metropolitana, não é exigida escolaridade e não há treinamento disponível no local de trabalho. Exame toxicológico pós-contratação obrigatório, pago pelo empregador. Todos os funcionários, americanos e estrangeiros, serão submetidos ao exame da mesma forma. Número de horas semanais: 40. Horário de trabalho (início/término): 7h às 15h.</v>
      </c>
    </row>
    <row r="813" ht="20.25" customHeight="1">
      <c r="A813" s="8" t="s">
        <v>3788</v>
      </c>
      <c r="B813" s="8" t="s">
        <v>3789</v>
      </c>
      <c r="C813" s="8" t="s">
        <v>3759</v>
      </c>
      <c r="D813" s="8" t="s">
        <v>596</v>
      </c>
      <c r="E813" s="9" t="s">
        <v>19</v>
      </c>
      <c r="F813" s="9" t="s">
        <v>20</v>
      </c>
      <c r="G813" s="9" t="s">
        <v>404</v>
      </c>
      <c r="H813" s="8" t="s">
        <v>3790</v>
      </c>
      <c r="I813" s="8" t="s">
        <v>3791</v>
      </c>
      <c r="J813" s="9">
        <v>21.91</v>
      </c>
      <c r="K813" s="9">
        <v>3.0</v>
      </c>
      <c r="L813" s="8" t="s">
        <v>3792</v>
      </c>
      <c r="M813" s="8" t="s">
        <v>3793</v>
      </c>
      <c r="N813" s="7" t="str">
        <f>IFERROR(__xludf.DUMMYFUNCTION("GOOGLETRANSLATE(L813, ""en"", ""pt"")"),"Técnico de Remoção de Neve")</f>
        <v>Técnico de Remoção de Neve</v>
      </c>
      <c r="O813" s="7" t="str">
        <f>IFERROR(__xludf.DUMMYFUNCTION("IF(M813="""","""",GOOGLETRANSLATE(M813,""en"",""pt""))"),"Remover neve de estacionamentos residenciais, entradas de garagem e calçadas usando equipamentos motorizados, como sopradores de neve, ou ferramentas manuais, como pás; realizar manutenção de áreas externas, como limpeza de lixo e preparação de sistemas d"&amp;"e irrigação para o inverno; e outras tarefas relacionadas à manutenção das instalações, como a remoção de folhas, neve ou detritos usando ferramentas manuais ou equipamentos motorizados, incluindo, entre outros, ancinhos, pás e sopradores de neve/folhas. "&amp;"Pode haver necessidade de limpeza de áreas externas no outono e na primavera, incluindo rastelar, triturar e compostar folhas, remover material vegetal morto, podar plantas perenes, aplicar cobertura morta em canteiros e realizar podas de inverno a partir"&amp;" do nível do solo. Realizar o degelo e a remoção de neve de calçadas, entradas de garagem e estacionamentos de diversas propriedades residenciais e comerciais, usando ferramentas manuais, como vassouras de neve, pás e espalhando soluções de degelo, inclui"&amp;"ndo cloreto de cálcio ou sal grosso, manualmente. Pode também utilizar sopradores de neve elétricos ou a gasolina, conforme necessário. Pode dirigir o veículo da equipe. Classificação da Função: 37-3011.00 - Trabalhadores de Paisagismo e Manutenção de Jar"&amp;"dins. A classificação e descrição da função/setor inclui informações gerais sobre o cargo, de acordo com o ONET/OES e o Sistema de Classificação Industrial da América do Norte (NAICS). Consulte as Funções e a Ordem de Serviço para obter mais informações. "&amp;"Requisitos da Função Experiência Necessária: Não. Requisitos Especiais: Deve ser capaz de levantar/carregar 23 kg, quando necessário. Trabalho aos sábados e domingos, quando necessário. O horário de trabalho pode incluir noites, fins de semana, feriados e"&amp;" horas extras durante emergências e condições climáticas adversas. Deve ser capaz de realizar trabalho braçal e físico ao ar livre em todas as condições climáticas (calor, frio, chuva, neve, etc.). Os trabalhadores iniciarão cada dia no endereço do local "&amp;"de trabalho. Em seguida, serão transportados, gratuitamente, para propriedades localizadas em toda a área de atuação para realizar suas tarefas. Ao final de cada dia de trabalho, serão transportados de volta ao endereço do local de trabalho. Número de Hor"&amp;"as por Semana: 35. Horário de Trabalho (Início/Término): 8h às 17h.")</f>
        <v>Remover neve de estacionamentos residenciais, entradas de garagem e calçadas usando equipamentos motorizados, como sopradores de neve, ou ferramentas manuais, como pás; realizar manutenção de áreas externas, como limpeza de lixo e preparação de sistemas de irrigação para o inverno; e outras tarefas relacionadas à manutenção das instalações, como a remoção de folhas, neve ou detritos usando ferramentas manuais ou equipamentos motorizados, incluindo, entre outros, ancinhos, pás e sopradores de neve/folhas. Pode haver necessidade de limpeza de áreas externas no outono e na primavera, incluindo rastelar, triturar e compostar folhas, remover material vegetal morto, podar plantas perenes, aplicar cobertura morta em canteiros e realizar podas de inverno a partir do nível do solo. Realizar o degelo e a remoção de neve de calçadas, entradas de garagem e estacionamentos de diversas propriedades residenciais e comerciais, usando ferramentas manuais, como vassouras de neve, pás e espalhando soluções de degelo, incluindo cloreto de cálcio ou sal grosso, manualmente. Pode também utilizar sopradores de neve elétricos ou a gasolina, conforme necessário. Pode dirigir o veículo da equipe. Classificação da Função: 37-3011.00 - Trabalhadores de Paisagismo e Manutenção de Jardins. A classificação e descrição da função/setor inclui informações gerais sobre o cargo, de acordo com o ONET/OES e o Sistema de Classificação Industrial da América do Norte (NAICS). Consulte as Funções e a Ordem de Serviço para obter mais informações. Requisitos da Função Experiência Necessária: Não. Requisitos Especiais: Deve ser capaz de levantar/carregar 23 kg, quando necessário. Trabalho aos sábados e domingos, quando necessário. O horário de trabalho pode incluir noites, fins de semana, feriados e horas extras durante emergências e condições climáticas adversas. Deve ser capaz de realizar trabalho braçal e físico ao ar livre em todas as condições climáticas (calor, frio, chuva, neve, etc.). Os trabalhadores iniciarão cada dia no endereço do local de trabalho. Em seguida, serão transportados, gratuitamente, para propriedades localizadas em toda a área de atuação para realizar suas tarefas. Ao final de cada dia de trabalho, serão transportados de volta ao endereço do local de trabalho. Número de Horas por Semana: 35. Horário de Trabalho (Início/Término): 8h às 17h.</v>
      </c>
    </row>
    <row r="814" ht="20.25" customHeight="1">
      <c r="A814" s="3" t="s">
        <v>3794</v>
      </c>
      <c r="B814" s="3" t="s">
        <v>3795</v>
      </c>
      <c r="C814" s="3" t="s">
        <v>3588</v>
      </c>
      <c r="D814" s="3" t="s">
        <v>109</v>
      </c>
      <c r="E814" s="4" t="s">
        <v>19</v>
      </c>
      <c r="F814" s="4" t="s">
        <v>20</v>
      </c>
      <c r="G814" s="4" t="s">
        <v>1829</v>
      </c>
      <c r="H814" s="3" t="s">
        <v>3796</v>
      </c>
      <c r="I814" s="3" t="s">
        <v>3797</v>
      </c>
      <c r="J814" s="4">
        <v>24.38</v>
      </c>
      <c r="K814" s="4">
        <v>6.0</v>
      </c>
      <c r="L814" s="3" t="s">
        <v>3798</v>
      </c>
      <c r="M814" s="3" t="s">
        <v>3799</v>
      </c>
      <c r="N814" s="7" t="str">
        <f>IFERROR(__xludf.DUMMYFUNCTION("GOOGLETRANSLATE(L814, ""en"", ""pt"")"),"Instalador de Iluminação e Decoração Natalina")</f>
        <v>Instalador de Iluminação e Decoração Natalina</v>
      </c>
      <c r="O814" s="7" t="str">
        <f>IFERROR(__xludf.DUMMYFUNCTION("IF(M814="""","""",GOOGLETRANSLATE(M814,""en"",""pt""))"),"Carregar e descarregar decorações, equipamentos e materiais de Natal nos locais de trabalho. Instalar guirlandas, arranjos, laços e iluminação em residências e empresas, incluindo árvores, arbustos e telhados, conforme instruções do líder da equipe. Mante"&amp;"r o local de trabalho limpo, removendo detritos e garantindo que as propriedades sejam deixadas organizadas e decoradas profissionalmente ao final de cada projeto. Classificação da função: 49-9099.00 - Trabalhadores de Instalação, Manutenção e Reparo, Out"&amp;"ros. A classificação e descrição da função/setor incluem informações gerais sobre o cargo, de acordo com o ONET/OES e o Sistema de Classificação Industrial da América do Norte (NAICS). Consulte as Funções e a Ordem de Serviço para obter mais informações. "&amp;"Requisitos da vaga: Experiência necessária: Não. Requisitos especiais: Capacidade de levantar até 23 kg. Número de horas por semana: 40. Horário de trabalho (início/término): 7h30 às 15h30.")</f>
        <v>Carregar e descarregar decorações, equipamentos e materiais de Natal nos locais de trabalho. Instalar guirlandas, arranjos, laços e iluminação em residências e empresas, incluindo árvores, arbustos e telhados, conforme instruções do líder da equipe. Manter o local de trabalho limpo, removendo detritos e garantindo que as propriedades sejam deixadas organizadas e decoradas profissionalmente ao final de cada projeto. Classificação da função: 49-9099.00 - Trabalhadores de Instalação, Manutenção e Reparo, Outros. A classificação e descrição da função/setor incluem informações gerais sobre o cargo, de acordo com o ONET/OES e o Sistema de Classificação Industrial da América do Norte (NAICS). Consulte as Funções e a Ordem de Serviço para obter mais informações. Requisitos da vaga: Experiência necessária: Não. Requisitos especiais: Capacidade de levantar até 23 kg. Número de horas por semana: 40. Horário de trabalho (início/término): 7h30 às 15h30.</v>
      </c>
    </row>
    <row r="815" ht="20.25" customHeight="1">
      <c r="A815" s="8" t="s">
        <v>3800</v>
      </c>
      <c r="B815" s="8" t="s">
        <v>3801</v>
      </c>
      <c r="C815" s="8"/>
      <c r="D815" s="8" t="s">
        <v>271</v>
      </c>
      <c r="E815" s="9" t="s">
        <v>19</v>
      </c>
      <c r="F815" s="9" t="s">
        <v>20</v>
      </c>
      <c r="G815" s="9" t="s">
        <v>229</v>
      </c>
      <c r="H815" s="8" t="s">
        <v>3802</v>
      </c>
      <c r="I815" s="8" t="s">
        <v>3803</v>
      </c>
      <c r="J815" s="9">
        <v>33.45</v>
      </c>
      <c r="K815" s="9">
        <v>6.0</v>
      </c>
      <c r="L815" s="8" t="s">
        <v>3774</v>
      </c>
      <c r="M815" s="8" t="s">
        <v>3804</v>
      </c>
      <c r="N815" s="7" t="str">
        <f>IFERROR(__xludf.DUMMYFUNCTION("GOOGLETRANSLATE(L815, ""en"", ""pt"")"),"Encanador de piscina")</f>
        <v>Encanador de piscina</v>
      </c>
      <c r="O815" s="7" t="str">
        <f>IFERROR(__xludf.DUMMYFUNCTION("IF(M815="""","""",GOOGLETRANSLATE(M815,""en"",""pt""))"),"O encanador de piscinas irá montar e instalar seções de tubos, tubulações e conexões em construções residenciais. Também poderá alterar e cortar aberturas em estruturas para acomodar tubos e conexões, além de reparar tubulações ou sistemas de tubulação us"&amp;"ando ferramentas manuais e elétricas. Encherá tubos ou acessórios hidráulicos com água, vapor ou ar para detectar e localizar vazamentos em piscinas. Poderá instalar equipamentos de aquecimento e refrigeração e sistemas de controle mecânico. Classificação"&amp;" da Função: 47-2152.00 - Encanadores, Instaladores de Tubulações e Instaladores de Vapor. A classificação e descrição da função/setor inclui informações gerais sobre o cargo, de acordo com o ONET/OES e o Sistema de Classificação Industrial da América do N"&amp;"orte. Consulte as Funções e a Ordem de Serviço para obter mais informações. Requisitos da Função: Experiência Necessária: Sim. Meses de Experiência Necessários: 3. Requisitos Especiais: Três meses de experiência como encanador de piscinas em ambiente de c"&amp;"onstrução residencial. Deve ser capaz de se abaixar, levantar e suportar até 23 kg, trabalhar em condições climáticas extremas. Necessidade de viagens dentro da área metropolitana, localizada entre os condados de Maricopa e Piann. Não é necessário escolar"&amp;"idade, nem treinamento no local de trabalho. Exame toxicológico pós-contratação obrigatório, pago pelo empregador. Todos os funcionários, incluindo os temporários, serão submetidos ao exame da mesma forma. Número de horas semanais: 40. Horário de trabalho"&amp;" (início/término): 6h às 15h.")</f>
        <v>O encanador de piscinas irá montar e instalar seções de tubos, tubulações e conexões em construções residenciais. Também poderá alterar e cortar aberturas em estruturas para acomodar tubos e conexões, além de reparar tubulações ou sistemas de tubulação usando ferramentas manuais e elétricas. Encherá tubos ou acessórios hidráulicos com água, vapor ou ar para detectar e localizar vazamentos em piscinas. Poderá instalar equipamentos de aquecimento e refrigeração e sistemas de controle mecânico. Classificação da Função: 47-2152.00 - Encanadores, Instaladores de Tubulações e Instaladores de Vapor. A classificação e descrição da função/setor inclui informações gerais sobre o cargo, de acordo com o ONET/OES e o Sistema de Classificação Industrial da América do Norte. Consulte as Funções e a Ordem de Serviço para obter mais informações. Requisitos da Função: Experiência Necessária: Sim. Meses de Experiência Necessários: 3. Requisitos Especiais: Três meses de experiência como encanador de piscinas em ambiente de construção residencial. Deve ser capaz de se abaixar, levantar e suportar até 23 kg, trabalhar em condições climáticas extremas. Necessidade de viagens dentro da área metropolitana, localizada entre os condados de Maricopa e Piann. Não é necessário escolaridade, nem treinamento no local de trabalho. Exame toxicológico pós-contratação obrigatório, pago pelo empregador. Todos os funcionários, incluindo os temporários, serão submetidos ao exame da mesma forma. Número de horas semanais: 40. Horário de trabalho (início/término): 6h às 15h.</v>
      </c>
    </row>
    <row r="816" ht="20.25" customHeight="1">
      <c r="A816" s="3" t="s">
        <v>3805</v>
      </c>
      <c r="B816" s="3" t="s">
        <v>3806</v>
      </c>
      <c r="C816" s="3" t="s">
        <v>3759</v>
      </c>
      <c r="D816" s="3" t="s">
        <v>970</v>
      </c>
      <c r="E816" s="4" t="s">
        <v>19</v>
      </c>
      <c r="F816" s="4" t="s">
        <v>20</v>
      </c>
      <c r="G816" s="4" t="s">
        <v>3807</v>
      </c>
      <c r="H816" s="3" t="s">
        <v>3808</v>
      </c>
      <c r="I816" s="3" t="s">
        <v>3809</v>
      </c>
      <c r="J816" s="4">
        <v>32.97</v>
      </c>
      <c r="K816" s="4">
        <v>15.0</v>
      </c>
      <c r="L816" s="3" t="s">
        <v>3810</v>
      </c>
      <c r="M816" s="3" t="s">
        <v>3811</v>
      </c>
      <c r="N816" s="7" t="str">
        <f>IFERROR(__xludf.DUMMYFUNCTION("GOOGLETRANSLATE(L816, ""en"", ""pt"")"),"Técnicos de Aviônica")</f>
        <v>Técnicos de Aviônica</v>
      </c>
      <c r="O816" s="7" t="str">
        <f>IFERROR(__xludf.DUMMYFUNCTION("IF(M816="""","""",GOOGLETRANSLATE(M816,""en"",""pt""))"),"Os profissionais nesta função realizam atividades de instalação, inspeção, teste, solução de problemas, reparo, manutenção e modificação relacionadas à manutenção, envolvendo sistemas aviônicos e elétricos de aeronaves em operação, aeronaves em manutenção"&amp;" pesada e projetos de modificação de aeronaves. O trabalho é realizado em hangares, instalações de manutenção e ambientes de aeronaves, utilizando equipamentos de teste de aviônica, equipamentos de diagnóstico, ferramentas elétricas de precisão e dados té"&amp;"cnicos aprovados, de acordo com diagramas de fiação, esquemas, instruções técnicas aprovadas e requisitos regulamentares aplicáveis. As principais funções incluem instalar, manter, reparar, modificar, configurar e testar sistemas aviônicos e elétricos de "&amp;"aeronaves, incluindo sistemas de comunicação, sistemas de navegação, sistemas de orientação e controle de voo, sistemas de instrumentação de aeronaves, sistemas de radar e vigilância, sistemas de distribuição de energia elétrica, sistemas de sensores de a"&amp;"eronaves e sistemas de gerenciamento ou conectividade da cabine. Os profissionais executam tarefas específicas de instalação e modificação de aviônica, como montagem de displays de aviônica, rádios, antenas, painéis de controle e unidades substituíveis em"&amp;" linha (LRUs); roteamento, fixação, terminação e conexão de chicotes de fiação e conjuntos de cabos; montagem e reparo de conectores e terminais elétricos; As funções incluem carregar ou atualizar softwares e bancos de dados de aviônica; e realizar upgrad"&amp;"es e modernizações de sistemas de acordo com as instruções e dados técnicos aprovados. As tarefas diárias incluem interpretar diagramas de fiação, esquemas elétricos, diagramas de pinagem e diagramas de lógica de sistemas; realizar diagnósticos elétricos,"&amp;" isolamento de falhas, testes de continuidade, verificação de sinais e testes operacionais usando multímetros, osciloscópios e equipamentos de teste de aviônica; solucionar problemas de transmissão de sinais digitais e analógicos; realizar trabalhos de fi"&amp;"ação de precisão, como decapagem, crimpagem, soldagem, blindagem e reparos de conectores; e conduzir testes de configuração, calibração e integração de sistemas pós-instalação. O trabalho pode incluir atividades de manutenção, modificação e instalação rea"&amp;"lizadas como parte das operações de manutenção de aviônica de aeronaves, upgrades de sistemas, projetos de modernização e projetos de manutenção pesada, mas não envolve montagem estrutural geral ou funções de reparo mecânico não relacionadas à aviônica. O"&amp;"s funcionários também documentam as atividades concluídas de instalação, teste, solução de problemas e reparo em registros de manutenção e sistemas de rastreamento e seguem os procedimentos específicos de aterramento, ligação equipotencial, descarga eletr"&amp;"ostática (ESD) e controle de interferência eletromagnética (EMI) da aviônica. Classificação da Função: 49-2091.00 - Técnicos de Aviônica. A classificação e descrição da função/setor incluem informações gerais sobre o cargo, de acordo com o ONET/OES e o Si"&amp;"stema de Classificação Industrial da América do Norte (NAICS). Consulte as Funções e a Ordem de Serviço para obter mais informações. Requisitos da Função Experiência Necessária: Sim Meses de Experiência Necessários: 6 Requisitos Especiais: Disponibilidade"&amp;" para trabalhar em qualquer turno. Disponibilidade para fazer horas extras (quando solicitado). Aprovação em exame toxicológico e verificação de antecedentes criminais pré-admissional. Os funcionários deverão se apresentar no local de trabalho do empregad"&amp;"or em Wichita, Kansas, para desempenhar suas funções. O empregador poderá fornecer transporte entre a residência do funcionário e o local de trabalho. Qualquer transporte fornecido pelo empregador será gratuito para o funcionário. Número de Horas por Sema"&amp;"na: 45 Horário de Trabalho (Início/Término): 7h00 - 15h30")</f>
        <v>Os profissionais nesta função realizam atividades de instalação, inspeção, teste, solução de problemas, reparo, manutenção e modificação relacionadas à manutenção, envolvendo sistemas aviônicos e elétricos de aeronaves em operação, aeronaves em manutenção pesada e projetos de modificação de aeronaves. O trabalho é realizado em hangares, instalações de manutenção e ambientes de aeronaves, utilizando equipamentos de teste de aviônica, equipamentos de diagnóstico, ferramentas elétricas de precisão e dados técnicos aprovados, de acordo com diagramas de fiação, esquemas, instruções técnicas aprovadas e requisitos regulamentares aplicáveis. As principais funções incluem instalar, manter, reparar, modificar, configurar e testar sistemas aviônicos e elétricos de aeronaves, incluindo sistemas de comunicação, sistemas de navegação, sistemas de orientação e controle de voo, sistemas de instrumentação de aeronaves, sistemas de radar e vigilância, sistemas de distribuição de energia elétrica, sistemas de sensores de aeronaves e sistemas de gerenciamento ou conectividade da cabine. Os profissionais executam tarefas específicas de instalação e modificação de aviônica, como montagem de displays de aviônica, rádios, antenas, painéis de controle e unidades substituíveis em linha (LRUs); roteamento, fixação, terminação e conexão de chicotes de fiação e conjuntos de cabos; montagem e reparo de conectores e terminais elétricos; As funções incluem carregar ou atualizar softwares e bancos de dados de aviônica; e realizar upgrades e modernizações de sistemas de acordo com as instruções e dados técnicos aprovados. As tarefas diárias incluem interpretar diagramas de fiação, esquemas elétricos, diagramas de pinagem e diagramas de lógica de sistemas; realizar diagnósticos elétricos, isolamento de falhas, testes de continuidade, verificação de sinais e testes operacionais usando multímetros, osciloscópios e equipamentos de teste de aviônica; solucionar problemas de transmissão de sinais digitais e analógicos; realizar trabalhos de fiação de precisão, como decapagem, crimpagem, soldagem, blindagem e reparos de conectores; e conduzir testes de configuração, calibração e integração de sistemas pós-instalação. O trabalho pode incluir atividades de manutenção, modificação e instalação realizadas como parte das operações de manutenção de aviônica de aeronaves, upgrades de sistemas, projetos de modernização e projetos de manutenção pesada, mas não envolve montagem estrutural geral ou funções de reparo mecânico não relacionadas à aviônica. Os funcionários também documentam as atividades concluídas de instalação, teste, solução de problemas e reparo em registros de manutenção e sistemas de rastreamento e seguem os procedimentos específicos de aterramento, ligação equipotencial, descarga eletrostática (ESD) e controle de interferência eletromagnética (EMI) da aviônica. Classificação da Função: 49-2091.00 - Técnicos de Aviônica. A classificação e descrição da função/setor incluem informações gerais sobre o cargo, de acordo com o ONET/OES e o Sistema de Classificação Industrial da América do Norte (NAICS). Consulte as Funções e a Ordem de Serviço para obter mais informações. Requisitos da Função Experiência Necessária: Sim Meses de Experiência Necessários: 6 Requisitos Especiais: Disponibilidade para trabalhar em qualquer turno. Disponibilidade para fazer horas extras (quando solicitado). Aprovação em exame toxicológico e verificação de antecedentes criminais pré-admissional. Os funcionários deverão se apresentar no local de trabalho do empregador em Wichita, Kansas, para desempenhar suas funções. O empregador poderá fornecer transporte entre a residência do funcionário e o local de trabalho. Qualquer transporte fornecido pelo empregador será gratuito para o funcionário. Número de Horas por Semana: 45 Horário de Trabalho (Início/Término): 7h00 - 15h30</v>
      </c>
    </row>
    <row r="817" ht="20.25" customHeight="1">
      <c r="A817" s="8" t="s">
        <v>3812</v>
      </c>
      <c r="B817" s="8" t="s">
        <v>3806</v>
      </c>
      <c r="C817" s="8" t="s">
        <v>3759</v>
      </c>
      <c r="D817" s="8" t="s">
        <v>970</v>
      </c>
      <c r="E817" s="9" t="s">
        <v>19</v>
      </c>
      <c r="F817" s="9" t="s">
        <v>20</v>
      </c>
      <c r="G817" s="9" t="s">
        <v>3807</v>
      </c>
      <c r="H817" s="8" t="s">
        <v>3808</v>
      </c>
      <c r="I817" s="8" t="s">
        <v>3809</v>
      </c>
      <c r="J817" s="9">
        <v>36.32</v>
      </c>
      <c r="K817" s="9">
        <v>25.0</v>
      </c>
      <c r="L817" s="8" t="s">
        <v>3813</v>
      </c>
      <c r="M817" s="8" t="s">
        <v>3814</v>
      </c>
      <c r="N817" s="7" t="str">
        <f>IFERROR(__xludf.DUMMYFUNCTION("GOOGLETRANSLATE(L817, ""en"", ""pt"")"),"Mecânicos e técnicos de manutenção de aeronaves")</f>
        <v>Mecânicos e técnicos de manutenção de aeronaves</v>
      </c>
      <c r="O817" s="7" t="str">
        <f>IFERROR(__xludf.DUMMYFUNCTION("IF(M817="""","""",GOOGLETRANSLATE(M817,""en"",""pt""))"),"Os profissionais nesta função realizam manutenção mecânica, inspeção, diagnóstico de problemas, reparo, revisão geral e atividades de modificação relacionadas à manutenção em aeronaves operacionais, aeronaves em manutenção pesada e aeronaves armazenadas o"&amp;"u em processo de preservação. O trabalho é realizado em hangares, pistas de pouso e decolagem e instalações de manutenção, utilizando ferramentas manuais, equipamentos calibrados, equipamentos de diagnóstico e ferramentas elétricas, de acordo com os manua"&amp;"is de manutenção do fabricante, dados técnicos aprovados e requisitos regulamentares. As principais responsabilidades incluem a realização de manutenção programada e não programada em sistemas e componentes mecânicos de aeronaves, incluindo sistemas hidrá"&amp;"ulicos, sistemas pneumáticos, sistemas de trem de pouso, sistemas de controle de voo, sistemas de combustível, sistemas ambientais e sistemas de propulsão. Os profissionais realizam inspeções de rotina, inspeções visuais, verificações funcionais, verifica"&amp;"ções de vazamento, verificações de alinhamento, diagnóstico de problemas, procedimentos de isolamento de falhas e testes operacionais para identificar desgaste, rachaduras, vazamentos, desalinhamento, perda de pressão e falhas de componentes. As tarefas d"&amp;"iárias incluem a remoção e instalação de componentes mecânicos, como bombas, atuadores, freios, válvulas, componentes do trem de pouso e acessórios do motor; abastecer sistemas com fluidos e gases; desmontar e remontar conjuntos mecânicos; Ajustar e confi"&amp;"gurar sistemas de controle de voo; e realizar testes de funcionamento do motor e testes operacionais após atividades de manutenção. O trabalho pode incluir atividades de manutenção, reparo e modificação relacionadas à manutenção, realizadas como parte das"&amp;" operações de manutenção de aeronaves e projetos de manutenção pesada, mas não envolve funções de projeto de engenharia ou trabalho de instalação ou programação específica de aviônicos. Classificação do Cargo: 49-3011.00 - Mecânicos e Técnicos de Serviço "&amp;"de Aeronaves. A classificação e descrição do cargo/setor inclui informações gerais sobre a posição, de acordo com o ONET/OES e o Sistema de Classificação Industrial da América do Norte (NAICS). Consulte as Funções e a Ordem de Serviço para obter mais info"&amp;"rmações. Requisitos do Cargo Experiência Necessária: Sim Meses de Experiência Necessários: 6 Requisitos Especiais: Disponibilidade para trabalhar em qualquer turno. Disponibilidade para fazer horas extras (conforme solicitado). Aprovação em exame toxicoló"&amp;"gico e verificação de antecedentes criminais pré-admissional. Os funcionários deverão se apresentar no local de trabalho do empregador em Wichita, Kansas, para desempenhar suas funções. O empregador poderá fornecer transporte entre a residência do funcion"&amp;"ário e o local de trabalho. Qualquer transporte fornecido pelo empregador será gratuito para o funcionário. Número de horas por semana: 45 Horário de trabalho (início/término): 7h00 - 15h30")</f>
        <v>Os profissionais nesta função realizam manutenção mecânica, inspeção, diagnóstico de problemas, reparo, revisão geral e atividades de modificação relacionadas à manutenção em aeronaves operacionais, aeronaves em manutenção pesada e aeronaves armazenadas ou em processo de preservação. O trabalho é realizado em hangares, pistas de pouso e decolagem e instalações de manutenção, utilizando ferramentas manuais, equipamentos calibrados, equipamentos de diagnóstico e ferramentas elétricas, de acordo com os manuais de manutenção do fabricante, dados técnicos aprovados e requisitos regulamentares. As principais responsabilidades incluem a realização de manutenção programada e não programada em sistemas e componentes mecânicos de aeronaves, incluindo sistemas hidráulicos, sistemas pneumáticos, sistemas de trem de pouso, sistemas de controle de voo, sistemas de combustível, sistemas ambientais e sistemas de propulsão. Os profissionais realizam inspeções de rotina, inspeções visuais, verificações funcionais, verificações de vazamento, verificações de alinhamento, diagnóstico de problemas, procedimentos de isolamento de falhas e testes operacionais para identificar desgaste, rachaduras, vazamentos, desalinhamento, perda de pressão e falhas de componentes. As tarefas diárias incluem a remoção e instalação de componentes mecânicos, como bombas, atuadores, freios, válvulas, componentes do trem de pouso e acessórios do motor; abastecer sistemas com fluidos e gases; desmontar e remontar conjuntos mecânicos; Ajustar e configurar sistemas de controle de voo; e realizar testes de funcionamento do motor e testes operacionais após atividades de manutenção. O trabalho pode incluir atividades de manutenção, reparo e modificação relacionadas à manutenção, realizadas como parte das operações de manutenção de aeronaves e projetos de manutenção pesada, mas não envolve funções de projeto de engenharia ou trabalho de instalação ou programação específica de aviônicos. Classificação do Cargo: 49-3011.00 - Mecânicos e Técnicos de Serviço de Aeronaves. A classificação e descrição do cargo/setor inclui informações gerais sobre a posição, de acordo com o ONET/OES e o Sistema de Classificação Industrial da América do Norte (NAICS). Consulte as Funções e a Ordem de Serviço para obter mais informações. Requisitos do Cargo Experiência Necessária: Sim Meses de Experiência Necessários: 6 Requisitos Especiais: Disponibilidade para trabalhar em qualquer turno. Disponibilidade para fazer horas extras (conforme solicitado). Aprovação em exame toxicológico e verificação de antecedentes criminais pré-admissional. Os funcionários deverão se apresentar no local de trabalho do empregador em Wichita, Kansas, para desempenhar suas funções. O empregador poderá fornecer transporte entre a residência do funcionário e o local de trabalho. Qualquer transporte fornecido pelo empregador será gratuito para o funcionário. Número de horas por semana: 45 Horário de trabalho (início/término): 7h00 - 15h30</v>
      </c>
    </row>
    <row r="818" ht="20.25" customHeight="1">
      <c r="A818" s="3" t="s">
        <v>3815</v>
      </c>
      <c r="B818" s="3" t="s">
        <v>3816</v>
      </c>
      <c r="C818" s="3" t="s">
        <v>3817</v>
      </c>
      <c r="D818" s="3" t="s">
        <v>64</v>
      </c>
      <c r="E818" s="4" t="s">
        <v>19</v>
      </c>
      <c r="F818" s="4" t="s">
        <v>20</v>
      </c>
      <c r="G818" s="4" t="s">
        <v>29</v>
      </c>
      <c r="H818" s="3" t="s">
        <v>3818</v>
      </c>
      <c r="I818" s="3" t="s">
        <v>3819</v>
      </c>
      <c r="J818" s="4">
        <v>20.4</v>
      </c>
      <c r="K818" s="4">
        <v>12.0</v>
      </c>
      <c r="L818" s="3" t="s">
        <v>3820</v>
      </c>
      <c r="M818" s="3" t="s">
        <v>3821</v>
      </c>
      <c r="N818" s="7" t="str">
        <f>IFERROR(__xludf.DUMMYFUNCTION("GOOGLETRANSLATE(L818, ""en"", ""pt"")"),"Eletricista - Veículos Automotores")</f>
        <v>Eletricista - Veículos Automotores</v>
      </c>
      <c r="O818" s="7" t="str">
        <f>IFERROR(__xludf.DUMMYFUNCTION("IF(M818="""","""",GOOGLETRANSLATE(M818,""en"",""pt""))"),"Criar, alterar e instalar fiação e sistemas elétricos/eletrônicos em limusines/veículos automotores. Horário de trabalho: 7h às 15h30, com intervalo de 30 minutos para almoço. Classificação da vaga: 49-2096.00 - Instaladores e Reparadores de Equipamentos "&amp;"Eletrônicos, Veículos Automotores. A classificação e descrição da vaga/setor incluem informações gerais sobre o cargo, de acordo com o ONET/OES e o Sistema de Classificação Industrial da América do Norte (NAICS). Consulte as atribuições e a Ordem de Servi"&amp;"ço para obter mais informações. Requisitos da vaga: Experiência necessária: Sim. Meses de experiência necessários: 12. Requisitos especiais: 12 meses de experiência como eletricista na indústria automotiva. Número de horas por semana: 40. Horário de traba"&amp;"lho (início/término): 7h às 15h30.")</f>
        <v>Criar, alterar e instalar fiação e sistemas elétricos/eletrônicos em limusines/veículos automotores. Horário de trabalho: 7h às 15h30, com intervalo de 30 minutos para almoço. Classificação da vaga: 49-2096.00 - Instaladores e Reparadores de Equipamentos Eletrônicos, Veículos Automotores. A classificação e descrição da vaga/setor incluem informações gerais sobre o cargo, de acordo com o ONET/OES e o Sistema de Classificação Industrial da América do Norte (NAICS). Consulte as atribuições e a Ordem de Serviço para obter mais informações. Requisitos da vaga: Experiência necessária: Sim. Meses de experiência necessários: 12. Requisitos especiais: 12 meses de experiência como eletricista na indústria automotiva. Número de horas por semana: 40. Horário de trabalho (início/término): 7h às 15h30.</v>
      </c>
    </row>
    <row r="819" ht="20.25" customHeight="1">
      <c r="A819" s="8" t="s">
        <v>3822</v>
      </c>
      <c r="B819" s="8" t="s">
        <v>3823</v>
      </c>
      <c r="C819" s="8" t="s">
        <v>3824</v>
      </c>
      <c r="D819" s="8" t="s">
        <v>64</v>
      </c>
      <c r="E819" s="9" t="s">
        <v>44</v>
      </c>
      <c r="F819" s="9" t="s">
        <v>20</v>
      </c>
      <c r="G819" s="9" t="s">
        <v>345</v>
      </c>
      <c r="H819" s="8" t="s">
        <v>3825</v>
      </c>
      <c r="I819" s="8" t="s">
        <v>3826</v>
      </c>
      <c r="J819" s="9">
        <v>16.78</v>
      </c>
      <c r="K819" s="9">
        <v>60.0</v>
      </c>
      <c r="L819" s="8" t="s">
        <v>3827</v>
      </c>
      <c r="M819" s="8" t="s">
        <v>3828</v>
      </c>
      <c r="N819" s="7" t="str">
        <f>IFERROR(__xludf.DUMMYFUNCTION("GOOGLETRANSLATE(L819, ""en"", ""pt"")"),"Zeladores")</f>
        <v>Zeladores</v>
      </c>
      <c r="O819" s="7" t="str">
        <f>IFERROR(__xludf.DUMMYFUNCTION("IF(M819="""","""",GOOGLETRANSLATE(M819,""en"",""pt""))"),"***Resposta à Solicitação de Informações*** Esta função envolve a manutenção dos terrenos e superfícies externas das áreas de armazenamento de pedreiras a céu aberto. Especificamente, os jardineiros varrerão e rastelarão terra, poeira e detritos soltos da"&amp;"s superfícies do solo das áreas de armazenamento; removerão lixo, arbustos e materiais residuais que se acumulam dentro e ao redor das áreas de armazenamento; limparão a vegetação excessiva, ervas daninhas e arbustos ao redor dos perímetros das áreas de a"&amp;"rmazenamento para mantê-las limpas e acessíveis; e rastelarão as superfícies de terra dentro das áreas de armazenamento. As ferramentas e equipamentos usados ​​para realizar essas tarefas incluem vassouras, rastelos, pás, carrinhos de mão e recipientes de"&amp;" lixo. ***Original*** Manter e preparar os terrenos da propriedade dos clientes de pedreiras para preparar os locais de extração para a próxima temporada de trabalho intenso, fornecer serviços de jardinagem durante eventos climáticos de inverno e preparar"&amp;" os terrenos das pedreiras para recuperação de terras. Os jardineiros realizarão uma variedade de tarefas, que podem incluir uma combinação das seguintes: Limpar arbustos, cortar grama e ervas daninhas e remover vegetação dos terrenos da pedreira para pre"&amp;"parar novas áreas para a próxima temporada de extração; Recolher e remover lixo, detritos e resíduos das áreas da pedreira; Preparar o solo e espalhar terra vegetal nas áreas de recuperação para favorecer a revegetação; Plantar gramíneas, arbustos e outra"&amp;"s vegetações nativas nas áreas da pedreira como parte dos esforços de recuperação da terra; Regar, cobrir com mulch e cuidar da vegetação recém-plantada para promover seu estabelecimento e crescimento; Limpar e organizar as áreas de armazenamento da pedre"&amp;"ira e as áreas onde as pedras serão armazenadas; Preparar o terreno e manter as condições seguras do local em resposta a eventos climáticos de inverno, incluindo a remoção de neve, o degelo do solo, estradas de terra e caminhos de terra dentro da pedreira"&amp;" com o uso de água e sal; Remover detritos e água parada das áreas da pedreira, estradas de terra e caminhos de terra dentro da pedreira após chuvas fortes ou inundações para manter as condições seguras do local; Preservar e proteger os estoques expostos "&amp;"e os materiais da pedreira durante condições climáticas severas, cobrindo ou realocando materiais vulneráveis; e Operar veículos ou equipamentos motorizados, como cortadores de grama, sopradores de neve ou motosserras. Não é necessário possuir carteira de"&amp;" habilitação. No entanto, se um jardineiro possuir carteira de habilitação comum, poderá dirigir um veículo da equipe até os locais dos clientes. Classificação da função: 37-3011.00 - Trabalhadores de Paisagismo e Jardinagem. A classificação e descrição d"&amp;"a função/setor incluem informações gerais sobre o cargo, de acordo com o ONET/OES e o Sistema de Classificação Industrial da América do Norte (NAICS). Consulte as Funções e a Ordem de Serviço para obter mais informações. Requisitos da função: Experiência "&amp;"necessária: Não. Requisitos especiais: Pode ser necessário fazer horas extras e trabalhar nos fins de semana. O horário de trabalho pode variar, dependendo das condições climáticas. O candidato deve ser capaz de realizar trabalho braçal e físico ao ar liv"&amp;"re em todas as condições climáticas (calor, frio, chuva, neve, etc.). Deve ser capaz de levantar até 36 kg. Não é necessário possuir carteira de habilitação; no entanto, se o trabalhador possuir uma carteira de habilitação comum, não comercial, poderá dir"&amp;"igir um veículo da equipe quando necessário. Número de horas por semana: 40. Horário de trabalho (início/término): 8h às 17h.")</f>
        <v>***Resposta à Solicitação de Informações*** Esta função envolve a manutenção dos terrenos e superfícies externas das áreas de armazenamento de pedreiras a céu aberto. Especificamente, os jardineiros varrerão e rastelarão terra, poeira e detritos soltos das superfícies do solo das áreas de armazenamento; removerão lixo, arbustos e materiais residuais que se acumulam dentro e ao redor das áreas de armazenamento; limparão a vegetação excessiva, ervas daninhas e arbustos ao redor dos perímetros das áreas de armazenamento para mantê-las limpas e acessíveis; e rastelarão as superfícies de terra dentro das áreas de armazenamento. As ferramentas e equipamentos usados ​​para realizar essas tarefas incluem vassouras, rastelos, pás, carrinhos de mão e recipientes de lixo. ***Original*** Manter e preparar os terrenos da propriedade dos clientes de pedreiras para preparar os locais de extração para a próxima temporada de trabalho intenso, fornecer serviços de jardinagem durante eventos climáticos de inverno e preparar os terrenos das pedreiras para recuperação de terras. Os jardineiros realizarão uma variedade de tarefas, que podem incluir uma combinação das seguintes: Limpar arbustos, cortar grama e ervas daninhas e remover vegetação dos terrenos da pedreira para preparar novas áreas para a próxima temporada de extração; Recolher e remover lixo, detritos e resíduos das áreas da pedreira; Preparar o solo e espalhar terra vegetal nas áreas de recuperação para favorecer a revegetação; Plantar gramíneas, arbustos e outras vegetações nativas nas áreas da pedreira como parte dos esforços de recuperação da terra; Regar, cobrir com mulch e cuidar da vegetação recém-plantada para promover seu estabelecimento e crescimento; Limpar e organizar as áreas de armazenamento da pedreira e as áreas onde as pedras serão armazenadas; Preparar o terreno e manter as condições seguras do local em resposta a eventos climáticos de inverno, incluindo a remoção de neve, o degelo do solo, estradas de terra e caminhos de terra dentro da pedreira com o uso de água e sal; Remover detritos e água parada das áreas da pedreira, estradas de terra e caminhos de terra dentro da pedreira após chuvas fortes ou inundações para manter as condições seguras do local; Preservar e proteger os estoques expostos e os materiais da pedreira durante condições climáticas severas, cobrindo ou realocando materiais vulneráveis; e Operar veículos ou equipamentos motorizados, como cortadores de grama, sopradores de neve ou motosserras. Não é necessário possuir carteira de habilitação. No entanto, se um jardineiro possuir carteira de habilitação comum, poderá dirigir um veículo da equipe até os locais dos clientes. Classificação da função: 37-3011.00 - Trabalhadores de Paisagismo e Jardinagem. A classificação e descrição da função/setor incluem informações gerais sobre o cargo, de acordo com o ONET/OES e o Sistema de Classificação Industrial da América do Norte (NAICS). Consulte as Funções e a Ordem de Serviço para obter mais informações. Requisitos da função: Experiência necessária: Não. Requisitos especiais: Pode ser necessário fazer horas extras e trabalhar nos fins de semana. O horário de trabalho pode variar, dependendo das condições climáticas. O candidato deve ser capaz de realizar trabalho braçal e físico ao ar livre em todas as condições climáticas (calor, frio, chuva, neve, etc.). Deve ser capaz de levantar até 36 kg. Não é necessário possuir carteira de habilitação; no entanto, se o trabalhador possuir uma carteira de habilitação comum, não comercial, poderá dirigir um veículo da equipe quando necessário. Número de horas por semana: 40. Horário de trabalho (início/término): 8h às 17h.</v>
      </c>
    </row>
    <row r="820" ht="20.25" customHeight="1">
      <c r="A820" s="3" t="s">
        <v>3829</v>
      </c>
      <c r="B820" s="3" t="s">
        <v>3830</v>
      </c>
      <c r="C820" s="3" t="s">
        <v>3759</v>
      </c>
      <c r="D820" s="3" t="s">
        <v>306</v>
      </c>
      <c r="E820" s="4" t="s">
        <v>19</v>
      </c>
      <c r="F820" s="4" t="s">
        <v>20</v>
      </c>
      <c r="G820" s="4" t="s">
        <v>404</v>
      </c>
      <c r="H820" s="3" t="s">
        <v>3831</v>
      </c>
      <c r="I820" s="3" t="s">
        <v>3832</v>
      </c>
      <c r="J820" s="4">
        <v>19.93</v>
      </c>
      <c r="K820" s="4">
        <v>35.0</v>
      </c>
      <c r="L820" s="3" t="s">
        <v>3792</v>
      </c>
      <c r="M820" s="3" t="s">
        <v>3833</v>
      </c>
      <c r="N820" s="7" t="str">
        <f>IFERROR(__xludf.DUMMYFUNCTION("GOOGLETRANSLATE(L820, ""en"", ""pt"")"),"Técnico de Remoção de Neve")</f>
        <v>Técnico de Remoção de Neve</v>
      </c>
      <c r="O820" s="7" t="str">
        <f>IFERROR(__xludf.DUMMYFUNCTION("IF(M820="""","""",GOOGLETRANSLATE(M820,""en"",""pt""))"),"Remover neve de estacionamentos residenciais, entradas de garagem e calçadas usando equipamentos motorizados, como sopradores de neve, ou ferramentas manuais, como pás; realizar manutenção de áreas externas, como limpeza de lixo e preparação de sistemas d"&amp;"e irrigação para o inverno; e outras tarefas relacionadas à manutenção das instalações, como a remoção de folhas, neve ou detritos. Pode haver necessidade de limpeza de áreas externas no outono e na primavera, incluindo rastelar, triturar e compostar folh"&amp;"as, remover material vegetal morto, podar plantas perenes, aplicar cobertura morta em canteiros e realizar podas de inverno a partir do nível do solo. Operar um soprador de neve. Realizar o degelo e a remoção de neve de calçadas, entradas de garagem e est"&amp;"acionamentos de diversas propriedades residenciais e comerciais, usando ferramentas manuais, como vassouras de neve, pás e espalhando soluções de degelo, incluindo cloreto de cálcio ou sal grosso, manualmente. Pode também utilizar sopradores de neve elétr"&amp;"icos ou a gasolina, conforme necessário. Pode dirigir o veículo da equipe. Não é necessário possuir carteira de habilitação para esta vaga. Se o candidato já possuir uma carteira de habilitação padrão, não comercial, poderá ser solicitado a dirigir um veí"&amp;"culo até os locais de trabalho, conforme necessário. Não operará limpa-neve. Classificação da vaga: 37-3011.00 - Trabalhadores de Paisagismo e Manutenção de Áreas Verdes. A classificação e descrição da vaga/setor incluem informações gerais sobre o cargo, "&amp;"de acordo com o ONET/OES e o Sistema de Classificação Industrial da América do Norte (NAICS). Consulte as Funções e a Ordem de Serviço para obter mais informações. Requisitos da vaga: Experiência exigida: Não. Requisitos especiais: Deve ser capaz de levan"&amp;"tar/carregar 23 kg, quando necessário. Trabalho aos sábados e domingos, quando necessário. O horário de trabalho pode incluir turnos noturnos e horas extras durante emergências e condições climáticas adversas. Deve ser capaz de realizar trabalho braçal e "&amp;"físico ao ar livre em todas as condições climáticas (calor, frio, chuva, neve, etc.). Os trabalhadores iniciarão cada dia no endereço do local de trabalho. Em seguida, serão transportados, gratuitamente, para propriedades localizadas em toda a área de atu"&amp;"ação para realizar suas tarefas. Ao final de cada dia de trabalho, serão transportados de volta ao endereço do local de trabalho. Número de horas por semana: 35 Horário de trabalho (início/término): 7h00 - 16h30")</f>
        <v>Remover neve de estacionamentos residenciais, entradas de garagem e calçadas usando equipamentos motorizados, como sopradores de neve, ou ferramentas manuais, como pás; realizar manutenção de áreas externas, como limpeza de lixo e preparação de sistemas de irrigação para o inverno; e outras tarefas relacionadas à manutenção das instalações, como a remoção de folhas, neve ou detritos. Pode haver necessidade de limpeza de áreas externas no outono e na primavera, incluindo rastelar, triturar e compostar folhas, remover material vegetal morto, podar plantas perenes, aplicar cobertura morta em canteiros e realizar podas de inverno a partir do nível do solo. Operar um soprador de neve. Realizar o degelo e a remoção de neve de calçadas, entradas de garagem e estacionamentos de diversas propriedades residenciais e comerciais, usando ferramentas manuais, como vassouras de neve, pás e espalhando soluções de degelo, incluindo cloreto de cálcio ou sal grosso, manualmente. Pode também utilizar sopradores de neve elétricos ou a gasolina, conforme necessário. Pode dirigir o veículo da equipe. Não é necessário possuir carteira de habilitação para esta vaga. Se o candidato já possuir uma carteira de habilitação padrão, não comercial, poderá ser solicitado a dirigir um veículo até os locais de trabalho, conforme necessário. Não operará limpa-neve. Classificação da vaga: 37-3011.00 - Trabalhadores de Paisagismo e Manutenção de Áreas Verdes. A classificação e descrição da vaga/setor incluem informações gerais sobre o cargo, de acordo com o ONET/OES e o Sistema de Classificação Industrial da América do Norte (NAICS). Consulte as Funções e a Ordem de Serviço para obter mais informações. Requisitos da vaga: Experiência exigida: Não. Requisitos especiais: Deve ser capaz de levantar/carregar 23 kg, quando necessário. Trabalho aos sábados e domingos, quando necessário. O horário de trabalho pode incluir turnos noturnos e horas extras durante emergências e condições climáticas adversas. Deve ser capaz de realizar trabalho braçal e físico ao ar livre em todas as condições climáticas (calor, frio, chuva, neve, etc.). Os trabalhadores iniciarão cada dia no endereço do local de trabalho. Em seguida, serão transportados, gratuitamente, para propriedades localizadas em toda a área de atuação para realizar suas tarefas. Ao final de cada dia de trabalho, serão transportados de volta ao endereço do local de trabalho. Número de horas por semana: 35 Horário de trabalho (início/término): 7h00 - 16h30</v>
      </c>
    </row>
    <row r="821" ht="20.25" customHeight="1">
      <c r="A821" s="8" t="s">
        <v>3834</v>
      </c>
      <c r="B821" s="8" t="s">
        <v>3835</v>
      </c>
      <c r="C821" s="8" t="s">
        <v>3759</v>
      </c>
      <c r="D821" s="8" t="s">
        <v>306</v>
      </c>
      <c r="E821" s="9" t="s">
        <v>19</v>
      </c>
      <c r="F821" s="9" t="s">
        <v>20</v>
      </c>
      <c r="G821" s="9" t="s">
        <v>345</v>
      </c>
      <c r="H821" s="8" t="s">
        <v>3836</v>
      </c>
      <c r="I821" s="8" t="s">
        <v>3837</v>
      </c>
      <c r="J821" s="9">
        <v>24.45</v>
      </c>
      <c r="K821" s="9">
        <v>25.0</v>
      </c>
      <c r="L821" s="8" t="s">
        <v>262</v>
      </c>
      <c r="M821" s="8" t="s">
        <v>3838</v>
      </c>
      <c r="N821" s="7" t="str">
        <f>IFERROR(__xludf.DUMMYFUNCTION("GOOGLETRANSLATE(L821, ""en"", ""pt"")"),"Operário da construção civil")</f>
        <v>Operário da construção civil</v>
      </c>
      <c r="O821" s="7" t="str">
        <f>IFERROR(__xludf.DUMMYFUNCTION("IF(M821="""","""",GOOGLETRANSLATE(M821,""en"",""pt""))"),"Escavar valas e aterrar buracos para preparar o canteiro de obras. As valas escavadas manualmente terão cerca de 60 cm de largura e 120 cm de profundidade, utilizando pás e rastelos. As valas serão utilizadas para a instalação de tubos de drenagem. Operar"&amp;" equipamentos e máquinas pesadas utilizadas em canteiros de obras. Seguir as instruções dos gerentes e supervisores de projetos de construção. Carregar e descarregar materiais de construção. Classificação da função: 47-2061.00 - Auxiliares de Construção. "&amp;"A classificação e descrição da função/setor inclui informações gerais sobre o cargo, de acordo com o ONET/OES e o Sistema de Classificação Industrial da América do Norte (NAICS). Consulte as Funções e a Ordem de Serviço para obter mais informações. Requis"&amp;"itos da vaga: Experiência exigida: Não. Requisitos especiais: É necessário ter 18 anos de idade ou mais. Deve ser capaz de levantar/carregar até 23 kg, quando necessário. Trabalho aos sábados e domingos, quando necessário. Teste de drogas obrigatório para"&amp;" trabalhadores estrangeiros e nacionais após a contratação e em caso de acidente, sem custo para os trabalhadores. A jornada de trabalho pode incluir horas extras. Número de horas por semana: 35 Horário de trabalho (início/término): 7h00 - 17h30")</f>
        <v>Escavar valas e aterrar buracos para preparar o canteiro de obras. As valas escavadas manualmente terão cerca de 60 cm de largura e 120 cm de profundidade, utilizando pás e rastelos. As valas serão utilizadas para a instalação de tubos de drenagem. Operar equipamentos e máquinas pesadas utilizadas em canteiros de obras. Seguir as instruções dos gerentes e supervisores de projetos de construção. Carregar e descarregar materiais de construção. Classificação da função: 47-2061.00 - Auxiliares de Construção. A classificação e descrição da função/setor inclui informações gerais sobre o cargo, de acordo com o ONET/OES e o Sistema de Classificação Industrial da América do Norte (NAICS). Consulte as Funções e a Ordem de Serviço para obter mais informações. Requisitos da vaga: Experiência exigida: Não. Requisitos especiais: É necessário ter 18 anos de idade ou mais. Deve ser capaz de levantar/carregar até 23 kg, quando necessário. Trabalho aos sábados e domingos, quando necessário. Teste de drogas obrigatório para trabalhadores estrangeiros e nacionais após a contratação e em caso de acidente, sem custo para os trabalhadores. A jornada de trabalho pode incluir horas extras. Número de horas por semana: 35 Horário de trabalho (início/término): 7h00 - 17h30</v>
      </c>
    </row>
    <row r="822" ht="20.25" customHeight="1">
      <c r="A822" s="3" t="s">
        <v>3839</v>
      </c>
      <c r="B822" s="3" t="s">
        <v>3840</v>
      </c>
      <c r="C822" s="3" t="s">
        <v>3759</v>
      </c>
      <c r="D822" s="3" t="s">
        <v>992</v>
      </c>
      <c r="E822" s="4" t="s">
        <v>19</v>
      </c>
      <c r="F822" s="4" t="s">
        <v>20</v>
      </c>
      <c r="G822" s="4" t="s">
        <v>94</v>
      </c>
      <c r="H822" s="3" t="s">
        <v>3841</v>
      </c>
      <c r="I822" s="3" t="s">
        <v>3842</v>
      </c>
      <c r="J822" s="4">
        <v>27.56</v>
      </c>
      <c r="K822" s="4">
        <v>10.0</v>
      </c>
      <c r="L822" s="3" t="s">
        <v>3843</v>
      </c>
      <c r="M822" s="3" t="s">
        <v>3844</v>
      </c>
      <c r="N822" s="7" t="str">
        <f>IFERROR(__xludf.DUMMYFUNCTION("GOOGLETRANSLATE(L822, ""en"", ""pt"")"),"Trabalhadores de decoração de Natal")</f>
        <v>Trabalhadores de decoração de Natal</v>
      </c>
      <c r="O822" s="7" t="str">
        <f>IFERROR(__xludf.DUMMYFUNCTION("IF(M822="""","""",GOOGLETRANSLATE(M822,""en"",""pt""))"),"Transportar mercadorias ou outros materiais de e para áreas de armazenamento ou produção, docas de carga, veículos de entrega ou contêineres, manualmente ou utilizando caminhões, tratores ou outros equipamentos. Separar a carga antes do carregamento e des"&amp;"carregamento. Anexar etiquetas de identificação aos contêineres ou marcá-los com informações de identificação. Ler ordens de serviço ou receber instruções verbais para determinar as tarefas ou necessidades de materiais ou equipamentos. Empilhar a carga em"&amp;" locais adequados, utilizando paletes, caixas ou estrados de carga. Receber materiais de Natal, carregá-los em caminhões, organizar e preparar o estoque de materiais de decoração natalina. Instalar e/ou remover materiais dos locais de trabalho. Carregar/d"&amp;"escarregar materiais e prepará-los para armazenamento. Levantar até 23 kg. Pode dirigir veículo da equipe. Classificação da Função: 49-9099.00 - Trabalhadores de Instalação, Manutenção e Reparo, Outros. A classificação e descrição da função/setor inclui i"&amp;"nformações gerais sobre o cargo, de acordo com o ONET/OES e o Sistema de Classificação Industrial da América do Norte (NAICS). Consulte as Funções e a Ordem de Serviço para obter mais informações. Requisitos da Função: Experiência Necessária: Não. Requisi"&amp;"tos Especiais: Deve levantar/carregar 23 kg, quando necessário. Trabalho aos sábados e domingos, quando necessário. Horas extras serão exigidas quando necessário. Número de horas por semana: 35. Horário de trabalho (início/término): 7h30 às 16h.")</f>
        <v>Transportar mercadorias ou outros materiais de e para áreas de armazenamento ou produção, docas de carga, veículos de entrega ou contêineres, manualmente ou utilizando caminhões, tratores ou outros equipamentos. Separar a carga antes do carregamento e descarregamento. Anexar etiquetas de identificação aos contêineres ou marcá-los com informações de identificação. Ler ordens de serviço ou receber instruções verbais para determinar as tarefas ou necessidades de materiais ou equipamentos. Empilhar a carga em locais adequados, utilizando paletes, caixas ou estrados de carga. Receber materiais de Natal, carregá-los em caminhões, organizar e preparar o estoque de materiais de decoração natalina. Instalar e/ou remover materiais dos locais de trabalho. Carregar/descarregar materiais e prepará-los para armazenamento. Levantar até 23 kg. Pode dirigir veículo da equipe. Classificação da Função: 49-9099.00 - Trabalhadores de Instalação, Manutenção e Reparo, Outros. A classificação e descrição da função/setor inclui informações gerais sobre o cargo, de acordo com o ONET/OES e o Sistema de Classificação Industrial da América do Norte (NAICS). Consulte as Funções e a Ordem de Serviço para obter mais informações. Requisitos da Função: Experiência Necessária: Não. Requisitos Especiais: Deve levantar/carregar 23 kg, quando necessário. Trabalho aos sábados e domingos, quando necessário. Horas extras serão exigidas quando necessário. Número de horas por semana: 35. Horário de trabalho (início/término): 7h30 às 16h.</v>
      </c>
    </row>
    <row r="823" ht="20.25" customHeight="1">
      <c r="A823" s="8" t="s">
        <v>3845</v>
      </c>
      <c r="B823" s="8" t="s">
        <v>3846</v>
      </c>
      <c r="C823" s="8"/>
      <c r="D823" s="8" t="s">
        <v>271</v>
      </c>
      <c r="E823" s="9" t="s">
        <v>44</v>
      </c>
      <c r="F823" s="9" t="s">
        <v>20</v>
      </c>
      <c r="G823" s="9" t="s">
        <v>229</v>
      </c>
      <c r="H823" s="8" t="s">
        <v>3847</v>
      </c>
      <c r="I823" s="8" t="s">
        <v>3848</v>
      </c>
      <c r="J823" s="9">
        <v>28.07</v>
      </c>
      <c r="K823" s="9">
        <v>7.0</v>
      </c>
      <c r="L823" s="8" t="s">
        <v>262</v>
      </c>
      <c r="M823" s="8" t="s">
        <v>3849</v>
      </c>
      <c r="N823" s="7" t="str">
        <f>IFERROR(__xludf.DUMMYFUNCTION("GOOGLETRANSLATE(L823, ""en"", ""pt"")"),"Operário da construção civil")</f>
        <v>Operário da construção civil</v>
      </c>
      <c r="O823" s="7" t="str">
        <f>IFERROR(__xludf.DUMMYFUNCTION("IF(M823="""","""",GOOGLETRANSLATE(M823,""en"",""pt""))"),"Os operários da construção civil realizarão trabalhos manuais e físicos, utilizarão ferramentas manuais e elétricas e limparão ou prepararão os canteiros de obras para eliminar possíveis riscos na construção de piscinas em áreas residenciais. As funções i"&amp;"ncluem: sinalizar para os operadores de equipamentos para facilitar o alinhamento, movimentação ou ajuste de máquinas, equipamentos ou materiais; carregar, descarregar ou identificar materiais de construção, máquinas ou ferramentas, distribuindo-os para o"&amp;"s locais apropriados, de acordo com os planos ou especificações do projeto; medir, marcar ou registrar aberturas ou distâncias para delimitar as áreas onde o trabalho de construção será realizado; cavar valas ou trincheiras, aterrar escavações ou compacta"&amp;"r e nivelar o solo de acordo com as especificações, utilizando picaretas, pás, compactadores pneumáticos ou rastelos; misturar, despejar ou espalhar concreto, utilizando betoneiras portáteis; operar bombas, compressores ou geradores para fornecer energia "&amp;"para ferramentas, máquinas ou equipamentos; montar ou desmontar andaimes, escoras, suportes, barricadas de trânsito, rampas ou outras estruturas temporárias; auxiliar outros trabalhadores; lubrificar, limpar ou reparar máquinas, equipamentos ou ferramenta"&amp;"s. Posicionar ou desmontar fôrmas para concretagem, utilizando serras, martelos, pregos ou parafusos. Alisar ou dar acabamento ao cimento ou concreto recém-lançado, utilizando desempenadeiras, colheres de pedreiro, réguas de nivelamento ou ferramentas elé"&amp;"tricas para acabamento de cimento. Operar britadeiras ou furadeiras para quebrar concreto ou pavimento. Instalar tubulações de esgoto, água ou drenagem pluvial, utilizando máquinas de assentamento de tubos ou equipamentos de orientação a laser. Operar ou "&amp;"realizar manutenção de dispositivos de monitoramento de ar ou outras ferramentas de amostragem em ambientes confinados ou perigosos. Misturar ingredientes para criar compostos para revestir ou limpar superfícies. Posicionar, unir, alinhar ou selar compone"&amp;"ntes estruturais, como seções de paredes de concreto ou tubulações. Operar máquinas que bombeiam concreto ou cimento através de pistolas de pulverização para aplicação em paredes. Aplicar selantes manualmente ou com pistolas de calafetagem para proteger c"&amp;"ontra a entrada de água ou ar. Classificação da Função: 47-2051.00 - Pedreiros e Acabadores de Concreto. A classificação e descrição da função/indústria incluem informações gerais sobre o cargo, provenientes do ONET/OES e do Sistema de Classificação Indus"&amp;"trial da América do Norte (NAICS). Consulte as Funções e a Ordem de Serviço para obter mais informações. Requisitos da Vaga Experiência Necessária: Sim Meses de Experiência Necessários: 3 Requisitos Especiais: Três meses de experiência como operário da co"&amp;"nstrução civil. Deve ser capaz de se abaixar, levantar e suportar até 23 kg, trabalhar em condições climáticas extremas. Não é necessário viajar para fora da região metropolitana, não há treinamento no local de trabalho disponível, não é necessário ter es"&amp;"colaridade. Exame toxicológico pós-contratação obrigatório, pago pelo empregador. Todos os trabalhadores, americanos e estrangeiros, serão submetidos ao exame da mesma forma. Número de Horas por Semana: 40 Horário de Trabalho (Início/Término): 7h às 15h")</f>
        <v>Os operários da construção civil realizarão trabalhos manuais e físicos, utilizarão ferramentas manuais e elétricas e limparão ou prepararão os canteiros de obras para eliminar possíveis riscos na construção de piscinas em áreas residenciais. As funções incluem: sinalizar para os operadores de equipamentos para facilitar o alinhamento, movimentação ou ajuste de máquinas, equipamentos ou materiais; carregar, descarregar ou identificar materiais de construção, máquinas ou ferramentas, distribuindo-os para os locais apropriados, de acordo com os planos ou especificações do projeto; medir, marcar ou registrar aberturas ou distâncias para delimitar as áreas onde o trabalho de construção será realizado; cavar valas ou trincheiras, aterrar escavações ou compactar e nivelar o solo de acordo com as especificações, utilizando picaretas, pás, compactadores pneumáticos ou rastelos; misturar, despejar ou espalhar concreto, utilizando betoneiras portáteis; operar bombas, compressores ou geradores para fornecer energia para ferramentas, máquinas ou equipamentos; montar ou desmontar andaimes, escoras, suportes, barricadas de trânsito, rampas ou outras estruturas temporárias; auxiliar outros trabalhadores; lubrificar, limpar ou reparar máquinas, equipamentos ou ferramentas. Posicionar ou desmontar fôrmas para concretagem, utilizando serras, martelos, pregos ou parafusos. Alisar ou dar acabamento ao cimento ou concreto recém-lançado, utilizando desempenadeiras, colheres de pedreiro, réguas de nivelamento ou ferramentas elétricas para acabamento de cimento. Operar britadeiras ou furadeiras para quebrar concreto ou pavimento. Instalar tubulações de esgoto, água ou drenagem pluvial, utilizando máquinas de assentamento de tubos ou equipamentos de orientação a laser. Operar ou realizar manutenção de dispositivos de monitoramento de ar ou outras ferramentas de amostragem em ambientes confinados ou perigosos. Misturar ingredientes para criar compostos para revestir ou limpar superfícies. Posicionar, unir, alinhar ou selar componentes estruturais, como seções de paredes de concreto ou tubulações. Operar máquinas que bombeiam concreto ou cimento através de pistolas de pulverização para aplicação em paredes. Aplicar selantes manualmente ou com pistolas de calafetagem para proteger contra a entrada de água ou ar. Classificação da Função: 47-2051.00 - Pedreiros e Acabadores de Concreto. A classificação e descrição da função/indústria incluem informações gerais sobre o cargo, provenientes do ONET/OES e do Sistema de Classificação Industrial da América do Norte (NAICS). Consulte as Funções e a Ordem de Serviço para obter mais informações. Requisitos da Vaga Experiência Necessária: Sim Meses de Experiência Necessários: 3 Requisitos Especiais: Três meses de experiência como operário da construção civil. Deve ser capaz de se abaixar, levantar e suportar até 23 kg, trabalhar em condições climáticas extremas. Não é necessário viajar para fora da região metropolitana, não há treinamento no local de trabalho disponível, não é necessário ter escolaridade. Exame toxicológico pós-contratação obrigatório, pago pelo empregador. Todos os trabalhadores, americanos e estrangeiros, serão submetidos ao exame da mesma forma. Número de Horas por Semana: 40 Horário de Trabalho (Início/Término): 7h às 15h</v>
      </c>
    </row>
    <row r="824" ht="20.25" customHeight="1">
      <c r="A824" s="3" t="s">
        <v>3850</v>
      </c>
      <c r="B824" s="3" t="s">
        <v>3851</v>
      </c>
      <c r="C824" s="3" t="s">
        <v>3824</v>
      </c>
      <c r="D824" s="3" t="s">
        <v>64</v>
      </c>
      <c r="E824" s="4" t="s">
        <v>44</v>
      </c>
      <c r="F824" s="4" t="s">
        <v>20</v>
      </c>
      <c r="G824" s="4" t="s">
        <v>345</v>
      </c>
      <c r="H824" s="3" t="s">
        <v>3852</v>
      </c>
      <c r="I824" s="3" t="s">
        <v>3826</v>
      </c>
      <c r="J824" s="4">
        <v>16.78</v>
      </c>
      <c r="K824" s="4">
        <v>60.0</v>
      </c>
      <c r="L824" s="3" t="s">
        <v>1490</v>
      </c>
      <c r="M824" s="3" t="s">
        <v>3853</v>
      </c>
      <c r="N824" s="7" t="str">
        <f>IFERROR(__xludf.DUMMYFUNCTION("GOOGLETRANSLATE(L824, ""en"", ""pt"")"),"Zelador")</f>
        <v>Zelador</v>
      </c>
      <c r="O824" s="7" t="str">
        <f>IFERROR(__xludf.DUMMYFUNCTION("IF(M824="""","""",GOOGLETRANSLATE(M824,""en"",""pt""))"),"***Resposta à Solicitação de Informações*** Esta função envolve a manutenção dos terrenos e superfícies externas das áreas de armazenamento de pedreiras a céu aberto. Especificamente, os jardineiros varrerão e rastelarão terra, poeira e detritos soltos da"&amp;"s superfícies do solo das áreas de armazenamento; removerão lixo, arbustos e materiais residuais que se acumulam dentro e ao redor das áreas de armazenamento; limparão a vegetação excessiva, ervas daninhas e arbustos ao redor dos perímetros das áreas de a"&amp;"rmazenamento para mantê-las limpas e acessíveis; e rastelarão as superfícies de terra dentro das áreas de armazenamento. As ferramentas e equipamentos usados ​​para realizar essas tarefas incluem vassouras, rastelos, pás, carrinhos de mão e recipientes de"&amp;" lixo. ***Original*** Manter e preparar os terrenos da propriedade dos clientes de pedreiras para preparar os locais de extração para a próxima temporada de trabalho intenso, fornecer serviços de jardinagem durante eventos climáticos de inverno e preparar"&amp;" os terrenos das pedreiras para recuperação de terras. Os jardineiros realizarão uma variedade de tarefas, que podem incluir uma combinação das seguintes: Limpar arbustos, cortar grama e ervas daninhas e remover vegetação dos terrenos da pedreira para pre"&amp;"parar novas áreas para a próxima temporada de extração; Recolher e remover lixo, detritos e resíduos das áreas da pedreira; Preparar o solo e espalhar terra vegetal nas áreas de recuperação para favorecer a revegetação; Plantar gramíneas, arbustos e outra"&amp;"s vegetações nativas nas áreas da pedreira como parte dos esforços de recuperação da terra; Regar, cobrir com mulch e cuidar da vegetação recém-plantada para promover seu estabelecimento e crescimento; Limpar e organizar as áreas de armazenamento da pedre"&amp;"ira e as áreas onde as pedras serão armazenadas; Preparar o terreno e manter as condições seguras do local em resposta a eventos climáticos de inverno, incluindo a remoção de neve, o degelo do solo, estradas de terra e caminhos de terra dentro da pedreira"&amp;" com o uso de água e sal; Remover detritos e água parada das áreas da pedreira, estradas de terra e caminhos de terra dentro da pedreira após chuvas fortes ou inundações para manter as condições seguras do local; Preservar e proteger os estoques expostos "&amp;"e os materiais da pedreira durante condições climáticas severas, cobrindo ou realocando materiais vulneráveis; e Operar veículos ou equipamentos motorizados, como cortadores de grama, sopradores de neve ou motosserras. Não é necessário possuir carteira de"&amp;" habilitação. No entanto, se um jardineiro possuir carteira de habilitação comum, poderá dirigir um veículo da equipe até os locais dos clientes. Classificação da função: 37-3011.00 - Trabalhadores de Paisagismo e Jardinagem. A classificação e descrição d"&amp;"a função/setor incluem informações gerais sobre o cargo, de acordo com o ONET/OES e o Sistema de Classificação Industrial da América do Norte (NAICS). Consulte as Funções e a Ordem de Serviço para obter mais informações. Requisitos da função: Experiência "&amp;"necessária: Não. Requisitos especiais: Pode ser necessário fazer horas extras e trabalhar nos fins de semana. O horário de trabalho pode variar, dependendo das condições climáticas. O candidato deve ser capaz de realizar trabalho braçal e físico ao ar liv"&amp;"re em todas as condições climáticas (calor, frio, chuva, neve, etc.). Deve ser capaz de levantar até 36 kg. Embora não seja obrigatória a carteira de habilitação, se o candidato possuir uma carteira de habilitação comum e válida, poderá dirigir veículos d"&amp;"a equipe. Número de horas por semana: 40. Horário de trabalho (início/término): 8h às 17h.")</f>
        <v>***Resposta à Solicitação de Informações*** Esta função envolve a manutenção dos terrenos e superfícies externas das áreas de armazenamento de pedreiras a céu aberto. Especificamente, os jardineiros varrerão e rastelarão terra, poeira e detritos soltos das superfícies do solo das áreas de armazenamento; removerão lixo, arbustos e materiais residuais que se acumulam dentro e ao redor das áreas de armazenamento; limparão a vegetação excessiva, ervas daninhas e arbustos ao redor dos perímetros das áreas de armazenamento para mantê-las limpas e acessíveis; e rastelarão as superfícies de terra dentro das áreas de armazenamento. As ferramentas e equipamentos usados ​​para realizar essas tarefas incluem vassouras, rastelos, pás, carrinhos de mão e recipientes de lixo. ***Original*** Manter e preparar os terrenos da propriedade dos clientes de pedreiras para preparar os locais de extração para a próxima temporada de trabalho intenso, fornecer serviços de jardinagem durante eventos climáticos de inverno e preparar os terrenos das pedreiras para recuperação de terras. Os jardineiros realizarão uma variedade de tarefas, que podem incluir uma combinação das seguintes: Limpar arbustos, cortar grama e ervas daninhas e remover vegetação dos terrenos da pedreira para preparar novas áreas para a próxima temporada de extração; Recolher e remover lixo, detritos e resíduos das áreas da pedreira; Preparar o solo e espalhar terra vegetal nas áreas de recuperação para favorecer a revegetação; Plantar gramíneas, arbustos e outras vegetações nativas nas áreas da pedreira como parte dos esforços de recuperação da terra; Regar, cobrir com mulch e cuidar da vegetação recém-plantada para promover seu estabelecimento e crescimento; Limpar e organizar as áreas de armazenamento da pedreira e as áreas onde as pedras serão armazenadas; Preparar o terreno e manter as condições seguras do local em resposta a eventos climáticos de inverno, incluindo a remoção de neve, o degelo do solo, estradas de terra e caminhos de terra dentro da pedreira com o uso de água e sal; Remover detritos e água parada das áreas da pedreira, estradas de terra e caminhos de terra dentro da pedreira após chuvas fortes ou inundações para manter as condições seguras do local; Preservar e proteger os estoques expostos e os materiais da pedreira durante condições climáticas severas, cobrindo ou realocando materiais vulneráveis; e Operar veículos ou equipamentos motorizados, como cortadores de grama, sopradores de neve ou motosserras. Não é necessário possuir carteira de habilitação. No entanto, se um jardineiro possuir carteira de habilitação comum, poderá dirigir um veículo da equipe até os locais dos clientes. Classificação da função: 37-3011.00 - Trabalhadores de Paisagismo e Jardinagem. A classificação e descrição da função/setor incluem informações gerais sobre o cargo, de acordo com o ONET/OES e o Sistema de Classificação Industrial da América do Norte (NAICS). Consulte as Funções e a Ordem de Serviço para obter mais informações. Requisitos da função: Experiência necessária: Não. Requisitos especiais: Pode ser necessário fazer horas extras e trabalhar nos fins de semana. O horário de trabalho pode variar, dependendo das condições climáticas. O candidato deve ser capaz de realizar trabalho braçal e físico ao ar livre em todas as condições climáticas (calor, frio, chuva, neve, etc.). Deve ser capaz de levantar até 36 kg. Embora não seja obrigatória a carteira de habilitação, se o candidato possuir uma carteira de habilitação comum e válida, poderá dirigir veículos da equipe. Número de horas por semana: 40. Horário de trabalho (início/término): 8h às 17h.</v>
      </c>
    </row>
    <row r="825" ht="20.25" customHeight="1">
      <c r="A825" s="8" t="s">
        <v>3854</v>
      </c>
      <c r="B825" s="8" t="s">
        <v>3855</v>
      </c>
      <c r="C825" s="8" t="s">
        <v>3759</v>
      </c>
      <c r="D825" s="8" t="s">
        <v>970</v>
      </c>
      <c r="E825" s="9" t="s">
        <v>19</v>
      </c>
      <c r="F825" s="9" t="s">
        <v>20</v>
      </c>
      <c r="G825" s="9" t="s">
        <v>404</v>
      </c>
      <c r="H825" s="8" t="s">
        <v>3856</v>
      </c>
      <c r="I825" s="8" t="s">
        <v>3857</v>
      </c>
      <c r="J825" s="9">
        <v>20.15</v>
      </c>
      <c r="K825" s="9">
        <v>20.0</v>
      </c>
      <c r="L825" s="8" t="s">
        <v>3858</v>
      </c>
      <c r="M825" s="8" t="s">
        <v>3859</v>
      </c>
      <c r="N825" s="7" t="str">
        <f>IFERROR(__xludf.DUMMYFUNCTION("GOOGLETRANSLATE(L825, ""en"", ""pt"")"),"Técnicos de Remoção de Neve")</f>
        <v>Técnicos de Remoção de Neve</v>
      </c>
      <c r="O825" s="7" t="str">
        <f>IFERROR(__xludf.DUMMYFUNCTION("IF(M825="""","""",GOOGLETRANSLATE(M825,""en"",""pt""))"),"Remover neve com pá e arado usando ferramentas manuais e equipamentos motorizados para limpeza a pé em estacionamentos, entradas de garagem e calçadas; realizar manutenção de áreas externas, como coleta de lixo, e outras tarefas relacionadas à manutenção "&amp;"de instalações, como limpeza de ruas e instalações de folhas, neve ou detritos usando ferramentas manuais ou equipamentos motorizados, incluindo, entre outros, ancinhos, pás e sopradores de neve/folhas. Preparar e ativar sistemas de irrigação para o inver"&amp;"no. Possibilidade de limpeza de outono e primavera, incluindo rastelar, triturar e compostar folhas, remover material vegetal morto, podar plantas perenes, podar plantas dormentes, remover folhas e cobrir canteiros com cobertura morta. Operar um soprador "&amp;"de neve em estacionamentos, entradas de garagem e calçadas. Descongelar e remover neve de calçadas, entradas de garagem e estacionamentos de diversas propriedades residenciais e comerciais, usando ferramentas manuais como vassouras de neve, pás e espalhan"&amp;"do soluções de degelo, incluindo cloreto de cálcio ou sal grosso, manualmente. Também pode usar sopradores de neve elétricos ou a gasolina, conforme necessário. Poderá dirigir o veículo da equipe. Não é necessário possuir carteira de habilitação como cond"&amp;"ição para o emprego nesta função. Caso o candidato já possua uma carteira de habilitação padrão, não comercial, poderá ser solicitado a dirigir um veículo até os locais de trabalho, conforme necessário. Classificação da Função: 37-3011.00 - Trabalhadores "&amp;"de Paisagismo e Manutenção de Áreas Verdes. A classificação e descrição da função/setor inclui informações gerais sobre a posição, de acordo com o ONET/OES e o Sistema de Classificação Industrial da América do Norte (NAICS). Consulte as Funções e a Ordem "&amp;"de Serviço para obter mais informações. Requisitos da Função Experiência Necessária: Sim Meses de Experiência Necessários: 3 Requisitos Especiais: Deve ser capaz de levantar/carregar 23 kg, quando necessário. Trabalho aos sábados e domingos, quando necess"&amp;"ário. O horário de trabalho pode incluir noites, fins de semana e horas extras durante emergências e condições climáticas adversas. Exame toxicológico pós-contratação obrigatório para trabalhadores estrangeiros e nacionais. Os trabalhadores iniciarão cada"&amp;" dia no endereço do local de trabalho. Em seguida, serão transportados, gratuitamente, para propriedades localizadas em toda a área de atuação pretendida, para desempenhar suas funções. Eles serão então transportados de volta ao local de trabalho ao final"&amp;" de cada dia de trabalho. Número de horas por semana: 35. Horário de trabalho (início/término): 8h às 17h.")</f>
        <v>Remover neve com pá e arado usando ferramentas manuais e equipamentos motorizados para limpeza a pé em estacionamentos, entradas de garagem e calçadas; realizar manutenção de áreas externas, como coleta de lixo, e outras tarefas relacionadas à manutenção de instalações, como limpeza de ruas e instalações de folhas, neve ou detritos usando ferramentas manuais ou equipamentos motorizados, incluindo, entre outros, ancinhos, pás e sopradores de neve/folhas. Preparar e ativar sistemas de irrigação para o inverno. Possibilidade de limpeza de outono e primavera, incluindo rastelar, triturar e compostar folhas, remover material vegetal morto, podar plantas perenes, podar plantas dormentes, remover folhas e cobrir canteiros com cobertura morta. Operar um soprador de neve em estacionamentos, entradas de garagem e calçadas. Descongelar e remover neve de calçadas, entradas de garagem e estacionamentos de diversas propriedades residenciais e comerciais, usando ferramentas manuais como vassouras de neve, pás e espalhando soluções de degelo, incluindo cloreto de cálcio ou sal grosso, manualmente. Também pode usar sopradores de neve elétricos ou a gasolina, conforme necessário. Poderá dirigir o veículo da equipe. Não é necessário possuir carteira de habilitação como condição para o emprego nesta função. Caso o candidato já possua uma carteira de habilitação padrão, não comercial, poderá ser solicitado a dirigir um veículo até os locais de trabalho, conforme necessário. Classificação da Função: 37-3011.00 - Trabalhadores de Paisagismo e Manutenção de Áreas Verdes. A classificação e descrição da função/setor inclui informações gerais sobre a posição, de acordo com o ONET/OES e o Sistema de Classificação Industrial da América do Norte (NAICS). Consulte as Funções e a Ordem de Serviço para obter mais informações. Requisitos da Função Experiência Necessária: Sim Meses de Experiência Necessários: 3 Requisitos Especiais: Deve ser capaz de levantar/carregar 23 kg, quando necessário. Trabalho aos sábados e domingos, quando necessário. O horário de trabalho pode incluir noites, fins de semana e horas extras durante emergências e condições climáticas adversas. Exame toxicológico pós-contratação obrigatório para trabalhadores estrangeiros e nacionais. Os trabalhadores iniciarão cada dia no endereço do local de trabalho. Em seguida, serão transportados, gratuitamente, para propriedades localizadas em toda a área de atuação pretendida, para desempenhar suas funções. Eles serão então transportados de volta ao local de trabalho ao final de cada dia de trabalho. Número de horas por semana: 35. Horário de trabalho (início/término): 8h às 17h.</v>
      </c>
    </row>
    <row r="826" ht="20.25" customHeight="1">
      <c r="A826" s="3" t="s">
        <v>3860</v>
      </c>
      <c r="B826" s="3" t="s">
        <v>3861</v>
      </c>
      <c r="C826" s="3"/>
      <c r="D826" s="3" t="s">
        <v>102</v>
      </c>
      <c r="E826" s="4" t="s">
        <v>19</v>
      </c>
      <c r="F826" s="4" t="s">
        <v>20</v>
      </c>
      <c r="G826" s="4" t="s">
        <v>80</v>
      </c>
      <c r="H826" s="3" t="s">
        <v>3862</v>
      </c>
      <c r="I826" s="3" t="s">
        <v>3863</v>
      </c>
      <c r="J826" s="4">
        <v>17.83</v>
      </c>
      <c r="K826" s="4">
        <v>395.0</v>
      </c>
      <c r="L826" s="3" t="s">
        <v>3864</v>
      </c>
      <c r="M826" s="3" t="s">
        <v>3865</v>
      </c>
      <c r="N826" s="7" t="str">
        <f>IFERROR(__xludf.DUMMYFUNCTION("GOOGLETRANSLATE(L826, ""en"", ""pt"")"),"Auxiliar de campo")</f>
        <v>Auxiliar de campo</v>
      </c>
      <c r="O826" s="7" t="str">
        <f>IFERROR(__xludf.DUMMYFUNCTION("IF(M826="""","""",GOOGLETRANSLATE(M826,""en"",""pt""))"),"Manutenção do controle da vegetação em faixas de servidão de concessionárias de serviços públicos. Esta é uma vaga temporária em tempo integral. O trabalho é de segunda a sábado, 10 horas por dia, com folga aos domingos, a menos que as condições climática"&amp;"s impeçam o trabalho. Todos os equipamentos de trabalho, camisetas da empresa e todos os equipamentos de segurança serão fornecidos pelo empregador sem custo para o auxiliar. As camisetas da empresa e todos os equipamentos de segurança deverão ser usados "&amp;"​​pelo auxiliar durante todo o período de trabalho. Não é necessário escolaridade, conhecimento ou experiência prévia na área. O auxiliar utilizará cortadores de grama ou aparadores de borda motorizados; ou ferramentas manuais, como serras manuais, roçade"&amp;"iras ou machados, para podar árvores ou outras vegetações; ou aplicará herbicida em arbustos ou árvores usando pulverizadores manuais de mochila pré-carregados. O auxiliar caminhará cerca de 16 quilômetros por dia, dependendo das condições do terreno. Alg"&amp;"uns terrenos serão acidentados, incluindo colinas rochosas, pântanos, etc. O auxiliar trabalhará sob supervisão direta e receberá instruções específicas sobre as tarefas, métodos e resultados esperados. Seu trabalho será monitorado e revisado de perto par"&amp;"a garantir a precisão. Qualquer auxiliar de jardinagem que não desempenhar suas funções conforme o exigido receberá uma advertência verbal, e o contrato de trabalho será rescindido na segunda ocorrência. O auxiliar de jardinagem será submetido a exame tox"&amp;"icológico pré-admissional e poderá ser submetido a exame toxicológico/alcoolêmico pós-admissional ou verificação de antecedentes criminais. Classificação da função: 37-3011.00 - Trabalhadores de Paisagismo e Manutenção de Áreas Verdes. A classificação e d"&amp;"escrição da função/setor incluem informações gerais sobre o cargo, conforme o ONET/OES e o Sistema de Classificação Industrial da América do Norte (NAICS). Consulte as Funções e a Ordem de Serviço para obter mais informações. Requisitos da função: Experiê"&amp;"ncia exigida: Não. Requisitos especiais: Deve ser capaz de caminhar cerca de 16 quilômetros por dia, dependendo das condições do terreno. Será submetido a exame toxicológico pré-admissional. Poderá ser submetido a exame toxicológico/alcoolêmico pós-admiss"&amp;"ional ou verificação de antecedentes criminais. Todos os equipamentos de trabalho, camisetas da empresa e todos os equipamentos de segurança serão fornecidos pelo empregador sem custo para o auxiliar de jardinagem. O auxiliar de serviços gerais deverá usa"&amp;"r camisetas da empresa e todos os equipamentos de segurança durante todo o período de trabalho. Número de horas por semana: 60. Horário de trabalho (início/término): 7h às 17h.")</f>
        <v>Manutenção do controle da vegetação em faixas de servidão de concessionárias de serviços públicos. Esta é uma vaga temporária em tempo integral. O trabalho é de segunda a sábado, 10 horas por dia, com folga aos domingos, a menos que as condições climáticas impeçam o trabalho. Todos os equipamentos de trabalho, camisetas da empresa e todos os equipamentos de segurança serão fornecidos pelo empregador sem custo para o auxiliar. As camisetas da empresa e todos os equipamentos de segurança deverão ser usados ​​pelo auxiliar durante todo o período de trabalho. Não é necessário escolaridade, conhecimento ou experiência prévia na área. O auxiliar utilizará cortadores de grama ou aparadores de borda motorizados; ou ferramentas manuais, como serras manuais, roçadeiras ou machados, para podar árvores ou outras vegetações; ou aplicará herbicida em arbustos ou árvores usando pulverizadores manuais de mochila pré-carregados. O auxiliar caminhará cerca de 16 quilômetros por dia, dependendo das condições do terreno. Alguns terrenos serão acidentados, incluindo colinas rochosas, pântanos, etc. O auxiliar trabalhará sob supervisão direta e receberá instruções específicas sobre as tarefas, métodos e resultados esperados. Seu trabalho será monitorado e revisado de perto para garantir a precisão. Qualquer auxiliar de jardinagem que não desempenhar suas funções conforme o exigido receberá uma advertência verbal, e o contrato de trabalho será rescindido na segunda ocorrência. O auxiliar de jardinagem será submetido a exame toxicológico pré-admissional e poderá ser submetido a exame toxicológico/alcoolêmico pós-admissional ou verificação de antecedentes criminais. Classificação da função: 37-3011.00 - Trabalhadores de Paisagismo e Manutenção de Áreas Verdes. A classificação e descrição da função/setor incluem informações gerais sobre o cargo, conforme o ONET/OES e o Sistema de Classificação Industrial da América do Norte (NAICS). Consulte as Funções e a Ordem de Serviço para obter mais informações. Requisitos da função: Experiência exigida: Não. Requisitos especiais: Deve ser capaz de caminhar cerca de 16 quilômetros por dia, dependendo das condições do terreno. Será submetido a exame toxicológico pré-admissional. Poderá ser submetido a exame toxicológico/alcoolêmico pós-admissional ou verificação de antecedentes criminais. Todos os equipamentos de trabalho, camisetas da empresa e todos os equipamentos de segurança serão fornecidos pelo empregador sem custo para o auxiliar de jardinagem. O auxiliar de serviços gerais deverá usar camisetas da empresa e todos os equipamentos de segurança durante todo o período de trabalho. Número de horas por semana: 60. Horário de trabalho (início/término): 7h às 17h.</v>
      </c>
    </row>
    <row r="827" ht="20.25" customHeight="1">
      <c r="A827" s="8" t="s">
        <v>3866</v>
      </c>
      <c r="B827" s="8" t="s">
        <v>3867</v>
      </c>
      <c r="C827" s="8"/>
      <c r="D827" s="8" t="s">
        <v>102</v>
      </c>
      <c r="E827" s="9" t="s">
        <v>19</v>
      </c>
      <c r="F827" s="9" t="s">
        <v>20</v>
      </c>
      <c r="G827" s="9" t="s">
        <v>229</v>
      </c>
      <c r="H827" s="8" t="s">
        <v>3868</v>
      </c>
      <c r="I827" s="8" t="s">
        <v>3869</v>
      </c>
      <c r="J827" s="9">
        <v>18.76</v>
      </c>
      <c r="K827" s="9">
        <v>8.0</v>
      </c>
      <c r="L827" s="8" t="s">
        <v>3465</v>
      </c>
      <c r="M827" s="8" t="s">
        <v>3870</v>
      </c>
      <c r="N827" s="7" t="str">
        <f>IFERROR(__xludf.DUMMYFUNCTION("GOOGLETRANSLATE(L827, ""en"", ""pt"")"),"Montador")</f>
        <v>Montador</v>
      </c>
      <c r="O827" s="7" t="str">
        <f>IFERROR(__xludf.DUMMYFUNCTION("IF(M827="""","""",GOOGLETRANSLATE(M827,""en"",""pt""))"),"O montador de treliças irá montar materiais pré-cortados, verificar o tamanho de cada peça pré-cortada, a precisão da montagem, utilizando régua e calibradores, encaixar as peças, colocar placas de reforço metálicas sobre as juntas de conexão e conectar a"&amp;"s peças nas juntas, podendo produzir ou auxiliar na produção de componentes de acordo com as instruções, utilizar ferramentas manuais ou máquinas para construir treliças e suportes similares usados ​​em telhados na construção civil. Poderá ser responsável"&amp;" por puxar placas, empilhar o produto acabado, cintar e marcar os materiais, e empurrar os produtos para a posição correta manualmente ou em carrinhos com guindaste até a área de trabalho apropriada ou armazená-los ao final do expediente para manter a áre"&amp;"a limpa e livre de peças perigosas. Classificação da Função: 51-2099.00 - Montadores e Fabricantes, Outros. A classificação e descrição da função/indústria inclui informações gerais sobre o cargo, conforme o ONET/OES e o Sistema de Classificação Industria"&amp;"l da América do Norte. Consulte as Funções e a Ordem de Serviço para obter mais informações. Requisitos da Vaga Experiência Necessária: Sim Meses de Experiência Necessários: 3 Requisitos Especiais: Três meses de experiência como montador de treliças em co"&amp;"nstruções residenciais ou comerciais. Deve ser capaz de se abaixar, levantar e suportar até 23 kg, além de trabalhar em condições climáticas de calor extremo. É necessário viajar dentro dos condados de Jefferson e Shelby. Não há treinamento no local de tr"&amp;"abalho disponível, nem é necessário ter escolaridade. Exame toxicológico pós-contratação obrigatório, pago pelo empregador. Todos os trabalhadores, americanos e estrangeiros, serão submetidos ao exame da mesma forma. Número de Horas por Semana: 40 Horário"&amp;" de Trabalho (Início/Término): 7h às 15h")</f>
        <v>O montador de treliças irá montar materiais pré-cortados, verificar o tamanho de cada peça pré-cortada, a precisão da montagem, utilizando régua e calibradores, encaixar as peças, colocar placas de reforço metálicas sobre as juntas de conexão e conectar as peças nas juntas, podendo produzir ou auxiliar na produção de componentes de acordo com as instruções, utilizar ferramentas manuais ou máquinas para construir treliças e suportes similares usados ​​em telhados na construção civil. Poderá ser responsável por puxar placas, empilhar o produto acabado, cintar e marcar os materiais, e empurrar os produtos para a posição correta manualmente ou em carrinhos com guindaste até a área de trabalho apropriada ou armazená-los ao final do expediente para manter a área limpa e livre de peças perigosas. Classificação da Função: 51-2099.00 - Montadores e Fabricantes, Outros. A classificação e descrição da função/indústria inclui informações gerais sobre o cargo, conforme o ONET/OES e o Sistema de Classificação Industrial da América do Norte. Consulte as Funções e a Ordem de Serviço para obter mais informações. Requisitos da Vaga Experiência Necessária: Sim Meses de Experiência Necessários: 3 Requisitos Especiais: Três meses de experiência como montador de treliças em construções residenciais ou comerciais. Deve ser capaz de se abaixar, levantar e suportar até 23 kg, além de trabalhar em condições climáticas de calor extremo. É necessário viajar dentro dos condados de Jefferson e Shelby. Não há treinamento no local de trabalho disponível, nem é necessário ter escolaridade. Exame toxicológico pós-contratação obrigatório, pago pelo empregador. Todos os trabalhadores, americanos e estrangeiros, serão submetidos ao exame da mesma forma. Número de Horas por Semana: 40 Horário de Trabalho (Início/Término): 7h às 15h</v>
      </c>
    </row>
    <row r="828" ht="20.25" customHeight="1">
      <c r="A828" s="3" t="s">
        <v>3871</v>
      </c>
      <c r="B828" s="3" t="s">
        <v>3872</v>
      </c>
      <c r="C828" s="3" t="s">
        <v>3873</v>
      </c>
      <c r="D828" s="3" t="s">
        <v>532</v>
      </c>
      <c r="E828" s="4" t="s">
        <v>19</v>
      </c>
      <c r="F828" s="4" t="s">
        <v>20</v>
      </c>
      <c r="G828" s="4" t="s">
        <v>437</v>
      </c>
      <c r="H828" s="3" t="s">
        <v>3874</v>
      </c>
      <c r="I828" s="3" t="s">
        <v>3875</v>
      </c>
      <c r="J828" s="4">
        <v>21.49</v>
      </c>
      <c r="K828" s="4">
        <v>4.0</v>
      </c>
      <c r="L828" s="3" t="s">
        <v>3876</v>
      </c>
      <c r="M828" s="3" t="s">
        <v>3877</v>
      </c>
      <c r="N828" s="7" t="str">
        <f>IFERROR(__xludf.DUMMYFUNCTION("GOOGLETRANSLATE(L828, ""en"", ""pt"")"),"tratador de cavalos para exposições equestres")</f>
        <v>tratador de cavalos para exposições equestres</v>
      </c>
      <c r="O828" s="7" t="str">
        <f>IFERROR(__xludf.DUMMYFUNCTION("IF(M828="""","""",GOOGLETRANSLATE(M828,""en"",""pt""))"),"O tratador de cavalos de competição cuida e mantém os cavalos preparados para competições. As funções incluem: inspecionar os cavalos, exercitá-los, escová-los, banhá-los, alimentá-los, dar água, enfaixá-los, selá-los, administrar suplementos e medicament"&amp;"os, manter as baias e os equipamentos. Acompanha os cavalos em competições na Califórnia. Acomodações são fornecidas durante as competições fora do condado de San Mateo. Classificação da vaga: 39-2021.00 - Cuidadores de Animais. A classificação e descriçã"&amp;"o da vaga/setor incluem informações gerais sobre o cargo, de acordo com o ONET/OES e o Sistema de Classificação Industrial da América do Norte. Consulte as Funções e a Ordem de Serviço para obter mais informações. Requisitos da vaga: Experiência necessári"&amp;"a: Sim. Meses de experiência necessários: 3. Requisitos especiais: Viagens e transporte são uma necessidade e um requisito para o trabalho. Número de horas por semana: 36. Horário de trabalho (início/término): 7h30 às 14h.")</f>
        <v>O tratador de cavalos de competição cuida e mantém os cavalos preparados para competições. As funções incluem: inspecionar os cavalos, exercitá-los, escová-los, banhá-los, alimentá-los, dar água, enfaixá-los, selá-los, administrar suplementos e medicamentos, manter as baias e os equipamentos. Acompanha os cavalos em competições na Califórnia. Acomodações são fornecidas durante as competições fora do condado de San Mateo. Classificação da vaga: 39-2021.00 - Cuidadores de Animais. A classificação e descrição da vaga/setor incluem informações gerais sobre o cargo, de acordo com o ONET/OES e o Sistema de Classificação Industrial da América do Norte. Consulte as Funções e a Ordem de Serviço para obter mais informações. Requisitos da vaga: Experiência necessária: Sim. Meses de experiência necessários: 3. Requisitos especiais: Viagens e transporte são uma necessidade e um requisito para o trabalho. Número de horas por semana: 36. Horário de trabalho (início/término): 7h30 às 14h.</v>
      </c>
    </row>
    <row r="829" ht="20.25" customHeight="1">
      <c r="A829" s="8" t="s">
        <v>3878</v>
      </c>
      <c r="B829" s="8" t="s">
        <v>3879</v>
      </c>
      <c r="C829" s="8"/>
      <c r="D829" s="8" t="s">
        <v>51</v>
      </c>
      <c r="E829" s="9" t="s">
        <v>44</v>
      </c>
      <c r="F829" s="9" t="s">
        <v>20</v>
      </c>
      <c r="G829" s="9" t="s">
        <v>56</v>
      </c>
      <c r="H829" s="8" t="s">
        <v>3880</v>
      </c>
      <c r="I829" s="8" t="s">
        <v>3881</v>
      </c>
      <c r="J829" s="9">
        <v>24.91</v>
      </c>
      <c r="K829" s="9">
        <v>12.0</v>
      </c>
      <c r="L829" s="8" t="s">
        <v>3882</v>
      </c>
      <c r="M829" s="8" t="s">
        <v>3883</v>
      </c>
      <c r="N829" s="7" t="str">
        <f>IFERROR(__xludf.DUMMYFUNCTION("GOOGLETRANSLATE(L829, ""en"", ""pt"")"),"Operário da construção civil")</f>
        <v>Operário da construção civil</v>
      </c>
      <c r="O829" s="7" t="str">
        <f>IFERROR(__xludf.DUMMYFUNCTION("IF(M829="""","""",GOOGLETRANSLATE(M829,""en"",""pt""))"),"O trabalhador de concreto alisa e dá acabamento em superfícies de concreto moldado, como pisos, calçadas, passeios, ruas ou meio-fios, utilizando diversas ferramentas manuais e elétricas. Alinha as fôrmas para calçadas, meio-fios ou sarjetas; preenche vaz"&amp;"ios; e utiliza serras para cortar juntas de dilatação. Pode incluir a aplicação de compostos endurecedores e selantes para curar a superfície do concreto e impermeabilizar ou restaurar a superfície, a aplicação de ácido muriático para limpar a superfície "&amp;"e enxaguar com água, a construção de moldes de madeira e a fixação dos moldes ao redor da área a ser reparada, utilizando ferramentas manuais, a verificação das fôrmas que sustentam o concreto para garantir que estejam construídas corretamente, podendo la"&amp;"scar, raspar e lixar pontos altos, saliências e projeções ásperas para dar acabamento ao concreto, utilizando cinzéis pneumáticos, esmerilhadeiras elétricas ou ferramentas manuais. Classificação da função: 47-2031.00 - Carpinteiros. A classificação e desc"&amp;"rição da função/indústria inclui informações gerais sobre o cargo, de acordo com o ONET/OES e o Sistema de Classificação Industrial da América do Norte. Consulte as Funções e a Ordem de Serviço para obter mais informações. Requisitos da vaga Experiência n"&amp;"ecessária: Sim Meses de experiência necessários: 3 Requisitos especiais: Três meses de experiência como operário da construção civil. Deve ser capaz de se abaixar, levantar e suportar até 23 kg, trabalhar em condições climáticas extremas. Não é necessário"&amp;" viajar para fora da região metropolitana. Não é necessário ter escolaridade, não há treinamento disponível no local de trabalho. Exame toxicológico pós-contratação obrigatório, pago pelo empregador. Todos os trabalhadores, americanos e estrangeiros, serã"&amp;"o submetidos ao exame da mesma forma. Número de horas por semana: 40 Horário de trabalho (início/término): 7h às 15h")</f>
        <v>O trabalhador de concreto alisa e dá acabamento em superfícies de concreto moldado, como pisos, calçadas, passeios, ruas ou meio-fios, utilizando diversas ferramentas manuais e elétricas. Alinha as fôrmas para calçadas, meio-fios ou sarjetas; preenche vazios; e utiliza serras para cortar juntas de dilatação. Pode incluir a aplicação de compostos endurecedores e selantes para curar a superfície do concreto e impermeabilizar ou restaurar a superfície, a aplicação de ácido muriático para limpar a superfície e enxaguar com água, a construção de moldes de madeira e a fixação dos moldes ao redor da área a ser reparada, utilizando ferramentas manuais, a verificação das fôrmas que sustentam o concreto para garantir que estejam construídas corretamente, podendo lascar, raspar e lixar pontos altos, saliências e projeções ásperas para dar acabamento ao concreto, utilizando cinzéis pneumáticos, esmerilhadeiras elétricas ou ferramentas manuais. Classificação da função: 47-2031.00 - Carpinteiros. A classificação e descrição da função/indústria inclui informações gerais sobre o cargo, de acordo com o ONET/OES e o Sistema de Classificação Industrial da América do Norte. Consulte as Funções e a Ordem de Serviço para obter mais informações. Requisitos da vaga Experiência necessária: Sim Meses de experiência necessários: 3 Requisitos especiais: Três meses de experiência como operário da construção civil. Deve ser capaz de se abaixar, levantar e suportar até 23 kg, trabalhar em condições climáticas extremas. Não é necessário viajar para fora da região metropolitana. Não é necessário ter escolaridade, não há treinamento disponível no local de trabalho. Exame toxicológico pós-contratação obrigatório, pago pelo empregador. Todos os trabalhadores, americanos e estrangeiros, serão submetidos ao exame da mesma forma. Número de horas por semana: 40 Horário de trabalho (início/término): 7h às 15h</v>
      </c>
    </row>
    <row r="830" ht="20.25" customHeight="1">
      <c r="A830" s="3" t="s">
        <v>3884</v>
      </c>
      <c r="B830" s="3" t="s">
        <v>3885</v>
      </c>
      <c r="C830" s="3"/>
      <c r="D830" s="3" t="s">
        <v>126</v>
      </c>
      <c r="E830" s="4" t="s">
        <v>19</v>
      </c>
      <c r="F830" s="4" t="s">
        <v>20</v>
      </c>
      <c r="G830" s="4" t="s">
        <v>307</v>
      </c>
      <c r="H830" s="3" t="s">
        <v>3886</v>
      </c>
      <c r="I830" s="3" t="s">
        <v>3887</v>
      </c>
      <c r="J830" s="4">
        <v>30.3</v>
      </c>
      <c r="K830" s="4">
        <v>6.0</v>
      </c>
      <c r="L830" s="3" t="s">
        <v>3888</v>
      </c>
      <c r="M830" s="3" t="s">
        <v>3889</v>
      </c>
      <c r="N830" s="7" t="str">
        <f>IFERROR(__xludf.DUMMYFUNCTION("GOOGLETRANSLATE(L830, ""en"", ""pt"")"),"Fabricante de neve experiente")</f>
        <v>Fabricante de neve experiente</v>
      </c>
      <c r="O830" s="7" t="str">
        <f>IFERROR(__xludf.DUMMYFUNCTION("IF(M830="""","""",GOOGLETRANSLATE(M830,""en"",""pt""))"),"***Resposta à Solicitação de Informações*** Veículos para neve (OSV) podem incluir uma moto de neve Ski-Doo Expedition de 900 cc (292 kg, 3 cilindros) usada para mover mangueiras e arrastar bicos de produção de neve para diferentes locais na pista de esqu"&amp;"i. Os OSV também podem incluir um veículo utilitário Can-Am Defender Pro de 976 cc com esteiras (1043 kg, 82 HP) para empurrar montes de neve produzida e redistribuí-la uniformemente pela pista de esqui. ***Original*** Ajustar a pressão do ar e da água pa"&amp;"ra produzir neve. Mover mangueiras e monitorar os bicos de produção de neve. Realizar limpeza e manutenção de rotina para manter os bicos em condições seguras de operação. Operar veículos para neve para mover equipamentos e neve (não é necessária carteira"&amp;" de habilitação). Classificação da função: 53-7199.00 - Trabalhadores de Movimentação de Materiais, Outros. A classificação e descrição da função/indústria inclui informações gerais sobre o cargo, de acordo com o ONET/OES e o Sistema de Classificação Indu"&amp;"strial da América do Norte. Consulte as Funções e a Ordem de Serviço para obter mais informações. Requisitos da vaga Experiência necessária: Sim Meses de experiência necessários: 1 Requisitos especiais: É necessário ter um mês completo de experiência como"&amp;" operador de máquina de neve. Número de horas por semana: 48 Horário de trabalho (início/término): 00:00 - 08:00")</f>
        <v>***Resposta à Solicitação de Informações*** Veículos para neve (OSV) podem incluir uma moto de neve Ski-Doo Expedition de 900 cc (292 kg, 3 cilindros) usada para mover mangueiras e arrastar bicos de produção de neve para diferentes locais na pista de esqui. Os OSV também podem incluir um veículo utilitário Can-Am Defender Pro de 976 cc com esteiras (1043 kg, 82 HP) para empurrar montes de neve produzida e redistribuí-la uniformemente pela pista de esqui. ***Original*** Ajustar a pressão do ar e da água para produzir neve. Mover mangueiras e monitorar os bicos de produção de neve. Realizar limpeza e manutenção de rotina para manter os bicos em condições seguras de operação. Operar veículos para neve para mover equipamentos e neve (não é necessária carteira de habilitação). Classificação da função: 53-7199.00 - Trabalhadores de Movimentação de Materiais, Outros. A classificação e descrição da função/indústria inclui informações gerais sobre o cargo, de acordo com o ONET/OES e o Sistema de Classificação Industrial da América do Norte. Consulte as Funções e a Ordem de Serviço para obter mais informações. Requisitos da vaga Experiência necessária: Sim Meses de experiência necessários: 1 Requisitos especiais: É necessário ter um mês completo de experiência como operador de máquina de neve. Número de horas por semana: 48 Horário de trabalho (início/término): 00:00 - 08:00</v>
      </c>
    </row>
    <row r="831" ht="20.25" customHeight="1">
      <c r="A831" s="8" t="s">
        <v>3890</v>
      </c>
      <c r="B831" s="8" t="s">
        <v>3891</v>
      </c>
      <c r="C831" s="8"/>
      <c r="D831" s="8" t="s">
        <v>126</v>
      </c>
      <c r="E831" s="9" t="s">
        <v>44</v>
      </c>
      <c r="F831" s="9" t="s">
        <v>20</v>
      </c>
      <c r="G831" s="9" t="s">
        <v>94</v>
      </c>
      <c r="H831" s="8" t="s">
        <v>3886</v>
      </c>
      <c r="I831" s="8" t="s">
        <v>3887</v>
      </c>
      <c r="J831" s="9">
        <v>30.92</v>
      </c>
      <c r="K831" s="9">
        <v>6.0</v>
      </c>
      <c r="L831" s="8" t="s">
        <v>3888</v>
      </c>
      <c r="M831" s="8" t="s">
        <v>3889</v>
      </c>
      <c r="N831" s="7" t="str">
        <f>IFERROR(__xludf.DUMMYFUNCTION("GOOGLETRANSLATE(L831, ""en"", ""pt"")"),"Fabricante de neve experiente")</f>
        <v>Fabricante de neve experiente</v>
      </c>
      <c r="O831" s="7" t="str">
        <f>IFERROR(__xludf.DUMMYFUNCTION("IF(M831="""","""",GOOGLETRANSLATE(M831,""en"",""pt""))"),"***Resposta à Solicitação de Informações*** Veículos para neve (OSV) podem incluir uma moto de neve Ski-Doo Expedition de 900 cc (292 kg, 3 cilindros) usada para mover mangueiras e arrastar bicos de produção de neve para diferentes locais na pista de esqu"&amp;"i. Os OSV também podem incluir um veículo utilitário Can-Am Defender Pro de 976 cc com esteiras (1043 kg, 82 HP) para empurrar montes de neve produzida e redistribuí-la uniformemente pela pista de esqui. ***Original*** Ajustar a pressão do ar e da água pa"&amp;"ra produzir neve. Mover mangueiras e monitorar os bicos de produção de neve. Realizar limpeza e manutenção de rotina para manter os bicos em condições seguras de operação. Operar veículos para neve para mover equipamentos e neve (não é necessária carteira"&amp;" de habilitação). Classificação da função: 53-7199.00 - Trabalhadores de Movimentação de Materiais, Outros. A classificação e descrição da função/indústria inclui informações gerais sobre o cargo, de acordo com o ONET/OES e o Sistema de Classificação Indu"&amp;"strial da América do Norte. Consulte as Funções e a Ordem de Serviço para obter mais informações. Requisitos da vaga Experiência necessária: Sim Meses de experiência necessários: 1 Requisitos especiais: É necessário ter um mês completo de experiência como"&amp;" operador de máquina de neve. Número de horas por semana: 48 Horário de trabalho (início/término): 00:00 - 08:00")</f>
        <v>***Resposta à Solicitação de Informações*** Veículos para neve (OSV) podem incluir uma moto de neve Ski-Doo Expedition de 900 cc (292 kg, 3 cilindros) usada para mover mangueiras e arrastar bicos de produção de neve para diferentes locais na pista de esqui. Os OSV também podem incluir um veículo utilitário Can-Am Defender Pro de 976 cc com esteiras (1043 kg, 82 HP) para empurrar montes de neve produzida e redistribuí-la uniformemente pela pista de esqui. ***Original*** Ajustar a pressão do ar e da água para produzir neve. Mover mangueiras e monitorar os bicos de produção de neve. Realizar limpeza e manutenção de rotina para manter os bicos em condições seguras de operação. Operar veículos para neve para mover equipamentos e neve (não é necessária carteira de habilitação). Classificação da função: 53-7199.00 - Trabalhadores de Movimentação de Materiais, Outros. A classificação e descrição da função/indústria inclui informações gerais sobre o cargo, de acordo com o ONET/OES e o Sistema de Classificação Industrial da América do Norte. Consulte as Funções e a Ordem de Serviço para obter mais informações. Requisitos da vaga Experiência necessária: Sim Meses de experiência necessários: 1 Requisitos especiais: É necessário ter um mês completo de experiência como operador de máquina de neve. Número de horas por semana: 48 Horário de trabalho (início/término): 00:00 - 08:00</v>
      </c>
    </row>
    <row r="832" ht="20.25" customHeight="1">
      <c r="A832" s="3" t="s">
        <v>3892</v>
      </c>
      <c r="B832" s="3" t="s">
        <v>3891</v>
      </c>
      <c r="C832" s="3"/>
      <c r="D832" s="3" t="s">
        <v>3015</v>
      </c>
      <c r="E832" s="4" t="s">
        <v>44</v>
      </c>
      <c r="F832" s="4" t="s">
        <v>20</v>
      </c>
      <c r="G832" s="4" t="s">
        <v>1412</v>
      </c>
      <c r="H832" s="3" t="s">
        <v>3886</v>
      </c>
      <c r="I832" s="3" t="s">
        <v>3887</v>
      </c>
      <c r="J832" s="4">
        <v>26.16</v>
      </c>
      <c r="K832" s="4">
        <v>10.0</v>
      </c>
      <c r="L832" s="3" t="s">
        <v>3893</v>
      </c>
      <c r="M832" s="3" t="s">
        <v>3894</v>
      </c>
      <c r="N832" s="7" t="str">
        <f>IFERROR(__xludf.DUMMYFUNCTION("GOOGLETRANSLATE(L832, ""en"", ""pt"")"),"Técnico de Testes de Pavimentos Rodoviários no Inverno")</f>
        <v>Técnico de Testes de Pavimentos Rodoviários no Inverno</v>
      </c>
      <c r="O832" s="7" t="str">
        <f>IFERROR(__xludf.DUMMYFUNCTION("IF(M832="""","""",GOOGLETRANSLATE(M832,""en"",""pt""))"),"***Resposta à Solicitação de Informações*** Os veículos para neve (OSV) podem incluir um veículo utilitário Can-Am Defender Pro de 976 cc com esteiras (1043 kg, 82 HP) para transportar equipamentos para diferentes partes da pista de testes. Os equipamento"&amp;"s incluem mangueiras, bicos de água e bicos para produção de neve, para gerar neve adicional e pulverizar asfalto e superfícies de neve com água para criar gelo. Os OSV também incluem um veículo para neve Prinoth Husky (7 m, 231 HP, 4 cilindros, pesando 5"&amp;".624 kg) para empurrar a neve pela pista de testes e compactá-la na superfície da estrada, além de empilhar a neve para criar taludes na pista. ***Original*** Utilizar neve, gelo e temperaturas congelantes para produzir condições de neve invernal em uma p"&amp;"ista para testes de automóveis. Produzir neve e manipular neve natural com água para replicar diversas condições de direção com neve e gelo na pista de testes. Construir superfícies de gelo compactando e manipulando a neve. Operar veículos para neve para "&amp;"movimentar neve e equipamentos (não é necessária carteira de habilitação). Realizar manutenção de rotina em máquinas de neve e gelo. Classificação da Função: 53-7199.00 - Operadores de Movimentação de Materiais, Outros. A classificação e descrição da funç"&amp;"ão/setor inclui informações gerais sobre o cargo, conforme o ONET/OES e o Sistema de Classificação Industrial da América do Norte (NAICS). Consulte as Funções e a Ordem de Serviço para obter mais informações. Requisitos da Função Experiência Necessária: S"&amp;"im Meses de Experiência Necessários: 1 Requisitos Especiais: Necessário ter um mês completo de experiência como Técnico de Teste de Pavimentos de Inverno. Número de Horas por Semana: 48 Horário de Trabalho (Início/Término): 00:00 - 08:00")</f>
        <v>***Resposta à Solicitação de Informações*** Os veículos para neve (OSV) podem incluir um veículo utilitário Can-Am Defender Pro de 976 cc com esteiras (1043 kg, 82 HP) para transportar equipamentos para diferentes partes da pista de testes. Os equipamentos incluem mangueiras, bicos de água e bicos para produção de neve, para gerar neve adicional e pulverizar asfalto e superfícies de neve com água para criar gelo. Os OSV também incluem um veículo para neve Prinoth Husky (7 m, 231 HP, 4 cilindros, pesando 5.624 kg) para empurrar a neve pela pista de testes e compactá-la na superfície da estrada, além de empilhar a neve para criar taludes na pista. ***Original*** Utilizar neve, gelo e temperaturas congelantes para produzir condições de neve invernal em uma pista para testes de automóveis. Produzir neve e manipular neve natural com água para replicar diversas condições de direção com neve e gelo na pista de testes. Construir superfícies de gelo compactando e manipulando a neve. Operar veículos para neve para movimentar neve e equipamentos (não é necessária carteira de habilitação). Realizar manutenção de rotina em máquinas de neve e gelo. Classificação da Função: 53-7199.00 - Operadores de Movimentação de Materiais, Outros. A classificação e descrição da função/setor inclui informações gerais sobre o cargo, conforme o ONET/OES e o Sistema de Classificação Industrial da América do Norte (NAICS). Consulte as Funções e a Ordem de Serviço para obter mais informações. Requisitos da Função Experiência Necessária: Sim Meses de Experiência Necessários: 1 Requisitos Especiais: Necessário ter um mês completo de experiência como Técnico de Teste de Pavimentos de Inverno. Número de Horas por Semana: 48 Horário de Trabalho (Início/Término): 00:00 - 08:00</v>
      </c>
    </row>
    <row r="833" ht="20.25" customHeight="1">
      <c r="A833" s="8" t="s">
        <v>3895</v>
      </c>
      <c r="B833" s="8" t="s">
        <v>3891</v>
      </c>
      <c r="C833" s="8"/>
      <c r="D833" s="8" t="s">
        <v>1978</v>
      </c>
      <c r="E833" s="9" t="s">
        <v>19</v>
      </c>
      <c r="F833" s="9" t="s">
        <v>20</v>
      </c>
      <c r="G833" s="9" t="s">
        <v>155</v>
      </c>
      <c r="H833" s="8" t="s">
        <v>3886</v>
      </c>
      <c r="I833" s="8" t="s">
        <v>3887</v>
      </c>
      <c r="J833" s="9">
        <v>22.44</v>
      </c>
      <c r="K833" s="9">
        <v>8.0</v>
      </c>
      <c r="L833" s="8" t="s">
        <v>3888</v>
      </c>
      <c r="M833" s="8" t="s">
        <v>3889</v>
      </c>
      <c r="N833" s="7" t="str">
        <f>IFERROR(__xludf.DUMMYFUNCTION("GOOGLETRANSLATE(L833, ""en"", ""pt"")"),"Fabricante de neve experiente")</f>
        <v>Fabricante de neve experiente</v>
      </c>
      <c r="O833" s="7" t="str">
        <f>IFERROR(__xludf.DUMMYFUNCTION("IF(M833="""","""",GOOGLETRANSLATE(M833,""en"",""pt""))"),"***Resposta à Solicitação de Informações*** Veículos para neve (OSV) podem incluir uma moto de neve Ski-Doo Expedition de 900 cc (292 kg, 3 cilindros) usada para mover mangueiras e arrastar bicos de produção de neve para diferentes locais na pista de esqu"&amp;"i. Os OSV também podem incluir um veículo utilitário Can-Am Defender Pro de 976 cc com esteiras (1043 kg, 82 HP) para empurrar montes de neve produzida e redistribuí-la uniformemente pela pista de esqui. ***Original*** Ajustar a pressão do ar e da água pa"&amp;"ra produzir neve. Mover mangueiras e monitorar os bicos de produção de neve. Realizar limpeza e manutenção de rotina para manter os bicos em condições seguras de operação. Operar veículos para neve para mover equipamentos e neve (não é necessária carteira"&amp;" de habilitação). Classificação da função: 53-7199.00 - Trabalhadores de Movimentação de Materiais, Outros. A classificação e descrição da função/indústria inclui informações gerais sobre o cargo, de acordo com o ONET/OES e o Sistema de Classificação Indu"&amp;"strial da América do Norte. Consulte as Funções e a Ordem de Serviço para obter mais informações. Requisitos da vaga Experiência necessária: Sim Meses de experiência necessários: 1 Requisitos especiais: É necessário ter um mês completo de experiência como"&amp;" operador de máquina de neve. Número de horas por semana: 48 Horário de trabalho (início/término): 00:00 - 08:00")</f>
        <v>***Resposta à Solicitação de Informações*** Veículos para neve (OSV) podem incluir uma moto de neve Ski-Doo Expedition de 900 cc (292 kg, 3 cilindros) usada para mover mangueiras e arrastar bicos de produção de neve para diferentes locais na pista de esqui. Os OSV também podem incluir um veículo utilitário Can-Am Defender Pro de 976 cc com esteiras (1043 kg, 82 HP) para empurrar montes de neve produzida e redistribuí-la uniformemente pela pista de esqui. ***Original*** Ajustar a pressão do ar e da água para produzir neve. Mover mangueiras e monitorar os bicos de produção de neve. Realizar limpeza e manutenção de rotina para manter os bicos em condições seguras de operação. Operar veículos para neve para mover equipamentos e neve (não é necessária carteira de habilitação). Classificação da função: 53-7199.00 - Trabalhadores de Movimentação de Materiais, Outros. A classificação e descrição da função/indústria inclui informações gerais sobre o cargo, de acordo com o ONET/OES e o Sistema de Classificação Industrial da América do Norte. Consulte as Funções e a Ordem de Serviço para obter mais informações. Requisitos da vaga Experiência necessária: Sim Meses de experiência necessários: 1 Requisitos especiais: É necessário ter um mês completo de experiência como operador de máquina de neve. Número de horas por semana: 48 Horário de trabalho (início/término): 00:00 - 08:00</v>
      </c>
    </row>
    <row r="834" ht="20.25" customHeight="1">
      <c r="A834" s="3" t="s">
        <v>3896</v>
      </c>
      <c r="B834" s="3" t="s">
        <v>3891</v>
      </c>
      <c r="C834" s="3"/>
      <c r="D834" s="3" t="s">
        <v>36</v>
      </c>
      <c r="E834" s="4" t="s">
        <v>19</v>
      </c>
      <c r="F834" s="4" t="s">
        <v>20</v>
      </c>
      <c r="G834" s="4" t="s">
        <v>155</v>
      </c>
      <c r="H834" s="3" t="s">
        <v>3886</v>
      </c>
      <c r="I834" s="3" t="s">
        <v>3887</v>
      </c>
      <c r="J834" s="4">
        <v>23.26</v>
      </c>
      <c r="K834" s="4">
        <v>10.0</v>
      </c>
      <c r="L834" s="3" t="s">
        <v>3888</v>
      </c>
      <c r="M834" s="3" t="s">
        <v>3889</v>
      </c>
      <c r="N834" s="7" t="str">
        <f>IFERROR(__xludf.DUMMYFUNCTION("GOOGLETRANSLATE(L834, ""en"", ""pt"")"),"Fabricante de neve experiente")</f>
        <v>Fabricante de neve experiente</v>
      </c>
      <c r="O834" s="7" t="str">
        <f>IFERROR(__xludf.DUMMYFUNCTION("IF(M834="""","""",GOOGLETRANSLATE(M834,""en"",""pt""))"),"***Resposta à Solicitação de Informações*** Veículos para neve (OSV) podem incluir uma moto de neve Ski-Doo Expedition de 900 cc (292 kg, 3 cilindros) usada para mover mangueiras e arrastar bicos de produção de neve para diferentes locais na pista de esqu"&amp;"i. Os OSV também podem incluir um veículo utilitário Can-Am Defender Pro de 976 cc com esteiras (1043 kg, 82 HP) para empurrar montes de neve produzida e redistribuí-la uniformemente pela pista de esqui. ***Original*** Ajustar a pressão do ar e da água pa"&amp;"ra produzir neve. Mover mangueiras e monitorar os bicos de produção de neve. Realizar limpeza e manutenção de rotina para manter os bicos em condições seguras de operação. Operar veículos para neve para mover equipamentos e neve (não é necessária carteira"&amp;" de habilitação). Classificação da função: 53-7199.00 - Trabalhadores de Movimentação de Materiais, Outros. A classificação e descrição da função/indústria inclui informações gerais sobre o cargo, de acordo com o ONET/OES e o Sistema de Classificação Indu"&amp;"strial da América do Norte. Consulte as Funções e a Ordem de Serviço para obter mais informações. Requisitos da vaga Experiência necessária: Sim Meses de experiência necessários: 1 Requisitos especiais: É necessário ter um mês completo de experiência como"&amp;" operador de máquina de neve. Número de horas por semana: 48 Horário de trabalho (início/término): 00:00 - 08:00")</f>
        <v>***Resposta à Solicitação de Informações*** Veículos para neve (OSV) podem incluir uma moto de neve Ski-Doo Expedition de 900 cc (292 kg, 3 cilindros) usada para mover mangueiras e arrastar bicos de produção de neve para diferentes locais na pista de esqui. Os OSV também podem incluir um veículo utilitário Can-Am Defender Pro de 976 cc com esteiras (1043 kg, 82 HP) para empurrar montes de neve produzida e redistribuí-la uniformemente pela pista de esqui. ***Original*** Ajustar a pressão do ar e da água para produzir neve. Mover mangueiras e monitorar os bicos de produção de neve. Realizar limpeza e manutenção de rotina para manter os bicos em condições seguras de operação. Operar veículos para neve para mover equipamentos e neve (não é necessária carteira de habilitação). Classificação da função: 53-7199.00 - Trabalhadores de Movimentação de Materiais, Outros. A classificação e descrição da função/indústria inclui informações gerais sobre o cargo, de acordo com o ONET/OES e o Sistema de Classificação Industrial da América do Norte. Consulte as Funções e a Ordem de Serviço para obter mais informações. Requisitos da vaga Experiência necessária: Sim Meses de experiência necessários: 1 Requisitos especiais: É necessário ter um mês completo de experiência como operador de máquina de neve. Número de horas por semana: 48 Horário de trabalho (início/término): 00:00 - 08:00</v>
      </c>
    </row>
    <row r="835" ht="20.25" customHeight="1">
      <c r="A835" s="8" t="s">
        <v>3897</v>
      </c>
      <c r="B835" s="8" t="s">
        <v>3891</v>
      </c>
      <c r="C835" s="8"/>
      <c r="D835" s="8" t="s">
        <v>1103</v>
      </c>
      <c r="E835" s="9" t="s">
        <v>44</v>
      </c>
      <c r="F835" s="9" t="s">
        <v>20</v>
      </c>
      <c r="G835" s="9" t="s">
        <v>155</v>
      </c>
      <c r="H835" s="8" t="s">
        <v>3886</v>
      </c>
      <c r="I835" s="8" t="s">
        <v>3887</v>
      </c>
      <c r="J835" s="9">
        <v>22.38</v>
      </c>
      <c r="K835" s="9">
        <v>6.0</v>
      </c>
      <c r="L835" s="8" t="s">
        <v>3888</v>
      </c>
      <c r="M835" s="8" t="s">
        <v>3889</v>
      </c>
      <c r="N835" s="7" t="str">
        <f>IFERROR(__xludf.DUMMYFUNCTION("GOOGLETRANSLATE(L835, ""en"", ""pt"")"),"Fabricante de neve experiente")</f>
        <v>Fabricante de neve experiente</v>
      </c>
      <c r="O835" s="7" t="str">
        <f>IFERROR(__xludf.DUMMYFUNCTION("IF(M835="""","""",GOOGLETRANSLATE(M835,""en"",""pt""))"),"***Resposta à Solicitação de Informações*** Veículos para neve (OSV) podem incluir uma moto de neve Ski-Doo Expedition de 900 cc (292 kg, 3 cilindros) usada para mover mangueiras e arrastar bicos de produção de neve para diferentes locais na pista de esqu"&amp;"i. Os OSV também podem incluir um veículo utilitário Can-Am Defender Pro de 976 cc com esteiras (1043 kg, 82 HP) para empurrar montes de neve produzida e redistribuí-la uniformemente pela pista de esqui. ***Original*** Ajustar a pressão do ar e da água pa"&amp;"ra produzir neve. Mover mangueiras e monitorar os bicos de produção de neve. Realizar limpeza e manutenção de rotina para manter os bicos em condições seguras de operação. Operar veículos para neve para mover equipamentos e neve (não é necessária carteira"&amp;" de habilitação). Classificação da função: 53-7199.00 - Trabalhadores de Movimentação de Materiais, Outros. A classificação e descrição da função/indústria inclui informações gerais sobre o cargo, de acordo com o ONET/OES e o Sistema de Classificação Indu"&amp;"strial da América do Norte. Consulte as Funções e a Ordem de Serviço para obter mais informações. Requisitos da vaga Experiência necessária: Sim Meses de experiência necessários: 1 Requisitos especiais: É necessário ter um mês completo de experiência como"&amp;" operador de máquina de neve. Número de horas por semana: 48 Horário de trabalho (início/término): 00:00 - 08:00")</f>
        <v>***Resposta à Solicitação de Informações*** Veículos para neve (OSV) podem incluir uma moto de neve Ski-Doo Expedition de 900 cc (292 kg, 3 cilindros) usada para mover mangueiras e arrastar bicos de produção de neve para diferentes locais na pista de esqui. Os OSV também podem incluir um veículo utilitário Can-Am Defender Pro de 976 cc com esteiras (1043 kg, 82 HP) para empurrar montes de neve produzida e redistribuí-la uniformemente pela pista de esqui. ***Original*** Ajustar a pressão do ar e da água para produzir neve. Mover mangueiras e monitorar os bicos de produção de neve. Realizar limpeza e manutenção de rotina para manter os bicos em condições seguras de operação. Operar veículos para neve para mover equipamentos e neve (não é necessária carteira de habilitação). Classificação da função: 53-7199.00 - Trabalhadores de Movimentação de Materiais, Outros. A classificação e descrição da função/indústria inclui informações gerais sobre o cargo, de acordo com o ONET/OES e o Sistema de Classificação Industrial da América do Norte. Consulte as Funções e a Ordem de Serviço para obter mais informações. Requisitos da vaga Experiência necessária: Sim Meses de experiência necessários: 1 Requisitos especiais: É necessário ter um mês completo de experiência como operador de máquina de neve. Número de horas por semana: 48 Horário de trabalho (início/término): 00:00 - 08:00</v>
      </c>
    </row>
    <row r="836" ht="20.25" customHeight="1">
      <c r="A836" s="3" t="s">
        <v>3898</v>
      </c>
      <c r="B836" s="3" t="s">
        <v>3899</v>
      </c>
      <c r="C836" s="3" t="s">
        <v>3588</v>
      </c>
      <c r="D836" s="3" t="s">
        <v>596</v>
      </c>
      <c r="E836" s="4" t="s">
        <v>19</v>
      </c>
      <c r="F836" s="4" t="s">
        <v>20</v>
      </c>
      <c r="G836" s="4" t="s">
        <v>72</v>
      </c>
      <c r="H836" s="3" t="s">
        <v>3900</v>
      </c>
      <c r="I836" s="3" t="s">
        <v>3901</v>
      </c>
      <c r="J836" s="4">
        <v>20.47</v>
      </c>
      <c r="K836" s="4">
        <v>8.0</v>
      </c>
      <c r="L836" s="3" t="s">
        <v>3902</v>
      </c>
      <c r="M836" s="3" t="s">
        <v>3903</v>
      </c>
      <c r="N836" s="7" t="str">
        <f>IFERROR(__xludf.DUMMYFUNCTION("GOOGLETRANSLATE(L836, ""en"", ""pt"")"),"Auxiliar de serviços de alimentação")</f>
        <v>Auxiliar de serviços de alimentação</v>
      </c>
      <c r="O836" s="7" t="str">
        <f>IFERROR(__xludf.DUMMYFUNCTION("IF(M836="""","""",GOOGLETRANSLATE(M836,""en"",""pt""))"),"Os funcionários auxiliarão na montagem de eventos e no serviço de alimentação, incluindo arrumar mesas, organizar estações de buffet, servir refeições individuais, repor bebidas, servir aperitivos e limpar após os eventos. As tarefas incluem lavar pratos,"&amp;" panelas, frigideiras e talheres, e guardar os equipamentos após a limpeza. Os funcionários também auxiliarão no preparo de alimentos, como cortar legumes, descascar batatas, preparar saladas, grelhar proteínas, incluindo frango, bife e hambúrgueres, e co"&amp;"zinhar itens como tacos, cachorros-quentes e frango assado. O trabalho será realizado na cozinha comercial certificada localizada em 17 Walker Way, Albany, NY, e em diversos locais de eventos, incluindo salões de festas, escolas, clubes, empresas e tendas"&amp;" para eventos nos condados listados. Os funcionários ajudarão no transporte e movimentação de alimentos, suprimentos e equipamentos usando carrinhos, plataformas de carga e fermentadores sobre rodas. Classificação da Função: 35-2012.00 - Cozinheiros, Inst"&amp;"ituição e Refeitório. A classificação e descrição da função/setor inclui informações gerais sobre o cargo, de acordo com o ONET/OES e o Sistema de Classificação Industrial da América do Norte (NAICS). Consulte as Funções e a Ordem de Serviço para obter ma"&amp;"is informações. Requisitos da Função: Experiência Necessária: Não. Requisitos Especiais: Capacidade de levantar até 32 kg (70 libras). Número de Horas por Semana: 40. Horário de Trabalho (Início/Término): 10h30 - 16h00.")</f>
        <v>Os funcionários auxiliarão na montagem de eventos e no serviço de alimentação, incluindo arrumar mesas, organizar estações de buffet, servir refeições individuais, repor bebidas, servir aperitivos e limpar após os eventos. As tarefas incluem lavar pratos, panelas, frigideiras e talheres, e guardar os equipamentos após a limpeza. Os funcionários também auxiliarão no preparo de alimentos, como cortar legumes, descascar batatas, preparar saladas, grelhar proteínas, incluindo frango, bife e hambúrgueres, e cozinhar itens como tacos, cachorros-quentes e frango assado. O trabalho será realizado na cozinha comercial certificada localizada em 17 Walker Way, Albany, NY, e em diversos locais de eventos, incluindo salões de festas, escolas, clubes, empresas e tendas para eventos nos condados listados. Os funcionários ajudarão no transporte e movimentação de alimentos, suprimentos e equipamentos usando carrinhos, plataformas de carga e fermentadores sobre rodas. Classificação da Função: 35-2012.00 - Cozinheiros, Instituição e Refeitório. A classificação e descrição da função/setor inclui informações gerais sobre o cargo, de acordo com o ONET/OES e o Sistema de Classificação Industrial da América do Norte (NAICS). Consulte as Funções e a Ordem de Serviço para obter mais informações. Requisitos da Função: Experiência Necessária: Não. Requisitos Especiais: Capacidade de levantar até 32 kg (70 libras). Número de Horas por Semana: 40. Horário de Trabalho (Início/Término): 10h30 - 16h00.</v>
      </c>
    </row>
    <row r="837" ht="20.25" customHeight="1">
      <c r="A837" s="8" t="s">
        <v>3904</v>
      </c>
      <c r="B837" s="8" t="s">
        <v>3905</v>
      </c>
      <c r="C837" s="8" t="s">
        <v>2898</v>
      </c>
      <c r="D837" s="8" t="s">
        <v>596</v>
      </c>
      <c r="E837" s="9" t="s">
        <v>19</v>
      </c>
      <c r="F837" s="9" t="s">
        <v>20</v>
      </c>
      <c r="G837" s="9" t="s">
        <v>404</v>
      </c>
      <c r="H837" s="8" t="s">
        <v>3906</v>
      </c>
      <c r="I837" s="8" t="s">
        <v>3907</v>
      </c>
      <c r="J837" s="9">
        <v>27.25</v>
      </c>
      <c r="K837" s="9">
        <v>7.0</v>
      </c>
      <c r="L837" s="8" t="s">
        <v>3908</v>
      </c>
      <c r="M837" s="8" t="s">
        <v>3909</v>
      </c>
      <c r="N837" s="7" t="str">
        <f>IFERROR(__xludf.DUMMYFUNCTION("GOOGLETRANSLATE(L837, ""en"", ""pt"")"),"Trabalhador braçal de inverno na remoção de neve")</f>
        <v>Trabalhador braçal de inverno na remoção de neve</v>
      </c>
      <c r="O837" s="7" t="str">
        <f>IFERROR(__xludf.DUMMYFUNCTION("IF(M837="""","""",GOOGLETRANSLATE(M837,""en"",""pt""))"),"Os trabalhadores usarão pavimentadoras segmentadas. O uso de pás e sopradores de neve será utilizado para limpar as calçadas da neve acumulada. Eles também usarão espalhadores de sal para aplicar sal para derreter o gelo após a remoção da neve. Escavarão "&amp;"até 30 cm de profundidade para instalar a base de pedra para o pátio. Carregarão os pavimentos para instalá-los no pátio. Varrerão a areia para dentro das juntas do pátio. Usarão um carrinho de mão para espalhar terra vegetal ou pedras decorativas ao redo"&amp;"r do pátio para finalizar o trabalho. A reforma do porão consistirá apenas em ajudar o instalador treinado a carregar itens para dentro e para fora do local de trabalho. Poderá haver um total de apenas 10 a 40 horas dedicadas a essa atividade, caso não ha"&amp;"ja trabalho relacionado à neve. As tarefas incluem remover neve com pá; fazer rondas no local, recolhendo lixo quando não houver neve no chão. Reparar o estacionamento, preenchendo buracos que possam surgir durante os meses de inverno para evitar acidente"&amp;"s, utilizando um carrinho de mão e sacos de asfalto. Classificação da função: 47-2061.00 - Trabalhadores da Construção Civil. A classificação e descrição da função/indústria inclui informações gerais sobre o cargo, de acordo com o ONET/OES e o Sistema de "&amp;"Classificação Industrial da América do Norte (NAICS). Consulte a descrição das funções e a ordem de serviço para obter mais informações. Requisitos da vaga: Experiência necessária: Não. Número de horas por semana: 40. Horário de trabalho (início/término):"&amp;" 7h às 17h.")</f>
        <v>Os trabalhadores usarão pavimentadoras segmentadas. O uso de pás e sopradores de neve será utilizado para limpar as calçadas da neve acumulada. Eles também usarão espalhadores de sal para aplicar sal para derreter o gelo após a remoção da neve. Escavarão até 30 cm de profundidade para instalar a base de pedra para o pátio. Carregarão os pavimentos para instalá-los no pátio. Varrerão a areia para dentro das juntas do pátio. Usarão um carrinho de mão para espalhar terra vegetal ou pedras decorativas ao redor do pátio para finalizar o trabalho. A reforma do porão consistirá apenas em ajudar o instalador treinado a carregar itens para dentro e para fora do local de trabalho. Poderá haver um total de apenas 10 a 40 horas dedicadas a essa atividade, caso não haja trabalho relacionado à neve. As tarefas incluem remover neve com pá; fazer rondas no local, recolhendo lixo quando não houver neve no chão. Reparar o estacionamento, preenchendo buracos que possam surgir durante os meses de inverno para evitar acidentes, utilizando um carrinho de mão e sacos de asfalto. Classificação da função: 47-2061.00 - Trabalhadores da Construção Civil. A classificação e descrição da função/indústria inclui informações gerais sobre o cargo, de acordo com o ONET/OES e o Sistema de Classificação Industrial da América do Norte (NAICS). Consulte a descrição das funções e a ordem de serviço para obter mais informações. Requisitos da vaga: Experiência necessária: Não. Número de horas por semana: 40. Horário de trabalho (início/término): 7h às 17h.</v>
      </c>
    </row>
    <row r="838" ht="20.25" customHeight="1">
      <c r="A838" s="3" t="s">
        <v>3910</v>
      </c>
      <c r="B838" s="3" t="s">
        <v>3911</v>
      </c>
      <c r="C838" s="3" t="s">
        <v>531</v>
      </c>
      <c r="D838" s="3" t="s">
        <v>71</v>
      </c>
      <c r="E838" s="4" t="s">
        <v>19</v>
      </c>
      <c r="F838" s="4" t="s">
        <v>20</v>
      </c>
      <c r="G838" s="4" t="s">
        <v>198</v>
      </c>
      <c r="H838" s="3" t="s">
        <v>3912</v>
      </c>
      <c r="I838" s="3" t="s">
        <v>3913</v>
      </c>
      <c r="J838" s="4">
        <v>25.05</v>
      </c>
      <c r="K838" s="4">
        <v>37.0</v>
      </c>
      <c r="L838" s="3" t="s">
        <v>3914</v>
      </c>
      <c r="M838" s="3" t="s">
        <v>3915</v>
      </c>
      <c r="N838" s="7" t="str">
        <f>IFERROR(__xludf.DUMMYFUNCTION("GOOGLETRANSLATE(L838, ""en"", ""pt"")"),"Operador de Empilhadeira")</f>
        <v>Operador de Empilhadeira</v>
      </c>
      <c r="O838" s="7" t="str">
        <f>IFERROR(__xludf.DUMMYFUNCTION("IF(M838="""","""",GOOGLETRANSLATE(M838,""en"",""pt""))"),"Descarregar paletes de frutas frescas: melões de inverno importados, como melões cantaloupe, melões honeydew, mini melancias, melancias e yellowdew, dos contêineres recebidos e empilhá-los nos locais designados. Carregar paletes de frutas frescas: melões "&amp;"de inverno importados, como melões cantaloupe, melões honeydew, mini melancias, melancias e yellowdew, para caminhões ou contêineres com pedidos predeterminados e precisos. Localizar e mover o estoque de frutas frescas: melões de inverno importados, como "&amp;"melões cantaloupe, melões honeydew, mini melancias, melancias e yellowdew, para paletes ou caixas para armazenamento ou envio. Identificar danos e relatar faltas ou deficiências de qualidade. Armazenar e remover paletes de frutas frescas: melões de invern"&amp;"o importados, como melões cantaloupe, melões honeydew, mini melancias, melancias e yellowdew, de prateleiras de 3 metros de altura. Utilizar diversas técnicas de carregamento, como carregamento compacto ou cruzado. Ler e interpretar etiquetas de envio. Fi"&amp;"xar a carga dentro dos caminhões utilizando ferramentas e materiais apropriados (por exemplo, paletes, cintas, cordas). Inspecionar máquinas para determinar a necessidade de reparos e garantir a segurança realizando manutenção regular (por exemplo, recarr"&amp;"egando baterias e lubrificando equipamentos). Manter registros atualizados de estoque e relatórios de atividades. Cumprir as políticas da empresa e as diretrizes legais. Ajudar a manter um ambiente seguro e organizado nas instalações. Garantir um ambiente"&amp;" de trabalho seguro, eficiente e livre de acidentes. Disponibilidade para trabalhar em regime de horas extras, fins de semana e feriados. O treinamento será fornecido por 21 dias a partir da data inicial de contratação de cada trabalhador. O empregador fo"&amp;"rnecerá treinamento prático no uso e manutenção adequados de ferramentas, suprimentos ou equipamentos necessários para a execução do trabalho (por exemplo, máquina seletora). Garantias: O empregador fornecerá aos trabalhadores todas as ferramentas, suprim"&amp;"entos e equipamentos necessários para a execução do trabalho, sem custo para o funcionário. O empregador fornecerá transporte diário de ida e volta ao local de trabalho gratuitamente, caso o funcionário resida em alojamento fornecido com a assistência do "&amp;"empregador. 25. Comentários sobre o salário: Os trabalhadores receberão um salário mínimo de US$ 25,05 por hora. Uma taxa mais alta poderá ser aplicada com base na experiência, produtividade e/ou condições de mercado. Os trabalhadores receberão pagamento "&amp;"quinzenal por depósito direto ou cheque. As horas extras podem variar, dependendo do clima ou de outras condições. Salário por hora extra: US$ 37,58 por hora. O empregador utilizará uma semana de trabalho como padrão para calcular os salários devidos. Hor"&amp;"as extras são consideradas após 40 horas trabalhadas em uma semana de trabalho. 12. Datas do Contrato (início e término do contrato): 1º de outubro de 2026 a 15 de junho de 2027. Se, antes da data de expiração especificada na ordem de serviço, os serviços"&amp;" de um trabalhador não forem mais necessários por razões fora do controle do empregador devido a incêndio, condições climáticas, outros casos fortuitos ou eventos catastróficos similares e imprevisíveis causados ​​pelo homem, o empregador poderá rescindir"&amp;" a ordem de serviço com a aprovação por escrito do Oficial Certificador e fará esforços para transferir os trabalhadores para empregos comparáveis ​​ou, se a transferência não for efetivada, providenciará o transporte de retorno para o trabalhador, confor"&amp;"me especificado nos regulamentos. Outros Benefícios de Contratação: Sim. Licença médica remunerada (quando elegível), seguro médico (se elegível), plano 401k (se elegível e o funcionário optar por participar). É oferecido um auxílio-mudança, calculado com"&amp;" base no número de dias trabalhados multiplicado pelo salário (estabelecido pela gerência), que é oferecido aos trabalhadores ao completarem a temporada e retornarem ao seu país de origem ou, no caso de trabalhadores domésticos, ao seu local de residência"&amp;" principal. Classificação da vaga: 53-7051.00 - Operadores de Empilhadeiras e Tratores Industriais. A classificação e a descrição da vaga/setor incluem informações gerais sobre o cargo, de acordo com o ONET/OES e o Sistema de Classificação Industrial da A"&amp;"mérica do Norte. Consulte as atribuições e a ordem de serviço para obter mais informações. Requisitos da vaga: Experiência necessária: Sim. Meses de experiência necessários: 12. Requisitos especiais: 12 meses de experiência como operador de empilhadeira e"&amp;"m um armazém de frutas frescas, como melões, melões-cantalupo, mini melancias, melancias e paletes de melancia amarela. Deve possuir certificação atual para operar empilhadeira de acordo com as normas da OSHA ou equivalente estrangeiro. O candidato deve s"&amp;"er aprovado no teste de operador de empilhadeira e, posteriormente, realizar um exame toxicológico pré-admissional. É necessário ter 12 meses de experiência com empilhadeira nos últimos dois anos. Capacidade de levantar e/ou mover até 18 kg e executar tar"&amp;"efas que exigem boa coordenação motora e equilíbrio. Capacidade de avaliar e estimar pesos, distâncias e alturas. Conhecimento prático de equipamentos industriais e atenção aos detalhes. Capacidade de empilhar caixas de produtos a até 7,6 metros de altura"&amp;", de forma segura e organizada. Capacidade de utilizar leitor de código de barras. Capacidade de empilhar contêineres a granel com segurança utilizando empilhadeira. Capacidade de trabalhar em um ambiente de armazém refrigerado com ritmo acelerado e tempe"&amp;"ratura de 10°C. Exposição a equipamentos de alta velocidade e procedimentos de segurança. O candidato deve cumprir as políticas da empresa. O empregador poderá realizar exames toxicológicos aleatórios após a contratação, sem custo para o funcionário. Jorn"&amp;"ada de trabalho: 6 horas de segunda a sexta-feira (das 8h às 14h30) e 5 horas aos sábados (das 8h às 13h). Número de horas por semana: 35 Horário de trabalho (início/término): 8h00 - 14h30")</f>
        <v>Descarregar paletes de frutas frescas: melões de inverno importados, como melões cantaloupe, melões honeydew, mini melancias, melancias e yellowdew, dos contêineres recebidos e empilhá-los nos locais designados. Carregar paletes de frutas frescas: melões de inverno importados, como melões cantaloupe, melões honeydew, mini melancias, melancias e yellowdew, para caminhões ou contêineres com pedidos predeterminados e precisos. Localizar e mover o estoque de frutas frescas: melões de inverno importados, como melões cantaloupe, melões honeydew, mini melancias, melancias e yellowdew, para paletes ou caixas para armazenamento ou envio. Identificar danos e relatar faltas ou deficiências de qualidade. Armazenar e remover paletes de frutas frescas: melões de inverno importados, como melões cantaloupe, melões honeydew, mini melancias, melancias e yellowdew, de prateleiras de 3 metros de altura. Utilizar diversas técnicas de carregamento, como carregamento compacto ou cruzado. Ler e interpretar etiquetas de envio. Fixar a carga dentro dos caminhões utilizando ferramentas e materiais apropriados (por exemplo, paletes, cintas, cordas). Inspecionar máquinas para determinar a necessidade de reparos e garantir a segurança realizando manutenção regular (por exemplo, recarregando baterias e lubrificando equipamentos). Manter registros atualizados de estoque e relatórios de atividades. Cumprir as políticas da empresa e as diretrizes legais. Ajudar a manter um ambiente seguro e organizado nas instalações. Garantir um ambiente de trabalho seguro, eficiente e livre de acidentes. Disponibilidade para trabalhar em regime de horas extras, fins de semana e feriados. O treinamento será fornecido por 21 dias a partir da data inicial de contratação de cada trabalhador. O empregador fornecerá treinamento prático no uso e manutenção adequados de ferramentas, suprimentos ou equipamentos necessários para a execução do trabalho (por exemplo, máquina seletora). Garantias: O empregador fornecerá aos trabalhadores todas as ferramentas, suprimentos e equipamentos necessários para a execução do trabalho, sem custo para o funcionário. O empregador fornecerá transporte diário de ida e volta ao local de trabalho gratuitamente, caso o funcionário resida em alojamento fornecido com a assistência do empregador. 25. Comentários sobre o salário: Os trabalhadores receberão um salário mínimo de US$ 25,05 por hora. Uma taxa mais alta poderá ser aplicada com base na experiência, produtividade e/ou condições de mercado. Os trabalhadores receberão pagamento quinzenal por depósito direto ou cheque. As horas extras podem variar, dependendo do clima ou de outras condições. Salário por hora extra: US$ 37,58 por hora. O empregador utilizará uma semana de trabalho como padrão para calcular os salários devidos. Horas extras são consideradas após 40 horas trabalhadas em uma semana de trabalho. 12. Datas do Contrato (início e término do contrato): 1º de outubro de 2026 a 15 de junho de 2027. Se, antes da data de expiração especificada na ordem de serviço, os serviços de um trabalhador não forem mais necessários por razões fora do controle do empregador devido a incêndio, condições climáticas, outros casos fortuitos ou eventos catastróficos similares e imprevisíveis causados ​​pelo homem, o empregador poderá rescindir a ordem de serviço com a aprovação por escrito do Oficial Certificador e fará esforços para transferir os trabalhadores para empregos comparáveis ​​ou, se a transferência não for efetivada, providenciará o transporte de retorno para o trabalhador, conforme especificado nos regulamentos. Outros Benefícios de Contratação: Sim. Licença médica remunerada (quando elegível), seguro médico (se elegível), plano 401k (se elegível e o funcionário optar por participar). É oferecido um auxílio-mudança, calculado com base no número de dias trabalhados multiplicado pelo salário (estabelecido pela gerência), que é oferecido aos trabalhadores ao completarem a temporada e retornarem ao seu país de origem ou, no caso de trabalhadores domésticos, ao seu local de residência principal. Classificação da vaga: 53-7051.00 - Operadores de Empilhadeiras e Tratores Industriais. A classificação e a descrição da vaga/setor incluem informações gerais sobre o cargo, de acordo com o ONET/OES e o Sistema de Classificação Industrial da América do Norte. Consulte as atribuições e a ordem de serviço para obter mais informações. Requisitos da vaga: Experiência necessária: Sim. Meses de experiência necessários: 12. Requisitos especiais: 12 meses de experiência como operador de empilhadeira em um armazém de frutas frescas, como melões, melões-cantalupo, mini melancias, melancias e paletes de melancia amarela. Deve possuir certificação atual para operar empilhadeira de acordo com as normas da OSHA ou equivalente estrangeiro. O candidato deve ser aprovado no teste de operador de empilhadeira e, posteriormente, realizar um exame toxicológico pré-admissional. É necessário ter 12 meses de experiência com empilhadeira nos últimos dois anos. Capacidade de levantar e/ou mover até 18 kg e executar tarefas que exigem boa coordenação motora e equilíbrio. Capacidade de avaliar e estimar pesos, distâncias e alturas. Conhecimento prático de equipamentos industriais e atenção aos detalhes. Capacidade de empilhar caixas de produtos a até 7,6 metros de altura, de forma segura e organizada. Capacidade de utilizar leitor de código de barras. Capacidade de empilhar contêineres a granel com segurança utilizando empilhadeira. Capacidade de trabalhar em um ambiente de armazém refrigerado com ritmo acelerado e temperatura de 10°C. Exposição a equipamentos de alta velocidade e procedimentos de segurança. O candidato deve cumprir as políticas da empresa. O empregador poderá realizar exames toxicológicos aleatórios após a contratação, sem custo para o funcionário. Jornada de trabalho: 6 horas de segunda a sexta-feira (das 8h às 14h30) e 5 horas aos sábados (das 8h às 13h). Número de horas por semana: 35 Horário de trabalho (início/término): 8h00 - 14h30</v>
      </c>
    </row>
    <row r="839" ht="20.25" customHeight="1">
      <c r="A839" s="8" t="s">
        <v>3916</v>
      </c>
      <c r="B839" s="8" t="s">
        <v>3911</v>
      </c>
      <c r="C839" s="8" t="s">
        <v>531</v>
      </c>
      <c r="D839" s="8" t="s">
        <v>71</v>
      </c>
      <c r="E839" s="9" t="s">
        <v>44</v>
      </c>
      <c r="F839" s="9" t="s">
        <v>20</v>
      </c>
      <c r="G839" s="9" t="s">
        <v>198</v>
      </c>
      <c r="H839" s="8" t="s">
        <v>3912</v>
      </c>
      <c r="I839" s="8" t="s">
        <v>3913</v>
      </c>
      <c r="J839" s="9">
        <v>15.63</v>
      </c>
      <c r="K839" s="9">
        <v>70.0</v>
      </c>
      <c r="L839" s="8" t="s">
        <v>3917</v>
      </c>
      <c r="M839" s="8" t="s">
        <v>3918</v>
      </c>
      <c r="N839" s="7" t="str">
        <f>IFERROR(__xludf.DUMMYFUNCTION("GOOGLETRANSLATE(L839, ""en"", ""pt"")"),"Classificadora, selecionadora e embaladora agrícola (frutas)")</f>
        <v>Classificadora, selecionadora e embaladora agrícola (frutas)</v>
      </c>
      <c r="O839" s="7" t="str">
        <f>IFERROR(__xludf.DUMMYFUNCTION("IF(M839="""","""",GOOGLETRANSLATE(M839,""en"",""pt""))"),"Classificador, selecionador e embalador agrícola para realizar a classificação, seleção e embalagem de frutas em um ambiente de armazém. O classificador, selecionador e embalador agrícola é responsável pela seleção e embalagem de melões de inverno importa"&amp;"dos, como melões cantaloupe, melões honeydew, mini melancias, melancias e melões yellowdew. O classificador, selecionador e embalador agrícola deve examinar e inspecionar as frutas para garantir que as especificações de embalagem sejam atendidas. Os melõe"&amp;"s são selecionados e embalados em centros de embalagem em países com clima mais quente durante os meses de inverno, como Guatemala e Honduras. No entanto, devido ao tempo de transporte marítimo e ao processo natural de envelhecimento dos melões, o produto"&amp;" deve ser reinspecionado ao chegar ao armazém para atender aos padrões de qualidade e segurança alimentar. Os classificadores, selecionadores e embaladores agrícolas são treinados para identificar problemas de qualidade e segurança alimentar. Além disso, "&amp;"eles podem diferenciar entre vários graus de condição e qualidade. Além de inspecionar os melões, os Classificadores, Selecionadores e Embaladores Agrícolas também são responsáveis ​​por reembalar produtos que não atendem a padrões de qualidade específico"&amp;"s. Os Classificadores, Selecionadores e Embaladores Agrícolas são treinados para operar uma máquina selecionadora que auxilia na seleção dos melões. Após a cuidadosa seleção dos produtos, os Classificadores, Selecionadores e Embaladores Agrícolas reembala"&amp;"m os produtos de acordo com o tamanho, tipo e especificações do cliente. Responsabilidades e Deveres: Colocar os produtos em recipientes de acordo com a classificação e marcar as classificações nos recipientes. Pesar os produtos ou estimar seu peso, visua"&amp;"lmente ou pelo tato. Descartar produtos inferiores, defeituosos ou com corpos estranhos e colocar os produtos aceitáveis ​​em recipientes para processamento posterior. Classificar e selecionar os produtos de acordo com fatores como cor, espécie, comprimen"&amp;"to, largura, aparência, textura, cheiro e qualidade para garantir o processamento e uso corretos. Registrar a classificação ou os números de identificação em etiquetas ou em planilhas de envio, recebimento ou venda. Executar tarefas de produção, como leva"&amp;"ntamento manual, embalagem, etiquetagem e seleção manual. Reportar produtos defeituosos ou condições questionáveis ​​ao supervisor do departamento. Manter a área de trabalho e os equipamentos limpos e organizados, seguindo as normas de segurança alimentar"&amp;". Executar outras tarefas conforme solicitado pela supervisão. Poderá ser solicitado trabalho aos domingos. A jornada de trabalho é de 6 horas diárias, de segunda a sexta-feira, e 5 horas aos sábados, totalizando 35 horas semanais, com possibilidade de ho"&amp;"ras extras remuneradas. O salário mínimo é de US$ 15,63 por hora. Um valor superior poderá ser aplicado com base na experiência, produtividade e/ou condições de mercado. O pagamento será quinzenal, por depósito bancário ou cheque. A carga horária de horas"&amp;" extras poderá variar, dependendo das condições climáticas ou outros fatores. O valor da hora extra será de US$ 23,45. O empregador utilizará uma semana de trabalho como padrão para o cálculo dos salários devidos. O empregador fornecerá aos funcionários t"&amp;"odas as ferramentas, suprimentos e equipamentos necessários para a execução do trabalho, sem custo algum. O empregador também fornecerá transporte diário gratuito de ida e volta ao local de trabalho, caso o funcionário resida em alojamento fornecido com o"&amp;" auxílio do empregador. Período de contato: 1º de outubro de 2026 a 15 de junho de 2027. Se, antes da data de expiração especificada na ordem de serviço, os serviços de um trabalhador não forem mais necessários por motivos alheios ao controle do empregado"&amp;"r, como incêndio, intempéries, caso fortuito ou força maior, ou evento catastrófico similar e imprevisível causado pelo homem, o empregador poderá rescindir a ordem de serviço com a aprovação por escrito do Oficial Certificador e fará esforços para transf"&amp;"erir os trabalhadores para empregos similares ou, caso a transferência não seja efetivada, providenciará o transporte de retorno para o trabalhador, conforme especificado nos regulamentos. Classificação do cargo: 45-2041.00 - Classificadores e Selecionado"&amp;"res de Produtos Agrícolas. A classificação e a descrição do cargo/setor incluem informações gerais sobre a posição, de acordo com o ONET/OES e o Sistema de Classificação Industrial da América do Norte (NAICS). Consulte as Funções e a Ordem de Serviço para"&amp;" obter mais informações. Requisitos do cargo: Experiência necessária: Sim. Meses de experiência necessários: 3. Requisitos especiais: 3 meses de experiência como Classificador, Selecionador e Embalador de Melões. Requisitos para Seleção e Embalagem: Exper"&amp;"iência mínima de três meses no manuseio e inspeção de melões de inverno, como melões cantaloupe, melões honeydew e melancias; seleção, embalagem e reembalagem de melões de inverno cultivados e colhidos na América Central. Conhecimento e experiência na cla"&amp;"ssificação de melões de inverno de acordo com a qualidade e as especificações do cliente. Experiência com o processo ""Fruta Certa para o Cliente Certo"" (RFS, na sigla em inglês) implementado pelos armazéns e centros de embalagem de melões ou outros proc"&amp;"essos similares. Compreender e seguir instruções básicas verbais e escritas. Capacidade de trabalhar em equipe. Capacidade de usar uma balança. Comunicar informações de forma eficaz e responder a perguntas. Possuir habilidades matemáticas básicas. Realiza"&amp;"r inspeções visuais básicas de qualidade nos produtos. Manter o ritmo de produção dos outros membros da equipe. Padrões de higiene pessoal adequados. Vestimenta adequada, incluindo calçados com boa aderência. Exigências Físicas: Necessário permanecer em p"&amp;"é por longos períodos. Pode envolver movimentos repetitivos. Deve ser capaz de levantar 18 kg - Mais de 18 kg exigem levantamento em equipe. Pode também envolver flexões, agachamentos, empurrar e puxar peças e recipientes de peças com frequência. Requisit"&amp;"os de Segurança Alimentar: Conhecimento geral de práticas seguras de manipulação de alimentos. Conhecimento e compreensão dos padrões da indústria para embalagem e seleção de melões de inverno. Disponibilidade para trabalhar em regime de horas extras, fin"&amp;"s de semana e feriados. Obrigatório o cumprimento das políticas da empresa. O empregador poderá realizar testes toxicológicos aleatórios após a contratação, sem custo para o funcionário. Horário de Trabalho: 6 horas de segunda a sexta-feira (das 8h às 14h"&amp;"30) e 5 horas aos sábados (das 8h às 13h). O treinamento terá duração de 21 dias a partir da data de admissão de cada funcionário. O empregador fornecerá treinamento prático sobre o uso e a manutenção adequados das ferramentas, suprimentos ou equipamentos"&amp;" necessários para a execução do trabalho (ex.: máquina selecionadora). Outros Benefícios: Sim. Licença médica remunerada (quando aplicável), Plano de Saúde (se aplicável), Plano de Aposentadoria 401k (se aplicável e o funcionário optar por participar). É "&amp;"oferecido um auxílio-mudança, calculado com base no número de dias trabalhados multiplicado pelo salário (estabelecido pela Administração), que é concedido aos trabalhadores ao término da temporada completa e quando retornam ao seu país de origem ou, no c"&amp;"aso de trabalhadores domésticos, ao seu local de residência principal. Número de horas por semana: 35. Horário de trabalho (início/término): 8h00 - 14h30.")</f>
        <v>Classificador, selecionador e embalador agrícola para realizar a classificação, seleção e embalagem de frutas em um ambiente de armazém. O classificador, selecionador e embalador agrícola é responsável pela seleção e embalagem de melões de inverno importados, como melões cantaloupe, melões honeydew, mini melancias, melancias e melões yellowdew. O classificador, selecionador e embalador agrícola deve examinar e inspecionar as frutas para garantir que as especificações de embalagem sejam atendidas. Os melões são selecionados e embalados em centros de embalagem em países com clima mais quente durante os meses de inverno, como Guatemala e Honduras. No entanto, devido ao tempo de transporte marítimo e ao processo natural de envelhecimento dos melões, o produto deve ser reinspecionado ao chegar ao armazém para atender aos padrões de qualidade e segurança alimentar. Os classificadores, selecionadores e embaladores agrícolas são treinados para identificar problemas de qualidade e segurança alimentar. Além disso, eles podem diferenciar entre vários graus de condição e qualidade. Além de inspecionar os melões, os Classificadores, Selecionadores e Embaladores Agrícolas também são responsáveis ​​por reembalar produtos que não atendem a padrões de qualidade específicos. Os Classificadores, Selecionadores e Embaladores Agrícolas são treinados para operar uma máquina selecionadora que auxilia na seleção dos melões. Após a cuidadosa seleção dos produtos, os Classificadores, Selecionadores e Embaladores Agrícolas reembalam os produtos de acordo com o tamanho, tipo e especificações do cliente. Responsabilidades e Deveres: Colocar os produtos em recipientes de acordo com a classificação e marcar as classificações nos recipientes. Pesar os produtos ou estimar seu peso, visualmente ou pelo tato. Descartar produtos inferiores, defeituosos ou com corpos estranhos e colocar os produtos aceitáveis ​​em recipientes para processamento posterior. Classificar e selecionar os produtos de acordo com fatores como cor, espécie, comprimento, largura, aparência, textura, cheiro e qualidade para garantir o processamento e uso corretos. Registrar a classificação ou os números de identificação em etiquetas ou em planilhas de envio, recebimento ou venda. Executar tarefas de produção, como levantamento manual, embalagem, etiquetagem e seleção manual. Reportar produtos defeituosos ou condições questionáveis ​​ao supervisor do departamento. Manter a área de trabalho e os equipamentos limpos e organizados, seguindo as normas de segurança alimentar. Executar outras tarefas conforme solicitado pela supervisão. Poderá ser solicitado trabalho aos domingos. A jornada de trabalho é de 6 horas diárias, de segunda a sexta-feira, e 5 horas aos sábados, totalizando 35 horas semanais, com possibilidade de horas extras remuneradas. O salário mínimo é de US$ 15,63 por hora. Um valor superior poderá ser aplicado com base na experiência, produtividade e/ou condições de mercado. O pagamento será quinzenal, por depósito bancário ou cheque. A carga horária de horas extras poderá variar, dependendo das condições climáticas ou outros fatores. O valor da hora extra será de US$ 23,45. O empregador utilizará uma semana de trabalho como padrão para o cálculo dos salários devidos. O empregador fornecerá aos funcionários todas as ferramentas, suprimentos e equipamentos necessários para a execução do trabalho, sem custo algum. O empregador também fornecerá transporte diário gratuito de ida e volta ao local de trabalho, caso o funcionário resida em alojamento fornecido com o auxílio do empregador. Período de contato: 1º de outubro de 2026 a 15 de junho de 2027. Se, antes da data de expiração especificada na ordem de serviço, os serviços de um trabalhador não forem mais necessários por motivos alheios ao controle do empregador, como incêndio, intempéries, caso fortuito ou força maior, ou evento catastrófico similar e imprevisível causado pelo homem, o empregador poderá rescindir a ordem de serviço com a aprovação por escrito do Oficial Certificador e fará esforços para transferir os trabalhadores para empregos similares ou, caso a transferência não seja efetivada, providenciará o transporte de retorno para o trabalhador, conforme especificado nos regulamentos. Classificação do cargo: 45-2041.00 - Classificadores e Selecionadores de Produtos Agrícolas. A classificação e a descrição do cargo/setor incluem informações gerais sobre a posição, de acordo com o ONET/OES e o Sistema de Classificação Industrial da América do Norte (NAICS). Consulte as Funções e a Ordem de Serviço para obter mais informações. Requisitos do cargo: Experiência necessária: Sim. Meses de experiência necessários: 3. Requisitos especiais: 3 meses de experiência como Classificador, Selecionador e Embalador de Melões. Requisitos para Seleção e Embalagem: Experiência mínima de três meses no manuseio e inspeção de melões de inverno, como melões cantaloupe, melões honeydew e melancias; seleção, embalagem e reembalagem de melões de inverno cultivados e colhidos na América Central. Conhecimento e experiência na classificação de melões de inverno de acordo com a qualidade e as especificações do cliente. Experiência com o processo "Fruta Certa para o Cliente Certo" (RFS, na sigla em inglês) implementado pelos armazéns e centros de embalagem de melões ou outros processos similares. Compreender e seguir instruções básicas verbais e escritas. Capacidade de trabalhar em equipe. Capacidade de usar uma balança. Comunicar informações de forma eficaz e responder a perguntas. Possuir habilidades matemáticas básicas. Realizar inspeções visuais básicas de qualidade nos produtos. Manter o ritmo de produção dos outros membros da equipe. Padrões de higiene pessoal adequados. Vestimenta adequada, incluindo calçados com boa aderência. Exigências Físicas: Necessário permanecer em pé por longos períodos. Pode envolver movimentos repetitivos. Deve ser capaz de levantar 18 kg - Mais de 18 kg exigem levantamento em equipe. Pode também envolver flexões, agachamentos, empurrar e puxar peças e recipientes de peças com frequência. Requisitos de Segurança Alimentar: Conhecimento geral de práticas seguras de manipulação de alimentos. Conhecimento e compreensão dos padrões da indústria para embalagem e seleção de melões de inverno. Disponibilidade para trabalhar em regime de horas extras, fins de semana e feriados. Obrigatório o cumprimento das políticas da empresa. O empregador poderá realizar testes toxicológicos aleatórios após a contratação, sem custo para o funcionário. Horário de Trabalho: 6 horas de segunda a sexta-feira (das 8h às 14h30) e 5 horas aos sábados (das 8h às 13h). O treinamento terá duração de 21 dias a partir da data de admissão de cada funcionário. O empregador fornecerá treinamento prático sobre o uso e a manutenção adequados das ferramentas, suprimentos ou equipamentos necessários para a execução do trabalho (ex.: máquina selecionadora). Outros Benefícios: Sim. Licença médica remunerada (quando aplicável), Plano de Saúde (se aplicável), Plano de Aposentadoria 401k (se aplicável e o funcionário optar por participar). É oferecido um auxílio-mudança, calculado com base no número de dias trabalhados multiplicado pelo salário (estabelecido pela Administração), que é concedido aos trabalhadores ao término da temporada completa e quando retornam ao seu país de origem ou, no caso de trabalhadores domésticos, ao seu local de residência principal. Número de horas por semana: 35. Horário de trabalho (início/término): 8h00 - 14h30.</v>
      </c>
    </row>
    <row r="840" ht="20.25" customHeight="1">
      <c r="A840" s="3" t="s">
        <v>3919</v>
      </c>
      <c r="B840" s="3" t="s">
        <v>3911</v>
      </c>
      <c r="C840" s="3" t="s">
        <v>531</v>
      </c>
      <c r="D840" s="3" t="s">
        <v>109</v>
      </c>
      <c r="E840" s="4" t="s">
        <v>19</v>
      </c>
      <c r="F840" s="4" t="s">
        <v>20</v>
      </c>
      <c r="G840" s="4" t="s">
        <v>198</v>
      </c>
      <c r="H840" s="3" t="s">
        <v>3912</v>
      </c>
      <c r="I840" s="3" t="s">
        <v>3913</v>
      </c>
      <c r="J840" s="4">
        <v>19.48</v>
      </c>
      <c r="K840" s="4">
        <v>43.0</v>
      </c>
      <c r="L840" s="3" t="s">
        <v>3917</v>
      </c>
      <c r="M840" s="3" t="s">
        <v>3920</v>
      </c>
      <c r="N840" s="7" t="str">
        <f>IFERROR(__xludf.DUMMYFUNCTION("GOOGLETRANSLATE(L840, ""en"", ""pt"")"),"Classificadora, selecionadora e embaladora agrícola (frutas)")</f>
        <v>Classificadora, selecionadora e embaladora agrícola (frutas)</v>
      </c>
      <c r="O840" s="7" t="str">
        <f>IFERROR(__xludf.DUMMYFUNCTION("IF(M840="""","""",GOOGLETRANSLATE(M840,""en"",""pt""))"),"Classificador, selecionador e embalador agrícola para realizar a classificação, seleção e embalagem de frutas em um ambiente de armazém. O classificador, selecionador e embalador agrícola é responsável pela seleção e embalagem de melões de inverno importa"&amp;"dos, como melões cantaloupe, melões honeydew, mini melancias, melancias e melões yellowdew. O classificador, selecionador e embalador agrícola deve examinar e inspecionar as frutas para garantir que as especificações de embalagem sejam atendidas. Os melõe"&amp;"s são selecionados e embalados em centros de embalagem em países com clima mais quente durante os meses de inverno, como Guatemala e Honduras. No entanto, devido ao tempo de transporte marítimo e ao processo natural de envelhecimento dos melões, o produto"&amp;" deve ser reinspecionado ao chegar ao armazém para atender aos padrões de qualidade e segurança alimentar. Os classificadores, selecionadores e embaladores agrícolas são treinados para identificar problemas de qualidade e segurança alimentar. Além disso, "&amp;"eles podem diferenciar entre vários graus de condição e qualidade. Além de inspecionar os melões, os Classificadores, Selecionadores e Embaladores Agrícolas também são responsáveis ​​por reembalar produtos que não atendem a padrões de qualidade específico"&amp;"s. Os Classificadores, Selecionadores e Embaladores Agrícolas são treinados para operar uma máquina selecionadora que auxilia na seleção dos melões. Após a cuidadosa seleção dos produtos, os Classificadores, Selecionadores e Embaladores Agrícolas reembala"&amp;"m os produtos de acordo com o tamanho, tipo e especificações do cliente. Requisitos Mínimos e/ou Requisitos Alternativos para o Cargo. Responsabilidades e Deveres: Colocar os produtos em recipientes de acordo com a classificação e marcar as classificações"&amp;" nos recipientes. Pesar os produtos ou estimar seu peso, visualmente ou pelo tato. Descartar produtos inferiores, defeituosos ou com corpos estranhos e colocar os produtos aceitáveis ​​em recipientes para processamento posterior. Classificar e selecionar "&amp;"os produtos de acordo com fatores como cor, espécie, comprimento, largura, aparência, textura, cheiro e qualidade para garantir o processamento e uso corretos. Registrar a classificação ou os números de identificação em etiquetas ou em planilhas de envio,"&amp;" recebimento ou vendas. Executar tarefas de produção, como levantamento manual, embalagem, etiquetagem e classificação manual. Reportar produtos defeituosos ou condições questionáveis ​​ao supervisor do departamento. Manter a área de trabalho e os equipam"&amp;"entos limpos e organizados, seguindo as normas de segurança alimentar. Executar outras tarefas relacionadas, conforme solicitado pela supervisão. Total de horas semanais: 35. Trabalho aos domingos poderá ser solicitado. 6 horas por dia de segunda a sexta-"&amp;"feira e 5 horas aos sábados, totalizando 35 horas semanais em horário normal, com pagamento de horas extras semanalmente. Salário: Os funcionários receberão no mínimo US$ 19,48 por hora. Um valor superior poderá ser aplicado com base na experiência, produ"&amp;"tividade e/ou condições de mercado. O pagamento será quinzenal, por depósito direto ou cheque. As horas extras podem variar, dependendo do clima ou outras condições. Salário por hora extra: US$ 29,22 por hora. O empregador utilizará uma semana de trabalho"&amp;" como padrão para o cálculo dos salários devidos. Horas extras são consideradas após 40 horas trabalhadas em uma semana. Outros benefícios: Sim. Licença médica remunerada (quando aplicável), Plano de Saúde (se aplicável), Plano 401k (se aplicável e o func"&amp;"ionário optar por participar). É oferecido um auxílio-mudança, calculado com base no número de dias trabalhados multiplicado pelo salário (estabelecido pela Administração), que é oferecido aos trabalhadores ao completarem a temporada e retornarem ao seu p"&amp;"aís de origem ou, no caso de trabalhadores domésticos, ao seu local de residência principal. Período de contato: de 01/10/2026 a 15/06/2027. Se, antes da data de expiração especificada na ordem de serviço, os serviços de um trabalhador não forem mais nece"&amp;"ssários por motivos alheios ao controle do empregador, como incêndio, intempéries, caso fortuito ou força maior, ou evento catastrófico similar e imprevisível causado pelo homem, o empregador poderá rescindir a ordem de serviço com a aprovação por escrito"&amp;" do Oficial Certificador e fará esforços para transferir os trabalhadores para empregos similares ou, caso a transferência não seja efetivada, providenciará o transporte de retorno para o trabalhador, conforme especificado nos regulamentos. Classificação "&amp;"do cargo: 45-2041.00 - Classificadores e Selecionadores de Produtos Agrícolas. A classificação e descrição do cargo/setor inclui informações gerais sobre a posição, provenientes do ONET/OES e do Sistema de Classificação Industrial da América do Norte (NAI"&amp;"CS). Consulte a Descrição das Funções e a Ordem de Serviço para obter mais informações. Requisitos da Vaga Experiência Necessária: Sim Meses de Experiência Necessários: 3 Requisitos Especiais: Triagem e Embalagem Requisitos: Manuseio e inspeção de melões "&amp;"de inverno, como melões cantaloupe, melões honeydew e melancias; triagem, embalagem e reembalagem de melões de inverno cultivados e colhidos na América Central. Conhecimento e experiência na classificação de melões de inverno de acordo com a qualidade e a"&amp;"s especificações do cliente. Experiência com o processo ""Fruta Certa para o Cliente Certo"" (RFS, na sigla em inglês) implementado pelos armazéns e centros de embalagem de melões ou outros processos similares. Compreender e seguir instruções básicas verb"&amp;"ais e escritas. Capacidade de trabalhar em equipe. Capacidade de usar uma balança. Comunicar informações de forma eficaz e responder a perguntas. Possuir habilidades matemáticas básicas. Realizar inspeções visuais básicas de qualidade nos produtos. Manter"&amp;" o ritmo de produção dos outros membros da equipe. Padrões de higiene pessoal adequados. Vestuário adequado, incluindo calçados com boa aderência. Exigências Físicas: Necessário permanecer em pé por longos períodos. Pode envolver alguns movimentos repetit"&amp;"ivos. Deve ser capaz de levantar 18 kg (40 libras). Acima de 18 kg, será necessário o auxílio de outra pessoa. Poderá também envolver flexões, inclinações, agachamentos, empurrar e puxar peças e recipientes com frequência. Requisitos de Segurança Alimenta"&amp;"r: Conhecimento geral de práticas seguras de manipulação de alimentos. Conhecimento e compreensão dos padrões da indústria para embalagem e seleção de melões de inverno. Disponibilidade para trabalhar em regime de horas extras, fins de semana e feriados. "&amp;"Deve cumprir as políticas da empresa. O empregador poderá realizar testes de drogas aleatórios após a contratação, sem custo para o funcionário. Horário de Trabalho: 6 horas de segunda a sexta-feira (das 8h às 14h30) e 5 horas aos sábados (das 8h às 13h)."&amp;" Auxílio Moradia: O empregador auxiliará os funcionários na obtenção de alimentação, alojamento ou outras acomodações. Os funcionários são informados de que a moradia é estritamente voluntária/opcional e podem optar por providenciar sua própria moradia. A"&amp;" moradia obtida com o auxílio do empregador não é gratuita e será descontada do salário. O aluguel mensal estimado é de US$ 450,00 a US$ 800,00 por trabalhador, dividido em cada período de pagamento. O empregador fornecerá transporte diário de ida e volta"&amp;" ao local de trabalho gratuitamente, caso o trabalhador resida em uma acomodação providenciada com a assistência do empregador. Treinamento: O treinamento terá duração de 21 dias a partir da data de admissão de cada trabalhador. O empregador fornecerá tre"&amp;"inamento prático no uso e manutenção adequados das ferramentas, suprimentos ou equipamentos necessários para a execução do trabalho (ex.: máquina seletora). Número de horas por semana: 35. Horário de trabalho (início/término): 8h00 às 14h30.")</f>
        <v>Classificador, selecionador e embalador agrícola para realizar a classificação, seleção e embalagem de frutas em um ambiente de armazém. O classificador, selecionador e embalador agrícola é responsável pela seleção e embalagem de melões de inverno importados, como melões cantaloupe, melões honeydew, mini melancias, melancias e melões yellowdew. O classificador, selecionador e embalador agrícola deve examinar e inspecionar as frutas para garantir que as especificações de embalagem sejam atendidas. Os melões são selecionados e embalados em centros de embalagem em países com clima mais quente durante os meses de inverno, como Guatemala e Honduras. No entanto, devido ao tempo de transporte marítimo e ao processo natural de envelhecimento dos melões, o produto deve ser reinspecionado ao chegar ao armazém para atender aos padrões de qualidade e segurança alimentar. Os classificadores, selecionadores e embaladores agrícolas são treinados para identificar problemas de qualidade e segurança alimentar. Além disso, eles podem diferenciar entre vários graus de condição e qualidade. Além de inspecionar os melões, os Classificadores, Selecionadores e Embaladores Agrícolas também são responsáveis ​​por reembalar produtos que não atendem a padrões de qualidade específicos. Os Classificadores, Selecionadores e Embaladores Agrícolas são treinados para operar uma máquina selecionadora que auxilia na seleção dos melões. Após a cuidadosa seleção dos produtos, os Classificadores, Selecionadores e Embaladores Agrícolas reembalam os produtos de acordo com o tamanho, tipo e especificações do cliente. Requisitos Mínimos e/ou Requisitos Alternativos para o Cargo. Responsabilidades e Deveres: Colocar os produtos em recipientes de acordo com a classificação e marcar as classificações nos recipientes. Pesar os produtos ou estimar seu peso, visualmente ou pelo tato. Descartar produtos inferiores, defeituosos ou com corpos estranhos e colocar os produtos aceitáveis ​​em recipientes para processamento posterior. Classificar e selecionar os produtos de acordo com fatores como cor, espécie, comprimento, largura, aparência, textura, cheiro e qualidade para garantir o processamento e uso corretos. Registrar a classificação ou os números de identificação em etiquetas ou em planilhas de envio, recebimento ou vendas. Executar tarefas de produção, como levantamento manual, embalagem, etiquetagem e classificação manual. Reportar produtos defeituosos ou condições questionáveis ​​ao supervisor do departamento. Manter a área de trabalho e os equipamentos limpos e organizados, seguindo as normas de segurança alimentar. Executar outras tarefas relacionadas, conforme solicitado pela supervisão. Total de horas semanais: 35. Trabalho aos domingos poderá ser solicitado. 6 horas por dia de segunda a sexta-feira e 5 horas aos sábados, totalizando 35 horas semanais em horário normal, com pagamento de horas extras semanalmente. Salário: Os funcionários receberão no mínimo US$ 19,48 por hora. Um valor superior poderá ser aplicado com base na experiência, produtividade e/ou condições de mercado. O pagamento será quinzenal, por depósito direto ou cheque. As horas extras podem variar, dependendo do clima ou outras condições. Salário por hora extra: US$ 29,22 por hora. O empregador utilizará uma semana de trabalho como padrão para o cálculo dos salários devidos. Horas extras são consideradas após 40 horas trabalhadas em uma semana. Outros benefícios: Sim. Licença médica remunerada (quando aplicável), Plano de Saúde (se aplicável), Plano 401k (se aplicável e o funcionário optar por participar). É oferecido um auxílio-mudança, calculado com base no número de dias trabalhados multiplicado pelo salário (estabelecido pela Administração), que é oferecido aos trabalhadores ao completarem a temporada e retornarem ao seu país de origem ou, no caso de trabalhadores domésticos, ao seu local de residência principal. Período de contato: de 01/10/2026 a 15/06/2027. Se, antes da data de expiração especificada na ordem de serviço, os serviços de um trabalhador não forem mais necessários por motivos alheios ao controle do empregador, como incêndio, intempéries, caso fortuito ou força maior, ou evento catastrófico similar e imprevisível causado pelo homem, o empregador poderá rescindir a ordem de serviço com a aprovação por escrito do Oficial Certificador e fará esforços para transferir os trabalhadores para empregos similares ou, caso a transferência não seja efetivada, providenciará o transporte de retorno para o trabalhador, conforme especificado nos regulamentos. Classificação do cargo: 45-2041.00 - Classificadores e Selecionadores de Produtos Agrícolas. A classificação e descrição do cargo/setor inclui informações gerais sobre a posição, provenientes do ONET/OES e do Sistema de Classificação Industrial da América do Norte (NAICS). Consulte a Descrição das Funções e a Ordem de Serviço para obter mais informações. Requisitos da Vaga Experiência Necessária: Sim Meses de Experiência Necessários: 3 Requisitos Especiais: Triagem e Embalagem Requisitos: Manuseio e inspeção de melões de inverno, como melões cantaloupe, melões honeydew e melancias; triagem, embalagem e reembalagem de melões de inverno cultivados e colhidos na América Central. Conhecimento e experiência na classificação de melões de inverno de acordo com a qualidade e as especificações do cliente. Experiência com o processo "Fruta Certa para o Cliente Certo" (RFS, na sigla em inglês) implementado pelos armazéns e centros de embalagem de melões ou outros processos similares. Compreender e seguir instruções básicas verbais e escritas. Capacidade de trabalhar em equipe. Capacidade de usar uma balança. Comunicar informações de forma eficaz e responder a perguntas. Possuir habilidades matemáticas básicas. Realizar inspeções visuais básicas de qualidade nos produtos. Manter o ritmo de produção dos outros membros da equipe. Padrões de higiene pessoal adequados. Vestuário adequado, incluindo calçados com boa aderência. Exigências Físicas: Necessário permanecer em pé por longos períodos. Pode envolver alguns movimentos repetitivos. Deve ser capaz de levantar 18 kg (40 libras). Acima de 18 kg, será necessário o auxílio de outra pessoa. Poderá também envolver flexões, inclinações, agachamentos, empurrar e puxar peças e recipientes com frequência. Requisitos de Segurança Alimentar: Conhecimento geral de práticas seguras de manipulação de alimentos. Conhecimento e compreensão dos padrões da indústria para embalagem e seleção de melões de inverno. Disponibilidade para trabalhar em regime de horas extras, fins de semana e feriados. Deve cumprir as políticas da empresa. O empregador poderá realizar testes de drogas aleatórios após a contratação, sem custo para o funcionário. Horário de Trabalho: 6 horas de segunda a sexta-feira (das 8h às 14h30) e 5 horas aos sábados (das 8h às 13h). Auxílio Moradia: O empregador auxiliará os funcionários na obtenção de alimentação, alojamento ou outras acomodações. Os funcionários são informados de que a moradia é estritamente voluntária/opcional e podem optar por providenciar sua própria moradia. A moradia obtida com o auxílio do empregador não é gratuita e será descontada do salário. O aluguel mensal estimado é de US$ 450,00 a US$ 800,00 por trabalhador, dividido em cada período de pagamento. O empregador fornecerá transporte diário de ida e volta ao local de trabalho gratuitamente, caso o trabalhador resida em uma acomodação providenciada com a assistência do empregador. Treinamento: O treinamento terá duração de 21 dias a partir da data de admissão de cada trabalhador. O empregador fornecerá treinamento prático no uso e manutenção adequados das ferramentas, suprimentos ou equipamentos necessários para a execução do trabalho (ex.: máquina seletora). Número de horas por semana: 35. Horário de trabalho (início/término): 8h00 às 14h30.</v>
      </c>
    </row>
    <row r="841" ht="20.25" customHeight="1">
      <c r="A841" s="8" t="s">
        <v>3921</v>
      </c>
      <c r="B841" s="8" t="s">
        <v>3922</v>
      </c>
      <c r="C841" s="8" t="s">
        <v>531</v>
      </c>
      <c r="D841" s="8" t="s">
        <v>71</v>
      </c>
      <c r="E841" s="9" t="s">
        <v>44</v>
      </c>
      <c r="F841" s="9" t="s">
        <v>20</v>
      </c>
      <c r="G841" s="9" t="s">
        <v>377</v>
      </c>
      <c r="H841" s="8" t="s">
        <v>3923</v>
      </c>
      <c r="I841" s="8" t="s">
        <v>3924</v>
      </c>
      <c r="J841" s="9">
        <v>28.21</v>
      </c>
      <c r="K841" s="9">
        <v>1.0</v>
      </c>
      <c r="L841" s="8" t="s">
        <v>3925</v>
      </c>
      <c r="M841" s="8" t="s">
        <v>3926</v>
      </c>
      <c r="N841" s="7" t="str">
        <f>IFERROR(__xludf.DUMMYFUNCTION("GOOGLETRANSLATE(L841, ""en"", ""pt"")"),"Mecânico de Equipamentos Agrícolas")</f>
        <v>Mecânico de Equipamentos Agrícolas</v>
      </c>
      <c r="O841" s="7" t="str">
        <f>IFERROR(__xludf.DUMMYFUNCTION("IF(M841="""","""",GOOGLETRANSLATE(M841,""en"",""pt""))"),"Mecânicos de Equipamentos Agrícolas: Como parte essencial da cadeia alimentar, as funções dos mecânicos de equipamentos agrícolas são sazonais, visto que os trabalhadores são necessários apenas durante a época da colheita de citrinos para reparar equipame"&amp;"ntos agrícolas (veículos, máquinas de colheita, etc.). Ambiente de Trabalho: Principalmente em oficina; exposição a ruído, poeira, graxa, fumaça, vapores, odores nocivos, gases e todos os tipos de condições climáticas e de temperatura; exposição a condiçõ"&amp;"es de tráfego perigosas; trabalho e/ou caminhada em vários tipos de superfícies ou terrenos. Funções Essenciais e Deveres Básicos: Seguindo as instruções dos supervisores, os mecânicos diagnosticarão, repararão e revisarão motores, transmissões, component"&amp;"es, sistemas elétricos e de combustível, etc., de vários equipamentos motorizados e sobre rodas, como carros, caminhões, ônibus, equipamentos agrícolas e geradores. Os funcionários trabalharão em motores a diesel usados ​​em veículos agrícolas, como trato"&amp;"res. Ocasionalmente, realizarão reparos gerais em geradores agrícolas, incluindo o ajuste de calibrações com uma chave manual e a manutenção de linhas de combustível usando água e escovas de aço. (Ex.: gerador agrícola Norwall Wildcat Freedom, utilizado e"&amp;"m instalações agrícolas e áreas remotas) Os trabalhadores deverão manter registros adequados de manutenção e reparos. Ocasionalmente, poderão realizar reparos em equipamentos no campo. Total de horas e horário de trabalho: O empregador oferecerá no mínimo"&amp;" 48 horas de trabalho por semana, de segunda a sábado, das 7h às 15h30. Os trabalhadores deverão iniciar suas atividades em 1º de outubro de 2026 e permanecer até 30 de junho de 2027. Salário oferecido: US$ 28,21/hora. Os trabalhadores receberão no mínimo"&amp;" US$ 28,21 por hora. O pagamento será semanal, via depósito direto. Os mecânicos estão isentos de horas extras, pois reparam equipamentos projetados para circular em rodovias e vias públicas. Caso não estejam isentos de horas extras, receberão um adiciona"&amp;"l de horas extras quando exigido por lei federal, estadual ou municipal, incluindo hora e meia após 40 horas semanais de trabalho. As horas extras podem variar, dependendo do clima ou de outras condições. Para os trabalhadores não isentos de horas extras,"&amp;" estas serão pagas com um adicional de 50% sobre o salário normal, ou seja, US$ 42,32 por hora. Os trabalhadores podem ser isentos de horas extras e pagamento em dobro, conforme a Lei Federal de Transportes Rodoviários (Federal Motor Carriers Act). O empr"&amp;"egador utilizará uma semana de trabalho como padrão para o cálculo dos salários devidos. Alojamento: Hospedagem (opcional): O empregador auxiliará os trabalhadores na obtenção de alimentação, hospedagem ou outras acomodações. Os trabalhadores são informad"&amp;"os de que a hospedagem é estritamente voluntária/opcional e podem optar por providenciar sua própria moradia. A hospedagem obtida com a assistência do empregador não é gratuita e os funcionários devem pagar o aluguel diretamente ao proprietário. O aluguel"&amp;" mensal estimado é de aproximadamente US$ 157,75 por trabalhador. O empregador fornecerá transporte diário de ida e volta ao local de trabalho gratuitamente, caso o trabalhador esteja hospedado em uma acomodação obtida com a assistência do empregador. Fer"&amp;"ramentas: O empregador fornecerá aos trabalhadores todas as ferramentas, suprimentos e equipamentos necessários para a execução do trabalho, sem custo para o funcionário. Algumas das ferramentas necessárias para esta função incluem chaves, catracas, macac"&amp;"os para veículos e outras ferramentas manuais, elétricas e não elétricas. Classificação da Função: 49-3031.00 - Mecânicos de Ônibus e Caminhões e Especialistas em Motores a Diesel. A classificação e descrição da função/setor inclui informações gerais sobr"&amp;"e a posição, de acordo com o ONET/OES e o Sistema de Classificação Industrial da América do Norte (NAICS). Consulte as Funções e a Ordem de Serviço para obter mais informações. Requisitos da Função Experiência Necessária: Não. Requisitos Especiais: Deve p"&amp;"ossuir carteira de habilitação comercial válida ou equivalente, ser aprovado na verificação de antecedentes de habilitação e no teste obrigatório de drogas e álcool. Mecânicos de equipamentos agrícolas devem possuir e manter um histórico de condução adequ"&amp;"ado e estar segurados pela seguradora do empregador. As funções principais exigem capacidade física e mobilidade suficientes para trabalhar em um ambiente de oficina mecânica; caminhar e sentar-se por longos períodos; agachar-se, curvar-se, ajoelhar-se, r"&amp;"astejar, subir, alcançar e girar o corpo com frequência. Empurrar, puxar, levantar e/ou carregar peso de até 23 kg. Operar os equipamentos e veículos designados; comunicar-se verbalmente para trocar informações. Ter visão e audição dentro da faixa normal,"&amp;" com ou sem correção. Número de horas por semana: 48. Horário de trabalho (início/término): 7h às 15h30.")</f>
        <v>Mecânicos de Equipamentos Agrícolas: Como parte essencial da cadeia alimentar, as funções dos mecânicos de equipamentos agrícolas são sazonais, visto que os trabalhadores são necessários apenas durante a época da colheita de citrinos para reparar equipamentos agrícolas (veículos, máquinas de colheita, etc.). Ambiente de Trabalho: Principalmente em oficina; exposição a ruído, poeira, graxa, fumaça, vapores, odores nocivos, gases e todos os tipos de condições climáticas e de temperatura; exposição a condições de tráfego perigosas; trabalho e/ou caminhada em vários tipos de superfícies ou terrenos. Funções Essenciais e Deveres Básicos: Seguindo as instruções dos supervisores, os mecânicos diagnosticarão, repararão e revisarão motores, transmissões, componentes, sistemas elétricos e de combustível, etc., de vários equipamentos motorizados e sobre rodas, como carros, caminhões, ônibus, equipamentos agrícolas e geradores. Os funcionários trabalharão em motores a diesel usados ​​em veículos agrícolas, como tratores. Ocasionalmente, realizarão reparos gerais em geradores agrícolas, incluindo o ajuste de calibrações com uma chave manual e a manutenção de linhas de combustível usando água e escovas de aço. (Ex.: gerador agrícola Norwall Wildcat Freedom, utilizado em instalações agrícolas e áreas remotas) Os trabalhadores deverão manter registros adequados de manutenção e reparos. Ocasionalmente, poderão realizar reparos em equipamentos no campo. Total de horas e horário de trabalho: O empregador oferecerá no mínimo 48 horas de trabalho por semana, de segunda a sábado, das 7h às 15h30. Os trabalhadores deverão iniciar suas atividades em 1º de outubro de 2026 e permanecer até 30 de junho de 2027. Salário oferecido: US$ 28,21/hora. Os trabalhadores receberão no mínimo US$ 28,21 por hora. O pagamento será semanal, via depósito direto. Os mecânicos estão isentos de horas extras, pois reparam equipamentos projetados para circular em rodovias e vias públicas. Caso não estejam isentos de horas extras, receberão um adicional de horas extras quando exigido por lei federal, estadual ou municipal, incluindo hora e meia após 40 horas semanais de trabalho. As horas extras podem variar, dependendo do clima ou de outras condições. Para os trabalhadores não isentos de horas extras, estas serão pagas com um adicional de 50% sobre o salário normal, ou seja, US$ 42,32 por hora. Os trabalhadores podem ser isentos de horas extras e pagamento em dobro, conforme a Lei Federal de Transportes Rodoviários (Federal Motor Carriers Act). O empregador utilizará uma semana de trabalho como padrão para o cálculo dos salários devidos. Alojamento: Hospedagem (opcional): O empregador auxiliará os trabalhadores na obtenção de alimentação, hospedagem ou outras acomodações. Os trabalhadores são informados de que a hospedagem é estritamente voluntária/opcional e podem optar por providenciar sua própria moradia. A hospedagem obtida com a assistência do empregador não é gratuita e os funcionários devem pagar o aluguel diretamente ao proprietário. O aluguel mensal estimado é de aproximadamente US$ 157,75 por trabalhador. O empregador fornecerá transporte diário de ida e volta ao local de trabalho gratuitamente, caso o trabalhador esteja hospedado em uma acomodação obtida com a assistência do empregador. Ferramentas: O empregador fornecerá aos trabalhadores todas as ferramentas, suprimentos e equipamentos necessários para a execução do trabalho, sem custo para o funcionário. Algumas das ferramentas necessárias para esta função incluem chaves, catracas, macacos para veículos e outras ferramentas manuais, elétricas e não elétricas. Classificação da Função: 49-3031.00 - Mecânicos de Ônibus e Caminhões e Especialistas em Motores a Diesel. A classificação e descrição da função/setor inclui informações gerais sobre a posição, de acordo com o ONET/OES e o Sistema de Classificação Industrial da América do Norte (NAICS). Consulte as Funções e a Ordem de Serviço para obter mais informações. Requisitos da Função Experiência Necessária: Não. Requisitos Especiais: Deve possuir carteira de habilitação comercial válida ou equivalente, ser aprovado na verificação de antecedentes de habilitação e no teste obrigatório de drogas e álcool. Mecânicos de equipamentos agrícolas devem possuir e manter um histórico de condução adequado e estar segurados pela seguradora do empregador. As funções principais exigem capacidade física e mobilidade suficientes para trabalhar em um ambiente de oficina mecânica; caminhar e sentar-se por longos períodos; agachar-se, curvar-se, ajoelhar-se, rastejar, subir, alcançar e girar o corpo com frequência. Empurrar, puxar, levantar e/ou carregar peso de até 23 kg. Operar os equipamentos e veículos designados; comunicar-se verbalmente para trocar informações. Ter visão e audição dentro da faixa normal, com ou sem correção. Número de horas por semana: 48. Horário de trabalho (início/término): 7h às 15h30.</v>
      </c>
    </row>
    <row r="842" ht="20.25" customHeight="1">
      <c r="A842" s="3" t="s">
        <v>3927</v>
      </c>
      <c r="B842" s="3" t="s">
        <v>3928</v>
      </c>
      <c r="C842" s="3"/>
      <c r="D842" s="3" t="s">
        <v>102</v>
      </c>
      <c r="E842" s="4" t="s">
        <v>19</v>
      </c>
      <c r="F842" s="4" t="s">
        <v>20</v>
      </c>
      <c r="G842" s="4" t="s">
        <v>3929</v>
      </c>
      <c r="H842" s="3" t="s">
        <v>3930</v>
      </c>
      <c r="I842" s="3" t="s">
        <v>3931</v>
      </c>
      <c r="J842" s="4">
        <v>20.59</v>
      </c>
      <c r="K842" s="4">
        <v>6.0</v>
      </c>
      <c r="L842" s="3" t="s">
        <v>803</v>
      </c>
      <c r="M842" s="3" t="s">
        <v>3932</v>
      </c>
      <c r="N842" s="7" t="str">
        <f>IFERROR(__xludf.DUMMYFUNCTION("GOOGLETRANSLATE(L842, ""en"", ""pt"")"),"Trabalhadores Florestais e de Conservação")</f>
        <v>Trabalhadores Florestais e de Conservação</v>
      </c>
      <c r="O842" s="7" t="str">
        <f>IFERROR(__xludf.DUMMYFUNCTION("IF(M842="""","""",GOOGLETRANSLATE(M842,""en"",""pt""))"),"***Resposta à Solicitação de Informações*** O trabalhador colhe pinhas manualmente, torcendo ou cortando a pinha do galho com uma tesoura de poda manual e uma tesoura de poda de cabo longo. Em seguida, coloca as pinhas em um balde de 38 litros e posiciona"&amp;" o balde na base da árvore. Este é um trabalho florestal (Florestas e Conservação). O trabalho é realizado na floresta de pinheiros da empresa Weyerhaeuser Timber, localizada em 1830 County Rd., Camden, AL 35728. ***Atribuições Originais*** Este é um trab"&amp;"alho florestal. Colheita de pinhas na floresta de pinheiros em Camden, AL. O trabalho começa em 01/10/2026 e termina em 25/10/2026. Classificação do Cargo: 45-4011.00 - Trabalhadores Florestais e de Conservação. A classificação e descrição do cargo/setor "&amp;"incluem informações gerais sobre a posição, conforme o ONET/OES e o Sistema de Classificação Industrial da América do Norte. Consulte as Atribuições e a Ordem de Serviço para obter mais informações. Requisitos da vaga Experiência necessária: Sim Meses de "&amp;"experiência necessários: 1 Requisitos especiais: O(A) candidato(a) deve estar em excelente condição física Número de horas por semana: 40 Horário de trabalho (início/término): 8h às 16h")</f>
        <v>***Resposta à Solicitação de Informações*** O trabalhador colhe pinhas manualmente, torcendo ou cortando a pinha do galho com uma tesoura de poda manual e uma tesoura de poda de cabo longo. Em seguida, coloca as pinhas em um balde de 38 litros e posiciona o balde na base da árvore. Este é um trabalho florestal (Florestas e Conservação). O trabalho é realizado na floresta de pinheiros da empresa Weyerhaeuser Timber, localizada em 1830 County Rd., Camden, AL 35728. ***Atribuições Originais*** Este é um trabalho florestal. Colheita de pinhas na floresta de pinheiros em Camden, AL. O trabalho começa em 01/10/2026 e termina em 25/10/2026. Classificação do Cargo: 45-4011.00 - Trabalhadores Florestais e de Conservação. A classificação e descrição do cargo/setor incluem informações gerais sobre a posição, conforme o ONET/OES e o Sistema de Classificação Industrial da América do Norte. Consulte as Atribuições e a Ordem de Serviço para obter mais informações. Requisitos da vaga Experiência necessária: Sim Meses de experiência necessários: 1 Requisitos especiais: O(A) candidato(a) deve estar em excelente condição física Número de horas por semana: 40 Horário de trabalho (início/término): 8h às 16h</v>
      </c>
    </row>
    <row r="843" ht="20.25" customHeight="1">
      <c r="A843" s="8" t="s">
        <v>3933</v>
      </c>
      <c r="B843" s="8" t="s">
        <v>3928</v>
      </c>
      <c r="C843" s="8"/>
      <c r="D843" s="8" t="s">
        <v>28</v>
      </c>
      <c r="E843" s="9" t="s">
        <v>19</v>
      </c>
      <c r="F843" s="9" t="s">
        <v>20</v>
      </c>
      <c r="G843" s="9" t="s">
        <v>3929</v>
      </c>
      <c r="H843" s="8" t="s">
        <v>3930</v>
      </c>
      <c r="I843" s="8" t="s">
        <v>3931</v>
      </c>
      <c r="J843" s="9">
        <v>19.75</v>
      </c>
      <c r="K843" s="9">
        <v>7.0</v>
      </c>
      <c r="L843" s="8" t="s">
        <v>803</v>
      </c>
      <c r="M843" s="8" t="s">
        <v>3934</v>
      </c>
      <c r="N843" s="7" t="str">
        <f>IFERROR(__xludf.DUMMYFUNCTION("GOOGLETRANSLATE(L843, ""en"", ""pt"")"),"Trabalhadores Florestais e de Conservação")</f>
        <v>Trabalhadores Florestais e de Conservação</v>
      </c>
      <c r="O843" s="7" t="str">
        <f>IFERROR(__xludf.DUMMYFUNCTION("IF(M843="""","""",GOOGLETRANSLATE(M843,""en"",""pt""))"),"Trabalho Florestal. Coleta de pinhas na floresta de pinheiros em Dubberly, Louisiana, na Paróquia de Webster. Este trabalho começa em 01/10/2026 e termina em 25/10/2026. Classificação do Cargo: 45-4011.00 - Trabalhadores Florestais e de Conservação. A cla"&amp;"ssificação e descrição do cargo/setor incluem informações gerais sobre a posição, de acordo com o ONET/OES e o Sistema de Classificação Industrial da América do Norte. Consulte as Funções e a Ordem de Serviço para obter mais informações. Requisitos do Car"&amp;"go: Experiência Necessária: Sim. Meses de Experiência Necessários: 1. Requisitos Especiais: O trabalhador deve estar em excelente condição física. Número de Horas por Semana: 40. Horário de Trabalho (Início/Término): 8h às 16h.")</f>
        <v>Trabalho Florestal. Coleta de pinhas na floresta de pinheiros em Dubberly, Louisiana, na Paróquia de Webster. Este trabalho começa em 01/10/2026 e termina em 25/10/2026. Classificação do Cargo: 45-4011.00 - Trabalhadores Florestais e de Conservação. A classificação e descrição do cargo/setor incluem informações gerais sobre a posição, de acordo com o ONET/OES e o Sistema de Classificação Industrial da América do Norte. Consulte as Funções e a Ordem de Serviço para obter mais informações. Requisitos do Cargo: Experiência Necessária: Sim. Meses de Experiência Necessários: 1. Requisitos Especiais: O trabalhador deve estar em excelente condição física. Número de Horas por Semana: 40. Horário de Trabalho (Início/Término): 8h às 16h.</v>
      </c>
    </row>
    <row r="844" ht="20.25" customHeight="1">
      <c r="A844" s="3" t="s">
        <v>3935</v>
      </c>
      <c r="B844" s="3" t="s">
        <v>3936</v>
      </c>
      <c r="C844" s="3" t="s">
        <v>3937</v>
      </c>
      <c r="D844" s="3" t="s">
        <v>71</v>
      </c>
      <c r="E844" s="4" t="s">
        <v>19</v>
      </c>
      <c r="F844" s="4" t="s">
        <v>20</v>
      </c>
      <c r="G844" s="4" t="s">
        <v>512</v>
      </c>
      <c r="H844" s="3" t="s">
        <v>3938</v>
      </c>
      <c r="I844" s="3" t="s">
        <v>3939</v>
      </c>
      <c r="J844" s="4">
        <v>18.25</v>
      </c>
      <c r="K844" s="4">
        <v>28.0</v>
      </c>
      <c r="L844" s="3" t="s">
        <v>59</v>
      </c>
      <c r="M844" s="3" t="s">
        <v>3940</v>
      </c>
      <c r="N844" s="7" t="str">
        <f>IFERROR(__xludf.DUMMYFUNCTION("GOOGLETRANSLATE(L844, ""en"", ""pt"")"),"Trabalhador de paisagismo")</f>
        <v>Trabalhador de paisagismo</v>
      </c>
      <c r="O844" s="7" t="str">
        <f>IFERROR(__xludf.DUMMYFUNCTION("IF(M844="""","""",GOOGLETRANSLATE(M844,""en"",""pt""))"),"Cortar grama utilizando diversos equipamentos motorizados, como cortadores de grama, aparadores, sopradores e bordadeiras. Remover ervas daninhas e aplicar diversos produtos químicos para o controle de ervas daninhas. Podar arbustos e elementos ornamentai"&amp;"s da paisagem, com plantio de mudas leves. Cortar e remover galhos de árvores que representem riscos à segurança. Realizar a manutenção rotineira do terreno. Carregar e descarregar equipamentos e ferramentas motorizadas, como pás, ancinhos e vassouras, em"&amp;" veículos e reboques. Pode dirigir veículos para deslocamento até e a partir dos locais de trabalho. Aumentos salariais por mérito, a critério do empregador. Classificação do Cargo: 37-3011.00 - Trabalhadores de Paisagismo e Jardinagem. A classificação e "&amp;"descrição do cargo/setor incluem informações gerais sobre a posição, de acordo com o ONET/OES e o Sistema de Classificação Industrial da América do Norte. Consulte as Funções e a Ordem de Serviço para obter mais informações. Requisitos do Cargo Experiênci"&amp;"a Necessária: Não. Requisitos Especiais: Segunda a quinta-feira, com algumas sextas-feiras e sábados; horários de início e término variáveis, escala variável; horas extras variáveis. Teste de drogas: teste de drogas pré-admissional obrigatório; testes de "&amp;"drogas aleatórios durante o emprego. Teste de drogas durante o emprego por justa causa; teste de drogas após acidente. Necessário ser capaz de levantar 18 kg. Número de horas por semana: 40. Horário de trabalho (início/término): 7h às 17h.")</f>
        <v>Cortar grama utilizando diversos equipamentos motorizados, como cortadores de grama, aparadores, sopradores e bordadeiras. Remover ervas daninhas e aplicar diversos produtos químicos para o controle de ervas daninhas. Podar arbustos e elementos ornamentais da paisagem, com plantio de mudas leves. Cortar e remover galhos de árvores que representem riscos à segurança. Realizar a manutenção rotineira do terreno. Carregar e descarregar equipamentos e ferramentas motorizadas, como pás, ancinhos e vassouras, em veículos e reboques. Pode dirigir veículos para deslocamento até e a partir dos locais de trabalho. Aumentos salariais por mérito, a critério do empregador. Classificação do Cargo: 37-3011.00 - Trabalhadores de Paisagismo e Jardinagem. A classificação e descrição do cargo/setor incluem informações gerais sobre a posição, de acordo com o ONET/OES e o Sistema de Classificação Industrial da América do Norte. Consulte as Funções e a Ordem de Serviço para obter mais informações. Requisitos do Cargo Experiência Necessária: Não. Requisitos Especiais: Segunda a quinta-feira, com algumas sextas-feiras e sábados; horários de início e término variáveis, escala variável; horas extras variáveis. Teste de drogas: teste de drogas pré-admissional obrigatório; testes de drogas aleatórios durante o emprego. Teste de drogas durante o emprego por justa causa; teste de drogas após acidente. Necessário ser capaz de levantar 18 kg. Número de horas por semana: 40. Horário de trabalho (início/término): 7h às 17h.</v>
      </c>
    </row>
    <row r="845" ht="20.25" customHeight="1">
      <c r="A845" s="8" t="s">
        <v>3941</v>
      </c>
      <c r="B845" s="8" t="s">
        <v>3942</v>
      </c>
      <c r="C845" s="8" t="s">
        <v>3759</v>
      </c>
      <c r="D845" s="8" t="s">
        <v>299</v>
      </c>
      <c r="E845" s="9" t="s">
        <v>19</v>
      </c>
      <c r="F845" s="9" t="s">
        <v>20</v>
      </c>
      <c r="G845" s="9" t="s">
        <v>404</v>
      </c>
      <c r="H845" s="8" t="s">
        <v>3943</v>
      </c>
      <c r="I845" s="8" t="s">
        <v>3944</v>
      </c>
      <c r="J845" s="9">
        <v>22.32</v>
      </c>
      <c r="K845" s="9">
        <v>16.0</v>
      </c>
      <c r="L845" s="8" t="s">
        <v>3792</v>
      </c>
      <c r="M845" s="8" t="s">
        <v>3945</v>
      </c>
      <c r="N845" s="7" t="str">
        <f>IFERROR(__xludf.DUMMYFUNCTION("GOOGLETRANSLATE(L845, ""en"", ""pt"")"),"Técnico de Remoção de Neve")</f>
        <v>Técnico de Remoção de Neve</v>
      </c>
      <c r="O845" s="7" t="str">
        <f>IFERROR(__xludf.DUMMYFUNCTION("IF(M845="""","""",GOOGLETRANSLATE(M845,""en"",""pt""))"),"Remoção de neve e manutenção de terrenos, incluindo limpeza de lixo, preparação para o inverno e ativação de sistemas de irrigação. Possibilidade de limpeza de outono e primavera, incluindo rastelar, triturar e compostar folhas, remover material vegetal m"&amp;"orto, podar plantas perenes, cobrir canteiros com cobertura morta e podar plantas dormentes a partir do nível do solo. Remoção de gelo e detritos de calçadas, entradas de garagem e estacionamentos de diversas propriedades residenciais e comerciais, utiliz"&amp;"ando ferramentas manuais como vassouras de neve, pás e espalhando soluções de degelo, incluindo cloreto de cálcio ou sal grosso, manualmente. Pode também utilizar sopradores de neve elétricos ou a gasolina, conforme necessário. Não operará um arado de nev"&amp;"e. Classificação do Cargo: 37-3011.00 - Trabalhadores de Paisagismo e Manutenção de Terrenos. A classificação e descrição do cargo/setor inclui informações gerais sobre a posição, de acordo com o ONET/OES e o Sistema de Classificação Industrial da América"&amp;" do Norte. Consulte as Funções e a Ordem de Serviço para obter mais informações. Requisitos da Vaga Experiência Necessária: Não Requisitos Especiais: Deve ser capaz de levantar/carregar 23 kg, quando necessário. Trabalho aos sábados e domingos, quando nec"&amp;"essário. Deve ser capaz de realizar trabalho braçal e físico ao ar livre em todas as condições climáticas (calor, frio, chuva, neve, etc.). Os trabalhadores iniciarão cada dia no endereço do local de trabalho. Em seguida, serão transportados, gratuitament"&amp;"e, para propriedades localizadas em toda a área de atuação para desempenhar suas funções. Ao final de cada dia de trabalho, serão transportados de volta ao endereço do local de trabalho. Número de Horas por Semana: 35 Horário de Trabalho (Início/Término):"&amp;" 1h00 - 9h00")</f>
        <v>Remoção de neve e manutenção de terrenos, incluindo limpeza de lixo, preparação para o inverno e ativação de sistemas de irrigação. Possibilidade de limpeza de outono e primavera, incluindo rastelar, triturar e compostar folhas, remover material vegetal morto, podar plantas perenes, cobrir canteiros com cobertura morta e podar plantas dormentes a partir do nível do solo. Remoção de gelo e detritos de calçadas, entradas de garagem e estacionamentos de diversas propriedades residenciais e comerciais, utilizando ferramentas manuais como vassouras de neve, pás e espalhando soluções de degelo, incluindo cloreto de cálcio ou sal grosso, manualmente. Pode também utilizar sopradores de neve elétricos ou a gasolina, conforme necessário. Não operará um arado de neve. Classificação do Cargo: 37-3011.00 - Trabalhadores de Paisagismo e Manutenção de Terrenos. A classificação e descrição do cargo/setor inclui informações gerais sobre a posição, de acordo com o ONET/OES e o Sistema de Classificação Industrial da América do Norte. Consulte as Funções e a Ordem de Serviço para obter mais informações. Requisitos da Vaga Experiência Necessária: Não Requisitos Especiais: Deve ser capaz de levantar/carregar 23 kg, quando necessário. Trabalho aos sábados e domingos, quando necessário. Deve ser capaz de realizar trabalho braçal e físico ao ar livre em todas as condições climáticas (calor, frio, chuva, neve, etc.). Os trabalhadores iniciarão cada dia no endereço do local de trabalho. Em seguida, serão transportados, gratuitamente, para propriedades localizadas em toda a área de atuação para desempenhar suas funções. Ao final de cada dia de trabalho, serão transportados de volta ao endereço do local de trabalho. Número de Horas por Semana: 35 Horário de Trabalho (Início/Término): 1h00 - 9h00</v>
      </c>
    </row>
    <row r="846" ht="20.25" customHeight="1">
      <c r="A846" s="3" t="s">
        <v>3946</v>
      </c>
      <c r="B846" s="3" t="s">
        <v>3947</v>
      </c>
      <c r="C846" s="3"/>
      <c r="D846" s="3" t="s">
        <v>102</v>
      </c>
      <c r="E846" s="4" t="s">
        <v>19</v>
      </c>
      <c r="F846" s="4" t="s">
        <v>20</v>
      </c>
      <c r="G846" s="4" t="s">
        <v>80</v>
      </c>
      <c r="H846" s="3" t="s">
        <v>3948</v>
      </c>
      <c r="I846" s="3" t="s">
        <v>3949</v>
      </c>
      <c r="J846" s="4">
        <v>17.83</v>
      </c>
      <c r="K846" s="4">
        <v>155.0</v>
      </c>
      <c r="L846" s="3" t="s">
        <v>3864</v>
      </c>
      <c r="M846" s="3" t="s">
        <v>3950</v>
      </c>
      <c r="N846" s="7" t="str">
        <f>IFERROR(__xludf.DUMMYFUNCTION("GOOGLETRANSLATE(L846, ""en"", ""pt"")"),"Auxiliar de campo")</f>
        <v>Auxiliar de campo</v>
      </c>
      <c r="O846" s="7" t="str">
        <f>IFERROR(__xludf.DUMMYFUNCTION("IF(M846="""","""",GOOGLETRANSLATE(M846,""en"",""pt""))"),"***Resposta à Solicitação de Informações*** Quaisquer tarefas que envolvam poda de árvores ou outra vegetação serão realizadas somente ao nível do solo e não serão executadas acima do nível do solo ou com qualquer equipamento móvel ou de elevação. Nenhuma"&amp;" tarefa será realizada acima do nível do solo. ***Atribuições Originais*** Este é um trabalho temporário em tempo integral e uma posição de nível inicial. Não é necessária experiência. Treinamento no local de trabalho será fornecido. Uma semana de trabalh"&amp;"o de 7 dias é usada para o cálculo do salário. Os salários serão pagos semanalmente. O empregador fará todas as deduções do salário do trabalhador exigidas por lei. O trabalho é programado de segunda a sábado, 10 horas por dia, com folga aos domingos, a m"&amp;"enos que o clima impeça o trabalho. Cada candidato será submetido a um exame toxicológico pré-admissional e poderá ser submetido a um exame toxicológico/de álcool pós-admissional ou verificação de antecedentes criminais. Todos os equipamentos de trabalho,"&amp;" camisetas da empresa e todos os equipamentos de segurança serão fornecidos pelo empregador sem custo para o Auxiliar de Campo. As camisetas da empresa e todos os equipamentos de segurança deverão ser usados ​​pelo Auxiliar de Campo o tempo todo enquanto "&amp;"estiver trabalhando. Não são necessários escolaridade, habilidades, conhecimentos ou experiência prévia na área. O auxiliar de jardinagem utilizará cortadores de grama ou aparadores de grama motorizados; ou ferramentas manuais, como serras manuais, roçade"&amp;"iras ou machados, para podar árvores ou outras vegetações; ou aplicará herbicida em arbustos ou árvores utilizando pulverizadores manuais de mochila pré-carregados. O auxiliar de jardinagem caminhará cerca de 16 quilômetros por dia, dependendo das condiçõ"&amp;"es do terreno. Alguns terrenos serão acidentados, incluindo colinas rochosas, pântanos, etc. O auxiliar de jardinagem trabalhará sob supervisão direta e receberá instruções específicas sobre as tarefas, métodos e resultados esperados. Seu trabalho será mo"&amp;"nitorado e revisado de perto para garantir a precisão. Um aviso verbal será dado a qualquer auxiliar de jardinagem que não desempenhar suas funções conforme o exigido, e a demissão ocorrerá na segunda infração. Não há necessidade de viagens. Os locais de "&amp;"trabalho estão dentro de uma distância normal de deslocamento diário de nossas instalações. Classificação do Cargo: 37-3011.00 - Trabalhadores de Paisagismo e Manutenção de Áreas Verdes. A classificação e descrição do cargo/setor incluem informações gerai"&amp;"s sobre a posição, de acordo com o ONET/OES e o Sistema de Classificação Industrial da América do Norte. Consulte as Funções e a Ordem de Serviço para obter mais informações. Requisitos da vaga Experiência necessária: Não Requisitos especiais: Deve ser ca"&amp;"paz de caminhar cerca de 16 km por dia, dependendo das condições do terreno. Será submetido a um exame toxicológico pré-admissional. Poderá ser submetido a um exame toxicológico/de álcool pós-admissional ou verificação de antecedentes criminais. Todos os "&amp;"equipamentos de trabalho, camisetas da empresa e todos os equipamentos de segurança serão fornecidos pelo empregador sem custo para o auxiliar de campo. As camisetas da empresa e todos os equipamentos de segurança deverão ser usados ​​pelo auxiliar de cam"&amp;"po durante todo o período de trabalho. Número de horas por semana: 60 Horário de trabalho (início/término): 7h às 17h")</f>
        <v>***Resposta à Solicitação de Informações*** Quaisquer tarefas que envolvam poda de árvores ou outra vegetação serão realizadas somente ao nível do solo e não serão executadas acima do nível do solo ou com qualquer equipamento móvel ou de elevação. Nenhuma tarefa será realizada acima do nível do solo. ***Atribuições Originais*** Este é um trabalho temporário em tempo integral e uma posição de nível inicial. Não é necessária experiência. Treinamento no local de trabalho será fornecido. Uma semana de trabalho de 7 dias é usada para o cálculo do salário. Os salários serão pagos semanalmente. O empregador fará todas as deduções do salário do trabalhador exigidas por lei. O trabalho é programado de segunda a sábado, 10 horas por dia, com folga aos domingos, a menos que o clima impeça o trabalho. Cada candidato será submetido a um exame toxicológico pré-admissional e poderá ser submetido a um exame toxicológico/de álcool pós-admissional ou verificação de antecedentes criminais. Todos os equipamentos de trabalho, camisetas da empresa e todos os equipamentos de segurança serão fornecidos pelo empregador sem custo para o Auxiliar de Campo. As camisetas da empresa e todos os equipamentos de segurança deverão ser usados ​​pelo Auxiliar de Campo o tempo todo enquanto estiver trabalhando. Não são necessários escolaridade, habilidades, conhecimentos ou experiência prévia na área. O auxiliar de jardinagem utilizará cortadores de grama ou aparadores de grama motorizados; ou ferramentas manuais, como serras manuais, roçadeiras ou machados, para podar árvores ou outras vegetações; ou aplicará herbicida em arbustos ou árvores utilizando pulverizadores manuais de mochila pré-carregados. O auxiliar de jardinagem caminhará cerca de 16 quilômetros por dia, dependendo das condições do terreno. Alguns terrenos serão acidentados, incluindo colinas rochosas, pântanos, etc. O auxiliar de jardinagem trabalhará sob supervisão direta e receberá instruções específicas sobre as tarefas, métodos e resultados esperados. Seu trabalho será monitorado e revisado de perto para garantir a precisão. Um aviso verbal será dado a qualquer auxiliar de jardinagem que não desempenhar suas funções conforme o exigido, e a demissão ocorrerá na segunda infração. Não há necessidade de viagens. Os locais de trabalho estão dentro de uma distância normal de deslocamento diário de nossas instalações. Classificação do Cargo: 37-3011.00 - Trabalhadores de Paisagismo e Manutenção de Áreas Verdes. A classificação e descrição do cargo/setor incluem informações gerais sobre a posição, de acordo com o ONET/OES e o Sistema de Classificação Industrial da América do Norte. Consulte as Funções e a Ordem de Serviço para obter mais informações. Requisitos da vaga Experiência necessária: Não Requisitos especiais: Deve ser capaz de caminhar cerca de 16 km por dia, dependendo das condições do terreno. Será submetido a um exame toxicológico pré-admissional. Poderá ser submetido a um exame toxicológico/de álcool pós-admissional ou verificação de antecedentes criminais. Todos os equipamentos de trabalho, camisetas da empresa e todos os equipamentos de segurança serão fornecidos pelo empregador sem custo para o auxiliar de campo. As camisetas da empresa e todos os equipamentos de segurança deverão ser usados ​​pelo auxiliar de campo durante todo o período de trabalho. Número de horas por semana: 60 Horário de trabalho (início/término): 7h às 17h</v>
      </c>
    </row>
    <row r="847" ht="20.25" customHeight="1">
      <c r="A847" s="8" t="s">
        <v>3951</v>
      </c>
      <c r="B847" s="8" t="s">
        <v>3952</v>
      </c>
      <c r="C847" s="8" t="s">
        <v>3759</v>
      </c>
      <c r="D847" s="8" t="s">
        <v>109</v>
      </c>
      <c r="E847" s="9" t="s">
        <v>19</v>
      </c>
      <c r="F847" s="9" t="s">
        <v>20</v>
      </c>
      <c r="G847" s="9" t="s">
        <v>94</v>
      </c>
      <c r="H847" s="8" t="s">
        <v>3953</v>
      </c>
      <c r="I847" s="8" t="s">
        <v>3954</v>
      </c>
      <c r="J847" s="9">
        <v>24.38</v>
      </c>
      <c r="K847" s="9">
        <v>4.0</v>
      </c>
      <c r="L847" s="8" t="s">
        <v>3955</v>
      </c>
      <c r="M847" s="8" t="s">
        <v>3956</v>
      </c>
      <c r="N847" s="7" t="str">
        <f>IFERROR(__xludf.DUMMYFUNCTION("GOOGLETRANSLATE(L847, ""en"", ""pt"")"),"Técnico de Iluminação")</f>
        <v>Técnico de Iluminação</v>
      </c>
      <c r="O847" s="7" t="str">
        <f>IFERROR(__xludf.DUMMYFUNCTION("IF(M847="""","""",GOOGLETRANSLATE(M847,""en"",""pt""))"),"Organizar e transportar luzes de Natal, clipes de fixação de plástico, decorações, escadas, ferramentas e suprimentos da sede para os locais de trabalho. Instalar, ajustar, testar e substituir luzes e decorações de Natal em telhados, cercas, estruturas, á"&amp;"rvores e arbustos, conforme solicitação do cliente. Segurar, auxiliar ou fornecer luzes de Natal, clipes de fixação de plástico, decorações, escadas extensíveis e de mão, vara de instalação com gancho e suprimentos para outros instaladores. Instalar e aju"&amp;"star extensões elétricas e temporizadores automáticos. Desinstalar, remover, organizar e armazenar luzes e decorações de Natal após a temporada de festas. Limpar e manter o local de trabalho. Classificação da vaga: 49-9099.00 - Trabalhadores de Instalação"&amp;", Manutenção e Reparo, Outros. A classificação e descrição da vaga/setor inclui informações gerais sobre o cargo, de acordo com o ONET/OES e o Sistema de Classificação Industrial da América do Norte. Consulte as Funções e a Ordem de Serviço para obter mai"&amp;"s informações. Requisitos da vaga: Experiência necessária: Não. Requisitos especiais: Deve ser capaz de realizar trabalho físico ao ar livre em todas as condições climáticas, incluindo frio, neve, calor e chuva. Horas extras e trabalho nos fins de semana "&amp;"são necessários. Deve ser capaz de levantar até 34 kg. Número de horas por semana: 35. Horário de trabalho (início/término): 7h às 17h.")</f>
        <v>Organizar e transportar luzes de Natal, clipes de fixação de plástico, decorações, escadas, ferramentas e suprimentos da sede para os locais de trabalho. Instalar, ajustar, testar e substituir luzes e decorações de Natal em telhados, cercas, estruturas, árvores e arbustos, conforme solicitação do cliente. Segurar, auxiliar ou fornecer luzes de Natal, clipes de fixação de plástico, decorações, escadas extensíveis e de mão, vara de instalação com gancho e suprimentos para outros instaladores. Instalar e ajustar extensões elétricas e temporizadores automáticos. Desinstalar, remover, organizar e armazenar luzes e decorações de Natal após a temporada de festas. Limpar e manter o local de trabalho. Classificação da vaga: 49-9099.00 - Trabalhadores de Instalação, Manutenção e Reparo, Outros. A classificação e descrição da vaga/setor inclui informações gerais sobre o cargo, de acordo com o ONET/OES e o Sistema de Classificação Industrial da América do Norte. Consulte as Funções e a Ordem de Serviço para obter mais informações. Requisitos da vaga: Experiência necessária: Não. Requisitos especiais: Deve ser capaz de realizar trabalho físico ao ar livre em todas as condições climáticas, incluindo frio, neve, calor e chuva. Horas extras e trabalho nos fins de semana são necessários. Deve ser capaz de levantar até 34 kg. Número de horas por semana: 35. Horário de trabalho (início/término): 7h às 17h.</v>
      </c>
    </row>
    <row r="848" ht="20.25" customHeight="1">
      <c r="A848" s="3" t="s">
        <v>3957</v>
      </c>
      <c r="B848" s="3" t="s">
        <v>3958</v>
      </c>
      <c r="C848" s="3" t="s">
        <v>3759</v>
      </c>
      <c r="D848" s="3" t="s">
        <v>306</v>
      </c>
      <c r="E848" s="4" t="s">
        <v>19</v>
      </c>
      <c r="F848" s="4" t="s">
        <v>20</v>
      </c>
      <c r="G848" s="4" t="s">
        <v>404</v>
      </c>
      <c r="H848" s="3" t="s">
        <v>3959</v>
      </c>
      <c r="I848" s="3" t="s">
        <v>3960</v>
      </c>
      <c r="J848" s="4">
        <v>19.93</v>
      </c>
      <c r="K848" s="4">
        <v>25.0</v>
      </c>
      <c r="L848" s="3" t="s">
        <v>1490</v>
      </c>
      <c r="M848" s="3" t="s">
        <v>3961</v>
      </c>
      <c r="N848" s="7" t="str">
        <f>IFERROR(__xludf.DUMMYFUNCTION("GOOGLETRANSLATE(L848, ""en"", ""pt"")"),"Zelador")</f>
        <v>Zelador</v>
      </c>
      <c r="O848" s="7" t="str">
        <f>IFERROR(__xludf.DUMMYFUNCTION("IF(M848="""","""",GOOGLETRANSLATE(M848,""en"",""pt""))"),"Realizar serviços de remoção de neve em propriedades residenciais e comerciais, incluindo entradas de garagem, estacionamentos e calçadas, utilizando ferramentas manuais como pás e vassouras de neve, bem como equipamentos motorizados como sopradores de ne"&amp;"ve elétricos ou a gasolina. Aplicar materiais de degelo, como sal grosso ou cloreto de cálcio, para manter superfícies seguras para pedestres e motoristas. Auxiliar em tarefas gerais de manutenção de terrenos e instalações, incluindo coleta de lixo, limpe"&amp;"za de detritos como folhas e neve das entradas de edifícios e calçadas, e preparação de sistemas de irrigação para o inverno. Poderá realizar tarefas adicionais de jardinagem sazonal durante o outono e a primavera, como rastelar, colocar cobertura morta, "&amp;"compostar folhas, remover materiais vegetais mortos, podar plantas perenes, colocar cobertura morta em canteiros e realizar podas de inverno a partir do nível do solo. Poderá ser solicitado que dirija um veículo da equipe até os locais de trabalho, caso o"&amp;" trabalhador já possua uma carteira de habilitação válida (não comercial); no entanto, a carteira de habilitação não é uma condição para o emprego. Os trabalhadores não serão obrigados a operar um limpa-neve. Classificação da Função: 37-3011.00 - Trabalha"&amp;"dores de Paisagismo e Manutenção de Jardins. A classificação e descrição da função/setor inclui informações gerais sobre o cargo, de acordo com o ONET/OES e o Sistema de Classificação Industrial da América do Norte (NAICS). Consulte as Funções e a Ordem d"&amp;"e Serviço para obter mais informações. Requisitos da Função Experiência Necessária: Não. Requisitos Especiais: Deve ser capaz de levantar/carregar 23 kg quando necessário. Trabalho aos sábados e domingos, quando necessário. O horário de trabalho pode incl"&amp;"uir turnos noturnos e horas extras durante emergências e condições climáticas adversas. Deve ser capaz de realizar trabalho braçal e físico ao ar livre em todas as condições climáticas (calor, frio, chuva, neve, etc.). Os trabalhadores iniciarão cada dia "&amp;"no endereço do local de trabalho. Em seguida, serão transportados, gratuitamente, para propriedades localizadas em toda a área de atuação para realizar suas tarefas. Ao final de cada dia de trabalho, serão transportados de volta ao endereço do local de tr"&amp;"abalho. Número de Horas por Semana: 35. Horário de Trabalho (Início/Término): 8h00 - 16h30.")</f>
        <v>Realizar serviços de remoção de neve em propriedades residenciais e comerciais, incluindo entradas de garagem, estacionamentos e calçadas, utilizando ferramentas manuais como pás e vassouras de neve, bem como equipamentos motorizados como sopradores de neve elétricos ou a gasolina. Aplicar materiais de degelo, como sal grosso ou cloreto de cálcio, para manter superfícies seguras para pedestres e motoristas. Auxiliar em tarefas gerais de manutenção de terrenos e instalações, incluindo coleta de lixo, limpeza de detritos como folhas e neve das entradas de edifícios e calçadas, e preparação de sistemas de irrigação para o inverno. Poderá realizar tarefas adicionais de jardinagem sazonal durante o outono e a primavera, como rastelar, colocar cobertura morta, compostar folhas, remover materiais vegetais mortos, podar plantas perenes, colocar cobertura morta em canteiros e realizar podas de inverno a partir do nível do solo. Poderá ser solicitado que dirija um veículo da equipe até os locais de trabalho, caso o trabalhador já possua uma carteira de habilitação válida (não comercial); no entanto, a carteira de habilitação não é uma condição para o emprego. Os trabalhadores não serão obrigados a operar um limpa-neve. Classificação da Função: 37-3011.00 - Trabalhadores de Paisagismo e Manutenção de Jardins. A classificação e descrição da função/setor inclui informações gerais sobre o cargo, de acordo com o ONET/OES e o Sistema de Classificação Industrial da América do Norte (NAICS). Consulte as Funções e a Ordem de Serviço para obter mais informações. Requisitos da Função Experiência Necessária: Não. Requisitos Especiais: Deve ser capaz de levantar/carregar 23 kg quando necessário. Trabalho aos sábados e domingos, quando necessário. O horário de trabalho pode incluir turnos noturnos e horas extras durante emergências e condições climáticas adversas. Deve ser capaz de realizar trabalho braçal e físico ao ar livre em todas as condições climáticas (calor, frio, chuva, neve, etc.). Os trabalhadores iniciarão cada dia no endereço do local de trabalho. Em seguida, serão transportados, gratuitamente, para propriedades localizadas em toda a área de atuação para realizar suas tarefas. Ao final de cada dia de trabalho, serão transportados de volta ao endereço do local de trabalho. Número de Horas por Semana: 35. Horário de Trabalho (Início/Término): 8h00 - 16h30.</v>
      </c>
    </row>
    <row r="849" ht="20.25" customHeight="1">
      <c r="A849" s="8" t="s">
        <v>3962</v>
      </c>
      <c r="B849" s="8" t="s">
        <v>3963</v>
      </c>
      <c r="C849" s="8" t="s">
        <v>3759</v>
      </c>
      <c r="D849" s="8" t="s">
        <v>1103</v>
      </c>
      <c r="E849" s="9" t="s">
        <v>19</v>
      </c>
      <c r="F849" s="9" t="s">
        <v>20</v>
      </c>
      <c r="G849" s="9" t="s">
        <v>345</v>
      </c>
      <c r="H849" s="8" t="s">
        <v>3964</v>
      </c>
      <c r="I849" s="8" t="s">
        <v>3965</v>
      </c>
      <c r="J849" s="9">
        <v>19.34</v>
      </c>
      <c r="K849" s="9">
        <v>21.0</v>
      </c>
      <c r="L849" s="8" t="s">
        <v>3792</v>
      </c>
      <c r="M849" s="8" t="s">
        <v>3966</v>
      </c>
      <c r="N849" s="7" t="str">
        <f>IFERROR(__xludf.DUMMYFUNCTION("GOOGLETRANSLATE(L849, ""en"", ""pt"")"),"Técnico de Remoção de Neve")</f>
        <v>Técnico de Remoção de Neve</v>
      </c>
      <c r="O849" s="7" t="str">
        <f>IFERROR(__xludf.DUMMYFUNCTION("IF(M849="""","""",GOOGLETRANSLATE(M849,""en"",""pt""))"),"Remover neve, realizar manutenção de áreas externas, como limpeza de lixo e preparação de sistemas de irrigação para o inverno, e outras tarefas relacionadas à manutenção das instalações, como a limpeza de folhas, neve ou detritos usando ferramentas manua"&amp;"is ou equipamentos elétricos, incluindo, entre outros, ancinhos, pás e sopradores de neve/folhas. Possibilidade de limpeza de outono e primavera, incluindo rastelar, triturar e compostar folhas, remover material vegetal morto, podar plantas perenes, cobri"&amp;"r canteiros com cobertura morta e realizar podas de inverno a partir do nível do solo. Operar um soprador de neve em estacionamentos, entradas de garagem e calçadas. Descongelar e remover neve de calçadas, entradas de garagem e estacionamentos de diversas"&amp;" propriedades residenciais e comerciais, usando ferramentas manuais como vassouras de neve, pás e espalhando soluções de degelo, incluindo cloreto de cálcio ou sal grosso, manualmente. Não dirigirá limpa-neve. Poderá também usar sopradores de neve elétric"&amp;"os ou a gasolina, conforme necessário. Poderá dirigir o veículo da equipe. Não é necessário possuir carteira de habilitação para esta vaga. Se o candidato já possuir uma carteira de habilitação padrão, não comercial, poderá ser solicitado que dirija um ve"&amp;"ículo até os locais de trabalho, conforme necessário. Classificação da vaga: 37-3011.00 - Trabalhadores de Paisagismo e Manutenção de Áreas Verdes. A classificação e descrição da vaga/setor incluem informações gerais sobre o cargo, de acordo com o ONET/OE"&amp;"S e o Sistema de Classificação Industrial da América do Norte (NAICS). Consulte as Funções e a Ordem de Serviço para obter mais informações. Requisitos da vaga: Experiência exigida: Não. Requisitos especiais: Deve ser capaz de levantar/carregar 23 kg, qua"&amp;"ndo necessário. Trabalho aos sábados e domingos, quando necessário. O horário de trabalho pode incluir turnos noturnos e horas extras durante emergências e condições climáticas adversas. Deve ser capaz de realizar trabalho braçal e físico ao ar livre em t"&amp;"odas as condições climáticas (calor, frio, chuva, neve, etc.). Os trabalhadores iniciarão cada dia no endereço do local de trabalho. Em seguida, serão transportados, gratuitamente, para propriedades localizadas em toda a área de atuação, para desempenhar "&amp;"suas funções. Ao final de cada dia de trabalho, serão transportados de volta ao endereço do local de trabalho. Número de horas por semana: 35 Horário de trabalho (início/término): 8h00 - 16h30")</f>
        <v>Remover neve, realizar manutenção de áreas externas, como limpeza de lixo e preparação de sistemas de irrigação para o inverno, e outras tarefas relacionadas à manutenção das instalações, como a limpeza de folhas, neve ou detritos usando ferramentas manuais ou equipamentos elétricos, incluindo, entre outros, ancinhos, pás e sopradores de neve/folhas. Possibilidade de limpeza de outono e primavera, incluindo rastelar, triturar e compostar folhas, remover material vegetal morto, podar plantas perenes, cobrir canteiros com cobertura morta e realizar podas de inverno a partir do nível do solo. Operar um soprador de neve em estacionamentos, entradas de garagem e calçadas. Descongelar e remover neve de calçadas, entradas de garagem e estacionamentos de diversas propriedades residenciais e comerciais, usando ferramentas manuais como vassouras de neve, pás e espalhando soluções de degelo, incluindo cloreto de cálcio ou sal grosso, manualmente. Não dirigirá limpa-neve. Poderá também usar sopradores de neve elétricos ou a gasolina, conforme necessário. Poderá dirigir o veículo da equipe. Não é necessário possuir carteira de habilitação para esta vaga. Se o candidato já possuir uma carteira de habilitação padrão, não comercial, poderá ser solicitado que dirija um veículo até os locais de trabalho, conforme necessário. Classificação da vaga: 37-3011.00 - Trabalhadores de Paisagismo e Manutenção de Áreas Verdes. A classificação e descrição da vaga/setor incluem informações gerais sobre o cargo, de acordo com o ONET/OES e o Sistema de Classificação Industrial da América do Norte (NAICS). Consulte as Funções e a Ordem de Serviço para obter mais informações. Requisitos da vaga: Experiência exigida: Não. Requisitos especiais: Deve ser capaz de levantar/carregar 23 kg, quando necessário. Trabalho aos sábados e domingos, quando necessário. O horário de trabalho pode incluir turnos noturnos e horas extras durante emergências e condições climáticas adversas. Deve ser capaz de realizar trabalho braçal e físico ao ar livre em todas as condições climáticas (calor, frio, chuva, neve, etc.). Os trabalhadores iniciarão cada dia no endereço do local de trabalho. Em seguida, serão transportados, gratuitamente, para propriedades localizadas em toda a área de atuação, para desempenhar suas funções. Ao final de cada dia de trabalho, serão transportados de volta ao endereço do local de trabalho. Número de horas por semana: 35 Horário de trabalho (início/término): 8h00 - 16h30</v>
      </c>
    </row>
    <row r="850" ht="20.25" customHeight="1">
      <c r="A850" s="3" t="s">
        <v>3967</v>
      </c>
      <c r="B850" s="3" t="s">
        <v>3968</v>
      </c>
      <c r="C850" s="3"/>
      <c r="D850" s="3" t="s">
        <v>1051</v>
      </c>
      <c r="E850" s="4" t="s">
        <v>19</v>
      </c>
      <c r="F850" s="4" t="s">
        <v>20</v>
      </c>
      <c r="G850" s="4" t="s">
        <v>377</v>
      </c>
      <c r="H850" s="3" t="s">
        <v>3969</v>
      </c>
      <c r="I850" s="3" t="s">
        <v>3970</v>
      </c>
      <c r="J850" s="4">
        <v>19.83</v>
      </c>
      <c r="K850" s="4">
        <v>46.0</v>
      </c>
      <c r="L850" s="3" t="s">
        <v>1054</v>
      </c>
      <c r="M850" s="3" t="s">
        <v>3971</v>
      </c>
      <c r="N850" s="7" t="str">
        <f>IFERROR(__xludf.DUMMYFUNCTION("GOOGLETRANSLATE(L850, ""en"", ""pt"")"),"Trabalhador Florestal e de Conservação")</f>
        <v>Trabalhador Florestal e de Conservação</v>
      </c>
      <c r="O850" s="7" t="str">
        <f>IFERROR(__xludf.DUMMYFUNCTION("IF(M850="""","""",GOOGLETRANSLATE(M850,""en"",""pt""))"),"O plantio comercial de árvores será realizado em terrenos íngremes, com inclinação de 30% a 60%, utilizando uma pá de plantio. O funcionário deverá limpar o terreno, cavar um buraco, posicionar corretamente a muda, cobrir as raízes com terra e compactar o"&amp;" solo ao redor da muda recém-plantada. O funcionário deverá carregar um saco de plantio contendo as mudas, com peso total de aproximadamente 23 a 27 kg, dependendo do tamanho das mudas, subindo e descendo o terreno íngreme em áreas montanhosas remotas. O "&amp;"acesso a essas áreas remotas é feito por meio de estradas florestais abandonadas, sem nome ou numeração, que recebem manutenção. O desbaste pré-comercial será realizado em terrenos íngremes, com inclinação de 30% a 60%, utilizando uma motosserra para cort"&amp;"ar arbustos e árvores não comerciais. O trabalhador deverá carregar motosserra, óleo e combustível, totalizando 23 kg. Uma pequena quantidade de pulverização será realizada em locais de trabalho selecionados. O funcionário deve demonstrar capacidade de tr"&amp;"abalhar de forma segura e eficaz. Classificação da Função: 45-4011.00 - Trabalhadores Florestais e de Conservação. A classificação e descrição da função/setor inclui informações gerais sobre o cargo, de acordo com o ONET/OES e o Sistema de Classificação I"&amp;"ndustrial da América do Norte (NAICS). Consulte as Funções e a Ordem de Serviço para obter mais informações. Requisitos da Função Experiência Necessária: Sim Meses de Experiência Necessários: 3 Requisitos Especiais: Deve ser capaz de plantar o seguinte nú"&amp;"mero de árvores em um dia de 8 horas: Até o final da primeira semana - 800; Até o final da segunda semana - 900; até o final da terceira semana - 1000. Número de Horas por Semana: 40 Horário de Trabalho (Início/Término): 7h00 - 15h30")</f>
        <v>O plantio comercial de árvores será realizado em terrenos íngremes, com inclinação de 30% a 60%, utilizando uma pá de plantio. O funcionário deverá limpar o terreno, cavar um buraco, posicionar corretamente a muda, cobrir as raízes com terra e compactar o solo ao redor da muda recém-plantada. O funcionário deverá carregar um saco de plantio contendo as mudas, com peso total de aproximadamente 23 a 27 kg, dependendo do tamanho das mudas, subindo e descendo o terreno íngreme em áreas montanhosas remotas. O acesso a essas áreas remotas é feito por meio de estradas florestais abandonadas, sem nome ou numeração, que recebem manutenção. O desbaste pré-comercial será realizado em terrenos íngremes, com inclinação de 30% a 60%, utilizando uma motosserra para cortar arbustos e árvores não comerciais. O trabalhador deverá carregar motosserra, óleo e combustível, totalizando 23 kg. Uma pequena quantidade de pulverização será realizada em locais de trabalho selecionados. O funcionário deve demonstrar capacidade de trabalhar de forma segura e eficaz. Classificação da Função: 45-4011.00 - Trabalhadores Florestais e de Conservação. A classificação e descrição da função/setor inclui informações gerais sobre o cargo, de acordo com o ONET/OES e o Sistema de Classificação Industrial da América do Norte (NAICS). Consulte as Funções e a Ordem de Serviço para obter mais informações. Requisitos da Função Experiência Necessária: Sim Meses de Experiência Necessários: 3 Requisitos Especiais: Deve ser capaz de plantar o seguinte número de árvores em um dia de 8 horas: Até o final da primeira semana - 800; Até o final da segunda semana - 900; até o final da terceira semana - 1000. Número de Horas por Semana: 40 Horário de Trabalho (Início/Término): 7h00 - 15h30</v>
      </c>
    </row>
    <row r="851" ht="20.25" customHeight="1">
      <c r="A851" s="8" t="s">
        <v>3972</v>
      </c>
      <c r="B851" s="8" t="s">
        <v>3973</v>
      </c>
      <c r="C851" s="8" t="s">
        <v>3974</v>
      </c>
      <c r="D851" s="8" t="s">
        <v>28</v>
      </c>
      <c r="E851" s="9" t="s">
        <v>19</v>
      </c>
      <c r="F851" s="9" t="s">
        <v>20</v>
      </c>
      <c r="G851" s="9" t="s">
        <v>377</v>
      </c>
      <c r="H851" s="8" t="s">
        <v>3975</v>
      </c>
      <c r="I851" s="8" t="s">
        <v>3976</v>
      </c>
      <c r="J851" s="9">
        <v>14.2</v>
      </c>
      <c r="K851" s="9">
        <v>40.0</v>
      </c>
      <c r="L851" s="8" t="s">
        <v>3977</v>
      </c>
      <c r="M851" s="8" t="s">
        <v>3978</v>
      </c>
      <c r="N851" s="7" t="str">
        <f>IFERROR(__xludf.DUMMYFUNCTION("GOOGLETRANSLATE(L851, ""en"", ""pt"")"),"Processador de frutos do mar")</f>
        <v>Processador de frutos do mar</v>
      </c>
      <c r="O851" s="7" t="str">
        <f>IFERROR(__xludf.DUMMYFUNCTION("IF(M851="""","""",GOOGLETRANSLATE(M851,""en"",""pt""))"),"Abrir e retirar a carne dos frutos do mar. Separar e colocar em recipientes. Limpar as estações de trabalho. Classificação da função: 51-3022.00 - Cortadores e aparadores de carne, aves e peixes. A classificação e descrição da função/setor incluem informa"&amp;"ções gerais sobre o cargo, de acordo com o ONET/OES e o Sistema de Classificação Industrial da América do Norte (NAICS). Consulte as atribuições e a ordem de serviço para obter mais informações. Requisitos da vaga: Experiência necessária: Não. Número de h"&amp;"oras por semana: 40. Horário de trabalho (início/término): 5h às 16h.")</f>
        <v>Abrir e retirar a carne dos frutos do mar. Separar e colocar em recipientes. Limpar as estações de trabalho. Classificação da função: 51-3022.00 - Cortadores e aparadores de carne, aves e peixes. A classificação e descrição da função/setor incluem informações gerais sobre o cargo, de acordo com o ONET/OES e o Sistema de Classificação Industrial da América do Norte (NAICS). Consulte as atribuições e a ordem de serviço para obter mais informações. Requisitos da vaga: Experiência necessária: Não. Número de horas por semana: 40. Horário de trabalho (início/término): 5h às 16h.</v>
      </c>
    </row>
    <row r="852" ht="20.25" customHeight="1">
      <c r="A852" s="3" t="s">
        <v>3979</v>
      </c>
      <c r="B852" s="3" t="s">
        <v>3980</v>
      </c>
      <c r="C852" s="3" t="s">
        <v>3981</v>
      </c>
      <c r="D852" s="3" t="s">
        <v>992</v>
      </c>
      <c r="E852" s="4" t="s">
        <v>44</v>
      </c>
      <c r="F852" s="4" t="s">
        <v>20</v>
      </c>
      <c r="G852" s="4" t="s">
        <v>3982</v>
      </c>
      <c r="H852" s="3" t="s">
        <v>3983</v>
      </c>
      <c r="I852" s="3" t="s">
        <v>3984</v>
      </c>
      <c r="J852" s="4">
        <v>16.92</v>
      </c>
      <c r="K852" s="4">
        <v>1.0</v>
      </c>
      <c r="L852" s="3" t="s">
        <v>387</v>
      </c>
      <c r="M852" s="3" t="s">
        <v>3985</v>
      </c>
      <c r="N852" s="7" t="str">
        <f>IFERROR(__xludf.DUMMYFUNCTION("GOOGLETRANSLATE(L852, ""en"", ""pt"")"),"Ordem de serviço não disponível")</f>
        <v>Ordem de serviço não disponível</v>
      </c>
      <c r="O852" s="7" t="str">
        <f>IFERROR(__xludf.DUMMYFUNCTION("IF(M852="""","""",GOOGLETRANSLATE(M852,""en"",""pt""))"),"Cuidados e Desenvolvimento Infantil: Orientação Suave: Em nenhuma circunstância a criança poderá participar de qualquer atividade considerada perigosa pelos pais ou pela babá. As crianças não devem ser palmadas, agredidas ou tocadas com força por transgre"&amp;"ssões. Respeito à Rotina de Sonecas: A babá garantirá que as crianças sigam a rotina de sonecas estabelecida pelos pais. Refeições/Lanches Saudáveis: A babá providenciará três refeições completas por dia, dois lanches saudáveis ​​por dia e mamadeiras conf"&amp;"orme necessário. Tempo Diário ao Ar Livre: A babá passará pelo menos 90 minutos por dia ao ar livre com a criança, se o tempo permitir, no quintal da casa dos pais ou em parques aprovados pelos pais. Atualizações Diárias para os Pais: A babá fornecerá aos"&amp;" pais uma atualização diária por mensagem de texto, foto ou vídeo. Transporte com Consentimento Prévio dos Pais: As crianças não serão transportadas sem o consentimento e as instruções prévias dos pais, e nenhuma pessoa tem permissão para transportar as c"&amp;"rianças sem esse consentimento. As crianças não serão transportadas para a casa de outra pessoa sem o consentimento prévio dos pais. Veículo da Família e Cadeirinha: Todo o transporte será feito no veículo dos pais, com uma cadeirinha apropriada fornecida"&amp;" e aprovada pelos pais. Tarefas Domésticas: Lavar Mamadeiras/Pratos Usados ​​pela Criança: A babá é responsável pela limpeza diária de todas as mamadeiras, copos, pratos, etc., usados ​​pela criança e pela babá, incluindo colocar a louça suja na lava-louç"&amp;"as e iniciar o ciclo apropriado. Varrer/Aspirar e Limpar Bancadas: A babá irá aspirar e/ou varrer embaixo das mesas da cozinha e limpar as mesas e bancadas após as refeições, conforme necessário. Recolher Brinquedos/Roupas nas Áreas de Brincar: A babá irá"&amp;" recolher os brinquedos e roupas diariamente nas áreas de brincar da criança (incluindo os quartos da criança, sala de jogos, sala de estar e área externa) e trocar os brinquedos periodicamente. Outras Tarefas Domésticas: A babá será responsável por outra"&amp;"s tarefas domésticas, conforme razoavelmente solicitado pelos pais, incluindo arrumar a mala da criança para viagens e organizar o quarto da criança. Outras Responsabilidades: Seguir as Regras para Liberação da Criança: A babá não liberará as crianças par"&amp;"a nenhum parente, vizinho, amigo da família ou pai/mãe de amigo(a) sem a autorização expressa dos pais. Proibida a Entrada de Visitantes Sem Consentimento: A babá não permitirá ou hospedará nenhum visitante na residência sem o consentimento prévio dos pai"&amp;"s. Protocolo de Emergência: Em caso de emergência, a babá deverá ligar imediatamente para o 190 (ou 911, dependendo do país) e, em seguida, notificar os pais. Fornecer Suprimentos e Equipamentos: Os pais deverão fornecer suprimentos e equipamentos adequad"&amp;"os para a criança (por exemplo, proteção contra sol ou chuva/neve, como protetor solar e jaquetas), que serão custeados pelos pais. Classificação da Função: 39-9011.01 - Babás. A classificação e descrição da função/setor inclui informações gerais sobre o "&amp;"cargo, conforme o ONET/OES e o Sistema de Classificação Industrial da América do Norte. Consulte as Funções e a Ordem de Serviço para obter mais informações. Requisitos da vaga Experiência necessária: Não Requisitos especiais: RCP/Primeiros Socorros Númer"&amp;"o de horas por semana: 49 Horário de trabalho (início/término): 8h às 17h")</f>
        <v>Cuidados e Desenvolvimento Infantil: Orientação Suave: Em nenhuma circunstância a criança poderá participar de qualquer atividade considerada perigosa pelos pais ou pela babá. As crianças não devem ser palmadas, agredidas ou tocadas com força por transgressões. Respeito à Rotina de Sonecas: A babá garantirá que as crianças sigam a rotina de sonecas estabelecida pelos pais. Refeições/Lanches Saudáveis: A babá providenciará três refeições completas por dia, dois lanches saudáveis ​​por dia e mamadeiras conforme necessário. Tempo Diário ao Ar Livre: A babá passará pelo menos 90 minutos por dia ao ar livre com a criança, se o tempo permitir, no quintal da casa dos pais ou em parques aprovados pelos pais. Atualizações Diárias para os Pais: A babá fornecerá aos pais uma atualização diária por mensagem de texto, foto ou vídeo. Transporte com Consentimento Prévio dos Pais: As crianças não serão transportadas sem o consentimento e as instruções prévias dos pais, e nenhuma pessoa tem permissão para transportar as crianças sem esse consentimento. As crianças não serão transportadas para a casa de outra pessoa sem o consentimento prévio dos pais. Veículo da Família e Cadeirinha: Todo o transporte será feito no veículo dos pais, com uma cadeirinha apropriada fornecida e aprovada pelos pais. Tarefas Domésticas: Lavar Mamadeiras/Pratos Usados ​​pela Criança: A babá é responsável pela limpeza diária de todas as mamadeiras, copos, pratos, etc., usados ​​pela criança e pela babá, incluindo colocar a louça suja na lava-louças e iniciar o ciclo apropriado. Varrer/Aspirar e Limpar Bancadas: A babá irá aspirar e/ou varrer embaixo das mesas da cozinha e limpar as mesas e bancadas após as refeições, conforme necessário. Recolher Brinquedos/Roupas nas Áreas de Brincar: A babá irá recolher os brinquedos e roupas diariamente nas áreas de brincar da criança (incluindo os quartos da criança, sala de jogos, sala de estar e área externa) e trocar os brinquedos periodicamente. Outras Tarefas Domésticas: A babá será responsável por outras tarefas domésticas, conforme razoavelmente solicitado pelos pais, incluindo arrumar a mala da criança para viagens e organizar o quarto da criança. Outras Responsabilidades: Seguir as Regras para Liberação da Criança: A babá não liberará as crianças para nenhum parente, vizinho, amigo da família ou pai/mãe de amigo(a) sem a autorização expressa dos pais. Proibida a Entrada de Visitantes Sem Consentimento: A babá não permitirá ou hospedará nenhum visitante na residência sem o consentimento prévio dos pais. Protocolo de Emergência: Em caso de emergência, a babá deverá ligar imediatamente para o 190 (ou 911, dependendo do país) e, em seguida, notificar os pais. Fornecer Suprimentos e Equipamentos: Os pais deverão fornecer suprimentos e equipamentos adequados para a criança (por exemplo, proteção contra sol ou chuva/neve, como protetor solar e jaquetas), que serão custeados pelos pais. Classificação da Função: 39-9011.01 - Babás. A classificação e descrição da função/setor inclui informações gerais sobre o cargo, conforme o ONET/OES e o Sistema de Classificação Industrial da América do Norte. Consulte as Funções e a Ordem de Serviço para obter mais informações. Requisitos da vaga Experiência necessária: Não Requisitos especiais: RCP/Primeiros Socorros Número de horas por semana: 49 Horário de trabalho (início/término): 8h às 17h</v>
      </c>
    </row>
    <row r="853" ht="20.25" customHeight="1">
      <c r="A853" s="8" t="s">
        <v>3986</v>
      </c>
      <c r="B853" s="8" t="s">
        <v>3987</v>
      </c>
      <c r="C853" s="8" t="s">
        <v>3988</v>
      </c>
      <c r="D853" s="8" t="s">
        <v>186</v>
      </c>
      <c r="E853" s="9" t="s">
        <v>19</v>
      </c>
      <c r="F853" s="9" t="s">
        <v>20</v>
      </c>
      <c r="G853" s="9" t="s">
        <v>307</v>
      </c>
      <c r="H853" s="8" t="s">
        <v>3989</v>
      </c>
      <c r="I853" s="8" t="s">
        <v>3990</v>
      </c>
      <c r="J853" s="9">
        <v>17.88</v>
      </c>
      <c r="K853" s="9">
        <v>8.0</v>
      </c>
      <c r="L853" s="8" t="s">
        <v>3991</v>
      </c>
      <c r="M853" s="8" t="s">
        <v>3992</v>
      </c>
      <c r="N853" s="7" t="str">
        <f>IFERROR(__xludf.DUMMYFUNCTION("GOOGLETRANSLATE(L853, ""en"", ""pt"")"),"Trabalho de paisagismo")</f>
        <v>Trabalho de paisagismo</v>
      </c>
      <c r="O853" s="7" t="str">
        <f>IFERROR(__xludf.DUMMYFUNCTION("IF(M853="""","""",GOOGLETRANSLATE(M853,""en"",""pt""))"),"Manter áreas ajardinadas realizando tarefas como plantio, poda, corte e acabamento de gramados e jardins, utilizando cortadores de grama, aparadores, bordadeiras e ferramentas similares. Remover ervas daninhas e folhas e detritos com sopradores. Instalar "&amp;"grama em placas (relva) conforme SEC/OES 37-3011. Classificação da Função: 37-3011.00 - Trabalhadores de Paisagismo e Manutenção de Áreas Verdes. A classificação e descrição da função/setor incluem informações gerais sobre o cargo, de acordo com o ONET/OE"&amp;"S e o Sistema de Classificação Industrial da América do Norte (NAICS). Consulte as Funções e a Ordem de Serviço para obter mais informações. Requisitos da Função Experiência Necessária: Sim Meses de Experiência Necessários: 3 Requisitos Especiais: Deve se"&amp;"r capaz de levantar/carregar no mínimo 23 kg e trabalhar curvado/em pé por longos períodos e em todos os tipos de clima. Trabalho aos sábados e domingos, conforme necessário. Número de Horas por Semana: 40 Horário de Trabalho (Início/Término): 7h00. - 16:"&amp;"00")</f>
        <v>Manter áreas ajardinadas realizando tarefas como plantio, poda, corte e acabamento de gramados e jardins, utilizando cortadores de grama, aparadores, bordadeiras e ferramentas similares. Remover ervas daninhas e folhas e detritos com sopradores. Instalar grama em placas (relva) conforme SEC/OES 37-3011. Classificação da Função: 37-3011.00 - Trabalhadores de Paisagismo e Manutenção de Áreas Verdes. A classificação e descrição da função/setor incluem informações gerais sobre o cargo, de acordo com o ONET/OES e o Sistema de Classificação Industrial da América do Norte (NAICS). Consulte as Funções e a Ordem de Serviço para obter mais informações. Requisitos da Função Experiência Necessária: Sim Meses de Experiência Necessários: 3 Requisitos Especiais: Deve ser capaz de levantar/carregar no mínimo 23 kg e trabalhar curvado/em pé por longos períodos e em todos os tipos de clima. Trabalho aos sábados e domingos, conforme necessário. Número de Horas por Semana: 40 Horário de Trabalho (Início/Término): 7h00. - 16:00</v>
      </c>
    </row>
    <row r="854" ht="20.25" customHeight="1">
      <c r="A854" s="3" t="s">
        <v>3993</v>
      </c>
      <c r="B854" s="3" t="s">
        <v>3994</v>
      </c>
      <c r="C854" s="3" t="s">
        <v>3981</v>
      </c>
      <c r="D854" s="3" t="s">
        <v>532</v>
      </c>
      <c r="E854" s="4" t="s">
        <v>44</v>
      </c>
      <c r="F854" s="4" t="s">
        <v>20</v>
      </c>
      <c r="G854" s="4" t="s">
        <v>3995</v>
      </c>
      <c r="H854" s="3" t="s">
        <v>3996</v>
      </c>
      <c r="I854" s="3" t="s">
        <v>3997</v>
      </c>
      <c r="J854" s="4">
        <v>21.19</v>
      </c>
      <c r="K854" s="4">
        <v>1.0</v>
      </c>
      <c r="L854" s="3" t="s">
        <v>387</v>
      </c>
      <c r="M854" s="3" t="s">
        <v>3998</v>
      </c>
      <c r="N854" s="7" t="str">
        <f>IFERROR(__xludf.DUMMYFUNCTION("GOOGLETRANSLATE(L854, ""en"", ""pt"")"),"Ordem de serviço não disponível")</f>
        <v>Ordem de serviço não disponível</v>
      </c>
      <c r="O854" s="7" t="str">
        <f>IFERROR(__xludf.DUMMYFUNCTION("IF(M854="""","""",GOOGLETRANSLATE(M854,""en"",""pt""))"),"Cuidados e Desenvolvimento Infantil: Orientação Suave: Em nenhuma circunstância a criança poderá participar de qualquer atividade considerada perigosa pelos pais ou pela babá. As crianças não devem ser punidas com palmadas, socos ou toques violentos por t"&amp;"ransgressões. Respeito à Rotina de Sonecas: A babá garantirá que as crianças sigam a rotina de sonecas estabelecida pelos pais. Refeições/Lanches Saudáveis: A babá providenciará três refeições completas por dia, dois lanches saudáveis ​​por dia e preparar"&amp;"á mamadeiras conforme necessário. Tempo Diário ao Ar Livre: A babá passará pelo menos 90 minutos por dia ao ar livre com a criança, se o tempo permitir, no quintal da casa dos pais ou em parques aprovados pelos pais. Atualizações Diárias para os Pais: A b"&amp;"abá fornecerá aos pais atualizações diárias por mensagem de texto, foto ou vídeo. Transporte com Consentimento Prévio dos Pais: As crianças não serão transportadas sem o consentimento prévio e as instruções dos pais, e nenhuma pessoa tem permissão para tr"&amp;"ansportar as crianças sem esse consentimento. As crianças não serão transportadas para a casa de outra pessoa sem o consentimento prévio dos pais. Veículo e Cadeirinha da Família: Todo o transporte será feito no veículo dos pais, com uma cadeirinha apropr"&amp;"iada, fornecida e aprovada pelos pais. Custos do Seguro: Os pais arcarão com os custos do seguro. Tarefas Domésticas: Lavagem de Mamadeiras/Pratos Usados ​​pela Criança: A babá é responsável pela lavagem diária de todas as mamadeiras, copos, pratos, etc.,"&amp;" usados ​​pela criança e pela babá, incluindo colocar a louça suja na lava-louças e iniciar o ciclo apropriado. Varrição/Aspiração e Limpeza de Bancadas: A babá aspirará e/ou varrerá embaixo das mesas da cozinha e limpará as mesas e bancadas após as refei"&amp;"ções, conforme necessário. Recolhimento de Brinquedos/Roupas nas Áreas de Brincadeira: A babá recolherá diariamente os brinquedos e roupas nas áreas de brincadeira da criança (incluindo os quartos da criança, sala de jogos, sala de estar e área externa) e"&amp;" fará o rodízio dos brinquedos periodicamente. Outras Tarefas Domésticas: A babá será responsável por outras tarefas domésticas, conforme razoavelmente solicitado pelos pais, incluindo arrumar as malas da criança para viagens e organizar o quarto da crian"&amp;"ça. Outras Responsabilidades: Seguir as Regras para Liberar a Criança: A babá não liberará as crianças para nenhum parente, vizinho, amigo da família ou pai/mãe de amigo(a) sem a autorização expressa dos pais. Proibida a Entrada de Visitantes Sem Consenti"&amp;"mento: A babá não permitirá ou receberá visitantes na residência sem o consentimento prévio dos pais. Protocolo de Emergência: Em caso de emergência, a babá deverá ligar imediatamente para o 190 (ou 911, dependendo do país) e, em seguida, notificar os pai"&amp;"s. Fornecer Suprimentos e Equipamentos: Os pais deverão fornecer suprimentos e equipamentos adequados para a criança (por exemplo, proteção contra sol ou chuva/neve, como protetor solar e jaquetas), que serão custeados pelos pais. Deveres e Habilidades Ad"&amp;"icionais: Aulas e Atividades Fora de Casa: A babá transportará e acompanhará a criança mais nova (que ainda não frequenta a escola) em aulas e atividades de desenvolvimento frequentes fora de casa, garantindo a segurança, participação e envolvimento da cr"&amp;"iança. Gerenciamento da Agenda Doméstica: A babá auxiliará no gerenciamento da agenda doméstica, coordenando os horários diários e garantindo que todas as crianças sejam transportadas pontualmente para a escola, encontros com amigos e diversas atividades "&amp;"extracurriculares. Projetos de Organização Doméstica: A babá auxiliará na manutenção da ordem dentro de casa e realizará projetos específicos de organização doméstica, conforme solicitado pelos pais. Planejamento e Logística de Viagens: A babá auxiliará o"&amp;"s pais na coordenação e planejamento de viagens, incluindo arrumação de malas, organização de itinerários e gerenciamento da logística de viagem para as crianças. Classificação da Função: 39-9011.01 - Babás. A classificação e descrição da função/setor inc"&amp;"lui informações gerais sobre o cargo, de acordo com o ONET/OES e o Sistema de Classificação Industrial da América do Norte. Consulte as Funções e a Ordem de Serviço para obter mais informações. Requisitos da Função: Experiência Necessária: Não. Requisitos"&amp;" Especiais: RCP/Primeiros Socorros. Número de Horas por Semana: 50. Horário de Trabalho (Início/Término): 8h às 17h.")</f>
        <v>Cuidados e Desenvolvimento Infantil: Orientação Suave: Em nenhuma circunstância a criança poderá participar de qualquer atividade considerada perigosa pelos pais ou pela babá. As crianças não devem ser punidas com palmadas, socos ou toques violentos por transgressões. Respeito à Rotina de Sonecas: A babá garantirá que as crianças sigam a rotina de sonecas estabelecida pelos pais. Refeições/Lanches Saudáveis: A babá providenciará três refeições completas por dia, dois lanches saudáveis ​​por dia e preparará mamadeiras conforme necessário. Tempo Diário ao Ar Livre: A babá passará pelo menos 90 minutos por dia ao ar livre com a criança, se o tempo permitir, no quintal da casa dos pais ou em parques aprovados pelos pais. Atualizações Diárias para os Pais: A babá fornecerá aos pais atualizações diárias por mensagem de texto, foto ou vídeo. Transporte com Consentimento Prévio dos Pais: As crianças não serão transportadas sem o consentimento prévio e as instruções dos pais, e nenhuma pessoa tem permissão para transportar as crianças sem esse consentimento. As crianças não serão transportadas para a casa de outra pessoa sem o consentimento prévio dos pais. Veículo e Cadeirinha da Família: Todo o transporte será feito no veículo dos pais, com uma cadeirinha apropriada, fornecida e aprovada pelos pais. Custos do Seguro: Os pais arcarão com os custos do seguro. Tarefas Domésticas: Lavagem de Mamadeiras/Pratos Usados ​​pela Criança: A babá é responsável pela lavagem diária de todas as mamadeiras, copos, pratos, etc., usados ​​pela criança e pela babá, incluindo colocar a louça suja na lava-louças e iniciar o ciclo apropriado. Varrição/Aspiração e Limpeza de Bancadas: A babá aspirará e/ou varrerá embaixo das mesas da cozinha e limpará as mesas e bancadas após as refeições, conforme necessário. Recolhimento de Brinquedos/Roupas nas Áreas de Brincadeira: A babá recolherá diariamente os brinquedos e roupas nas áreas de brincadeira da criança (incluindo os quartos da criança, sala de jogos, sala de estar e área externa) e fará o rodízio dos brinquedos periodicamente. Outras Tarefas Domésticas: A babá será responsável por outras tarefas domésticas, conforme razoavelmente solicitado pelos pais, incluindo arrumar as malas da criança para viagens e organizar o quarto da criança. Outras Responsabilidades: Seguir as Regras para Liberar a Criança: A babá não liberará as crianças para nenhum parente, vizinho, amigo da família ou pai/mãe de amigo(a) sem a autorização expressa dos pais. Proibida a Entrada de Visitantes Sem Consentimento: A babá não permitirá ou receberá visitantes na residência sem o consentimento prévio dos pais. Protocolo de Emergência: Em caso de emergência, a babá deverá ligar imediatamente para o 190 (ou 911, dependendo do país) e, em seguida, notificar os pais. Fornecer Suprimentos e Equipamentos: Os pais deverão fornecer suprimentos e equipamentos adequados para a criança (por exemplo, proteção contra sol ou chuva/neve, como protetor solar e jaquetas), que serão custeados pelos pais. Deveres e Habilidades Adicionais: Aulas e Atividades Fora de Casa: A babá transportará e acompanhará a criança mais nova (que ainda não frequenta a escola) em aulas e atividades de desenvolvimento frequentes fora de casa, garantindo a segurança, participação e envolvimento da criança. Gerenciamento da Agenda Doméstica: A babá auxiliará no gerenciamento da agenda doméstica, coordenando os horários diários e garantindo que todas as crianças sejam transportadas pontualmente para a escola, encontros com amigos e diversas atividades extracurriculares. Projetos de Organização Doméstica: A babá auxiliará na manutenção da ordem dentro de casa e realizará projetos específicos de organização doméstica, conforme solicitado pelos pais. Planejamento e Logística de Viagens: A babá auxiliará os pais na coordenação e planejamento de viagens, incluindo arrumação de malas, organização de itinerários e gerenciamento da logística de viagem para as crianças. Classificação da Função: 39-9011.01 - Babás. A classificação e descrição da função/setor inclui informações gerais sobre o cargo, de acordo com o ONET/OES e o Sistema de Classificação Industrial da América do Norte. Consulte as Funções e a Ordem de Serviço para obter mais informações. Requisitos da Função: Experiência Necessária: Não. Requisitos Especiais: RCP/Primeiros Socorros. Número de Horas por Semana: 50. Horário de Trabalho (Início/Término): 8h às 17h.</v>
      </c>
    </row>
    <row r="855" ht="20.25" customHeight="1">
      <c r="A855" s="8" t="s">
        <v>3999</v>
      </c>
      <c r="B855" s="8" t="s">
        <v>4000</v>
      </c>
      <c r="C855" s="8" t="s">
        <v>3974</v>
      </c>
      <c r="D855" s="8" t="s">
        <v>28</v>
      </c>
      <c r="E855" s="9" t="s">
        <v>19</v>
      </c>
      <c r="F855" s="9" t="s">
        <v>20</v>
      </c>
      <c r="G855" s="9" t="s">
        <v>377</v>
      </c>
      <c r="H855" s="8" t="s">
        <v>4001</v>
      </c>
      <c r="I855" s="8" t="s">
        <v>4002</v>
      </c>
      <c r="J855" s="9">
        <v>24.39</v>
      </c>
      <c r="K855" s="9">
        <v>30.0</v>
      </c>
      <c r="L855" s="8" t="s">
        <v>3490</v>
      </c>
      <c r="M855" s="8" t="s">
        <v>4003</v>
      </c>
      <c r="N855" s="7" t="str">
        <f>IFERROR(__xludf.DUMMYFUNCTION("GOOGLETRANSLATE(L855, ""en"", ""pt"")"),"Marinheiro de convés, barco de pesca de ostras")</f>
        <v>Marinheiro de convés, barco de pesca de ostras</v>
      </c>
      <c r="O855" s="7" t="str">
        <f>IFERROR(__xludf.DUMMYFUNCTION("IF(M855="""","""",GOOGLETRANSLATE(M855,""en"",""pt""))"),"Utilizar redes, armadilhas, dragas ou outros equipamentos para colher e coletar ostras do fundo do mar, içá-las para os barcos, ensacá-las e empilhá-las. Descarregar os sacos do barco para o cais. Limpar o barco. Classificação da função: 45-3031.00 - Trab"&amp;"alhadores da Pesca e Caça. A classificação e descrição da função/setor inclui informações gerais sobre o cargo, de acordo com o ONET/OES e o Sistema de Classificação Industrial da América do Norte. Consulte as Funções e a Ordem de Serviço para obter mais "&amp;"informações. Requisitos da função: Experiência necessária: Não. Número de horas por semana: 40. Horário de trabalho (início/término): 6h às 14h.")</f>
        <v>Utilizar redes, armadilhas, dragas ou outros equipamentos para colher e coletar ostras do fundo do mar, içá-las para os barcos, ensacá-las e empilhá-las. Descarregar os sacos do barco para o cais. Limpar o barco. Classificação da função: 45-3031.00 - Trabalhadores da Pesca e Caça. A classificação e descrição da função/setor inclui informações gerais sobre o cargo, de acordo com o ONET/OES e o Sistema de Classificação Industrial da América do Norte. Consulte as Funções e a Ordem de Serviço para obter mais informações. Requisitos da função: Experiência necessária: Não. Número de horas por semana: 40. Horário de trabalho (início/término): 6h às 14h.</v>
      </c>
    </row>
    <row r="856" ht="20.25" customHeight="1">
      <c r="A856" s="3" t="s">
        <v>4004</v>
      </c>
      <c r="B856" s="3" t="s">
        <v>4005</v>
      </c>
      <c r="C856" s="3" t="s">
        <v>3981</v>
      </c>
      <c r="D856" s="3" t="s">
        <v>532</v>
      </c>
      <c r="E856" s="4" t="s">
        <v>19</v>
      </c>
      <c r="F856" s="4" t="s">
        <v>20</v>
      </c>
      <c r="G856" s="4" t="s">
        <v>110</v>
      </c>
      <c r="H856" s="3" t="s">
        <v>4006</v>
      </c>
      <c r="I856" s="3" t="s">
        <v>4007</v>
      </c>
      <c r="J856" s="4">
        <v>18.78</v>
      </c>
      <c r="K856" s="4">
        <v>1.0</v>
      </c>
      <c r="L856" s="3" t="s">
        <v>387</v>
      </c>
      <c r="M856" s="3" t="s">
        <v>4008</v>
      </c>
      <c r="N856" s="7" t="str">
        <f>IFERROR(__xludf.DUMMYFUNCTION("GOOGLETRANSLATE(L856, ""en"", ""pt"")"),"Ordem de serviço não disponível")</f>
        <v>Ordem de serviço não disponível</v>
      </c>
      <c r="O856" s="7" t="str">
        <f>IFERROR(__xludf.DUMMYFUNCTION("IF(M856="""","""",GOOGLETRANSLATE(M856,""en"",""pt""))"),"A babá cuidará de duas crianças. Uma é um bebê e a outra é uma criança pequena. A principal responsabilidade será cuidar do bebê, já que a criança mais velha estará na creche. A babá terá responsabilidades periódicas pela criança mais velha quando ela não"&amp;" estiver na creche. Deveres gerais: Registro de horas: A babá deve manter um registro de todas as horas trabalhadas a cada semana e enviar a folha de ponto semanal ao empregador. Deveres para o recém-nascido: a. Orientação gentil: Em nenhuma hipótese a cr"&amp;"iança poderá se envolver em qualquer atividade considerada perigosa pelos pais ou pela babá. A criança não deve ser espancada, agredida ou tocada com força por transgressões. A babá apoiará a criança em seus marcos de desenvolvimento apropriados para a id"&amp;"ade. b. Transporte: A criança não será transportada sem o consentimento prévio e as instruções dos pais. A criança não será transportada para a casa de outra pessoa sem o consentimento prévio dos pais. Todo o transporte será feito no veículo dos pais ou e"&amp;"m outro veículo previamente aprovado pelos pais, com cadeirinha apropriada fornecida ou aprovada pelos pais. Nenhuma pessoa tem permissão para transportar a criança sem o consentimento prévio dos pais. Os pais arcarão com todos os custos razoáveis ​​de tr"&amp;"ansporte. c. Refeições: A babá será responsável pela alimentação adequada ao longo do dia. O recém-nascido será alimentado com mamadeira conforme necessário (leite materno, fórmula infantil ou leite de vaca, conforme orientação dos pais). Quando a idade f"&amp;"or apropriada, a babá providenciará três refeições completas por dia, lanches saudáveis ​​pelo menos duas vezes ao dia e mamadeiras conforme necessário, além de acesso a água filtrada e limpa durante todo o dia. d. Sonecas: A babá garantirá que a criança "&amp;"siga o horário de sonecas fornecido pelos pais. e. Diretrizes para a liberação da criança: A babá não liberará a criança para nenhum parente, vizinho, amigo da família ou pai/mãe de amigo(a) sem a autorização expressa dos pais. f. Tempo ao ar livre/Ativid"&amp;"ades: A babá passará pelo menos noventa (90) minutos por dia ao ar livre com a criança, se o tempo permitir. A babá garantirá proteção adequada contra sol ou chuva/neve para a criança (por exemplo, protetor solar, jaquetas, etc., a serem providenciados pe"&amp;"los pais). A babá levará a criança a atividades em grupo apropriadas para a idade e participará com ela para incentivar o desenvolvimento e a socialização. As atividades ocorrerão várias vezes por semana, com um cronograma a ser acordado com base nas nece"&amp;"ssidades e interesses da criança. Os pais arcarão com o custo de quaisquer atividades. g. Atualizações regulares aos pais: A babá fornecerá aos pais atualizações sobre as atividades com a criança pelo menos uma vez por dia. h. Tarefas domésticas: A babá s"&amp;"erá responsável pelas seguintes tarefas domésticas como parte de seu trabalho: i. Utensílios de cozinha/mamadeiras: Limpeza diária de todas as mamadeiras, copos, pratos, etc., utilizados pela criança e pela babá (por exemplo, a babá colocará a louça suja "&amp;"na lava-louças e ligará a máquina apropriada). A babá também aspirará e/ou varrerá embaixo das mesas da cozinha e limpará as mesas e bancadas após as refeições, conforme necessário. ii. Área de brincar: Recolher diariamente os brinquedos e roupas das área"&amp;"s de brincar da criança (incluindo os quartos da criança, sala de brinquedos, sala de estar e área externa). iii. Outros: A babá manterá as áreas da casa utilizadas pela criança organizadas e as deixará limpas e organizadas ao final do dia. Classificação "&amp;"da função: 39-9011.01 - Babás. A classificação e descrição da função/setor incluem informações gerais sobre o cargo, de acordo com o ONET/OES e o Sistema de Classificação Industrial da América do Norte. Consulte as Funções e a Ordem de Serviço para obter "&amp;"mais informações. Requisitos da vaga: Experiência exigida: Sim. Meses de experiência exigidos: 12. Requisitos especiais: A babá concorda em obter Treinamento de Certificação em Ressuscitação Cardiopulmonar (RCP) para bebês antes ou depois da chegada ao lo"&amp;"cal de trabalho, e o empregador arcará com os custos, se necessário; Vacinação contra COVID-19 em dia obrigatória; Carteira de habilitação obrigatória. A babá deverá fazer aulas de direção nos EUA, caso não possua carteira de habilitação ou possua uma car"&amp;"teira de habilitação estrangeira. Número de horas por semana: 40. Horário de trabalho (início/término): 9h às 20h.")</f>
        <v>A babá cuidará de duas crianças. Uma é um bebê e a outra é uma criança pequena. A principal responsabilidade será cuidar do bebê, já que a criança mais velha estará na creche. A babá terá responsabilidades periódicas pela criança mais velha quando ela não estiver na creche. Deveres gerais: Registro de horas: A babá deve manter um registro de todas as horas trabalhadas a cada semana e enviar a folha de ponto semanal ao empregador. Deveres para o recém-nascido: a. Orientação gentil: Em nenhuma hipótese a criança poderá se envolver em qualquer atividade considerada perigosa pelos pais ou pela babá. A criança não deve ser espancada, agredida ou tocada com força por transgressões. A babá apoiará a criança em seus marcos de desenvolvimento apropriados para a idade. b. Transporte: A criança não será transportada sem o consentimento prévio e as instruções dos pais. A criança não será transportada para a casa de outra pessoa sem o consentimento prévio dos pais. Todo o transporte será feito no veículo dos pais ou em outro veículo previamente aprovado pelos pais, com cadeirinha apropriada fornecida ou aprovada pelos pais. Nenhuma pessoa tem permissão para transportar a criança sem o consentimento prévio dos pais. Os pais arcarão com todos os custos razoáveis ​​de transporte. c. Refeições: A babá será responsável pela alimentação adequada ao longo do dia. O recém-nascido será alimentado com mamadeira conforme necessário (leite materno, fórmula infantil ou leite de vaca, conforme orientação dos pais). Quando a idade for apropriada, a babá providenciará três refeições completas por dia, lanches saudáveis ​​pelo menos duas vezes ao dia e mamadeiras conforme necessário, além de acesso a água filtrada e limpa durante todo o dia. d. Sonecas: A babá garantirá que a criança siga o horário de sonecas fornecido pelos pais. e. Diretrizes para a liberação da criança: A babá não liberará a criança para nenhum parente, vizinho, amigo da família ou pai/mãe de amigo(a) sem a autorização expressa dos pais. f. Tempo ao ar livre/Atividades: A babá passará pelo menos noventa (90) minutos por dia ao ar livre com a criança, se o tempo permitir. A babá garantirá proteção adequada contra sol ou chuva/neve para a criança (por exemplo, protetor solar, jaquetas, etc., a serem providenciados pelos pais). A babá levará a criança a atividades em grupo apropriadas para a idade e participará com ela para incentivar o desenvolvimento e a socialização. As atividades ocorrerão várias vezes por semana, com um cronograma a ser acordado com base nas necessidades e interesses da criança. Os pais arcarão com o custo de quaisquer atividades. g. Atualizações regulares aos pais: A babá fornecerá aos pais atualizações sobre as atividades com a criança pelo menos uma vez por dia. h. Tarefas domésticas: A babá será responsável pelas seguintes tarefas domésticas como parte de seu trabalho: i. Utensílios de cozinha/mamadeiras: Limpeza diária de todas as mamadeiras, copos, pratos, etc., utilizados pela criança e pela babá (por exemplo, a babá colocará a louça suja na lava-louças e ligará a máquina apropriada). A babá também aspirará e/ou varrerá embaixo das mesas da cozinha e limpará as mesas e bancadas após as refeições, conforme necessário. ii. Área de brincar: Recolher diariamente os brinquedos e roupas das áreas de brincar da criança (incluindo os quartos da criança, sala de brinquedos, sala de estar e área externa). iii. Outros: A babá manterá as áreas da casa utilizadas pela criança organizadas e as deixará limpas e organizadas ao final do dia. Classificação da função: 39-9011.01 - Babás. A classificação e descrição da função/setor incluem informações gerais sobre o cargo, de acordo com o ONET/OES e o Sistema de Classificação Industrial da América do Norte. Consulte as Funções e a Ordem de Serviço para obter mais informações. Requisitos da vaga: Experiência exigida: Sim. Meses de experiência exigidos: 12. Requisitos especiais: A babá concorda em obter Treinamento de Certificação em Ressuscitação Cardiopulmonar (RCP) para bebês antes ou depois da chegada ao local de trabalho, e o empregador arcará com os custos, se necessário; Vacinação contra COVID-19 em dia obrigatória; Carteira de habilitação obrigatória. A babá deverá fazer aulas de direção nos EUA, caso não possua carteira de habilitação ou possua uma carteira de habilitação estrangeira. Número de horas por semana: 40. Horário de trabalho (início/término): 9h às 20h.</v>
      </c>
    </row>
    <row r="857" ht="20.25" customHeight="1">
      <c r="A857" s="8" t="s">
        <v>4009</v>
      </c>
      <c r="B857" s="8" t="s">
        <v>4010</v>
      </c>
      <c r="C857" s="8" t="s">
        <v>4011</v>
      </c>
      <c r="D857" s="8" t="s">
        <v>970</v>
      </c>
      <c r="E857" s="9" t="s">
        <v>19</v>
      </c>
      <c r="F857" s="9" t="s">
        <v>20</v>
      </c>
      <c r="G857" s="9" t="s">
        <v>146</v>
      </c>
      <c r="H857" s="8" t="s">
        <v>4012</v>
      </c>
      <c r="I857" s="8" t="s">
        <v>4013</v>
      </c>
      <c r="J857" s="9">
        <v>19.78</v>
      </c>
      <c r="K857" s="9">
        <v>4.0</v>
      </c>
      <c r="L857" s="8" t="s">
        <v>4014</v>
      </c>
      <c r="M857" s="8" t="s">
        <v>4015</v>
      </c>
      <c r="N857" s="7" t="str">
        <f>IFERROR(__xludf.DUMMYFUNCTION("GOOGLETRANSLATE(L857, ""en"", ""pt"")"),"Ajudante de Carpinteiro")</f>
        <v>Ajudante de Carpinteiro</v>
      </c>
      <c r="O857" s="7" t="str">
        <f>IFERROR(__xludf.DUMMYFUNCTION("IF(M857="""","""",GOOGLETRANSLATE(M857,""en"",""pt""))"),"Auxiliar carpinteiros realizando tarefas que exigem menos habilidade. As tarefas incluem usar, fornecer ou segurar materiais ou ferramentas, e limpar a área de trabalho e os equipamentos. Classificação da vaga: 47-3012.00 - Ajudantes de Carpinteiro. A cla"&amp;"ssificação e descrição da vaga/setor inclui informações gerais sobre a posição, de acordo com o ONET/OES e o Sistema de Classificação Industrial da América do Norte (NAICS). Consulte as Funções e a Ordem de Serviço para obter mais informações. Requisitos "&amp;"da vaga: Experiência necessária: Não. Requisitos especiais: CAPACIDADE DE LEVANTAR E CARREGAR 23 KG. DISPONIBILIDADE PARA HORAS EXTRAS E TRABALHO AOS FINS DE SEMANA. JORNADA DE TRABALHO DE 8 HORAS. O horário pode variar das 7h às 19h. Número de horas por "&amp;"semana: 40. Horário de trabalho (início/término): 7h às 19h.")</f>
        <v>Auxiliar carpinteiros realizando tarefas que exigem menos habilidade. As tarefas incluem usar, fornecer ou segurar materiais ou ferramentas, e limpar a área de trabalho e os equipamentos. Classificação da vaga: 47-3012.00 - Ajudantes de Carpinteiro. A classificação e descrição da vaga/setor inclui informações gerais sobre a posição, de acordo com o ONET/OES e o Sistema de Classificação Industrial da América do Norte (NAICS). Consulte as Funções e a Ordem de Serviço para obter mais informações. Requisitos da vaga: Experiência necessária: Não. Requisitos especiais: CAPACIDADE DE LEVANTAR E CARREGAR 23 KG. DISPONIBILIDADE PARA HORAS EXTRAS E TRABALHO AOS FINS DE SEMANA. JORNADA DE TRABALHO DE 8 HORAS. O horário pode variar das 7h às 19h. Número de horas por semana: 40. Horário de trabalho (início/término): 7h às 19h.</v>
      </c>
    </row>
    <row r="858" ht="20.25" customHeight="1">
      <c r="A858" s="3" t="s">
        <v>4016</v>
      </c>
      <c r="B858" s="3" t="s">
        <v>4017</v>
      </c>
      <c r="C858" s="3" t="s">
        <v>4018</v>
      </c>
      <c r="D858" s="3" t="s">
        <v>71</v>
      </c>
      <c r="E858" s="4" t="s">
        <v>44</v>
      </c>
      <c r="F858" s="4" t="s">
        <v>20</v>
      </c>
      <c r="G858" s="4" t="s">
        <v>80</v>
      </c>
      <c r="H858" s="3" t="s">
        <v>4019</v>
      </c>
      <c r="I858" s="3" t="s">
        <v>4020</v>
      </c>
      <c r="J858" s="4">
        <v>22.97</v>
      </c>
      <c r="K858" s="4">
        <v>1.0</v>
      </c>
      <c r="L858" s="3" t="s">
        <v>4021</v>
      </c>
      <c r="M858" s="3" t="s">
        <v>4022</v>
      </c>
      <c r="N858" s="7" t="str">
        <f>IFERROR(__xludf.DUMMYFUNCTION("GOOGLETRANSLATE(L858, ""en"", ""pt"")"),"Treinador de Padel")</f>
        <v>Treinador de Padel</v>
      </c>
      <c r="O858" s="7" t="str">
        <f>IFERROR(__xludf.DUMMYFUNCTION("IF(M858="""","""",GOOGLETRANSLATE(M858,""en"",""pt""))"),"Ordem de Serviço nº 125 36 444 Sob a supervisão do Treinador Principal e do Gerente do Clube, o Treinador Júnior de Padel desempenhará as seguintes funções: Ministrar aulas de padel individuais e em grupo (de 1 a 4 jogadores), clínicas especializadas, ses"&amp;"sões sociais de Americano e clínicas para jovens/crianças. Construir e manter uma sólida rede de clientes para atingir as metas de aulas (mínimo de 100 aulas por mês). Colaborar na organização, execução e gestão de ligas do clube, sessões de Americano, cl"&amp;"ínicas, torneios e todos os eventos esportivos do clube. Preparar as quadras, organizar os materiais, inspecionar raquetes e equipamentos de treino, gerenciar a atribuição de quadras e realizar o check-in dos membros. Garantir que as quadras estejam limpa"&amp;"s, em bom estado de conservação e que os equipamentos estejam armazenados com segurança antes do fechamento das instalações. Competir e representar o Padel X em torneios selecionados da USPA, RED Padel e torneios profissionais relevantes nos Estados Unido"&amp;"s. Participar de reuniões semanais da equipe para organização da programação e gestão do clube. Seguir e implementar o programa de treinamento da Level Up Academy e aderir ao Código de Ética e Conduta da Marca Padel X. Horário e Escala de Trabalho: Total "&amp;"de horas: 40 horas semanais. Dias: 6 dias por semana, de segunda a sábado. Estrutura de Turnos (segunda a sexta): Horário fixo dividido em turnos de 7 horas por dia. Turno da manhã das 8h30 às 12h, seguido de um intervalo para o almoço, e turno da tarde/n"&amp;"oite das 17h às 20h30. Estrutura de Turnos (sábado): Turno único reduzido de 5 horas. Turno da manhã das 8h às 13h. (O horário de funcionamento da unidade é das 7h às 22h, 7 dias por semana). Classificação da Função: 25-3021.00 - Professores de Autodesenv"&amp;"olvimento. A classificação e descrição da função/setor inclui informações gerais sobre o cargo, de acordo com o ONET/OES e o Sistema de Classificação Industrial da América do Norte (NAICS). Consulte as Funções e a Ordem de Serviço para obter mais informaç"&amp;"ões. Requisitos da vaga Experiência necessária: Sim Meses de experiência necessários: 12 Requisitos especiais: Possuir certificação oficial de treinador de padel válida (obrigatório). Sólido conhecimento de técnicas, regras e estratégias de jogo de padel."&amp;" Habilidade para instruir jogadores de todos os níveis de habilidade. Disponibilidade para trabalhar em horários flexíveis, incluindo noites e fins de semana. Número de horas por semana: 40 Horário de trabalho (início/término): 8h30 - 20h30")</f>
        <v>Ordem de Serviço nº 125 36 444 Sob a supervisão do Treinador Principal e do Gerente do Clube, o Treinador Júnior de Padel desempenhará as seguintes funções: Ministrar aulas de padel individuais e em grupo (de 1 a 4 jogadores), clínicas especializadas, sessões sociais de Americano e clínicas para jovens/crianças. Construir e manter uma sólida rede de clientes para atingir as metas de aulas (mínimo de 100 aulas por mês). Colaborar na organização, execução e gestão de ligas do clube, sessões de Americano, clínicas, torneios e todos os eventos esportivos do clube. Preparar as quadras, organizar os materiais, inspecionar raquetes e equipamentos de treino, gerenciar a atribuição de quadras e realizar o check-in dos membros. Garantir que as quadras estejam limpas, em bom estado de conservação e que os equipamentos estejam armazenados com segurança antes do fechamento das instalações. Competir e representar o Padel X em torneios selecionados da USPA, RED Padel e torneios profissionais relevantes nos Estados Unidos. Participar de reuniões semanais da equipe para organização da programação e gestão do clube. Seguir e implementar o programa de treinamento da Level Up Academy e aderir ao Código de Ética e Conduta da Marca Padel X. Horário e Escala de Trabalho: Total de horas: 40 horas semanais. Dias: 6 dias por semana, de segunda a sábado. Estrutura de Turnos (segunda a sexta): Horário fixo dividido em turnos de 7 horas por dia. Turno da manhã das 8h30 às 12h, seguido de um intervalo para o almoço, e turno da tarde/noite das 17h às 20h30. Estrutura de Turnos (sábado): Turno único reduzido de 5 horas. Turno da manhã das 8h às 13h. (O horário de funcionamento da unidade é das 7h às 22h, 7 dias por semana). Classificação da Função: 25-3021.00 - Professores de Autodesenvolvimento. A classificação e descrição da função/setor inclui informações gerais sobre o cargo, de acordo com o ONET/OES e o Sistema de Classificação Industrial da América do Norte (NAICS). Consulte as Funções e a Ordem de Serviço para obter mais informações. Requisitos da vaga Experiência necessária: Sim Meses de experiência necessários: 12 Requisitos especiais: Possuir certificação oficial de treinador de padel válida (obrigatório). Sólido conhecimento de técnicas, regras e estratégias de jogo de padel. Habilidade para instruir jogadores de todos os níveis de habilidade. Disponibilidade para trabalhar em horários flexíveis, incluindo noites e fins de semana. Número de horas por semana: 40 Horário de trabalho (início/término): 8h30 - 20h30</v>
      </c>
    </row>
    <row r="859" ht="20.25" customHeight="1">
      <c r="A859" s="8" t="s">
        <v>4023</v>
      </c>
      <c r="B859" s="8" t="s">
        <v>4024</v>
      </c>
      <c r="C859" s="8" t="s">
        <v>3981</v>
      </c>
      <c r="D859" s="8" t="s">
        <v>1031</v>
      </c>
      <c r="E859" s="9" t="s">
        <v>44</v>
      </c>
      <c r="F859" s="9" t="s">
        <v>20</v>
      </c>
      <c r="G859" s="9" t="s">
        <v>4025</v>
      </c>
      <c r="H859" s="8" t="s">
        <v>4026</v>
      </c>
      <c r="I859" s="8" t="s">
        <v>4027</v>
      </c>
      <c r="J859" s="9">
        <v>20.0</v>
      </c>
      <c r="K859" s="9">
        <v>1.0</v>
      </c>
      <c r="L859" s="8" t="s">
        <v>387</v>
      </c>
      <c r="M859" s="8" t="s">
        <v>4028</v>
      </c>
      <c r="N859" s="7" t="str">
        <f>IFERROR(__xludf.DUMMYFUNCTION("GOOGLETRANSLATE(L859, ""en"", ""pt"")"),"Ordem de serviço não disponível")</f>
        <v>Ordem de serviço não disponível</v>
      </c>
      <c r="O859" s="7" t="str">
        <f>IFERROR(__xludf.DUMMYFUNCTION("IF(M859="""","""",GOOGLETRANSLATE(M859,""en"",""pt""))"),"***Resposta à Solicitação de Informações*** “Fazer compras domésticas”: refere-se a quaisquer tarefas relacionadas a itens necessários para a criança. Isso inclui ir à loja comprar fraldas ou lenços umedecidos. Um carro será usado. Uma cadeirinha de carro"&amp;" deve ser usada para a criança. “Ajudar a arrumar as malas e viajar com a família quando solicitado”: ​​A babá ajudará a arrumar as malas da criança se a família estiver viajando para uma viagem curta ou férias. A babá acompanhará a família em viagens cur"&amp;"tas, às custas da família, onde também cuidará da criança. Essas viagens curtas não são garantidas, mas a necessidade delas pode surgir no dia a dia da família. ***Original*** I. Cuidados e Desenvolvimento Infantil Você é responsável por proporcionar um a"&amp;"mbiente seguro e acolhedor que siga os valores parentais da Família Fish/Lane. Disciplina: Use orientação gentil e positiva. Punição física nunca é permitida. Rotina e Refeições: Mantenha horários de soneca rigorosos, prepare refeições saudáveis ​​e ajude"&amp;" a fazer compras ou cozinhar para a criança quando solicitado. Cuidados com a Doença: Cuidar da criança quando ela estiver doente, o que pode incluir administrar medicamentos ou levá-la ao médico com a permissão dos pais. Atividades: Garantir que a crianç"&amp;"a tenha pelo menos 90 minutos de brincadeiras ao ar livre diariamente. Atualizações: Fornecer aos pais atualizações diárias sobre a criança. Fotos e vídeos só podem ser compartilhados diretamente com os pais. II. Direção e Segurança: Você deve estar fisic"&amp;"amente apto(a) a realizar o trabalho com segurança (levantar, abaixar, usar escadas). Transporte: Levar a criança para as atividades aprovadas no carro da família. Sempre usar a cadeirinha. Custos e Requisitos: A família paga o combustível, o seguro e a m"&amp;"anutenção do carro. Você deve manter uma carteira de habilitação válida, um histórico de direção limpo e treinamento de primeiros socorros atualizado. Regras de Trânsito: Obedecer a todas as leis de trânsito e nunca usar o celular enquanto dirige. Você é "&amp;"responsável por pagar quaisquer multas de estacionamento ou de trânsito que receber. III. Organização e Tarefas: Manter os espaços da criança limpos e organizados. Limpeza: Lavar e higienizar as mamadeiras, pratos e utensílios da criança. Organizar o berç"&amp;"ário, a sala de jogos e as áreas de refeições. Lavanderia: Lavar, consertar e organizar as roupas e brinquedos da criança. Tarefas domésticas: Realizar tarefas domésticas, administrar cuidadosamente a ""bolsa da babá"" e fornecer recibos de todas as despe"&amp;"sas. Viagens e acomodação: Limpar o espaço de acomodação fornecido. Ajudar a família a fazer as malas e viajar quando solicitado. IV. Segurança, Privacidade e Emergências: É necessário proteger a segurança e a privacidade da família. Segurança: Liberar a "&amp;"criança somente para pessoas autorizadas. Não receber visitas pessoais durante o horário de trabalho sem permissão. Em caso de emergência, ligar primeiro para o 190 (ou 911, dependendo do país) e depois para os pais. Privacidade: Manter todos os detalhes "&amp;"sobre a vida, as finanças e a casa da família em total sigilo. Redes sociais: Nunca publicar fotos, vídeos ou qualquer informação sobre a criança ou a família nas redes sociais. Materiais: A família fornecerá e pagará por todos os materiais de segurança e"&amp;" cuidados infantis necessários. Classificação da função: 39-9011.01 - Babás. A classificação e a descrição da função/setor incluem informações gerais sobre o cargo, de acordo com o ONET/OES e o Sistema de Classificação Industrial da América do Norte. Cons"&amp;"ulte as Funções e a Ordem de Serviço para obter mais informações. Requisitos da vaga Experiência necessária: Sim Meses de experiência necessários: 12 Requisitos especiais: RCP/Primeiros Socorros Número de horas por semana: 44 Horário de trabalho (início/t"&amp;"érmino): 8h às 17h")</f>
        <v>***Resposta à Solicitação de Informações*** “Fazer compras domésticas”: refere-se a quaisquer tarefas relacionadas a itens necessários para a criança. Isso inclui ir à loja comprar fraldas ou lenços umedecidos. Um carro será usado. Uma cadeirinha de carro deve ser usada para a criança. “Ajudar a arrumar as malas e viajar com a família quando solicitado”: ​​A babá ajudará a arrumar as malas da criança se a família estiver viajando para uma viagem curta ou férias. A babá acompanhará a família em viagens curtas, às custas da família, onde também cuidará da criança. Essas viagens curtas não são garantidas, mas a necessidade delas pode surgir no dia a dia da família. ***Original*** I. Cuidados e Desenvolvimento Infantil Você é responsável por proporcionar um ambiente seguro e acolhedor que siga os valores parentais da Família Fish/Lane. Disciplina: Use orientação gentil e positiva. Punição física nunca é permitida. Rotina e Refeições: Mantenha horários de soneca rigorosos, prepare refeições saudáveis ​​e ajude a fazer compras ou cozinhar para a criança quando solicitado. Cuidados com a Doença: Cuidar da criança quando ela estiver doente, o que pode incluir administrar medicamentos ou levá-la ao médico com a permissão dos pais. Atividades: Garantir que a criança tenha pelo menos 90 minutos de brincadeiras ao ar livre diariamente. Atualizações: Fornecer aos pais atualizações diárias sobre a criança. Fotos e vídeos só podem ser compartilhados diretamente com os pais. II. Direção e Segurança: Você deve estar fisicamente apto(a) a realizar o trabalho com segurança (levantar, abaixar, usar escadas). Transporte: Levar a criança para as atividades aprovadas no carro da família. Sempre usar a cadeirinha. Custos e Requisitos: A família paga o combustível, o seguro e a manutenção do carro. Você deve manter uma carteira de habilitação válida, um histórico de direção limpo e treinamento de primeiros socorros atualizado. Regras de Trânsito: Obedecer a todas as leis de trânsito e nunca usar o celular enquanto dirige. Você é responsável por pagar quaisquer multas de estacionamento ou de trânsito que receber. III. Organização e Tarefas: Manter os espaços da criança limpos e organizados. Limpeza: Lavar e higienizar as mamadeiras, pratos e utensílios da criança. Organizar o berçário, a sala de jogos e as áreas de refeições. Lavanderia: Lavar, consertar e organizar as roupas e brinquedos da criança. Tarefas domésticas: Realizar tarefas domésticas, administrar cuidadosamente a "bolsa da babá" e fornecer recibos de todas as despesas. Viagens e acomodação: Limpar o espaço de acomodação fornecido. Ajudar a família a fazer as malas e viajar quando solicitado. IV. Segurança, Privacidade e Emergências: É necessário proteger a segurança e a privacidade da família. Segurança: Liberar a criança somente para pessoas autorizadas. Não receber visitas pessoais durante o horário de trabalho sem permissão. Em caso de emergência, ligar primeiro para o 190 (ou 911, dependendo do país) e depois para os pais. Privacidade: Manter todos os detalhes sobre a vida, as finanças e a casa da família em total sigilo. Redes sociais: Nunca publicar fotos, vídeos ou qualquer informação sobre a criança ou a família nas redes sociais. Materiais: A família fornecerá e pagará por todos os materiais de segurança e cuidados infantis necessários. Classificação da função: 39-9011.01 - Babás. A classificação e a descrição da função/setor incluem informações gerais sobre o cargo, de acordo com o ONET/OES e o Sistema de Classificação Industrial da América do Norte. Consulte as Funções e a Ordem de Serviço para obter mais informações. Requisitos da vaga Experiência necessária: Sim Meses de experiência necessários: 12 Requisitos especiais: RCP/Primeiros Socorros Número de horas por semana: 44 Horário de trabalho (início/término): 8h às 17h</v>
      </c>
    </row>
    <row r="860" ht="20.25" customHeight="1">
      <c r="A860" s="3" t="s">
        <v>4029</v>
      </c>
      <c r="B860" s="3" t="s">
        <v>4030</v>
      </c>
      <c r="C860" s="3" t="s">
        <v>3981</v>
      </c>
      <c r="D860" s="3" t="s">
        <v>71</v>
      </c>
      <c r="E860" s="4" t="s">
        <v>44</v>
      </c>
      <c r="F860" s="4" t="s">
        <v>20</v>
      </c>
      <c r="G860" s="4" t="s">
        <v>4031</v>
      </c>
      <c r="H860" s="3" t="s">
        <v>4032</v>
      </c>
      <c r="I860" s="3" t="s">
        <v>4033</v>
      </c>
      <c r="J860" s="4">
        <v>14.87</v>
      </c>
      <c r="K860" s="4">
        <v>1.0</v>
      </c>
      <c r="L860" s="3" t="s">
        <v>387</v>
      </c>
      <c r="M860" s="3" t="s">
        <v>4034</v>
      </c>
      <c r="N860" s="7" t="str">
        <f>IFERROR(__xludf.DUMMYFUNCTION("GOOGLETRANSLATE(L860, ""en"", ""pt"")"),"Ordem de serviço não disponível")</f>
        <v>Ordem de serviço não disponível</v>
      </c>
      <c r="O860" s="7" t="str">
        <f>IFERROR(__xludf.DUMMYFUNCTION("IF(M860="""","""",GOOGLETRANSLATE(M860,""en"",""pt""))"),"Deveres gerais: A babá deverá fornecer cuidados responsáveis ​​para um recém-nascido e uma criança de quatro anos. Cuidados e desenvolvimento infantil: Orientação gentil: Em nenhuma circunstância as crianças poderão se envolver em qualquer atividade consi"&amp;"derada perigosa pelos pais ou pela babá. As crianças não devem ser palmadas, agredidas ou tocadas com força por transgressões. Sonecas: A babá garantirá que as crianças sigam o horário e a rotina de sonecas fornecidos pelos pais. Refeições e lanches: A ba"&amp;"bá providenciará três refeições completas por dia, dois lanches saudáveis ​​por dia e mamadeiras conforme necessário. Tempo ao ar livre: A babá passará pelo menos 90 minutos por dia ao ar livre com as crianças, se o tempo permitir, no quintal da casa dos "&amp;"pais ou em parques aprovados pelos pais. A babá garantirá proteção adequada contra sol, chuva ou neve para as crianças. Atualizações regulares: A babá fornecerá aos pais atualizações diárias por mensagem de texto, foto ou vídeo. Transporte: As crianças nã"&amp;"o serão transportadas sem o consentimento e as instruções prévias dos pais. Todo o transporte será feito no veículo dos pais, com uma cadeirinha apropriada fornecida e aprovada pelos pais. Tarefas Domésticas: Louças/Mamadeiras: A babá é responsável pela l"&amp;"impeza diária de todas as mamadeiras, copos, pratos, etc., usados ​​pelas crianças. A babá colocará a louça suja na lava-louças e ligará o ciclo apropriado. Limpeza da Cozinha: A babá aspirará e/ou varrerá embaixo das mesas da cozinha e limpará as mesas e"&amp;" bancadas após as refeições, conforme necessário. Áreas de Brincadeira: A babá recolherá os brinquedos e roupas diariamente nas áreas de brincadeira das crianças (incluindo os quartos das crianças, sala de jogos, sala de estar e área externa) e fará o rod"&amp;"ízio dos brinquedos periodicamente. Outras Tarefas Domésticas: A babá será responsável por outras tarefas domésticas, conforme razoavelmente solicitado pelos pais, incluindo arrumar as malas das crianças para viagens e organizar o quarto das crianças. Out"&amp;"ras Responsabilidades: Diretrizes para Deixar as Crianças Sob os Cuidados de Outros: A babá não deixará as crianças sob os cuidados de nenhum parente, vizinho, amigo da família ou pai/mãe de amigo(a) sem a autorização expressa dos pais. Proibida a entrada"&amp;" de visitantes sem consentimento: A babá não poderá receber visitas em casa sem o consentimento prévio dos pais. Protocolo de emergência: Em caso de emergência, a babá deverá ligar imediatamente para o 911 (número de emergência nos EUA) e, em seguida, not"&amp;"ificar os pais. Suprimentos e equipamentos: Os pais deverão fornecer os suprimentos e equipamentos necessários, incluindo cadeirinhas de carro adequadas e proteção adequada contra sol, chuva e neve (por exemplo, protetor solar, jaquetas). Classificação da"&amp;" função: 39-9011.01 - Babás. A classificação e descrição da função/setor incluem informações gerais sobre o cargo, de acordo com o ONET/OES e o Sistema de Classificação Industrial da América do Norte. Consulte as Funções e a Ordem de Serviço para obter ma"&amp;"is informações. Requisitos da vaga: Experiência exigida: Não. Número de horas por semana: 53. Horário de trabalho (início/término): 8h às 17h.")</f>
        <v>Deveres gerais: A babá deverá fornecer cuidados responsáveis ​​para um recém-nascido e uma criança de quatro anos. Cuidados e desenvolvimento infantil: Orientação gentil: Em nenhuma circunstância as crianças poderão se envolver em qualquer atividade considerada perigosa pelos pais ou pela babá. As crianças não devem ser palmadas, agredidas ou tocadas com força por transgressões. Sonecas: A babá garantirá que as crianças sigam o horário e a rotina de sonecas fornecidos pelos pais. Refeições e lanches: A babá providenciará três refeições completas por dia, dois lanches saudáveis ​​por dia e mamadeiras conforme necessário. Tempo ao ar livre: A babá passará pelo menos 90 minutos por dia ao ar livre com as crianças, se o tempo permitir, no quintal da casa dos pais ou em parques aprovados pelos pais. A babá garantirá proteção adequada contra sol, chuva ou neve para as crianças. Atualizações regulares: A babá fornecerá aos pais atualizações diárias por mensagem de texto, foto ou vídeo. Transporte: As crianças não serão transportadas sem o consentimento e as instruções prévias dos pais. Todo o transporte será feito no veículo dos pais, com uma cadeirinha apropriada fornecida e aprovada pelos pais. Tarefas Domésticas: Louças/Mamadeiras: A babá é responsável pela limpeza diária de todas as mamadeiras, copos, pratos, etc., usados ​​pelas crianças. A babá colocará a louça suja na lava-louças e ligará o ciclo apropriado. Limpeza da Cozinha: A babá aspirará e/ou varrerá embaixo das mesas da cozinha e limpará as mesas e bancadas após as refeições, conforme necessário. Áreas de Brincadeira: A babá recolherá os brinquedos e roupas diariamente nas áreas de brincadeira das crianças (incluindo os quartos das crianças, sala de jogos, sala de estar e área externa) e fará o rodízio dos brinquedos periodicamente. Outras Tarefas Domésticas: A babá será responsável por outras tarefas domésticas, conforme razoavelmente solicitado pelos pais, incluindo arrumar as malas das crianças para viagens e organizar o quarto das crianças. Outras Responsabilidades: Diretrizes para Deixar as Crianças Sob os Cuidados de Outros: A babá não deixará as crianças sob os cuidados de nenhum parente, vizinho, amigo da família ou pai/mãe de amigo(a) sem a autorização expressa dos pais. Proibida a entrada de visitantes sem consentimento: A babá não poderá receber visitas em casa sem o consentimento prévio dos pais. Protocolo de emergência: Em caso de emergência, a babá deverá ligar imediatamente para o 911 (número de emergência nos EUA) e, em seguida, notificar os pais. Suprimentos e equipamentos: Os pais deverão fornecer os suprimentos e equipamentos necessários, incluindo cadeirinhas de carro adequadas e proteção adequada contra sol, chuva e neve (por exemplo, protetor solar, jaquetas). Classificação da função: 39-9011.01 - Babás. A classificação e descrição da função/setor incluem informações gerais sobre o cargo, de acordo com o ONET/OES e o Sistema de Classificação Industrial da América do Norte. Consulte as Funções e a Ordem de Serviço para obter mais informações. Requisitos da vaga: Experiência exigida: Não. Número de horas por semana: 53. Horário de trabalho (início/término): 8h às 17h.</v>
      </c>
    </row>
    <row r="861" ht="20.25" customHeight="1">
      <c r="A861" s="8" t="s">
        <v>4035</v>
      </c>
      <c r="B861" s="8" t="s">
        <v>4036</v>
      </c>
      <c r="C861" s="8" t="s">
        <v>3974</v>
      </c>
      <c r="D861" s="8" t="s">
        <v>28</v>
      </c>
      <c r="E861" s="9" t="s">
        <v>19</v>
      </c>
      <c r="F861" s="9" t="s">
        <v>20</v>
      </c>
      <c r="G861" s="9" t="s">
        <v>377</v>
      </c>
      <c r="H861" s="8" t="s">
        <v>4037</v>
      </c>
      <c r="I861" s="8" t="s">
        <v>4002</v>
      </c>
      <c r="J861" s="9">
        <v>24.39</v>
      </c>
      <c r="K861" s="9">
        <v>25.0</v>
      </c>
      <c r="L861" s="8" t="s">
        <v>3490</v>
      </c>
      <c r="M861" s="8" t="s">
        <v>4003</v>
      </c>
      <c r="N861" s="7" t="str">
        <f>IFERROR(__xludf.DUMMYFUNCTION("GOOGLETRANSLATE(L861, ""en"", ""pt"")"),"Marinheiro de convés, barco de pesca de ostras")</f>
        <v>Marinheiro de convés, barco de pesca de ostras</v>
      </c>
      <c r="O861" s="7" t="str">
        <f>IFERROR(__xludf.DUMMYFUNCTION("IF(M861="""","""",GOOGLETRANSLATE(M861,""en"",""pt""))"),"Utilizar redes, armadilhas, dragas ou outros equipamentos para colher e coletar ostras do fundo do mar, içá-las para os barcos, ensacá-las e empilhá-las. Descarregar os sacos do barco para o cais. Limpar o barco. Classificação da função: 45-3031.00 - Trab"&amp;"alhadores da Pesca e Caça. A classificação e descrição da função/setor inclui informações gerais sobre o cargo, de acordo com o ONET/OES e o Sistema de Classificação Industrial da América do Norte. Consulte as Funções e a Ordem de Serviço para obter mais "&amp;"informações. Requisitos da função: Experiência necessária: Não. Número de horas por semana: 40. Horário de trabalho (início/término): 6h às 14h.")</f>
        <v>Utilizar redes, armadilhas, dragas ou outros equipamentos para colher e coletar ostras do fundo do mar, içá-las para os barcos, ensacá-las e empilhá-las. Descarregar os sacos do barco para o cais. Limpar o barco. Classificação da função: 45-3031.00 - Trabalhadores da Pesca e Caça. A classificação e descrição da função/setor inclui informações gerais sobre o cargo, de acordo com o ONET/OES e o Sistema de Classificação Industrial da América do Norte. Consulte as Funções e a Ordem de Serviço para obter mais informações. Requisitos da função: Experiência necessária: Não. Número de horas por semana: 40. Horário de trabalho (início/término): 6h às 14h.</v>
      </c>
    </row>
    <row r="862" ht="20.25" customHeight="1">
      <c r="A862" s="3" t="s">
        <v>4038</v>
      </c>
      <c r="B862" s="3" t="s">
        <v>4039</v>
      </c>
      <c r="C862" s="3" t="s">
        <v>3981</v>
      </c>
      <c r="D862" s="3" t="s">
        <v>992</v>
      </c>
      <c r="E862" s="4" t="s">
        <v>19</v>
      </c>
      <c r="F862" s="4" t="s">
        <v>20</v>
      </c>
      <c r="G862" s="4" t="s">
        <v>4040</v>
      </c>
      <c r="H862" s="3" t="s">
        <v>4041</v>
      </c>
      <c r="I862" s="3" t="s">
        <v>4042</v>
      </c>
      <c r="J862" s="4">
        <v>16.92</v>
      </c>
      <c r="K862" s="4">
        <v>1.0</v>
      </c>
      <c r="L862" s="3" t="s">
        <v>387</v>
      </c>
      <c r="M862" s="3" t="s">
        <v>4043</v>
      </c>
      <c r="N862" s="7" t="str">
        <f>IFERROR(__xludf.DUMMYFUNCTION("GOOGLETRANSLATE(L862, ""en"", ""pt"")"),"Ordem de serviço não disponível")</f>
        <v>Ordem de serviço não disponível</v>
      </c>
      <c r="O862" s="7" t="str">
        <f>IFERROR(__xludf.DUMMYFUNCTION("IF(M862="""","""",GOOGLETRANSLATE(M862,""en"",""pt""))"),"Deveres gerais: A babá deverá fornecer cuidados responsáveis ​​às crianças e auxiliar nas tarefas domésticas. Isso inclui, mas não se limita ao seguinte: • Orientação gentil: Em nenhuma hipótese será permitido que uma criança participe de qualquer ativida"&amp;"de considerada perigosa pelos pais ou pela babá. As crianças não devem ser palmadas, agredidas ou tocadas com força por transgressões. • Transporte: As crianças não serão transportadas sem o consentimento prévio e as instruções dos pais. As crianças não s"&amp;"erão transportadas para a casa de outra pessoa sem o consentimento prévio dos pais. Todo o transporte será feito no veículo dos pais e com cadeirinha apropriada, fornecida e aprovada pelos pais. Nenhuma pessoa, além de cuidadores ou babás aprovados pelos "&amp;"pais, tem permissão para transportar as crianças sem o consentimento prévio dos pais. Os pais arcarão com todas as despesas razoáveis ​​associadas, incluindo o seguro do carro e o combustível da babá (a babá será reembolsada pelos custos de combustível as"&amp;"sociados ao transporte das crianças, não para viagens pessoais). • Refeições: A babá providenciará três refeições completas por dia, lanches saudáveis ​​e mamadeiras. • Sonecas: A babá garantirá que as crianças sigam o horário e a rotina de sonecas estabe"&amp;"lecidos pelos pais. • Diretrizes para liberar as crianças: A babá não liberará as crianças para nenhum parente, vizinho, amigo da família ou pai/mãe de amigo(a) sem a autorização expressa dos pais. • Tempo ao ar livre: A babá passará pelo menos sessenta ("&amp;"60) minutos por dia ao ar livre com a criança, se o tempo permitir, no quintal da casa dos pais ou em parques aprovados pelos pais. A babá garantirá proteção adequada contra sol ou chuva/neve para a criança (por exemplo, protetor solar, jaquetas, etc., a "&amp;"serem providenciados pelos pais). • Atualizações regulares para os pais: A babá fornecerá aos pais uma atualização diária por mensagem de texto ou e-mail. Tarefas domésticas: A babá será responsável pelas seguintes tarefas domésticas como parte de seu tra"&amp;"balho: i. Utensílios de cozinha/mamadeiras: Limpeza diária de todas as mamadeiras, copos, pratos, etc., utilizados pela criança e pela babá (por exemplo, a babá colocará a louça suja na lava-louças e ligará a máquina apropriada). A babá também aspirará e/"&amp;"ou varrerá embaixo das mesas da cozinha e limpará as mesas e bancadas após as refeições, conforme necessário. ii. Área de brincar: Recolher diariamente os brinquedos e roupas das áreas de brincar da criança (incluindo os quartos da criança, sala de brinqu"&amp;"edos, sala de estar e área externa) e trocar os brinquedos periodicamente. iii. Lavanderia: Lavagem e passagem das roupas e roupas de cama das crianças semanalmente. iv. Cozinha: Planejamento semanal das refeições e preparo antecipado das refeições para a"&amp;"s crianças, que serão armazenadas no freezer. As refeições a serem preparadas para as crianças devem ser acordadas com os pais antes do preparo. v. Atividades: Organização, agendamento e participação em aulas, encontros com outras crianças e atividades ap"&amp;"ropriadas, a serem acordadas com os pais. Classificação da Função: 39-9011.01 - Babás. A classificação e descrição da função/setor inclui informações gerais sobre o cargo, de acordo com o ONET/OES e o Sistema de Classificação Industrial da América do Nort"&amp;"e. Consulte as Funções e a Ordem de Serviço para obter mais informações. Requisitos da Função: Experiência Necessária: Não. Requisitos Especiais: A babá concorda em obter o treinamento de Certificação em Ressuscitação Cardiopulmonar (RCP) para bebês antes"&amp;" ou depois de chegar ao local de trabalho. O empregador reembolsará a babá pelos custos de tal certificação. A babá deverá fazer aulas de direção nos EUA, caso não possua carteira de habilitação ou possua carteira de habilitação estrangeira. Número de Hor"&amp;"as por Semana: 44. Horário de Trabalho (Início/Término): 9h às 17h.")</f>
        <v>Deveres gerais: A babá deverá fornecer cuidados responsáveis ​​às crianças e auxiliar nas tarefas domésticas. Isso inclui, mas não se limita ao seguinte: • Orientação gentil: Em nenhuma hipótese será permitido que uma criança participe de qualquer atividade considerada perigosa pelos pais ou pela babá. As crianças não devem ser palmadas, agredidas ou tocadas com força por transgressões. • Transporte: As crianças não serão transportadas sem o consentimento prévio e as instruções dos pais. As crianças não serão transportadas para a casa de outra pessoa sem o consentimento prévio dos pais. Todo o transporte será feito no veículo dos pais e com cadeirinha apropriada, fornecida e aprovada pelos pais. Nenhuma pessoa, além de cuidadores ou babás aprovados pelos pais, tem permissão para transportar as crianças sem o consentimento prévio dos pais. Os pais arcarão com todas as despesas razoáveis ​​associadas, incluindo o seguro do carro e o combustível da babá (a babá será reembolsada pelos custos de combustível associados ao transporte das crianças, não para viagens pessoais). • Refeições: A babá providenciará três refeições completas por dia, lanches saudáveis ​​e mamadeiras. • Sonecas: A babá garantirá que as crianças sigam o horário e a rotina de sonecas estabelecidos pelos pais. • Diretrizes para liberar as crianças: A babá não liberará as crianças para nenhum parente, vizinho, amigo da família ou pai/mãe de amigo(a) sem a autorização expressa dos pais. • Tempo ao ar livre: A babá passará pelo menos sessenta (60) minutos por dia ao ar livre com a criança, se o tempo permitir, no quintal da casa dos pais ou em parques aprovados pelos pais. A babá garantirá proteção adequada contra sol ou chuva/neve para a criança (por exemplo, protetor solar, jaquetas, etc., a serem providenciados pelos pais). • Atualizações regulares para os pais: A babá fornecerá aos pais uma atualização diária por mensagem de texto ou e-mail. Tarefas domésticas: A babá será responsável pelas seguintes tarefas domésticas como parte de seu trabalho: i. Utensílios de cozinha/mamadeiras: Limpeza diária de todas as mamadeiras, copos, pratos, etc., utilizados pela criança e pela babá (por exemplo, a babá colocará a louça suja na lava-louças e ligará a máquina apropriada). A babá também aspirará e/ou varrerá embaixo das mesas da cozinha e limpará as mesas e bancadas após as refeições, conforme necessário. ii. Área de brincar: Recolher diariamente os brinquedos e roupas das áreas de brincar da criança (incluindo os quartos da criança, sala de brinquedos, sala de estar e área externa) e trocar os brinquedos periodicamente. iii. Lavanderia: Lavagem e passagem das roupas e roupas de cama das crianças semanalmente. iv. Cozinha: Planejamento semanal das refeições e preparo antecipado das refeições para as crianças, que serão armazenadas no freezer. As refeições a serem preparadas para as crianças devem ser acordadas com os pais antes do preparo. v. Atividades: Organização, agendamento e participação em aulas, encontros com outras crianças e atividades apropriadas, a serem acordadas com os pais. Classificação da Função: 39-9011.01 - Babás. A classificação e descrição da função/setor inclui informações gerais sobre o cargo, de acordo com o ONET/OES e o Sistema de Classificação Industrial da América do Norte. Consulte as Funções e a Ordem de Serviço para obter mais informações. Requisitos da Função: Experiência Necessária: Não. Requisitos Especiais: A babá concorda em obter o treinamento de Certificação em Ressuscitação Cardiopulmonar (RCP) para bebês antes ou depois de chegar ao local de trabalho. O empregador reembolsará a babá pelos custos de tal certificação. A babá deverá fazer aulas de direção nos EUA, caso não possua carteira de habilitação ou possua carteira de habilitação estrangeira. Número de Horas por Semana: 44. Horário de Trabalho (Início/Término): 9h às 17h.</v>
      </c>
    </row>
    <row r="863" ht="20.25" customHeight="1">
      <c r="A863" s="8" t="s">
        <v>4044</v>
      </c>
      <c r="B863" s="8" t="s">
        <v>4045</v>
      </c>
      <c r="C863" s="8" t="s">
        <v>3981</v>
      </c>
      <c r="D863" s="8" t="s">
        <v>596</v>
      </c>
      <c r="E863" s="9" t="s">
        <v>19</v>
      </c>
      <c r="F863" s="9" t="s">
        <v>20</v>
      </c>
      <c r="G863" s="9" t="s">
        <v>4046</v>
      </c>
      <c r="H863" s="8" t="s">
        <v>4047</v>
      </c>
      <c r="I863" s="8" t="s">
        <v>4048</v>
      </c>
      <c r="J863" s="9">
        <v>19.02</v>
      </c>
      <c r="K863" s="9">
        <v>2.0</v>
      </c>
      <c r="L863" s="8" t="s">
        <v>4049</v>
      </c>
      <c r="M863" s="8" t="s">
        <v>4050</v>
      </c>
      <c r="N863" s="7" t="str">
        <f>IFERROR(__xludf.DUMMYFUNCTION("GOOGLETRANSLATE(L863, ""en"", ""pt"")"),"Cuidador")</f>
        <v>Cuidador</v>
      </c>
      <c r="O863" s="7" t="str">
        <f>IFERROR(__xludf.DUMMYFUNCTION("IF(M863="""","""",GOOGLETRANSLATE(M863,""en"",""pt""))"),"Prestar cuidados de saúde individualizados de rotina, como troca de curativos e aplicação de medicamentos tópicos no domicílio do cliente com deficiência. Monitorar e relatar alterações no estado de saúde. Também poderá prestar cuidados pessoais, como ban"&amp;"ho, vestimenta e higiene do cliente. Dirigir e acompanhar o cliente a consultas médicas e outros compromissos necessários. Classificação da vaga: 31-1121.00 - Auxiliares de Saúde Domiciliar. A classificação e descrição da vaga/setor incluem informações ge"&amp;"rais sobre o cargo, de acordo com o ONET/OES e o Sistema de Classificação Industrial da América do Norte (NAICS). Consulte as Funções e a Ordem de Serviço para obter mais informações. Requisitos da vaga: Experiência exigida: Não. Requisitos especiais: Car"&amp;"teira de habilitação ou capacidade de obtê-la. Deve ser capaz de levantar 23 kg. O empregador reserva-se o direito de realizar testes de drogas a qualquer momento. Horário variável. Número de horas por semana: 44. Horário de trabalho (início/término): 8h."&amp;" - 17h00")</f>
        <v>Prestar cuidados de saúde individualizados de rotina, como troca de curativos e aplicação de medicamentos tópicos no domicílio do cliente com deficiência. Monitorar e relatar alterações no estado de saúde. Também poderá prestar cuidados pessoais, como banho, vestimenta e higiene do cliente. Dirigir e acompanhar o cliente a consultas médicas e outros compromissos necessários. Classificação da vaga: 31-1121.00 - Auxiliares de Saúde Domiciliar. A classificação e descrição da vaga/setor incluem informações gerais sobre o cargo, de acordo com o ONET/OES e o Sistema de Classificação Industrial da América do Norte (NAICS). Consulte as Funções e a Ordem de Serviço para obter mais informações. Requisitos da vaga: Experiência exigida: Não. Requisitos especiais: Carteira de habilitação ou capacidade de obtê-la. Deve ser capaz de levantar 23 kg. O empregador reserva-se o direito de realizar testes de drogas a qualquer momento. Horário variável. Número de horas por semana: 44. Horário de trabalho (início/término): 8h. - 17h00</v>
      </c>
    </row>
    <row r="864" ht="20.25" customHeight="1">
      <c r="A864" s="3" t="s">
        <v>4051</v>
      </c>
      <c r="B864" s="3" t="s">
        <v>4052</v>
      </c>
      <c r="C864" s="3" t="s">
        <v>3981</v>
      </c>
      <c r="D864" s="3" t="s">
        <v>596</v>
      </c>
      <c r="E864" s="4" t="s">
        <v>44</v>
      </c>
      <c r="F864" s="4" t="s">
        <v>20</v>
      </c>
      <c r="G864" s="4" t="s">
        <v>4053</v>
      </c>
      <c r="H864" s="3" t="s">
        <v>4054</v>
      </c>
      <c r="I864" s="3" t="s">
        <v>4055</v>
      </c>
      <c r="J864" s="4">
        <v>40.75</v>
      </c>
      <c r="K864" s="4">
        <v>1.0</v>
      </c>
      <c r="L864" s="3" t="s">
        <v>4056</v>
      </c>
      <c r="M864" s="3" t="s">
        <v>4057</v>
      </c>
      <c r="N864" s="7" t="str">
        <f>IFERROR(__xludf.DUMMYFUNCTION("GOOGLETRANSLATE(L864, ""en"", ""pt"")"),"Gerente da Casa")</f>
        <v>Gerente da Casa</v>
      </c>
      <c r="O864" s="7" t="str">
        <f>IFERROR(__xludf.DUMMYFUNCTION("IF(M864="""","""",GOOGLETRANSLATE(M864,""en"",""pt""))"),"Esta é uma vaga de Gerente Doméstico, em uma casa com vários funcionários domésticos. O Gerente Doméstico será responsável por gerenciar os horários e calendários da casa, incluindo os horários das crianças e dos cuidadores designados para elas. Uma das c"&amp;"rianças é um bebê. As responsabilidades incluem: planejamento, organização e coordenação de eventos para as crianças; agendamento de consultas para necessidades pessoais e profissionais das crianças e da família; agendamento de serviços de manutenção e re"&amp;"paros domésticos e supervisão dos projetos; pagamento das contas da casa e tarefas administrativas para os pais, relacionadas tanto à família quanto às crianças; realização de tarefas e recados necessários, como entrega de compras; supervisão de outros fu"&amp;"ncionários domésticos, como babás (a família tem uma); compras de alimentos, suprimentos e outros itens solicitados. Outras tarefas domésticas: O Gerente Doméstico também será responsável pelas seguintes tarefas domésticas como parte de suas funções: i. L"&amp;"ouças/mamadeiras: auxiliar, quando necessário, na limpeza diária de todas as mamadeiras, copos, pratos, etc., usados ​​pela criança e pelos funcionários domésticos. ii. Área de Brincadeiras: Recolher diariamente os brinquedos e roupas nas áreas de brincad"&amp;"eiras da criança (incluindo os quartos da criança, sala de jogos, sala de estar e área externa) e trocar os brinquedos periodicamente. iii. Lavanderia da Criança: Lavar semanalmente, ou mediante solicitação, as roupas do bebê, incluindo roupas, lençóis, b"&amp;"abadores, capa da cadeirinha de alimentação, trocador, etc. Classificação do Cargo: 11-9179.00 - Gerentes de Serviços Pessoais, Outros. A classificação e descrição do cargo/setor inclui informações gerais sobre a posição, de acordo com o ONET/OES e o Sist"&amp;"ema de Classificação Industrial da América do Norte. Consulte as Funções e a Ordem de Serviço para obter mais informações. Requisitos do Cargo Experiência Necessária: Sim Meses de Experiência Necessários: 12 Requisitos Especiais: Certificação em RCP Númer"&amp;"o de Horas por Semana: 44 Horário de Trabalho (Início/Término): 8h00 - 17h00")</f>
        <v>Esta é uma vaga de Gerente Doméstico, em uma casa com vários funcionários domésticos. O Gerente Doméstico será responsável por gerenciar os horários e calendários da casa, incluindo os horários das crianças e dos cuidadores designados para elas. Uma das crianças é um bebê. As responsabilidades incluem: planejamento, organização e coordenação de eventos para as crianças; agendamento de consultas para necessidades pessoais e profissionais das crianças e da família; agendamento de serviços de manutenção e reparos domésticos e supervisão dos projetos; pagamento das contas da casa e tarefas administrativas para os pais, relacionadas tanto à família quanto às crianças; realização de tarefas e recados necessários, como entrega de compras; supervisão de outros funcionários domésticos, como babás (a família tem uma); compras de alimentos, suprimentos e outros itens solicitados. Outras tarefas domésticas: O Gerente Doméstico também será responsável pelas seguintes tarefas domésticas como parte de suas funções: i. Louças/mamadeiras: auxiliar, quando necessário, na limpeza diária de todas as mamadeiras, copos, pratos, etc., usados ​​pela criança e pelos funcionários domésticos. ii. Área de Brincadeiras: Recolher diariamente os brinquedos e roupas nas áreas de brincadeiras da criança (incluindo os quartos da criança, sala de jogos, sala de estar e área externa) e trocar os brinquedos periodicamente. iii. Lavanderia da Criança: Lavar semanalmente, ou mediante solicitação, as roupas do bebê, incluindo roupas, lençóis, babadores, capa da cadeirinha de alimentação, trocador, etc. Classificação do Cargo: 11-9179.00 - Gerentes de Serviços Pessoais, Outros. A classificação e descrição do cargo/setor inclui informações gerais sobre a posição, de acordo com o ONET/OES e o Sistema de Classificação Industrial da América do Norte. Consulte as Funções e a Ordem de Serviço para obter mais informações. Requisitos do Cargo Experiência Necessária: Sim Meses de Experiência Necessários: 12 Requisitos Especiais: Certificação em RCP Número de Horas por Semana: 44 Horário de Trabalho (Início/Término): 8h00 - 17h00</v>
      </c>
    </row>
    <row r="865" ht="20.25" customHeight="1">
      <c r="A865" s="8" t="s">
        <v>4058</v>
      </c>
      <c r="B865" s="8" t="s">
        <v>4059</v>
      </c>
      <c r="C865" s="8" t="s">
        <v>3988</v>
      </c>
      <c r="D865" s="8" t="s">
        <v>186</v>
      </c>
      <c r="E865" s="9" t="s">
        <v>44</v>
      </c>
      <c r="F865" s="9" t="s">
        <v>20</v>
      </c>
      <c r="G865" s="9" t="s">
        <v>307</v>
      </c>
      <c r="H865" s="8" t="s">
        <v>4060</v>
      </c>
      <c r="I865" s="8" t="s">
        <v>4061</v>
      </c>
      <c r="J865" s="9">
        <v>20.6</v>
      </c>
      <c r="K865" s="9">
        <v>13.0</v>
      </c>
      <c r="L865" s="8" t="s">
        <v>4062</v>
      </c>
      <c r="M865" s="8" t="s">
        <v>4063</v>
      </c>
      <c r="N865" s="7" t="str">
        <f>IFERROR(__xludf.DUMMYFUNCTION("GOOGLETRANSLATE(L865, ""en"", ""pt"")"),"Mão de obra para eventos especiais")</f>
        <v>Mão de obra para eventos especiais</v>
      </c>
      <c r="O865" s="7" t="str">
        <f>IFERROR(__xludf.DUMMYFUNCTION("IF(M865="""","""",GOOGLETRANSLATE(M865,""en"",""pt""))"),"Movimentar e montar manualmente cargas, estoques ou outros materiais relacionados à montagem de grandes estruturas de tendas, incluindo o carregamento e descarregamento de equipamentos/mobiliário para eventos internos e externos. Montar e desmontar mesas,"&amp;" cadeiras, pistas de dança, palcos, tendas, etc. Limpar a área antes e depois dos eventos. Classificação da função: 53-7062.00 - Operários e Movimentadores de Carga, Estoque e Materiais. A classificação e descrição da função/setor inclui informações gerai"&amp;"s sobre o cargo, de acordo com o ONET/OES e o Sistema de Classificação Industrial da América do Norte (NAICS). Consulte as Funções e a Ordem de Serviço para obter mais informações. Requisitos da vaga: Experiência necessária: Sim. Meses de experiência nece"&amp;"ssários: 3. Requisitos especiais: Deve ser capaz de levantar/carregar 23 kg e trabalhar em posições curvadas e em pé por longos períodos e em todos os tipos de clima. Trabalho aos sábados e domingos, conforme necessário. Número de horas por semana: 40. Ho"&amp;"rário de trabalho (início/término): 7h às 16h.")</f>
        <v>Movimentar e montar manualmente cargas, estoques ou outros materiais relacionados à montagem de grandes estruturas de tendas, incluindo o carregamento e descarregamento de equipamentos/mobiliário para eventos internos e externos. Montar e desmontar mesas, cadeiras, pistas de dança, palcos, tendas, etc. Limpar a área antes e depois dos eventos. Classificação da função: 53-7062.00 - Operários e Movimentadores de Carga, Estoque e Materiais. A classificação e descrição da função/setor inclui informações gerais sobre o cargo, de acordo com o ONET/OES e o Sistema de Classificação Industrial da América do Norte (NAICS). Consulte as Funções e a Ordem de Serviço para obter mais informações. Requisitos da vaga: Experiência necessária: Sim. Meses de experiência necessários: 3. Requisitos especiais: Deve ser capaz de levantar/carregar 23 kg e trabalhar em posições curvadas e em pé por longos períodos e em todos os tipos de clima. Trabalho aos sábados e domingos, conforme necessário. Número de horas por semana: 40. Horário de trabalho (início/término): 7h às 16h.</v>
      </c>
    </row>
    <row r="866" ht="20.25" customHeight="1">
      <c r="A866" s="3" t="s">
        <v>4064</v>
      </c>
      <c r="B866" s="3" t="s">
        <v>4065</v>
      </c>
      <c r="C866" s="3" t="s">
        <v>4066</v>
      </c>
      <c r="D866" s="3" t="s">
        <v>833</v>
      </c>
      <c r="E866" s="4" t="s">
        <v>19</v>
      </c>
      <c r="F866" s="4" t="s">
        <v>20</v>
      </c>
      <c r="G866" s="4" t="s">
        <v>72</v>
      </c>
      <c r="H866" s="3" t="s">
        <v>4067</v>
      </c>
      <c r="I866" s="3" t="s">
        <v>4068</v>
      </c>
      <c r="J866" s="4">
        <v>16.73</v>
      </c>
      <c r="K866" s="4">
        <v>3.0</v>
      </c>
      <c r="L866" s="3" t="s">
        <v>4069</v>
      </c>
      <c r="M866" s="3" t="s">
        <v>4070</v>
      </c>
      <c r="N866" s="7" t="str">
        <f>IFERROR(__xludf.DUMMYFUNCTION("GOOGLETRANSLATE(L866, ""en"", ""pt"")"),"Atendente de Hospedaria")</f>
        <v>Atendente de Hospedaria</v>
      </c>
      <c r="O866" s="7" t="str">
        <f>IFERROR(__xludf.DUMMYFUNCTION("IF(M866="""","""",GOOGLETRANSLATE(M866,""en"",""pt""))"),"**Resposta à Solicitação de Informações** 1. **Auxílio no Preparo de Refeições e Apoio na Cozinha**: O(A) funcionário(a) auxiliará no preparo de refeições leves, no serviço e na manutenção da cozinha, conforme descrito a seguir: - **Preparo de Alimentos**"&amp;": - Montar itens de comida fria (ex.: sanduíches, saladas, pratos de frutas) sob supervisão. - Porcionar bebidas, condimentos e itens pré-cozidos para o serviço. - **Serviço de Refeições**: - Preparar estações de buffet ou áreas de refeição com utensílios"&amp;", guardanapos e alimentos. - Repor os itens de comida durante as refeições e recolher pratos e utensílios após o serviço. - **Lavagem e Higienização de Louças**: - Operar lava-louças industriais para lavar pratos, copos, talheres, panelas e frigideiras. -"&amp;" Esfregar manualmente os itens conforme necessário, higienizá-los e deixá-los secar ao ar. - Manter a limpeza da área de lavagem de louças, esvaziar as lixeiras e lavar o chão da cozinha. - Garantir o cumprimento das normas de saúde e segurança (ex.: higi"&amp;"enização de superfícies, organização do armazenamento). 2. **Funções do Auxiliar de Limpeza**: O funcionário realizará serviços completos de limpeza e manutenção das instalações, incluindo: - **Limpeza dos Quartos**: - Trocar a roupa de cama, substituir a"&amp;"s toalhas e higienizar os banheiros (vasos sanitários, chuveiros e pias). - Limpar o pó dos móveis, aspirar os carpetes e repor os itens de higiene pessoal (sabonete, papel higiênico, etc.). - **Lavanderia**: - Recolher a roupa de cama/toalhas sujas dos q"&amp;"uartos e transportá-las para a lavanderia. - Operar as máquinas de lavar/secar, dobrar a roupa de cama limpa e prepará-la para reutilização. - **Manutenção das Áreas Externas e Comuns**: - Varrer, lavar com mangueira e remover detritos de pátios externos,"&amp;" calçadas e entradas. - Limpar os móveis externos e garantir que as áreas dos hóspedes estejam organizadas e livres de riscos. - Auxiliar em tarefas sazonais (por exemplo, remover neve e folhas). Resumo das Principais Responsabilidades: Esta função dupla "&amp;"garante um serviço impecável aos hóspedes, por meio de: - Apoio nas operações de refeições (preparo, serviço e lavagem de louça). - Manter a limpeza da pousada (quartos, pátios, áreas comuns). - Gerenciar os ciclos de lavanderia e a manutenção externa. **"&amp;"Resposta Original** O Atendente de Hospedagem é responsável por garantir um ambiente limpo, confortável e acolhedor para os hóspedes em uma pequena pousada de caça. Esta função inclui limpeza, manutenção básica, serviços de hospitalidade e assistência aos"&amp;" hóspedes para aprimorar a experiência durante a temporada de caça ou outras atividades sazonais. Os serviços aos hóspedes incluem recepcioná-los e realizar o check-in na chegada; fornecer orientações sobre a pousada, auxiliar os hóspedes com a bagagem e "&amp;"o transporte até as cabanas/quartos, fornecer informações sobre áreas de caça, comodidades da pousada, regulamentos locais e segurança, atender às necessidades dos hóspedes e resolver problemas de forma rápida e profissional, auxiliar no serviço de refeiç"&amp;"ões ou bebidas, conforme necessário. As tarefas de limpeza e manutenção incluem a limpeza de quartos/cabanas, banheiros, áreas comuns e salas de jantar, troca de roupa de cama, arrumação de camas, reposição de toalhas e amenidades, manutenção da limpeza d"&amp;"as áreas externas e realização de manutenção leve (por exemplo, troca de lâmpadas, limpeza de caminhos), relatando problemas de manutenção maiores ao gerente ou proprietário. Apoio na Cozinha: Auxiliar no preparo do café da manhã, almoço e jantar, ou no s"&amp;"erviço de refeições leves, como sanduíches e saladas. Ajudar a manter a limpeza da cozinha e das áreas de refeição, lavar a louça, limpar as superfícies da cozinha e descartar o lixo. Logística e Estoque: Controlar e repor materiais de limpeza, amenidades"&amp;" para hóspedes e outros itens de uso diário, como artigos de higiene pessoal; preparar a pousada e os quartos antes da chegada dos hóspedes e limpar após a partida; manter registros básicos de estoque de suprimentos e notificar a gerência quando os suprim"&amp;"entos estiverem baixos. Classificação da Função: 37-2011.00 - Zeladores e Faxineiros, exceto Camareiras e Auxiliares de Limpeza. A classificação e descrição da função/setor inclui informações gerais sobre o cargo, de acordo com o ONET/OES e o Sistema de C"&amp;"lassificação Industrial da América do Norte. Consulte as Funções e a Ordem de Serviço para obter mais informações. Requisitos da Função: Experiência Necessária: Sim. Meses de Experiência Necessários: 3. Requisitos Especiais: 3 meses de experiência em limp"&amp;"eza de pousadas de caça comerciais. Deve ser capaz de empurrar, puxar, levantar e carregar pelo menos 23 kg. Número de horas por semana: 40 Horário de trabalho (início/término): 8h00 - 17h00")</f>
        <v>**Resposta à Solicitação de Informações** 1. **Auxílio no Preparo de Refeições e Apoio na Cozinha**: O(A) funcionário(a) auxiliará no preparo de refeições leves, no serviço e na manutenção da cozinha, conforme descrito a seguir: - **Preparo de Alimentos**: - Montar itens de comida fria (ex.: sanduíches, saladas, pratos de frutas) sob supervisão. - Porcionar bebidas, condimentos e itens pré-cozidos para o serviço. - **Serviço de Refeições**: - Preparar estações de buffet ou áreas de refeição com utensílios, guardanapos e alimentos. - Repor os itens de comida durante as refeições e recolher pratos e utensílios após o serviço. - **Lavagem e Higienização de Louças**: - Operar lava-louças industriais para lavar pratos, copos, talheres, panelas e frigideiras. - Esfregar manualmente os itens conforme necessário, higienizá-los e deixá-los secar ao ar. - Manter a limpeza da área de lavagem de louças, esvaziar as lixeiras e lavar o chão da cozinha. - Garantir o cumprimento das normas de saúde e segurança (ex.: higienização de superfícies, organização do armazenamento). 2. **Funções do Auxiliar de Limpeza**: O funcionário realizará serviços completos de limpeza e manutenção das instalações, incluindo: - **Limpeza dos Quartos**: - Trocar a roupa de cama, substituir as toalhas e higienizar os banheiros (vasos sanitários, chuveiros e pias). - Limpar o pó dos móveis, aspirar os carpetes e repor os itens de higiene pessoal (sabonete, papel higiênico, etc.). - **Lavanderia**: - Recolher a roupa de cama/toalhas sujas dos quartos e transportá-las para a lavanderia. - Operar as máquinas de lavar/secar, dobrar a roupa de cama limpa e prepará-la para reutilização. - **Manutenção das Áreas Externas e Comuns**: - Varrer, lavar com mangueira e remover detritos de pátios externos, calçadas e entradas. - Limpar os móveis externos e garantir que as áreas dos hóspedes estejam organizadas e livres de riscos. - Auxiliar em tarefas sazonais (por exemplo, remover neve e folhas). Resumo das Principais Responsabilidades: Esta função dupla garante um serviço impecável aos hóspedes, por meio de: - Apoio nas operações de refeições (preparo, serviço e lavagem de louça). - Manter a limpeza da pousada (quartos, pátios, áreas comuns). - Gerenciar os ciclos de lavanderia e a manutenção externa. **Resposta Original** O Atendente de Hospedagem é responsável por garantir um ambiente limpo, confortável e acolhedor para os hóspedes em uma pequena pousada de caça. Esta função inclui limpeza, manutenção básica, serviços de hospitalidade e assistência aos hóspedes para aprimorar a experiência durante a temporada de caça ou outras atividades sazonais. Os serviços aos hóspedes incluem recepcioná-los e realizar o check-in na chegada; fornecer orientações sobre a pousada, auxiliar os hóspedes com a bagagem e o transporte até as cabanas/quartos, fornecer informações sobre áreas de caça, comodidades da pousada, regulamentos locais e segurança, atender às necessidades dos hóspedes e resolver problemas de forma rápida e profissional, auxiliar no serviço de refeições ou bebidas, conforme necessário. As tarefas de limpeza e manutenção incluem a limpeza de quartos/cabanas, banheiros, áreas comuns e salas de jantar, troca de roupa de cama, arrumação de camas, reposição de toalhas e amenidades, manutenção da limpeza das áreas externas e realização de manutenção leve (por exemplo, troca de lâmpadas, limpeza de caminhos), relatando problemas de manutenção maiores ao gerente ou proprietário. Apoio na Cozinha: Auxiliar no preparo do café da manhã, almoço e jantar, ou no serviço de refeições leves, como sanduíches e saladas. Ajudar a manter a limpeza da cozinha e das áreas de refeição, lavar a louça, limpar as superfícies da cozinha e descartar o lixo. Logística e Estoque: Controlar e repor materiais de limpeza, amenidades para hóspedes e outros itens de uso diário, como artigos de higiene pessoal; preparar a pousada e os quartos antes da chegada dos hóspedes e limpar após a partida; manter registros básicos de estoque de suprimentos e notificar a gerência quando os suprimentos estiverem baixos. Classificação da Função: 37-2011.00 - Zeladores e Faxineiros, exceto Camareiras e Auxiliares de Limpeza. A classificação e descrição da função/setor inclui informações gerais sobre o cargo, de acordo com o ONET/OES e o Sistema de Classificação Industrial da América do Norte. Consulte as Funções e a Ordem de Serviço para obter mais informações. Requisitos da Função: Experiência Necessária: Sim. Meses de Experiência Necessários: 3. Requisitos Especiais: 3 meses de experiência em limpeza de pousadas de caça comerciais. Deve ser capaz de empurrar, puxar, levantar e carregar pelo menos 23 kg. Número de horas por semana: 40 Horário de trabalho (início/término): 8h00 - 17h00</v>
      </c>
    </row>
    <row r="867" ht="20.25" customHeight="1">
      <c r="A867" s="8" t="s">
        <v>4071</v>
      </c>
      <c r="B867" s="8" t="s">
        <v>4072</v>
      </c>
      <c r="C867" s="8" t="s">
        <v>4073</v>
      </c>
      <c r="D867" s="8" t="s">
        <v>278</v>
      </c>
      <c r="E867" s="9" t="s">
        <v>44</v>
      </c>
      <c r="F867" s="9" t="s">
        <v>20</v>
      </c>
      <c r="G867" s="9" t="s">
        <v>377</v>
      </c>
      <c r="H867" s="8" t="s">
        <v>4074</v>
      </c>
      <c r="I867" s="8" t="s">
        <v>4075</v>
      </c>
      <c r="J867" s="9">
        <v>23.84</v>
      </c>
      <c r="K867" s="9">
        <v>6.0</v>
      </c>
      <c r="L867" s="8" t="s">
        <v>262</v>
      </c>
      <c r="M867" s="8" t="s">
        <v>4076</v>
      </c>
      <c r="N867" s="7" t="str">
        <f>IFERROR(__xludf.DUMMYFUNCTION("GOOGLETRANSLATE(L867, ""en"", ""pt"")"),"Operário da construção civil")</f>
        <v>Operário da construção civil</v>
      </c>
      <c r="O867" s="7" t="str">
        <f>IFERROR(__xludf.DUMMYFUNCTION("IF(M867="""","""",GOOGLETRANSLATE(M867,""en"",""pt""))"),"Executar tarefas que envolvam trabalho físico em canteiros de obras. Operar ferramentas manuais e elétricas de todos os tipos: martelos pneumáticos, compactadores de solo, pequenos guindastes mecânicos, equipamentos de topografia e medição, e uma variedad"&amp;"e de outros equipamentos e instrumentos. Limpar e preparar terrenos, cavar valas, instalar escoras para sustentar as laterais das escavações, montar andaimes e limpar entulhos, detritos e outros resíduos. Operar bombas, compressores ou geradores para forn"&amp;"ecer energia para ferramentas, máquinas ou equipamentos, ou para aquecer ou movimentar materiais, como asfalto. Lubrificar, limpar ou reparar máquinas, equipamentos ou ferramentas. Sinalizar para os operadores de equipamentos para facilitar o alinhamento,"&amp;" movimentação ou ajuste de máquinas, equipamentos ou materiais. Ler plantas, instruções ou especificações para determinar as atividades de trabalho. Medir, marcar ou registrar aberturas ou distâncias para delimitar as áreas onde o trabalho de construção s"&amp;"erá realizado. Limpar ou preparar canteiros de obras para eliminar possíveis riscos. Carregar, descarregar ou identificar materiais de construção, máquinas ou ferramentas, distribuindo-os para os locais apropriados, de acordo com as plantas ou especificaç"&amp;"ões do projeto. Auxiliar outros trabalhadores especializados. Classificação da Função: 47-2061.00 - Operários da Construção Civil. A classificação e descrição da função/setor inclui informações gerais sobre o cargo, conforme o ONET/OES e o Sistema de Clas"&amp;"sificação Industrial da América do Norte (NAICS). Consulte as Funções e a Ordem de Serviço para obter mais informações. Requisitos da Função: Experiência Necessária: Não. Requisitos Especiais: Capacidade de levantar 34 kg (75 libras); Capacidade de ler um"&amp;"a trena; Capacidade de dirigir; Capacidade de falar inglês. Número de Horas por Semana: 55. Horário de Trabalho (Início/Término): 7h00 - 19h00.")</f>
        <v>Executar tarefas que envolvam trabalho físico em canteiros de obras. Operar ferramentas manuais e elétricas de todos os tipos: martelos pneumáticos, compactadores de solo, pequenos guindastes mecânicos, equipamentos de topografia e medição, e uma variedade de outros equipamentos e instrumentos. Limpar e preparar terrenos, cavar valas, instalar escoras para sustentar as laterais das escavações, montar andaimes e limpar entulhos, detritos e outros resíduos. Operar bombas, compressores ou geradores para fornecer energia para ferramentas, máquinas ou equipamentos, ou para aquecer ou movimentar materiais, como asfalto. Lubrificar, limpar ou reparar máquinas, equipamentos ou ferramentas. Sinalizar para os operadores de equipamentos para facilitar o alinhamento, movimentação ou ajuste de máquinas, equipamentos ou materiais. Ler plantas, instruções ou especificações para determinar as atividades de trabalho. Medir, marcar ou registrar aberturas ou distâncias para delimitar as áreas onde o trabalho de construção será realizado. Limpar ou preparar canteiros de obras para eliminar possíveis riscos. Carregar, descarregar ou identificar materiais de construção, máquinas ou ferramentas, distribuindo-os para os locais apropriados, de acordo com as plantas ou especificações do projeto. Auxiliar outros trabalhadores especializados. Classificação da Função: 47-2061.00 - Operários da Construção Civil. A classificação e descrição da função/setor inclui informações gerais sobre o cargo, conforme o ONET/OES e o Sistema de Classificação Industrial da América do Norte (NAICS). Consulte as Funções e a Ordem de Serviço para obter mais informações. Requisitos da Função: Experiência Necessária: Não. Requisitos Especiais: Capacidade de levantar 34 kg (75 libras); Capacidade de ler uma trena; Capacidade de dirigir; Capacidade de falar inglês. Número de Horas por Semana: 55. Horário de Trabalho (Início/Término): 7h00 - 19h00.</v>
      </c>
    </row>
    <row r="868" ht="20.25" customHeight="1">
      <c r="A868" s="3" t="s">
        <v>4077</v>
      </c>
      <c r="B868" s="3" t="s">
        <v>4078</v>
      </c>
      <c r="C868" s="3" t="s">
        <v>3988</v>
      </c>
      <c r="D868" s="3" t="s">
        <v>55</v>
      </c>
      <c r="E868" s="4" t="s">
        <v>19</v>
      </c>
      <c r="F868" s="4" t="s">
        <v>20</v>
      </c>
      <c r="G868" s="4" t="s">
        <v>307</v>
      </c>
      <c r="H868" s="3" t="s">
        <v>4079</v>
      </c>
      <c r="I868" s="3" t="s">
        <v>4080</v>
      </c>
      <c r="J868" s="4">
        <v>20.15</v>
      </c>
      <c r="K868" s="4">
        <v>20.0</v>
      </c>
      <c r="L868" s="3" t="s">
        <v>3991</v>
      </c>
      <c r="M868" s="3" t="s">
        <v>4081</v>
      </c>
      <c r="N868" s="7" t="str">
        <f>IFERROR(__xludf.DUMMYFUNCTION("GOOGLETRANSLATE(L868, ""en"", ""pt"")"),"Trabalho de paisagismo")</f>
        <v>Trabalho de paisagismo</v>
      </c>
      <c r="O868" s="7" t="str">
        <f>IFERROR(__xludf.DUMMYFUNCTION("IF(M868="""","""",GOOGLETRANSLATE(M868,""en"",""pt""))"),"Realizar a manutenção de áreas verdes, executando tarefas como plantio, poda, corte e acabamento de gramados e jardins, utilizando cortadores de grama, aparadores, bordadeiras e ferramentas similares. Remover ervas daninhas e folhas e detritos com soprado"&amp;"res. Instalar grama em placas (relva) conforme SEC/OES 37-3011. Classificação da função: 37-3011.00 - Trabalhadores de Paisagismo e Manutenção de Áreas Verdes. A classificação e descrição da função/setor incluem informações gerais sobre o cargo, de acordo"&amp;" com o ONET/OES e o Sistema de Classificação Industrial da América do Norte (NAICS). Consulte as Funções e a Ordem de Serviço para obter mais informações. Requisitos da vaga: Experiência exigida: Sim. Meses de experiência exigidos: 3. Requisitos especiais"&amp;": Capacidade de levantar/carregar no mínimo 23 kg e trabalhar em posições curvadas/em pé por longos períodos e em todos os tipos de clima. Disponibilidade para trabalhar aos sábados e domingos, conforme necessário. Após a oferta de emprego e antes do perí"&amp;"odo de integração, todos os novos contratados, tanto americanos quanto com visto H-2B, devem se submeter e ser aprovados em um exame toxicológico pago pelo empregador. Número de horas por semana: 40. Horário de trabalho (início/término): 7h às 16h.")</f>
        <v>Realizar a manutenção de áreas verdes, executando tarefas como plantio, poda, corte e acabamento de gramados e jardins, utilizando cortadores de grama, aparadores, bordadeiras e ferramentas similares. Remover ervas daninhas e folhas e detritos com sopradores. Instalar grama em placas (relva) conforme SEC/OES 37-3011. Classificação da função: 37-3011.00 - Trabalhadores de Paisagismo e Manutenção de Áreas Verdes. A classificação e descrição da função/setor incluem informações gerais sobre o cargo, de acordo com o ONET/OES e o Sistema de Classificação Industrial da América do Norte (NAICS). Consulte as Funções e a Ordem de Serviço para obter mais informações. Requisitos da vaga: Experiência exigida: Sim. Meses de experiência exigidos: 3. Requisitos especiais: Capacidade de levantar/carregar no mínimo 23 kg e trabalhar em posições curvadas/em pé por longos períodos e em todos os tipos de clima. Disponibilidade para trabalhar aos sábados e domingos, conforme necessário. Após a oferta de emprego e antes do período de integração, todos os novos contratados, tanto americanos quanto com visto H-2B, devem se submeter e ser aprovados em um exame toxicológico pago pelo empregador. Número de horas por semana: 40. Horário de trabalho (início/término): 7h às 16h.</v>
      </c>
    </row>
    <row r="869" ht="20.25" customHeight="1">
      <c r="A869" s="8" t="s">
        <v>4082</v>
      </c>
      <c r="B869" s="8" t="s">
        <v>4083</v>
      </c>
      <c r="C869" s="8" t="s">
        <v>4084</v>
      </c>
      <c r="D869" s="8" t="s">
        <v>278</v>
      </c>
      <c r="E869" s="9" t="s">
        <v>19</v>
      </c>
      <c r="F869" s="9" t="s">
        <v>20</v>
      </c>
      <c r="G869" s="9" t="s">
        <v>236</v>
      </c>
      <c r="H869" s="8" t="s">
        <v>4085</v>
      </c>
      <c r="I869" s="8" t="s">
        <v>4086</v>
      </c>
      <c r="J869" s="9">
        <v>20.23</v>
      </c>
      <c r="K869" s="9">
        <v>18.0</v>
      </c>
      <c r="L869" s="8" t="s">
        <v>4087</v>
      </c>
      <c r="M869" s="8" t="s">
        <v>4088</v>
      </c>
      <c r="N869" s="7" t="str">
        <f>IFERROR(__xludf.DUMMYFUNCTION("GOOGLETRANSLATE(L869, ""en"", ""pt"")"),"Telhador - Ajudante")</f>
        <v>Telhador - Ajudante</v>
      </c>
      <c r="O869" s="7" t="str">
        <f>IFERROR(__xludf.DUMMYFUNCTION("IF(M869="""","""",GOOGLETRANSLATE(M869,""en"",""pt""))"),"Tarefas fisicamente exigentes relacionadas a projetos de telhados novos e de substituição. Auxiliar telhadistas mais experientes na remoção de telhas existentes ou outros materiais de cobertura. Limpar a estrutura do telhado em preparação para a instalaçã"&amp;"o. Auxiliar no processo de reforma do telhado conforme orientação do encarregado. Auxiliar trabalhadores experientes em outras tarefas de reparo no local da obra, relacionadas ou acessórias a projetos de telhados, como calhas, janelas e outros reparos cor"&amp;"relatos (por exemplo, substituição de selantes e massa de calafetar para garantir a impermeabilização). Isso pode incluir, por exemplo, o reparo ou a substituição de calhas, beirais e janelas danificadas durante o mesmo incidente que danificou o telhado. "&amp;"As tarefas (incluindo tarefas relacionadas aos serviços de janelas) podem envolver trabalho braçal geral e auxílio a trabalhadores mais experientes, carregando materiais, segurando materiais que estão sendo fixados por outros, aplicando fitas de vedação e"&amp;" compostos de calafetagem conforme instruções. Pode ser necessário o uso de martelos, parafusadeiras elétricas ou pregadores pneumáticos para auxiliar na fixação de janelas, calhas e/ou beirais no revestimento. Limpar o local da obra e carregar os caminhõ"&amp;"es ao final de cada dia. Todas as tarefas devem ser executadas utilizando métodos de instalação adequados, proteção contra quedas e andaimes apropriados. Classificação da vaga: 47-3016.00 - Ajudantes de Telhador. A classificação e descrição da vaga/setor "&amp;"incluem informações gerais sobre o cargo, de acordo com o ONET/OES e o Sistema de Classificação Industrial da América do Norte (NAICS). Consulte as Funções e a Ordem de Serviço para obter mais informações. Requisitos da vaga: Experiência necessária: Não. "&amp;"Requisitos especiais: O candidato deve ter no mínimo 18 anos de idade e capacidade de levantar 36 kg (80 lbs) consistentemente, conforme confirmado verbalmente. Número de horas por semana: 40. Horário de trabalho (início/término): 8h às 17h.")</f>
        <v>Tarefas fisicamente exigentes relacionadas a projetos de telhados novos e de substituição. Auxiliar telhadistas mais experientes na remoção de telhas existentes ou outros materiais de cobertura. Limpar a estrutura do telhado em preparação para a instalação. Auxiliar no processo de reforma do telhado conforme orientação do encarregado. Auxiliar trabalhadores experientes em outras tarefas de reparo no local da obra, relacionadas ou acessórias a projetos de telhados, como calhas, janelas e outros reparos correlatos (por exemplo, substituição de selantes e massa de calafetar para garantir a impermeabilização). Isso pode incluir, por exemplo, o reparo ou a substituição de calhas, beirais e janelas danificadas durante o mesmo incidente que danificou o telhado. As tarefas (incluindo tarefas relacionadas aos serviços de janelas) podem envolver trabalho braçal geral e auxílio a trabalhadores mais experientes, carregando materiais, segurando materiais que estão sendo fixados por outros, aplicando fitas de vedação e compostos de calafetagem conforme instruções. Pode ser necessário o uso de martelos, parafusadeiras elétricas ou pregadores pneumáticos para auxiliar na fixação de janelas, calhas e/ou beirais no revestimento. Limpar o local da obra e carregar os caminhões ao final de cada dia. Todas as tarefas devem ser executadas utilizando métodos de instalação adequados, proteção contra quedas e andaimes apropriados. Classificação da vaga: 47-3016.00 - Ajudantes de Telhador. A classificação e descrição da vaga/setor incluem informações gerais sobre o cargo, de acordo com o ONET/OES e o Sistema de Classificação Industrial da América do Norte (NAICS). Consulte as Funções e a Ordem de Serviço para obter mais informações. Requisitos da vaga: Experiência necessária: Não. Requisitos especiais: O candidato deve ter no mínimo 18 anos de idade e capacidade de levantar 36 kg (80 lbs) consistentemente, conforme confirmado verbalmente. Número de horas por semana: 40. Horário de trabalho (início/término): 8h às 17h.</v>
      </c>
    </row>
    <row r="870" ht="20.25" customHeight="1">
      <c r="A870" s="3" t="s">
        <v>4089</v>
      </c>
      <c r="B870" s="3" t="s">
        <v>4090</v>
      </c>
      <c r="C870" s="3" t="s">
        <v>3981</v>
      </c>
      <c r="D870" s="3" t="s">
        <v>64</v>
      </c>
      <c r="E870" s="4" t="s">
        <v>19</v>
      </c>
      <c r="F870" s="4" t="s">
        <v>20</v>
      </c>
      <c r="G870" s="4" t="s">
        <v>4031</v>
      </c>
      <c r="H870" s="3" t="s">
        <v>4091</v>
      </c>
      <c r="I870" s="3" t="s">
        <v>4092</v>
      </c>
      <c r="J870" s="4">
        <v>14.94</v>
      </c>
      <c r="K870" s="4">
        <v>1.0</v>
      </c>
      <c r="L870" s="3" t="s">
        <v>387</v>
      </c>
      <c r="M870" s="3" t="s">
        <v>4093</v>
      </c>
      <c r="N870" s="7" t="str">
        <f>IFERROR(__xludf.DUMMYFUNCTION("GOOGLETRANSLATE(L870, ""en"", ""pt"")"),"Ordem de serviço não disponível")</f>
        <v>Ordem de serviço não disponível</v>
      </c>
      <c r="O870" s="7" t="str">
        <f>IFERROR(__xludf.DUMMYFUNCTION("IF(M870="""","""",GOOGLETRANSLATE(M870,""en"",""pt""))"),"Deveres gerais: A babá deverá cuidar de duas crianças de forma responsável. Cuidados e desenvolvimento infantil: Rotina diária e educação: A babá será responsável por gerenciar as rotinas diárias das crianças, da manhã à noite, incluindo prepará-las para "&amp;"o dia e acompanhá-las até o ônibus escolar. Além disso, a babá supervisionará e auxiliará ativamente as crianças com suas tarefas de casa diárias. Orientação gentil: A babá deve fornecer orientação e supervisão gentil em todos os momentos. Em nenhuma hipó"&amp;"tese as crianças poderão se envolver em qualquer atividade considerada perigosa. As crianças nunca devem ser espancadas, agredidas ou submetidas a qualquer forma de disciplina física por transgressões. Refeições e lanches: A babá será responsável por orga"&amp;"nizar, preparar e servir refeições e lanches saudáveis ​​para as crianças ao longo do dia. Tempo ao ar livre: A babá garantirá que as crianças passem pelo menos 90 minutos por dia se envolvendo em atividades ao ar livre, se o tempo permitir, garantindo qu"&amp;"e elas tenham proteção adequada contra sol, chuva ou neve. Atualizações regulares: A babá manterá comunicação aberta com os pais, fornecendo atualizações diárias sobre as atividades e o bem-estar das crianças por meio de mensagens de texto, fotos ou vídeo"&amp;"s. Tarefas domésticas: Louças e mamadeiras: A babá é responsável pela limpeza diária de todas as mamadeiras, copos, pratos e utensílios usados ​​pelas crianças. Isso inclui colocar os itens sujos na lava-louças e executar os ciclos apropriados. Manutenção"&amp;" da área de refeições: Após as refeições e lanches, a babá varrerá e/ou aspirará embaixo das mesas da cozinha e limpará todas as mesas e bancadas conforme necessário para manter um ambiente higiênico. Áreas de recreação: A babá garantirá que as áreas de r"&amp;"ecreação das crianças (incluindo quartos, salas de jogos, salas de estar e espaços externos) permaneçam organizadas, recolhendo brinquedos e roupas diariamente e trocando os brinquedos periodicamente. Tarefas domésticas relacionadas às crianças: A babá re"&amp;"alizará outras tarefas domésticas relacionadas às crianças, conforme razoavelmente solicitado pelos pais. Isso inclui lavar e dobrar as roupas das crianças, organizar os quartos das crianças e arrumar os pertences das crianças em preparação para viagens. "&amp;"Outras Responsabilidades Viagens em Família: Quando razoavelmente solicitado, a babá viajará com a família em férias e prestará serviços de cuidados infantis dedicados durante essas viagens. Diretrizes para Liberação de Crianças: A babá deve seguir rigoro"&amp;"samente as diretrizes de segurança dos pais e nunca liberará as crianças para qualquer parente, vizinho, amigo da família ou pai/mãe de amigo(a) sem a autorização prévia e direta dos pais. Proibida a Entrada de Visitantes Sem Consentimento: A babá está es"&amp;"tritamente proibida de receber visitantes pessoais na casa da família sem o consentimento prévio e explícito dos pais. Protocolo de Emergência: Em caso de qualquer emergência médica ou de segurança, o protocolo imediato da babá é ligar para o 190 (ou 911,"&amp;" dependendo do país), colocar as crianças em segurança e, em seguida, notificar imediatamente os pais. Suprimentos e Equipamentos: Os pais serão responsáveis ​​por fornecer todos os suprimentos e equipamentos necessários para os cuidados infantis (como ca"&amp;"deirinhas de carro adequadas, carrinhos de bebê e roupas apropriadas para o clima) necessários para que a babá desempenhe suas funções. Classificação do Cargo: 39-9011.01 - Babás A classificação e descrição do cargo/setor inclui informações gerais sobre a"&amp;" posição da ONET/OES e do Sistema de Classificação Industrial da América do Norte. Consulte a Descrição das Funções e a Ordem de Serviço para obter mais informações. Requisitos da Vaga Experiência Necessária: Sim Meses de Experiência Necessária: 12 Requis"&amp;"itos Especiais: NENHUM. Número de Horas por Semana: 50 Horário de Trabalho (Início/Término): 8h00 - 17h00")</f>
        <v>Deveres gerais: A babá deverá cuidar de duas crianças de forma responsável. Cuidados e desenvolvimento infantil: Rotina diária e educação: A babá será responsável por gerenciar as rotinas diárias das crianças, da manhã à noite, incluindo prepará-las para o dia e acompanhá-las até o ônibus escolar. Além disso, a babá supervisionará e auxiliará ativamente as crianças com suas tarefas de casa diárias. Orientação gentil: A babá deve fornecer orientação e supervisão gentil em todos os momentos. Em nenhuma hipótese as crianças poderão se envolver em qualquer atividade considerada perigosa. As crianças nunca devem ser espancadas, agredidas ou submetidas a qualquer forma de disciplina física por transgressões. Refeições e lanches: A babá será responsável por organizar, preparar e servir refeições e lanches saudáveis ​​para as crianças ao longo do dia. Tempo ao ar livre: A babá garantirá que as crianças passem pelo menos 90 minutos por dia se envolvendo em atividades ao ar livre, se o tempo permitir, garantindo que elas tenham proteção adequada contra sol, chuva ou neve. Atualizações regulares: A babá manterá comunicação aberta com os pais, fornecendo atualizações diárias sobre as atividades e o bem-estar das crianças por meio de mensagens de texto, fotos ou vídeos. Tarefas domésticas: Louças e mamadeiras: A babá é responsável pela limpeza diária de todas as mamadeiras, copos, pratos e utensílios usados ​​pelas crianças. Isso inclui colocar os itens sujos na lava-louças e executar os ciclos apropriados. Manutenção da área de refeições: Após as refeições e lanches, a babá varrerá e/ou aspirará embaixo das mesas da cozinha e limpará todas as mesas e bancadas conforme necessário para manter um ambiente higiênico. Áreas de recreação: A babá garantirá que as áreas de recreação das crianças (incluindo quartos, salas de jogos, salas de estar e espaços externos) permaneçam organizadas, recolhendo brinquedos e roupas diariamente e trocando os brinquedos periodicamente. Tarefas domésticas relacionadas às crianças: A babá realizará outras tarefas domésticas relacionadas às crianças, conforme razoavelmente solicitado pelos pais. Isso inclui lavar e dobrar as roupas das crianças, organizar os quartos das crianças e arrumar os pertences das crianças em preparação para viagens. Outras Responsabilidades Viagens em Família: Quando razoavelmente solicitado, a babá viajará com a família em férias e prestará serviços de cuidados infantis dedicados durante essas viagens. Diretrizes para Liberação de Crianças: A babá deve seguir rigorosamente as diretrizes de segurança dos pais e nunca liberará as crianças para qualquer parente, vizinho, amigo da família ou pai/mãe de amigo(a) sem a autorização prévia e direta dos pais. Proibida a Entrada de Visitantes Sem Consentimento: A babá está estritamente proibida de receber visitantes pessoais na casa da família sem o consentimento prévio e explícito dos pais. Protocolo de Emergência: Em caso de qualquer emergência médica ou de segurança, o protocolo imediato da babá é ligar para o 190 (ou 911, dependendo do país), colocar as crianças em segurança e, em seguida, notificar imediatamente os pais. Suprimentos e Equipamentos: Os pais serão responsáveis ​​por fornecer todos os suprimentos e equipamentos necessários para os cuidados infantis (como cadeirinhas de carro adequadas, carrinhos de bebê e roupas apropriadas para o clima) necessários para que a babá desempenhe suas funções. Classificação do Cargo: 39-9011.01 - Babás A classificação e descrição do cargo/setor inclui informações gerais sobre a posição da ONET/OES e do Sistema de Classificação Industrial da América do Norte. Consulte a Descrição das Funções e a Ordem de Serviço para obter mais informações. Requisitos da Vaga Experiência Necessária: Sim Meses de Experiência Necessária: 12 Requisitos Especiais: NENHUM. Número de Horas por Semana: 50 Horário de Trabalho (Início/Término): 8h00 - 17h00</v>
      </c>
    </row>
    <row r="871" ht="20.25" customHeight="1">
      <c r="A871" s="8" t="s">
        <v>4094</v>
      </c>
      <c r="B871" s="8" t="s">
        <v>4095</v>
      </c>
      <c r="C871" s="8" t="s">
        <v>3981</v>
      </c>
      <c r="D871" s="8" t="s">
        <v>596</v>
      </c>
      <c r="E871" s="9" t="s">
        <v>19</v>
      </c>
      <c r="F871" s="9" t="s">
        <v>20</v>
      </c>
      <c r="G871" s="9" t="s">
        <v>4096</v>
      </c>
      <c r="H871" s="8" t="s">
        <v>4097</v>
      </c>
      <c r="I871" s="8" t="s">
        <v>4098</v>
      </c>
      <c r="J871" s="9">
        <v>18.45</v>
      </c>
      <c r="K871" s="9">
        <v>1.0</v>
      </c>
      <c r="L871" s="8" t="s">
        <v>4099</v>
      </c>
      <c r="M871" s="8" t="s">
        <v>4100</v>
      </c>
      <c r="N871" s="7" t="str">
        <f>IFERROR(__xludf.DUMMYFUNCTION("GOOGLETRANSLATE(L871, ""en"", ""pt"")"),"Babá/Cuidadora de Crianças")</f>
        <v>Babá/Cuidadora de Crianças</v>
      </c>
      <c r="O871" s="7" t="str">
        <f>IFERROR(__xludf.DUMMYFUNCTION("IF(M871="""","""",GOOGLETRANSLATE(M871,""en"",""pt""))"),"A babá deverá cuidar de três (3) crianças de forma responsável e manter um ambiente limpo e seguro para elas. Isso inclui o seguinte: Em hipótese alguma as crianças poderão se envolver em qualquer atividade considerada perigosa pelos pais ou pela babá. A "&amp;"criança não poderá ser espancada, agredida, verbalmente abusada/insultada ou tocada com força por transgressões. A babá deverá usar linguagem apropriada para crianças – palavrões não serão permitidos. A criança não será transportada sem o consentimento pr"&amp;"évio e as instruções dos pais. A criança não será transportada para a casa de outra pessoa sem o consentimento prévio dos pais. Todo o transporte será feito no veículo dos pais ou no veículo fornecido pela babá, com cadeirinha apropriada, fornecida e apro"&amp;"vada pelos pais. Nenhuma pessoa tem permissão para transportar a criança sem o consentimento prévio dos pais. A babá preparará refeições saudáveis ​​diariamente, sempre garantindo que todos os alimentos oferecidos à criança estejam de acordo com suas rest"&amp;"rições alimentares e alergias. A babá auxiliará nas compras semanais de alimentos para as crianças. A babá passará pelo menos noventa (90) minutos por dia ao ar livre com a criança, se o tempo permitir. A babá ajudará na coordenação e no transporte de qua"&amp;"isquer atividades extracurriculares ou encontros com outras crianças. A babá fornecerá aos pais uma atualização diária por mensagem de texto ou e-mail (ou ligação, se necessário) pelo menos uma vez por dia. A babá é incentivada a incluir uma foto ou vídeo"&amp;" nos relatórios diários. A babá não administrará nenhum medicamento, incluindo medicamentos de venda livre, a menos que seja especificamente instruída a fazê-lo pelos pais. A babá não receberá visitas na residência principal dos pais ou nas proximidades d"&amp;"a criança sem o consentimento prévio dos pais. Isso inclui outras crianças, babás e vizinhos, bem como amigos, familiares ou parceiros da babá. A babá será responsável pelas seguintes tarefas domésticas como parte de seu trabalho: i. Louça: Limpeza diária"&amp;" de todos os copos, pratos, etc., utilizados pelas crianças e pela babá (por exemplo, a babá colocará a louça suja na lava-louças e ligará a máquina de lavar louça apropriada). A babá também aspirará e/ou varrerá embaixo das mesas da cozinha e limpará as "&amp;"mesas e bancadas após as refeições, conforme necessário. ii. Área de Brincadeiras: Recolher diariamente os brinquedos e roupas das áreas de brincadeiras das crianças (incluindo os quartos das crianças, sala de jogos, sala de estar e área externa). iii. Ou"&amp;"tras Tarefas Domésticas relacionadas aos cuidados com as crianças: A babá será responsável por outras tarefas domésticas diretamente relacionadas aos cuidados com as crianças, conforme razoavelmente solicitado pelos pais (por exemplo, arrumar as malas das"&amp;" crianças para viagens, organizar o quarto das crianças, etc.). Classificação da Função: 39-9011.01 - Babás. A classificação e descrição da função/setor inclui informações gerais sobre o cargo, de acordo com o ONET/OES e o Sistema de Classificação Industr"&amp;"ial da América do Norte. Consulte as Funções e a Ordem de Serviço para obter mais informações. Requisitos da Função: Experiência Necessária: Sim Meses de experiência exigidos: 12. Requisitos especiais: A BABÁ CONCORDA EM OBTER CERTIFICAÇÃO DE RESSUSCITAÇÃ"&amp;"O CARDIOPULMONAR (RCP) PARA BEBÊS ANTES OU DEPOIS DE CHEGAR AO LOCAL DE TRABALHO. O EMPREGADOR COMPENSARÁ A BABÁ PELOS CUSTOS DE QUALQUER CERTIFICAÇÃO DESSE TIPO. A BABÁ DEVERÁ FAZER AULAS DE DIREÇÃO NOS EUA, CASO NÃO POSSUA CARTEIRA DE HABILITAÇÃO OU POS"&amp;"SUA CARTEIRA DE HABILITAÇÃO ESTRANGEIRA. Número de horas por semana: 40. Horário de trabalho (início/término): 8h às 20h.")</f>
        <v>A babá deverá cuidar de três (3) crianças de forma responsável e manter um ambiente limpo e seguro para elas. Isso inclui o seguinte: Em hipótese alguma as crianças poderão se envolver em qualquer atividade considerada perigosa pelos pais ou pela babá. A criança não poderá ser espancada, agredida, verbalmente abusada/insultada ou tocada com força por transgressões. A babá deverá usar linguagem apropriada para crianças – palavrões não serão permitidos. A criança não será transportada sem o consentimento prévio e as instruções dos pais. A criança não será transportada para a casa de outra pessoa sem o consentimento prévio dos pais. Todo o transporte será feito no veículo dos pais ou no veículo fornecido pela babá, com cadeirinha apropriada, fornecida e aprovada pelos pais. Nenhuma pessoa tem permissão para transportar a criança sem o consentimento prévio dos pais. A babá preparará refeições saudáveis ​​diariamente, sempre garantindo que todos os alimentos oferecidos à criança estejam de acordo com suas restrições alimentares e alergias. A babá auxiliará nas compras semanais de alimentos para as crianças. A babá passará pelo menos noventa (90) minutos por dia ao ar livre com a criança, se o tempo permitir. A babá ajudará na coordenação e no transporte de quaisquer atividades extracurriculares ou encontros com outras crianças. A babá fornecerá aos pais uma atualização diária por mensagem de texto ou e-mail (ou ligação, se necessário) pelo menos uma vez por dia. A babá é incentivada a incluir uma foto ou vídeo nos relatórios diários. A babá não administrará nenhum medicamento, incluindo medicamentos de venda livre, a menos que seja especificamente instruída a fazê-lo pelos pais. A babá não receberá visitas na residência principal dos pais ou nas proximidades da criança sem o consentimento prévio dos pais. Isso inclui outras crianças, babás e vizinhos, bem como amigos, familiares ou parceiros da babá. A babá será responsável pelas seguintes tarefas domésticas como parte de seu trabalho: i. Louça: Limpeza diária de todos os copos, pratos, etc., utilizados pelas crianças e pela babá (por exemplo, a babá colocará a louça suja na lava-louças e ligará a máquina de lavar louça apropriada). A babá também aspirará e/ou varrerá embaixo das mesas da cozinha e limpará as mesas e bancadas após as refeições, conforme necessário. ii. Área de Brincadeiras: Recolher diariamente os brinquedos e roupas das áreas de brincadeiras das crianças (incluindo os quartos das crianças, sala de jogos, sala de estar e área externa). iii. Outras Tarefas Domésticas relacionadas aos cuidados com as crianças: A babá será responsável por outras tarefas domésticas diretamente relacionadas aos cuidados com as crianças, conforme razoavelmente solicitado pelos pais (por exemplo, arrumar as malas das crianças para viagens, organizar o quarto das crianças, etc.). Classificação da Função: 39-9011.01 - Babás. A classificação e descrição da função/setor inclui informações gerais sobre o cargo, de acordo com o ONET/OES e o Sistema de Classificação Industrial da América do Norte. Consulte as Funções e a Ordem de Serviço para obter mais informações. Requisitos da Função: Experiência Necessária: Sim Meses de experiência exigidos: 12. Requisitos especiais: A BABÁ CONCORDA EM OBTER CERTIFICAÇÃO DE RESSUSCITAÇÃO CARDIOPULMONAR (RCP) PARA BEBÊS ANTES OU DEPOIS DE CHEGAR AO LOCAL DE TRABALHO. O EMPREGADOR COMPENSARÁ A BABÁ PELOS CUSTOS DE QUALQUER CERTIFICAÇÃO DESSE TIPO. A BABÁ DEVERÁ FAZER AULAS DE DIREÇÃO NOS EUA, CASO NÃO POSSUA CARTEIRA DE HABILITAÇÃO OU POSSUA CARTEIRA DE HABILITAÇÃO ESTRANGEIRA. Número de horas por semana: 40. Horário de trabalho (início/término): 8h às 20h.</v>
      </c>
    </row>
    <row r="872" ht="20.25" customHeight="1">
      <c r="A872" s="3" t="s">
        <v>4101</v>
      </c>
      <c r="B872" s="3" t="s">
        <v>4102</v>
      </c>
      <c r="C872" s="3" t="s">
        <v>3974</v>
      </c>
      <c r="D872" s="3" t="s">
        <v>28</v>
      </c>
      <c r="E872" s="4" t="s">
        <v>44</v>
      </c>
      <c r="F872" s="4" t="s">
        <v>20</v>
      </c>
      <c r="G872" s="4" t="s">
        <v>377</v>
      </c>
      <c r="H872" s="3" t="s">
        <v>4103</v>
      </c>
      <c r="I872" s="3" t="s">
        <v>4104</v>
      </c>
      <c r="J872" s="4">
        <v>24.39</v>
      </c>
      <c r="K872" s="4">
        <v>24.0</v>
      </c>
      <c r="L872" s="3" t="s">
        <v>3490</v>
      </c>
      <c r="M872" s="3" t="s">
        <v>4003</v>
      </c>
      <c r="N872" s="7" t="str">
        <f>IFERROR(__xludf.DUMMYFUNCTION("GOOGLETRANSLATE(L872, ""en"", ""pt"")"),"Marinheiro de convés, barco de pesca de ostras")</f>
        <v>Marinheiro de convés, barco de pesca de ostras</v>
      </c>
      <c r="O872" s="7" t="str">
        <f>IFERROR(__xludf.DUMMYFUNCTION("IF(M872="""","""",GOOGLETRANSLATE(M872,""en"",""pt""))"),"Utilizar redes, armadilhas, dragas ou outros equipamentos para colher e coletar ostras do fundo do mar, içá-las para os barcos, ensacá-las e empilhá-las. Descarregar os sacos do barco para o cais. Limpar o barco. Classificação da função: 45-3031.00 - Trab"&amp;"alhadores da Pesca e Caça. A classificação e descrição da função/setor inclui informações gerais sobre o cargo, de acordo com o ONET/OES e o Sistema de Classificação Industrial da América do Norte. Consulte as Funções e a Ordem de Serviço para obter mais "&amp;"informações. Requisitos da função: Experiência necessária: Não. Número de horas por semana: 40. Horário de trabalho (início/término): 6h às 14h.")</f>
        <v>Utilizar redes, armadilhas, dragas ou outros equipamentos para colher e coletar ostras do fundo do mar, içá-las para os barcos, ensacá-las e empilhá-las. Descarregar os sacos do barco para o cais. Limpar o barco. Classificação da função: 45-3031.00 - Trabalhadores da Pesca e Caça. A classificação e descrição da função/setor inclui informações gerais sobre o cargo, de acordo com o ONET/OES e o Sistema de Classificação Industrial da América do Norte. Consulte as Funções e a Ordem de Serviço para obter mais informações. Requisitos da função: Experiência necessária: Não. Número de horas por semana: 40. Horário de trabalho (início/término): 6h às 14h.</v>
      </c>
    </row>
    <row r="873" ht="20.25" customHeight="1">
      <c r="A873" s="8" t="s">
        <v>4105</v>
      </c>
      <c r="B873" s="8" t="s">
        <v>4106</v>
      </c>
      <c r="C873" s="8" t="s">
        <v>3981</v>
      </c>
      <c r="D873" s="8" t="s">
        <v>596</v>
      </c>
      <c r="E873" s="9" t="s">
        <v>44</v>
      </c>
      <c r="F873" s="9" t="s">
        <v>20</v>
      </c>
      <c r="G873" s="9" t="s">
        <v>4107</v>
      </c>
      <c r="H873" s="8" t="s">
        <v>4108</v>
      </c>
      <c r="I873" s="8" t="s">
        <v>4109</v>
      </c>
      <c r="J873" s="9">
        <v>18.45</v>
      </c>
      <c r="K873" s="9">
        <v>1.0</v>
      </c>
      <c r="L873" s="8" t="s">
        <v>387</v>
      </c>
      <c r="M873" s="8" t="s">
        <v>4110</v>
      </c>
      <c r="N873" s="7" t="str">
        <f>IFERROR(__xludf.DUMMYFUNCTION("GOOGLETRANSLATE(L873, ""en"", ""pt"")"),"Ordem de serviço não disponível")</f>
        <v>Ordem de serviço não disponível</v>
      </c>
      <c r="O873" s="7" t="str">
        <f>IFERROR(__xludf.DUMMYFUNCTION("IF(M873="""","""",GOOGLETRANSLATE(M873,""en"",""pt""))"),"***Resposta à Solicitação de Informações*** - Refeições (Questão 1): A babá não prepara as três refeições diárias. As refeições são preparadas com antecedência por um cozinheiro, pelos pais ou por terceiros. A babá providencia para que as refeições pré-pr"&amp;"eparadas sejam servidas à criança sob seus cuidados: ela coloca a comida na frente da criança e a aquece, se necessário, usando o micro-ondas disponível na casa. A comida é consumida pela criança sob seus cuidados. - Outras Tarefas Domésticas (Questão 2):"&amp;" Essas tarefas consistem em arrumar as malas da criança para viagens, organizar o quarto da criança quando estiver bagunçado durante o trabalho da babá e auxiliar no desfralde, quando necessário, na ausência dos pais. Não são necessárias ferramentas, equi"&amp;"pamentos ou materiais especiais para realizar essas tarefas. ***Original*** Deveres gerais: A babá deve fornecer cuidados responsáveis ​​para duas crianças. • Orientação gentil: Em hipótese alguma a criança poderá se envolver em qualquer atividade conside"&amp;"rada perigosa pelos pais ou pela babá. As crianças não devem ser palmadas, agredidas ou tocadas com força por transgressões. • Transporte: As crianças não serão transportadas sem o consentimento e instrução prévios dos pais. As crianças não serão transpor"&amp;"tadas para a casa de outra pessoa sem o consentimento prévio dos pais. Todo o transporte será feito no veículo dos pais e com a cadeirinha apropriada, fornecida e aprovada pelos pais. Nenhuma pessoa tem permissão para transportar as crianças sem o consent"&amp;"imento prévio dos pais. • Refeições: A babá providenciará três refeições completas por dia, dois lanches saudáveis ​​por dia e mamadeiras conforme necessário. • Sonecas: A babá garantirá que as crianças sigam o horário e a rotina de sonecas fornecidos pel"&amp;"os pais. • Diretrizes para liberar as crianças: A babá não liberará as crianças para nenhum parente, vizinho, amigo da família ou pai/mãe de amigo(a) sem a autorização expressa dos pais. • Tempo ao ar livre: A babá passará pelo menos trinta (30) minutos p"&amp;"or dia ao ar livre com a criança, se o tempo permitir, no quintal da casa dos pais ou em parques aprovados pelos pais. A babá garantirá proteção adequada contra sol, chuva e neve para a criança (por exemplo, protetor solar, jaquetas, etc., a serem provide"&amp;"nciados pelos pais). • Atualizações regulares para os pais: A babá fornecerá aos pais uma atualização diária por mensagem de texto ou e-mail. Tarefas domésticas: A babá será responsável pelas seguintes tarefas domésticas como parte de seu trabalho: i. Ute"&amp;"nsílios de cozinha/mamadeiras: Limpeza diária de todas as mamadeiras, copos, pratos, etc., usados ​​pela criança e pela babá (por exemplo, a babá colocará a louça suja na lava-louças e ligará a lava-louças apropriada). A babá também passará aspirador de p"&amp;"ó e/ou varrerá embaixo das mesas da cozinha e limpará as mesas e bancadas após as refeições, conforme necessário. ii. Área de recreação: Recolher diariamente os brinquedos e roupas nas áreas de recreação da criança (incluindo os quartos da criança, sala d"&amp;"e brinquedos, sala de estar e área externa) e trocar os brinquedos periodicamente. iii. Lavanderia da Criança: Lavagem semanal, ou mediante solicitação, das roupas do bebê, incluindo roupas, lençóis, babadores, capa da cadeirinha de alimentação, trocador,"&amp;" etc. iv. Outras Tarefas Domésticas: A babá será responsável por outras tarefas domésticas, conforme razoavelmente solicitado pelos pais (por exemplo, arrumar as malas da criança para viagens, organizar o quarto da criança, auxiliar no desfralde, etc.). C"&amp;"lassificação da Função: 39-9011.01 - Babás. A classificação e descrição da função/setor incluem informações gerais sobre o cargo, de acordo com o ONET/OES e o Sistema de Classificação Industrial da América do Norte. Consulte as Funções e a Ordem de Serviç"&amp;"o para obter mais informações. Requisitos da Função: Experiência Necessária: Não. Requisitos Especiais: O empregador reserva-se o direito de realizar teste de drogas durante o emprego. Número de Horas por Semana: 56. Horário de Trabalho (Início/Término): "&amp;"6h às 20h.")</f>
        <v>***Resposta à Solicitação de Informações*** - Refeições (Questão 1): A babá não prepara as três refeições diárias. As refeições são preparadas com antecedência por um cozinheiro, pelos pais ou por terceiros. A babá providencia para que as refeições pré-preparadas sejam servidas à criança sob seus cuidados: ela coloca a comida na frente da criança e a aquece, se necessário, usando o micro-ondas disponível na casa. A comida é consumida pela criança sob seus cuidados. - Outras Tarefas Domésticas (Questão 2): Essas tarefas consistem em arrumar as malas da criança para viagens, organizar o quarto da criança quando estiver bagunçado durante o trabalho da babá e auxiliar no desfralde, quando necessário, na ausência dos pais. Não são necessárias ferramentas, equipamentos ou materiais especiais para realizar essas tarefas. ***Original*** Deveres gerais: A babá deve fornecer cuidados responsáveis ​​para duas crianças. • Orientação gentil: Em hipótese alguma a criança poderá se envolver em qualquer atividade considerada perigosa pelos pais ou pela babá. As crianças não devem ser palmadas, agredidas ou tocadas com força por transgressões. • Transporte: As crianças não serão transportadas sem o consentimento e instrução prévios dos pais. As crianças não serão transportadas para a casa de outra pessoa sem o consentimento prévio dos pais. Todo o transporte será feito no veículo dos pais e com a cadeirinha apropriada, fornecida e aprovada pelos pais. Nenhuma pessoa tem permissão para transportar as crianças sem o consentimento prévio dos pais. • Refeições: A babá providenciará três refeições completas por dia, dois lanches saudáveis ​​por dia e mamadeiras conforme necessário. • Sonecas: A babá garantirá que as crianças sigam o horário e a rotina de sonecas fornecidos pelos pais. • Diretrizes para liberar as crianças: A babá não liberará as crianças para nenhum parente, vizinho, amigo da família ou pai/mãe de amigo(a) sem a autorização expressa dos pais. • Tempo ao ar livre: A babá passará pelo menos trinta (30) minutos por dia ao ar livre com a criança, se o tempo permitir, no quintal da casa dos pais ou em parques aprovados pelos pais. A babá garantirá proteção adequada contra sol, chuva e neve para a criança (por exemplo, protetor solar, jaquetas, etc., a serem providenciados pelos pais). • Atualizações regulares para os pais: A babá fornecerá aos pais uma atualização diária por mensagem de texto ou e-mail. Tarefas domésticas: A babá será responsável pelas seguintes tarefas domésticas como parte de seu trabalho: i. Utensílios de cozinha/mamadeiras: Limpeza diária de todas as mamadeiras, copos, pratos, etc., usados ​​pela criança e pela babá (por exemplo, a babá colocará a louça suja na lava-louças e ligará a lava-louças apropriada). A babá também passará aspirador de pó e/ou varrerá embaixo das mesas da cozinha e limpará as mesas e bancadas após as refeições, conforme necessário. ii. Área de recreação: Recolher diariamente os brinquedos e roupas nas áreas de recreação da criança (incluindo os quartos da criança, sala de brinquedos, sala de estar e área externa) e trocar os brinquedos periodicamente. iii. Lavanderia da Criança: Lavagem semanal, ou mediante solicitação, das roupas do bebê, incluindo roupas, lençóis, babadores, capa da cadeirinha de alimentação, trocador, etc. iv. Outras Tarefas Domésticas: A babá será responsável por outras tarefas domésticas, conforme razoavelmente solicitado pelos pais (por exemplo, arrumar as malas da criança para viagens, organizar o quarto da criança, auxiliar no desfralde, etc.). Classificação da Função: 39-9011.01 - Babás. A classificação e descrição da função/setor incluem informações gerais sobre o cargo, de acordo com o ONET/OES e o Sistema de Classificação Industrial da América do Norte. Consulte as Funções e a Ordem de Serviço para obter mais informações. Requisitos da Função: Experiência Necessária: Não. Requisitos Especiais: O empregador reserva-se o direito de realizar teste de drogas durante o emprego. Número de Horas por Semana: 56. Horário de Trabalho (Início/Término): 6h às 20h.</v>
      </c>
    </row>
    <row r="874" ht="20.25" customHeight="1">
      <c r="A874" s="3" t="s">
        <v>4111</v>
      </c>
      <c r="B874" s="3" t="s">
        <v>4112</v>
      </c>
      <c r="C874" s="3" t="s">
        <v>4113</v>
      </c>
      <c r="D874" s="3" t="s">
        <v>109</v>
      </c>
      <c r="E874" s="4" t="s">
        <v>19</v>
      </c>
      <c r="F874" s="4" t="s">
        <v>20</v>
      </c>
      <c r="G874" s="4" t="s">
        <v>236</v>
      </c>
      <c r="H874" s="3" t="s">
        <v>4114</v>
      </c>
      <c r="I874" s="3" t="s">
        <v>4115</v>
      </c>
      <c r="J874" s="4">
        <v>18.69</v>
      </c>
      <c r="K874" s="4">
        <v>5.0</v>
      </c>
      <c r="L874" s="3" t="s">
        <v>59</v>
      </c>
      <c r="M874" s="3" t="s">
        <v>4116</v>
      </c>
      <c r="N874" s="7" t="str">
        <f>IFERROR(__xludf.DUMMYFUNCTION("GOOGLETRANSLATE(L874, ""en"", ""pt"")"),"Trabalhador de paisagismo")</f>
        <v>Trabalhador de paisagismo</v>
      </c>
      <c r="O874" s="7" t="str">
        <f>IFERROR(__xludf.DUMMYFUNCTION("IF(M874="""","""",GOOGLETRANSLATE(M874,""en"",""pt""))"),"Realizar paisagismo ou manutenção de propriedades utilizando ferramentas ou equipamentos. As tarefas podem incluir colocação de grama, plantio de árvores, arbustos e gramados; poda, plantio, rega, fertilização, escavação, rastelagem e instalação de aspers"&amp;"ores. Poderá ser necessário trabalhar nos fins de semana em substituição a outro dia. Classificação da Função: 37-3011.00 - Trabalhadores de Paisagismo e Manutenção de Áreas Verdes. A classificação e descrição da função/setor incluem informações gerais so"&amp;"bre o cargo, de acordo com o ONET/OES e o Sistema de Classificação Industrial da América do Norte (NAICS). Consulte as Funções e a Ordem de Serviço para obter mais informações. Requisitos da Função Experiência Necessária: Não. Requisitos Especiais: Capaci"&amp;"dade de levantar 23 kg. Disponibilidade para trabalhar em condições climáticas adversas. Aprovação em exame toxicológico pós-admissional, pago pelo empregador. Número de Horas por Semana: 40. Horário de Trabalho (Início/Término): 7h às 16h.")</f>
        <v>Realizar paisagismo ou manutenção de propriedades utilizando ferramentas ou equipamentos. As tarefas podem incluir colocação de grama, plantio de árvores, arbustos e gramados; poda, plantio, rega, fertilização, escavação, rastelagem e instalação de aspersores. Poderá ser necessário trabalhar nos fins de semana em substituição a outro dia. Classificação da Função: 37-3011.00 - Trabalhadores de Paisagismo e Manutenção de Áreas Verdes. A classificação e descrição da função/setor incluem informações gerais sobre o cargo, de acordo com o ONET/OES e o Sistema de Classificação Industrial da América do Norte (NAICS). Consulte as Funções e a Ordem de Serviço para obter mais informações. Requisitos da Função Experiência Necessária: Não. Requisitos Especiais: Capacidade de levantar 23 kg. Disponibilidade para trabalhar em condições climáticas adversas. Aprovação em exame toxicológico pós-admissional, pago pelo empregador. Número de Horas por Semana: 40. Horário de Trabalho (Início/Término): 7h às 16h.</v>
      </c>
    </row>
    <row r="875" ht="20.25" customHeight="1">
      <c r="A875" s="8" t="s">
        <v>4117</v>
      </c>
      <c r="B875" s="8" t="s">
        <v>4118</v>
      </c>
      <c r="C875" s="8" t="s">
        <v>3981</v>
      </c>
      <c r="D875" s="8" t="s">
        <v>71</v>
      </c>
      <c r="E875" s="9" t="s">
        <v>44</v>
      </c>
      <c r="F875" s="9" t="s">
        <v>20</v>
      </c>
      <c r="G875" s="9" t="s">
        <v>4119</v>
      </c>
      <c r="H875" s="8" t="s">
        <v>4120</v>
      </c>
      <c r="I875" s="8" t="s">
        <v>4121</v>
      </c>
      <c r="J875" s="9">
        <v>29.57</v>
      </c>
      <c r="K875" s="9">
        <v>1.0</v>
      </c>
      <c r="L875" s="8" t="s">
        <v>4056</v>
      </c>
      <c r="M875" s="8" t="s">
        <v>4122</v>
      </c>
      <c r="N875" s="7" t="str">
        <f>IFERROR(__xludf.DUMMYFUNCTION("GOOGLETRANSLATE(L875, ""en"", ""pt"")"),"Gerente da Casa")</f>
        <v>Gerente da Casa</v>
      </c>
      <c r="O875" s="7" t="str">
        <f>IFERROR(__xludf.DUMMYFUNCTION("IF(M875="""","""",GOOGLETRANSLATE(M875,""en"",""pt""))"),"***Resposta à RFI*** (1) Trabalhadores supervisionados: a(s) babá(s) da família. A família atualmente emprega uma (1) babá designada para as crianças. A supervisão inclui definir a agenda e os horários da babá; atribuir e orientar tarefas relacionadas aos"&amp;" cuidados infantis; transmitir as instruções e padrões dos pais; atuar como ponto de contato entre os pais e a babá; e monitorar o desempenho. (2) Manutenção/reparos da casa: o(a) Gerente organiza, agenda, supervisiona e verifica o trabalho de prestadores"&amp;" de serviços externos e não realiza reparos. Tarefas: identificar necessidades (por exemplo, HVAC, encanamento, limpeza da casa, manutenção elétrica, conserto de eletrodomésticos, paisagismo, serviços gerais); selecionar prestadores de serviços; comparar "&amp;"orçamentos; agendar o acesso ao local de acordo com os horários da família/equipe; aprovar pagamentos; manter registros; e acompanhar a garantia. Autoridade: pode selecionar, contratar e pagar prestadores de serviços de rotina/recorrentes (ex.: faxineiros"&amp;") sem aprovação prévia, dentro de um orçamento por projeto definido pelos pais, e orientar os fornecedores quanto ao escopo, local e prazo; Projetos não rotineiros ou de custo mais elevado, acima desse limite, são submetidos à aprovação final dos pais, co"&amp;"m a recomendação do Gerente. Deveres de supervisão: monitorar o progresso no local; inspecionar o trabalho quanto ao escopo e à qualidade; . Esses contratados são fornecedores independentes, não funcionários domésticos. Ferramentas: computador/laptop, sma"&amp;"rtphone, e-mail, aplicativos de agendamento, planilhas e registros digitais, e métodos de pagamento (pagamento de contas online, cartões domésticos ou cheque); os contratados fornecem suas próprias ferramentas e materiais. (3) Contas domésticas/tarefas ad"&amp;"ministrativas: receber, organizar e rastrear contas/faturas (serviços públicos, internet/cabo/telefone, seguros, assinaturas, serviços); acompanhar datas de vencimento e pagar em dia por meio de internet banking, débito automático ou cheque; manter regist"&amp;"ros de contas, recibos e pagamentos; acompanhar os gastos em relação a um orçamento e conciliar as contas; gerenciar a correspondência e os documentos da casa; e lidar com a documentação das crianças (matrícula escolar, formulários médicos/de seguro); Téc"&amp;"nicas/tecnologias/equipamentos: computador/laptop e smartphone; plataformas de internet banking e pagamento de contas; Software de planilha (ex.: Excel, Google Sheets) e/ou software de finanças/orçamento (ex.: Quicken, QuickBooks); aplicativos de e-mail e"&amp;" calendário; scanner, impressora e arquivamento digital/em nuvem e físico; e métodos de pagamento, incluindo cartões domésticos e cheques. ***Original*** Esta é uma vaga para Gerente Doméstico em uma residência com vários funcionários domésticos. O Gerent"&amp;"e Doméstico será responsável por gerenciar os horários e calendários da casa, incluindo os horários das crianças e dos profissionais de cuidados infantis designados para essas crianças. Uma das crianças é um bebê. As responsabilidades incluem: planejament"&amp;"o, organização e coordenação de eventos para as crianças; agendamento de consultas para necessidades pessoais e profissionais das crianças e da família; agendamento de serviços de manutenção e reparos domésticos e supervisão do projeto; gerenciamento das "&amp;"contas domésticas e tarefas administrativas para os pais, relacionadas tanto à família quanto às crianças; realização de tarefas e recados necessários, como entrega de compras; supervisão de outros funcionários domésticos, como babás, sendo que a família "&amp;"possui uma. Compras de alimentos, suprimentos e outros itens solicitados. Outras tarefas domésticas: O(A) funcionário(a) doméstico(a) será responsável, ocasionalmente, pelas seguintes tarefas domésticas como parte de suas funções: i. Louças/mamadeiras: Au"&amp;"xiliar, quando necessário, na limpeza diária de todas as mamadeiras, copos, pratos, etc., utilizados pela criança e pela equipe doméstica. ii. Área de recreação: Recolher diariamente os brinquedos e roupas das áreas de recreação da criança (incluindo os q"&amp;"uartos da criança, sala de jogos, sala de estar e área externa) e trocar os brinquedos periodicamente. iii. Lavanderia da criança: Lavar semanalmente, ou mediante solicitação, as roupas do bebê, incluindo roupas, lençóis, babadores, capa da cadeirinha de "&amp;"alimentação, trocador, etc. Classificação da função: 11-9179.00 - Gerentes de Serviços Pessoais, Outros. A classificação e descrição da função/setor inclui informações gerais sobre o cargo, de acordo com o ONET/OES e o Sistema de Classificação Industrial "&amp;"da América do Norte. Consulte as Funções e a Ordem de Serviço para obter mais informações. Requisitos da vaga Experiência necessária: Sim Meses de experiência necessários: 12 Requisitos especiais: Carteira de habilitação Número de horas por semana: 44 Hor"&amp;"ário de trabalho (início/término): 8h às 17h")</f>
        <v>***Resposta à RFI*** (1) Trabalhadores supervisionados: a(s) babá(s) da família. A família atualmente emprega uma (1) babá designada para as crianças. A supervisão inclui definir a agenda e os horários da babá; atribuir e orientar tarefas relacionadas aos cuidados infantis; transmitir as instruções e padrões dos pais; atuar como ponto de contato entre os pais e a babá; e monitorar o desempenho. (2) Manutenção/reparos da casa: o(a) Gerente organiza, agenda, supervisiona e verifica o trabalho de prestadores de serviços externos e não realiza reparos. Tarefas: identificar necessidades (por exemplo, HVAC, encanamento, limpeza da casa, manutenção elétrica, conserto de eletrodomésticos, paisagismo, serviços gerais); selecionar prestadores de serviços; comparar orçamentos; agendar o acesso ao local de acordo com os horários da família/equipe; aprovar pagamentos; manter registros; e acompanhar a garantia. Autoridade: pode selecionar, contratar e pagar prestadores de serviços de rotina/recorrentes (ex.: faxineiros) sem aprovação prévia, dentro de um orçamento por projeto definido pelos pais, e orientar os fornecedores quanto ao escopo, local e prazo; Projetos não rotineiros ou de custo mais elevado, acima desse limite, são submetidos à aprovação final dos pais, com a recomendação do Gerente. Deveres de supervisão: monitorar o progresso no local; inspecionar o trabalho quanto ao escopo e à qualidade; . Esses contratados são fornecedores independentes, não funcionários domésticos. Ferramentas: computador/laptop, smartphone, e-mail, aplicativos de agendamento, planilhas e registros digitais, e métodos de pagamento (pagamento de contas online, cartões domésticos ou cheque); os contratados fornecem suas próprias ferramentas e materiais. (3) Contas domésticas/tarefas administrativas: receber, organizar e rastrear contas/faturas (serviços públicos, internet/cabo/telefone, seguros, assinaturas, serviços); acompanhar datas de vencimento e pagar em dia por meio de internet banking, débito automático ou cheque; manter registros de contas, recibos e pagamentos; acompanhar os gastos em relação a um orçamento e conciliar as contas; gerenciar a correspondência e os documentos da casa; e lidar com a documentação das crianças (matrícula escolar, formulários médicos/de seguro); Técnicas/tecnologias/equipamentos: computador/laptop e smartphone; plataformas de internet banking e pagamento de contas; Software de planilha (ex.: Excel, Google Sheets) e/ou software de finanças/orçamento (ex.: Quicken, QuickBooks); aplicativos de e-mail e calendário; scanner, impressora e arquivamento digital/em nuvem e físico; e métodos de pagamento, incluindo cartões domésticos e cheques. ***Original*** Esta é uma vaga para Gerente Doméstico em uma residência com vários funcionários domésticos. O Gerente Doméstico será responsável por gerenciar os horários e calendários da casa, incluindo os horários das crianças e dos profissionais de cuidados infantis designados para essas crianças. Uma das crianças é um bebê. As responsabilidades incluem: planejamento, organização e coordenação de eventos para as crianças; agendamento de consultas para necessidades pessoais e profissionais das crianças e da família; agendamento de serviços de manutenção e reparos domésticos e supervisão do projeto; gerenciamento das contas domésticas e tarefas administrativas para os pais, relacionadas tanto à família quanto às crianças; realização de tarefas e recados necessários, como entrega de compras; supervisão de outros funcionários domésticos, como babás, sendo que a família possui uma. Compras de alimentos, suprimentos e outros itens solicitados. Outras tarefas domésticas: O(A) funcionário(a) doméstico(a) será responsável, ocasionalmente, pelas seguintes tarefas domésticas como parte de suas funções: i. Louças/mamadeiras: Auxiliar, quando necessário, na limpeza diária de todas as mamadeiras, copos, pratos, etc., utilizados pela criança e pela equipe doméstica. ii. Área de recreação: Recolher diariamente os brinquedos e roupas das áreas de recreação da criança (incluindo os quartos da criança, sala de jogos, sala de estar e área externa) e trocar os brinquedos periodicamente. iii. Lavanderia da criança: Lavar semanalmente, ou mediante solicitação, as roupas do bebê, incluindo roupas, lençóis, babadores, capa da cadeirinha de alimentação, trocador, etc. Classificação da função: 11-9179.00 - Gerentes de Serviços Pessoais, Outros. A classificação e descrição da função/setor inclui informações gerais sobre o cargo, de acordo com o ONET/OES e o Sistema de Classificação Industrial da América do Norte. Consulte as Funções e a Ordem de Serviço para obter mais informações. Requisitos da vaga Experiência necessária: Sim Meses de experiência necessários: 12 Requisitos especiais: Carteira de habilitação Número de horas por semana: 44 Horário de trabalho (início/término): 8h às 17h</v>
      </c>
    </row>
    <row r="876" ht="20.25" customHeight="1">
      <c r="A876" s="3" t="s">
        <v>4123</v>
      </c>
      <c r="B876" s="3" t="s">
        <v>4124</v>
      </c>
      <c r="C876" s="3" t="s">
        <v>3974</v>
      </c>
      <c r="D876" s="3" t="s">
        <v>28</v>
      </c>
      <c r="E876" s="4" t="s">
        <v>44</v>
      </c>
      <c r="F876" s="4" t="s">
        <v>20</v>
      </c>
      <c r="G876" s="4" t="s">
        <v>377</v>
      </c>
      <c r="H876" s="3" t="s">
        <v>4125</v>
      </c>
      <c r="I876" s="3" t="s">
        <v>4126</v>
      </c>
      <c r="J876" s="4">
        <v>25.79</v>
      </c>
      <c r="K876" s="4">
        <v>30.0</v>
      </c>
      <c r="L876" s="3" t="s">
        <v>3490</v>
      </c>
      <c r="M876" s="3" t="s">
        <v>4127</v>
      </c>
      <c r="N876" s="7" t="str">
        <f>IFERROR(__xludf.DUMMYFUNCTION("GOOGLETRANSLATE(L876, ""en"", ""pt"")"),"Marinheiro de convés, barco de pesca de ostras")</f>
        <v>Marinheiro de convés, barco de pesca de ostras</v>
      </c>
      <c r="O876" s="7" t="str">
        <f>IFERROR(__xludf.DUMMYFUNCTION("IF(M876="""","""",GOOGLETRANSLATE(M876,""en"",""pt""))"),"Utilizar redes, armadilhas, dragas ou outros equipamentos para colher e coletar ostras do fundo do mar, içá-las para os barcos, ensacá-las e empilhá-las. Descarregar os sacos. Limpar o barco. Classificação da função: 45-3031.00 - Trabalhadores da Pesca e "&amp;"Caça. A classificação e descrição da função/setor inclui informações gerais sobre o cargo, de acordo com o ONET/OES e o Sistema de Classificação Industrial da América do Norte. Consulte as Funções e a Ordem de Serviço para obter mais informações. Requisit"&amp;"os da vaga: Experiência necessária: Não. Número de horas por semana: 40. Horário de trabalho (início/término): 6h às 14h.")</f>
        <v>Utilizar redes, armadilhas, dragas ou outros equipamentos para colher e coletar ostras do fundo do mar, içá-las para os barcos, ensacá-las e empilhá-las. Descarregar os sacos. Limpar o barco. Classificação da função: 45-3031.00 - Trabalhadores da Pesca e Caça. A classificação e descrição da função/setor inclui informações gerais sobre o cargo, de acordo com o ONET/OES e o Sistema de Classificação Industrial da América do Norte. Consulte as Funções e a Ordem de Serviço para obter mais informações. Requisitos da vaga: Experiência necessária: Não. Número de horas por semana: 40. Horário de trabalho (início/término): 6h às 14h.</v>
      </c>
    </row>
    <row r="877" ht="20.25" customHeight="1">
      <c r="A877" s="8" t="s">
        <v>4128</v>
      </c>
      <c r="B877" s="8" t="s">
        <v>4124</v>
      </c>
      <c r="C877" s="8" t="s">
        <v>3974</v>
      </c>
      <c r="D877" s="8" t="s">
        <v>64</v>
      </c>
      <c r="E877" s="9" t="s">
        <v>44</v>
      </c>
      <c r="F877" s="9" t="s">
        <v>20</v>
      </c>
      <c r="G877" s="9" t="s">
        <v>377</v>
      </c>
      <c r="H877" s="8" t="s">
        <v>4125</v>
      </c>
      <c r="I877" s="8" t="s">
        <v>4126</v>
      </c>
      <c r="J877" s="9">
        <v>18.71</v>
      </c>
      <c r="K877" s="9">
        <v>35.0</v>
      </c>
      <c r="L877" s="8" t="s">
        <v>3490</v>
      </c>
      <c r="M877" s="8" t="s">
        <v>4127</v>
      </c>
      <c r="N877" s="7" t="str">
        <f>IFERROR(__xludf.DUMMYFUNCTION("GOOGLETRANSLATE(L877, ""en"", ""pt"")"),"Marinheiro de convés, barco de pesca de ostras")</f>
        <v>Marinheiro de convés, barco de pesca de ostras</v>
      </c>
      <c r="O877" s="7" t="str">
        <f>IFERROR(__xludf.DUMMYFUNCTION("IF(M877="""","""",GOOGLETRANSLATE(M877,""en"",""pt""))"),"Utilizar redes, armadilhas, dragas ou outros equipamentos para colher e coletar ostras do fundo do mar, içá-las para os barcos, ensacá-las e empilhá-las. Descarregar os sacos. Limpar o barco. Classificação da função: 45-3031.00 - Trabalhadores da Pesca e "&amp;"Caça. A classificação e descrição da função/setor inclui informações gerais sobre o cargo, de acordo com o ONET/OES e o Sistema de Classificação Industrial da América do Norte. Consulte as Funções e a Ordem de Serviço para obter mais informações. Requisit"&amp;"os da vaga: Experiência necessária: Não. Número de horas por semana: 40. Horário de trabalho (início/término): 6h às 14h.")</f>
        <v>Utilizar redes, armadilhas, dragas ou outros equipamentos para colher e coletar ostras do fundo do mar, içá-las para os barcos, ensacá-las e empilhá-las. Descarregar os sacos. Limpar o barco. Classificação da função: 45-3031.00 - Trabalhadores da Pesca e Caça. A classificação e descrição da função/setor inclui informações gerais sobre o cargo, de acordo com o ONET/OES e o Sistema de Classificação Industrial da América do Norte. Consulte as Funções e a Ordem de Serviço para obter mais informações. Requisitos da vaga: Experiência necessária: Não. Número de horas por semana: 40. Horário de trabalho (início/término): 6h às 14h.</v>
      </c>
    </row>
    <row r="878" ht="20.25" customHeight="1">
      <c r="A878" s="3" t="s">
        <v>4129</v>
      </c>
      <c r="B878" s="3" t="s">
        <v>4130</v>
      </c>
      <c r="C878" s="3" t="s">
        <v>3981</v>
      </c>
      <c r="D878" s="3" t="s">
        <v>186</v>
      </c>
      <c r="E878" s="4" t="s">
        <v>44</v>
      </c>
      <c r="F878" s="4" t="s">
        <v>20</v>
      </c>
      <c r="G878" s="4" t="s">
        <v>4131</v>
      </c>
      <c r="H878" s="3" t="s">
        <v>4132</v>
      </c>
      <c r="I878" s="3" t="s">
        <v>4133</v>
      </c>
      <c r="J878" s="4">
        <v>17.96</v>
      </c>
      <c r="K878" s="4">
        <v>1.0</v>
      </c>
      <c r="L878" s="3" t="s">
        <v>387</v>
      </c>
      <c r="M878" s="3" t="s">
        <v>4134</v>
      </c>
      <c r="N878" s="7" t="str">
        <f>IFERROR(__xludf.DUMMYFUNCTION("GOOGLETRANSLATE(L878, ""en"", ""pt"")"),"Ordem de serviço não disponível")</f>
        <v>Ordem de serviço não disponível</v>
      </c>
      <c r="O878" s="7" t="str">
        <f>IFERROR(__xludf.DUMMYFUNCTION("IF(M878="""","""",GOOGLETRANSLATE(M878,""en"",""pt""))"),"***Resposta à Solicitação de Informações*** A babá não prepara as três refeições diárias. As refeições são preparadas com antecedência por um cozinheiro, pelos pais ou por terceiros. A babá providencia para que as refeições pré-preparadas sejam servidas à"&amp;" criança sob seus cuidados: ela coloca a comida na frente da criança e a aquece, se necessário, usando o micro-ondas disponível na casa. A comida é consumida pela criança sob seus cuidados. Não são necessários utensílios especiais. ***Original*** I. Cuida"&amp;"dos Infantis e Apoio ao Desenvolvimento Espera-se que a babá proporcione um ambiente acolhedor e estruturado que priorize os marcos emocionais e físicos da criança. Filosofia Comportamental: A babá deve utilizar orientação gentil e reforço positivo para g"&amp;"erenciar o comportamento. Em nenhuma circunstância é permitida disciplina física ou punição corporal. Cumprimento da Rotina: A babá é responsável por seguir a rotina de sonecas e descanso estabelecida para garantir que a criança permaneça bem descansada e"&amp;" em uma rotina consistente. Cuidados Nutricionais: A babá planejará, preparará e organizará refeições e lanches saudáveis ​​e adequados à idade ao longo do dia, garantindo que todas as necessidades alimentares sejam atendidas. Atividade Física: Se o tempo"&amp;" permitir, a babá deverá proporcionar pelo menos 90 minutos diários de atividades ao ar livre. Isso inclui brincadeiras supervisionadas no quintal, caminhadas ou visitas a parques locais para incentivar a saúde física. Comunicação com os Pais: A babá forn"&amp;"ecerá atualizações diárias aos pais por mensagem de texto, fotos ou vídeo, detalhando as atividades da criança, seu humor e quaisquer desenvolvimentos notáveis. Envolvimento Educacional Especializado: Utilizando sua formação ou especialização em Desenvolv"&amp;"imento Infantil, a babá implementará atividades apropriadas para a idade, projetadas para estimular o crescimento cognitivo, social e emocional. II. Protocolo de Consentimento para Transporte e Segurança: Qualquer transporte da criança (a pé ou de veículo"&amp;") requer consentimento prévio dos pais. Conformidade com as Normas de Segurança: Quando o transporte for autorizado, a babá deverá garantir que a criança esteja devidamente presa em dispositivos de segurança apropriados para a idade em todos os momentos. "&amp;"III. Manutenção Doméstica e da Casa: Para manter um ambiente higiênico e organizado especificamente para a criança, a babá realizará as seguintes tarefas domésticas: Higienização: Limpar e lavar todas as mamadeiras, pratos e utensílios utilizados pela cri"&amp;"ança durante o turno. Organização das Áreas de Brincar: Recolher e organizar regularmente os brinquedos, livros e roupas nas áreas de brincar designadas e no quarto da criança. Apoio Doméstico Complementar: Auxiliar na administração da casa relacionada à "&amp;"criança, incluindo a organização do quarto/guarda-roupa da criança e auxiliar na preparação das malas para viagens ou passeios em família. IV. Segurança e Conduta Profissional A segurança da criança e a segurança da casa permanecem como prioridade máxima."&amp;" Liberação Autorizada dos Cuidados: A criança só poderá ser liberada para os pais ou pessoas especificamente autorizadas pelos pais por escrito. Não serão feitas exceções. Segurança da Casa: Para manter a privacidade e a segurança, a babá está proibida de"&amp;" receber visitas pessoais na residência sem o consentimento prévio e expresso dos pais. Protocolos de Emergência: Em caso de emergência, a babá deve seguir imediatamente o protocolo de segurança estabelecido: contatar o serviço de emergência (192 no Brasi"&amp;"l) em caso de ameaças médicas ou à segurança, seguido de notificação imediata aos pais. Limites Profissionais: Espera-se que a babá mantenha uma postura profissional e respeite os padrões de privacidade e confidencialidade da casa em todos os momentos. Cl"&amp;"assificação da vaga: 39-9011.01 - Babás. A classificação e descrição da vaga/setor inclui informações gerais sobre o cargo, de acordo com o ONET/OES e o Sistema de Classificação Industrial da América do Norte (NAICS). Consulte as Funções e a Ordem de Serv"&amp;"iço para obter mais informações. Requisitos da vaga: Experiência necessária: Sim. Meses de experiência necessários: 12. Requisitos especiais: Primeiros Socorros ou RCP - antes ou depois da contratação. Número de horas por semana: 50. Horário de trabalho ("&amp;"início/término): 8h às 17h.")</f>
        <v>***Resposta à Solicitação de Informações*** A babá não prepara as três refeições diárias. As refeições são preparadas com antecedência por um cozinheiro, pelos pais ou por terceiros. A babá providencia para que as refeições pré-preparadas sejam servidas à criança sob seus cuidados: ela coloca a comida na frente da criança e a aquece, se necessário, usando o micro-ondas disponível na casa. A comida é consumida pela criança sob seus cuidados. Não são necessários utensílios especiais. ***Original*** I. Cuidados Infantis e Apoio ao Desenvolvimento Espera-se que a babá proporcione um ambiente acolhedor e estruturado que priorize os marcos emocionais e físicos da criança. Filosofia Comportamental: A babá deve utilizar orientação gentil e reforço positivo para gerenciar o comportamento. Em nenhuma circunstância é permitida disciplina física ou punição corporal. Cumprimento da Rotina: A babá é responsável por seguir a rotina de sonecas e descanso estabelecida para garantir que a criança permaneça bem descansada e em uma rotina consistente. Cuidados Nutricionais: A babá planejará, preparará e organizará refeições e lanches saudáveis ​​e adequados à idade ao longo do dia, garantindo que todas as necessidades alimentares sejam atendidas. Atividade Física: Se o tempo permitir, a babá deverá proporcionar pelo menos 90 minutos diários de atividades ao ar livre. Isso inclui brincadeiras supervisionadas no quintal, caminhadas ou visitas a parques locais para incentivar a saúde física. Comunicação com os Pais: A babá fornecerá atualizações diárias aos pais por mensagem de texto, fotos ou vídeo, detalhando as atividades da criança, seu humor e quaisquer desenvolvimentos notáveis. Envolvimento Educacional Especializado: Utilizando sua formação ou especialização em Desenvolvimento Infantil, a babá implementará atividades apropriadas para a idade, projetadas para estimular o crescimento cognitivo, social e emocional. II. Protocolo de Consentimento para Transporte e Segurança: Qualquer transporte da criança (a pé ou de veículo) requer consentimento prévio dos pais. Conformidade com as Normas de Segurança: Quando o transporte for autorizado, a babá deverá garantir que a criança esteja devidamente presa em dispositivos de segurança apropriados para a idade em todos os momentos. III. Manutenção Doméstica e da Casa: Para manter um ambiente higiênico e organizado especificamente para a criança, a babá realizará as seguintes tarefas domésticas: Higienização: Limpar e lavar todas as mamadeiras, pratos e utensílios utilizados pela criança durante o turno. Organização das Áreas de Brincar: Recolher e organizar regularmente os brinquedos, livros e roupas nas áreas de brincar designadas e no quarto da criança. Apoio Doméstico Complementar: Auxiliar na administração da casa relacionada à criança, incluindo a organização do quarto/guarda-roupa da criança e auxiliar na preparação das malas para viagens ou passeios em família. IV. Segurança e Conduta Profissional A segurança da criança e a segurança da casa permanecem como prioridade máxima. Liberação Autorizada dos Cuidados: A criança só poderá ser liberada para os pais ou pessoas especificamente autorizadas pelos pais por escrito. Não serão feitas exceções. Segurança da Casa: Para manter a privacidade e a segurança, a babá está proibida de receber visitas pessoais na residência sem o consentimento prévio e expresso dos pais. Protocolos de Emergência: Em caso de emergência, a babá deve seguir imediatamente o protocolo de segurança estabelecido: contatar o serviço de emergência (192 no Brasil) em caso de ameaças médicas ou à segurança, seguido de notificação imediata aos pais. Limites Profissionais: Espera-se que a babá mantenha uma postura profissional e respeite os padrões de privacidade e confidencialidade da casa em todos os momentos. Classificação da vaga: 39-9011.01 - Babás. A classificação e descrição da vaga/setor inclui informações gerais sobre o cargo, de acordo com o ONET/OES e o Sistema de Classificação Industrial da América do Norte (NAICS). Consulte as Funções e a Ordem de Serviço para obter mais informações. Requisitos da vaga: Experiência necessária: Sim. Meses de experiência necessários: 12. Requisitos especiais: Primeiros Socorros ou RCP - antes ou depois da contratação. Número de horas por semana: 50. Horário de trabalho (início/término): 8h às 17h.</v>
      </c>
    </row>
    <row r="879" ht="20.25" customHeight="1">
      <c r="A879" s="8" t="s">
        <v>4135</v>
      </c>
      <c r="B879" s="8" t="s">
        <v>4136</v>
      </c>
      <c r="C879" s="8" t="s">
        <v>920</v>
      </c>
      <c r="D879" s="8" t="s">
        <v>1297</v>
      </c>
      <c r="E879" s="9" t="s">
        <v>19</v>
      </c>
      <c r="F879" s="9" t="s">
        <v>20</v>
      </c>
      <c r="G879" s="9" t="s">
        <v>155</v>
      </c>
      <c r="H879" s="8" t="s">
        <v>4137</v>
      </c>
      <c r="I879" s="8" t="s">
        <v>4138</v>
      </c>
      <c r="J879" s="9">
        <v>17.82</v>
      </c>
      <c r="K879" s="9">
        <v>53.0</v>
      </c>
      <c r="L879" s="8" t="s">
        <v>1034</v>
      </c>
      <c r="M879" s="8" t="s">
        <v>4139</v>
      </c>
      <c r="N879" s="7" t="str">
        <f>IFERROR(__xludf.DUMMYFUNCTION("GOOGLETRANSLATE(L879, ""en"", ""pt"")"),"Remoção de neve")</f>
        <v>Remoção de neve</v>
      </c>
      <c r="O879" s="7" t="str">
        <f>IFERROR(__xludf.DUMMYFUNCTION("IF(M879="""","""",GOOGLETRANSLATE(M879,""en"",""pt""))"),"Remover neve de calçadas, passeios e ruas usando uma pá de neve e aplicar sal para derreter gelo usando um espalhador manual. REQUISITOS DE LEVANTAMENTO DE 22,7 kg (50 LBS) Classificação do Cargo: 37-2011.00 - Zeladores e Faxineiros, exceto Empregadas Dom"&amp;"ésticas e Faxineiros. A classificação e descrição do cargo/setor inclui informações gerais sobre a posição, de acordo com o ONET/OES e o Sistema de Classificação Industrial da América do Norte. Consulte as Funções e a Ordem de Serviço para obter mais info"&amp;"rmações. Requisitos do Cargo Experiência Necessária: Não. Requisitos Especiais: NENHUM. Número de Horas por Semana: 40. Horário de Trabalho (Início/Término): 7h às 17h.")</f>
        <v>Remover neve de calçadas, passeios e ruas usando uma pá de neve e aplicar sal para derreter gelo usando um espalhador manual. REQUISITOS DE LEVANTAMENTO DE 22,7 kg (50 LBS) Classificação do Cargo: 37-2011.00 - Zeladores e Faxineiros, exceto Empregadas Domésticas e Faxineiros. A classificação e descrição do cargo/setor inclui informações gerais sobre a posição, de acordo com o ONET/OES e o Sistema de Classificação Industrial da América do Norte. Consulte as Funções e a Ordem de Serviço para obter mais informações. Requisitos do Cargo Experiência Necessária: Não. Requisitos Especiais: NENHUM. Número de Horas por Semana: 40. Horário de Trabalho (Início/Término): 7h às 17h.</v>
      </c>
    </row>
    <row r="880" ht="20.25" customHeight="1">
      <c r="A880" s="3" t="s">
        <v>4140</v>
      </c>
      <c r="B880" s="3" t="s">
        <v>4141</v>
      </c>
      <c r="C880" s="3" t="s">
        <v>3974</v>
      </c>
      <c r="D880" s="3" t="s">
        <v>28</v>
      </c>
      <c r="E880" s="4" t="s">
        <v>19</v>
      </c>
      <c r="F880" s="4" t="s">
        <v>20</v>
      </c>
      <c r="G880" s="4" t="s">
        <v>377</v>
      </c>
      <c r="H880" s="3" t="s">
        <v>4142</v>
      </c>
      <c r="I880" s="3" t="s">
        <v>4002</v>
      </c>
      <c r="J880" s="4">
        <v>24.39</v>
      </c>
      <c r="K880" s="4">
        <v>30.0</v>
      </c>
      <c r="L880" s="3" t="s">
        <v>3490</v>
      </c>
      <c r="M880" s="3" t="s">
        <v>4003</v>
      </c>
      <c r="N880" s="7" t="str">
        <f>IFERROR(__xludf.DUMMYFUNCTION("GOOGLETRANSLATE(L880, ""en"", ""pt"")"),"Marinheiro de convés, barco de pesca de ostras")</f>
        <v>Marinheiro de convés, barco de pesca de ostras</v>
      </c>
      <c r="O880" s="7" t="str">
        <f>IFERROR(__xludf.DUMMYFUNCTION("IF(M880="""","""",GOOGLETRANSLATE(M880,""en"",""pt""))"),"Utilizar redes, armadilhas, dragas ou outros equipamentos para colher e coletar ostras do fundo do mar, içá-las para os barcos, ensacá-las e empilhá-las. Descarregar os sacos do barco para o cais. Limpar o barco. Classificação da função: 45-3031.00 - Trab"&amp;"alhadores da Pesca e Caça. A classificação e descrição da função/setor inclui informações gerais sobre o cargo, de acordo com o ONET/OES e o Sistema de Classificação Industrial da América do Norte. Consulte as Funções e a Ordem de Serviço para obter mais "&amp;"informações. Requisitos da função: Experiência necessária: Não. Número de horas por semana: 40. Horário de trabalho (início/término): 6h às 14h.")</f>
        <v>Utilizar redes, armadilhas, dragas ou outros equipamentos para colher e coletar ostras do fundo do mar, içá-las para os barcos, ensacá-las e empilhá-las. Descarregar os sacos do barco para o cais. Limpar o barco. Classificação da função: 45-3031.00 - Trabalhadores da Pesca e Caça. A classificação e descrição da função/setor inclui informações gerais sobre o cargo, de acordo com o ONET/OES e o Sistema de Classificação Industrial da América do Norte. Consulte as Funções e a Ordem de Serviço para obter mais informações. Requisitos da função: Experiência necessária: Não. Número de horas por semana: 40. Horário de trabalho (início/término): 6h às 14h.</v>
      </c>
    </row>
    <row r="881" ht="20.25" customHeight="1">
      <c r="A881" s="8" t="s">
        <v>4143</v>
      </c>
      <c r="B881" s="8" t="s">
        <v>4144</v>
      </c>
      <c r="C881" s="8" t="s">
        <v>3981</v>
      </c>
      <c r="D881" s="8" t="s">
        <v>596</v>
      </c>
      <c r="E881" s="9" t="s">
        <v>19</v>
      </c>
      <c r="F881" s="9" t="s">
        <v>20</v>
      </c>
      <c r="G881" s="9" t="s">
        <v>4096</v>
      </c>
      <c r="H881" s="8" t="s">
        <v>4145</v>
      </c>
      <c r="I881" s="8" t="s">
        <v>4146</v>
      </c>
      <c r="J881" s="9">
        <v>18.45</v>
      </c>
      <c r="K881" s="9">
        <v>1.0</v>
      </c>
      <c r="L881" s="8" t="s">
        <v>387</v>
      </c>
      <c r="M881" s="8" t="s">
        <v>4147</v>
      </c>
      <c r="N881" s="7" t="str">
        <f>IFERROR(__xludf.DUMMYFUNCTION("GOOGLETRANSLATE(L881, ""en"", ""pt"")"),"Ordem de serviço não disponível")</f>
        <v>Ordem de serviço não disponível</v>
      </c>
      <c r="O881" s="7" t="str">
        <f>IFERROR(__xludf.DUMMYFUNCTION("IF(M881="""","""",GOOGLETRANSLATE(M881,""en"",""pt""))"),"***Resposta à Solicitação de Informações*** - Refeições (Questão 1): A babá não prepara as três refeições diárias. As refeições são preparadas com antecedência por um cozinheiro, pelos pais ou por terceiros. A babá providencia para que as refeições pré-pr"&amp;"eparadas sejam servidas à criança sob seus cuidados: ela coloca a comida na frente da criança e a aquece, se necessário, usando o micro-ondas disponível na casa. A comida é consumida pela criança sob seus cuidados. - Outras Tarefas Domésticas (Questão 2):"&amp;" Essas tarefas consistem em arrumar as malas da criança para viagens, organizar o quarto da criança quando estiver bagunçado durante o trabalho da babá e auxiliar no desfralde, quando necessário, na ausência dos pais. Não são necessárias ferramentas, equi"&amp;"pamentos ou materiais especiais para realizar essas tarefas. ***Original*** Deveres gerais: A babá deve fornecer cuidados responsáveis ​​para duas crianças. • Orientação gentil: Em hipótese alguma a criança poderá se envolver em qualquer atividade conside"&amp;"rada perigosa pelos pais ou pela babá. As crianças não devem ser palmadas, agredidas ou tocadas com força por transgressões. • Transporte: As crianças não serão transportadas sem o consentimento e instrução prévios dos pais. As crianças não serão transpor"&amp;"tadas para a casa de outra pessoa sem o consentimento prévio dos pais. Todo o transporte será feito no veículo dos pais e com a cadeirinha apropriada, fornecida e aprovada pelos pais. Nenhuma pessoa tem permissão para transportar as crianças sem o consent"&amp;"imento prévio dos pais. • Refeições: A babá providenciará três refeições completas por dia, dois lanches saudáveis ​​por dia e mamadeiras conforme necessário. • Sonecas: A babá garantirá que as crianças sigam o horário e a rotina de sonecas fornecidos pel"&amp;"os pais. • Diretrizes para liberar as crianças: A babá não liberará as crianças para nenhum parente, vizinho, amigo da família ou pai/mãe de amigo(a) sem a autorização expressa dos pais. • Tempo ao ar livre: A babá passará pelo menos trinta (30) minutos p"&amp;"or dia ao ar livre com a criança, se o tempo permitir, no quintal da casa dos pais ou em parques aprovados pelos pais. A babá garantirá proteção adequada contra sol, chuva e neve para a criança (por exemplo, protetor solar, jaquetas, etc., a serem provide"&amp;"nciados pelos pais). • Atualizações regulares para os pais: A babá fornecerá aos pais uma atualização diária por mensagem de texto ou e-mail. Tarefas domésticas: A babá será responsável pelas seguintes tarefas domésticas como parte de seu trabalho: i. Ute"&amp;"nsílios de cozinha/mamadeiras: Limpeza diária de todas as mamadeiras, copos, pratos, etc., usados ​​pela criança e pela babá (por exemplo, a babá colocará a louça suja na lava-louças e ligará a lava-louças apropriada). A babá também passará aspirador de p"&amp;"ó e/ou varrerá embaixo das mesas da cozinha e limpará as mesas e bancadas após as refeições, conforme necessário. ii. Área de recreação: Recolher diariamente os brinquedos e roupas nas áreas de recreação da criança (incluindo os quartos da criança, sala d"&amp;"e brinquedos, sala de estar e área externa) e trocar os brinquedos periodicamente. iii. Lavanderia da Criança: Lavagem semanal, ou mediante solicitação, das roupas do bebê, incluindo roupas, lençóis, babadores, capa da cadeirinha de alimentação, trocador,"&amp;" etc. iv. Outras Tarefas Domésticas: A babá será responsável por outras tarefas domésticas, conforme razoavelmente solicitado pelos pais (por exemplo, arrumar as malas da criança para viagens, organizar o quarto da criança, auxiliar no desfralde, etc.). C"&amp;"lassificação da Função: 39-9011.01 - Babás. A classificação e descrição da função/setor inclui informações gerais sobre o cargo, de acordo com o ONET/OES e o Sistema de Classificação Industrial da América do Norte. Consulte as Funções e a Ordem de Serviço"&amp;" para obter mais informações. Requisitos da Função: Experiência Necessária: Não. Requisitos Especiais: É necessário levantar uma criança. Número de Horas por Semana: 44. Horário de Trabalho (Início/Término): 8h às 17h.")</f>
        <v>***Resposta à Solicitação de Informações*** - Refeições (Questão 1): A babá não prepara as três refeições diárias. As refeições são preparadas com antecedência por um cozinheiro, pelos pais ou por terceiros. A babá providencia para que as refeições pré-preparadas sejam servidas à criança sob seus cuidados: ela coloca a comida na frente da criança e a aquece, se necessário, usando o micro-ondas disponível na casa. A comida é consumida pela criança sob seus cuidados. - Outras Tarefas Domésticas (Questão 2): Essas tarefas consistem em arrumar as malas da criança para viagens, organizar o quarto da criança quando estiver bagunçado durante o trabalho da babá e auxiliar no desfralde, quando necessário, na ausência dos pais. Não são necessárias ferramentas, equipamentos ou materiais especiais para realizar essas tarefas. ***Original*** Deveres gerais: A babá deve fornecer cuidados responsáveis ​​para duas crianças. • Orientação gentil: Em hipótese alguma a criança poderá se envolver em qualquer atividade considerada perigosa pelos pais ou pela babá. As crianças não devem ser palmadas, agredidas ou tocadas com força por transgressões. • Transporte: As crianças não serão transportadas sem o consentimento e instrução prévios dos pais. As crianças não serão transportadas para a casa de outra pessoa sem o consentimento prévio dos pais. Todo o transporte será feito no veículo dos pais e com a cadeirinha apropriada, fornecida e aprovada pelos pais. Nenhuma pessoa tem permissão para transportar as crianças sem o consentimento prévio dos pais. • Refeições: A babá providenciará três refeições completas por dia, dois lanches saudáveis ​​por dia e mamadeiras conforme necessário. • Sonecas: A babá garantirá que as crianças sigam o horário e a rotina de sonecas fornecidos pelos pais. • Diretrizes para liberar as crianças: A babá não liberará as crianças para nenhum parente, vizinho, amigo da família ou pai/mãe de amigo(a) sem a autorização expressa dos pais. • Tempo ao ar livre: A babá passará pelo menos trinta (30) minutos por dia ao ar livre com a criança, se o tempo permitir, no quintal da casa dos pais ou em parques aprovados pelos pais. A babá garantirá proteção adequada contra sol, chuva e neve para a criança (por exemplo, protetor solar, jaquetas, etc., a serem providenciados pelos pais). • Atualizações regulares para os pais: A babá fornecerá aos pais uma atualização diária por mensagem de texto ou e-mail. Tarefas domésticas: A babá será responsável pelas seguintes tarefas domésticas como parte de seu trabalho: i. Utensílios de cozinha/mamadeiras: Limpeza diária de todas as mamadeiras, copos, pratos, etc., usados ​​pela criança e pela babá (por exemplo, a babá colocará a louça suja na lava-louças e ligará a lava-louças apropriada). A babá também passará aspirador de pó e/ou varrerá embaixo das mesas da cozinha e limpará as mesas e bancadas após as refeições, conforme necessário. ii. Área de recreação: Recolher diariamente os brinquedos e roupas nas áreas de recreação da criança (incluindo os quartos da criança, sala de brinquedos, sala de estar e área externa) e trocar os brinquedos periodicamente. iii. Lavanderia da Criança: Lavagem semanal, ou mediante solicitação, das roupas do bebê, incluindo roupas, lençóis, babadores, capa da cadeirinha de alimentação, trocador, etc. iv. Outras Tarefas Domésticas: A babá será responsável por outras tarefas domésticas, conforme razoavelmente solicitado pelos pais (por exemplo, arrumar as malas da criança para viagens, organizar o quarto da criança, auxiliar no desfralde, etc.). Classificação da Função: 39-9011.01 - Babás. A classificação e descrição da função/setor inclui informações gerais sobre o cargo, de acordo com o ONET/OES e o Sistema de Classificação Industrial da América do Norte. Consulte as Funções e a Ordem de Serviço para obter mais informações. Requisitos da Função: Experiência Necessária: Não. Requisitos Especiais: É necessário levantar uma criança. Número de Horas por Semana: 44. Horário de Trabalho (Início/Término): 8h às 17h.</v>
      </c>
    </row>
    <row r="882" ht="20.25" customHeight="1">
      <c r="A882" s="3" t="s">
        <v>4148</v>
      </c>
      <c r="B882" s="3" t="s">
        <v>4149</v>
      </c>
      <c r="C882" s="3" t="s">
        <v>3981</v>
      </c>
      <c r="D882" s="3" t="s">
        <v>596</v>
      </c>
      <c r="E882" s="4" t="s">
        <v>44</v>
      </c>
      <c r="F882" s="4" t="s">
        <v>20</v>
      </c>
      <c r="G882" s="4" t="s">
        <v>3982</v>
      </c>
      <c r="H882" s="3" t="s">
        <v>4150</v>
      </c>
      <c r="I882" s="3" t="s">
        <v>4151</v>
      </c>
      <c r="J882" s="4">
        <v>18.45</v>
      </c>
      <c r="K882" s="4">
        <v>1.0</v>
      </c>
      <c r="L882" s="3" t="s">
        <v>387</v>
      </c>
      <c r="M882" s="3" t="s">
        <v>4152</v>
      </c>
      <c r="N882" s="7" t="str">
        <f>IFERROR(__xludf.DUMMYFUNCTION("GOOGLETRANSLATE(L882, ""en"", ""pt"")"),"Ordem de serviço não disponível")</f>
        <v>Ordem de serviço não disponível</v>
      </c>
      <c r="O882" s="7" t="str">
        <f>IFERROR(__xludf.DUMMYFUNCTION("IF(M882="""","""",GOOGLETRANSLATE(M882,""en"",""pt""))"),"Cuidados e Desenvolvimento Infantil: Orientação gentil / sem disciplina física Seguir o horário de sonecas Preparar refeições/lanches saudáveis ​​Tempo diário ao ar livre (90 minutos, se o tempo permitir) Atualizações diárias para os pais (mensagem de tex"&amp;"to/foto/vídeo) Transporte: Transportar a criança em veículo da família (com cadeirinha fornecida) Somente com consentimento prévio dos pais Cobrir os custos do seguro associados Tarefas Domésticas: Lavar mamadeiras/louças usadas pela criança Varrer/aspira"&amp;"r embaixo das mesas, limpar bancadas Recolher brinquedos/roupas nas áreas de recreação Outras tarefas domésticas (fazer as malas para viagens, organizar o quarto da criança) Outras Responsabilidades: Seguir as regras para liberar a criança (somente para p"&amp;"essoas autorizadas pelos pais) Não permitir visitas sem consentimento Protocolo de emergência (ligar para o 190/pais) Fornecer suprimentos e equipamentos (custos cobertos pelos pais) Deveres/Habilidades Adicionais: RCP/Primeiros Socorros Classificação do "&amp;"Cargo: 39-9011.01 - Babás A classificação e descrição do cargo/setor incluem informações gerais sobre a posição da ONET/OES e do Sistema de Classificação Industrial da América do Norte. Consulte as Funções do Cargo e a Ordem de Serviço para obter mais inf"&amp;"ormações. Requisitos da vaga Experiência necessária: Sim Meses de experiência necessários: 12 Requisitos especiais: Certificação em RCP/Primeiros Socorros Deve saber nadar. Número de horas por semana: 47 Horário de trabalho (início/término): 8h às 17h")</f>
        <v>Cuidados e Desenvolvimento Infantil: Orientação gentil / sem disciplina física Seguir o horário de sonecas Preparar refeições/lanches saudáveis ​​Tempo diário ao ar livre (90 minutos, se o tempo permitir) Atualizações diárias para os pais (mensagem de texto/foto/vídeo) Transporte: Transportar a criança em veículo da família (com cadeirinha fornecida) Somente com consentimento prévio dos pais Cobrir os custos do seguro associados Tarefas Domésticas: Lavar mamadeiras/louças usadas pela criança Varrer/aspirar embaixo das mesas, limpar bancadas Recolher brinquedos/roupas nas áreas de recreação Outras tarefas domésticas (fazer as malas para viagens, organizar o quarto da criança) Outras Responsabilidades: Seguir as regras para liberar a criança (somente para pessoas autorizadas pelos pais) Não permitir visitas sem consentimento Protocolo de emergência (ligar para o 190/pais) Fornecer suprimentos e equipamentos (custos cobertos pelos pais) Deveres/Habilidades Adicionais: RCP/Primeiros Socorros Classificação do Cargo: 39-9011.01 - Babás A classificação e descrição do cargo/setor incluem informações gerais sobre a posição da ONET/OES e do Sistema de Classificação Industrial da América do Norte. Consulte as Funções do Cargo e a Ordem de Serviço para obter mais informações. Requisitos da vaga Experiência necessária: Sim Meses de experiência necessários: 12 Requisitos especiais: Certificação em RCP/Primeiros Socorros Deve saber nadar. Número de horas por semana: 47 Horário de trabalho (início/término): 8h às 17h</v>
      </c>
    </row>
    <row r="883" ht="20.25" customHeight="1">
      <c r="A883" s="8" t="s">
        <v>4153</v>
      </c>
      <c r="B883" s="8" t="s">
        <v>4154</v>
      </c>
      <c r="C883" s="8" t="s">
        <v>4084</v>
      </c>
      <c r="D883" s="8" t="s">
        <v>278</v>
      </c>
      <c r="E883" s="9" t="s">
        <v>44</v>
      </c>
      <c r="F883" s="9" t="s">
        <v>20</v>
      </c>
      <c r="G883" s="9" t="s">
        <v>56</v>
      </c>
      <c r="H883" s="8" t="s">
        <v>4155</v>
      </c>
      <c r="I883" s="8" t="s">
        <v>4156</v>
      </c>
      <c r="J883" s="9">
        <v>23.27</v>
      </c>
      <c r="K883" s="9">
        <v>19.0</v>
      </c>
      <c r="L883" s="8" t="s">
        <v>2724</v>
      </c>
      <c r="M883" s="8" t="s">
        <v>4157</v>
      </c>
      <c r="N883" s="7" t="str">
        <f>IFERROR(__xludf.DUMMYFUNCTION("GOOGLETRANSLATE(L883, ""en"", ""pt"")"),"Telhador")</f>
        <v>Telhador</v>
      </c>
      <c r="O883" s="7" t="str">
        <f>IFERROR(__xludf.DUMMYFUNCTION("IF(M883="""","""",GOOGLETRANSLATE(M883,""en"",""pt""))"),"Reparar e instalar telhados de edifícios e residências utilizando uma variedade de materiais, incluindo telhas, asfalto e metal. Remover os materiais de cobertura existentes até o revestimento (compensado) e vigas; substituir compensado ou vigas danificad"&amp;"as ou apodrecidas; instalar barreiras de vapor ou camadas de isolamento conforme as especificações do projeto de cobertura; instalar telhas, asfalto, metal ou outros materiais conforme as especificações do projeto de cobertura; alinhar os materiais de cob"&amp;"ertura com as bordas do telhado; cortar os materiais de cobertura para encaixá-los ao redor de paredes ou aberturas de ventilação; e coletar e descartar resíduos e detritos de materiais de cobertura. Dependendo da experiência, pode atuar como líder de equ"&amp;"ipe no local, supervisionando outros telhadistas e ajudantes. Executar outras tarefas de reparo no local de trabalho relacionadas ou acessórias a projetos de cobertura, como calhas, janelas e outros reparos correlatos. Pode realizar atividades semelhantes"&amp;" às mencionadas acima em resposta a solicitações de atendimento ao cliente após a instalação do sistema de cobertura inicial. Classificação da função: 47-2181.00 - Telhadistas. A classificação e descrição da função/setor inclui informações gerais sobre o "&amp;"cargo, provenientes do ONET/OES e do Sistema de Classificação Industrial da América do Norte. Consulte a descrição das funções e a ordem de serviço para obter mais informações. Requisitos da vaga: Experiência necessária: Não. Número de horas por semana: 4"&amp;"5. Horário de trabalho (início/término): 7h às 17h.")</f>
        <v>Reparar e instalar telhados de edifícios e residências utilizando uma variedade de materiais, incluindo telhas, asfalto e metal. Remover os materiais de cobertura existentes até o revestimento (compensado) e vigas; substituir compensado ou vigas danificadas ou apodrecidas; instalar barreiras de vapor ou camadas de isolamento conforme as especificações do projeto de cobertura; instalar telhas, asfalto, metal ou outros materiais conforme as especificações do projeto de cobertura; alinhar os materiais de cobertura com as bordas do telhado; cortar os materiais de cobertura para encaixá-los ao redor de paredes ou aberturas de ventilação; e coletar e descartar resíduos e detritos de materiais de cobertura. Dependendo da experiência, pode atuar como líder de equipe no local, supervisionando outros telhadistas e ajudantes. Executar outras tarefas de reparo no local de trabalho relacionadas ou acessórias a projetos de cobertura, como calhas, janelas e outros reparos correlatos. Pode realizar atividades semelhantes às mencionadas acima em resposta a solicitações de atendimento ao cliente após a instalação do sistema de cobertura inicial. Classificação da função: 47-2181.00 - Telhadistas. A classificação e descrição da função/setor inclui informações gerais sobre o cargo, provenientes do ONET/OES e do Sistema de Classificação Industrial da América do Norte. Consulte a descrição das funções e a ordem de serviço para obter mais informações. Requisitos da vaga: Experiência necessária: Não. Número de horas por semana: 45. Horário de trabalho (início/término): 7h às 17h.</v>
      </c>
    </row>
    <row r="884" ht="20.25" customHeight="1">
      <c r="A884" s="3" t="s">
        <v>4158</v>
      </c>
      <c r="B884" s="3" t="s">
        <v>4159</v>
      </c>
      <c r="C884" s="3" t="s">
        <v>4011</v>
      </c>
      <c r="D884" s="3" t="s">
        <v>970</v>
      </c>
      <c r="E884" s="4" t="s">
        <v>19</v>
      </c>
      <c r="F884" s="4" t="s">
        <v>20</v>
      </c>
      <c r="G884" s="4" t="s">
        <v>146</v>
      </c>
      <c r="H884" s="3" t="s">
        <v>4160</v>
      </c>
      <c r="I884" s="3" t="s">
        <v>4161</v>
      </c>
      <c r="J884" s="4">
        <v>19.78</v>
      </c>
      <c r="K884" s="4">
        <v>4.0</v>
      </c>
      <c r="L884" s="3" t="s">
        <v>4162</v>
      </c>
      <c r="M884" s="3" t="s">
        <v>4163</v>
      </c>
      <c r="N884" s="7" t="str">
        <f>IFERROR(__xludf.DUMMYFUNCTION("GOOGLETRANSLATE(L884, ""en"", ""pt"")"),"Ajudantes - Carpinteiros")</f>
        <v>Ajudantes - Carpinteiros</v>
      </c>
      <c r="O884" s="7" t="str">
        <f>IFERROR(__xludf.DUMMYFUNCTION("IF(M884="""","""",GOOGLETRANSLATE(M884,""en"",""pt""))"),"Auxiliar carpinteiros realizando tarefas que exigem menos habilidade. As tarefas incluem usar, fornecer ou segurar materiais ou ferramentas, e limpar a área de trabalho e os equipamentos. Classificação da vaga: 47-3012.00 - Ajudantes de Carpinteiro. A cla"&amp;"ssificação e descrição da vaga/setor inclui informações gerais sobre o cargo, de acordo com o ONET/OES e o Sistema de Classificação Industrial da América do Norte (NAICS). Consulte as Funções e a Ordem de Serviço para obter mais informações. Requisitos da"&amp;" vaga: Experiência necessária: Não. Requisitos especiais: CAPACIDADE DE LEVANTAR E CARREGAR 23 KG. DISPONIBILIDADE PARA HORAS EXTRAS E TRABALHO AOS FINS DE SEMANA. JORNADA DE TRABALHO DE 8 HORAS. Treinamento de segurança e MSHA (Administração de Segurança"&amp;" e Saúde em Minas) fornecido no local. O HORÁRIO PODE VARIAR, MAS OS TRABALHADORES CUMPRIRÃO UM TURNO DE 8 HORAS DE SEGUNDA A SEXTA, DAS 7H ÀS 18H. Número de horas por semana: 40. Horário de trabalho (início/término): 7h às 18h.")</f>
        <v>Auxiliar carpinteiros realizando tarefas que exigem menos habilidade. As tarefas incluem usar, fornecer ou segurar materiais ou ferramentas, e limpar a área de trabalho e os equipamentos. Classificação da vaga: 47-3012.00 - Ajudantes de Carpinteiro. A classificação e descrição da vaga/setor inclui informações gerais sobre o cargo, de acordo com o ONET/OES e o Sistema de Classificação Industrial da América do Norte (NAICS). Consulte as Funções e a Ordem de Serviço para obter mais informações. Requisitos da vaga: Experiência necessária: Não. Requisitos especiais: CAPACIDADE DE LEVANTAR E CARREGAR 23 KG. DISPONIBILIDADE PARA HORAS EXTRAS E TRABALHO AOS FINS DE SEMANA. JORNADA DE TRABALHO DE 8 HORAS. Treinamento de segurança e MSHA (Administração de Segurança e Saúde em Minas) fornecido no local. O HORÁRIO PODE VARIAR, MAS OS TRABALHADORES CUMPRIRÃO UM TURNO DE 8 HORAS DE SEGUNDA A SEXTA, DAS 7H ÀS 18H. Número de horas por semana: 40. Horário de trabalho (início/término): 7h às 18h.</v>
      </c>
    </row>
    <row r="885" ht="20.25" customHeight="1">
      <c r="A885" s="8" t="s">
        <v>4164</v>
      </c>
      <c r="B885" s="8" t="s">
        <v>4165</v>
      </c>
      <c r="C885" s="8" t="s">
        <v>4073</v>
      </c>
      <c r="D885" s="8" t="s">
        <v>278</v>
      </c>
      <c r="E885" s="9" t="s">
        <v>19</v>
      </c>
      <c r="F885" s="9" t="s">
        <v>20</v>
      </c>
      <c r="G885" s="9" t="s">
        <v>307</v>
      </c>
      <c r="H885" s="8" t="s">
        <v>4166</v>
      </c>
      <c r="I885" s="8" t="s">
        <v>4167</v>
      </c>
      <c r="J885" s="9">
        <v>21.86</v>
      </c>
      <c r="K885" s="9">
        <v>5.0</v>
      </c>
      <c r="L885" s="8" t="s">
        <v>262</v>
      </c>
      <c r="M885" s="8" t="s">
        <v>4168</v>
      </c>
      <c r="N885" s="7" t="str">
        <f>IFERROR(__xludf.DUMMYFUNCTION("GOOGLETRANSLATE(L885, ""en"", ""pt"")"),"Operário da construção civil")</f>
        <v>Operário da construção civil</v>
      </c>
      <c r="O885" s="7" t="str">
        <f>IFERROR(__xludf.DUMMYFUNCTION("IF(M885="""","""",GOOGLETRANSLATE(M885,""en"",""pt""))"),"Executar tarefas que envolvam trabalho físico em canteiros de obras. Pode operar ferramentas manuais e elétricas de todos os tipos: martelos pneumáticos, compactadores de solo, betoneiras, pequenos guindastes mecânicos, equipamentos de topografia e mediçã"&amp;"o, e uma variedade de outros equipamentos e instrumentos. Pode limpar e preparar locais, cavar valas, instalar escoras para sustentar as laterais das escavações, montar andaimes e limpar entulhos, detritos e outros materiais residuais. Pode auxiliar outro"&amp;"s trabalhadores especializados. Classificação da função: 47-2061.00 - Auxiliares de Construção Civil. A classificação e descrição da função/setor inclui informações gerais sobre o cargo, de acordo com o ONET/OES e o Sistema de Classificação Industrial da "&amp;"América do Norte (NAICS). Consulte as Funções e a Ordem de Serviço para obter mais informações. Requisitos da vaga: Experiência exigida: Não. Requisitos especiais: Deve estar disposto a trabalhar no calor por longos períodos. Deve ser capaz de levantar 45"&amp;" kg (100 lbs) de forma consistente. Deve estar disponível para trabalhar à noite e nos fins de semana, se necessário. Número de horas por semana: 45 Horário de trabalho (início/término): 7h00 - 15h00")</f>
        <v>Executar tarefas que envolvam trabalho físico em canteiros de obras. Pode operar ferramentas manuais e elétricas de todos os tipos: martelos pneumáticos, compactadores de solo, betoneiras, pequenos guindastes mecânicos, equipamentos de topografia e medição, e uma variedade de outros equipamentos e instrumentos. Pode limpar e preparar locais, cavar valas, instalar escoras para sustentar as laterais das escavações, montar andaimes e limpar entulhos, detritos e outros materiais residuais. Pode auxiliar outros trabalhadores especializados. Classificação da função: 47-2061.00 - Auxiliares de Construção Civil. A classificação e descrição da função/setor inclui informações gerais sobre o cargo, de acordo com o ONET/OES e o Sistema de Classificação Industrial da América do Norte (NAICS). Consulte as Funções e a Ordem de Serviço para obter mais informações. Requisitos da vaga: Experiência exigida: Não. Requisitos especiais: Deve estar disposto a trabalhar no calor por longos períodos. Deve ser capaz de levantar 45 kg (100 lbs) de forma consistente. Deve estar disponível para trabalhar à noite e nos fins de semana, se necessário. Número de horas por semana: 45 Horário de trabalho (início/término): 7h00 - 15h00</v>
      </c>
    </row>
    <row r="886" ht="20.25" customHeight="1">
      <c r="A886" s="3" t="s">
        <v>4169</v>
      </c>
      <c r="B886" s="3" t="s">
        <v>4170</v>
      </c>
      <c r="C886" s="3" t="s">
        <v>4011</v>
      </c>
      <c r="D886" s="3" t="s">
        <v>249</v>
      </c>
      <c r="E886" s="4" t="s">
        <v>19</v>
      </c>
      <c r="F886" s="4" t="s">
        <v>20</v>
      </c>
      <c r="G886" s="4" t="s">
        <v>1065</v>
      </c>
      <c r="H886" s="3" t="s">
        <v>4171</v>
      </c>
      <c r="I886" s="3" t="s">
        <v>4172</v>
      </c>
      <c r="J886" s="4">
        <v>19.22</v>
      </c>
      <c r="K886" s="4">
        <v>6.0</v>
      </c>
      <c r="L886" s="3" t="s">
        <v>1021</v>
      </c>
      <c r="M886" s="3" t="s">
        <v>4173</v>
      </c>
      <c r="N886" s="7" t="str">
        <f>IFERROR(__xludf.DUMMYFUNCTION("GOOGLETRANSLATE(L886, ""en"", ""pt"")"),"Paisagista")</f>
        <v>Paisagista</v>
      </c>
      <c r="O886" s="7" t="str">
        <f>IFERROR(__xludf.DUMMYFUNCTION("IF(M886="""","""",GOOGLETRANSLATE(M886,""en"",""pt""))"),"Paisagismo e manutenção de terrenos utilizando ferramentas manuais ou elétricas. Os trabalhadores geralmente executam uma variedade de tarefas, que podem incluir qualquer combinação das seguintes: colocação de grama, corte de grama, poda, plantio, irrigaç"&amp;"ão, fertilização, escavação, rastelagem, instalação de sprinklers e instalação de blocos de concreto pré-moldados sem argamassa. Classificação da função: 37-3011.00 - Trabalhadores de Paisagismo e Manutenção de Terrenos. A classificação e descrição da fun"&amp;"ção/setor incluem informações gerais sobre o cargo, de acordo com o ONET/OES e o Sistema de Classificação Industrial da América do Norte (NAICS). Consulte as Funções e a Ordem de Serviço para obter mais informações. Requisitos da função: Experiência neces"&amp;"sária: Não. Requisitos especiais: Capacidade de levantar e carregar 23 kg, jornada de trabalho de 8 horas, disponibilidade para horas extras e trabalho aos fins de semana. Número de horas por semana: 40. Horário de trabalho (início/término): 7h às 16h.")</f>
        <v>Paisagismo e manutenção de terrenos utilizando ferramentas manuais ou elétricas. Os trabalhadores geralmente executam uma variedade de tarefas, que podem incluir qualquer combinação das seguintes: colocação de grama, corte de grama, poda, plantio, irrigação, fertilização, escavação, rastelagem, instalação de sprinklers e instalação de blocos de concreto pré-moldados sem argamassa. Classificação da função: 37-3011.00 - Trabalhadores de Paisagismo e Manutenção de Terrenos. A classificação e descrição da função/setor incluem informações gerais sobre o cargo, de acordo com o ONET/OES e o Sistema de Classificação Industrial da América do Norte (NAICS). Consulte as Funções e a Ordem de Serviço para obter mais informações. Requisitos da função: Experiência necessária: Não. Requisitos especiais: Capacidade de levantar e carregar 23 kg, jornada de trabalho de 8 horas, disponibilidade para horas extras e trabalho aos fins de semana. Número de horas por semana: 40. Horário de trabalho (início/término): 7h às 16h.</v>
      </c>
    </row>
    <row r="887" ht="20.25" customHeight="1">
      <c r="A887" s="8" t="s">
        <v>4174</v>
      </c>
      <c r="B887" s="8" t="s">
        <v>4175</v>
      </c>
      <c r="C887" s="8" t="s">
        <v>4011</v>
      </c>
      <c r="D887" s="8" t="s">
        <v>249</v>
      </c>
      <c r="E887" s="9" t="s">
        <v>44</v>
      </c>
      <c r="F887" s="9" t="s">
        <v>20</v>
      </c>
      <c r="G887" s="9" t="s">
        <v>4176</v>
      </c>
      <c r="H887" s="8" t="s">
        <v>4177</v>
      </c>
      <c r="I887" s="8" t="s">
        <v>4178</v>
      </c>
      <c r="J887" s="9">
        <v>17.38</v>
      </c>
      <c r="K887" s="9">
        <v>5.0</v>
      </c>
      <c r="L887" s="8" t="s">
        <v>354</v>
      </c>
      <c r="M887" s="8" t="s">
        <v>4179</v>
      </c>
      <c r="N887" s="7" t="str">
        <f>IFERROR(__xludf.DUMMYFUNCTION("GOOGLETRANSLATE(L887, ""en"", ""pt"")"),"Governanta")</f>
        <v>Governanta</v>
      </c>
      <c r="O887" s="7" t="str">
        <f>IFERROR(__xludf.DUMMYFUNCTION("IF(M887="""","""",GOOGLETRANSLATE(M887,""en"",""pt""))"),"Executar qualquer combinação de tarefas de limpeza leve para manter residências particulares ou estabelecimentos comerciais, como hotéis e hospitais, limpos e organizados. As tarefas podem incluir arrumar camas, repor roupas de cama, limpar quartos e corr"&amp;"edores e aspirar o pó. Detalhes: Transportar roupas de cama, toalhas, artigos de higiene pessoal e produtos de limpeza utilizando carrinhos com rodas. Limpar quartos, corredores, saguões, salas de estar, banheiros, elevadores, escadas, vestiários e outras"&amp;" áreas de trabalho, de forma a atender aos padrões de higiene. Limpar tapetes, carpetes, móveis estofados e cortinas utilizando aspiradores de pó e lavadoras de carpetes. Transportar roupas sujas e limpas de residências e apartamentos. Classificação da fu"&amp;"nção: 37-2011.00 - Zeladores e Faxineiros, exceto Empregadas Domésticas e Faxineiras. A classificação e descrição da função/setor inclui informações gerais sobre o cargo, de acordo com o ONET/OES e o Sistema de Classificação Industrial da América do Norte"&amp;". Consulte as Funções e a Ordem de Serviço para obter mais informações. Requisitos da vaga Experiência necessária: Não Requisitos especiais: CAPACIDADE DE LEVANTAR E CARREGAR 23 KG. DISPONIBILIDADE PARA HORAS EXTRAS E TRABALHO AOS FINS DE SEMANA. JORNADA "&amp;"DE TRABALHO DE 8 HORAS. Número de horas por semana: 40 Horário de trabalho (início/término): 8h às 17h.")</f>
        <v>Executar qualquer combinação de tarefas de limpeza leve para manter residências particulares ou estabelecimentos comerciais, como hotéis e hospitais, limpos e organizados. As tarefas podem incluir arrumar camas, repor roupas de cama, limpar quartos e corredores e aspirar o pó. Detalhes: Transportar roupas de cama, toalhas, artigos de higiene pessoal e produtos de limpeza utilizando carrinhos com rodas. Limpar quartos, corredores, saguões, salas de estar, banheiros, elevadores, escadas, vestiários e outras áreas de trabalho, de forma a atender aos padrões de higiene. Limpar tapetes, carpetes, móveis estofados e cortinas utilizando aspiradores de pó e lavadoras de carpetes. Transportar roupas sujas e limpas de residências e apartamentos. Classificação da função: 37-2011.00 - Zeladores e Faxineiros, exceto Empregadas Domésticas e Faxineiras. A classificação e descrição da função/setor inclui informações gerais sobre o cargo, de acordo com o ONET/OES e o Sistema de Classificação Industrial da América do Norte. Consulte as Funções e a Ordem de Serviço para obter mais informações. Requisitos da vaga Experiência necessária: Não Requisitos especiais: CAPACIDADE DE LEVANTAR E CARREGAR 23 KG. DISPONIBILIDADE PARA HORAS EXTRAS E TRABALHO AOS FINS DE SEMANA. JORNADA DE TRABALHO DE 8 HORAS. Número de horas por semana: 40 Horário de trabalho (início/término): 8h às 17h.</v>
      </c>
    </row>
    <row r="888" ht="20.25" customHeight="1">
      <c r="A888" s="3" t="s">
        <v>4180</v>
      </c>
      <c r="B888" s="3" t="s">
        <v>4181</v>
      </c>
      <c r="C888" s="3" t="s">
        <v>3981</v>
      </c>
      <c r="D888" s="3" t="s">
        <v>532</v>
      </c>
      <c r="E888" s="4" t="s">
        <v>19</v>
      </c>
      <c r="F888" s="4" t="s">
        <v>20</v>
      </c>
      <c r="G888" s="4" t="s">
        <v>4182</v>
      </c>
      <c r="H888" s="3" t="s">
        <v>4183</v>
      </c>
      <c r="I888" s="3" t="s">
        <v>4184</v>
      </c>
      <c r="J888" s="4">
        <v>22.58</v>
      </c>
      <c r="K888" s="4">
        <v>1.0</v>
      </c>
      <c r="L888" s="3" t="s">
        <v>387</v>
      </c>
      <c r="M888" s="3" t="s">
        <v>4185</v>
      </c>
      <c r="N888" s="7" t="str">
        <f>IFERROR(__xludf.DUMMYFUNCTION("GOOGLETRANSLATE(L888, ""en"", ""pt"")"),"Ordem de serviço não disponível")</f>
        <v>Ordem de serviço não disponível</v>
      </c>
      <c r="O888" s="7" t="str">
        <f>IFERROR(__xludf.DUMMYFUNCTION("IF(M888="""","""",GOOGLETRANSLATE(M888,""en"",""pt""))"),"Responsabilidades de Cuidado Infantil: Garantir a segurança, o bem-estar e o desenvolvimento adequado à idade das crianças em todos os momentos durante o seu turno; Supervisionar e envolver as crianças em atividades enriquecedoras, como leitura, trabalhos"&amp;" manuais, música, brincadeiras ao ar livre e brincadeiras imaginativas; Preparar e servir refeições e lanches nutritivos para as crianças três vezes ao dia, incluindo dois lanches saudáveis ​​e duas mamadeiras de leite materno ou de vaca por dia (conforme"&amp;" a idade); Auxiliar na alimentação com mamadeira, troca de fraldas e desfralde, de acordo com os estágios de desenvolvimento; Gerenciar os horários de soneca das crianças, conforme orientação dos pais; Garantir pelo menos 90 minutos de atividades ao ar li"&amp;"vre por dia, se o tempo permitir, utilizando equipamentos de proteção adequados (ex.: protetor solar, jaquetas), que serão fornecidos pelos pais; Limpar e organizar as áreas de brincar e os quartos das crianças diariamente; Lavar, dobrar e organizar as ro"&amp;"upas das crianças; Transportar as crianças somente com autorização prévia dos pais, utilizando um veículo aprovado pelos pais (o carro da família ou o carro da avó materna) e utilizando cadeirinhas apropriadas, conforme fornecido pelos pais. Nunca entrega"&amp;"r as crianças a ninguém (incluindo parentes, amigos ou vizinhos) sem a autorização direta dos pais. Acompanhar as crianças de e para as aulas ou atividades programadas, quando solicitado. Enviar atualizações diárias aos pais por mensagem de texto ou e-mai"&amp;"l, resumindo o dia das crianças, incluindo refeições, sonecas e eventos importantes; pelo menos uma foto ou vídeo por dia é incentivado, embora não seja obrigatório. Orientação Comportamental: A babá deverá seguir a preferência da família por uma discipli"&amp;"na gentil e respeitosa. Em nenhuma circunstância as crianças devem ser punidas fisicamente ou tocadas com força, por qualquer motivo. O redirecionamento comportamental, a comunicação verbal e as consequências apropriadas para a idade devem ser usados ​​em"&amp;" consonância com os valores dos pais. Apoio Doméstico e da Casa: Lavar e manter a louça, mamadeiras e utensílios usados ​​durante o dia pelas crianças e/ou pela babá, incluindo o uso da lava-louças, quando necessário. Limpar mesas e bancadas, e varrer ou "&amp;"aspirar embaixo das áreas de refeição após as refeições das crianças. Auxiliar na organização geral e arrumação leve da casa relacionada às atividades de cuidados infantis (por exemplo, preparar as malas para as viagens das crianças, organizar armários ou"&amp;" gavetas no quarto delas). Manter seu próprio quarto e banheiro limpos e apresentáveis ​​o tempo todo. Classificação da vaga: 39-9011.01 - Babás. A classificação e descrição da vaga/setor incluem informações gerais sobre o cargo, de acordo com o ONET/OES "&amp;"e o Sistema de Classificação Industrial da América do Norte. Consulte as Funções e a Ordem de Serviço para obter mais informações. Requisitos da vaga: Experiência necessária: Sim. Meses de experiência necessários: 12. Requisitos especiais: Certificação em"&amp;" RCP e Carteira de Habilitação. Número de horas por semana: 44. Horário de trabalho (início/término): 8h às 18h.")</f>
        <v>Responsabilidades de Cuidado Infantil: Garantir a segurança, o bem-estar e o desenvolvimento adequado à idade das crianças em todos os momentos durante o seu turno; Supervisionar e envolver as crianças em atividades enriquecedoras, como leitura, trabalhos manuais, música, brincadeiras ao ar livre e brincadeiras imaginativas; Preparar e servir refeições e lanches nutritivos para as crianças três vezes ao dia, incluindo dois lanches saudáveis ​​e duas mamadeiras de leite materno ou de vaca por dia (conforme a idade); Auxiliar na alimentação com mamadeira, troca de fraldas e desfralde, de acordo com os estágios de desenvolvimento; Gerenciar os horários de soneca das crianças, conforme orientação dos pais; Garantir pelo menos 90 minutos de atividades ao ar livre por dia, se o tempo permitir, utilizando equipamentos de proteção adequados (ex.: protetor solar, jaquetas), que serão fornecidos pelos pais; Limpar e organizar as áreas de brincar e os quartos das crianças diariamente; Lavar, dobrar e organizar as roupas das crianças; Transportar as crianças somente com autorização prévia dos pais, utilizando um veículo aprovado pelos pais (o carro da família ou o carro da avó materna) e utilizando cadeirinhas apropriadas, conforme fornecido pelos pais. Nunca entregar as crianças a ninguém (incluindo parentes, amigos ou vizinhos) sem a autorização direta dos pais. Acompanhar as crianças de e para as aulas ou atividades programadas, quando solicitado. Enviar atualizações diárias aos pais por mensagem de texto ou e-mail, resumindo o dia das crianças, incluindo refeições, sonecas e eventos importantes; pelo menos uma foto ou vídeo por dia é incentivado, embora não seja obrigatório. Orientação Comportamental: A babá deverá seguir a preferência da família por uma disciplina gentil e respeitosa. Em nenhuma circunstância as crianças devem ser punidas fisicamente ou tocadas com força, por qualquer motivo. O redirecionamento comportamental, a comunicação verbal e as consequências apropriadas para a idade devem ser usados ​​em consonância com os valores dos pais. Apoio Doméstico e da Casa: Lavar e manter a louça, mamadeiras e utensílios usados ​​durante o dia pelas crianças e/ou pela babá, incluindo o uso da lava-louças, quando necessário. Limpar mesas e bancadas, e varrer ou aspirar embaixo das áreas de refeição após as refeições das crianças. Auxiliar na organização geral e arrumação leve da casa relacionada às atividades de cuidados infantis (por exemplo, preparar as malas para as viagens das crianças, organizar armários ou gavetas no quarto delas). Manter seu próprio quarto e banheiro limpos e apresentáveis ​​o tempo todo. Classificação da vaga: 39-9011.01 - Babás. A classificação e descrição da vaga/setor incluem informações gerais sobre o cargo, de acordo com o ONET/OES e o Sistema de Classificação Industrial da América do Norte. Consulte as Funções e a Ordem de Serviço para obter mais informações. Requisitos da vaga: Experiência necessária: Sim. Meses de experiência necessários: 12. Requisitos especiais: Certificação em RCP e Carteira de Habilitação. Número de horas por semana: 44. Horário de trabalho (início/término): 8h às 18h.</v>
      </c>
    </row>
    <row r="889" ht="20.25" customHeight="1">
      <c r="A889" s="8" t="s">
        <v>4186</v>
      </c>
      <c r="B889" s="8" t="s">
        <v>4187</v>
      </c>
      <c r="C889" s="8" t="s">
        <v>4084</v>
      </c>
      <c r="D889" s="8" t="s">
        <v>278</v>
      </c>
      <c r="E889" s="9" t="s">
        <v>19</v>
      </c>
      <c r="F889" s="9" t="s">
        <v>20</v>
      </c>
      <c r="G889" s="9" t="s">
        <v>56</v>
      </c>
      <c r="H889" s="8" t="s">
        <v>4188</v>
      </c>
      <c r="I889" s="8" t="s">
        <v>4189</v>
      </c>
      <c r="J889" s="9">
        <v>22.23</v>
      </c>
      <c r="K889" s="9">
        <v>32.0</v>
      </c>
      <c r="L889" s="8" t="s">
        <v>2724</v>
      </c>
      <c r="M889" s="8" t="s">
        <v>4190</v>
      </c>
      <c r="N889" s="7" t="str">
        <f>IFERROR(__xludf.DUMMYFUNCTION("GOOGLETRANSLATE(L889, ""en"", ""pt"")"),"Telhador")</f>
        <v>Telhador</v>
      </c>
      <c r="O889" s="7" t="str">
        <f>IFERROR(__xludf.DUMMYFUNCTION("IF(M889="""","""",GOOGLETRANSLATE(M889,""en"",""pt""))"),"Tarefas fisicamente exigentes relacionadas a projetos de telhados residenciais de asfalto, com inclinação baixa ou acentuada, tanto para instalação quanto para substituição. O profissional será responsável pela remoção de materiais de cobertura, varrição "&amp;"e limpeza dos telhados para prepará-los para a aplicação de novos materiais. Deverá também montar escadas, andaimes e guindastes. Cobrirá os telhados com camadas de feltro asfáltico ou materiais similares para a instalação. Instalará e reparará telhados c"&amp;"om telhas, ardósia, asfalto, madeira ou outros materiais de cobertura padrão. Poderá auxiliar em outras tarefas de reparo e projetos no local de trabalho, relacionados ou complementares aos projetos de telhados. Todas as tarefas devem ser executadas utili"&amp;"zando equipamentos de proteção contra quedas e andaimes adequados. Classificação da Função: 47-2181.00 - Telhadores. A classificação e descrição da função/setor inclui informações gerais sobre o cargo, de acordo com o ONET/OES e o Sistema de Classificação"&amp;" Industrial da América do Norte (NAICS). Consulte as Funções e a Ordem de Serviço para obter mais informações. Requisitos da Função: Experiência Necessária: Não. Requisitos Especiais: O candidato deve ter no mínimo 18 anos de idade e capacidade de levanta"&amp;"r consistentemente pelo menos 36 kg. Conforme confirmado verbalmente pelo candidato, e capacidade de subir escadas, conforme confirmado verbalmente pelo candidato. Número de horas por semana: 40. Horário de trabalho (início/término): 8h às 17h.")</f>
        <v>Tarefas fisicamente exigentes relacionadas a projetos de telhados residenciais de asfalto, com inclinação baixa ou acentuada, tanto para instalação quanto para substituição. O profissional será responsável pela remoção de materiais de cobertura, varrição e limpeza dos telhados para prepará-los para a aplicação de novos materiais. Deverá também montar escadas, andaimes e guindastes. Cobrirá os telhados com camadas de feltro asfáltico ou materiais similares para a instalação. Instalará e reparará telhados com telhas, ardósia, asfalto, madeira ou outros materiais de cobertura padrão. Poderá auxiliar em outras tarefas de reparo e projetos no local de trabalho, relacionados ou complementares aos projetos de telhados. Todas as tarefas devem ser executadas utilizando equipamentos de proteção contra quedas e andaimes adequados. Classificação da Função: 47-2181.00 - Telhadores. A classificação e descrição da função/setor inclui informações gerais sobre o cargo, de acordo com o ONET/OES e o Sistema de Classificação Industrial da América do Norte (NAICS). Consulte as Funções e a Ordem de Serviço para obter mais informações. Requisitos da Função: Experiência Necessária: Não. Requisitos Especiais: O candidato deve ter no mínimo 18 anos de idade e capacidade de levantar consistentemente pelo menos 36 kg. Conforme confirmado verbalmente pelo candidato, e capacidade de subir escadas, conforme confirmado verbalmente pelo candidato. Número de horas por semana: 40. Horário de trabalho (início/término): 8h às 17h.</v>
      </c>
    </row>
    <row r="890" ht="20.25" customHeight="1">
      <c r="A890" s="3" t="s">
        <v>4191</v>
      </c>
      <c r="B890" s="3" t="s">
        <v>4192</v>
      </c>
      <c r="C890" s="3" t="s">
        <v>4066</v>
      </c>
      <c r="D890" s="3" t="s">
        <v>71</v>
      </c>
      <c r="E890" s="4" t="s">
        <v>19</v>
      </c>
      <c r="F890" s="4" t="s">
        <v>20</v>
      </c>
      <c r="G890" s="4" t="s">
        <v>72</v>
      </c>
      <c r="H890" s="3" t="s">
        <v>4193</v>
      </c>
      <c r="I890" s="3" t="s">
        <v>4194</v>
      </c>
      <c r="J890" s="4">
        <v>24.84</v>
      </c>
      <c r="K890" s="4">
        <v>2.0</v>
      </c>
      <c r="L890" s="3" t="s">
        <v>2752</v>
      </c>
      <c r="M890" s="3" t="s">
        <v>4195</v>
      </c>
      <c r="N890" s="7" t="str">
        <f>IFERROR(__xludf.DUMMYFUNCTION("GOOGLETRANSLATE(L890, ""en"", ""pt"")"),"Ajudante de Telhador")</f>
        <v>Ajudante de Telhador</v>
      </c>
      <c r="O890" s="7" t="str">
        <f>IFERROR(__xludf.DUMMYFUNCTION("IF(M890="""","""",GOOGLETRANSLATE(M890,""en"",""pt""))"),"Auxiliar telhadistas na instalação, reparo e substituição de sistemas de telhados comerciais e residenciais. Carregar e descarregar materiais de cobertura, transportar suprimentos para as áreas do telhado e preparar as superfícies de trabalho, removendo d"&amp;"etritos e materiais de cobertura antigos manualmente. Posicionar escadas, andaimes e equipamentos de segurança. Segurar, cortar e posicionar materiais de cobertura, como telhas, painéis metálicos, subcobertura, placas de isolamento e mantas impermeabiliza"&amp;"ntes, para que o telhadista os fixe. Limpar e manter as áreas de trabalho, remover resíduos dos telhados e descartar materiais conforme as instruções. Seguir todas as instruções de segurança ao trabalhar em telhados planos e inclinados em diferentes altur"&amp;"as. O trabalho exige levantamento repetitivo de peso, flexão, ajoelhamento, transporte de até 34 kg e subida de escadas. O trabalho é realizado ao ar livre e envolve exposição a diversas condições climáticas, incluindo calor, frio e umidade, bem como sol,"&amp;" vento, chuva e variações de temperatura. Utilizar ferramentas manuais básicas, como estiletes, martelos de grampeador, martelos de telhadista, alavancas, trenas, linhas de giz, pás e vassouras. Pode utilizar ferramentas elétricas de baixa complexidade, c"&amp;"omo parafusadeiras e furadeiras, conforme instruções. Classificação da função: 47-2181.00 - Telhadores. A classificação e descrição da função/setor incluem informações gerais sobre o cargo, de acordo com o ONET/OES e o Sistema de Classificação Industrial "&amp;"da América do Norte (NAICS). Consulte as Funções e a Ordem de Serviço para obter mais informações. Requisitos da vaga: Experiência necessária: Sim. Meses de experiência necessários: 3. Requisitos especiais: 3 meses de experiência em telhados comerciais e "&amp;"residenciais básicos. Deve ser capaz de empurrar, puxar, levantar e carregar pelo menos 23 kg. Número de horas por semana: 40. Horário de trabalho (início/término): 5h30 às 13h30.")</f>
        <v>Auxiliar telhadistas na instalação, reparo e substituição de sistemas de telhados comerciais e residenciais. Carregar e descarregar materiais de cobertura, transportar suprimentos para as áreas do telhado e preparar as superfícies de trabalho, removendo detritos e materiais de cobertura antigos manualmente. Posicionar escadas, andaimes e equipamentos de segurança. Segurar, cortar e posicionar materiais de cobertura, como telhas, painéis metálicos, subcobertura, placas de isolamento e mantas impermeabilizantes, para que o telhadista os fixe. Limpar e manter as áreas de trabalho, remover resíduos dos telhados e descartar materiais conforme as instruções. Seguir todas as instruções de segurança ao trabalhar em telhados planos e inclinados em diferentes alturas. O trabalho exige levantamento repetitivo de peso, flexão, ajoelhamento, transporte de até 34 kg e subida de escadas. O trabalho é realizado ao ar livre e envolve exposição a diversas condições climáticas, incluindo calor, frio e umidade, bem como sol, vento, chuva e variações de temperatura. Utilizar ferramentas manuais básicas, como estiletes, martelos de grampeador, martelos de telhadista, alavancas, trenas, linhas de giz, pás e vassouras. Pode utilizar ferramentas elétricas de baixa complexidade, como parafusadeiras e furadeiras, conforme instruções. Classificação da função: 47-2181.00 - Telhadores. A classificação e descrição da função/setor incluem informações gerais sobre o cargo, de acordo com o ONET/OES e o Sistema de Classificação Industrial da América do Norte (NAICS). Consulte as Funções e a Ordem de Serviço para obter mais informações. Requisitos da vaga: Experiência necessária: Sim. Meses de experiência necessários: 3. Requisitos especiais: 3 meses de experiência em telhados comerciais e residenciais básicos. Deve ser capaz de empurrar, puxar, levantar e carregar pelo menos 23 kg. Número de horas por semana: 40. Horário de trabalho (início/término): 5h30 às 13h30.</v>
      </c>
    </row>
    <row r="891" ht="20.25" customHeight="1">
      <c r="A891" s="8" t="s">
        <v>4196</v>
      </c>
      <c r="B891" s="8" t="s">
        <v>4197</v>
      </c>
      <c r="C891" s="8" t="s">
        <v>4198</v>
      </c>
      <c r="D891" s="8" t="s">
        <v>140</v>
      </c>
      <c r="E891" s="9" t="s">
        <v>19</v>
      </c>
      <c r="F891" s="9" t="s">
        <v>20</v>
      </c>
      <c r="G891" s="9" t="s">
        <v>524</v>
      </c>
      <c r="H891" s="8" t="s">
        <v>4199</v>
      </c>
      <c r="I891" s="8" t="s">
        <v>4200</v>
      </c>
      <c r="J891" s="9">
        <v>25.81</v>
      </c>
      <c r="K891" s="9">
        <v>1.0</v>
      </c>
      <c r="L891" s="8" t="s">
        <v>4201</v>
      </c>
      <c r="M891" s="8" t="s">
        <v>4202</v>
      </c>
      <c r="N891" s="7" t="str">
        <f>IFERROR(__xludf.DUMMYFUNCTION("GOOGLETRANSLATE(L891, ""en"", ""pt"")"),"Técnico de Manutenção de Lagoas")</f>
        <v>Técnico de Manutenção de Lagoas</v>
      </c>
      <c r="O891" s="7" t="str">
        <f>IFERROR(__xludf.DUMMYFUNCTION("IF(M891="""","""",GOOGLETRANSLATE(M891,""en"",""pt""))"),"Diagnosticar e reparar estruturas de lagoas (tubulações, juntas, saídas, filtragem com rochas, etc.); Inspecionar lagoas secas/úmidas, avaliar necessidades de serviço, realizar manutenção preventiva geral (poda de vegetação, remoção de sedimentos, etc.); "&amp;"Coordenar o inventário relacionado à manutenção e reparo de lagoas; Manter e fazer a manutenção de máquinas e pequenos equipamentos usados ​​para manutenção de lagoas. Classificação da vaga: 49-9099.00 - Trabalhadores de Instalação, Manutenção e Reparo, O"&amp;"utros. A classificação e descrição da vaga/setor inclui informações gerais sobre a posição, de acordo com o ONET/OES e o Sistema de Classificação Industrial da América do Norte. Consulte as Funções e a Ordem de Serviço para obter mais informações. Requisi"&amp;"tos da vaga: Experiência necessária: Sim. Meses de experiência necessários: 24. Requisitos especiais: 2 anos de experiência como técnico de manutenção/operações ou área similar, incluindo inspeção e reparo de equipamentos ou infraestrutura; realização de "&amp;"manutenção; e coordenação de inventário e/ou logística. Necessário deslocamento diário para locais de lagoas na região metropolitana de Atlanta. Número de horas por semana: 40 Horário de trabalho (início/término): 7h00 - 16h00")</f>
        <v>Diagnosticar e reparar estruturas de lagoas (tubulações, juntas, saídas, filtragem com rochas, etc.); Inspecionar lagoas secas/úmidas, avaliar necessidades de serviço, realizar manutenção preventiva geral (poda de vegetação, remoção de sedimentos, etc.); Coordenar o inventário relacionado à manutenção e reparo de lagoas; Manter e fazer a manutenção de máquinas e pequenos equipamentos usados ​​para manutenção de lagoas. Classificação da vaga: 49-9099.00 - Trabalhadores de Instalação, Manutenção e Reparo, Outros. A classificação e descrição da vaga/setor inclui informações gerais sobre a posição, de acordo com o ONET/OES e o Sistema de Classificação Industrial da América do Norte. Consulte as Funções e a Ordem de Serviço para obter mais informações. Requisitos da vaga: Experiência necessária: Sim. Meses de experiência necessários: 24. Requisitos especiais: 2 anos de experiência como técnico de manutenção/operações ou área similar, incluindo inspeção e reparo de equipamentos ou infraestrutura; realização de manutenção; e coordenação de inventário e/ou logística. Necessário deslocamento diário para locais de lagoas na região metropolitana de Atlanta. Número de horas por semana: 40 Horário de trabalho (início/término): 7h00 - 16h00</v>
      </c>
    </row>
    <row r="892" ht="20.25" customHeight="1">
      <c r="A892" s="3" t="s">
        <v>4203</v>
      </c>
      <c r="B892" s="3" t="s">
        <v>4204</v>
      </c>
      <c r="C892" s="3" t="s">
        <v>4066</v>
      </c>
      <c r="D892" s="3" t="s">
        <v>71</v>
      </c>
      <c r="E892" s="4" t="s">
        <v>19</v>
      </c>
      <c r="F892" s="4" t="s">
        <v>20</v>
      </c>
      <c r="G892" s="4" t="s">
        <v>72</v>
      </c>
      <c r="H892" s="3" t="s">
        <v>4205</v>
      </c>
      <c r="I892" s="3" t="s">
        <v>4206</v>
      </c>
      <c r="J892" s="4">
        <v>22.31</v>
      </c>
      <c r="K892" s="4">
        <v>22.0</v>
      </c>
      <c r="L892" s="3" t="s">
        <v>4207</v>
      </c>
      <c r="M892" s="3" t="s">
        <v>4208</v>
      </c>
      <c r="N892" s="7" t="str">
        <f>IFERROR(__xludf.DUMMYFUNCTION("GOOGLETRANSLATE(L892, ""en"", ""pt"")"),"Operários de produção - auxiliares")</f>
        <v>Operários de produção - auxiliares</v>
      </c>
      <c r="O892" s="7" t="str">
        <f>IFERROR(__xludf.DUMMYFUNCTION("IF(M892="""","""",GOOGLETRANSLATE(M892,""en"",""pt""))"),"Os Auxiliares de Produção auxiliarão na construção, reparo e reforma de paletes de madeira utilizados para o armazenamento e transporte de materiais. Os trabalhadores realizarão tarefas manuais em um pátio ou instalação de produção, incluindo medir, posic"&amp;"ionar e fixar componentes de madeira utilizando ferramentas manuais básicas, ferramentas elétricas e equipamentos de fixação pneumáticos. As funções incluem a montagem de novos paletes, alinhando as tábuas e fixando os componentes para atender aos requisi"&amp;"tos padrão de tamanho e qualidade, bem como o reparo e reforma de paletes usados, removendo tábuas danificadas, substituindo materiais defeituosos e reforçando a integridade estrutural. Os trabalhadores inspecionarão os paletes em busca de defeitos visíve"&amp;"is, garantirão o alinhamento e a estabilidade adequados e prepararão os paletes finalizados para armazenamento ou envio. Os trabalhadores utilizarão ferramentas e equipamentos básicos, incluindo martelos, alavancas, extratores de pregos, trenas, serras ma"&amp;"nuais, furadeiras elétricas e pregadores pneumáticos. Os trabalhadores também poderão utilizar equipamentos padrão de movimentação de materiais, como paleteiras, para mover materiais e produtos acabados dentro do local de trabalho. As funções adicionais i"&amp;"ncluem o manuseio de matérias-primas, carga e descarga de madeira e paletes, empilhamento e organização de materiais, manutenção de uma área de trabalho limpa e segura e execução de tarefas gerais de produção e trabalho braçal, conforme designado. O traba"&amp;"lho é realizado em um armazém, oficina ou pátio externo e envolve ficar em pé por longos períodos, movimentos repetitivos, flexão e levantamento de peso. Os trabalhadores devem ser capazes de levantar e carregar materiais com peso de até 23 kg e executar "&amp;"tarefas fisicamente exigentes em diversas condições ambientais. Classificação da Função: 51-7011.00 - Marceneiros e Carpinteiros de Bancada. A classificação e descrição da função/setor incluem informações gerais sobre o cargo, de acordo com o ONET/OES e o"&amp;" Sistema de Classificação Industrial da América do Norte (NAICS). Consulte as Funções e a Ordem de Serviço para obter mais informações. Requisitos da Função Experiência Necessária: Sim Meses de Experiência Necessária: 3 Requisitos Especiais: 3 meses de ex"&amp;"periência na construção de paletes de madeira. Deve ser capaz de empurrar, puxar, levantar e carregar pelo menos 23 kg. Número de Horas por Semana: 40 Horário de Trabalho (Início/Término): 8h00 - 17h00")</f>
        <v>Os Auxiliares de Produção auxiliarão na construção, reparo e reforma de paletes de madeira utilizados para o armazenamento e transporte de materiais. Os trabalhadores realizarão tarefas manuais em um pátio ou instalação de produção, incluindo medir, posicionar e fixar componentes de madeira utilizando ferramentas manuais básicas, ferramentas elétricas e equipamentos de fixação pneumáticos. As funções incluem a montagem de novos paletes, alinhando as tábuas e fixando os componentes para atender aos requisitos padrão de tamanho e qualidade, bem como o reparo e reforma de paletes usados, removendo tábuas danificadas, substituindo materiais defeituosos e reforçando a integridade estrutural. Os trabalhadores inspecionarão os paletes em busca de defeitos visíveis, garantirão o alinhamento e a estabilidade adequados e prepararão os paletes finalizados para armazenamento ou envio. Os trabalhadores utilizarão ferramentas e equipamentos básicos, incluindo martelos, alavancas, extratores de pregos, trenas, serras manuais, furadeiras elétricas e pregadores pneumáticos. Os trabalhadores também poderão utilizar equipamentos padrão de movimentação de materiais, como paleteiras, para mover materiais e produtos acabados dentro do local de trabalho. As funções adicionais incluem o manuseio de matérias-primas, carga e descarga de madeira e paletes, empilhamento e organização de materiais, manutenção de uma área de trabalho limpa e segura e execução de tarefas gerais de produção e trabalho braçal, conforme designado. O trabalho é realizado em um armazém, oficina ou pátio externo e envolve ficar em pé por longos períodos, movimentos repetitivos, flexão e levantamento de peso. Os trabalhadores devem ser capazes de levantar e carregar materiais com peso de até 23 kg e executar tarefas fisicamente exigentes em diversas condições ambientais. Classificação da Função: 51-7011.00 - Marceneiros e Carpinteiros de Bancada. A classificação e descrição da função/setor incluem informações gerais sobre o cargo, de acordo com o ONET/OES e o Sistema de Classificação Industrial da América do Norte (NAICS). Consulte as Funções e a Ordem de Serviço para obter mais informações. Requisitos da Função Experiência Necessária: Sim Meses de Experiência Necessária: 3 Requisitos Especiais: 3 meses de experiência na construção de paletes de madeira. Deve ser capaz de empurrar, puxar, levantar e carregar pelo menos 23 kg. Número de Horas por Semana: 40 Horário de Trabalho (Início/Término): 8h00 - 17h00</v>
      </c>
    </row>
    <row r="893" ht="20.25" customHeight="1">
      <c r="A893" s="8" t="s">
        <v>4209</v>
      </c>
      <c r="B893" s="8" t="s">
        <v>4204</v>
      </c>
      <c r="C893" s="8" t="s">
        <v>4066</v>
      </c>
      <c r="D893" s="8" t="s">
        <v>87</v>
      </c>
      <c r="E893" s="9" t="s">
        <v>44</v>
      </c>
      <c r="F893" s="9" t="s">
        <v>20</v>
      </c>
      <c r="G893" s="9" t="s">
        <v>72</v>
      </c>
      <c r="H893" s="8" t="s">
        <v>4205</v>
      </c>
      <c r="I893" s="8" t="s">
        <v>4206</v>
      </c>
      <c r="J893" s="9">
        <v>22.17</v>
      </c>
      <c r="K893" s="9">
        <v>8.0</v>
      </c>
      <c r="L893" s="8" t="s">
        <v>4207</v>
      </c>
      <c r="M893" s="8" t="s">
        <v>4210</v>
      </c>
      <c r="N893" s="7" t="str">
        <f>IFERROR(__xludf.DUMMYFUNCTION("GOOGLETRANSLATE(L893, ""en"", ""pt"")"),"Operários de produção - auxiliares")</f>
        <v>Operários de produção - auxiliares</v>
      </c>
      <c r="O893" s="7" t="str">
        <f>IFERROR(__xludf.DUMMYFUNCTION("IF(M893="""","""",GOOGLETRANSLATE(M893,""en"",""pt""))"),"Os Auxiliares de Produção auxiliarão na construção, reparo e reforma de paletes de madeira utilizados para o armazenamento e transporte de materiais. Os trabalhadores realizarão tarefas manuais em um pátio ou instalação de produção, incluindo medir, posic"&amp;"ionar e fixar componentes de madeira utilizando ferramentas manuais básicas, ferramentas elétricas e equipamentos de fixação pneumáticos. As funções incluem a montagem de novos paletes, alinhando as tábuas e fixando os componentes para atender aos requisi"&amp;"tos padrão de tamanho e qualidade, bem como o reparo e reforma de paletes usados, removendo tábuas danificadas, substituindo materiais defeituosos e reforçando a integridade estrutural. Os trabalhadores inspecionarão os paletes em busca de defeitos visíve"&amp;"is, garantirão o alinhamento e a estabilidade adequados e prepararão os paletes finalizados para armazenamento ou envio. Os trabalhadores utilizarão ferramentas e equipamentos básicos, incluindo martelos, alavancas, extratores de pregos, trenas, serras ma"&amp;"nuais, furadeiras elétricas e pregadores pneumáticos. Os trabalhadores também poderão utilizar equipamentos padrão de movimentação de materiais, como paleteiras, para mover materiais e produtos acabados dentro do local de trabalho. As funções adicionais i"&amp;"ncluem o manuseio de matérias-primas, carga e descarga de madeira e paletes, empilhamento e organização de materiais, manutenção de uma área de trabalho limpa e segura e execução de tarefas gerais de produção e trabalho braçal, conforme designado. O traba"&amp;"lho é realizado em um armazém, oficina ou pátio externo e envolve ficar em pé por longos períodos, movimentos repetitivos, flexão e levantamento de peso. Os trabalhadores devem ser capazes de levantar e carregar materiais com peso de até 23 kg e executar "&amp;"tarefas fisicamente exigentes em diversas condições ambientais. Classificação da Função: 51-7011.00 - Marceneiros e Carpinteiros de Bancada. A classificação e descrição da função/setor inclui informações gerais sobre o cargo, de acordo com o ONET/OES e o "&amp;"Sistema de Classificação Industrial da América do Norte (NAICS). Consulte as Funções e a Ordem de Serviço para obter mais informações. Requisitos da Função Experiência Necessária: Sim Meses de Experiência Necessários: 3 Requisitos Especiais: Deve ter pelo"&amp;" menos 3 meses de experiência na montagem de paletes de madeira. Deve ser capaz de levantar, empurrar, puxar e carregar pelo menos 23 kg. Número de horas por semana: 40 Horário de trabalho (início/término): 8h00 - 17h00")</f>
        <v>Os Auxiliares de Produção auxiliarão na construção, reparo e reforma de paletes de madeira utilizados para o armazenamento e transporte de materiais. Os trabalhadores realizarão tarefas manuais em um pátio ou instalação de produção, incluindo medir, posicionar e fixar componentes de madeira utilizando ferramentas manuais básicas, ferramentas elétricas e equipamentos de fixação pneumáticos. As funções incluem a montagem de novos paletes, alinhando as tábuas e fixando os componentes para atender aos requisitos padrão de tamanho e qualidade, bem como o reparo e reforma de paletes usados, removendo tábuas danificadas, substituindo materiais defeituosos e reforçando a integridade estrutural. Os trabalhadores inspecionarão os paletes em busca de defeitos visíveis, garantirão o alinhamento e a estabilidade adequados e prepararão os paletes finalizados para armazenamento ou envio. Os trabalhadores utilizarão ferramentas e equipamentos básicos, incluindo martelos, alavancas, extratores de pregos, trenas, serras manuais, furadeiras elétricas e pregadores pneumáticos. Os trabalhadores também poderão utilizar equipamentos padrão de movimentação de materiais, como paleteiras, para mover materiais e produtos acabados dentro do local de trabalho. As funções adicionais incluem o manuseio de matérias-primas, carga e descarga de madeira e paletes, empilhamento e organização de materiais, manutenção de uma área de trabalho limpa e segura e execução de tarefas gerais de produção e trabalho braçal, conforme designado. O trabalho é realizado em um armazém, oficina ou pátio externo e envolve ficar em pé por longos períodos, movimentos repetitivos, flexão e levantamento de peso. Os trabalhadores devem ser capazes de levantar e carregar materiais com peso de até 23 kg e executar tarefas fisicamente exigentes em diversas condições ambientais. Classificação da Função: 51-7011.00 - Marceneiros e Carpinteiros de Bancada. A classificação e descrição da função/setor inclui informações gerais sobre o cargo, de acordo com o ONET/OES e o Sistema de Classificação Industrial da América do Norte (NAICS). Consulte as Funções e a Ordem de Serviço para obter mais informações. Requisitos da Função Experiência Necessária: Sim Meses de Experiência Necessários: 3 Requisitos Especiais: Deve ter pelo menos 3 meses de experiência na montagem de paletes de madeira. Deve ser capaz de levantar, empurrar, puxar e carregar pelo menos 23 kg. Número de horas por semana: 40 Horário de trabalho (início/término): 8h00 - 17h00</v>
      </c>
    </row>
    <row r="894" ht="20.25" customHeight="1">
      <c r="A894" s="3" t="s">
        <v>4211</v>
      </c>
      <c r="B894" s="3" t="s">
        <v>4212</v>
      </c>
      <c r="C894" s="3" t="s">
        <v>3974</v>
      </c>
      <c r="D894" s="3" t="s">
        <v>28</v>
      </c>
      <c r="E894" s="4" t="s">
        <v>19</v>
      </c>
      <c r="F894" s="4" t="s">
        <v>20</v>
      </c>
      <c r="G894" s="4" t="s">
        <v>377</v>
      </c>
      <c r="H894" s="3" t="s">
        <v>4125</v>
      </c>
      <c r="I894" s="3" t="s">
        <v>4126</v>
      </c>
      <c r="J894" s="4">
        <v>25.79</v>
      </c>
      <c r="K894" s="4">
        <v>20.0</v>
      </c>
      <c r="L894" s="3" t="s">
        <v>3490</v>
      </c>
      <c r="M894" s="3" t="s">
        <v>4213</v>
      </c>
      <c r="N894" s="7" t="str">
        <f>IFERROR(__xludf.DUMMYFUNCTION("GOOGLETRANSLATE(L894, ""en"", ""pt"")"),"Marinheiro de convés, barco de pesca de ostras")</f>
        <v>Marinheiro de convés, barco de pesca de ostras</v>
      </c>
      <c r="O894" s="7" t="str">
        <f>IFERROR(__xludf.DUMMYFUNCTION("IF(M894="""","""",GOOGLETRANSLATE(M894,""en"",""pt""))"),"Utilizar redes, armadilhas, dragas ou outros equipamentos para colher e coletar ostras do fundo do mar, içá-las para os barcos, ensacá-las e empilhá-las. Descarregar os sacos. Limpar o barco. Classificação da função: 45-3031.00 - Trabalhadores da Pesca e "&amp;"Caça. A classificação e descrição da função/setor inclui informações gerais sobre o cargo, de acordo com o ONET/OES e o Sistema de Classificação Industrial da América do Norte. Consulte as Funções e a Ordem de Serviço para obter mais informações. Requisit"&amp;"os da vaga: Experiência necessária: Não. Número de horas por semana: 40. Horário de trabalho (início/término): 6h às 15h.")</f>
        <v>Utilizar redes, armadilhas, dragas ou outros equipamentos para colher e coletar ostras do fundo do mar, içá-las para os barcos, ensacá-las e empilhá-las. Descarregar os sacos. Limpar o barco. Classificação da função: 45-3031.00 - Trabalhadores da Pesca e Caça. A classificação e descrição da função/setor inclui informações gerais sobre o cargo, de acordo com o ONET/OES e o Sistema de Classificação Industrial da América do Norte. Consulte as Funções e a Ordem de Serviço para obter mais informações. Requisitos da vaga: Experiência necessária: Não. Número de horas por semana: 40. Horário de trabalho (início/término): 6h às 15h.</v>
      </c>
    </row>
    <row r="895" ht="20.25" customHeight="1">
      <c r="A895" s="8" t="s">
        <v>4214</v>
      </c>
      <c r="B895" s="8" t="s">
        <v>4212</v>
      </c>
      <c r="C895" s="8" t="s">
        <v>3974</v>
      </c>
      <c r="D895" s="8" t="s">
        <v>64</v>
      </c>
      <c r="E895" s="9" t="s">
        <v>44</v>
      </c>
      <c r="F895" s="9" t="s">
        <v>20</v>
      </c>
      <c r="G895" s="9" t="s">
        <v>377</v>
      </c>
      <c r="H895" s="8" t="s">
        <v>4125</v>
      </c>
      <c r="I895" s="8" t="s">
        <v>4126</v>
      </c>
      <c r="J895" s="9">
        <v>18.71</v>
      </c>
      <c r="K895" s="9">
        <v>20.0</v>
      </c>
      <c r="L895" s="8" t="s">
        <v>3490</v>
      </c>
      <c r="M895" s="8" t="s">
        <v>4213</v>
      </c>
      <c r="N895" s="7" t="str">
        <f>IFERROR(__xludf.DUMMYFUNCTION("GOOGLETRANSLATE(L895, ""en"", ""pt"")"),"Marinheiro de convés, barco de pesca de ostras")</f>
        <v>Marinheiro de convés, barco de pesca de ostras</v>
      </c>
      <c r="O895" s="7" t="str">
        <f>IFERROR(__xludf.DUMMYFUNCTION("IF(M895="""","""",GOOGLETRANSLATE(M895,""en"",""pt""))"),"Utilizar redes, armadilhas, dragas ou outros equipamentos para colher e coletar ostras do fundo do mar, içá-las para os barcos, ensacá-las e empilhá-las. Descarregar os sacos. Limpar o barco. Classificação da função: 45-3031.00 - Trabalhadores da Pesca e "&amp;"Caça. A classificação e descrição da função/setor inclui informações gerais sobre o cargo, de acordo com o ONET/OES e o Sistema de Classificação Industrial da América do Norte. Consulte as Funções e a Ordem de Serviço para obter mais informações. Requisit"&amp;"os da vaga: Experiência necessária: Não. Número de horas por semana: 40. Horário de trabalho (início/término): 6h às 15h.")</f>
        <v>Utilizar redes, armadilhas, dragas ou outros equipamentos para colher e coletar ostras do fundo do mar, içá-las para os barcos, ensacá-las e empilhá-las. Descarregar os sacos. Limpar o barco. Classificação da função: 45-3031.00 - Trabalhadores da Pesca e Caça. A classificação e descrição da função/setor inclui informações gerais sobre o cargo, de acordo com o ONET/OES e o Sistema de Classificação Industrial da América do Norte. Consulte as Funções e a Ordem de Serviço para obter mais informações. Requisitos da vaga: Experiência necessária: Não. Número de horas por semana: 40. Horário de trabalho (início/término): 6h às 15h.</v>
      </c>
    </row>
    <row r="896" ht="20.25" customHeight="1">
      <c r="A896" s="3" t="s">
        <v>4215</v>
      </c>
      <c r="B896" s="3" t="s">
        <v>4216</v>
      </c>
      <c r="C896" s="3" t="s">
        <v>4198</v>
      </c>
      <c r="D896" s="3" t="s">
        <v>992</v>
      </c>
      <c r="E896" s="4" t="s">
        <v>44</v>
      </c>
      <c r="F896" s="4" t="s">
        <v>20</v>
      </c>
      <c r="G896" s="4" t="s">
        <v>4217</v>
      </c>
      <c r="H896" s="3" t="s">
        <v>4218</v>
      </c>
      <c r="I896" s="3" t="s">
        <v>4219</v>
      </c>
      <c r="J896" s="4">
        <v>27.0</v>
      </c>
      <c r="K896" s="4">
        <v>1.0</v>
      </c>
      <c r="L896" s="3" t="s">
        <v>387</v>
      </c>
      <c r="M896" s="3" t="s">
        <v>4220</v>
      </c>
      <c r="N896" s="7" t="str">
        <f>IFERROR(__xludf.DUMMYFUNCTION("GOOGLETRANSLATE(L896, ""en"", ""pt"")"),"Ordem de serviço não disponível")</f>
        <v>Ordem de serviço não disponível</v>
      </c>
      <c r="O896" s="7" t="str">
        <f>IFERROR(__xludf.DUMMYFUNCTION("IF(M896="""","""",GOOGLETRANSLATE(M896,""en"",""pt""))"),"Responsabilidades domésticas, incluindo compras de supermercado e preparo das refeições diárias das crianças, lavagem das roupas infantis, higienização e organização do espaço infantil, etc.; Organizar a rotina e providenciar transporte para as crianças d"&amp;"e/para a escola, atividades extracurriculares, encontros com amigos, consultas médicas, etc.; Monitorar a saúde mental e física das crianças, incluindo a regulação do sono/sonecas, observação de comportamentos anormais, administração de medicamentos, etc."&amp;", e defender as necessidades das crianças; Promover o desenvolvimento social e intelectual das crianças, auxiliando nas tarefas de casa, estabelecendo regras e limites, atendendo às suas necessidades emocionais, etc. Classificação da vaga: 39-9011.01 - Ba"&amp;"bás. A classificação e descrição da vaga/setor incluem informações gerais sobre o cargo, conforme o ONET/OES e o Sistema de Classificação Industrial da América do Norte. Consulte as Funções e a Ordem de Serviço para obter mais informações. Requisitos da v"&amp;"aga Experiência necessária: Sim Meses de experiência necessários: 36 Requisitos especiais: MÍNIMO DE 3 ANOS DE EXPERIÊNCIA ANTERIOR COMO BABÁ EM TEMPO INTEGRAL COM FUNÇÕES INCLUINDO LIMPEZA DA CASA, GERENCIAMENTO DE HORÁRIOS E MONITORAMENTO DA SAÚDE MENTA"&amp;"L E FÍSICA. Número de horas por semana: 40 Horário de trabalho (início/término): 14h30 - 20h30")</f>
        <v>Responsabilidades domésticas, incluindo compras de supermercado e preparo das refeições diárias das crianças, lavagem das roupas infantis, higienização e organização do espaço infantil, etc.; Organizar a rotina e providenciar transporte para as crianças de/para a escola, atividades extracurriculares, encontros com amigos, consultas médicas, etc.; Monitorar a saúde mental e física das crianças, incluindo a regulação do sono/sonecas, observação de comportamentos anormais, administração de medicamentos, etc., e defender as necessidades das crianças; Promover o desenvolvimento social e intelectual das crianças, auxiliando nas tarefas de casa, estabelecendo regras e limites, atendendo às suas necessidades emocionais, etc. Classificação da vaga: 39-9011.01 - Babás. A classificação e descrição da vaga/setor incluem informações gerais sobre o cargo, conforme o ONET/OES e o Sistema de Classificação Industrial da América do Norte. Consulte as Funções e a Ordem de Serviço para obter mais informações. Requisitos da vaga Experiência necessária: Sim Meses de experiência necessários: 36 Requisitos especiais: MÍNIMO DE 3 ANOS DE EXPERIÊNCIA ANTERIOR COMO BABÁ EM TEMPO INTEGRAL COM FUNÇÕES INCLUINDO LIMPEZA DA CASA, GERENCIAMENTO DE HORÁRIOS E MONITORAMENTO DA SAÚDE MENTAL E FÍSICA. Número de horas por semana: 40 Horário de trabalho (início/término): 14h30 - 20h30</v>
      </c>
    </row>
    <row r="897" ht="20.25" customHeight="1">
      <c r="A897" s="8" t="s">
        <v>4221</v>
      </c>
      <c r="B897" s="8" t="s">
        <v>4222</v>
      </c>
      <c r="C897" s="8" t="s">
        <v>3981</v>
      </c>
      <c r="D897" s="8" t="s">
        <v>596</v>
      </c>
      <c r="E897" s="9" t="s">
        <v>19</v>
      </c>
      <c r="F897" s="9" t="s">
        <v>20</v>
      </c>
      <c r="G897" s="9" t="s">
        <v>3982</v>
      </c>
      <c r="H897" s="8" t="s">
        <v>4223</v>
      </c>
      <c r="I897" s="8" t="s">
        <v>4224</v>
      </c>
      <c r="J897" s="9">
        <v>18.45</v>
      </c>
      <c r="K897" s="9">
        <v>1.0</v>
      </c>
      <c r="L897" s="8" t="s">
        <v>387</v>
      </c>
      <c r="M897" s="8" t="s">
        <v>4225</v>
      </c>
      <c r="N897" s="7" t="str">
        <f>IFERROR(__xludf.DUMMYFUNCTION("GOOGLETRANSLATE(L897, ""en"", ""pt"")"),"Ordem de serviço não disponível")</f>
        <v>Ordem de serviço não disponível</v>
      </c>
      <c r="O897" s="7" t="str">
        <f>IFERROR(__xludf.DUMMYFUNCTION("IF(M897="""","""",GOOGLETRANSLATE(M897,""en"",""pt""))"),"Cuidados e Desenvolvimento Infantil: Orientação gentil / sem disciplina física Seguir o horário de sonecas Preparar refeições/lanches saudáveis ​​Tempo diário ao ar livre (90 minutos, se o tempo permitir) Atualizações diárias para os pais (mensagem de tex"&amp;"to/foto/vídeo) Transporte: Transportar a criança em veículo da família (com cadeirinha fornecida) Somente com consentimento prévio dos pais Cobrir os custos do seguro associados Tarefas Domésticas: Lavar mamadeiras/louças usadas pela criança Varrer/aspira"&amp;"r embaixo das mesas, limpar bancadas Recolher brinquedos/roupas nas áreas de recreação Outras tarefas domésticas (fazer as malas para viagens, organizar o quarto da criança) Outras Responsabilidades: Seguir as regras para liberar a criança (somente para p"&amp;"essoas autorizadas pelos pais) Não permitir visitas sem consentimento Protocolo de emergência (ligar para o 190/pais) Fornecer suprimentos e equipamentos (custos cobertos pelos pais) Deveres/Habilidades Adicionais: RCP/Primeiros Socorros Classificação do "&amp;"Cargo: 39-9011.01 - Babás A classificação e descrição do cargo/setor incluem informações gerais sobre a posição da ONET/OES e do Sistema de Classificação Industrial da América do Norte. Consulte as Funções do Cargo e a Ordem de Serviço para obter mais inf"&amp;"ormações. Requisitos da vaga Experiência necessária: Sim Meses de experiência necessários: 12 Requisitos especiais: RCP/Primeiros Socorros Número de horas por semana: 50 Horário de trabalho (início/término): 8h às 17h")</f>
        <v>Cuidados e Desenvolvimento Infantil: Orientação gentil / sem disciplina física Seguir o horário de sonecas Preparar refeições/lanches saudáveis ​​Tempo diário ao ar livre (90 minutos, se o tempo permitir) Atualizações diárias para os pais (mensagem de texto/foto/vídeo) Transporte: Transportar a criança em veículo da família (com cadeirinha fornecida) Somente com consentimento prévio dos pais Cobrir os custos do seguro associados Tarefas Domésticas: Lavar mamadeiras/louças usadas pela criança Varrer/aspirar embaixo das mesas, limpar bancadas Recolher brinquedos/roupas nas áreas de recreação Outras tarefas domésticas (fazer as malas para viagens, organizar o quarto da criança) Outras Responsabilidades: Seguir as regras para liberar a criança (somente para pessoas autorizadas pelos pais) Não permitir visitas sem consentimento Protocolo de emergência (ligar para o 190/pais) Fornecer suprimentos e equipamentos (custos cobertos pelos pais) Deveres/Habilidades Adicionais: RCP/Primeiros Socorros Classificação do Cargo: 39-9011.01 - Babás A classificação e descrição do cargo/setor incluem informações gerais sobre a posição da ONET/OES e do Sistema de Classificação Industrial da América do Norte. Consulte as Funções do Cargo e a Ordem de Serviço para obter mais informações. Requisitos da vaga Experiência necessária: Sim Meses de experiência necessários: 12 Requisitos especiais: RCP/Primeiros Socorros Número de horas por semana: 50 Horário de trabalho (início/término): 8h às 17h</v>
      </c>
    </row>
    <row r="898" ht="20.25" customHeight="1">
      <c r="A898" s="3" t="s">
        <v>4226</v>
      </c>
      <c r="B898" s="3" t="s">
        <v>4227</v>
      </c>
      <c r="C898" s="3" t="s">
        <v>4084</v>
      </c>
      <c r="D898" s="3" t="s">
        <v>278</v>
      </c>
      <c r="E898" s="4" t="s">
        <v>19</v>
      </c>
      <c r="F898" s="4" t="s">
        <v>20</v>
      </c>
      <c r="G898" s="4" t="s">
        <v>56</v>
      </c>
      <c r="H898" s="3" t="s">
        <v>4228</v>
      </c>
      <c r="I898" s="3" t="s">
        <v>4229</v>
      </c>
      <c r="J898" s="4">
        <v>22.23</v>
      </c>
      <c r="K898" s="4">
        <v>16.0</v>
      </c>
      <c r="L898" s="3" t="s">
        <v>2724</v>
      </c>
      <c r="M898" s="3" t="s">
        <v>4230</v>
      </c>
      <c r="N898" s="7" t="str">
        <f>IFERROR(__xludf.DUMMYFUNCTION("GOOGLETRANSLATE(L898, ""en"", ""pt"")"),"Telhador")</f>
        <v>Telhador</v>
      </c>
      <c r="O898" s="7" t="str">
        <f>IFERROR(__xludf.DUMMYFUNCTION("IF(M898="""","""",GOOGLETRANSLATE(M898,""en"",""pt""))"),"Tarefas fisicamente exigentes relacionadas a projetos de telhados novos e reformas. Remover/desmontar materiais de cobertura e subcobertura existentes utilizando métodos adequados. Limpar a estrutura do telhado e o entorno. Realizar pequenos reparos na es"&amp;"trutura do telhado e outros projetos auxiliares, conforme necessário. Instalar subcobertura e novos materiais de cobertura utilizando métodos adequados de instalação. Todas as tarefas devem ser executadas utilizando equipamentos de proteção contra quedas "&amp;"e andaimes adequados. Classificação da vaga: 47-2181.00 - Telhadores. A classificação e descrição da vaga/setor incluem informações gerais sobre o cargo, de acordo com o ONET/OES e o Sistema de Classificação Industrial da América do Norte (NAICS). Consult"&amp;"e as Funções e a Ordem de Serviço para obter mais informações. Requisitos da vaga: Experiência necessária: Não. Requisitos especiais: Ter no mínimo 18 anos de idade e capacidade de levantar 32 kg (70 lbs) consistentemente, conforme confirmado verbalmente "&amp;"pelo candidato. Número de horas por semana: 40. Horário de trabalho (início/término): 8h às 17h.")</f>
        <v>Tarefas fisicamente exigentes relacionadas a projetos de telhados novos e reformas. Remover/desmontar materiais de cobertura e subcobertura existentes utilizando métodos adequados. Limpar a estrutura do telhado e o entorno. Realizar pequenos reparos na estrutura do telhado e outros projetos auxiliares, conforme necessário. Instalar subcobertura e novos materiais de cobertura utilizando métodos adequados de instalação. Todas as tarefas devem ser executadas utilizando equipamentos de proteção contra quedas e andaimes adequados. Classificação da vaga: 47-2181.00 - Telhadores. A classificação e descrição da vaga/setor incluem informações gerais sobre o cargo, de acordo com o ONET/OES e o Sistema de Classificação Industrial da América do Norte (NAICS). Consulte as Funções e a Ordem de Serviço para obter mais informações. Requisitos da vaga: Experiência necessária: Não. Requisitos especiais: Ter no mínimo 18 anos de idade e capacidade de levantar 32 kg (70 lbs) consistentemente, conforme confirmado verbalmente pelo candidato. Número de horas por semana: 40. Horário de trabalho (início/término): 8h às 17h.</v>
      </c>
    </row>
    <row r="899" ht="20.25" customHeight="1">
      <c r="A899" s="8" t="s">
        <v>4231</v>
      </c>
      <c r="B899" s="8" t="s">
        <v>4227</v>
      </c>
      <c r="C899" s="8" t="s">
        <v>4084</v>
      </c>
      <c r="D899" s="8" t="s">
        <v>278</v>
      </c>
      <c r="E899" s="9" t="s">
        <v>19</v>
      </c>
      <c r="F899" s="9" t="s">
        <v>20</v>
      </c>
      <c r="G899" s="9" t="s">
        <v>56</v>
      </c>
      <c r="H899" s="8" t="s">
        <v>4228</v>
      </c>
      <c r="I899" s="8" t="s">
        <v>4229</v>
      </c>
      <c r="J899" s="9">
        <v>20.23</v>
      </c>
      <c r="K899" s="9">
        <v>16.0</v>
      </c>
      <c r="L899" s="8" t="s">
        <v>4232</v>
      </c>
      <c r="M899" s="8" t="s">
        <v>4233</v>
      </c>
      <c r="N899" s="7" t="str">
        <f>IFERROR(__xludf.DUMMYFUNCTION("GOOGLETRANSLATE(L899, ""en"", ""pt"")"),"Ajudante de Telhador")</f>
        <v>Ajudante de Telhador</v>
      </c>
      <c r="O899" s="7" t="str">
        <f>IFERROR(__xludf.DUMMYFUNCTION("IF(M899="""","""",GOOGLETRANSLATE(M899,""en"",""pt""))"),"Tarefas fisicamente exigentes relacionadas a projetos de telhados novos e reformas. Auxiliar telhadistas mais experientes e líderes de equipe, utilizando, fornecendo ou segurando materiais e ferramentas. Descarregar materiais e ferramentas de caminhões de"&amp;" trabalho. Remover materiais de telhado antigos. Varrer e limpar telhados para prepará-los para a aplicação de novos materiais. Montar escadas, andaimes e guindastes, e utilizá-los para levar suprimentos até os telhados. Cobrir telhados com camadas de fel"&amp;"tro asfáltico ou materiais similares para prepará-los para a instalação. Auxiliar no processo de reforma de telhados conforme orientação do encarregado. Manter as ferramentas e a área de trabalho e equipamentos limpos. Auxiliar em outros projetos auxiliar"&amp;"es aos projetos de telhados. Todas as tarefas devem ser executadas utilizando equipamentos de proteção contra quedas e andaimes adequados. Classificação da função: 47-3016.00 - Ajudantes de Telhadista. A classificação e descrição da função/setor inclui in"&amp;"formações gerais sobre o cargo, de acordo com o ONET/OES e o Sistema de Classificação Industrial da América do Norte (NAICS). Consulte as Funções e a Ordem de Serviço para obter mais informações. Requisitos da vaga Experiência necessária: Não Requisitos e"&amp;"speciais: O candidato deve ter no mínimo 18 anos de idade e capacidade para levantar 32 kg (70 lbs) consistentemente, conforme confirmado verbalmente. Número de horas por semana: 40 Horário de trabalho (início/término): 8h às 17h")</f>
        <v>Tarefas fisicamente exigentes relacionadas a projetos de telhados novos e reformas. Auxiliar telhadistas mais experientes e líderes de equipe, utilizando, fornecendo ou segurando materiais e ferramentas. Descarregar materiais e ferramentas de caminhões de trabalho. Remover materiais de telhado antigos. Varrer e limpar telhados para prepará-los para a aplicação de novos materiais. Montar escadas, andaimes e guindastes, e utilizá-los para levar suprimentos até os telhados. Cobrir telhados com camadas de feltro asfáltico ou materiais similares para prepará-los para a instalação. Auxiliar no processo de reforma de telhados conforme orientação do encarregado. Manter as ferramentas e a área de trabalho e equipamentos limpos. Auxiliar em outros projetos auxiliares aos projetos de telhados. Todas as tarefas devem ser executadas utilizando equipamentos de proteção contra quedas e andaimes adequados. Classificação da função: 47-3016.00 - Ajudantes de Telhadista. A classificação e descrição da função/setor inclui informações gerais sobre o cargo, de acordo com o ONET/OES e o Sistema de Classificação Industrial da América do Norte (NAICS). Consulte as Funções e a Ordem de Serviço para obter mais informações. Requisitos da vaga Experiência necessária: Não Requisitos especiais: O candidato deve ter no mínimo 18 anos de idade e capacidade para levantar 32 kg (70 lbs) consistentemente, conforme confirmado verbalmente. Número de horas por semana: 40 Horário de trabalho (início/término): 8h às 17h</v>
      </c>
    </row>
    <row r="900" ht="20.25" customHeight="1">
      <c r="A900" s="3" t="s">
        <v>4234</v>
      </c>
      <c r="B900" s="3" t="s">
        <v>4235</v>
      </c>
      <c r="C900" s="3" t="s">
        <v>3974</v>
      </c>
      <c r="D900" s="3" t="s">
        <v>28</v>
      </c>
      <c r="E900" s="4" t="s">
        <v>19</v>
      </c>
      <c r="F900" s="4" t="s">
        <v>20</v>
      </c>
      <c r="G900" s="4" t="s">
        <v>29</v>
      </c>
      <c r="H900" s="3" t="s">
        <v>4236</v>
      </c>
      <c r="I900" s="3" t="s">
        <v>4237</v>
      </c>
      <c r="J900" s="4">
        <v>12.75</v>
      </c>
      <c r="K900" s="4">
        <v>25.0</v>
      </c>
      <c r="L900" s="3" t="s">
        <v>3548</v>
      </c>
      <c r="M900" s="3" t="s">
        <v>4238</v>
      </c>
      <c r="N900" s="7" t="str">
        <f>IFERROR(__xludf.DUMMYFUNCTION("GOOGLETRANSLATE(L900, ""en"", ""pt"")"),"Processadores de frutos do mar")</f>
        <v>Processadores de frutos do mar</v>
      </c>
      <c r="O900" s="7" t="str">
        <f>IFERROR(__xludf.DUMMYFUNCTION("IF(M900="""","""",GOOGLETRANSLATE(M900,""en"",""pt""))"),"Abrir e retirar a carne dos frutos do mar. Separar e colocar em recipientes. Limpar as estações de trabalho. Classificação da função: 51-3022.00 - Cortadores e aparadores de carne, aves e peixes. A classificação e descrição da função/setor incluem informa"&amp;"ções gerais sobre o cargo, de acordo com o ONET/OES e o Sistema de Classificação Industrial da América do Norte. Consulte as atribuições e a ordem de serviço para obter mais informações. Requisitos da vaga: Experiência necessária: Não. Número de horas por"&amp;" semana: 40. Horário de trabalho (início/término): 6h às 15h.")</f>
        <v>Abrir e retirar a carne dos frutos do mar. Separar e colocar em recipientes. Limpar as estações de trabalho. Classificação da função: 51-3022.00 - Cortadores e aparadores de carne, aves e peixes. A classificação e descrição da função/setor incluem informações gerais sobre o cargo, de acordo com o ONET/OES e o Sistema de Classificação Industrial da América do Norte. Consulte as atribuições e a ordem de serviço para obter mais informações. Requisitos da vaga: Experiência necessária: Não. Número de horas por semana: 40. Horário de trabalho (início/término): 6h às 15h.</v>
      </c>
    </row>
    <row r="901" ht="20.25" customHeight="1">
      <c r="A901" s="8" t="s">
        <v>4239</v>
      </c>
      <c r="B901" s="8" t="s">
        <v>4240</v>
      </c>
      <c r="C901" s="8" t="s">
        <v>4241</v>
      </c>
      <c r="D901" s="8" t="s">
        <v>1031</v>
      </c>
      <c r="E901" s="9" t="s">
        <v>19</v>
      </c>
      <c r="F901" s="9" t="s">
        <v>20</v>
      </c>
      <c r="G901" s="9" t="s">
        <v>377</v>
      </c>
      <c r="H901" s="8" t="s">
        <v>4242</v>
      </c>
      <c r="I901" s="8" t="s">
        <v>4243</v>
      </c>
      <c r="J901" s="9">
        <v>22.07</v>
      </c>
      <c r="K901" s="9">
        <v>3.0</v>
      </c>
      <c r="L901" s="8" t="s">
        <v>1206</v>
      </c>
      <c r="M901" s="8" t="s">
        <v>4244</v>
      </c>
      <c r="N901" s="7" t="str">
        <f>IFERROR(__xludf.DUMMYFUNCTION("GOOGLETRANSLATE(L901, ""en"", ""pt"")"),"Servidor")</f>
        <v>Servidor</v>
      </c>
      <c r="O901" s="7" t="str">
        <f>IFERROR(__xludf.DUMMYFUNCTION("IF(M901="""","""",GOOGLETRANSLATE(M901,""en"",""pt""))"),"Os garçons serão responsáveis ​​por recepcionar os clientes, preparar as áreas de refeição, anotar e registrar pedidos, transportar bandejas e pratos, servir alimentos e bebidas, limpar e retirar as mesas, proporcionar um excelente atendimento ao cliente,"&amp;" entregar as contas e receber os pagamentos, cooperar e se comunicar com toda a equipe de atendimento e da cozinha, e cumprir todas as normas e regulamentos do departamento de saúde e as diretrizes de atendimento ao cliente. Horário: 35 horas semanais. A "&amp;"escala de trabalho pode variar e incluir turnos noturnos, fins de semana e feriados. O trabalho pode ser realizado em qualquer dia da semana, de segunda a domingo. Exemplo de turno: 16h às 23h. Os horários dos turnos podem variar. Consulte a descrição da "&amp;"vaga em anexo para obter mais detalhes. Classificação da vaga: 35-3031.00 - Garçons e Garçonetes. A classificação e a descrição da vaga/setor incluem informações gerais sobre o cargo, de acordo com o ONET/OES e o Sistema de Classificação Industrial da Amé"&amp;"rica do Norte. Consulte as Funções e a Ordem de Serviço para obter mais informações. Requisitos da vaga Experiência necessária: Sim Meses de experiência necessários: 6 Requisitos especiais: O contratante considerará para emprego qualquer pessoa que possua"&amp;" pelo menos seis (6) meses de experiência em um ambiente de alta gastronomia ou de grande movimento em um restaurante sofisticado, resort ou clube privado. O candidato deverá se submeter à verificação de antecedentes e referências pré-emprego, às custas d"&amp;"o empregador. Número de horas por semana: 35 Horário de trabalho (início/término): 16h00 - 23h00")</f>
        <v>Os garçons serão responsáveis ​​por recepcionar os clientes, preparar as áreas de refeição, anotar e registrar pedidos, transportar bandejas e pratos, servir alimentos e bebidas, limpar e retirar as mesas, proporcionar um excelente atendimento ao cliente, entregar as contas e receber os pagamentos, cooperar e se comunicar com toda a equipe de atendimento e da cozinha, e cumprir todas as normas e regulamentos do departamento de saúde e as diretrizes de atendimento ao cliente. Horário: 35 horas semanais. A escala de trabalho pode variar e incluir turnos noturnos, fins de semana e feriados. O trabalho pode ser realizado em qualquer dia da semana, de segunda a domingo. Exemplo de turno: 16h às 23h. Os horários dos turnos podem variar. Consulte a descrição da vaga em anexo para obter mais detalhes. Classificação da vaga: 35-3031.00 - Garçons e Garçonetes. A classificação e a descrição da vaga/setor incluem informações gerais sobre o cargo, de acordo com o ONET/OES e o Sistema de Classificação Industrial da América do Norte. Consulte as Funções e a Ordem de Serviço para obter mais informações. Requisitos da vaga Experiência necessária: Sim Meses de experiência necessários: 6 Requisitos especiais: O contratante considerará para emprego qualquer pessoa que possua pelo menos seis (6) meses de experiência em um ambiente de alta gastronomia ou de grande movimento em um restaurante sofisticado, resort ou clube privado. O candidato deverá se submeter à verificação de antecedentes e referências pré-emprego, às custas do empregador. Número de horas por semana: 35 Horário de trabalho (início/término): 16h00 - 23h00</v>
      </c>
    </row>
    <row r="902" ht="20.25" customHeight="1">
      <c r="A902" s="3" t="s">
        <v>4245</v>
      </c>
      <c r="B902" s="3" t="s">
        <v>4246</v>
      </c>
      <c r="C902" s="3" t="s">
        <v>4247</v>
      </c>
      <c r="D902" s="3" t="s">
        <v>87</v>
      </c>
      <c r="E902" s="4" t="s">
        <v>44</v>
      </c>
      <c r="F902" s="4" t="s">
        <v>20</v>
      </c>
      <c r="G902" s="4" t="s">
        <v>2519</v>
      </c>
      <c r="H902" s="3" t="s">
        <v>4248</v>
      </c>
      <c r="I902" s="3" t="s">
        <v>4249</v>
      </c>
      <c r="J902" s="4">
        <v>18.7</v>
      </c>
      <c r="K902" s="4">
        <v>6.0</v>
      </c>
      <c r="L902" s="3" t="s">
        <v>4250</v>
      </c>
      <c r="M902" s="3" t="s">
        <v>4251</v>
      </c>
      <c r="N902" s="7" t="str">
        <f>IFERROR(__xludf.DUMMYFUNCTION("GOOGLETRANSLATE(L902, ""en"", ""pt"")"),"49-9098: Ajudantes — Trabalhos de instalação, manutenção e reparo")</f>
        <v>49-9098: Ajudantes — Trabalhos de instalação, manutenção e reparo</v>
      </c>
      <c r="O902" s="7" t="str">
        <f>IFERROR(__xludf.DUMMYFUNCTION("IF(M902="""","""",GOOGLETRANSLATE(M902,""en"",""pt""))"),"Auxiliar os trabalhadores de instalação, manutenção e reparo na manutenção, substituição de peças e reparo de veículos, máquinas industriais e equipamentos elétricos e eletrônicos. Executar tarefas como fornecer ferramentas, materiais e suprimentos para o"&amp;"utros trabalhadores; limpar a área de trabalho, máquinas e ferramentas; e segurar materiais ou ferramentas para outros trabalhadores. Classificação da vaga: 49-9098.00 - Auxiliares - Trabalhadores de Instalação, Manutenção e Reparo. A classificação e desc"&amp;"rição da vaga/setor inclui informações gerais sobre a posição, de acordo com o ONET/OES e o Sistema de Classificação Industrial da América do Norte (NAICS). Consulte as Funções e a Ordem de Serviço para obter mais informações. Requisitos da vaga: Experiên"&amp;"cia exigida: Não. Requisitos especiais: Testes aleatórios de drogas e verificação de antecedentes criminais após a contratação podem ser exigidos, sem custo para o trabalhador. A vaga exige que o candidato seja qualificado, esteja pronto, disposto, apto e"&amp;" disponível para trabalhar durante todo o período de emprego no local de trabalho designado; para firmar e cumprir o contrato de trabalho; e para seguir as normas do local de trabalho. Número de horas por semana: 35. Horário de trabalho (início/término): "&amp;"8h. - 16:00")</f>
        <v>Auxiliar os trabalhadores de instalação, manutenção e reparo na manutenção, substituição de peças e reparo de veículos, máquinas industriais e equipamentos elétricos e eletrônicos. Executar tarefas como fornecer ferramentas, materiais e suprimentos para outros trabalhadores; limpar a área de trabalho, máquinas e ferramentas; e segurar materiais ou ferramentas para outros trabalhadores. Classificação da vaga: 49-9098.00 - Auxiliares - Trabalhadores de Instalação, Manutenção e Reparo. A classificação e descrição da vaga/setor inclui informações gerais sobre a posição, de acordo com o ONET/OES e o Sistema de Classificação Industrial da América do Norte (NAICS). Consulte as Funções e a Ordem de Serviço para obter mais informações. Requisitos da vaga: Experiência exigida: Não. Requisitos especiais: Testes aleatórios de drogas e verificação de antecedentes criminais após a contratação podem ser exigidos, sem custo para o trabalhador. A vaga exige que o candidato seja qualificado, esteja pronto, disposto, apto e disponível para trabalhar durante todo o período de emprego no local de trabalho designado; para firmar e cumprir o contrato de trabalho; e para seguir as normas do local de trabalho. Número de horas por semana: 35. Horário de trabalho (início/término): 8h. - 16:00</v>
      </c>
    </row>
    <row r="903" ht="20.25" customHeight="1">
      <c r="A903" s="8" t="s">
        <v>4252</v>
      </c>
      <c r="B903" s="8" t="s">
        <v>4253</v>
      </c>
      <c r="C903" s="8" t="s">
        <v>4247</v>
      </c>
      <c r="D903" s="8" t="s">
        <v>36</v>
      </c>
      <c r="E903" s="9" t="s">
        <v>19</v>
      </c>
      <c r="F903" s="9" t="s">
        <v>20</v>
      </c>
      <c r="G903" s="9" t="s">
        <v>4254</v>
      </c>
      <c r="H903" s="8" t="s">
        <v>4255</v>
      </c>
      <c r="I903" s="8" t="s">
        <v>4256</v>
      </c>
      <c r="J903" s="9">
        <v>16.65</v>
      </c>
      <c r="K903" s="9">
        <v>12.0</v>
      </c>
      <c r="L903" s="8" t="s">
        <v>4250</v>
      </c>
      <c r="M903" s="8" t="s">
        <v>4251</v>
      </c>
      <c r="N903" s="7" t="str">
        <f>IFERROR(__xludf.DUMMYFUNCTION("GOOGLETRANSLATE(L903, ""en"", ""pt"")"),"49-9098: Ajudantes — Trabalhos de instalação, manutenção e reparo")</f>
        <v>49-9098: Ajudantes — Trabalhos de instalação, manutenção e reparo</v>
      </c>
      <c r="O903" s="7" t="str">
        <f>IFERROR(__xludf.DUMMYFUNCTION("IF(M903="""","""",GOOGLETRANSLATE(M903,""en"",""pt""))"),"Auxiliar os trabalhadores de instalação, manutenção e reparo na manutenção, substituição de peças e reparo de veículos, máquinas industriais e equipamentos elétricos e eletrônicos. Executar tarefas como fornecer ferramentas, materiais e suprimentos para o"&amp;"utros trabalhadores; limpar a área de trabalho, máquinas e ferramentas; e segurar materiais ou ferramentas para outros trabalhadores. Classificação da vaga: 49-9098.00 - Auxiliares - Trabalhadores de Instalação, Manutenção e Reparo. A classificação e desc"&amp;"rição da vaga/setor inclui informações gerais sobre a posição, de acordo com o ONET/OES e o Sistema de Classificação Industrial da América do Norte (NAICS). Consulte as Funções e a Ordem de Serviço para obter mais informações. Requisitos da vaga: Experiên"&amp;"cia exigida: Não. Requisitos especiais: Testes aleatórios de drogas e verificação de antecedentes criminais após a contratação podem ser exigidos, sem custo para o trabalhador. A vaga exige que o candidato seja qualificado, esteja pronto, disposto, apto e"&amp;" disponível para trabalhar durante todo o período de emprego no local de trabalho designado; para firmar e cumprir o contrato de trabalho; e para seguir as normas do local de trabalho. Número de horas por semana: 35. Horário de trabalho (início/término): "&amp;"8h. - 16:00")</f>
        <v>Auxiliar os trabalhadores de instalação, manutenção e reparo na manutenção, substituição de peças e reparo de veículos, máquinas industriais e equipamentos elétricos e eletrônicos. Executar tarefas como fornecer ferramentas, materiais e suprimentos para outros trabalhadores; limpar a área de trabalho, máquinas e ferramentas; e segurar materiais ou ferramentas para outros trabalhadores. Classificação da vaga: 49-9098.00 - Auxiliares - Trabalhadores de Instalação, Manutenção e Reparo. A classificação e descrição da vaga/setor inclui informações gerais sobre a posição, de acordo com o ONET/OES e o Sistema de Classificação Industrial da América do Norte (NAICS). Consulte as Funções e a Ordem de Serviço para obter mais informações. Requisitos da vaga: Experiência exigida: Não. Requisitos especiais: Testes aleatórios de drogas e verificação de antecedentes criminais após a contratação podem ser exigidos, sem custo para o trabalhador. A vaga exige que o candidato seja qualificado, esteja pronto, disposto, apto e disponível para trabalhar durante todo o período de emprego no local de trabalho designado; para firmar e cumprir o contrato de trabalho; e para seguir as normas do local de trabalho. Número de horas por semana: 35. Horário de trabalho (início/término): 8h. - 16:00</v>
      </c>
    </row>
    <row r="904" ht="20.25" customHeight="1">
      <c r="A904" s="3" t="s">
        <v>4257</v>
      </c>
      <c r="B904" s="3" t="s">
        <v>4010</v>
      </c>
      <c r="C904" s="3" t="s">
        <v>4011</v>
      </c>
      <c r="D904" s="3" t="s">
        <v>970</v>
      </c>
      <c r="E904" s="4" t="s">
        <v>19</v>
      </c>
      <c r="F904" s="4" t="s">
        <v>20</v>
      </c>
      <c r="G904" s="4" t="s">
        <v>146</v>
      </c>
      <c r="H904" s="3" t="s">
        <v>4012</v>
      </c>
      <c r="I904" s="3" t="s">
        <v>4013</v>
      </c>
      <c r="J904" s="4">
        <v>23.45</v>
      </c>
      <c r="K904" s="4">
        <v>6.0</v>
      </c>
      <c r="L904" s="3" t="s">
        <v>97</v>
      </c>
      <c r="M904" s="3" t="s">
        <v>4258</v>
      </c>
      <c r="N904" s="7" t="str">
        <f>IFERROR(__xludf.DUMMYFUNCTION("GOOGLETRANSLATE(L904, ""en"", ""pt"")"),"Operador de Equipamentos")</f>
        <v>Operador de Equipamentos</v>
      </c>
      <c r="O904" s="7" t="str">
        <f>IFERROR(__xludf.DUMMYFUNCTION("IF(M904="""","""",GOOGLETRANSLATE(M904,""en"",""pt""))"),"Operar equipamentos utilizados para aplicação de concreto, asfalto ou outros materiais em leitos de estradas, estacionamentos, pistas de aeroportos e pistas de táxi, ou para compactação de cascalho, terra ou outros materiais. Inclui operadores de máquinas"&amp;" de pavimentação de concreto e asfalto, operadores de compactadores de formas, operadores de máquinas de compactação e operadores de espalhadores de pedra. Classificação da função: 47-2071.00 - Operadores de Equipamentos de Pavimentação, Revestimento e Co"&amp;"mpactação. A classificação e descrição da função/setor inclui informações gerais sobre o cargo, de acordo com o ONET/OES e o Sistema de Classificação Industrial da América do Norte (NAICS). Consulte as Funções e a Ordem de Serviço para obter mais informaç"&amp;"ões. Requisitos da função: Experiência necessária: Não. Requisitos especiais: CAPACIDADE DE LEVANTAR E CARREGAR 23 KG. DISPONIBILIDADE PARA HORAS EXTRAS E TRABALHO AOS FINS DE SEMANA. JORNADA DE TRABALHO DE 8 HORAS. O horário pode variar entre 7h e 19h. N"&amp;"úmero de horas por semana: 40. Horário de trabalho (início/término): 7h às 19h.")</f>
        <v>Operar equipamentos utilizados para aplicação de concreto, asfalto ou outros materiais em leitos de estradas, estacionamentos, pistas de aeroportos e pistas de táxi, ou para compactação de cascalho, terra ou outros materiais. Inclui operadores de máquinas de pavimentação de concreto e asfalto, operadores de compactadores de formas, operadores de máquinas de compactação e operadores de espalhadores de pedra. Classificação da função: 47-2071.00 - Operadores de Equipamentos de Pavimentação, Revestimento e Compactação. A classificação e descrição da função/setor inclui informações gerais sobre o cargo, de acordo com o ONET/OES e o Sistema de Classificação Industrial da América do Norte (NAICS). Consulte as Funções e a Ordem de Serviço para obter mais informações. Requisitos da função: Experiência necessária: Não. Requisitos especiais: CAPACIDADE DE LEVANTAR E CARREGAR 23 KG. DISPONIBILIDADE PARA HORAS EXTRAS E TRABALHO AOS FINS DE SEMANA. JORNADA DE TRABALHO DE 8 HORAS. O horário pode variar entre 7h e 19h. Número de horas por semana: 40. Horário de trabalho (início/término): 7h às 19h.</v>
      </c>
    </row>
    <row r="905" ht="20.25" customHeight="1">
      <c r="A905" s="8" t="s">
        <v>4259</v>
      </c>
      <c r="B905" s="8" t="s">
        <v>4260</v>
      </c>
      <c r="C905" s="8" t="s">
        <v>4261</v>
      </c>
      <c r="D905" s="8" t="s">
        <v>532</v>
      </c>
      <c r="E905" s="9" t="s">
        <v>19</v>
      </c>
      <c r="F905" s="9" t="s">
        <v>20</v>
      </c>
      <c r="G905" s="9" t="s">
        <v>369</v>
      </c>
      <c r="H905" s="8" t="s">
        <v>4262</v>
      </c>
      <c r="I905" s="8" t="s">
        <v>4263</v>
      </c>
      <c r="J905" s="9">
        <v>27.34</v>
      </c>
      <c r="K905" s="9">
        <v>18.0</v>
      </c>
      <c r="L905" s="8" t="s">
        <v>406</v>
      </c>
      <c r="M905" s="8" t="s">
        <v>4264</v>
      </c>
      <c r="N905" s="7" t="str">
        <f>IFERROR(__xludf.DUMMYFUNCTION("GOOGLETRANSLATE(L905, ""en"", ""pt"")"),"Trabalhador")</f>
        <v>Trabalhador</v>
      </c>
      <c r="O905" s="7" t="str">
        <f>IFERROR(__xludf.DUMMYFUNCTION("IF(M905="""","""",GOOGLETRANSLATE(M905,""en"",""pt""))"),"Os trabalhadores auxiliarão na instalação de iluminação sazonal personalizada para as festas de fim de ano em residências e estabelecimentos comerciais. As funções específicas incluem: auxiliar na colocação da iluminação em árvores e decorações, bem como "&amp;"na remoção da iluminação ao final da temporada de festas. Classificação da vaga: 49-9099.00 - Trabalhadores de Instalação, Manutenção e Reparo, Outros. A classificação e descrição da vaga/setor incluem informações gerais sobre o cargo, de acordo com o ONE"&amp;"T/OES e o Sistema de Classificação Industrial da América do Norte (NAICS). Consulte as Funções e a Ordem de Serviço para obter mais informações. Requisitos da vaga: Experiência necessária: Sim. Meses de experiência necessários: 1. Requisitos especiais: Ap"&amp;"rovação em teste de escada. Capacidade de levantar 23 kg. Necessário subir escadas, agachar, ajoelhar e alcançar locais altos. Conhecimento básico de elétrica para instalação de iluminação. Os trabalhadores deverão usar cintos de segurança. Número de hora"&amp;"s por semana: 40. Horário de trabalho (início/término): 8h às 17h.")</f>
        <v>Os trabalhadores auxiliarão na instalação de iluminação sazonal personalizada para as festas de fim de ano em residências e estabelecimentos comerciais. As funções específicas incluem: auxiliar na colocação da iluminação em árvores e decorações, bem como na remoção da iluminação ao final da temporada de festas. Classificação da vaga: 49-9099.00 - Trabalhadores de Instalação, Manutenção e Reparo, Outros. A classificação e descrição da vaga/setor incluem informações gerais sobre o cargo, de acordo com o ONET/OES e o Sistema de Classificação Industrial da América do Norte (NAICS). Consulte as Funções e a Ordem de Serviço para obter mais informações. Requisitos da vaga: Experiência necessária: Sim. Meses de experiência necessários: 1. Requisitos especiais: Aprovação em teste de escada. Capacidade de levantar 23 kg. Necessário subir escadas, agachar, ajoelhar e alcançar locais altos. Conhecimento básico de elétrica para instalação de iluminação. Os trabalhadores deverão usar cintos de segurança. Número de horas por semana: 40. Horário de trabalho (início/término): 8h às 17h.</v>
      </c>
    </row>
    <row r="906" ht="20.25" customHeight="1">
      <c r="A906" s="3" t="s">
        <v>4265</v>
      </c>
      <c r="B906" s="3" t="s">
        <v>4266</v>
      </c>
      <c r="C906" s="3" t="s">
        <v>4011</v>
      </c>
      <c r="D906" s="3" t="s">
        <v>306</v>
      </c>
      <c r="E906" s="4" t="s">
        <v>19</v>
      </c>
      <c r="F906" s="4" t="s">
        <v>20</v>
      </c>
      <c r="G906" s="4" t="s">
        <v>236</v>
      </c>
      <c r="H906" s="3" t="s">
        <v>4267</v>
      </c>
      <c r="I906" s="3" t="s">
        <v>4268</v>
      </c>
      <c r="J906" s="4">
        <v>19.93</v>
      </c>
      <c r="K906" s="4">
        <v>20.0</v>
      </c>
      <c r="L906" s="3" t="s">
        <v>59</v>
      </c>
      <c r="M906" s="3" t="s">
        <v>4269</v>
      </c>
      <c r="N906" s="7" t="str">
        <f>IFERROR(__xludf.DUMMYFUNCTION("GOOGLETRANSLATE(L906, ""en"", ""pt"")"),"Trabalhador de paisagismo")</f>
        <v>Trabalhador de paisagismo</v>
      </c>
      <c r="O906" s="7" t="str">
        <f>IFERROR(__xludf.DUMMYFUNCTION("IF(M906="""","""",GOOGLETRANSLATE(M906,""en"",""pt""))"),"As funções podem incluir: participar de reuniões matinais; carregar ferramentas, plantas e materiais em caminhões; cavar buracos; plantar; cortar grama; podar arbustos; espalhar cobertura morta; recolher folhas; participar do programa de segurança; usar f"&amp;"erramentas manuais como pás, ancinhos, serras de poda, aparadores de cerca viva e machados; operar veículos e outras atividades relacionadas a paisagismo, conforme SOC/OES 37-3011 (onetonline.org). Classificação da função: 37-3011.00 - Trabalhadores de Pa"&amp;"isagismo e Manutenção de Áreas Verdes. A classificação e descrição da função/setor incluem informações gerais sobre o cargo, de acordo com o ONET/OES e o Sistema de Classificação Industrial da América do Norte. Consulte as Funções e a Ordem de Serviço par"&amp;"a obter mais informações. Requisitos da vaga: Experiência necessária: Sim. Meses de experiência necessários: 3. Requisitos especiais: É necessário ter 18 anos devido ao uso de equipamentos. É necessário apresentar comprovante de autorização legal para tra"&amp;"balhar nos Estados Unidos. Ambiente de trabalho livre de drogas, álcool e tabaco. Executar atividades físicas, como levantar, equilibrar-se, caminhar, abaixar-se, manusear, posicionar, mover e manipular materiais; usar força estática para exercer força mu"&amp;"scular máxima para levantar, empurrar, puxar e carregar objetos de até 23 kg (50 lbs). Todos os candidatos devem ser capazes, dispostos e qualificados para executar o trabalho descrito e devem estar disponíveis durante todo o período especificado e trabal"&amp;"har em todas as áreas da empresa. O trabalho é realizado ao ar livre, exposto às intempéries; o candidato deve ser capaz de realizar trabalho fisicamente extenuante por longos períodos, ocasionalmente em calor ou frio extremos. As condições climáticas são"&amp;" variáveis; a carga horária pode sofrer alterações (+/-), com possibilidade de períodos de inatividade e/ou horas extras. É necessário ser capaz de levantar e carregar 23 kg (50 lbs), com disponibilidade para algumas horas extras e trabalho nos fins de se"&amp;"mana. Jornada de trabalho de 8 horas. O empregador pagará o tempo de licença médica. De acordo com a legislação estadual de Michigan, a Lei de Licença Médica Remunerada 338, os empregadores são obrigados a fornecer licença médica remunerada aos seus funci"&amp;"onários. A quantidade de licença médica remunerada pode variar dependendo do porte da empresa. Número de horas por semana: 40 Horário de trabalho (início/término): 7h00 - 17h00")</f>
        <v>As funções podem incluir: participar de reuniões matinais; carregar ferramentas, plantas e materiais em caminhões; cavar buracos; plantar; cortar grama; podar arbustos; espalhar cobertura morta; recolher folhas; participar do programa de segurança; usar ferramentas manuais como pás, ancinhos, serras de poda, aparadores de cerca viva e machados; operar veículos e outras atividades relacionadas a paisagismo, conforme SOC/OES 37-3011 (onetonline.org). Classificação da função: 37-3011.00 - Trabalhadores de Paisagismo e Manutenção de Áreas Verdes. A classificação e descrição da função/setor incluem informações gerais sobre o cargo, de acordo com o ONET/OES e o Sistema de Classificação Industrial da América do Norte. Consulte as Funções e a Ordem de Serviço para obter mais informações. Requisitos da vaga: Experiência necessária: Sim. Meses de experiência necessários: 3. Requisitos especiais: É necessário ter 18 anos devido ao uso de equipamentos. É necessário apresentar comprovante de autorização legal para trabalhar nos Estados Unidos. Ambiente de trabalho livre de drogas, álcool e tabaco. Executar atividades físicas, como levantar, equilibrar-se, caminhar, abaixar-se, manusear, posicionar, mover e manipular materiais; usar força estática para exercer força muscular máxima para levantar, empurrar, puxar e carregar objetos de até 23 kg (50 lbs). Todos os candidatos devem ser capazes, dispostos e qualificados para executar o trabalho descrito e devem estar disponíveis durante todo o período especificado e trabalhar em todas as áreas da empresa. O trabalho é realizado ao ar livre, exposto às intempéries; o candidato deve ser capaz de realizar trabalho fisicamente extenuante por longos períodos, ocasionalmente em calor ou frio extremos. As condições climáticas são variáveis; a carga horária pode sofrer alterações (+/-), com possibilidade de períodos de inatividade e/ou horas extras. É necessário ser capaz de levantar e carregar 23 kg (50 lbs), com disponibilidade para algumas horas extras e trabalho nos fins de semana. Jornada de trabalho de 8 horas. O empregador pagará o tempo de licença médica. De acordo com a legislação estadual de Michigan, a Lei de Licença Médica Remunerada 338, os empregadores são obrigados a fornecer licença médica remunerada aos seus funcionários. A quantidade de licença médica remunerada pode variar dependendo do porte da empresa. Número de horas por semana: 40 Horário de trabalho (início/término): 7h00 - 17h00</v>
      </c>
    </row>
    <row r="907" ht="20.25" customHeight="1">
      <c r="A907" s="8" t="s">
        <v>4270</v>
      </c>
      <c r="B907" s="8" t="s">
        <v>4271</v>
      </c>
      <c r="C907" s="8" t="s">
        <v>4272</v>
      </c>
      <c r="D907" s="8" t="s">
        <v>109</v>
      </c>
      <c r="E907" s="9" t="s">
        <v>19</v>
      </c>
      <c r="F907" s="9" t="s">
        <v>20</v>
      </c>
      <c r="G907" s="9" t="s">
        <v>1869</v>
      </c>
      <c r="H907" s="8" t="s">
        <v>4273</v>
      </c>
      <c r="I907" s="8" t="s">
        <v>4274</v>
      </c>
      <c r="J907" s="9">
        <v>13.93</v>
      </c>
      <c r="K907" s="9">
        <v>2.0</v>
      </c>
      <c r="L907" s="8" t="s">
        <v>4275</v>
      </c>
      <c r="M907" s="8" t="s">
        <v>4276</v>
      </c>
      <c r="N907" s="7" t="str">
        <f>IFERROR(__xludf.DUMMYFUNCTION("GOOGLETRANSLATE(L907, ""en"", ""pt"")"),"Técnica de unhas")</f>
        <v>Técnica de unhas</v>
      </c>
      <c r="O907" s="7" t="str">
        <f>IFERROR(__xludf.DUMMYFUNCTION("IF(M907="""","""",GOOGLETRANSLATE(M907,""en"",""pt""))"),"Oferecer serviços como manicure, pedicure, manutenção e aplicação completa de unhas de acrílico. Limpar e modelar as unhas das mãos e dos pés dos clientes. Polir ou decorar as unhas. Os funcionários podem ser responsáveis ​​pela limpeza do salão, lavagem "&amp;"de toalhas e reposição de materiais. Classificação da vaga: 39-5092.00 - Manicures e Pedicures. A classificação e descrição da vaga/setor inclui informações gerais sobre o cargo, de acordo com o ONET/OES e o Sistema de Classificação Industrial da América "&amp;"do Norte (NAICS). Consulte as Funções e a Ordem de Serviço para obter mais informações. Requisitos da vaga: Experiência necessária: Sim. Meses de experiência necessários: 12. Requisitos especiais: N/A. F.a.5 A-H. (continuação): Jornada de trabalho de 10 h"&amp;"oras. De segunda a sábado, das 9h às 19h, com folgas variáveis. Sem horas extras. Número de horas por semana: 40. Horário de trabalho (início/término): 9h às 19h.")</f>
        <v>Oferecer serviços como manicure, pedicure, manutenção e aplicação completa de unhas de acrílico. Limpar e modelar as unhas das mãos e dos pés dos clientes. Polir ou decorar as unhas. Os funcionários podem ser responsáveis ​​pela limpeza do salão, lavagem de toalhas e reposição de materiais. Classificação da vaga: 39-5092.00 - Manicures e Pedicures. A classificação e descrição da vaga/setor inclui informações gerais sobre o cargo, de acordo com o ONET/OES e o Sistema de Classificação Industrial da América do Norte (NAICS). Consulte as Funções e a Ordem de Serviço para obter mais informações. Requisitos da vaga: Experiência necessária: Sim. Meses de experiência necessários: 12. Requisitos especiais: N/A. F.a.5 A-H. (continuação): Jornada de trabalho de 10 horas. De segunda a sábado, das 9h às 19h, com folgas variáveis. Sem horas extras. Número de horas por semana: 40. Horário de trabalho (início/término): 9h às 19h.</v>
      </c>
    </row>
    <row r="908" ht="20.25" customHeight="1">
      <c r="A908" s="3" t="s">
        <v>4277</v>
      </c>
      <c r="B908" s="3" t="s">
        <v>4278</v>
      </c>
      <c r="C908" s="3" t="s">
        <v>3974</v>
      </c>
      <c r="D908" s="3" t="s">
        <v>28</v>
      </c>
      <c r="E908" s="4" t="s">
        <v>19</v>
      </c>
      <c r="F908" s="4" t="s">
        <v>20</v>
      </c>
      <c r="G908" s="4" t="s">
        <v>377</v>
      </c>
      <c r="H908" s="3" t="s">
        <v>4279</v>
      </c>
      <c r="I908" s="3" t="s">
        <v>4002</v>
      </c>
      <c r="J908" s="4">
        <v>24.39</v>
      </c>
      <c r="K908" s="4">
        <v>20.0</v>
      </c>
      <c r="L908" s="3" t="s">
        <v>3490</v>
      </c>
      <c r="M908" s="3" t="s">
        <v>4003</v>
      </c>
      <c r="N908" s="7" t="str">
        <f>IFERROR(__xludf.DUMMYFUNCTION("GOOGLETRANSLATE(L908, ""en"", ""pt"")"),"Marinheiro de convés, barco de pesca de ostras")</f>
        <v>Marinheiro de convés, barco de pesca de ostras</v>
      </c>
      <c r="O908" s="7" t="str">
        <f>IFERROR(__xludf.DUMMYFUNCTION("IF(M908="""","""",GOOGLETRANSLATE(M908,""en"",""pt""))"),"Utilizar redes, armadilhas, dragas ou outros equipamentos para colher e coletar ostras do fundo do mar, içá-las para os barcos, ensacá-las e empilhá-las. Descarregar os sacos do barco para o cais. Limpar o barco. Classificação da função: 45-3031.00 - Trab"&amp;"alhadores da Pesca e Caça. A classificação e descrição da função/setor inclui informações gerais sobre o cargo, de acordo com o ONET/OES e o Sistema de Classificação Industrial da América do Norte. Consulte as Funções e a Ordem de Serviço para obter mais "&amp;"informações. Requisitos da função: Experiência necessária: Não. Número de horas por semana: 40. Horário de trabalho (início/término): 6h às 14h.")</f>
        <v>Utilizar redes, armadilhas, dragas ou outros equipamentos para colher e coletar ostras do fundo do mar, içá-las para os barcos, ensacá-las e empilhá-las. Descarregar os sacos do barco para o cais. Limpar o barco. Classificação da função: 45-3031.00 - Trabalhadores da Pesca e Caça. A classificação e descrição da função/setor inclui informações gerais sobre o cargo, de acordo com o ONET/OES e o Sistema de Classificação Industrial da América do Norte. Consulte as Funções e a Ordem de Serviço para obter mais informações. Requisitos da função: Experiência necessária: Não. Número de horas por semana: 40. Horário de trabalho (início/término): 6h às 14h.</v>
      </c>
    </row>
    <row r="909" ht="20.25" customHeight="1">
      <c r="A909" s="8" t="s">
        <v>4280</v>
      </c>
      <c r="B909" s="8" t="s">
        <v>4281</v>
      </c>
      <c r="C909" s="8" t="s">
        <v>3974</v>
      </c>
      <c r="D909" s="8" t="s">
        <v>64</v>
      </c>
      <c r="E909" s="9" t="s">
        <v>19</v>
      </c>
      <c r="F909" s="9" t="s">
        <v>20</v>
      </c>
      <c r="G909" s="9" t="s">
        <v>377</v>
      </c>
      <c r="H909" s="8" t="s">
        <v>4282</v>
      </c>
      <c r="I909" s="8" t="s">
        <v>4002</v>
      </c>
      <c r="J909" s="9">
        <v>17.18</v>
      </c>
      <c r="K909" s="9">
        <v>30.0</v>
      </c>
      <c r="L909" s="8" t="s">
        <v>4283</v>
      </c>
      <c r="M909" s="8" t="s">
        <v>4127</v>
      </c>
      <c r="N909" s="7" t="str">
        <f>IFERROR(__xludf.DUMMYFUNCTION("GOOGLETRANSLATE(L909, ""en"", ""pt"")"),"Marinheiros, Barco de Ostras")</f>
        <v>Marinheiros, Barco de Ostras</v>
      </c>
      <c r="O909" s="7" t="str">
        <f>IFERROR(__xludf.DUMMYFUNCTION("IF(M909="""","""",GOOGLETRANSLATE(M909,""en"",""pt""))"),"Utilizar redes, armadilhas, dragas ou outros equipamentos para colher e coletar ostras do fundo do mar, içá-las para os barcos, ensacá-las e empilhá-las. Descarregar os sacos. Limpar o barco. Classificação da função: 45-3031.00 - Trabalhadores da Pesca e "&amp;"Caça. A classificação e descrição da função/setor inclui informações gerais sobre o cargo, de acordo com o ONET/OES e o Sistema de Classificação Industrial da América do Norte. Consulte as Funções e a Ordem de Serviço para obter mais informações. Requisit"&amp;"os da vaga: Experiência necessária: Não. Número de horas por semana: 40. Horário de trabalho (início/término): 6h às 14h.")</f>
        <v>Utilizar redes, armadilhas, dragas ou outros equipamentos para colher e coletar ostras do fundo do mar, içá-las para os barcos, ensacá-las e empilhá-las. Descarregar os sacos. Limpar o barco. Classificação da função: 45-3031.00 - Trabalhadores da Pesca e Caça. A classificação e descrição da função/setor inclui informações gerais sobre o cargo, de acordo com o ONET/OES e o Sistema de Classificação Industrial da América do Norte. Consulte as Funções e a Ordem de Serviço para obter mais informações. Requisitos da vaga: Experiência necessária: Não. Número de horas por semana: 40. Horário de trabalho (início/término): 6h às 14h.</v>
      </c>
    </row>
    <row r="910" ht="20.25" customHeight="1">
      <c r="A910" s="3" t="s">
        <v>4284</v>
      </c>
      <c r="B910" s="3" t="s">
        <v>4285</v>
      </c>
      <c r="C910" s="3" t="s">
        <v>4272</v>
      </c>
      <c r="D910" s="3" t="s">
        <v>271</v>
      </c>
      <c r="E910" s="4" t="s">
        <v>44</v>
      </c>
      <c r="F910" s="4" t="s">
        <v>20</v>
      </c>
      <c r="G910" s="4" t="s">
        <v>4286</v>
      </c>
      <c r="H910" s="3" t="s">
        <v>4287</v>
      </c>
      <c r="I910" s="3" t="s">
        <v>4288</v>
      </c>
      <c r="J910" s="4">
        <v>21.52</v>
      </c>
      <c r="K910" s="4">
        <v>9.0</v>
      </c>
      <c r="L910" s="3" t="s">
        <v>4289</v>
      </c>
      <c r="M910" s="3" t="s">
        <v>4290</v>
      </c>
      <c r="N910" s="7" t="str">
        <f>IFERROR(__xludf.DUMMYFUNCTION("GOOGLETRANSLATE(L910, ""en"", ""pt"")"),"Frente da Casa")</f>
        <v>Frente da Casa</v>
      </c>
      <c r="O910" s="7" t="str">
        <f>IFERROR(__xludf.DUMMYFUNCTION("IF(M910="""","""",GOOGLETRANSLATE(M910,""en"",""pt""))"),"Garanta um ambiente acolhedor para os clientes, mantendo a organização e a limpeza na área de atendimento. As tarefas de abertura incluem preparar o caixa, conferir o dinheiro, preencher o relatório de caixa, preparar o café e garantir que todas as máquin"&amp;"as e áreas de atendimento estejam limpas e prontas. As tarefas de atendimento ao cliente incluem recepcionar os clientes, anotar os pedidos no balcão, processar os pagamentos e servir alimentos e bebidas nas mesas. Reabasteça os pacotes de salgadinhos, po"&amp;"rta-talheres, guardanapos, canudos, sacolas para viagem, copos, tampas e bandejas. Reabasteça o balcão de condimentos com molhos, copos, água e utensílios. Reabasteça e organize os mixes para smoothies, molhos, creme de leite, chantilly e refrescos em tod"&amp;"as as geladeiras designadas. Retire o lixo imediatamente quando estiver cheio. Limpe, organize e mantenha as estações de trabalho, áreas de atendimento ao cliente e banheiros. As tarefas serão realizadas em um restaurante com áreas de serviço que incluem "&amp;"a recepção, balcão e caixa registradora, totem de autoatendimento, pequena seção de loja de conveniência, bar, salão de refeições e banheiros. Classificação da vaga: 35-3031.00 - Garçons e Garçonetes. A classificação e descrição da vaga/setor incluem info"&amp;"rmações gerais sobre o cargo, de acordo com o ONET/OES e o Sistema de Classificação Industrial da América do Norte (NAICS). Consulte as Funções e a Ordem de Serviço para obter mais informações. Requisitos da vaga: Experiência necessária: Não. Requisitos e"&amp;"speciais: N/A. F.a.5 A-H (continuação): Jornada de trabalho de 8 horas. De segunda a domingo, das 6h às 22h30. Os dias e turnos variam. Os turnos de trabalho dos funcionários são divididos em turno da manhã, das 6h às 14h, ou turno da tarde, das 14h às 22"&amp;"h30. Possibilidade de horas extras. Número de horas por semana: 40 Horário de trabalho (início/término): 6h00 - 14h00")</f>
        <v>Garanta um ambiente acolhedor para os clientes, mantendo a organização e a limpeza na área de atendimento. As tarefas de abertura incluem preparar o caixa, conferir o dinheiro, preencher o relatório de caixa, preparar o café e garantir que todas as máquinas e áreas de atendimento estejam limpas e prontas. As tarefas de atendimento ao cliente incluem recepcionar os clientes, anotar os pedidos no balcão, processar os pagamentos e servir alimentos e bebidas nas mesas. Reabasteça os pacotes de salgadinhos, porta-talheres, guardanapos, canudos, sacolas para viagem, copos, tampas e bandejas. Reabasteça o balcão de condimentos com molhos, copos, água e utensílios. Reabasteça e organize os mixes para smoothies, molhos, creme de leite, chantilly e refrescos em todas as geladeiras designadas. Retire o lixo imediatamente quando estiver cheio. Limpe, organize e mantenha as estações de trabalho, áreas de atendimento ao cliente e banheiros. As tarefas serão realizadas em um restaurante com áreas de serviço que incluem a recepção, balcão e caixa registradora, totem de autoatendimento, pequena seção de loja de conveniência, bar, salão de refeições e banheiros. Classificação da vaga: 35-3031.00 - Garçons e Garçonetes. A classificação e descrição da vaga/setor incluem informações gerais sobre o cargo, de acordo com o ONET/OES e o Sistema de Classificação Industrial da América do Norte (NAICS). Consulte as Funções e a Ordem de Serviço para obter mais informações. Requisitos da vaga: Experiência necessária: Não. Requisitos especiais: N/A. F.a.5 A-H (continuação): Jornada de trabalho de 8 horas. De segunda a domingo, das 6h às 22h30. Os dias e turnos variam. Os turnos de trabalho dos funcionários são divididos em turno da manhã, das 6h às 14h, ou turno da tarde, das 14h às 22h30. Possibilidade de horas extras. Número de horas por semana: 40 Horário de trabalho (início/término): 6h00 - 14h00</v>
      </c>
    </row>
    <row r="911" ht="20.25" customHeight="1">
      <c r="A911" s="8" t="s">
        <v>4291</v>
      </c>
      <c r="B911" s="8" t="s">
        <v>4292</v>
      </c>
      <c r="C911" s="8" t="s">
        <v>4272</v>
      </c>
      <c r="D911" s="8" t="s">
        <v>271</v>
      </c>
      <c r="E911" s="9" t="s">
        <v>19</v>
      </c>
      <c r="F911" s="9" t="s">
        <v>20</v>
      </c>
      <c r="G911" s="9" t="s">
        <v>4293</v>
      </c>
      <c r="H911" s="8" t="s">
        <v>4287</v>
      </c>
      <c r="I911" s="8" t="s">
        <v>4288</v>
      </c>
      <c r="J911" s="9">
        <v>18.54</v>
      </c>
      <c r="K911" s="9">
        <v>9.0</v>
      </c>
      <c r="L911" s="8" t="s">
        <v>387</v>
      </c>
      <c r="M911" s="8" t="s">
        <v>4294</v>
      </c>
      <c r="N911" s="7" t="str">
        <f>IFERROR(__xludf.DUMMYFUNCTION("GOOGLETRANSLATE(L911, ""en"", ""pt"")"),"Ordem de serviço não disponível")</f>
        <v>Ordem de serviço não disponível</v>
      </c>
      <c r="O911" s="7" t="str">
        <f>IFERROR(__xludf.DUMMYFUNCTION("IF(M911="""","""",GOOGLETRANSLATE(M911,""en"",""pt""))"),"Preparar e cozinhar sob encomenda uma variedade de alimentos que exigem pouco tempo de preparo, como carnes cruas pré-fatiadas, frutos do mar e vegetais para pratos mexicanos como fajitas e tacos. Aquecer uma variedade de alimentos pré-preparados no forno"&amp;", fritadeira, micro-ondas, vaporizador ou chapa. Montar e empratar alimentos pré-cozidos (carnes cozidas, frutos do mar e molhos) para os pratos principais. Adicionar coberturas e condimentos aos alimentos. Ao final do turno, guardar os ingredientes não u"&amp;"tilizados e limpar todas as superfícies de trabalho. Classificação do Cargo: 35-2014.00 - Cozinheiros, Restaurante. A classificação e descrição do cargo/setor inclui informações gerais sobre a posição, de acordo com o ONET/OES e o Sistema de Classificação"&amp;" Industrial da América do Norte. Consulte as Funções e a Ordem de Serviço para obter mais informações. Requisitos do Cargo: Experiência Necessária: Não. Requisitos Especiais: N/A. F.a.5 A-H (continuação): Número variável de horas por dia de trabalho, depe"&amp;"ndendo do turno. 5 dias por semana com 2 dias de folga, dias variáveis ​​de segunda a domingo. Turnos variáveis ​​das 7h às 14h ou das 14h às 22h. Possibilidade de horas extras. Número de horas por semana: 40. Horário de trabalho (início/término): 7h às 1"&amp;"4h.")</f>
        <v>Preparar e cozinhar sob encomenda uma variedade de alimentos que exigem pouco tempo de preparo, como carnes cruas pré-fatiadas, frutos do mar e vegetais para pratos mexicanos como fajitas e tacos. Aquecer uma variedade de alimentos pré-preparados no forno, fritadeira, micro-ondas, vaporizador ou chapa. Montar e empratar alimentos pré-cozidos (carnes cozidas, frutos do mar e molhos) para os pratos principais. Adicionar coberturas e condimentos aos alimentos. Ao final do turno, guardar os ingredientes não utilizados e limpar todas as superfícies de trabalho. Classificação do Cargo: 35-2014.00 - Cozinheiros, Restaurante. A classificação e descrição do cargo/setor inclui informações gerais sobre a posição, de acordo com o ONET/OES e o Sistema de Classificação Industrial da América do Norte. Consulte as Funções e a Ordem de Serviço para obter mais informações. Requisitos do Cargo: Experiência Necessária: Não. Requisitos Especiais: N/A. F.a.5 A-H (continuação): Número variável de horas por dia de trabalho, dependendo do turno. 5 dias por semana com 2 dias de folga, dias variáveis ​​de segunda a domingo. Turnos variáveis ​​das 7h às 14h ou das 14h às 22h. Possibilidade de horas extras. Número de horas por semana: 40. Horário de trabalho (início/término): 7h às 14h.</v>
      </c>
    </row>
    <row r="912" ht="20.25" customHeight="1">
      <c r="A912" s="3" t="s">
        <v>4295</v>
      </c>
      <c r="B912" s="3" t="s">
        <v>4296</v>
      </c>
      <c r="C912" s="3" t="s">
        <v>4011</v>
      </c>
      <c r="D912" s="3" t="s">
        <v>18</v>
      </c>
      <c r="E912" s="4" t="s">
        <v>19</v>
      </c>
      <c r="F912" s="4" t="s">
        <v>20</v>
      </c>
      <c r="G912" s="4" t="s">
        <v>56</v>
      </c>
      <c r="H912" s="3" t="s">
        <v>4297</v>
      </c>
      <c r="I912" s="3" t="s">
        <v>4298</v>
      </c>
      <c r="J912" s="4">
        <v>21.36</v>
      </c>
      <c r="K912" s="4">
        <v>9.0</v>
      </c>
      <c r="L912" s="3" t="s">
        <v>1815</v>
      </c>
      <c r="M912" s="3" t="s">
        <v>4299</v>
      </c>
      <c r="N912" s="7" t="str">
        <f>IFERROR(__xludf.DUMMYFUNCTION("GOOGLETRANSLATE(L912, ""en"", ""pt"")"),"Motorista")</f>
        <v>Motorista</v>
      </c>
      <c r="O912" s="7" t="str">
        <f>IFERROR(__xludf.DUMMYFUNCTION("IF(M912="""","""",GOOGLETRANSLATE(M912,""en"",""pt""))"),"Dirigir um veículo leve, como um caminhão ou van, com capacidade inferior a 26.001 libras de Peso Bruto Total (PBT), principalmente para coletar mercadorias ou encomendas em um centro de distribuição e entregá-las. Pode envolver o carregamento e descarreg"&amp;"amento do veículo. Classificação da Função: 53-3033.00 - Motoristas de Caminhão Leve. A classificação e descrição da função/setor inclui informações gerais sobre o cargo, de acordo com o ONET/OES e o Sistema de Classificação Industrial da América do Norte"&amp;". Consulte as Funções e a Ordem de Serviço para obter mais informações. Requisitos da Função: Experiência Necessária: Não. Requisitos Especiais: CARTEIRA DE HABILITAÇÃO VÁLIDA OU POSSIBILIDADE DE OBTER, OU EQUIVALENTE INTERNACIONAL. CAPACIDADE DE LEVANTAR"&amp;" E CARREGAR 50 LIBRAS. DISPONIBILIDADE PARA HORAS EXTRAS E TRABALHO AOS FINS DE SEMANA. JORNADA DE TRABALHO DE 8 HORAS. PODE SER SUJEITO A TESTES DE DROGAS ALEATÓRIOS APÓS A CONTRATAÇÃO. Número de Horas por Semana: 40. Horário de Trabalho (Início/Término)"&amp;": 7h. - 17h00")</f>
        <v>Dirigir um veículo leve, como um caminhão ou van, com capacidade inferior a 26.001 libras de Peso Bruto Total (PBT), principalmente para coletar mercadorias ou encomendas em um centro de distribuição e entregá-las. Pode envolver o carregamento e descarregamento do veículo. Classificação da Função: 53-3033.00 - Motoristas de Caminhão Leve. A classificação e descrição da função/setor inclui informações gerais sobre o cargo, de acordo com o ONET/OES e o Sistema de Classificação Industrial da América do Norte. Consulte as Funções e a Ordem de Serviço para obter mais informações. Requisitos da Função: Experiência Necessária: Não. Requisitos Especiais: CARTEIRA DE HABILITAÇÃO VÁLIDA OU POSSIBILIDADE DE OBTER, OU EQUIVALENTE INTERNACIONAL. CAPACIDADE DE LEVANTAR E CARREGAR 50 LIBRAS. DISPONIBILIDADE PARA HORAS EXTRAS E TRABALHO AOS FINS DE SEMANA. JORNADA DE TRABALHO DE 8 HORAS. PODE SER SUJEITO A TESTES DE DROGAS ALEATÓRIOS APÓS A CONTRATAÇÃO. Número de Horas por Semana: 40. Horário de Trabalho (Início/Término): 7h. - 17h00</v>
      </c>
    </row>
    <row r="913" ht="20.25" customHeight="1">
      <c r="A913" s="8" t="s">
        <v>4300</v>
      </c>
      <c r="B913" s="8" t="s">
        <v>4301</v>
      </c>
      <c r="C913" s="8" t="s">
        <v>3974</v>
      </c>
      <c r="D913" s="8" t="s">
        <v>28</v>
      </c>
      <c r="E913" s="9" t="s">
        <v>19</v>
      </c>
      <c r="F913" s="9" t="s">
        <v>20</v>
      </c>
      <c r="G913" s="9" t="s">
        <v>377</v>
      </c>
      <c r="H913" s="8" t="s">
        <v>4302</v>
      </c>
      <c r="I913" s="8" t="s">
        <v>4002</v>
      </c>
      <c r="J913" s="9">
        <v>24.39</v>
      </c>
      <c r="K913" s="9">
        <v>25.0</v>
      </c>
      <c r="L913" s="8" t="s">
        <v>3490</v>
      </c>
      <c r="M913" s="8" t="s">
        <v>4003</v>
      </c>
      <c r="N913" s="7" t="str">
        <f>IFERROR(__xludf.DUMMYFUNCTION("GOOGLETRANSLATE(L913, ""en"", ""pt"")"),"Marinheiro de convés, barco de pesca de ostras")</f>
        <v>Marinheiro de convés, barco de pesca de ostras</v>
      </c>
      <c r="O913" s="7" t="str">
        <f>IFERROR(__xludf.DUMMYFUNCTION("IF(M913="""","""",GOOGLETRANSLATE(M913,""en"",""pt""))"),"Utilizar redes, armadilhas, dragas ou outros equipamentos para colher e coletar ostras do fundo do mar, içá-las para os barcos, ensacá-las e empilhá-las. Descarregar os sacos do barco para o cais. Limpar o barco. Classificação da função: 45-3031.00 - Trab"&amp;"alhadores da Pesca e Caça. A classificação e descrição da função/setor inclui informações gerais sobre o cargo, de acordo com o ONET/OES e o Sistema de Classificação Industrial da América do Norte. Consulte as Funções e a Ordem de Serviço para obter mais "&amp;"informações. Requisitos da função: Experiência necessária: Não. Número de horas por semana: 40. Horário de trabalho (início/término): 6h às 14h.")</f>
        <v>Utilizar redes, armadilhas, dragas ou outros equipamentos para colher e coletar ostras do fundo do mar, içá-las para os barcos, ensacá-las e empilhá-las. Descarregar os sacos do barco para o cais. Limpar o barco. Classificação da função: 45-3031.00 - Trabalhadores da Pesca e Caça. A classificação e descrição da função/setor inclui informações gerais sobre o cargo, de acordo com o ONET/OES e o Sistema de Classificação Industrial da América do Norte. Consulte as Funções e a Ordem de Serviço para obter mais informações. Requisitos da função: Experiência necessária: Não. Número de horas por semana: 40. Horário de trabalho (início/término): 6h às 14h.</v>
      </c>
    </row>
    <row r="914" ht="20.25" customHeight="1">
      <c r="A914" s="3" t="s">
        <v>4303</v>
      </c>
      <c r="B914" s="3" t="s">
        <v>4304</v>
      </c>
      <c r="C914" s="3" t="s">
        <v>3974</v>
      </c>
      <c r="D914" s="3" t="s">
        <v>64</v>
      </c>
      <c r="E914" s="4" t="s">
        <v>19</v>
      </c>
      <c r="F914" s="4" t="s">
        <v>20</v>
      </c>
      <c r="G914" s="4" t="s">
        <v>377</v>
      </c>
      <c r="H914" s="3" t="s">
        <v>4305</v>
      </c>
      <c r="I914" s="3" t="s">
        <v>4002</v>
      </c>
      <c r="J914" s="4">
        <v>19.28</v>
      </c>
      <c r="K914" s="4">
        <v>30.0</v>
      </c>
      <c r="L914" s="3" t="s">
        <v>3490</v>
      </c>
      <c r="M914" s="3" t="s">
        <v>4003</v>
      </c>
      <c r="N914" s="7" t="str">
        <f>IFERROR(__xludf.DUMMYFUNCTION("GOOGLETRANSLATE(L914, ""en"", ""pt"")"),"Marinheiro de convés, barco de pesca de ostras")</f>
        <v>Marinheiro de convés, barco de pesca de ostras</v>
      </c>
      <c r="O914" s="7" t="str">
        <f>IFERROR(__xludf.DUMMYFUNCTION("IF(M914="""","""",GOOGLETRANSLATE(M914,""en"",""pt""))"),"Utilizar redes, armadilhas, dragas ou outros equipamentos para colher e coletar ostras do fundo do mar, içá-las para os barcos, ensacá-las e empilhá-las. Descarregar os sacos do barco para o cais. Limpar o barco. Classificação da função: 45-3031.00 - Trab"&amp;"alhadores da Pesca e Caça. A classificação e descrição da função/setor inclui informações gerais sobre o cargo, de acordo com o ONET/OES e o Sistema de Classificação Industrial da América do Norte. Consulte as Funções e a Ordem de Serviço para obter mais "&amp;"informações. Requisitos da função: Experiência necessária: Não. Número de horas por semana: 40. Horário de trabalho (início/término): 6h às 14h.")</f>
        <v>Utilizar redes, armadilhas, dragas ou outros equipamentos para colher e coletar ostras do fundo do mar, içá-las para os barcos, ensacá-las e empilhá-las. Descarregar os sacos do barco para o cais. Limpar o barco. Classificação da função: 45-3031.00 - Trabalhadores da Pesca e Caça. A classificação e descrição da função/setor inclui informações gerais sobre o cargo, de acordo com o ONET/OES e o Sistema de Classificação Industrial da América do Norte. Consulte as Funções e a Ordem de Serviço para obter mais informações. Requisitos da função: Experiência necessária: Não. Número de horas por semana: 40. Horário de trabalho (início/término): 6h às 14h.</v>
      </c>
    </row>
    <row r="915" ht="20.25" customHeight="1">
      <c r="A915" s="8" t="s">
        <v>4306</v>
      </c>
      <c r="B915" s="8" t="s">
        <v>4307</v>
      </c>
      <c r="C915" s="8" t="s">
        <v>4272</v>
      </c>
      <c r="D915" s="8" t="s">
        <v>284</v>
      </c>
      <c r="E915" s="9" t="s">
        <v>44</v>
      </c>
      <c r="F915" s="9" t="s">
        <v>20</v>
      </c>
      <c r="G915" s="9" t="s">
        <v>65</v>
      </c>
      <c r="H915" s="8" t="s">
        <v>4308</v>
      </c>
      <c r="I915" s="8" t="s">
        <v>4309</v>
      </c>
      <c r="J915" s="9">
        <v>15.43</v>
      </c>
      <c r="K915" s="9">
        <v>40.0</v>
      </c>
      <c r="L915" s="8" t="s">
        <v>406</v>
      </c>
      <c r="M915" s="8" t="s">
        <v>4310</v>
      </c>
      <c r="N915" s="7" t="str">
        <f>IFERROR(__xludf.DUMMYFUNCTION("GOOGLETRANSLATE(L915, ""en"", ""pt"")"),"Trabalhador")</f>
        <v>Trabalhador</v>
      </c>
      <c r="O915" s="7" t="str">
        <f>IFERROR(__xludf.DUMMYFUNCTION("IF(M915="""","""",GOOGLETRANSLATE(M915,""en"",""pt""))"),"Paisagismo ou manutenção de terrenos utilizando ferramentas manuais ou elétricas. Inclui colocação de grama, corte de grama, capina, acabamento de bordas, poda, plantio, cobertura morta, remoção de folhas e detritos, irrigação, adubação, escavação, rastel"&amp;"agem, instalação de sistemas de irrigação e tubulações, abertura de valas e instalação de blocos de concreto pré-moldados sem argamassa. Ferramentas utilizadas para cavar valas: pás, escavadeiras de valas manuais; Dimensões das valas (profundidade e largu"&amp;"ra): 45 cm de profundidade e 2,5 cm de largura; Finalidade da vala: Instalação de sistemas de irrigação subterrâneos. Para instalar sistemas de irrigação subterrâneos, os trabalhadores cavarão valas com no máximo 45 cm de profundidade e 2,5 cm de largura,"&amp;" utilizando pás e escavadeiras de valas manuais. Classificação da Função: 37-3011.00 - Trabalhadores de Paisagismo e Manutenção de Jardins. A classificação e descrição da função/setor inclui informações gerais sobre o cargo, conforme o ONET/OES e o Sistem"&amp;"a de Classificação Industrial da América do Norte (NAICS). Consulte as Funções e a Ordem de Serviço para obter mais informações. Requisitos da Função: Experiência Necessária: Não. Requisitos Especiais: poderá ser exigido exame toxicológico após a contrata"&amp;"ção, mediante suspeita razoável do empregador. F.a.5 A-H. Jornada de trabalho de 8 horas, de segunda a sexta-feira, das 7h às 16h. Horas extras necessárias e variáveis. Número de Horas por Semana: 40. Horário de Trabalho (Início/Término): 7h às 16h.")</f>
        <v>Paisagismo ou manutenção de terrenos utilizando ferramentas manuais ou elétricas. Inclui colocação de grama, corte de grama, capina, acabamento de bordas, poda, plantio, cobertura morta, remoção de folhas e detritos, irrigação, adubação, escavação, rastelagem, instalação de sistemas de irrigação e tubulações, abertura de valas e instalação de blocos de concreto pré-moldados sem argamassa. Ferramentas utilizadas para cavar valas: pás, escavadeiras de valas manuais; Dimensões das valas (profundidade e largura): 45 cm de profundidade e 2,5 cm de largura; Finalidade da vala: Instalação de sistemas de irrigação subterrâneos. Para instalar sistemas de irrigação subterrâneos, os trabalhadores cavarão valas com no máximo 45 cm de profundidade e 2,5 cm de largura, utilizando pás e escavadeiras de valas manuais. Classificação da Função: 37-3011.00 - Trabalhadores de Paisagismo e Manutenção de Jardins. A classificação e descrição da função/setor inclui informações gerais sobre o cargo, conforme o ONET/OES e o Sistema de Classificação Industrial da América do Norte (NAICS). Consulte as Funções e a Ordem de Serviço para obter mais informações. Requisitos da Função: Experiência Necessária: Não. Requisitos Especiais: poderá ser exigido exame toxicológico após a contratação, mediante suspeita razoável do empregador. F.a.5 A-H. Jornada de trabalho de 8 horas, de segunda a sexta-feira, das 7h às 16h. Horas extras necessárias e variáveis. Número de Horas por Semana: 40. Horário de Trabalho (Início/Término): 7h às 16h.</v>
      </c>
    </row>
    <row r="916" ht="20.25" customHeight="1">
      <c r="A916" s="3" t="s">
        <v>4311</v>
      </c>
      <c r="B916" s="3" t="s">
        <v>4312</v>
      </c>
      <c r="C916" s="3" t="s">
        <v>4272</v>
      </c>
      <c r="D916" s="3" t="s">
        <v>992</v>
      </c>
      <c r="E916" s="4" t="s">
        <v>19</v>
      </c>
      <c r="F916" s="4" t="s">
        <v>20</v>
      </c>
      <c r="G916" s="4" t="s">
        <v>4313</v>
      </c>
      <c r="H916" s="3" t="s">
        <v>4314</v>
      </c>
      <c r="I916" s="3" t="s">
        <v>4315</v>
      </c>
      <c r="J916" s="4">
        <v>28.14</v>
      </c>
      <c r="K916" s="4">
        <v>8.0</v>
      </c>
      <c r="L916" s="3" t="s">
        <v>59</v>
      </c>
      <c r="M916" s="3" t="s">
        <v>4316</v>
      </c>
      <c r="N916" s="7" t="str">
        <f>IFERROR(__xludf.DUMMYFUNCTION("GOOGLETRANSLATE(L916, ""en"", ""pt"")"),"Trabalhador de paisagismo")</f>
        <v>Trabalhador de paisagismo</v>
      </c>
      <c r="O916" s="7" t="str">
        <f>IFERROR(__xludf.DUMMYFUNCTION("IF(M916="""","""",GOOGLETRANSLATE(M916,""en"",""pt""))"),"Instalar luzes de Natal em arbustos e no chão. Pendurar guirlandas sobre as portas. Utilizar escada para instalar e remover luzes de Natal em calhas e/ou telhados. Classificação da Função: 49-9099.00 - Trabalhadores de Instalação, Manutenção e Reparo, Out"&amp;"ros. A classificação e descrição da função/setor inclui informações gerais sobre o cargo, de acordo com o ONET/OES e o Sistema de Classificação Industrial da América do Norte (NAICS). Consulte as Funções e a Ordem de Serviço para obter mais informações. R"&amp;"equisitos da Função Experiência Necessária: Sim Meses de Experiência Necessários: 3 Requisitos Especiais: Nenhum F.a.5 A-H: Jornada de trabalho de 7 horas, das 7h às 17h, de segunda a sexta-feira. Pode ser necessário trabalhar aos sábados. Horas extras ob"&amp;"rigatórias. Número de Horas por Semana: 35 Horário de Trabalho (Início/Término): 7h às 17h.")</f>
        <v>Instalar luzes de Natal em arbustos e no chão. Pendurar guirlandas sobre as portas. Utilizar escada para instalar e remover luzes de Natal em calhas e/ou telhados. Classificação da Função: 49-9099.00 - Trabalhadores de Instalação, Manutenção e Reparo, Outros. A classificação e descrição da função/setor inclui informações gerais sobre o cargo, de acordo com o ONET/OES e o Sistema de Classificação Industrial da América do Norte (NAICS). Consulte as Funções e a Ordem de Serviço para obter mais informações. Requisitos da Função Experiência Necessária: Sim Meses de Experiência Necessários: 3 Requisitos Especiais: Nenhum F.a.5 A-H: Jornada de trabalho de 7 horas, das 7h às 17h, de segunda a sexta-feira. Pode ser necessário trabalhar aos sábados. Horas extras obrigatórias. Número de Horas por Semana: 35 Horário de Trabalho (Início/Término): 7h às 17h.</v>
      </c>
    </row>
    <row r="917" ht="20.25" customHeight="1">
      <c r="A917" s="8" t="s">
        <v>4317</v>
      </c>
      <c r="B917" s="8" t="s">
        <v>4318</v>
      </c>
      <c r="C917" s="8" t="s">
        <v>4319</v>
      </c>
      <c r="D917" s="8" t="s">
        <v>126</v>
      </c>
      <c r="E917" s="9" t="s">
        <v>19</v>
      </c>
      <c r="F917" s="9" t="s">
        <v>20</v>
      </c>
      <c r="G917" s="9" t="s">
        <v>80</v>
      </c>
      <c r="H917" s="8" t="s">
        <v>4320</v>
      </c>
      <c r="I917" s="8" t="s">
        <v>4321</v>
      </c>
      <c r="J917" s="9">
        <v>19.81</v>
      </c>
      <c r="K917" s="9">
        <v>35.0</v>
      </c>
      <c r="L917" s="8" t="s">
        <v>4322</v>
      </c>
      <c r="M917" s="8" t="s">
        <v>4323</v>
      </c>
      <c r="N917" s="7" t="str">
        <f>IFERROR(__xludf.DUMMYFUNCTION("GOOGLETRANSLATE(L917, ""en"", ""pt"")"),"Empregadas domésticas e serviços de limpeza")</f>
        <v>Empregadas domésticas e serviços de limpeza</v>
      </c>
      <c r="O917" s="7" t="str">
        <f>IFERROR(__xludf.DUMMYFUNCTION("IF(M917="""","""",GOOGLETRANSLATE(M917,""en"",""pt""))"),"Executar qualquer combinação de tarefas de limpeza leve para manter residências particulares ou estabelecimentos comerciais, como hotéis, limpos e organizados. As tarefas podem incluir arrumar camas, repor roupas de cama, limpar quartos e corredores e asp"&amp;"irar o pó. Classificação da vaga: 37-2012.00 - Empregadas Domésticas e Auxiliares de Limpeza. A classificação e descrição da vaga/setor incluem informações gerais sobre o cargo, de acordo com o ONET/OES e o Sistema de Classificação Industrial da América d"&amp;"o Norte (NAICS). Consulte a Descrição das Funções e a Ordem de Serviço para obter mais informações. Requisitos da vaga: Experiência necessária: Não. Requisitos especiais: Deve ser capaz de ficar em pé, se abaixar, ajoelhar e alcançar locais altos para lim"&amp;"par, subir e descer escadas e levantar e/ou mover regularmente até 4,5 kg. Deve ser capaz de suportar a exposição a produtos químicos utilizados em produtos de limpeza. Ser um bom membro da equipe e ter uma atitude positiva. Será necessária verificação de"&amp;" antecedentes criminais e de referências antes da contratação. Número de horas por semana: 35. Horário de trabalho (início/término): 9h às 17h.")</f>
        <v>Executar qualquer combinação de tarefas de limpeza leve para manter residências particulares ou estabelecimentos comerciais, como hotéis, limpos e organizados. As tarefas podem incluir arrumar camas, repor roupas de cama, limpar quartos e corredores e aspirar o pó. Classificação da vaga: 37-2012.00 - Empregadas Domésticas e Auxiliares de Limpeza. A classificação e descrição da vaga/setor incluem informações gerais sobre o cargo, de acordo com o ONET/OES e o Sistema de Classificação Industrial da América do Norte (NAICS). Consulte a Descrição das Funções e a Ordem de Serviço para obter mais informações. Requisitos da vaga: Experiência necessária: Não. Requisitos especiais: Deve ser capaz de ficar em pé, se abaixar, ajoelhar e alcançar locais altos para limpar, subir e descer escadas e levantar e/ou mover regularmente até 4,5 kg. Deve ser capaz de suportar a exposição a produtos químicos utilizados em produtos de limpeza. Ser um bom membro da equipe e ter uma atitude positiva. Será necessária verificação de antecedentes criminais e de referências antes da contratação. Número de horas por semana: 35. Horário de trabalho (início/término): 9h às 17h.</v>
      </c>
    </row>
    <row r="918" ht="20.25" customHeight="1">
      <c r="A918" s="3" t="s">
        <v>4324</v>
      </c>
      <c r="B918" s="3" t="s">
        <v>4325</v>
      </c>
      <c r="C918" s="3" t="s">
        <v>4272</v>
      </c>
      <c r="D918" s="3" t="s">
        <v>403</v>
      </c>
      <c r="E918" s="4" t="s">
        <v>19</v>
      </c>
      <c r="F918" s="4" t="s">
        <v>20</v>
      </c>
      <c r="G918" s="4" t="s">
        <v>212</v>
      </c>
      <c r="H918" s="3" t="s">
        <v>4326</v>
      </c>
      <c r="I918" s="3" t="s">
        <v>4327</v>
      </c>
      <c r="J918" s="4">
        <v>23.15</v>
      </c>
      <c r="K918" s="4">
        <v>2.0</v>
      </c>
      <c r="L918" s="3" t="s">
        <v>4328</v>
      </c>
      <c r="M918" s="3" t="s">
        <v>4329</v>
      </c>
      <c r="N918" s="7" t="str">
        <f>IFERROR(__xludf.DUMMYFUNCTION("GOOGLETRANSLATE(L918, ""en"", ""pt"")"),"Operário de construção de piscinas")</f>
        <v>Operário de construção de piscinas</v>
      </c>
      <c r="O918" s="7" t="str">
        <f>IFERROR(__xludf.DUMMYFUNCTION("IF(M918="""","""",GOOGLETRANSLATE(M918,""en"",""pt""))"),"Auxiliar os técnicos de piscina no posicionamento, junção, alinhamento e vedação de componentes estruturais da piscina, como seções de parede e tubos de PVC. Cavar valas e realizar demolições utilizando ferramentas manuais e elétricas. Limpar ou preparar "&amp;"canteiros de obras para eliminar possíveis riscos antes e depois da construção, utilizando vassouras, pás e carrinhos de mão. Classificação da Função: 47-2061.00 - Auxiliares de Construção. A classificação e descrição da função/setor incluem informações g"&amp;"erais sobre o cargo, de acordo com o ONET/OES e o Sistema de Classificação Industrial da América do Norte (NAICS). Consulte as Funções e a Ordem de Serviço para obter mais informações. Requisitos da Função: Experiência Necessária: Não. Requisitos Especiai"&amp;"s: N/A. F.a.5 A-H. (continuação): Jornada de trabalho de 8 horas. Segunda a sexta-feira, das 8h às 17h. Horas extras podem estar disponíveis, de 5 a 10 horas. Número de Horas por Semana: 40. Horário de Trabalho (Início/Término): 8h às 17h.")</f>
        <v>Auxiliar os técnicos de piscina no posicionamento, junção, alinhamento e vedação de componentes estruturais da piscina, como seções de parede e tubos de PVC. Cavar valas e realizar demolições utilizando ferramentas manuais e elétricas. Limpar ou preparar canteiros de obras para eliminar possíveis riscos antes e depois da construção, utilizando vassouras, pás e carrinhos de mão. Classificação da Função: 47-2061.00 - Auxiliares de Construção. A classificação e descrição da função/setor incluem informações gerais sobre o cargo, de acordo com o ONET/OES e o Sistema de Classificação Industrial da América do Norte (NAICS). Consulte as Funções e a Ordem de Serviço para obter mais informações. Requisitos da Função: Experiência Necessária: Não. Requisitos Especiais: N/A. F.a.5 A-H. (continuação): Jornada de trabalho de 8 horas. Segunda a sexta-feira, das 8h às 17h. Horas extras podem estar disponíveis, de 5 a 10 horas. Número de Horas por Semana: 40. Horário de Trabalho (Início/Término): 8h às 17h.</v>
      </c>
    </row>
    <row r="919" ht="20.25" customHeight="1">
      <c r="A919" s="8" t="s">
        <v>4330</v>
      </c>
      <c r="B919" s="8" t="s">
        <v>4331</v>
      </c>
      <c r="C919" s="8" t="s">
        <v>4011</v>
      </c>
      <c r="D919" s="8" t="s">
        <v>249</v>
      </c>
      <c r="E919" s="9" t="s">
        <v>19</v>
      </c>
      <c r="F919" s="9" t="s">
        <v>20</v>
      </c>
      <c r="G919" s="9" t="s">
        <v>4332</v>
      </c>
      <c r="H919" s="8" t="s">
        <v>4333</v>
      </c>
      <c r="I919" s="8" t="s">
        <v>4334</v>
      </c>
      <c r="J919" s="9">
        <v>17.38</v>
      </c>
      <c r="K919" s="9">
        <v>3.0</v>
      </c>
      <c r="L919" s="8" t="s">
        <v>354</v>
      </c>
      <c r="M919" s="8" t="s">
        <v>4335</v>
      </c>
      <c r="N919" s="7" t="str">
        <f>IFERROR(__xludf.DUMMYFUNCTION("GOOGLETRANSLATE(L919, ""en"", ""pt"")"),"Governanta")</f>
        <v>Governanta</v>
      </c>
      <c r="O919" s="7" t="str">
        <f>IFERROR(__xludf.DUMMYFUNCTION("IF(M919="""","""",GOOGLETRANSLATE(M919,""en"",""pt""))"),"Executar qualquer combinação de tarefas de limpeza leve para manter residências particulares ou estabelecimentos comerciais, como hotéis e hospitais, limpos e organizados. As tarefas podem incluir arrumar camas, repor roupas de cama, limpar quartos e corr"&amp;"edores e aspirar o pó. Detalhes: Transportar roupas de cama, toalhas, artigos de higiene pessoal e produtos de limpeza utilizando carrinhos com rodas. Limpar quartos, corredores, saguões, salas de estar, banheiros, elevadores, escadas, vestiários e outras"&amp;" áreas de trabalho, de forma a atender aos padrões de higiene. Limpar tapetes, carpetes, móveis estofados e cortinas utilizando aspiradores de pó e lavadoras de carpetes. Classificação da função: 37-2011.00 - Zeladores e Faxineiros, exceto empregadas domé"&amp;"sticas e faxineiras. A classificação e descrição da função/setor inclui informações gerais sobre o cargo, de acordo com o ONET/OES e o Sistema de Classificação Industrial da América do Norte. Consulte as Funções e a Ordem de Serviço para obter mais inform"&amp;"ações. Requisitos da vaga Experiência necessária: Não Requisitos especiais: CAPACIDADE DE LEVANTAR E CARREGAR 23 KG, JORNADA DE TRABALHO DE 8 HORAS, DISPONIBILIDADE PARA HORAS EXTRAS E TRABALHO AOS FINS DE SEMANA. 40 horas/semana. Domingo, segunda e de qu"&amp;"inta a sábado, das 8h às 16h30. Número de horas por semana: 40 Horário de trabalho (início/término): 8h às 16h30.")</f>
        <v>Executar qualquer combinação de tarefas de limpeza leve para manter residências particulares ou estabelecimentos comerciais, como hotéis e hospitais, limpos e organizados. As tarefas podem incluir arrumar camas, repor roupas de cama, limpar quartos e corredores e aspirar o pó. Detalhes: Transportar roupas de cama, toalhas, artigos de higiene pessoal e produtos de limpeza utilizando carrinhos com rodas. Limpar quartos, corredores, saguões, salas de estar, banheiros, elevadores, escadas, vestiários e outras áreas de trabalho, de forma a atender aos padrões de higiene. Limpar tapetes, carpetes, móveis estofados e cortinas utilizando aspiradores de pó e lavadoras de carpetes. Classificação da função: 37-2011.00 - Zeladores e Faxineiros, exceto empregadas domésticas e faxineiras. A classificação e descrição da função/setor inclui informações gerais sobre o cargo, de acordo com o ONET/OES e o Sistema de Classificação Industrial da América do Norte. Consulte as Funções e a Ordem de Serviço para obter mais informações. Requisitos da vaga Experiência necessária: Não Requisitos especiais: CAPACIDADE DE LEVANTAR E CARREGAR 23 KG, JORNADA DE TRABALHO DE 8 HORAS, DISPONIBILIDADE PARA HORAS EXTRAS E TRABALHO AOS FINS DE SEMANA. 40 horas/semana. Domingo, segunda e de quinta a sábado, das 8h às 16h30. Número de horas por semana: 40 Horário de trabalho (início/término): 8h às 16h30.</v>
      </c>
    </row>
    <row r="920" ht="20.25" customHeight="1">
      <c r="A920" s="3" t="s">
        <v>4336</v>
      </c>
      <c r="B920" s="3" t="s">
        <v>4337</v>
      </c>
      <c r="C920" s="3" t="s">
        <v>3974</v>
      </c>
      <c r="D920" s="3" t="s">
        <v>28</v>
      </c>
      <c r="E920" s="4" t="s">
        <v>19</v>
      </c>
      <c r="F920" s="4" t="s">
        <v>20</v>
      </c>
      <c r="G920" s="4" t="s">
        <v>377</v>
      </c>
      <c r="H920" s="3" t="s">
        <v>4338</v>
      </c>
      <c r="I920" s="3" t="s">
        <v>4002</v>
      </c>
      <c r="J920" s="4">
        <v>25.79</v>
      </c>
      <c r="K920" s="4">
        <v>30.0</v>
      </c>
      <c r="L920" s="3" t="s">
        <v>3490</v>
      </c>
      <c r="M920" s="3" t="s">
        <v>4003</v>
      </c>
      <c r="N920" s="7" t="str">
        <f>IFERROR(__xludf.DUMMYFUNCTION("GOOGLETRANSLATE(L920, ""en"", ""pt"")"),"Marinheiro de convés, barco de pesca de ostras")</f>
        <v>Marinheiro de convés, barco de pesca de ostras</v>
      </c>
      <c r="O920" s="7" t="str">
        <f>IFERROR(__xludf.DUMMYFUNCTION("IF(M920="""","""",GOOGLETRANSLATE(M920,""en"",""pt""))"),"Utilizar redes, armadilhas, dragas ou outros equipamentos para colher e coletar ostras do fundo do mar, içá-las para os barcos, ensacá-las e empilhá-las. Descarregar os sacos do barco para o cais. Limpar o barco. Classificação da função: 45-3031.00 - Trab"&amp;"alhadores da Pesca e Caça. A classificação e descrição da função/setor inclui informações gerais sobre o cargo, de acordo com o ONET/OES e o Sistema de Classificação Industrial da América do Norte. Consulte as Funções e a Ordem de Serviço para obter mais "&amp;"informações. Requisitos da função: Experiência necessária: Não. Número de horas por semana: 40. Horário de trabalho (início/término): 6h às 14h.")</f>
        <v>Utilizar redes, armadilhas, dragas ou outros equipamentos para colher e coletar ostras do fundo do mar, içá-las para os barcos, ensacá-las e empilhá-las. Descarregar os sacos do barco para o cais. Limpar o barco. Classificação da função: 45-3031.00 - Trabalhadores da Pesca e Caça. A classificação e descrição da função/setor inclui informações gerais sobre o cargo, de acordo com o ONET/OES e o Sistema de Classificação Industrial da América do Norte. Consulte as Funções e a Ordem de Serviço para obter mais informações. Requisitos da função: Experiência necessária: Não. Número de horas por semana: 40. Horário de trabalho (início/término): 6h às 14h.</v>
      </c>
    </row>
    <row r="921" ht="20.25" customHeight="1">
      <c r="A921" s="8" t="s">
        <v>4339</v>
      </c>
      <c r="B921" s="8" t="s">
        <v>4340</v>
      </c>
      <c r="C921" s="8" t="s">
        <v>4272</v>
      </c>
      <c r="D921" s="8" t="s">
        <v>596</v>
      </c>
      <c r="E921" s="9" t="s">
        <v>19</v>
      </c>
      <c r="F921" s="9" t="s">
        <v>20</v>
      </c>
      <c r="G921" s="9" t="s">
        <v>345</v>
      </c>
      <c r="H921" s="8" t="s">
        <v>4341</v>
      </c>
      <c r="I921" s="8" t="s">
        <v>4342</v>
      </c>
      <c r="J921" s="9">
        <v>20.56</v>
      </c>
      <c r="K921" s="9">
        <v>21.0</v>
      </c>
      <c r="L921" s="8" t="s">
        <v>4343</v>
      </c>
      <c r="M921" s="8" t="s">
        <v>4344</v>
      </c>
      <c r="N921" s="7" t="str">
        <f>IFERROR(__xludf.DUMMYFUNCTION("GOOGLETRANSLATE(L921, ""en"", ""pt"")"),"Padeiro de Matzá")</f>
        <v>Padeiro de Matzá</v>
      </c>
      <c r="O921" s="7" t="str">
        <f>IFERROR(__xludf.DUMMYFUNCTION("IF(M921="""","""",GOOGLETRANSLATE(M921,""en"",""pt""))"),"Funções: Misturar e assar ingredientes para produzir matzá de acordo com as leis dietéticas kosher para a Páscoa. Classificação do Cargo: 51-3011.00 - Padeiros. A classificação e descrição do cargo/setor inclui informações gerais sobre a posição, conforme"&amp;" o ONET/OES e o Sistema de Classificação Industrial da América do Norte. Consulte as Funções e a Ordem de Serviço para obter mais informações. Requisitos do Cargo: Experiência Necessária: Sim. Meses de Experiência Necessários: 3. Requisitos Especiais: N/A"&amp;". F.a.9. (continuação): Deve ter conhecimento das leis dietéticas kosher para a Páscoa: Deve ter 3 meses de experiência como padeiro de matzá OU deve ter certificação rabínica para leis dietéticas kosher referentes ao preparo de matzá. F.a.5 A-H. (continu"&amp;"ação): Jornada de trabalho de 7 horas. Das 8h15 às 17h15, de domingo a quinta-feira. Possibilidade de horas extras. Número de Horas por Semana: 35. Horário de Trabalho (Início/Término): 8h15. - 17h15")</f>
        <v>Funções: Misturar e assar ingredientes para produzir matzá de acordo com as leis dietéticas kosher para a Páscoa. Classificação do Cargo: 51-3011.00 - Padeiros. A classificação e descrição do cargo/setor inclui informações gerais sobre a posição, conforme o ONET/OES e o Sistema de Classificação Industrial da América do Norte. Consulte as Funções e a Ordem de Serviço para obter mais informações. Requisitos do Cargo: Experiência Necessária: Sim. Meses de Experiência Necessários: 3. Requisitos Especiais: N/A. F.a.9. (continuação): Deve ter conhecimento das leis dietéticas kosher para a Páscoa: Deve ter 3 meses de experiência como padeiro de matzá OU deve ter certificação rabínica para leis dietéticas kosher referentes ao preparo de matzá. F.a.5 A-H. (continuação): Jornada de trabalho de 7 horas. Das 8h15 às 17h15, de domingo a quinta-feira. Possibilidade de horas extras. Número de Horas por Semana: 35. Horário de Trabalho (Início/Término): 8h15. - 17h15</v>
      </c>
    </row>
    <row r="922" ht="20.25" customHeight="1">
      <c r="A922" s="3" t="s">
        <v>4345</v>
      </c>
      <c r="B922" s="3" t="s">
        <v>4346</v>
      </c>
      <c r="C922" s="3" t="s">
        <v>4272</v>
      </c>
      <c r="D922" s="3" t="s">
        <v>992</v>
      </c>
      <c r="E922" s="4" t="s">
        <v>44</v>
      </c>
      <c r="F922" s="4" t="s">
        <v>20</v>
      </c>
      <c r="G922" s="4" t="s">
        <v>4347</v>
      </c>
      <c r="H922" s="3" t="s">
        <v>4348</v>
      </c>
      <c r="I922" s="3" t="s">
        <v>4349</v>
      </c>
      <c r="J922" s="4">
        <v>20.56</v>
      </c>
      <c r="K922" s="4">
        <v>7.0</v>
      </c>
      <c r="L922" s="3" t="s">
        <v>387</v>
      </c>
      <c r="M922" s="3" t="s">
        <v>4350</v>
      </c>
      <c r="N922" s="7" t="str">
        <f>IFERROR(__xludf.DUMMYFUNCTION("GOOGLETRANSLATE(L922, ""en"", ""pt"")"),"Ordem de serviço não disponível")</f>
        <v>Ordem de serviço não disponível</v>
      </c>
      <c r="O922" s="7" t="str">
        <f>IFERROR(__xludf.DUMMYFUNCTION("IF(M922="""","""",GOOGLETRANSLATE(M922,""en"",""pt""))"),"Trabalhar em todos os aspectos da produção de Matzá. Misturar a massa, estendê-la e assá-la de acordo com as leis dietéticas kosher para a Páscoa. Classificação do Cargo: 51-3011.00 - Padeiros. A classificação e descrição do cargo/setor inclui informações"&amp;" gerais sobre a posição, de acordo com o ONET/OES e o Sistema de Classificação Industrial da América do Norte. Consulte as Funções e a Ordem de Serviço para obter mais informações. Requisitos do Cargo: Experiência Necessária: Sim. Meses de Experiência Nec"&amp;"essários: 6. Requisitos Especiais: Deve ter conhecimento das leis dietéticas kosher para a Páscoa. F.a.5 A-H: Jornada de trabalho de 8 horas. Domingo a quinta-feira, das 9h às 18h. Possibilidade de horas extras. Trabalho aos domingos obrigatório. Número d"&amp;"e Horas por Semana: 40. Horário de Trabalho (Início/Término): 9h às 18h.")</f>
        <v>Trabalhar em todos os aspectos da produção de Matzá. Misturar a massa, estendê-la e assá-la de acordo com as leis dietéticas kosher para a Páscoa. Classificação do Cargo: 51-3011.00 - Padeiros. A classificação e descrição do cargo/setor inclui informações gerais sobre a posição, de acordo com o ONET/OES e o Sistema de Classificação Industrial da América do Norte. Consulte as Funções e a Ordem de Serviço para obter mais informações. Requisitos do Cargo: Experiência Necessária: Sim. Meses de Experiência Necessários: 6. Requisitos Especiais: Deve ter conhecimento das leis dietéticas kosher para a Páscoa. F.a.5 A-H: Jornada de trabalho de 8 horas. Domingo a quinta-feira, das 9h às 18h. Possibilidade de horas extras. Trabalho aos domingos obrigatório. Número de Horas por Semana: 40. Horário de Trabalho (Início/Término): 9h às 18h.</v>
      </c>
    </row>
    <row r="923" ht="20.25" customHeight="1">
      <c r="A923" s="8" t="s">
        <v>4351</v>
      </c>
      <c r="B923" s="8" t="s">
        <v>4352</v>
      </c>
      <c r="C923" s="8" t="s">
        <v>4272</v>
      </c>
      <c r="D923" s="8" t="s">
        <v>992</v>
      </c>
      <c r="E923" s="9" t="s">
        <v>19</v>
      </c>
      <c r="F923" s="9" t="s">
        <v>20</v>
      </c>
      <c r="G923" s="9" t="s">
        <v>212</v>
      </c>
      <c r="H923" s="8" t="s">
        <v>4353</v>
      </c>
      <c r="I923" s="8" t="s">
        <v>4354</v>
      </c>
      <c r="J923" s="9">
        <v>19.01</v>
      </c>
      <c r="K923" s="9">
        <v>2.0</v>
      </c>
      <c r="L923" s="8" t="s">
        <v>4355</v>
      </c>
      <c r="M923" s="8" t="s">
        <v>4356</v>
      </c>
      <c r="N923" s="7" t="str">
        <f>IFERROR(__xludf.DUMMYFUNCTION("GOOGLETRANSLATE(L923, ""en"", ""pt"")"),"Cozinheiro de restaurante")</f>
        <v>Cozinheiro de restaurante</v>
      </c>
      <c r="O923" s="7" t="str">
        <f>IFERROR(__xludf.DUMMYFUNCTION("IF(M923="""","""",GOOGLETRANSLATE(M923,""en"",""pt""))"),"Preparar macarrão artesanal para um autêntico restaurante chinês, utilizando a técnica tradicional de Lanzhou. Preparar e fazer pães, guiozas e bolinhos de massa à mão. Classificação da vaga: 35-2014.00 - Cozinheiros, Restaurante. A classificação e descri"&amp;"ção da vaga/setor inclui informações gerais sobre a posição, de acordo com o ONET/OES e o Sistema de Classificação Industrial da América do Norte. Consulte as Funções e a Ordem de Serviço para obter mais informações. Requisitos da vaga: Experiência necess"&amp;"ária: Sim. Meses de experiência necessários: 6. Requisitos especiais: Nenhum. F.a.5 A-H. (continuação): Jornada de trabalho de 7 horas. De terça a domingo, das 12h às 14h e das 17h às 21h. Possibilidade de horas extras. Número de horas por semana: 40. Hor"&amp;"ário de trabalho (início/término): 12h às 14h.")</f>
        <v>Preparar macarrão artesanal para um autêntico restaurante chinês, utilizando a técnica tradicional de Lanzhou. Preparar e fazer pães, guiozas e bolinhos de massa à mão. Classificação da vaga: 35-2014.00 - Cozinheiros, Restaurante. A classificação e descrição da vaga/setor inclui informações gerais sobre a posição, de acordo com o ONET/OES e o Sistema de Classificação Industrial da América do Norte. Consulte as Funções e a Ordem de Serviço para obter mais informações. Requisitos da vaga: Experiência necessária: Sim. Meses de experiência necessários: 6. Requisitos especiais: Nenhum. F.a.5 A-H. (continuação): Jornada de trabalho de 7 horas. De terça a domingo, das 12h às 14h e das 17h às 21h. Possibilidade de horas extras. Número de horas por semana: 40. Horário de trabalho (início/término): 12h às 14h.</v>
      </c>
    </row>
    <row r="924" ht="20.25" customHeight="1">
      <c r="A924" s="3" t="s">
        <v>4357</v>
      </c>
      <c r="B924" s="3" t="s">
        <v>4358</v>
      </c>
      <c r="C924" s="3" t="s">
        <v>4272</v>
      </c>
      <c r="D924" s="3" t="s">
        <v>992</v>
      </c>
      <c r="E924" s="4" t="s">
        <v>19</v>
      </c>
      <c r="F924" s="4" t="s">
        <v>20</v>
      </c>
      <c r="G924" s="4" t="s">
        <v>896</v>
      </c>
      <c r="H924" s="3" t="s">
        <v>4359</v>
      </c>
      <c r="I924" s="3" t="s">
        <v>4360</v>
      </c>
      <c r="J924" s="4">
        <v>21.91</v>
      </c>
      <c r="K924" s="4">
        <v>2.0</v>
      </c>
      <c r="L924" s="3" t="s">
        <v>59</v>
      </c>
      <c r="M924" s="3" t="s">
        <v>4361</v>
      </c>
      <c r="N924" s="7" t="str">
        <f>IFERROR(__xludf.DUMMYFUNCTION("GOOGLETRANSLATE(L924, ""en"", ""pt"")"),"Trabalhador de paisagismo")</f>
        <v>Trabalhador de paisagismo</v>
      </c>
      <c r="O924" s="7" t="str">
        <f>IFERROR(__xludf.DUMMYFUNCTION("IF(M924="""","""",GOOGLETRANSLATE(M924,""en"",""pt""))"),"Carregar, descarregar, operar e utilizar ferramentas, equipamentos e materiais. Executar tarefas de manutenção de propriedades, incluindo cortar grama com cortadores de grama motorizados, mover e instalar plantas e canteiros com pás e ancinhos, soprar com"&amp;" sopradores de folhas, rastelar com ancinhos, capinar manualmente e com roçadeiras, podar com tesouras de poda manuais e mecânicas, cavar com pás, levantar e mover plantas e materiais com pás e carrinhos de mão, realizar trabalhos de paisagismo utilizando"&amp;" picaretas e pás para criar muros de contenção, pátios, leitos de rios secos, nivelar terrenos com pás e máquinas de terraplanagem e aplicar cobertura morta utilizando pás e carrinhos de mão. Classificação da função: 37-3011.00 - Trabalhadores de Paisagis"&amp;"mo e Jardinagem. A classificação e descrição da função/setor inclui informações gerais sobre o cargo, conforme o ONET/OES e o Sistema de Classificação Industrial da América do Norte. Consulte as Funções e a Ordem de Serviço para obter mais informações. Re"&amp;"quisitos da vaga Experiência necessária: Sim Meses de experiência necessários: 3 Requisitos especiais: Teste antidrogas pós-admissional, caso haja suspeita razoável de uso de drogas por parte do empregador. Número de horas por semana: 35 Horário de trabal"&amp;"ho (início/término): 7h30 às 16h30")</f>
        <v>Carregar, descarregar, operar e utilizar ferramentas, equipamentos e materiais. Executar tarefas de manutenção de propriedades, incluindo cortar grama com cortadores de grama motorizados, mover e instalar plantas e canteiros com pás e ancinhos, soprar com sopradores de folhas, rastelar com ancinhos, capinar manualmente e com roçadeiras, podar com tesouras de poda manuais e mecânicas, cavar com pás, levantar e mover plantas e materiais com pás e carrinhos de mão, realizar trabalhos de paisagismo utilizando picaretas e pás para criar muros de contenção, pátios, leitos de rios secos, nivelar terrenos com pás e máquinas de terraplanagem e aplicar cobertura morta utilizando pás e carrinhos de mão. Classificação da função: 37-3011.00 - Trabalhadores de Paisagismo e Jardinagem. A classificação e descrição da função/setor inclui informações gerais sobre o cargo, conforme o ONET/OES e o Sistema de Classificação Industrial da América do Norte. Consulte as Funções e a Ordem de Serviço para obter mais informações. Requisitos da vaga Experiência necessária: Sim Meses de experiência necessários: 3 Requisitos especiais: Teste antidrogas pós-admissional, caso haja suspeita razoável de uso de drogas por parte do empregador. Número de horas por semana: 35 Horário de trabalho (início/término): 7h30 às 16h30</v>
      </c>
    </row>
    <row r="925" ht="20.25" customHeight="1">
      <c r="A925" s="8" t="s">
        <v>4362</v>
      </c>
      <c r="B925" s="8" t="s">
        <v>4363</v>
      </c>
      <c r="C925" s="8" t="s">
        <v>4364</v>
      </c>
      <c r="D925" s="8" t="s">
        <v>596</v>
      </c>
      <c r="E925" s="9" t="s">
        <v>19</v>
      </c>
      <c r="F925" s="9" t="s">
        <v>20</v>
      </c>
      <c r="G925" s="9" t="s">
        <v>4040</v>
      </c>
      <c r="H925" s="8" t="s">
        <v>4365</v>
      </c>
      <c r="I925" s="8" t="s">
        <v>4366</v>
      </c>
      <c r="J925" s="9">
        <v>40.75</v>
      </c>
      <c r="K925" s="9">
        <v>1.0</v>
      </c>
      <c r="L925" s="8" t="s">
        <v>4367</v>
      </c>
      <c r="M925" s="8" t="s">
        <v>4368</v>
      </c>
      <c r="N925" s="7" t="str">
        <f>IFERROR(__xludf.DUMMYFUNCTION("GOOGLETRANSLATE(L925, ""en"", ""pt"")"),"Gerente da casa/Assistente da família")</f>
        <v>Gerente da casa/Assistente da família</v>
      </c>
      <c r="O925" s="7" t="str">
        <f>IFERROR(__xludf.DUMMYFUNCTION("IF(M925="""","""",GOOGLETRANSLATE(M925,""en"",""pt""))"),"A gestão da casa inclui todas as responsabilidades e a manutenção da residência e do terreno durante um extenso projeto de reforma. As funções incluem gerenciar fornecedores (encanadores, eletricistas, etc.); manter registros de despesas, abrindo e revisa"&amp;"ndo faturas e inserindo valores e datas de vencimento em uma planilha do Excel; monitorar alarmes residenciais; gerenciar entregas; providenciar transporte terrestre por Lyft, Uber ou táxi para os membros da família; manter o inventário da casa: atualizar"&amp;" a planilha do Excel específica do projeto para controlar os suprimentos domésticos comuns e específicos do projeto, incluindo, entre outros, fixadores, lâmpadas, produtos de limpeza, materiais de proteção para paredes e pisos; auxiliar com as agendas pes"&amp;"soais da família e outras tarefas de concierge. Classificação da vaga: 11-9179.00 - Gerentes de Serviços Pessoais, Outros. A classificação e a descrição da vaga/setor incluem informações gerais sobre o cargo, de acordo com o ONET/OES e o Sistema de Classi"&amp;"ficação Industrial da América do Norte. Consulte as Funções e a Ordem de Serviço para obter mais informações. Requisitos da vaga: Experiência necessária: Sim. Meses de experiência necessários: 12. Requisitos especiais: O ano de experiência acima mencionad"&amp;"o deve ser como Gerente de Casa. Número de horas por semana: 60 Horário de trabalho (início/término): 7h30 - 19h30")</f>
        <v>A gestão da casa inclui todas as responsabilidades e a manutenção da residência e do terreno durante um extenso projeto de reforma. As funções incluem gerenciar fornecedores (encanadores, eletricistas, etc.); manter registros de despesas, abrindo e revisando faturas e inserindo valores e datas de vencimento em uma planilha do Excel; monitorar alarmes residenciais; gerenciar entregas; providenciar transporte terrestre por Lyft, Uber ou táxi para os membros da família; manter o inventário da casa: atualizar a planilha do Excel específica do projeto para controlar os suprimentos domésticos comuns e específicos do projeto, incluindo, entre outros, fixadores, lâmpadas, produtos de limpeza, materiais de proteção para paredes e pisos; auxiliar com as agendas pessoais da família e outras tarefas de concierge. Classificação da vaga: 11-9179.00 - Gerentes de Serviços Pessoais, Outros. A classificação e a descrição da vaga/setor incluem informações gerais sobre o cargo, de acordo com o ONET/OES e o Sistema de Classificação Industrial da América do Norte. Consulte as Funções e a Ordem de Serviço para obter mais informações. Requisitos da vaga: Experiência necessária: Sim. Meses de experiência necessários: 12. Requisitos especiais: O ano de experiência acima mencionado deve ser como Gerente de Casa. Número de horas por semana: 60 Horário de trabalho (início/término): 7h30 - 19h30</v>
      </c>
    </row>
    <row r="926" ht="20.25" customHeight="1">
      <c r="A926" s="3" t="s">
        <v>4369</v>
      </c>
      <c r="B926" s="3" t="s">
        <v>4370</v>
      </c>
      <c r="C926" s="3" t="s">
        <v>4272</v>
      </c>
      <c r="D926" s="3" t="s">
        <v>102</v>
      </c>
      <c r="E926" s="4" t="s">
        <v>19</v>
      </c>
      <c r="F926" s="4" t="s">
        <v>20</v>
      </c>
      <c r="G926" s="4" t="s">
        <v>4371</v>
      </c>
      <c r="H926" s="3" t="s">
        <v>4372</v>
      </c>
      <c r="I926" s="3" t="s">
        <v>4373</v>
      </c>
      <c r="J926" s="4">
        <v>20.59</v>
      </c>
      <c r="K926" s="4">
        <v>14.0</v>
      </c>
      <c r="L926" s="3" t="s">
        <v>1083</v>
      </c>
      <c r="M926" s="3" t="s">
        <v>4374</v>
      </c>
      <c r="N926" s="7" t="str">
        <f>IFERROR(__xludf.DUMMYFUNCTION("GOOGLETRANSLATE(L926, ""en"", ""pt"")"),"Enfardadeira de palha de pinheiro")</f>
        <v>Enfardadeira de palha de pinheiro</v>
      </c>
      <c r="O926" s="7" t="str">
        <f>IFERROR(__xludf.DUMMYFUNCTION("IF(M926="""","""",GOOGLETRANSLATE(M926,""en"",""pt""))"),"Limpar o campo de palha de pinheiro (recolher galhos, pinhas, arrancar, cavar e pulverizar herbicidas). Juntar a palha de pinheiro com um ancinho de cevada em montes para enfardamento. Carregar e descarregar manualmente a palha de pinheiro em semirreboque"&amp;"s ou caminhões plataforma. Preparar a área para a instalação da palha de pinheiro e instalá-la. Classificação da função: 45-4011.00 - Trabalhadores Florestais e de Conservação. A classificação e descrição da função/setor inclui informações gerais sobre o "&amp;"cargo, de acordo com o ONET/OES e o Sistema de Classificação Industrial da América do Norte. Consulte as Funções e a Ordem de Serviço para obter mais informações. Requisitos da função: Experiência necessária: Sim. Meses de experiência necessários: 3. Requ"&amp;"isitos especiais: Deve ser capaz de trabalhar em climas quentes. Testes antidrogas pós-emprego podem ser realizados com base na suspeita razoável do empregador sobre o uso de drogas por parte do funcionário. F.a.5 A-H. (Continuação): 8 horas por dia. De s"&amp;"egunda a sexta-feira, das 7h às 16h, incluindo 1 hora de almoço. Pode haver disponibilidade de 8 a 10 horas extras. Número de horas por semana: 40 Horário de trabalho (início/término): 7h00 - 16h00")</f>
        <v>Limpar o campo de palha de pinheiro (recolher galhos, pinhas, arrancar, cavar e pulverizar herbicidas). Juntar a palha de pinheiro com um ancinho de cevada em montes para enfardamento. Carregar e descarregar manualmente a palha de pinheiro em semirreboques ou caminhões plataforma. Preparar a área para a instalação da palha de pinheiro e instalá-la. Classificação da função: 45-4011.00 - Trabalhadores Florestais e de Conservação. A classificação e descrição da função/setor inclui informações gerais sobre o cargo, de acordo com o ONET/OES e o Sistema de Classificação Industrial da América do Norte. Consulte as Funções e a Ordem de Serviço para obter mais informações. Requisitos da função: Experiência necessária: Sim. Meses de experiência necessários: 3. Requisitos especiais: Deve ser capaz de trabalhar em climas quentes. Testes antidrogas pós-emprego podem ser realizados com base na suspeita razoável do empregador sobre o uso de drogas por parte do funcionário. F.a.5 A-H. (Continuação): 8 horas por dia. De segunda a sexta-feira, das 7h às 16h, incluindo 1 hora de almoço. Pode haver disponibilidade de 8 a 10 horas extras. Número de horas por semana: 40 Horário de trabalho (início/término): 7h00 - 16h00</v>
      </c>
    </row>
    <row r="927" ht="20.25" customHeight="1">
      <c r="A927" s="8" t="s">
        <v>4375</v>
      </c>
      <c r="B927" s="8" t="s">
        <v>4370</v>
      </c>
      <c r="C927" s="8" t="s">
        <v>4272</v>
      </c>
      <c r="D927" s="8" t="s">
        <v>102</v>
      </c>
      <c r="E927" s="9" t="s">
        <v>19</v>
      </c>
      <c r="F927" s="9" t="s">
        <v>20</v>
      </c>
      <c r="G927" s="9" t="s">
        <v>4371</v>
      </c>
      <c r="H927" s="8" t="s">
        <v>4372</v>
      </c>
      <c r="I927" s="8" t="s">
        <v>4373</v>
      </c>
      <c r="J927" s="9">
        <v>20.59</v>
      </c>
      <c r="K927" s="9">
        <v>25.0</v>
      </c>
      <c r="L927" s="8" t="s">
        <v>1083</v>
      </c>
      <c r="M927" s="8" t="s">
        <v>4376</v>
      </c>
      <c r="N927" s="7" t="str">
        <f>IFERROR(__xludf.DUMMYFUNCTION("GOOGLETRANSLATE(L927, ""en"", ""pt"")"),"Enfardadeira de palha de pinheiro")</f>
        <v>Enfardadeira de palha de pinheiro</v>
      </c>
      <c r="O927" s="7" t="str">
        <f>IFERROR(__xludf.DUMMYFUNCTION("IF(M927="""","""",GOOGLETRANSLATE(M927,""en"",""pt""))"),"Limpar o campo de palha de pinheiro (recolher galhos, pinhas, arrancar, cavar e pulverizar herbicidas). Juntar a palha de pinheiro com um ancinho de cevada em montes para enfardamento. Carregar e descarregar manualmente a palha de pinheiro em semirreboque"&amp;"s ou caminhões plataforma. Preparar a área para a instalação da palha de pinheiro e instalá-la. Classificação da função: 45-4011.00 - Trabalhadores Florestais e de Conservação. A classificação e descrição da função/setor inclui informações gerais sobre o "&amp;"cargo, de acordo com o ONET/OES e o Sistema de Classificação Industrial da América do Norte. Consulte as Funções e a Ordem de Serviço para obter mais informações. Requisitos da função: Experiência necessária: Sim. Meses de experiência necessários: 3. Requ"&amp;"isitos especiais: Deve ser capaz de trabalhar em climas quentes. Testes antidrogas pós-emprego podem ser realizados com base na suspeita razoável do empregador sobre o uso de drogas por parte do funcionário. F.a.5 A-H. (continuação): 40 horas por semana. "&amp;"8 horas por dia. De segunda a sexta-feira: das 7h às 16h, incluindo 1 hora de almoço. Poderá haver disponibilidade para fazer de 8 a 10 horas extras. Número de horas por semana: 40. Horário de trabalho (início/término): 7h às 16h.")</f>
        <v>Limpar o campo de palha de pinheiro (recolher galhos, pinhas, arrancar, cavar e pulverizar herbicidas). Juntar a palha de pinheiro com um ancinho de cevada em montes para enfardamento. Carregar e descarregar manualmente a palha de pinheiro em semirreboques ou caminhões plataforma. Preparar a área para a instalação da palha de pinheiro e instalá-la. Classificação da função: 45-4011.00 - Trabalhadores Florestais e de Conservação. A classificação e descrição da função/setor inclui informações gerais sobre o cargo, de acordo com o ONET/OES e o Sistema de Classificação Industrial da América do Norte. Consulte as Funções e a Ordem de Serviço para obter mais informações. Requisitos da função: Experiência necessária: Sim. Meses de experiência necessários: 3. Requisitos especiais: Deve ser capaz de trabalhar em climas quentes. Testes antidrogas pós-emprego podem ser realizados com base na suspeita razoável do empregador sobre o uso de drogas por parte do funcionário. F.a.5 A-H. (continuação): 40 horas por semana. 8 horas por dia. De segunda a sexta-feira: das 7h às 16h, incluindo 1 hora de almoço. Poderá haver disponibilidade para fazer de 8 a 10 horas extras. Número de horas por semana: 40. Horário de trabalho (início/término): 7h às 16h.</v>
      </c>
    </row>
    <row r="928" ht="20.25" customHeight="1">
      <c r="A928" s="3" t="s">
        <v>4377</v>
      </c>
      <c r="B928" s="3" t="s">
        <v>4370</v>
      </c>
      <c r="C928" s="3" t="s">
        <v>4272</v>
      </c>
      <c r="D928" s="3" t="s">
        <v>71</v>
      </c>
      <c r="E928" s="4" t="s">
        <v>19</v>
      </c>
      <c r="F928" s="4" t="s">
        <v>20</v>
      </c>
      <c r="G928" s="4" t="s">
        <v>4371</v>
      </c>
      <c r="H928" s="3" t="s">
        <v>4372</v>
      </c>
      <c r="I928" s="3" t="s">
        <v>4373</v>
      </c>
      <c r="J928" s="4">
        <v>19.13</v>
      </c>
      <c r="K928" s="4">
        <v>24.0</v>
      </c>
      <c r="L928" s="3" t="s">
        <v>1083</v>
      </c>
      <c r="M928" s="3" t="s">
        <v>4378</v>
      </c>
      <c r="N928" s="7" t="str">
        <f>IFERROR(__xludf.DUMMYFUNCTION("GOOGLETRANSLATE(L928, ""en"", ""pt"")"),"Enfardadeira de palha de pinheiro")</f>
        <v>Enfardadeira de palha de pinheiro</v>
      </c>
      <c r="O928" s="7" t="str">
        <f>IFERROR(__xludf.DUMMYFUNCTION("IF(M928="""","""",GOOGLETRANSLATE(M928,""en"",""pt""))"),"Limpar o campo de palha de pinheiro (recolher galhos, pinhas, arrancar, cavar e pulverizar herbicidas). Juntar a palha de pinheiro com um ancinho de cevada em montes para enfardamento. Carregar e descarregar manualmente a palha de pinheiro em semirreboque"&amp;"s ou caminhões plataforma. Preparar a área para a instalação da palha de pinheiro e instalá-la. Classificação da função: 45-4011.00 - Trabalhadores Florestais e de Conservação. A classificação e descrição da função/setor inclui informações gerais sobre o "&amp;"cargo, de acordo com o ONET/OES e o Sistema de Classificação Industrial da América do Norte. Consulte as Funções e a Ordem de Serviço para obter mais informações. Requisitos da função: Experiência necessária: Sim. Meses de experiência necessários: 3. Requ"&amp;"isitos especiais: Deve ser capaz de trabalhar em climas quentes. Testes antidrogas pós-emprego podem ser realizados com base na suspeita razoável do empregador sobre o uso de drogas por parte do funcionário. F.a.5 A-H. (continuação): 8 horas por dia. De s"&amp;"egunda a sexta-feira, das 7h às 16h, incluindo 1 hora de almoço. Pode haver disponibilidade de 8 a 10 horas extras. Número de horas por semana: 40 Horário de trabalho (início/término): 7h00 - 16h00")</f>
        <v>Limpar o campo de palha de pinheiro (recolher galhos, pinhas, arrancar, cavar e pulverizar herbicidas). Juntar a palha de pinheiro com um ancinho de cevada em montes para enfardamento. Carregar e descarregar manualmente a palha de pinheiro em semirreboques ou caminhões plataforma. Preparar a área para a instalação da palha de pinheiro e instalá-la. Classificação da função: 45-4011.00 - Trabalhadores Florestais e de Conservação. A classificação e descrição da função/setor inclui informações gerais sobre o cargo, de acordo com o ONET/OES e o Sistema de Classificação Industrial da América do Norte. Consulte as Funções e a Ordem de Serviço para obter mais informações. Requisitos da função: Experiência necessária: Sim. Meses de experiência necessários: 3. Requisitos especiais: Deve ser capaz de trabalhar em climas quentes. Testes antidrogas pós-emprego podem ser realizados com base na suspeita razoável do empregador sobre o uso de drogas por parte do funcionário. F.a.5 A-H. (continuação): 8 horas por dia. De segunda a sexta-feira, das 7h às 16h, incluindo 1 hora de almoço. Pode haver disponibilidade de 8 a 10 horas extras. Número de horas por semana: 40 Horário de trabalho (início/término): 7h00 - 16h00</v>
      </c>
    </row>
    <row r="929" ht="20.25" customHeight="1">
      <c r="A929" s="8" t="s">
        <v>4379</v>
      </c>
      <c r="B929" s="8" t="s">
        <v>4159</v>
      </c>
      <c r="C929" s="8" t="s">
        <v>4011</v>
      </c>
      <c r="D929" s="8" t="s">
        <v>970</v>
      </c>
      <c r="E929" s="9" t="s">
        <v>19</v>
      </c>
      <c r="F929" s="9" t="s">
        <v>20</v>
      </c>
      <c r="G929" s="9" t="s">
        <v>146</v>
      </c>
      <c r="H929" s="8" t="s">
        <v>4160</v>
      </c>
      <c r="I929" s="8" t="s">
        <v>4161</v>
      </c>
      <c r="J929" s="9">
        <v>23.55</v>
      </c>
      <c r="K929" s="9">
        <v>4.0</v>
      </c>
      <c r="L929" s="8" t="s">
        <v>2213</v>
      </c>
      <c r="M929" s="8" t="s">
        <v>4380</v>
      </c>
      <c r="N929" s="7" t="str">
        <f>IFERROR(__xludf.DUMMYFUNCTION("GOOGLETRANSLATE(L929, ""en"", ""pt"")"),"Operador de caminhão e trator industrial")</f>
        <v>Operador de caminhão e trator industrial</v>
      </c>
      <c r="O929" s="7" t="str">
        <f>IFERROR(__xludf.DUMMYFUNCTION("IF(M929="""","""",GOOGLETRANSLATE(M929,""en"",""pt""))"),"Operar empilhadeiras ou tratores industriais equipados para movimentar materiais em armazéns, pátios de estocagem, fábricas, canteiros de obras ou locais similares. Classificação da função: 53-7051.00 - Operadores de Empilhadeiras e Tratores Industriais. "&amp;"A classificação e descrição da função/setor incluem informações gerais sobre o cargo, de acordo com o ONET/OES e o Sistema de Classificação Industrial da América do Norte (NAICS). Consulte as Funções e a Ordem de Serviço para obter mais informações. Requi"&amp;"sitos da função: Experiência necessária: Não. Requisitos especiais: CAPACIDADE DE LEVANTAR E CARREGAR 23 KG. DISPONIBILIDADE PARA HORAS EXTRAS E TRABALHO AOS FINS DE SEMANA. JORNADA DE TRABALHO DE 8 HORAS. O horário pode variar, mas os funcionários trabal"&amp;"harão em um turno de 8 horas de segunda a sexta-feira, das 7h às 18h. Número de horas por semana: 40. Horário de trabalho (início/término): 7h às 18h.")</f>
        <v>Operar empilhadeiras ou tratores industriais equipados para movimentar materiais em armazéns, pátios de estocagem, fábricas, canteiros de obras ou locais similares. Classificação da função: 53-7051.00 - Operadores de Empilhadeiras e Tratores Industriais. A classificação e descrição da função/setor incluem informações gerais sobre o cargo, de acordo com o ONET/OES e o Sistema de Classificação Industrial da América do Norte (NAICS). Consulte as Funções e a Ordem de Serviço para obter mais informações. Requisitos da função: Experiência necessária: Não. Requisitos especiais: CAPACIDADE DE LEVANTAR E CARREGAR 23 KG. DISPONIBILIDADE PARA HORAS EXTRAS E TRABALHO AOS FINS DE SEMANA. JORNADA DE TRABALHO DE 8 HORAS. O horário pode variar, mas os funcionários trabalharão em um turno de 8 horas de segunda a sexta-feira, das 7h às 18h. Número de horas por semana: 40. Horário de trabalho (início/término): 7h às 18h.</v>
      </c>
    </row>
    <row r="930" ht="20.25" customHeight="1">
      <c r="A930" s="3" t="s">
        <v>4381</v>
      </c>
      <c r="B930" s="3" t="s">
        <v>4159</v>
      </c>
      <c r="C930" s="3" t="s">
        <v>4011</v>
      </c>
      <c r="D930" s="3" t="s">
        <v>970</v>
      </c>
      <c r="E930" s="4" t="s">
        <v>19</v>
      </c>
      <c r="F930" s="4" t="s">
        <v>20</v>
      </c>
      <c r="G930" s="4" t="s">
        <v>146</v>
      </c>
      <c r="H930" s="3" t="s">
        <v>4382</v>
      </c>
      <c r="I930" s="3" t="s">
        <v>4161</v>
      </c>
      <c r="J930" s="4">
        <v>23.3</v>
      </c>
      <c r="K930" s="4">
        <v>3.0</v>
      </c>
      <c r="L930" s="3" t="s">
        <v>4383</v>
      </c>
      <c r="M930" s="3" t="s">
        <v>4384</v>
      </c>
      <c r="N930" s="7" t="str">
        <f>IFERROR(__xludf.DUMMYFUNCTION("GOOGLETRANSLATE(L930, ""en"", ""pt"")"),"Operadores de caminhões e tratores industriais")</f>
        <v>Operadores de caminhões e tratores industriais</v>
      </c>
      <c r="O930" s="7" t="str">
        <f>IFERROR(__xludf.DUMMYFUNCTION("IF(M930="""","""",GOOGLETRANSLATE(M930,""en"",""pt""))"),"Operar empilhadeiras ou tratores industriais equipados para movimentar materiais em um armazém, pátio de estocagem, fábrica, canteiro de obras ou local similar. Classificação da função: 53-7051.00 - Operadores de Empilhadeiras e Tratores Industriais. A cl"&amp;"assificação e descrição da função/setor incluem informações gerais sobre o cargo, de acordo com o ONET/OES e o Sistema de Classificação Industrial da América do Norte (NAICS). Consulte as Funções e a Ordem de Serviço para obter mais informações. Requisito"&amp;"s da função: Experiência necessária: Não. Requisitos especiais: CAPACIDADE DE LEVANTAR E CARREGAR 23 KG. DISPONIBILIDADE PARA HORAS EXTRAS E TRABALHO AOS FINS DE SEMANA. JORNADA DE TRABALHO DE 8 HORAS. TREINAMENTO NO LOCAL FORNECIDO. O horário pode variar"&amp;", mas geralmente é de segunda a sexta, das 7h às 18h (jornada de trabalho de 8 horas). Número de horas por semana: 40. Horário de trabalho (início/término): 7h às 18h.")</f>
        <v>Operar empilhadeiras ou tratores industriais equipados para movimentar materiais em um armazém, pátio de estocagem, fábrica, canteiro de obras ou local similar. Classificação da função: 53-7051.00 - Operadores de Empilhadeiras e Tratores Industriais. A classificação e descrição da função/setor incluem informações gerais sobre o cargo, de acordo com o ONET/OES e o Sistema de Classificação Industrial da América do Norte (NAICS). Consulte as Funções e a Ordem de Serviço para obter mais informações. Requisitos da função: Experiência necessária: Não. Requisitos especiais: CAPACIDADE DE LEVANTAR E CARREGAR 23 KG. DISPONIBILIDADE PARA HORAS EXTRAS E TRABALHO AOS FINS DE SEMANA. JORNADA DE TRABALHO DE 8 HORAS. TREINAMENTO NO LOCAL FORNECIDO. O horário pode variar, mas geralmente é de segunda a sexta, das 7h às 18h (jornada de trabalho de 8 horas). Número de horas por semana: 40. Horário de trabalho (início/término): 7h às 18h.</v>
      </c>
    </row>
    <row r="931" ht="20.25" customHeight="1">
      <c r="A931" s="8" t="s">
        <v>4385</v>
      </c>
      <c r="B931" s="8" t="s">
        <v>4386</v>
      </c>
      <c r="C931" s="8" t="s">
        <v>3974</v>
      </c>
      <c r="D931" s="8" t="s">
        <v>64</v>
      </c>
      <c r="E931" s="9" t="s">
        <v>44</v>
      </c>
      <c r="F931" s="9" t="s">
        <v>20</v>
      </c>
      <c r="G931" s="9" t="s">
        <v>377</v>
      </c>
      <c r="H931" s="8" t="s">
        <v>4387</v>
      </c>
      <c r="I931" s="8" t="s">
        <v>4002</v>
      </c>
      <c r="J931" s="9">
        <v>17.18</v>
      </c>
      <c r="K931" s="9">
        <v>30.0</v>
      </c>
      <c r="L931" s="8" t="s">
        <v>4283</v>
      </c>
      <c r="M931" s="8" t="s">
        <v>4127</v>
      </c>
      <c r="N931" s="7" t="str">
        <f>IFERROR(__xludf.DUMMYFUNCTION("GOOGLETRANSLATE(L931, ""en"", ""pt"")"),"Marinheiros, Barco de Ostras")</f>
        <v>Marinheiros, Barco de Ostras</v>
      </c>
      <c r="O931" s="7" t="str">
        <f>IFERROR(__xludf.DUMMYFUNCTION("IF(M931="""","""",GOOGLETRANSLATE(M931,""en"",""pt""))"),"Utilizar redes, armadilhas, dragas ou outros equipamentos para colher e coletar ostras do fundo do mar, içá-las para os barcos, ensacá-las e empilhá-las. Descarregar os sacos. Limpar o barco. Classificação da função: 45-3031.00 - Trabalhadores da Pesca e "&amp;"Caça. A classificação e descrição da função/setor inclui informações gerais sobre o cargo, de acordo com o ONET/OES e o Sistema de Classificação Industrial da América do Norte. Consulte as Funções e a Ordem de Serviço para obter mais informações. Requisit"&amp;"os da vaga: Experiência necessária: Não. Número de horas por semana: 40. Horário de trabalho (início/término): 6h às 14h.")</f>
        <v>Utilizar redes, armadilhas, dragas ou outros equipamentos para colher e coletar ostras do fundo do mar, içá-las para os barcos, ensacá-las e empilhá-las. Descarregar os sacos. Limpar o barco. Classificação da função: 45-3031.00 - Trabalhadores da Pesca e Caça. A classificação e descrição da função/setor inclui informações gerais sobre o cargo, de acordo com o ONET/OES e o Sistema de Classificação Industrial da América do Norte. Consulte as Funções e a Ordem de Serviço para obter mais informações. Requisitos da vaga: Experiência necessária: Não. Número de horas por semana: 40. Horário de trabalho (início/término): 6h às 14h.</v>
      </c>
    </row>
    <row r="932" ht="20.25" customHeight="1">
      <c r="A932" s="3" t="s">
        <v>4388</v>
      </c>
      <c r="B932" s="3" t="s">
        <v>4389</v>
      </c>
      <c r="C932" s="3" t="s">
        <v>4272</v>
      </c>
      <c r="D932" s="3" t="s">
        <v>403</v>
      </c>
      <c r="E932" s="4" t="s">
        <v>19</v>
      </c>
      <c r="F932" s="4" t="s">
        <v>20</v>
      </c>
      <c r="G932" s="4" t="s">
        <v>198</v>
      </c>
      <c r="H932" s="3" t="s">
        <v>4390</v>
      </c>
      <c r="I932" s="3" t="s">
        <v>4391</v>
      </c>
      <c r="J932" s="4">
        <v>23.15</v>
      </c>
      <c r="K932" s="4">
        <v>8.0</v>
      </c>
      <c r="L932" s="3" t="s">
        <v>262</v>
      </c>
      <c r="M932" s="3" t="s">
        <v>4392</v>
      </c>
      <c r="N932" s="7" t="str">
        <f>IFERROR(__xludf.DUMMYFUNCTION("GOOGLETRANSLATE(L932, ""en"", ""pt"")"),"Operário da construção civil")</f>
        <v>Operário da construção civil</v>
      </c>
      <c r="O932" s="7" t="str">
        <f>IFERROR(__xludf.DUMMYFUNCTION("IF(M932="""","""",GOOGLETRANSLATE(M932,""en"",""pt""))"),"Executar escavações de valas e demolições utilizando ferramentas manuais e elétricas. Auxiliar técnicos de piscinas no posicionamento, alinhamento, junção e vedação de componentes estruturais, incluindo seções de paredes e tubulações de PVC. Limpar e prep"&amp;"arar os locais de trabalho antes, durante e após a construção para remover riscos, utilizando ferramentas como vassouras, pás e carrinhos de mão. Classificação da Função: 47-2061.00 - Auxiliares de Construção. A classificação e descrição da função/setor i"&amp;"nclui informações gerais sobre o cargo, de acordo com o ONET/OES e o Sistema de Classificação Industrial da América do Norte (NAICS). Consulte as Funções e a Ordem de Serviço para obter mais informações. Requisitos da Função: Experiência Necessária: Não. "&amp;"Requisitos Especiais: N/A. F.a.5 A-H. (continuação): Jornada de trabalho de 8 horas. Segunda a sexta-feira, das 7h às 15h30. Possibilidade de horas extras. Trabalho aos sábados pode ser necessário. Número de Horas por Semana: 40. Horário de Trabalho (Iníc"&amp;"io/Término): 7h às 15h30.")</f>
        <v>Executar escavações de valas e demolições utilizando ferramentas manuais e elétricas. Auxiliar técnicos de piscinas no posicionamento, alinhamento, junção e vedação de componentes estruturais, incluindo seções de paredes e tubulações de PVC. Limpar e preparar os locais de trabalho antes, durante e após a construção para remover riscos, utilizando ferramentas como vassouras, pás e carrinhos de mão. Classificação da Função: 47-2061.00 - Auxiliares de Construção. A classificação e descrição da função/setor inclui informações gerais sobre o cargo, de acordo com o ONET/OES e o Sistema de Classificação Industrial da América do Norte (NAICS). Consulte as Funções e a Ordem de Serviço para obter mais informações. Requisitos da Função: Experiência Necessária: Não. Requisitos Especiais: N/A. F.a.5 A-H. (continuação): Jornada de trabalho de 8 horas. Segunda a sexta-feira, das 7h às 15h30. Possibilidade de horas extras. Trabalho aos sábados pode ser necessário. Número de Horas por Semana: 40. Horário de Trabalho (Início/Término): 7h às 15h30.</v>
      </c>
    </row>
    <row r="933" ht="20.25" customHeight="1">
      <c r="A933" s="8" t="s">
        <v>4393</v>
      </c>
      <c r="B933" s="8" t="s">
        <v>4394</v>
      </c>
      <c r="C933" s="8" t="s">
        <v>4272</v>
      </c>
      <c r="D933" s="8" t="s">
        <v>992</v>
      </c>
      <c r="E933" s="9" t="s">
        <v>19</v>
      </c>
      <c r="F933" s="9" t="s">
        <v>20</v>
      </c>
      <c r="G933" s="9" t="s">
        <v>65</v>
      </c>
      <c r="H933" s="8" t="s">
        <v>4395</v>
      </c>
      <c r="I933" s="8" t="s">
        <v>4396</v>
      </c>
      <c r="J933" s="9">
        <v>27.56</v>
      </c>
      <c r="K933" s="9">
        <v>6.0</v>
      </c>
      <c r="L933" s="8" t="s">
        <v>59</v>
      </c>
      <c r="M933" s="8" t="s">
        <v>4397</v>
      </c>
      <c r="N933" s="7" t="str">
        <f>IFERROR(__xludf.DUMMYFUNCTION("GOOGLETRANSLATE(L933, ""en"", ""pt"")"),"Trabalhador de paisagismo")</f>
        <v>Trabalhador de paisagismo</v>
      </c>
      <c r="O933" s="7" t="str">
        <f>IFERROR(__xludf.DUMMYFUNCTION("IF(M933="""","""",GOOGLETRANSLATE(M933,""en"",""pt""))"),"***Resposta à Solicitação de Informações*** Rachar e empilhar lenha, preparar lenha cortada para venda e carregar lenha em caminhão, utilizando machado, motosserra e carrinho de mão. Serão utilizados óculos de segurança e protetores auriculares. Utilizar "&amp;"escada de 1,80 m para instalar guirlandas, enfeites e pequenas luzes em árvores artificiais dentro de restaurantes, utilizando martelo, pregos, arame floral e tesoura. Não inclui decoração externa. ***Original*** Plantar flores, bulbos, grama-da-praia, pl"&amp;"antas nativas, plantas perenes, arbustos e árvores; instalar cobertura morta; manter jardins; cortar grama com cortadores de grama manuais; podar arbustos; aparar bordas de canteiros; e plantar árvores utilizando pás. Cortar e rachar lenha manualmente. De"&amp;"coração natalina interna para restaurantes, colocar luzes em pequenas árvores artificiais e instalar enfeites. Classificação da Função: 49-9099.00 - Trabalhadores de Instalação, Manutenção e Reparo, Outros. A classificação e descrição da função/indústria "&amp;"inclui informações gerais sobre o cargo, de acordo com o ONET/OES e o Sistema de Classificação Industrial da América do Norte. Consulte as Funções e a Ordem de Serviço para obter mais informações. Requisitos da vaga Experiência necessária: Não Requisitos "&amp;"especiais: Nenhum F.a.5 A-H. (continuação): Jornada de trabalho de 8 horas. Das 8h às 16h30; de segunda a sexta-feira Número de horas por semana: 40 Horário de trabalho (início/término): 8h00 - 16h30")</f>
        <v>***Resposta à Solicitação de Informações*** Rachar e empilhar lenha, preparar lenha cortada para venda e carregar lenha em caminhão, utilizando machado, motosserra e carrinho de mão. Serão utilizados óculos de segurança e protetores auriculares. Utilizar escada de 1,80 m para instalar guirlandas, enfeites e pequenas luzes em árvores artificiais dentro de restaurantes, utilizando martelo, pregos, arame floral e tesoura. Não inclui decoração externa. ***Original*** Plantar flores, bulbos, grama-da-praia, plantas nativas, plantas perenes, arbustos e árvores; instalar cobertura morta; manter jardins; cortar grama com cortadores de grama manuais; podar arbustos; aparar bordas de canteiros; e plantar árvores utilizando pás. Cortar e rachar lenha manualmente. Decoração natalina interna para restaurantes, colocar luzes em pequenas árvores artificiais e instalar enfeites. Classificação da Função: 49-9099.00 - Trabalhadores de Instalação, Manutenção e Reparo, Outros. A classificação e descrição da função/indústria inclui informações gerais sobre o cargo, de acordo com o ONET/OES e o Sistema de Classificação Industrial da América do Norte. Consulte as Funções e a Ordem de Serviço para obter mais informações. Requisitos da vaga Experiência necessária: Não Requisitos especiais: Nenhum F.a.5 A-H. (continuação): Jornada de trabalho de 8 horas. Das 8h às 16h30; de segunda a sexta-feira Número de horas por semana: 40 Horário de trabalho (início/término): 8h00 - 16h30</v>
      </c>
    </row>
    <row r="934" ht="20.25" customHeight="1">
      <c r="A934" s="3" t="s">
        <v>4398</v>
      </c>
      <c r="B934" s="3" t="s">
        <v>4399</v>
      </c>
      <c r="C934" s="3" t="s">
        <v>3974</v>
      </c>
      <c r="D934" s="3" t="s">
        <v>64</v>
      </c>
      <c r="E934" s="4" t="s">
        <v>19</v>
      </c>
      <c r="F934" s="4" t="s">
        <v>20</v>
      </c>
      <c r="G934" s="4" t="s">
        <v>377</v>
      </c>
      <c r="H934" s="3" t="s">
        <v>4400</v>
      </c>
      <c r="I934" s="3" t="s">
        <v>4002</v>
      </c>
      <c r="J934" s="4">
        <v>17.18</v>
      </c>
      <c r="K934" s="4">
        <v>30.0</v>
      </c>
      <c r="L934" s="3" t="s">
        <v>3490</v>
      </c>
      <c r="M934" s="3" t="s">
        <v>4003</v>
      </c>
      <c r="N934" s="7" t="str">
        <f>IFERROR(__xludf.DUMMYFUNCTION("GOOGLETRANSLATE(L934, ""en"", ""pt"")"),"Marinheiro de convés, barco de pesca de ostras")</f>
        <v>Marinheiro de convés, barco de pesca de ostras</v>
      </c>
      <c r="O934" s="7" t="str">
        <f>IFERROR(__xludf.DUMMYFUNCTION("IF(M934="""","""",GOOGLETRANSLATE(M934,""en"",""pt""))"),"Utilizar redes, armadilhas, dragas ou outros equipamentos para colher e coletar ostras do fundo do mar, içá-las para os barcos, ensacá-las e empilhá-las. Descarregar os sacos do barco para o cais. Limpar o barco. Classificação da função: 45-3031.00 - Trab"&amp;"alhadores da Pesca e Caça. A classificação e descrição da função/setor inclui informações gerais sobre o cargo, de acordo com o ONET/OES e o Sistema de Classificação Industrial da América do Norte. Consulte as Funções e a Ordem de Serviço para obter mais "&amp;"informações. Requisitos da função: Experiência necessária: Não. Número de horas por semana: 40. Horário de trabalho (início/término): 6h às 14h.")</f>
        <v>Utilizar redes, armadilhas, dragas ou outros equipamentos para colher e coletar ostras do fundo do mar, içá-las para os barcos, ensacá-las e empilhá-las. Descarregar os sacos do barco para o cais. Limpar o barco. Classificação da função: 45-3031.00 - Trabalhadores da Pesca e Caça. A classificação e descrição da função/setor inclui informações gerais sobre o cargo, de acordo com o ONET/OES e o Sistema de Classificação Industrial da América do Norte. Consulte as Funções e a Ordem de Serviço para obter mais informações. Requisitos da função: Experiência necessária: Não. Número de horas por semana: 40. Horário de trabalho (início/término): 6h às 14h.</v>
      </c>
    </row>
    <row r="935" ht="20.25" customHeight="1">
      <c r="A935" s="8" t="s">
        <v>4401</v>
      </c>
      <c r="B935" s="8" t="s">
        <v>4187</v>
      </c>
      <c r="C935" s="8" t="s">
        <v>4084</v>
      </c>
      <c r="D935" s="8" t="s">
        <v>278</v>
      </c>
      <c r="E935" s="9" t="s">
        <v>19</v>
      </c>
      <c r="F935" s="9" t="s">
        <v>20</v>
      </c>
      <c r="G935" s="9" t="s">
        <v>155</v>
      </c>
      <c r="H935" s="8" t="s">
        <v>4188</v>
      </c>
      <c r="I935" s="8" t="s">
        <v>4189</v>
      </c>
      <c r="J935" s="9">
        <v>26.11</v>
      </c>
      <c r="K935" s="9">
        <v>14.0</v>
      </c>
      <c r="L935" s="8" t="s">
        <v>4402</v>
      </c>
      <c r="M935" s="8" t="s">
        <v>4403</v>
      </c>
      <c r="N935" s="7" t="str">
        <f>IFERROR(__xludf.DUMMYFUNCTION("GOOGLETRANSLATE(L935, ""en"", ""pt"")"),"Operário da construção civil")</f>
        <v>Operário da construção civil</v>
      </c>
      <c r="O935" s="7" t="str">
        <f>IFERROR(__xludf.DUMMYFUNCTION("IF(M935="""","""",GOOGLETRANSLATE(M935,""en"",""pt""))"),"Executar tarefas que envolvam trabalho físico em canteiros de obras, principalmente relacionadas a reparos externos de residências; inspecionar visualmente estruturas residenciais ou materiais de construção anexados para identificar problemas ou defeitos "&amp;"presentes no local da obra; quando necessário, realizar trabalho braçal para reparar ou substituir revestimentos, calhas, janelas, beirais e faixas (por exemplo, para essas tarefas, usar furadeiras a bateria, bem como martelos, pregos e outros fixadores p"&amp;"ara instalar e fixar os materiais de reposição na residência; uma vez que os materiais estejam no lugar, aplicar selantes manualmente ou com pistolas de calafetagem); montar e desmontar andaimes; carregar e descarregar materiais de construção, máquinas ou"&amp;" ferramentas; distribuir materiais para os locais apropriados de acordo com os planos e especificações do projeto; ler instruções e planos do projeto para cumprir as tarefas; preparar e limpar o canteiro de obras para eliminar possíveis riscos; executar o"&amp;"utras tarefas relacionadas ao trabalho de construção, conforme solicitado (por exemplo, usar furadeiras a bateria, martelos, pregos e outros fixadores para reparar decks, etc.); e cumprir todas as normas de segurança. Classificação da Função: 47-2031.00 -"&amp;" Carpinteiros. A classificação e descrição da função/setor inclui informações gerais sobre o cargo, de acordo com o ONET/OES e o Sistema de Classificação Industrial da América do Norte (NAICS). Consulte as Funções e a Ordem de Serviço para obter mais info"&amp;"rmações. Requisitos da Função: Experiência Necessária: Não. Requisitos Especiais: O candidato deve ter no mínimo 18 anos de idade e capacidade para levantar consistentemente pelo menos 36 kg e subir escadas (conforme confirmado verbalmente pelo candidato)"&amp;". Número de Horas por Semana: 40. Horário de Trabalho (Início/Término): 8h às 17h.")</f>
        <v>Executar tarefas que envolvam trabalho físico em canteiros de obras, principalmente relacionadas a reparos externos de residências; inspecionar visualmente estruturas residenciais ou materiais de construção anexados para identificar problemas ou defeitos presentes no local da obra; quando necessário, realizar trabalho braçal para reparar ou substituir revestimentos, calhas, janelas, beirais e faixas (por exemplo, para essas tarefas, usar furadeiras a bateria, bem como martelos, pregos e outros fixadores para instalar e fixar os materiais de reposição na residência; uma vez que os materiais estejam no lugar, aplicar selantes manualmente ou com pistolas de calafetagem); montar e desmontar andaimes; carregar e descarregar materiais de construção, máquinas ou ferramentas; distribuir materiais para os locais apropriados de acordo com os planos e especificações do projeto; ler instruções e planos do projeto para cumprir as tarefas; preparar e limpar o canteiro de obras para eliminar possíveis riscos; executar outras tarefas relacionadas ao trabalho de construção, conforme solicitado (por exemplo, usar furadeiras a bateria, martelos, pregos e outros fixadores para reparar decks, etc.); e cumprir todas as normas de segurança. Classificação da Função: 47-2031.00 - Carpinteiros. A classificação e descrição da função/setor inclui informações gerais sobre o cargo, de acordo com o ONET/OES e o Sistema de Classificação Industrial da América do Norte (NAICS). Consulte as Funções e a Ordem de Serviço para obter mais informações. Requisitos da Função: Experiência Necessária: Não. Requisitos Especiais: O candidato deve ter no mínimo 18 anos de idade e capacidade para levantar consistentemente pelo menos 36 kg e subir escadas (conforme confirmado verbalmente pelo candidato). Número de Horas por Semana: 40. Horário de Trabalho (Início/Término): 8h às 17h.</v>
      </c>
    </row>
    <row r="936" ht="20.25" customHeight="1">
      <c r="A936" s="3" t="s">
        <v>4404</v>
      </c>
      <c r="B936" s="3" t="s">
        <v>4405</v>
      </c>
      <c r="C936" s="3" t="s">
        <v>3974</v>
      </c>
      <c r="D936" s="3" t="s">
        <v>28</v>
      </c>
      <c r="E936" s="4" t="s">
        <v>19</v>
      </c>
      <c r="F936" s="4" t="s">
        <v>20</v>
      </c>
      <c r="G936" s="4" t="s">
        <v>377</v>
      </c>
      <c r="H936" s="3" t="s">
        <v>4406</v>
      </c>
      <c r="I936" s="3" t="s">
        <v>4002</v>
      </c>
      <c r="J936" s="4">
        <v>25.79</v>
      </c>
      <c r="K936" s="4">
        <v>24.0</v>
      </c>
      <c r="L936" s="3" t="s">
        <v>4283</v>
      </c>
      <c r="M936" s="3" t="s">
        <v>4127</v>
      </c>
      <c r="N936" s="7" t="str">
        <f>IFERROR(__xludf.DUMMYFUNCTION("GOOGLETRANSLATE(L936, ""en"", ""pt"")"),"Marinheiros, Barco de Ostras")</f>
        <v>Marinheiros, Barco de Ostras</v>
      </c>
      <c r="O936" s="7" t="str">
        <f>IFERROR(__xludf.DUMMYFUNCTION("IF(M936="""","""",GOOGLETRANSLATE(M936,""en"",""pt""))"),"Utilizar redes, armadilhas, dragas ou outros equipamentos para colher e coletar ostras do fundo do mar, içá-las para os barcos, ensacá-las e empilhá-las. Descarregar os sacos. Limpar o barco. Classificação da função: 45-3031.00 - Trabalhadores da Pesca e "&amp;"Caça. A classificação e descrição da função/setor inclui informações gerais sobre o cargo, de acordo com o ONET/OES e o Sistema de Classificação Industrial da América do Norte. Consulte as Funções e a Ordem de Serviço para obter mais informações. Requisit"&amp;"os da vaga: Experiência necessária: Não. Número de horas por semana: 40. Horário de trabalho (início/término): 6h às 14h.")</f>
        <v>Utilizar redes, armadilhas, dragas ou outros equipamentos para colher e coletar ostras do fundo do mar, içá-las para os barcos, ensacá-las e empilhá-las. Descarregar os sacos. Limpar o barco. Classificação da função: 45-3031.00 - Trabalhadores da Pesca e Caça. A classificação e descrição da função/setor inclui informações gerais sobre o cargo, de acordo com o ONET/OES e o Sistema de Classificação Industrial da América do Norte. Consulte as Funções e a Ordem de Serviço para obter mais informações. Requisitos da vaga: Experiência necessária: Não. Número de horas por semana: 40. Horário de trabalho (início/término): 6h às 14h.</v>
      </c>
    </row>
    <row r="937" ht="20.25" customHeight="1">
      <c r="A937" s="8" t="s">
        <v>4407</v>
      </c>
      <c r="B937" s="8" t="s">
        <v>4408</v>
      </c>
      <c r="C937" s="8" t="s">
        <v>4272</v>
      </c>
      <c r="D937" s="8" t="s">
        <v>109</v>
      </c>
      <c r="E937" s="9" t="s">
        <v>19</v>
      </c>
      <c r="F937" s="9" t="s">
        <v>20</v>
      </c>
      <c r="G937" s="9" t="s">
        <v>146</v>
      </c>
      <c r="H937" s="8" t="s">
        <v>4409</v>
      </c>
      <c r="I937" s="8" t="s">
        <v>4410</v>
      </c>
      <c r="J937" s="9">
        <v>19.86</v>
      </c>
      <c r="K937" s="9">
        <v>2.0</v>
      </c>
      <c r="L937" s="8" t="s">
        <v>59</v>
      </c>
      <c r="M937" s="8" t="s">
        <v>4411</v>
      </c>
      <c r="N937" s="7" t="str">
        <f>IFERROR(__xludf.DUMMYFUNCTION("GOOGLETRANSLATE(L937, ""en"", ""pt"")"),"Trabalhador de paisagismo")</f>
        <v>Trabalhador de paisagismo</v>
      </c>
      <c r="O937" s="7" t="str">
        <f>IFERROR(__xludf.DUMMYFUNCTION("IF(M937="""","""",GOOGLETRANSLATE(M937,""en"",""pt""))"),"As tarefas podem incluir qualquer combinação das seguintes atividades: colocação de grama, corte de grama, poda, plantio, rega, adubação, escavação, capina, transporte de materiais e rastelagem. O trabalho é realizado ao ar livre, independentemente da tem"&amp;"peratura ou precipitação. Classificação da função: 37-3011.00 - Trabalhadores de Paisagismo e Manutenção de Jardins. A classificação e descrição da função/setor inclui informações gerais sobre o cargo, de acordo com o ONET/OES e o Sistema de Classificação"&amp;" Industrial da América do Norte (NAICS). Consulte as Funções e a Ordem de Serviço para obter mais informações. Requisitos da vaga: Experiência necessária: Sim. Meses de experiência necessários: 3. Requisitos especiais: Não aplicável. F.a.5 A-H. (continuaç"&amp;"ão): Jornada de trabalho de 8 horas. Segunda a sexta-feira: 7h às 16h; sábados podem ser necessários. Possibilidade de 8 a 14 horas extras. Número de horas por semana: 40. Horário de trabalho (início/término): 7h às 16h.")</f>
        <v>As tarefas podem incluir qualquer combinação das seguintes atividades: colocação de grama, corte de grama, poda, plantio, rega, adubação, escavação, capina, transporte de materiais e rastelagem. O trabalho é realizado ao ar livre, independentemente da temperatura ou precipitação. Classificação da função: 37-3011.00 - Trabalhadores de Paisagismo e Manutenção de Jardins. A classificação e descrição da função/setor inclui informações gerais sobre o cargo, de acordo com o ONET/OES e o Sistema de Classificação Industrial da América do Norte (NAICS). Consulte as Funções e a Ordem de Serviço para obter mais informações. Requisitos da vaga: Experiência necessária: Sim. Meses de experiência necessários: 3. Requisitos especiais: Não aplicável. F.a.5 A-H. (continuação): Jornada de trabalho de 8 horas. Segunda a sexta-feira: 7h às 16h; sábados podem ser necessários. Possibilidade de 8 a 14 horas extras. Número de horas por semana: 40. Horário de trabalho (início/término): 7h às 16h.</v>
      </c>
    </row>
    <row r="938" ht="20.25" customHeight="1">
      <c r="A938" s="3" t="s">
        <v>4412</v>
      </c>
      <c r="B938" s="3" t="s">
        <v>4413</v>
      </c>
      <c r="C938" s="3" t="s">
        <v>3974</v>
      </c>
      <c r="D938" s="3" t="s">
        <v>64</v>
      </c>
      <c r="E938" s="4" t="s">
        <v>44</v>
      </c>
      <c r="F938" s="4" t="s">
        <v>20</v>
      </c>
      <c r="G938" s="4" t="s">
        <v>377</v>
      </c>
      <c r="H938" s="3" t="s">
        <v>4414</v>
      </c>
      <c r="I938" s="3" t="s">
        <v>4002</v>
      </c>
      <c r="J938" s="4">
        <v>19.28</v>
      </c>
      <c r="K938" s="4">
        <v>30.0</v>
      </c>
      <c r="L938" s="3" t="s">
        <v>3490</v>
      </c>
      <c r="M938" s="3" t="s">
        <v>4003</v>
      </c>
      <c r="N938" s="7" t="str">
        <f>IFERROR(__xludf.DUMMYFUNCTION("GOOGLETRANSLATE(L938, ""en"", ""pt"")"),"Marinheiro de convés, barco de pesca de ostras")</f>
        <v>Marinheiro de convés, barco de pesca de ostras</v>
      </c>
      <c r="O938" s="7" t="str">
        <f>IFERROR(__xludf.DUMMYFUNCTION("IF(M938="""","""",GOOGLETRANSLATE(M938,""en"",""pt""))"),"Utilizar redes, armadilhas, dragas ou outros equipamentos para colher e coletar ostras do fundo do mar, içá-las para os barcos, ensacá-las e empilhá-las. Descarregar os sacos do barco para o cais. Limpar o barco. Classificação da função: 45-3031.00 - Trab"&amp;"alhadores da Pesca e Caça. A classificação e descrição da função/setor inclui informações gerais sobre o cargo, de acordo com o ONET/OES e o Sistema de Classificação Industrial da América do Norte. Consulte as Funções e a Ordem de Serviço para obter mais "&amp;"informações. Requisitos da função: Experiência necessária: Não. Número de horas por semana: 40. Horário de trabalho (início/término): 6h às 14h.")</f>
        <v>Utilizar redes, armadilhas, dragas ou outros equipamentos para colher e coletar ostras do fundo do mar, içá-las para os barcos, ensacá-las e empilhá-las. Descarregar os sacos do barco para o cais. Limpar o barco. Classificação da função: 45-3031.00 - Trabalhadores da Pesca e Caça. A classificação e descrição da função/setor inclui informações gerais sobre o cargo, de acordo com o ONET/OES e o Sistema de Classificação Industrial da América do Norte. Consulte as Funções e a Ordem de Serviço para obter mais informações. Requisitos da função: Experiência necessária: Não. Número de horas por semana: 40. Horário de trabalho (início/término): 6h às 14h.</v>
      </c>
    </row>
    <row r="939" ht="20.25" customHeight="1">
      <c r="A939" s="8" t="s">
        <v>4415</v>
      </c>
      <c r="B939" s="8" t="s">
        <v>4416</v>
      </c>
      <c r="C939" s="8" t="s">
        <v>4272</v>
      </c>
      <c r="D939" s="8" t="s">
        <v>344</v>
      </c>
      <c r="E939" s="9" t="s">
        <v>19</v>
      </c>
      <c r="F939" s="9" t="s">
        <v>20</v>
      </c>
      <c r="G939" s="9" t="s">
        <v>56</v>
      </c>
      <c r="H939" s="8" t="s">
        <v>4417</v>
      </c>
      <c r="I939" s="8" t="s">
        <v>4418</v>
      </c>
      <c r="J939" s="9">
        <v>21.26</v>
      </c>
      <c r="K939" s="9">
        <v>9.0</v>
      </c>
      <c r="L939" s="8" t="s">
        <v>406</v>
      </c>
      <c r="M939" s="8" t="s">
        <v>4419</v>
      </c>
      <c r="N939" s="7" t="str">
        <f>IFERROR(__xludf.DUMMYFUNCTION("GOOGLETRANSLATE(L939, ""en"", ""pt"")"),"Trabalhador")</f>
        <v>Trabalhador</v>
      </c>
      <c r="O939" s="7" t="str">
        <f>IFERROR(__xludf.DUMMYFUNCTION("IF(M939="""","""",GOOGLETRANSLATE(M939,""en"",""pt""))"),"As tarefas incluem: colocação de grama, corte de grama, poda, plantio, rega, adubação, escavação, rastelagem, instalação de aspersores, capina e instalação de blocos de concreto pré-moldados sem argamassa. Classificação da função: 37-3011.00 - Trabalhador"&amp;"es de Paisagismo e Manutenção de Jardins. A classificação e descrição da função/setor inclui informações gerais sobre o cargo, de acordo com o ONET/OES e o Sistema de Classificação Industrial da América do Norte (NAICS). Consulte as Funções e a Ordem de S"&amp;"erviço para obter mais informações. Requisitos da vaga: Experiência necessária: Não. Requisitos especiais: N/A. F.a.5 A-H. 40 horas semanais. Jornada de trabalho de 8 horas, de segunda a sexta, das 7h às 15h30. Sem horas extras. Número de horas por semana"&amp;": 40. Horário de trabalho (início/término): 7h às 15h30.")</f>
        <v>As tarefas incluem: colocação de grama, corte de grama, poda, plantio, rega, adubação, escavação, rastelagem, instalação de aspersores, capina e instalação de blocos de concreto pré-moldados sem argamassa. Classificação da função: 37-3011.00 - Trabalhadores de Paisagismo e Manutenção de Jardins. A classificação e descrição da função/setor inclui informações gerais sobre o cargo, de acordo com o ONET/OES e o Sistema de Classificação Industrial da América do Norte (NAICS). Consulte as Funções e a Ordem de Serviço para obter mais informações. Requisitos da vaga: Experiência necessária: Não. Requisitos especiais: N/A. F.a.5 A-H. 40 horas semanais. Jornada de trabalho de 8 horas, de segunda a sexta, das 7h às 15h30. Sem horas extras. Número de horas por semana: 40. Horário de trabalho (início/término): 7h às 15h30.</v>
      </c>
    </row>
    <row r="940" ht="20.25" customHeight="1">
      <c r="A940" s="3" t="s">
        <v>4420</v>
      </c>
      <c r="B940" s="3" t="s">
        <v>4421</v>
      </c>
      <c r="C940" s="3" t="s">
        <v>4066</v>
      </c>
      <c r="D940" s="3" t="s">
        <v>71</v>
      </c>
      <c r="E940" s="4" t="s">
        <v>44</v>
      </c>
      <c r="F940" s="4" t="s">
        <v>20</v>
      </c>
      <c r="G940" s="4" t="s">
        <v>72</v>
      </c>
      <c r="H940" s="3" t="s">
        <v>4422</v>
      </c>
      <c r="I940" s="3" t="s">
        <v>4423</v>
      </c>
      <c r="J940" s="4">
        <v>11.85</v>
      </c>
      <c r="K940" s="4">
        <v>50.0</v>
      </c>
      <c r="L940" s="3" t="s">
        <v>1046</v>
      </c>
      <c r="M940" s="3" t="s">
        <v>4424</v>
      </c>
      <c r="N940" s="7" t="str">
        <f>IFERROR(__xludf.DUMMYFUNCTION("GOOGLETRANSLATE(L940, ""en"", ""pt"")"),"Empacotadores e embaladores")</f>
        <v>Empacotadores e embaladores</v>
      </c>
      <c r="O940" s="7" t="str">
        <f>IFERROR(__xludf.DUMMYFUNCTION("IF(M940="""","""",GOOGLETRANSLATE(M940,""en"",""pt""))"),"Embalar manualmente os produtos de panificação acabados em bandejas, prateleiras ou caixas, de acordo com os padrões de embalagem da empresa. Inspecionar os produtos embalados em busca de defeitos óbvios (por exemplo, sacos rasgados, pães danificados, con"&amp;"tagem incorreta) e remover os itens não conformes da linha de produção. Aplicar etiquetas/códigos de data ou adesivos conforme as instruções (aplicados manualmente ou usando ferramentas simples de etiquetagem, se fornecidas). Montar caixas/embalagens, col"&amp;"ocar o produto nas caixas e empilhar as caixas finalizadas em paletes ou carrinhos. Manter a área de trabalho imediata limpa e organizada; realizar a higienização rotineira da estação de embalagem e da área circundante, de acordo com os procedimentos de s"&amp;"egurança alimentar e sanitização da fábrica. Auxiliar na reposição de materiais de embalagem (sacos, clipes/laços, etiquetas, caixas) na estação de embalagem durante o turno. Seguir todas as normas de segurança alimentar, higiene e segurança do trabalho d"&amp;"a empresa, locais, estaduais e federais, incluindo o uso dos EPIs necessários. O trabalho é realizado em uma estação de embalagem de linha de produção. Capacidade de ficar em pé por longos períodos; realizar movimentos repetitivos com as mãos; levantar e "&amp;"mover até 23 kg. Trabalhar em turnos variáveis, fins de semana e feriados, conforme necessário. Classificação da vaga: 53-7064.00 - Embaladores e empacotadores manuais. A classificação e descrição da vaga/setor inclui informações gerais sobre a posição, d"&amp;"e acordo com o ONET/OES e o Sistema de Classificação Industrial da América do Norte (NAICS). Consulte as atribuições e a ordem de serviço para obter mais informações. Requisitos da vaga: Experiência necessária: Sim. Meses de experiência necessários: 3. Nú"&amp;"mero de horas por semana: 40. Horário de trabalho (início/término): 7h às 15h.")</f>
        <v>Embalar manualmente os produtos de panificação acabados em bandejas, prateleiras ou caixas, de acordo com os padrões de embalagem da empresa. Inspecionar os produtos embalados em busca de defeitos óbvios (por exemplo, sacos rasgados, pães danificados, contagem incorreta) e remover os itens não conformes da linha de produção. Aplicar etiquetas/códigos de data ou adesivos conforme as instruções (aplicados manualmente ou usando ferramentas simples de etiquetagem, se fornecidas). Montar caixas/embalagens, colocar o produto nas caixas e empilhar as caixas finalizadas em paletes ou carrinhos. Manter a área de trabalho imediata limpa e organizada; realizar a higienização rotineira da estação de embalagem e da área circundante, de acordo com os procedimentos de segurança alimentar e sanitização da fábrica. Auxiliar na reposição de materiais de embalagem (sacos, clipes/laços, etiquetas, caixas) na estação de embalagem durante o turno. Seguir todas as normas de segurança alimentar, higiene e segurança do trabalho da empresa, locais, estaduais e federais, incluindo o uso dos EPIs necessários. O trabalho é realizado em uma estação de embalagem de linha de produção. Capacidade de ficar em pé por longos períodos; realizar movimentos repetitivos com as mãos; levantar e mover até 23 kg. Trabalhar em turnos variáveis, fins de semana e feriados, conforme necessário. Classificação da vaga: 53-7064.00 - Embaladores e empacotadores manuais. A classificação e descrição da vaga/setor inclui informações gerais sobre a posição, de acordo com o ONET/OES e o Sistema de Classificação Industrial da América do Norte (NAICS). Consulte as atribuições e a ordem de serviço para obter mais informações. Requisitos da vaga: Experiência necessária: Sim. Meses de experiência necessários: 3. Número de horas por semana: 40. Horário de trabalho (início/término): 7h às 15h.</v>
      </c>
    </row>
    <row r="941" ht="20.25" customHeight="1">
      <c r="A941" s="8" t="s">
        <v>4425</v>
      </c>
      <c r="B941" s="8" t="s">
        <v>4421</v>
      </c>
      <c r="C941" s="8" t="s">
        <v>4066</v>
      </c>
      <c r="D941" s="8" t="s">
        <v>18</v>
      </c>
      <c r="E941" s="9" t="s">
        <v>19</v>
      </c>
      <c r="F941" s="9" t="s">
        <v>20</v>
      </c>
      <c r="G941" s="9" t="s">
        <v>72</v>
      </c>
      <c r="H941" s="8" t="s">
        <v>4422</v>
      </c>
      <c r="I941" s="8" t="s">
        <v>4423</v>
      </c>
      <c r="J941" s="9">
        <v>16.13</v>
      </c>
      <c r="K941" s="9">
        <v>39.0</v>
      </c>
      <c r="L941" s="8" t="s">
        <v>4426</v>
      </c>
      <c r="M941" s="8" t="s">
        <v>4427</v>
      </c>
      <c r="N941" s="7" t="str">
        <f>IFERROR(__xludf.DUMMYFUNCTION("GOOGLETRANSLATE(L941, ""en"", ""pt"")"),"Cozinheiro de mão curta")</f>
        <v>Cozinheiro de mão curta</v>
      </c>
      <c r="O941" s="7" t="str">
        <f>IFERROR(__xludf.DUMMYFUNCTION("IF(M941="""","""",GOOGLETRANSLATE(M941,""en"",""pt""))"),"Preparar e cozinhar itens de café da manhã e almoço sob encomenda, utilizando chapa e fritadeira (ex.: ovos, panquecas, bacon/linguiça, hambúrgueres, sanduíches, batatas fritas). Montar pratos/pedidos para viagem com rapidez e precisão durante os horários"&amp;" de pico. Realizar preparações rotineiras e limitadas diretamente relacionadas aos itens de preparo rápido durante o turno (ex.: porcionar ingredientes, fatiar coberturas básicas, preparar massa/mistura de ovos conforme instruções). Manter a limpeza e a h"&amp;"igienização da estação de trabalho e dos equipamentos (chapa, fritadeira, utensílios, superfícies de corte) de acordo com os procedimentos de segurança alimentar e higiene exigidos. Repor os ingredientes e descartáveis ​​na estação de trabalho durante o t"&amp;"urno e notificar o gerente quando os suprimentos estiverem baixos. O trabalho é realizado em uma estação de preparo rápido (chapa/fritadeira) e não envolve a operação de uma linha de cozinha completa ou múltiplas estações de trabalho. Classificação da vag"&amp;"a: 35-2015.00 - Cozinheiros(as), Preparadores(as) de Refeições Rápidas. A classificação e descrição da vaga/setor inclui informações gerais sobre o cargo, conforme o ONET/OES e o Sistema de Classificação Industrial da América do Norte (NAICS). Consulte as"&amp;" Funções e a Ordem de Serviço para obter mais informações. Requisitos da vaga: Experiência necessária: Sim. Meses de experiência necessários: 3. Número de horas por semana: 40. Horário de trabalho (início/término): 7h às 15h.")</f>
        <v>Preparar e cozinhar itens de café da manhã e almoço sob encomenda, utilizando chapa e fritadeira (ex.: ovos, panquecas, bacon/linguiça, hambúrgueres, sanduíches, batatas fritas). Montar pratos/pedidos para viagem com rapidez e precisão durante os horários de pico. Realizar preparações rotineiras e limitadas diretamente relacionadas aos itens de preparo rápido durante o turno (ex.: porcionar ingredientes, fatiar coberturas básicas, preparar massa/mistura de ovos conforme instruções). Manter a limpeza e a higienização da estação de trabalho e dos equipamentos (chapa, fritadeira, utensílios, superfícies de corte) de acordo com os procedimentos de segurança alimentar e higiene exigidos. Repor os ingredientes e descartáveis ​​na estação de trabalho durante o turno e notificar o gerente quando os suprimentos estiverem baixos. O trabalho é realizado em uma estação de preparo rápido (chapa/fritadeira) e não envolve a operação de uma linha de cozinha completa ou múltiplas estações de trabalho. Classificação da vaga: 35-2015.00 - Cozinheiros(as), Preparadores(as) de Refeições Rápidas. A classificação e descrição da vaga/setor inclui informações gerais sobre o cargo, conforme o ONET/OES e o Sistema de Classificação Industrial da América do Norte (NAICS). Consulte as Funções e a Ordem de Serviço para obter mais informações. Requisitos da vaga: Experiência necessária: Sim. Meses de experiência necessários: 3. Número de horas por semana: 40. Horário de trabalho (início/término): 7h às 15h.</v>
      </c>
    </row>
    <row r="942" ht="20.25" customHeight="1">
      <c r="A942" s="3" t="s">
        <v>4428</v>
      </c>
      <c r="B942" s="3" t="s">
        <v>4429</v>
      </c>
      <c r="C942" s="3" t="s">
        <v>4272</v>
      </c>
      <c r="D942" s="3" t="s">
        <v>249</v>
      </c>
      <c r="E942" s="4" t="s">
        <v>19</v>
      </c>
      <c r="F942" s="4" t="s">
        <v>20</v>
      </c>
      <c r="G942" s="4" t="s">
        <v>1459</v>
      </c>
      <c r="H942" s="3" t="s">
        <v>4430</v>
      </c>
      <c r="I942" s="3" t="s">
        <v>4431</v>
      </c>
      <c r="J942" s="4">
        <v>19.22</v>
      </c>
      <c r="K942" s="4">
        <v>6.0</v>
      </c>
      <c r="L942" s="3" t="s">
        <v>59</v>
      </c>
      <c r="M942" s="3" t="s">
        <v>4432</v>
      </c>
      <c r="N942" s="7" t="str">
        <f>IFERROR(__xludf.DUMMYFUNCTION("GOOGLETRANSLATE(L942, ""en"", ""pt"")"),"Trabalhador de paisagismo")</f>
        <v>Trabalhador de paisagismo</v>
      </c>
      <c r="O942" s="7" t="str">
        <f>IFERROR(__xludf.DUMMYFUNCTION("IF(M942="""","""",GOOGLETRANSLATE(M942,""en"",""pt""))"),"Tarefas: Paisagismo ou manutenção de terrenos utilizando ferramentas manuais ou elétricas. Os trabalhadores geralmente executam uma variedade de tarefas, que podem incluir qualquer combinação das seguintes: colocação de grama, corte de grama, poda, planti"&amp;"o, rega, fertilização, escavação, rastelagem, instalação de aspersores e instalação de blocos de concreto pré-moldados sem argamassa. Classificação da função: 37-3011.00 - Trabalhadores de Paisagismo e Manutenção de Terrenos. A classificação e descrição d"&amp;"a função/setor inclui informações gerais sobre o cargo, de acordo com o ONET/OES e o Sistema de Classificação Industrial da América do Norte (NAICS). Consulte as Funções e a Ordem de Serviço para obter mais informações. Requisitos da função: Experiência e"&amp;"xigida: Não. Requisitos especiais: Testes antidrogas pós-emprego podem ser realizados com base na suspeita razoável do empregador de uso de drogas. F.a.5 A-H (continuação): Jornada de trabalho de 8 horas. Das 7h30 às 16h, de segunda a sexta-feira, sábado "&amp;"e domingo conforme necessário. Possibilidade de horas extras. Número de horas por semana: 40 Horário de trabalho (início/término): 7h30 - 16h00")</f>
        <v>Tarefas: Paisagismo ou manutenção de terrenos utilizando ferramentas manuais ou elétricas. Os trabalhadores geralmente executam uma variedade de tarefas, que podem incluir qualquer combinação das seguintes: colocação de grama, corte de grama, poda, plantio, rega, fertilização, escavação, rastelagem, instalação de aspersores e instalação de blocos de concreto pré-moldados sem argamassa. Classificação da função: 37-3011.00 - Trabalhadores de Paisagismo e Manutenção de Terrenos. A classificação e descrição da função/setor inclui informações gerais sobre o cargo, de acordo com o ONET/OES e o Sistema de Classificação Industrial da América do Norte (NAICS). Consulte as Funções e a Ordem de Serviço para obter mais informações. Requisitos da função: Experiência exigida: Não. Requisitos especiais: Testes antidrogas pós-emprego podem ser realizados com base na suspeita razoável do empregador de uso de drogas. F.a.5 A-H (continuação): Jornada de trabalho de 8 horas. Das 7h30 às 16h, de segunda a sexta-feira, sábado e domingo conforme necessário. Possibilidade de horas extras. Número de horas por semana: 40 Horário de trabalho (início/término): 7h30 - 16h00</v>
      </c>
    </row>
    <row r="943" ht="20.25" customHeight="1">
      <c r="A943" s="8" t="s">
        <v>4433</v>
      </c>
      <c r="B943" s="8" t="s">
        <v>4434</v>
      </c>
      <c r="C943" s="8" t="s">
        <v>4272</v>
      </c>
      <c r="D943" s="8" t="s">
        <v>186</v>
      </c>
      <c r="E943" s="9" t="s">
        <v>19</v>
      </c>
      <c r="F943" s="9" t="s">
        <v>20</v>
      </c>
      <c r="G943" s="9" t="s">
        <v>212</v>
      </c>
      <c r="H943" s="8" t="s">
        <v>4435</v>
      </c>
      <c r="I943" s="8" t="s">
        <v>4436</v>
      </c>
      <c r="J943" s="9">
        <v>23.15</v>
      </c>
      <c r="K943" s="9">
        <v>7.0</v>
      </c>
      <c r="L943" s="8" t="s">
        <v>4328</v>
      </c>
      <c r="M943" s="8" t="s">
        <v>4437</v>
      </c>
      <c r="N943" s="7" t="str">
        <f>IFERROR(__xludf.DUMMYFUNCTION("GOOGLETRANSLATE(L943, ""en"", ""pt"")"),"Operário de construção de piscinas")</f>
        <v>Operário de construção de piscinas</v>
      </c>
      <c r="O943" s="7" t="str">
        <f>IFERROR(__xludf.DUMMYFUNCTION("IF(M943="""","""",GOOGLETRANSLATE(M943,""en"",""pt""))"),"Auxiliar os técnicos de piscina no posicionamento, junção, alinhamento e vedação de componentes estruturais da piscina, como seções de parede e tubos de PVC. Cavar valas e realizar demolições utilizando ferramentas manuais e elétricas. Limpar ou preparar "&amp;"canteiros de obras para eliminar possíveis riscos antes e depois da construção, utilizando vassouras, pás e carrinhos de mão. Classificação da Função: 47-2061.00 - Auxiliares de Construção. A classificação e descrição da função/setor inclui informações ge"&amp;"rais sobre o cargo, de acordo com o ONET/OES e o Sistema de Classificação Industrial da América do Norte (NAICS). Consulte as Funções e a Ordem de Serviço para obter mais informações. Requisitos da Função: Experiência Necessária: Não. Requisitos Especiais"&amp;": N/A. F.a.5 A-H (continuação): 40 horas semanais. Jornada de trabalho de 8 horas. Segunda a sexta-feira: 9h às 17h. Trabalho aos sábados pode ser necessário. Até 10 horas extras semanais podem estar disponíveis. O horário das horas extras varia. Número d"&amp;"e horas por semana: 40 Horário de trabalho (início/término): 9h00 - 17h00")</f>
        <v>Auxiliar os técnicos de piscina no posicionamento, junção, alinhamento e vedação de componentes estruturais da piscina, como seções de parede e tubos de PVC. Cavar valas e realizar demolições utilizando ferramentas manuais e elétricas. Limpar ou preparar canteiros de obras para eliminar possíveis riscos antes e depois da construção, utilizando vassouras, pás e carrinhos de mão. Classificação da Função: 47-2061.00 - Auxiliares de Construção. A classificação e descrição da função/setor inclui informações gerais sobre o cargo, de acordo com o ONET/OES e o Sistema de Classificação Industrial da América do Norte (NAICS). Consulte as Funções e a Ordem de Serviço para obter mais informações. Requisitos da Função: Experiência Necessária: Não. Requisitos Especiais: N/A. F.a.5 A-H (continuação): 40 horas semanais. Jornada de trabalho de 8 horas. Segunda a sexta-feira: 9h às 17h. Trabalho aos sábados pode ser necessário. Até 10 horas extras semanais podem estar disponíveis. O horário das horas extras varia. Número de horas por semana: 40 Horário de trabalho (início/término): 9h00 - 17h00</v>
      </c>
    </row>
    <row r="944" ht="20.25" customHeight="1">
      <c r="A944" s="3" t="s">
        <v>4438</v>
      </c>
      <c r="B944" s="3" t="s">
        <v>4439</v>
      </c>
      <c r="C944" s="3" t="s">
        <v>4272</v>
      </c>
      <c r="D944" s="3" t="s">
        <v>596</v>
      </c>
      <c r="E944" s="4" t="s">
        <v>19</v>
      </c>
      <c r="F944" s="4" t="s">
        <v>20</v>
      </c>
      <c r="G944" s="4" t="s">
        <v>4440</v>
      </c>
      <c r="H944" s="3" t="s">
        <v>4441</v>
      </c>
      <c r="I944" s="3" t="s">
        <v>4442</v>
      </c>
      <c r="J944" s="4">
        <v>17.81</v>
      </c>
      <c r="K944" s="4">
        <v>9.0</v>
      </c>
      <c r="L944" s="3" t="s">
        <v>4443</v>
      </c>
      <c r="M944" s="3" t="s">
        <v>4444</v>
      </c>
      <c r="N944" s="7" t="str">
        <f>IFERROR(__xludf.DUMMYFUNCTION("GOOGLETRANSLATE(L944, ""en"", ""pt"")"),"Atendente de parque de diversões")</f>
        <v>Atendente de parque de diversões</v>
      </c>
      <c r="O944" s="7" t="str">
        <f>IFERROR(__xludf.DUMMYFUNCTION("IF(M944="""","""",GOOGLETRANSLATE(M944,""en"",""pt""))"),"Auxiliar na montagem de equipamentos de parque de diversões. Os brinquedos vêm desmontados e precisam ser montados com pinos. Operar os brinquedos. Receber ingressos, prender os passageiros nos assentos e pressionar o botão para iniciar o brinquedo. Limpa"&amp;"r os brinquedos antes, durante e após o uso. Auxiliar na remoção dos equipamentos após os shows. Classificação da vaga: 39-3091.00 - Atendentes de Parques de Diversões e Recreação. A classificação e descrição da vaga/setor inclui informações gerais sobre "&amp;"o cargo, de acordo com o ONET/OES e o Sistema de Classificação Industrial da América do Norte (NAICS). Consulte as Funções e a Ordem de Serviço para obter mais informações. Requisitos da vaga: Experiência necessária: Não. Requisitos especiais: N/A. F.a.5 "&amp;"A-H. (continuação): Jornada de trabalho de 6 horas. De quarta a segunda-feira, das 17h às 23h. Possibilidade de horas extras. Número de horas por semana: 36. Horário de trabalho (início/término): 17h às 23h.")</f>
        <v>Auxiliar na montagem de equipamentos de parque de diversões. Os brinquedos vêm desmontados e precisam ser montados com pinos. Operar os brinquedos. Receber ingressos, prender os passageiros nos assentos e pressionar o botão para iniciar o brinquedo. Limpar os brinquedos antes, durante e após o uso. Auxiliar na remoção dos equipamentos após os shows. Classificação da vaga: 39-3091.00 - Atendentes de Parques de Diversões e Recreação. A classificação e descrição da vaga/setor inclui informações gerais sobre o cargo, de acordo com o ONET/OES e o Sistema de Classificação Industrial da América do Norte (NAICS). Consulte as Funções e a Ordem de Serviço para obter mais informações. Requisitos da vaga: Experiência necessária: Não. Requisitos especiais: N/A. F.a.5 A-H. (continuação): Jornada de trabalho de 6 horas. De quarta a segunda-feira, das 17h às 23h. Possibilidade de horas extras. Número de horas por semana: 36. Horário de trabalho (início/término): 17h às 23h.</v>
      </c>
    </row>
    <row r="945" ht="20.25" customHeight="1">
      <c r="A945" s="8" t="s">
        <v>4445</v>
      </c>
      <c r="B945" s="8" t="s">
        <v>4446</v>
      </c>
      <c r="C945" s="8" t="s">
        <v>4261</v>
      </c>
      <c r="D945" s="8" t="s">
        <v>64</v>
      </c>
      <c r="E945" s="9" t="s">
        <v>19</v>
      </c>
      <c r="F945" s="9" t="s">
        <v>20</v>
      </c>
      <c r="G945" s="9" t="s">
        <v>377</v>
      </c>
      <c r="H945" s="8" t="s">
        <v>4447</v>
      </c>
      <c r="I945" s="8" t="s">
        <v>4448</v>
      </c>
      <c r="J945" s="9">
        <v>15.52</v>
      </c>
      <c r="K945" s="9">
        <v>9.0</v>
      </c>
      <c r="L945" s="8" t="s">
        <v>2152</v>
      </c>
      <c r="M945" s="8" t="s">
        <v>4449</v>
      </c>
      <c r="N945" s="7" t="str">
        <f>IFERROR(__xludf.DUMMYFUNCTION("GOOGLETRANSLATE(L945, ""en"", ""pt"")"),"Ajudante de cozinha")</f>
        <v>Ajudante de cozinha</v>
      </c>
      <c r="O945" s="7" t="str">
        <f>IFERROR(__xludf.DUMMYFUNCTION("IF(M945="""","""",GOOGLETRANSLATE(M945,""en"",""pt""))"),"Executar diversas tarefas de preparação de alimentos além de cozinhar, como preparar alimentos frios e frutos do mar, fatiar carne e preparar café ou chá. Além da preparação de alimentos, os funcionários auxiliarão na lavagem de louças e na limpeza da coz"&amp;"inha. Classificação do Cargo: 35-9021.00 - Lavadores de Louças. A classificação e descrição do cargo/setor incluem informações gerais sobre a posição, de acordo com o ONET/OES e o Sistema de Classificação Industrial da América do Norte (NAICS). Consulte a"&amp;"s Funções e a Ordem de Serviço para obter mais informações. Requisitos do Cargo: Experiência Necessária: Sim. Meses de Experiência Necessários: 1. Requisitos Especiais: Nosso horário de funcionamento é das 9h às 22h, sete dias por semana. Os funcionários "&amp;"trabalharão em turnos variados de 8 horas dentro desse horário. Número de Horas por Semana: 40. Horário de Trabalho (Início/Término): 8h às 17h.")</f>
        <v>Executar diversas tarefas de preparação de alimentos além de cozinhar, como preparar alimentos frios e frutos do mar, fatiar carne e preparar café ou chá. Além da preparação de alimentos, os funcionários auxiliarão na lavagem de louças e na limpeza da cozinha. Classificação do Cargo: 35-9021.00 - Lavadores de Louças. A classificação e descrição do cargo/setor incluem informações gerais sobre a posição, de acordo com o ONET/OES e o Sistema de Classificação Industrial da América do Norte (NAICS). Consulte as Funções e a Ordem de Serviço para obter mais informações. Requisitos do Cargo: Experiência Necessária: Sim. Meses de Experiência Necessários: 1. Requisitos Especiais: Nosso horário de funcionamento é das 9h às 22h, sete dias por semana. Os funcionários trabalharão em turnos variados de 8 horas dentro desse horário. Número de Horas por Semana: 40. Horário de Trabalho (Início/Término): 8h às 17h.</v>
      </c>
    </row>
    <row r="946" ht="20.25" customHeight="1">
      <c r="A946" s="3" t="s">
        <v>4450</v>
      </c>
      <c r="B946" s="3" t="s">
        <v>4451</v>
      </c>
      <c r="C946" s="3" t="s">
        <v>4452</v>
      </c>
      <c r="D946" s="3" t="s">
        <v>109</v>
      </c>
      <c r="E946" s="4" t="s">
        <v>19</v>
      </c>
      <c r="F946" s="4" t="s">
        <v>20</v>
      </c>
      <c r="G946" s="4" t="s">
        <v>80</v>
      </c>
      <c r="H946" s="3" t="s">
        <v>4453</v>
      </c>
      <c r="I946" s="3" t="s">
        <v>4454</v>
      </c>
      <c r="J946" s="4">
        <v>41.71</v>
      </c>
      <c r="K946" s="4">
        <v>5.0</v>
      </c>
      <c r="L946" s="3" t="s">
        <v>4455</v>
      </c>
      <c r="M946" s="3" t="s">
        <v>4456</v>
      </c>
      <c r="N946" s="7" t="str">
        <f>IFERROR(__xludf.DUMMYFUNCTION("GOOGLETRANSLATE(L946, ""en"", ""pt"")"),"Calígrafo")</f>
        <v>Calígrafo</v>
      </c>
      <c r="O946" s="7" t="str">
        <f>IFERROR(__xludf.DUMMYFUNCTION("IF(M946="""","""",GOOGLETRANSLATE(M946,""en"",""pt""))"),"Desenhar e pintar versículos do Alcorão com letras árabes, bem como figuras, motivos e símbolos islâmicos, de forma decorativa, nas superfícies internas e externas das paredes e cúpulas da mesquita em construção, uma letra/figura de cada vez. Projetar, me"&amp;"dir e marcar as referidas superfícies antes da pintura decorativa. Transmitir os textos e símbolos árabes determinados pelo empregador, ainda que de forma decorativa. Escrever nas referidas superfícies em árabe, da direita para a esquerda, com letras árab"&amp;"es conectadas, utilizando diversas ferramentas, como pincéis de estêncil, tinta e espátulas. Esculpir motivos islâmicos em postes de madeira e cerâmica dentro da mesquita, utilizando diversas ferramentas, como cinzéis de ponta e dente, martelos e grosas. "&amp;"Classificação da função: 27-1013.00 - Artistas Plásticos, incluindo Pintores, Escultores e Ilustradores. A classificação e descrição da função/setor inclui informações gerais sobre o cargo, de acordo com o ONET/OES e o Sistema de Classificação Industrial "&amp;"da América do Norte. Consulte as Funções e a Ordem de Serviço para obter mais informações. Requisitos da vaga Experiência necessária: Sim Meses de experiência necessários: 24 Requisitos especiais: Nenhum. Número de horas por semana: 35 Horário de trabalho"&amp;" (início/término): 8h às 16h")</f>
        <v>Desenhar e pintar versículos do Alcorão com letras árabes, bem como figuras, motivos e símbolos islâmicos, de forma decorativa, nas superfícies internas e externas das paredes e cúpulas da mesquita em construção, uma letra/figura de cada vez. Projetar, medir e marcar as referidas superfícies antes da pintura decorativa. Transmitir os textos e símbolos árabes determinados pelo empregador, ainda que de forma decorativa. Escrever nas referidas superfícies em árabe, da direita para a esquerda, com letras árabes conectadas, utilizando diversas ferramentas, como pincéis de estêncil, tinta e espátulas. Esculpir motivos islâmicos em postes de madeira e cerâmica dentro da mesquita, utilizando diversas ferramentas, como cinzéis de ponta e dente, martelos e grosas. Classificação da função: 27-1013.00 - Artistas Plásticos, incluindo Pintores, Escultores e Ilustradores. A classificação e descrição da função/setor inclui informações gerais sobre o cargo, de acordo com o ONET/OES e o Sistema de Classificação Industrial da América do Norte. Consulte as Funções e a Ordem de Serviço para obter mais informações. Requisitos da vaga Experiência necessária: Sim Meses de experiência necessários: 24 Requisitos especiais: Nenhum. Número de horas por semana: 35 Horário de trabalho (início/término): 8h às 16h</v>
      </c>
    </row>
    <row r="947" ht="20.25" customHeight="1">
      <c r="A947" s="8" t="s">
        <v>4457</v>
      </c>
      <c r="B947" s="8" t="s">
        <v>4458</v>
      </c>
      <c r="C947" s="8" t="s">
        <v>4241</v>
      </c>
      <c r="D947" s="8" t="s">
        <v>71</v>
      </c>
      <c r="E947" s="9" t="s">
        <v>44</v>
      </c>
      <c r="F947" s="9" t="s">
        <v>20</v>
      </c>
      <c r="G947" s="9" t="s">
        <v>384</v>
      </c>
      <c r="H947" s="8" t="s">
        <v>4459</v>
      </c>
      <c r="I947" s="8" t="s">
        <v>4460</v>
      </c>
      <c r="J947" s="9">
        <v>21.48</v>
      </c>
      <c r="K947" s="9">
        <v>6.0</v>
      </c>
      <c r="L947" s="8" t="s">
        <v>1684</v>
      </c>
      <c r="M947" s="8" t="s">
        <v>4461</v>
      </c>
      <c r="N947" s="7" t="str">
        <f>IFERROR(__xludf.DUMMYFUNCTION("GOOGLETRANSLATE(L947, ""en"", ""pt"")"),"Barman")</f>
        <v>Barman</v>
      </c>
      <c r="O947" s="7" t="str">
        <f>IFERROR(__xludf.DUMMYFUNCTION("IF(M947="""","""",GOOGLETRANSLATE(M947,""en"",""pt""))"),"Os bartenders serão responsáveis ​​por preparar e servir bebidas para sócios e convidados, anotar e registrar pedidos, servir comidas e bebidas, limpar copos e equipamentos do bar e garantir que o bar e as áreas de trabalho estejam limpos (incluindo pisos"&amp;" e tapetes diariamente) e bem abastecidos. Horário: 35 horas semanais. Aberto 7 dias por semana. O horário de trabalho pode variar e incluir turnos noturnos e de fim de semana. O trabalho pode ser realizado em qualquer dia da semana, de segunda a domingo."&amp;" Exemplos de turnos: 11h às 18h, 12h às 19h ou 15h às 22h. Os horários dos turnos podem variar. Consulte a descrição do cargo em anexo para obter mais informações. Classificação do Cargo: 35-3011.00 - Bartenders. A classificação e descrição do cargo/setor"&amp;" incluem informações gerais sobre a posição, de acordo com o ONET/OES e o Sistema de Classificação Industrial da América do Norte. Consulte as Funções e a Ordem de Serviço para obter mais informações. Requisitos da vaga Experiência necessária: Sim Meses d"&amp;"e experiência necessários: 6 Requisitos especiais: O contratante considerará para emprego qualquer pessoa que possua pelo menos seis (6) meses de experiência em um ambiente de alta gastronomia ou de grande movimento em um restaurante sofisticado, resort o"&amp;"u clube privado. O candidato deverá se submeter à verificação de antecedentes e ao exame toxicológico pré-admissional, às custas do empregador. Número de horas por semana: 35 Horário de trabalho (início/término): 11h00 - 18h00")</f>
        <v>Os bartenders serão responsáveis ​​por preparar e servir bebidas para sócios e convidados, anotar e registrar pedidos, servir comidas e bebidas, limpar copos e equipamentos do bar e garantir que o bar e as áreas de trabalho estejam limpos (incluindo pisos e tapetes diariamente) e bem abastecidos. Horário: 35 horas semanais. Aberto 7 dias por semana. O horário de trabalho pode variar e incluir turnos noturnos e de fim de semana. O trabalho pode ser realizado em qualquer dia da semana, de segunda a domingo. Exemplos de turnos: 11h às 18h, 12h às 19h ou 15h às 22h. Os horários dos turnos podem variar. Consulte a descrição do cargo em anexo para obter mais informações. Classificação do Cargo: 35-3011.00 - Bartenders. A classificação e descrição do cargo/setor incluem informações gerais sobre a posição, de acordo com o ONET/OES e o Sistema de Classificação Industrial da América do Norte. Consulte as Funções e a Ordem de Serviço para obter mais informações. Requisitos da vaga Experiência necessária: Sim Meses de experiência necessários: 6 Requisitos especiais: O contratante considerará para emprego qualquer pessoa que possua pelo menos seis (6) meses de experiência em um ambiente de alta gastronomia ou de grande movimento em um restaurante sofisticado, resort ou clube privado. O candidato deverá se submeter à verificação de antecedentes e ao exame toxicológico pré-admissional, às custas do empregador. Número de horas por semana: 35 Horário de trabalho (início/término): 11h00 - 18h00</v>
      </c>
    </row>
    <row r="948" ht="20.25" customHeight="1">
      <c r="A948" s="3" t="s">
        <v>4462</v>
      </c>
      <c r="B948" s="3" t="s">
        <v>4463</v>
      </c>
      <c r="C948" s="3" t="s">
        <v>4272</v>
      </c>
      <c r="D948" s="3" t="s">
        <v>306</v>
      </c>
      <c r="E948" s="4" t="s">
        <v>19</v>
      </c>
      <c r="F948" s="4" t="s">
        <v>20</v>
      </c>
      <c r="G948" s="4" t="s">
        <v>236</v>
      </c>
      <c r="H948" s="3" t="s">
        <v>4464</v>
      </c>
      <c r="I948" s="3" t="s">
        <v>4465</v>
      </c>
      <c r="J948" s="4">
        <v>19.93</v>
      </c>
      <c r="K948" s="4">
        <v>15.0</v>
      </c>
      <c r="L948" s="3" t="s">
        <v>59</v>
      </c>
      <c r="M948" s="3" t="s">
        <v>4466</v>
      </c>
      <c r="N948" s="7" t="str">
        <f>IFERROR(__xludf.DUMMYFUNCTION("GOOGLETRANSLATE(L948, ""en"", ""pt"")"),"Trabalhador de paisagismo")</f>
        <v>Trabalhador de paisagismo</v>
      </c>
      <c r="O948" s="7" t="str">
        <f>IFERROR(__xludf.DUMMYFUNCTION("IF(M948="""","""",GOOGLETRANSLATE(M948,""en"",""pt""))"),"Paisagismo e manutenção de terrenos utilizando ferramentas manuais ou elétricas. Os trabalhadores geralmente executam uma variedade de tarefas, que podem incluir qualquer combinação das seguintes: colocação de grama, corte de grama, poda, plantio, irrigaç"&amp;"ão, fertilização, escavação, rastelagem, instalação de sprinklers e instalação de blocos de concreto pré-moldados sem argamassa. Classificação da função: 37-3011.00 - Trabalhadores de Paisagismo e Manutenção de Terrenos. A classificação e descrição da fun"&amp;"ção/setor inclui informações gerais sobre o cargo, de acordo com o ONET/OES e o Sistema de Classificação Industrial da América do Norte (NAICS). Consulte as Funções e a Ordem de Serviço para obter mais informações. Requisitos da vaga: Experiência exigida:"&amp;" Sim. Meses de experiência exigidos: 3. Requisitos especiais: Nenhum. F.a.5 A-H: jornada de trabalho de 8 horas. Segunda a sexta-feira, das 7h às 16h. Trabalho aos sábados pode ser necessário. Possibilidade de horas extras, até 20 horas semanais. Número d"&amp;"e horas por semana: 40. Horário de trabalho (início/término): 7h. - 16:00")</f>
        <v>Paisagismo e manutenção de terrenos utilizando ferramentas manuais ou elétricas. Os trabalhadores geralmente executam uma variedade de tarefas, que podem incluir qualquer combinação das seguintes: colocação de grama, corte de grama, poda, plantio, irrigação, fertilização, escavação, rastelagem, instalação de sprinklers e instalação de blocos de concreto pré-moldados sem argamassa. Classificação da função: 37-3011.00 - Trabalhadores de Paisagismo e Manutenção de Terrenos. A classificação e descrição da função/setor inclui informações gerais sobre o cargo, de acordo com o ONET/OES e o Sistema de Classificação Industrial da América do Norte (NAICS). Consulte as Funções e a Ordem de Serviço para obter mais informações. Requisitos da vaga: Experiência exigida: Sim. Meses de experiência exigidos: 3. Requisitos especiais: Nenhum. F.a.5 A-H: jornada de trabalho de 8 horas. Segunda a sexta-feira, das 7h às 16h. Trabalho aos sábados pode ser necessário. Possibilidade de horas extras, até 20 horas semanais. Número de horas por semana: 40. Horário de trabalho (início/término): 7h. - 16:00</v>
      </c>
    </row>
    <row r="949" ht="20.25" customHeight="1">
      <c r="A949" s="8" t="s">
        <v>4467</v>
      </c>
      <c r="B949" s="8" t="s">
        <v>4468</v>
      </c>
      <c r="C949" s="8" t="s">
        <v>4272</v>
      </c>
      <c r="D949" s="8" t="s">
        <v>532</v>
      </c>
      <c r="E949" s="9" t="s">
        <v>44</v>
      </c>
      <c r="F949" s="9" t="s">
        <v>20</v>
      </c>
      <c r="G949" s="9" t="s">
        <v>377</v>
      </c>
      <c r="H949" s="8" t="s">
        <v>4469</v>
      </c>
      <c r="I949" s="8" t="s">
        <v>4470</v>
      </c>
      <c r="J949" s="9">
        <v>27.0</v>
      </c>
      <c r="K949" s="9">
        <v>1.0</v>
      </c>
      <c r="L949" s="8" t="s">
        <v>4471</v>
      </c>
      <c r="M949" s="8" t="s">
        <v>4472</v>
      </c>
      <c r="N949" s="7" t="str">
        <f>IFERROR(__xludf.DUMMYFUNCTION("GOOGLETRANSLATE(L949, ""en"", ""pt"")"),"Treinador de Futsal")</f>
        <v>Treinador de Futsal</v>
      </c>
      <c r="O949" s="7" t="str">
        <f>IFERROR(__xludf.DUMMYFUNCTION("IF(M949="""","""",GOOGLETRANSLATE(M949,""en"",""pt""))"),"Treinar individualmente e em equipe os diversos elementos técnicos e táticos do futsal (futebol de salão). Pode treinar jogadores em sessões individuais de aprimoramento técnico ou em equipe, por meio de jogos de liga e torneios. Classificação da vaga: 27"&amp;"-2022.00 - Treinadores e Observadores. A classificação e descrição da vaga/setor inclui informações gerais sobre o cargo, de acordo com o ONET/OES e o Sistema de Classificação Industrial da América do Norte. Consulte as Funções e a Ordem de Serviço para o"&amp;"bter mais informações. Requisitos da vaga: Experiência necessária: Sim. Meses de experiência necessários: 24. Requisitos especiais: Certificação de treinador de futsal juvenil obrigatória. F.a.5 A-H: Número variável de horas por dia de trabalho, dependend"&amp;"o do turno. De segunda a domingo, o horário varia entre 9h e 21h, com um dia inteiro de folga por semana. Possibilidade de horas extras. Número de horas por semana: 35. Horário de trabalho (início/término): 9h às 14h.")</f>
        <v>Treinar individualmente e em equipe os diversos elementos técnicos e táticos do futsal (futebol de salão). Pode treinar jogadores em sessões individuais de aprimoramento técnico ou em equipe, por meio de jogos de liga e torneios. Classificação da vaga: 27-2022.00 - Treinadores e Observadores. A classificação e descrição da vaga/setor inclui informações gerais sobre o cargo, de acordo com o ONET/OES e o Sistema de Classificação Industrial da América do Norte. Consulte as Funções e a Ordem de Serviço para obter mais informações. Requisitos da vaga: Experiência necessária: Sim. Meses de experiência necessários: 24. Requisitos especiais: Certificação de treinador de futsal juvenil obrigatória. F.a.5 A-H: Número variável de horas por dia de trabalho, dependendo do turno. De segunda a domingo, o horário varia entre 9h e 21h, com um dia inteiro de folga por semana. Possibilidade de horas extras. Número de horas por semana: 35. Horário de trabalho (início/término): 9h às 14h.</v>
      </c>
    </row>
    <row r="950" ht="20.25" customHeight="1">
      <c r="A950" s="3" t="s">
        <v>4473</v>
      </c>
      <c r="B950" s="3" t="s">
        <v>4474</v>
      </c>
      <c r="C950" s="3" t="s">
        <v>4272</v>
      </c>
      <c r="D950" s="3" t="s">
        <v>186</v>
      </c>
      <c r="E950" s="4" t="s">
        <v>19</v>
      </c>
      <c r="F950" s="4" t="s">
        <v>20</v>
      </c>
      <c r="G950" s="4" t="s">
        <v>212</v>
      </c>
      <c r="H950" s="3" t="s">
        <v>4475</v>
      </c>
      <c r="I950" s="3" t="s">
        <v>4476</v>
      </c>
      <c r="J950" s="4">
        <v>23.15</v>
      </c>
      <c r="K950" s="4">
        <v>10.0</v>
      </c>
      <c r="L950" s="3" t="s">
        <v>4328</v>
      </c>
      <c r="M950" s="3" t="s">
        <v>4477</v>
      </c>
      <c r="N950" s="7" t="str">
        <f>IFERROR(__xludf.DUMMYFUNCTION("GOOGLETRANSLATE(L950, ""en"", ""pt"")"),"Operário de construção de piscinas")</f>
        <v>Operário de construção de piscinas</v>
      </c>
      <c r="O950" s="7" t="str">
        <f>IFERROR(__xludf.DUMMYFUNCTION("IF(M950="""","""",GOOGLETRANSLATE(M950,""en"",""pt""))"),"Cavar valas e realizar demolições utilizando ferramentas manuais e elétricas. Auxiliar técnicos de piscinas fornecendo materiais e ferramentas. Limpar ou preparar canteiros de obras para eliminar possíveis riscos antes e depois da construção, utilizando v"&amp;"assouras, pás e carrinhos de mão. Classificação da Função: 47-2061.00 - Auxiliares de Construção. A classificação e descrição da função/setor inclui informações gerais sobre o cargo, de acordo com o ONET/OES e o Sistema de Classificação Industrial da Amér"&amp;"ica do Norte (NAICS). Consulte as Funções e a Ordem de Serviço para obter mais informações. Requisitos da Função: Experiência Necessária: Sim. Meses de Experiência Necessária: 6. Requisitos Especiais: N/A. F.a.5 A-H. (continuação): 8 horas por dia de trab"&amp;"alho. Segunda a sexta-feira: 7h às 16h. Trabalho aos sábados pode ser necessário. Até 15 horas extras por semana podem estar disponíveis. As horas extras variam. Número de Horas por Semana: 40. Horário de Trabalho (Início/Término): 7h. - 16:00")</f>
        <v>Cavar valas e realizar demolições utilizando ferramentas manuais e elétricas. Auxiliar técnicos de piscinas fornecendo materiais e ferramentas. Limpar ou preparar canteiros de obras para eliminar possíveis riscos antes e depois da construção, utilizando vassouras, pás e carrinhos de mão. Classificação da Função: 47-2061.00 - Auxiliares de Construção. A classificação e descrição da função/setor inclui informações gerais sobre o cargo, de acordo com o ONET/OES e o Sistema de Classificação Industrial da América do Norte (NAICS). Consulte as Funções e a Ordem de Serviço para obter mais informações. Requisitos da Função: Experiência Necessária: Sim. Meses de Experiência Necessária: 6. Requisitos Especiais: N/A. F.a.5 A-H. (continuação): 8 horas por dia de trabalho. Segunda a sexta-feira: 7h às 16h. Trabalho aos sábados pode ser necessário. Até 15 horas extras por semana podem estar disponíveis. As horas extras variam. Número de Horas por Semana: 40. Horário de Trabalho (Início/Término): 7h. - 16:00</v>
      </c>
    </row>
    <row r="951" ht="20.25" customHeight="1">
      <c r="A951" s="8" t="s">
        <v>4478</v>
      </c>
      <c r="B951" s="8" t="s">
        <v>4479</v>
      </c>
      <c r="C951" s="8" t="s">
        <v>3974</v>
      </c>
      <c r="D951" s="8" t="s">
        <v>28</v>
      </c>
      <c r="E951" s="9" t="s">
        <v>19</v>
      </c>
      <c r="F951" s="9" t="s">
        <v>20</v>
      </c>
      <c r="G951" s="9" t="s">
        <v>377</v>
      </c>
      <c r="H951" s="8" t="s">
        <v>4480</v>
      </c>
      <c r="I951" s="8" t="s">
        <v>4002</v>
      </c>
      <c r="J951" s="9">
        <v>24.39</v>
      </c>
      <c r="K951" s="9">
        <v>21.0</v>
      </c>
      <c r="L951" s="8" t="s">
        <v>3490</v>
      </c>
      <c r="M951" s="8" t="s">
        <v>4003</v>
      </c>
      <c r="N951" s="7" t="str">
        <f>IFERROR(__xludf.DUMMYFUNCTION("GOOGLETRANSLATE(L951, ""en"", ""pt"")"),"Marinheiro de convés, barco de pesca de ostras")</f>
        <v>Marinheiro de convés, barco de pesca de ostras</v>
      </c>
      <c r="O951" s="7" t="str">
        <f>IFERROR(__xludf.DUMMYFUNCTION("IF(M951="""","""",GOOGLETRANSLATE(M951,""en"",""pt""))"),"Utilizar redes, armadilhas, dragas ou outros equipamentos para colher e coletar ostras do fundo do mar, içá-las para os barcos, ensacá-las e empilhá-las. Descarregar os sacos do barco para o cais. Limpar o barco. Classificação da função: 45-3031.00 - Trab"&amp;"alhadores da Pesca e Caça. A classificação e descrição da função/setor inclui informações gerais sobre o cargo, de acordo com o ONET/OES e o Sistema de Classificação Industrial da América do Norte. Consulte as Funções e a Ordem de Serviço para obter mais "&amp;"informações. Requisitos da função: Experiência necessária: Não. Número de horas por semana: 40. Horário de trabalho (início/término): 6h às 14h.")</f>
        <v>Utilizar redes, armadilhas, dragas ou outros equipamentos para colher e coletar ostras do fundo do mar, içá-las para os barcos, ensacá-las e empilhá-las. Descarregar os sacos do barco para o cais. Limpar o barco. Classificação da função: 45-3031.00 - Trabalhadores da Pesca e Caça. A classificação e descrição da função/setor inclui informações gerais sobre o cargo, de acordo com o ONET/OES e o Sistema de Classificação Industrial da América do Norte. Consulte as Funções e a Ordem de Serviço para obter mais informações. Requisitos da função: Experiência necessária: Não. Número de horas por semana: 40. Horário de trabalho (início/término): 6h às 14h.</v>
      </c>
    </row>
    <row r="952" ht="20.25" customHeight="1">
      <c r="A952" s="3" t="s">
        <v>4481</v>
      </c>
      <c r="B952" s="3" t="s">
        <v>4240</v>
      </c>
      <c r="C952" s="3" t="s">
        <v>4241</v>
      </c>
      <c r="D952" s="3" t="s">
        <v>1031</v>
      </c>
      <c r="E952" s="4" t="s">
        <v>19</v>
      </c>
      <c r="F952" s="4" t="s">
        <v>20</v>
      </c>
      <c r="G952" s="4" t="s">
        <v>377</v>
      </c>
      <c r="H952" s="3" t="s">
        <v>4242</v>
      </c>
      <c r="I952" s="3" t="s">
        <v>4243</v>
      </c>
      <c r="J952" s="4">
        <v>28.08</v>
      </c>
      <c r="K952" s="4">
        <v>1.0</v>
      </c>
      <c r="L952" s="3" t="s">
        <v>387</v>
      </c>
      <c r="M952" s="3" t="s">
        <v>4482</v>
      </c>
      <c r="N952" s="7" t="str">
        <f>IFERROR(__xludf.DUMMYFUNCTION("GOOGLETRANSLATE(L952, ""en"", ""pt"")"),"Ordem de serviço não disponível")</f>
        <v>Ordem de serviço não disponível</v>
      </c>
      <c r="O952" s="7" t="str">
        <f>IFERROR(__xludf.DUMMYFUNCTION("IF(M952="""","""",GOOGLETRANSLATE(M952,""en"",""pt""))"),"Os cozinheiros serão responsáveis ​​por preparar, temperar e cozinhar sopas, carnes, legumes, sobremesas e outros pratos em um restaurante. Horário: 35 horas semanais. O horário de trabalho pode variar e incluir turnos noturnos, fins de semana e feriados."&amp;" O trabalho pode ser realizado em qualquer dia da semana, de segunda a domingo. Exemplos de turnos: das 15h às 22h, das 7h30 às 14h30 ou das 11h30 às 18h30. Os horários dos turnos podem variar. Consulte a descrição da vaga em anexo para obter mais detalhe"&amp;"s. Classificação da vaga: 35-2014.00 - Cozinheiros, Restaurante. A classificação e a descrição da vaga/setor incluem informações gerais sobre o cargo, de acordo com o ONET/OES e o Sistema de Classificação Industrial da América do Norte (NAICS). Consulte a"&amp;"s Funções e a Ordem de Serviço para obter mais informações. Requisitos da vaga Experiência necessária: Sim Meses de experiência necessários: 12 Requisitos especiais: O contratante considerará para emprego qualquer pessoa que possua pelo menos um (1) ano d"&amp;"e experiência culinária em um ambiente de alta gastronomia ou de grande movimento em um restaurante sofisticado, resort ou clube privado. O candidato deverá se submeter à verificação de antecedentes e referências pré-emprego, às custas do empregador. Núme"&amp;"ro de horas por semana: 35 Horário de trabalho (início/término): 15h00 - 22h00")</f>
        <v>Os cozinheiros serão responsáveis ​​por preparar, temperar e cozinhar sopas, carnes, legumes, sobremesas e outros pratos em um restaurante. Horário: 35 horas semanais. O horário de trabalho pode variar e incluir turnos noturnos, fins de semana e feriados. O trabalho pode ser realizado em qualquer dia da semana, de segunda a domingo. Exemplos de turnos: das 15h às 22h, das 7h30 às 14h30 ou das 11h30 às 18h30. Os horários dos turnos podem variar. Consulte a descrição da vaga em anexo para obter mais detalhes. Classificação da vaga: 35-2014.00 - Cozinheiros, Restaurante. A classificação e a descrição da vaga/setor incluem informações gerais sobre o cargo, de acordo com o ONET/OES e o Sistema de Classificação Industrial da América do Norte (NAICS). Consulte as Funções e a Ordem de Serviço para obter mais informações. Requisitos da vaga Experiência necessária: Sim Meses de experiência necessários: 12 Requisitos especiais: O contratante considerará para emprego qualquer pessoa que possua pelo menos um (1) ano de experiência culinária em um ambiente de alta gastronomia ou de grande movimento em um restaurante sofisticado, resort ou clube privado. O candidato deverá se submeter à verificação de antecedentes e referências pré-emprego, às custas do empregador. Número de horas por semana: 35 Horário de trabalho (início/término): 15h00 - 22h00</v>
      </c>
    </row>
    <row r="953" ht="20.25" customHeight="1">
      <c r="A953" s="8" t="s">
        <v>4483</v>
      </c>
      <c r="B953" s="8" t="s">
        <v>4240</v>
      </c>
      <c r="C953" s="8" t="s">
        <v>4241</v>
      </c>
      <c r="D953" s="8" t="s">
        <v>1031</v>
      </c>
      <c r="E953" s="9" t="s">
        <v>44</v>
      </c>
      <c r="F953" s="9" t="s">
        <v>20</v>
      </c>
      <c r="G953" s="9" t="s">
        <v>377</v>
      </c>
      <c r="H953" s="8" t="s">
        <v>4242</v>
      </c>
      <c r="I953" s="8" t="s">
        <v>4243</v>
      </c>
      <c r="J953" s="9">
        <v>35.11</v>
      </c>
      <c r="K953" s="9">
        <v>1.0</v>
      </c>
      <c r="L953" s="8" t="s">
        <v>3402</v>
      </c>
      <c r="M953" s="8" t="s">
        <v>4484</v>
      </c>
      <c r="N953" s="7" t="str">
        <f>IFERROR(__xludf.DUMMYFUNCTION("GOOGLETRANSLATE(L953, ""en"", ""pt"")"),"Supervisor de Alimentos e Bebidas")</f>
        <v>Supervisor de Alimentos e Bebidas</v>
      </c>
      <c r="O953" s="7" t="str">
        <f>IFERROR(__xludf.DUMMYFUNCTION("IF(M953="""","""",GOOGLETRANSLATE(M953,""en"",""pt""))"),"Os Supervisores de Alimentos e Bebidas serão responsáveis ​​por supervisionar e coordenar diretamente as atividades dos funcionários envolvidos na preparação e no serviço de alimentos nos restaurantes, incluindo eventos privados e banquetes ocasionais. Ta"&amp;"mbém serão responsáveis ​​por organizar o salão, anotar e registrar os pedidos dos clientes, transportar bandejas, servir alimentos e bebidas, recepcionar os clientes e limpar e desocupar as mesas. Poderão supervisionar até quinze (15) Garçons, Bartenders"&amp;" e Auxiliares de Garçom. Horário: 35 horas semanais. O horário de trabalho pode variar e incluir turnos noturnos, fins de semana e feriados. O trabalho pode ser realizado em qualquer dia da semana, de segunda a domingo. Exemplos de turnos: 7h às 14h, 11h "&amp;"às 18h ou 16h às 23h. Os horários dos turnos podem variar. Consulte a descrição do cargo em anexo para obter mais detalhes. Classificação da Função: 35-1012.00 - Supervisores de Primeira Linha de Preparadores e Servidores de Alimentos. A classificação e d"&amp;"escrição da função/setor inclui informações gerais sobre o cargo, de acordo com o ONET/OES e o Sistema de Classificação Industrial da América do Norte (NAICS). Consulte as Funções e a Ordem de Serviço para obter mais informações. Requisitos da Função Expe"&amp;"riência Necessária: Sim Meses de Experiência Necessários: 12 Requisitos Especiais: O contratante considerará para emprego qualquer pessoa que possua pelo menos um (1) ano de experiência em um restaurante de alta gastronomia ou em uma operação de alimentos"&amp;" e bebidas de grande volume em um restaurante sofisticado, resort ou clube privado. O candidato deverá se submeter à verificação de antecedentes e referências pré-emprego, às custas do empregador. Número de Horas por Semana: 35 Horário de Trabalho (Início"&amp;"/Término): 7h00 - 14h00")</f>
        <v>Os Supervisores de Alimentos e Bebidas serão responsáveis ​​por supervisionar e coordenar diretamente as atividades dos funcionários envolvidos na preparação e no serviço de alimentos nos restaurantes, incluindo eventos privados e banquetes ocasionais. Também serão responsáveis ​​por organizar o salão, anotar e registrar os pedidos dos clientes, transportar bandejas, servir alimentos e bebidas, recepcionar os clientes e limpar e desocupar as mesas. Poderão supervisionar até quinze (15) Garçons, Bartenders e Auxiliares de Garçom. Horário: 35 horas semanais. O horário de trabalho pode variar e incluir turnos noturnos, fins de semana e feriados. O trabalho pode ser realizado em qualquer dia da semana, de segunda a domingo. Exemplos de turnos: 7h às 14h, 11h às 18h ou 16h às 23h. Os horários dos turnos podem variar. Consulte a descrição do cargo em anexo para obter mais detalhes. Classificação da Função: 35-1012.00 - Supervisores de Primeira Linha de Preparadores e Servidores de Alimentos. A classificação e descrição da função/setor inclui informações gerais sobre o cargo, de acordo com o ONET/OES e o Sistema de Classificação Industrial da América do Norte (NAICS). Consulte as Funções e a Ordem de Serviço para obter mais informações. Requisitos da Função Experiência Necessária: Sim Meses de Experiência Necessários: 12 Requisitos Especiais: O contratante considerará para emprego qualquer pessoa que possua pelo menos um (1) ano de experiência em um restaurante de alta gastronomia ou em uma operação de alimentos e bebidas de grande volume em um restaurante sofisticado, resort ou clube privado. O candidato deverá se submeter à verificação de antecedentes e referências pré-emprego, às custas do empregador. Número de Horas por Semana: 35 Horário de Trabalho (Início/Término): 7h00 - 14h00</v>
      </c>
    </row>
    <row r="954" ht="20.25" customHeight="1">
      <c r="A954" s="3" t="s">
        <v>4485</v>
      </c>
      <c r="B954" s="3" t="s">
        <v>4486</v>
      </c>
      <c r="C954" s="3" t="s">
        <v>4241</v>
      </c>
      <c r="D954" s="3" t="s">
        <v>71</v>
      </c>
      <c r="E954" s="4" t="s">
        <v>19</v>
      </c>
      <c r="F954" s="4" t="s">
        <v>20</v>
      </c>
      <c r="G954" s="4" t="s">
        <v>4487</v>
      </c>
      <c r="H954" s="3" t="s">
        <v>4488</v>
      </c>
      <c r="I954" s="3" t="s">
        <v>4489</v>
      </c>
      <c r="J954" s="4">
        <v>19.0</v>
      </c>
      <c r="K954" s="4">
        <v>12.0</v>
      </c>
      <c r="L954" s="3" t="s">
        <v>1206</v>
      </c>
      <c r="M954" s="3" t="s">
        <v>4490</v>
      </c>
      <c r="N954" s="7" t="str">
        <f>IFERROR(__xludf.DUMMYFUNCTION("GOOGLETRANSLATE(L954, ""en"", ""pt"")"),"Servidor")</f>
        <v>Servidor</v>
      </c>
      <c r="O954" s="7" t="str">
        <f>IFERROR(__xludf.DUMMYFUNCTION("IF(M954="""","""",GOOGLETRANSLATE(M954,""en"",""pt""))"),"***Resposta à Solicitação de Informações*** “Preparação do salão de jantar e/ou banquetes” – isso consiste em arrumar as mesas do salão de jantar com itens como toalhas de mesa, talheres, copos, louças, guardanapos, cardápios, utensílios, pratos e decoraç"&amp;"ão de mesa. Os funcionários também prepararão os banquetes, organizando mesas e cadeiras, e montando estações de buffet, rechauds, estações de bebidas e jogos americanos. As ferramentas e equipamentos utilizados são bandejas, carrinhos e plataformas para "&amp;"cadeiras para preparar e organizar o salão de jantar e os banquetes. Essas funções se limitam à preparação das áreas de jantar e banquetes para o serviço de alimentos e bebidas e não incluem qualquer trabalho de construção, manutenção ou instalação técnic"&amp;"a. ***Original*** Os garçons serão responsáveis ​​por preparar o salão de jantar e/ou banquetes, anotar e registrar os pedidos dos clientes, transportar bandejas, servir alimentos e bebidas e limpar e retirar as mesas. Horário: 35 horas por semana. O horá"&amp;"rio de trabalho pode variar e incluir noites, fins de semana e feriados. O trabalho pode ser realizado em qualquer dia da semana, de segunda a domingo. Exemplos de turnos: 16h00 às 23h00 ou turno dividido das 11h30 às 15h00 e das 17h30 às 21h00. Os horári"&amp;"os dos turnos podem variar. Consulte a descrição da vaga para obter mais informações. Classificação da vaga: 35-3031.00 - Garçons e Garçonetes. A classificação e a descrição da vaga/setor incluem informações gerais sobre o cargo, de acordo com o ONET/OES "&amp;"e o Sistema de Classificação Industrial da América do Norte (NAICS). Consulte as Funções e a Ordem de Serviço para obter mais informações. Requisitos da vaga: Experiência exigida: Sim. Meses de experiência exigidos: 6. Requisitos especiais: O contratante "&amp;"considerará para emprego qualquer pessoa que possua pelo menos seis (6) meses de experiência em atendimento em um ambiente de alta gastronomia ou de grande movimento, em um restaurante sofisticado, resort ou clube privado. O candidato deverá se submeter à"&amp;" verificação de antecedentes e ao exame toxicológico pré-admissional, às custas do empregador. Número de horas por semana: 35. Horário de trabalho (início/término): 16h00. - 23:00")</f>
        <v>***Resposta à Solicitação de Informações*** “Preparação do salão de jantar e/ou banquetes” – isso consiste em arrumar as mesas do salão de jantar com itens como toalhas de mesa, talheres, copos, louças, guardanapos, cardápios, utensílios, pratos e decoração de mesa. Os funcionários também prepararão os banquetes, organizando mesas e cadeiras, e montando estações de buffet, rechauds, estações de bebidas e jogos americanos. As ferramentas e equipamentos utilizados são bandejas, carrinhos e plataformas para cadeiras para preparar e organizar o salão de jantar e os banquetes. Essas funções se limitam à preparação das áreas de jantar e banquetes para o serviço de alimentos e bebidas e não incluem qualquer trabalho de construção, manutenção ou instalação técnica. ***Original*** Os garçons serão responsáveis ​​por preparar o salão de jantar e/ou banquetes, anotar e registrar os pedidos dos clientes, transportar bandejas, servir alimentos e bebidas e limpar e retirar as mesas. Horário: 35 horas por semana. O horário de trabalho pode variar e incluir noites, fins de semana e feriados. O trabalho pode ser realizado em qualquer dia da semana, de segunda a domingo. Exemplos de turnos: 16h00 às 23h00 ou turno dividido das 11h30 às 15h00 e das 17h30 às 21h00. Os horários dos turnos podem variar. Consulte a descrição da vaga para obter mais informações. Classificação da vaga: 35-3031.00 - Garçons e Garçonetes. A classificação e a descrição da vaga/setor incluem informações gerais sobre o cargo, de acordo com o ONET/OES e o Sistema de Classificação Industrial da América do Norte (NAICS). Consulte as Funções e a Ordem de Serviço para obter mais informações. Requisitos da vaga: Experiência exigida: Sim. Meses de experiência exigidos: 6. Requisitos especiais: O contratante considerará para emprego qualquer pessoa que possua pelo menos seis (6) meses de experiência em atendimento em um ambiente de alta gastronomia ou de grande movimento, em um restaurante sofisticado, resort ou clube privado. O candidato deverá se submeter à verificação de antecedentes e ao exame toxicológico pré-admissional, às custas do empregador. Número de horas por semana: 35. Horário de trabalho (início/término): 16h00. - 23:00</v>
      </c>
    </row>
    <row r="955" ht="20.25" customHeight="1">
      <c r="A955" s="8" t="s">
        <v>4491</v>
      </c>
      <c r="B955" s="8" t="s">
        <v>4492</v>
      </c>
      <c r="C955" s="8" t="s">
        <v>4247</v>
      </c>
      <c r="D955" s="8" t="s">
        <v>71</v>
      </c>
      <c r="E955" s="9" t="s">
        <v>19</v>
      </c>
      <c r="F955" s="9" t="s">
        <v>20</v>
      </c>
      <c r="G955" s="9" t="s">
        <v>4493</v>
      </c>
      <c r="H955" s="8" t="s">
        <v>4494</v>
      </c>
      <c r="I955" s="8" t="s">
        <v>4495</v>
      </c>
      <c r="J955" s="9">
        <v>19.02</v>
      </c>
      <c r="K955" s="9">
        <v>14.0</v>
      </c>
      <c r="L955" s="8" t="s">
        <v>4250</v>
      </c>
      <c r="M955" s="8" t="s">
        <v>4496</v>
      </c>
      <c r="N955" s="7" t="str">
        <f>IFERROR(__xludf.DUMMYFUNCTION("GOOGLETRANSLATE(L955, ""en"", ""pt"")"),"49-9098: Ajudantes — Trabalhos de instalação, manutenção e reparo")</f>
        <v>49-9098: Ajudantes — Trabalhos de instalação, manutenção e reparo</v>
      </c>
      <c r="O955" s="7" t="str">
        <f>IFERROR(__xludf.DUMMYFUNCTION("IF(M955="""","""",GOOGLETRANSLATE(M955,""en"",""pt""))"),"Auxiliar os trabalhadores de instalação, manutenção e reparo na manutenção, substituição de peças e reparo de veículos, máquinas industriais e equipamentos elétricos e eletrônicos. Executar tarefas como fornecer ferramentas, materiais e suprimentos para o"&amp;"utros trabalhadores; limpar a área de trabalho, máquinas e ferramentas; e segurar materiais ou ferramentas para outros trabalhadores. Classificação da vaga: 49-9098.00 - Auxiliares - Trabalhadores de Instalação, Manutenção e Reparo. A classificação e desc"&amp;"rição da vaga/setor inclui informações gerais sobre a posição, de acordo com o ONET/OES e o Sistema de Classificação Industrial da América do Norte (NAICS). Consulte as Funções e a Ordem de Serviço para obter mais informações. Requisitos da vaga: Experiên"&amp;"cia exigida: Não. Requisitos especiais: Testes aleatórios de drogas e verificação de antecedentes criminais após a contratação podem ser exigidos, sem custo para o trabalhador. A vaga exige que o candidato seja qualificado, esteja pronto, disposto, apto e"&amp;" disponível para trabalhar durante todo o período de emprego no local de trabalho designado; para firmar e cumprir o contrato de trabalho; e para seguir as normas do local de trabalho. Número de horas por semana: 35. Horário de trabalho (início/término): "&amp;"9h. - 17h00")</f>
        <v>Auxiliar os trabalhadores de instalação, manutenção e reparo na manutenção, substituição de peças e reparo de veículos, máquinas industriais e equipamentos elétricos e eletrônicos. Executar tarefas como fornecer ferramentas, materiais e suprimentos para outros trabalhadores; limpar a área de trabalho, máquinas e ferramentas; e segurar materiais ou ferramentas para outros trabalhadores. Classificação da vaga: 49-9098.00 - Auxiliares - Trabalhadores de Instalação, Manutenção e Reparo. A classificação e descrição da vaga/setor inclui informações gerais sobre a posição, de acordo com o ONET/OES e o Sistema de Classificação Industrial da América do Norte (NAICS). Consulte as Funções e a Ordem de Serviço para obter mais informações. Requisitos da vaga: Experiência exigida: Não. Requisitos especiais: Testes aleatórios de drogas e verificação de antecedentes criminais após a contratação podem ser exigidos, sem custo para o trabalhador. A vaga exige que o candidato seja qualificado, esteja pronto, disposto, apto e disponível para trabalhar durante todo o período de emprego no local de trabalho designado; para firmar e cumprir o contrato de trabalho; e para seguir as normas do local de trabalho. Número de horas por semana: 35. Horário de trabalho (início/término): 9h. - 17h00</v>
      </c>
    </row>
    <row r="956" ht="20.25" customHeight="1">
      <c r="A956" s="3" t="s">
        <v>4497</v>
      </c>
      <c r="B956" s="3" t="s">
        <v>4498</v>
      </c>
      <c r="C956" s="3" t="s">
        <v>4247</v>
      </c>
      <c r="D956" s="3" t="s">
        <v>71</v>
      </c>
      <c r="E956" s="4" t="s">
        <v>19</v>
      </c>
      <c r="F956" s="4" t="s">
        <v>20</v>
      </c>
      <c r="G956" s="4" t="s">
        <v>1222</v>
      </c>
      <c r="H956" s="3" t="s">
        <v>4499</v>
      </c>
      <c r="I956" s="3" t="s">
        <v>4500</v>
      </c>
      <c r="J956" s="4">
        <v>20.04</v>
      </c>
      <c r="K956" s="4">
        <v>20.0</v>
      </c>
      <c r="L956" s="3" t="s">
        <v>4250</v>
      </c>
      <c r="M956" s="3" t="s">
        <v>4251</v>
      </c>
      <c r="N956" s="7" t="str">
        <f>IFERROR(__xludf.DUMMYFUNCTION("GOOGLETRANSLATE(L956, ""en"", ""pt"")"),"49-9098: Ajudantes — Trabalhos de instalação, manutenção e reparo")</f>
        <v>49-9098: Ajudantes — Trabalhos de instalação, manutenção e reparo</v>
      </c>
      <c r="O956" s="7" t="str">
        <f>IFERROR(__xludf.DUMMYFUNCTION("IF(M956="""","""",GOOGLETRANSLATE(M956,""en"",""pt""))"),"Auxiliar os trabalhadores de instalação, manutenção e reparo na manutenção, substituição de peças e reparo de veículos, máquinas industriais e equipamentos elétricos e eletrônicos. Executar tarefas como fornecer ferramentas, materiais e suprimentos para o"&amp;"utros trabalhadores; limpar a área de trabalho, máquinas e ferramentas; e segurar materiais ou ferramentas para outros trabalhadores. Classificação da vaga: 49-9098.00 - Auxiliares - Trabalhadores de Instalação, Manutenção e Reparo. A classificação e desc"&amp;"rição da vaga/setor inclui informações gerais sobre a posição, de acordo com o ONET/OES e o Sistema de Classificação Industrial da América do Norte (NAICS). Consulte as Funções e a Ordem de Serviço para obter mais informações. Requisitos da vaga: Experiên"&amp;"cia exigida: Não. Requisitos especiais: Testes aleatórios de drogas e verificação de antecedentes criminais após a contratação podem ser exigidos, sem custo para o trabalhador. A vaga exige que o candidato seja qualificado, esteja pronto, disposto, apto e"&amp;" disponível para trabalhar durante todo o período de emprego no local de trabalho designado; para firmar e cumprir o contrato de trabalho; e para seguir as normas do local de trabalho. Número de horas por semana: 35. Horário de trabalho (início/término): "&amp;"8h. - 16:00")</f>
        <v>Auxiliar os trabalhadores de instalação, manutenção e reparo na manutenção, substituição de peças e reparo de veículos, máquinas industriais e equipamentos elétricos e eletrônicos. Executar tarefas como fornecer ferramentas, materiais e suprimentos para outros trabalhadores; limpar a área de trabalho, máquinas e ferramentas; e segurar materiais ou ferramentas para outros trabalhadores. Classificação da vaga: 49-9098.00 - Auxiliares - Trabalhadores de Instalação, Manutenção e Reparo. A classificação e descrição da vaga/setor inclui informações gerais sobre a posição, de acordo com o ONET/OES e o Sistema de Classificação Industrial da América do Norte (NAICS). Consulte as Funções e a Ordem de Serviço para obter mais informações. Requisitos da vaga: Experiência exigida: Não. Requisitos especiais: Testes aleatórios de drogas e verificação de antecedentes criminais após a contratação podem ser exigidos, sem custo para o trabalhador. A vaga exige que o candidato seja qualificado, esteja pronto, disposto, apto e disponível para trabalhar durante todo o período de emprego no local de trabalho designado; para firmar e cumprir o contrato de trabalho; e para seguir as normas do local de trabalho. Número de horas por semana: 35. Horário de trabalho (início/término): 8h. - 16:00</v>
      </c>
    </row>
    <row r="957" ht="20.25" customHeight="1">
      <c r="A957" s="8" t="s">
        <v>4501</v>
      </c>
      <c r="B957" s="8" t="s">
        <v>4502</v>
      </c>
      <c r="C957" s="8" t="s">
        <v>4247</v>
      </c>
      <c r="D957" s="8" t="s">
        <v>64</v>
      </c>
      <c r="E957" s="9" t="s">
        <v>44</v>
      </c>
      <c r="F957" s="9" t="s">
        <v>20</v>
      </c>
      <c r="G957" s="9" t="s">
        <v>369</v>
      </c>
      <c r="H957" s="8" t="s">
        <v>4503</v>
      </c>
      <c r="I957" s="8" t="s">
        <v>4504</v>
      </c>
      <c r="J957" s="9">
        <v>18.63</v>
      </c>
      <c r="K957" s="9">
        <v>30.0</v>
      </c>
      <c r="L957" s="8" t="s">
        <v>4250</v>
      </c>
      <c r="M957" s="8" t="s">
        <v>4496</v>
      </c>
      <c r="N957" s="7" t="str">
        <f>IFERROR(__xludf.DUMMYFUNCTION("GOOGLETRANSLATE(L957, ""en"", ""pt"")"),"49-9098: Ajudantes — Trabalhos de instalação, manutenção e reparo")</f>
        <v>49-9098: Ajudantes — Trabalhos de instalação, manutenção e reparo</v>
      </c>
      <c r="O957" s="7" t="str">
        <f>IFERROR(__xludf.DUMMYFUNCTION("IF(M957="""","""",GOOGLETRANSLATE(M957,""en"",""pt""))"),"Auxiliar os trabalhadores de instalação, manutenção e reparo na manutenção, substituição de peças e reparo de veículos, máquinas industriais e equipamentos elétricos e eletrônicos. Executar tarefas como fornecer ferramentas, materiais e suprimentos para o"&amp;"utros trabalhadores; limpar a área de trabalho, máquinas e ferramentas; e segurar materiais ou ferramentas para outros trabalhadores. Classificação da vaga: 49-9098.00 - Auxiliares - Trabalhadores de Instalação, Manutenção e Reparo. A classificação e desc"&amp;"rição da vaga/setor inclui informações gerais sobre a posição, de acordo com o ONET/OES e o Sistema de Classificação Industrial da América do Norte (NAICS). Consulte as Funções e a Ordem de Serviço para obter mais informações. Requisitos da vaga: Experiên"&amp;"cia exigida: Não. Requisitos especiais: Testes aleatórios de drogas e verificação de antecedentes criminais após a contratação podem ser exigidos, sem custo para o trabalhador. A vaga exige que o candidato seja qualificado, esteja pronto, disposto, apto e"&amp;" disponível para trabalhar durante todo o período de emprego no local de trabalho designado; para firmar e cumprir o contrato de trabalho; e para seguir as normas do local de trabalho. Número de horas por semana: 35. Horário de trabalho (início/término): "&amp;"9h. - 17h00")</f>
        <v>Auxiliar os trabalhadores de instalação, manutenção e reparo na manutenção, substituição de peças e reparo de veículos, máquinas industriais e equipamentos elétricos e eletrônicos. Executar tarefas como fornecer ferramentas, materiais e suprimentos para outros trabalhadores; limpar a área de trabalho, máquinas e ferramentas; e segurar materiais ou ferramentas para outros trabalhadores. Classificação da vaga: 49-9098.00 - Auxiliares - Trabalhadores de Instalação, Manutenção e Reparo. A classificação e descrição da vaga/setor inclui informações gerais sobre a posição, de acordo com o ONET/OES e o Sistema de Classificação Industrial da América do Norte (NAICS). Consulte as Funções e a Ordem de Serviço para obter mais informações. Requisitos da vaga: Experiência exigida: Não. Requisitos especiais: Testes aleatórios de drogas e verificação de antecedentes criminais após a contratação podem ser exigidos, sem custo para o trabalhador. A vaga exige que o candidato seja qualificado, esteja pronto, disposto, apto e disponível para trabalhar durante todo o período de emprego no local de trabalho designado; para firmar e cumprir o contrato de trabalho; e para seguir as normas do local de trabalho. Número de horas por semana: 35. Horário de trabalho (início/término): 9h. - 17h00</v>
      </c>
    </row>
    <row r="958" ht="20.25" customHeight="1">
      <c r="A958" s="3" t="s">
        <v>4505</v>
      </c>
      <c r="B958" s="3" t="s">
        <v>4506</v>
      </c>
      <c r="C958" s="3" t="s">
        <v>4507</v>
      </c>
      <c r="D958" s="3" t="s">
        <v>596</v>
      </c>
      <c r="E958" s="4" t="s">
        <v>19</v>
      </c>
      <c r="F958" s="4" t="s">
        <v>20</v>
      </c>
      <c r="G958" s="4" t="s">
        <v>1286</v>
      </c>
      <c r="H958" s="3" t="s">
        <v>4508</v>
      </c>
      <c r="I958" s="3" t="s">
        <v>4509</v>
      </c>
      <c r="J958" s="4">
        <v>22.08</v>
      </c>
      <c r="K958" s="4">
        <v>3.0</v>
      </c>
      <c r="L958" s="3" t="s">
        <v>4510</v>
      </c>
      <c r="M958" s="3" t="s">
        <v>4511</v>
      </c>
      <c r="N958" s="7" t="str">
        <f>IFERROR(__xludf.DUMMYFUNCTION("GOOGLETRANSLATE(L958, ""en"", ""pt"")"),"Trabalhador de tenda")</f>
        <v>Trabalhador de tenda</v>
      </c>
      <c r="O958" s="7" t="str">
        <f>IFERROR(__xludf.DUMMYFUNCTION("IF(M958="""","""",GOOGLETRANSLATE(M958,""en"",""pt""))"),"Entregar e instalar tendas, mesas, cadeiras, pistas de dança e outros itens para festas/aluguel para diversos eventos recreativos. Carregar e descarregar caminhões. Manter o inventário de equipamentos, armazenando e recuperando itens, e montando e desmont"&amp;"ando equipamentos conforme necessário. Inspecionar equipamentos para detectar desgaste e danos e realizar pequenos reparos, ajustes ou tarefas de manutenção, incluindo limpeza e organização de itens. Classificação da vaga: 53-7062.00 - Operários e Movimen"&amp;"tadores de Carga, Estoque e Materiais. A classificação e descrição da vaga/setor incluem informações gerais sobre o cargo, de acordo com o ONET/OES e o Sistema de Classificação Industrial da América do Norte (NAICS). Consulte as Funções e a Ordem de Servi"&amp;"ço para obter mais informações. Requisitos da vaga: Experiência necessária: Não. Requisitos especiais: Capacidade de levantar até 34-45 kg. Horário e carga horária variam. Número de horas por semana: 54. Horário de trabalho (início/término): 6h às 15h.")</f>
        <v>Entregar e instalar tendas, mesas, cadeiras, pistas de dança e outros itens para festas/aluguel para diversos eventos recreativos. Carregar e descarregar caminhões. Manter o inventário de equipamentos, armazenando e recuperando itens, e montando e desmontando equipamentos conforme necessário. Inspecionar equipamentos para detectar desgaste e danos e realizar pequenos reparos, ajustes ou tarefas de manutenção, incluindo limpeza e organização de itens. Classificação da vaga: 53-7062.00 - Operários e Movimentadores de Carga, Estoque e Materiais. A classificação e descrição da vaga/setor incluem informações gerais sobre o cargo, de acordo com o ONET/OES e o Sistema de Classificação Industrial da América do Norte (NAICS). Consulte as Funções e a Ordem de Serviço para obter mais informações. Requisitos da vaga: Experiência necessária: Não. Requisitos especiais: Capacidade de levantar até 34-45 kg. Horário e carga horária variam. Número de horas por semana: 54. Horário de trabalho (início/término): 6h às 15h.</v>
      </c>
    </row>
    <row r="959" ht="20.25" customHeight="1">
      <c r="A959" s="8" t="s">
        <v>4512</v>
      </c>
      <c r="B959" s="8" t="s">
        <v>4513</v>
      </c>
      <c r="C959" s="8" t="s">
        <v>4514</v>
      </c>
      <c r="D959" s="8" t="s">
        <v>71</v>
      </c>
      <c r="E959" s="9" t="s">
        <v>19</v>
      </c>
      <c r="F959" s="9" t="s">
        <v>20</v>
      </c>
      <c r="G959" s="9" t="s">
        <v>2339</v>
      </c>
      <c r="H959" s="8" t="s">
        <v>4515</v>
      </c>
      <c r="I959" s="8" t="s">
        <v>4516</v>
      </c>
      <c r="J959" s="9">
        <v>18.57</v>
      </c>
      <c r="K959" s="9">
        <v>7.0</v>
      </c>
      <c r="L959" s="8" t="s">
        <v>4517</v>
      </c>
      <c r="M959" s="8" t="s">
        <v>4518</v>
      </c>
      <c r="N959" s="7" t="str">
        <f>IFERROR(__xludf.DUMMYFUNCTION("GOOGLETRANSLATE(L959, ""en"", ""pt"")"),"tratador de estábulo")</f>
        <v>tratador de estábulo</v>
      </c>
      <c r="O959" s="7" t="str">
        <f>IFERROR(__xludf.DUMMYFUNCTION("IF(M959="""","""",GOOGLETRANSLATE(M959,""en"",""pt""))"),"Limpar estábulo, escovar, dar água e alimentar os cavalos, e prestar cuidados gerais. Este trabalho temporário oferece salário de US$ 18,57 a US$ 22,00 por hora, dependendo da experiência e do desempenho. Possibilidade de horas extras (0 a 10 horas semana"&amp;"is), com pagamento de US$ 27,86 a US$ 33,00 por hora. O salário será calculado com base em uma semana de trabalho, paga quinzenalmente. O horário de trabalho é das 7h às 16h, totalizando 40 horas semanais. O período de trabalho é de 01/10/2026 a 30/05/202"&amp;"7. Um bônus discricionário poderá ser concedido a critério do empregador. Possibilidade de trabalho aos sábados, quando necessário. Todos os descontos obrigatórios por lei serão feitos no contracheque do trabalhador. O empregador fornecerá gratuitamente t"&amp;"odas as ferramentas, materiais e equipamentos necessários para a execução do trabalho. O empregador garante oferecer trabalho equivalente a pelo menos três quartos dos dias úteis em cada período de 12 semanas do período total de emprego. Os trabalhadores "&amp;"com visto H-2B receberão reembolso na primeira semana de trabalho por todas as taxas de visto, processamento de visto, travessia de fronteira e outras taxas relacionadas, incluindo aquelas exigidas pelo governo (exceto taxas de passaporte). O transporte ("&amp;"incluindo refeições e, na medida do necessário, hospedagem) até o local de trabalho será fornecido, ou seu custo reembolsado aos trabalhadores, caso completem metade do período de trabalho. O empregador concorda em reembolsar as despesas de transporte e s"&amp;"ubsistência de ida (subsistência de no mínimo US$ 16,78 por dia, sem recibos, até um máximo de US$ 68,00 por dia, com recibos) do local de onde o trabalhador veio trabalhar para o empregador, seja nos EUA ou no exterior, até o local de trabalho. O transpo"&amp;"rte e a subsistência de retorno serão fornecidos se o trabalhador completar o período de trabalho ou for dispensado antecipadamente pelo empregador. Os candidatos interessados ​​e qualificados podem entrar em contato diretamente com o empregador: enviar c"&amp;"urrículo para: Jenna Weinfurt, 91 Kennedy Avenue, Bluepoint, NY 11715; Os candidatos interessados ​​e qualificados também podem entrar em contato com a Career Source South Florida, 801 NE 167 St., North Miami Beach, FL 33162, pelo telefone 305 654-7175. C"&amp;"lassificação da vaga: 39-2021.00 - Cuidadores de Animais. A classificação e descrição da vaga/setor incluem informações gerais sobre o cargo, de acordo com o ONET/OES e o Sistema de Classificação Industrial da América do Norte (NAICS). Consulte as atribui"&amp;"ções e a descrição da vaga para obter mais informações. Requisitos da vaga: Experiência necessária: Não. Número de horas por semana: 40. Horário de trabalho (início/término): 7h às 16h.")</f>
        <v>Limpar estábulo, escovar, dar água e alimentar os cavalos, e prestar cuidados gerais. Este trabalho temporário oferece salário de US$ 18,57 a US$ 22,00 por hora, dependendo da experiência e do desempenho. Possibilidade de horas extras (0 a 10 horas semanais), com pagamento de US$ 27,86 a US$ 33,00 por hora. O salário será calculado com base em uma semana de trabalho, paga quinzenalmente. O horário de trabalho é das 7h às 16h, totalizando 40 horas semanais. O período de trabalho é de 01/10/2026 a 30/05/2027. Um bônus discricionário poderá ser concedido a critério do empregador. Possibilidade de trabalho aos sábados, quando necessário. Todos os descontos obrigatórios por lei serão feitos no contracheque do trabalhador. O empregador fornecerá gratuitamente todas as ferramentas, materiais e equipamentos necessários para a execução do trabalho. O empregador garante oferecer trabalho equivalente a pelo menos três quartos dos dias úteis em cada período de 12 semanas do período total de emprego. Os trabalhadores com visto H-2B receberão reembolso na primeira semana de trabalho por todas as taxas de visto, processamento de visto, travessia de fronteira e outras taxas relacionadas, incluindo aquelas exigidas pelo governo (exceto taxas de passaporte). O transporte (incluindo refeições e, na medida do necessário, hospedagem) até o local de trabalho será fornecido, ou seu custo reembolsado aos trabalhadores, caso completem metade do período de trabalho. O empregador concorda em reembolsar as despesas de transporte e subsistência de ida (subsistência de no mínimo US$ 16,78 por dia, sem recibos, até um máximo de US$ 68,00 por dia, com recibos) do local de onde o trabalhador veio trabalhar para o empregador, seja nos EUA ou no exterior, até o local de trabalho. O transporte e a subsistência de retorno serão fornecidos se o trabalhador completar o período de trabalho ou for dispensado antecipadamente pelo empregador. Os candidatos interessados ​​e qualificados podem entrar em contato diretamente com o empregador: enviar currículo para: Jenna Weinfurt, 91 Kennedy Avenue, Bluepoint, NY 11715; Os candidatos interessados ​​e qualificados também podem entrar em contato com a Career Source South Florida, 801 NE 167 St., North Miami Beach, FL 33162, pelo telefone 305 654-7175. Classificação da vaga: 39-2021.00 - Cuidadores de Animais. A classificação e descrição da vaga/setor incluem informações gerais sobre o cargo, de acordo com o ONET/OES e o Sistema de Classificação Industrial da América do Norte (NAICS). Consulte as atribuições e a descrição da vaga para obter mais informações. Requisitos da vaga: Experiência necessária: Não. Número de horas por semana: 40. Horário de trabalho (início/término): 7h às 16h.</v>
      </c>
    </row>
    <row r="960" ht="20.25" customHeight="1">
      <c r="A960" s="3" t="s">
        <v>4519</v>
      </c>
      <c r="B960" s="3" t="s">
        <v>4520</v>
      </c>
      <c r="C960" s="3" t="s">
        <v>4507</v>
      </c>
      <c r="D960" s="3" t="s">
        <v>4521</v>
      </c>
      <c r="E960" s="4" t="s">
        <v>19</v>
      </c>
      <c r="F960" s="4" t="s">
        <v>20</v>
      </c>
      <c r="G960" s="4" t="s">
        <v>404</v>
      </c>
      <c r="H960" s="3" t="s">
        <v>4522</v>
      </c>
      <c r="I960" s="3" t="s">
        <v>4523</v>
      </c>
      <c r="J960" s="4">
        <v>17.88</v>
      </c>
      <c r="K960" s="4">
        <v>6.0</v>
      </c>
      <c r="L960" s="3" t="s">
        <v>4524</v>
      </c>
      <c r="M960" s="3" t="s">
        <v>4525</v>
      </c>
      <c r="N960" s="7" t="str">
        <f>IFERROR(__xludf.DUMMYFUNCTION("GOOGLETRANSLATE(L960, ""en"", ""pt"")"),"Barista")</f>
        <v>Barista</v>
      </c>
      <c r="O960" s="7" t="str">
        <f>IFERROR(__xludf.DUMMYFUNCTION("IF(M960="""","""",GOOGLETRANSLATE(M960,""en"",""pt""))"),"Responsável por preparar e servir café e outras bebidas aos clientes. As funções incluem trabalhar com outros baristas para ajudar a receber pedidos, preparar bebidas e fornecer um serviço ágil aos clientes. Servir alimentos como muffins, bagels e sanduíc"&amp;"hes. Receber os clientes de forma amigável e anotar os pedidos de comida e bebida. Responder às perguntas dos clientes sobre as opções do cardápio. Receber pagamentos dos clientes. Manter o estoque e os equipamentos limpos, solucionando problemas e agenda"&amp;"ndo reparos. Manter o ambiente de trabalho higienizado e organizado. Classificação da vaga: 35-3023.01 - Baristas. A classificação e descrição da vaga/setor incluem informações gerais sobre o cargo, de acordo com o ONET/OES e o Sistema de Classificação In"&amp;"dustrial da América do Norte. Consulte as Funções e a Ordem de Serviço para obter mais informações. Requisitos da vaga: Experiência necessária: Não. Requisitos especiais: Capacidade de ficar em pé por longos períodos. 40 horas semanais, em turnos rotativo"&amp;"s das 5h às 13h; das 7h às 15h; e das 9h às 16h (segunda a domingo). Número de horas por semana: 56 Horário de trabalho (início/término): 5h00 - 13h00")</f>
        <v>Responsável por preparar e servir café e outras bebidas aos clientes. As funções incluem trabalhar com outros baristas para ajudar a receber pedidos, preparar bebidas e fornecer um serviço ágil aos clientes. Servir alimentos como muffins, bagels e sanduíches. Receber os clientes de forma amigável e anotar os pedidos de comida e bebida. Responder às perguntas dos clientes sobre as opções do cardápio. Receber pagamentos dos clientes. Manter o estoque e os equipamentos limpos, solucionando problemas e agendando reparos. Manter o ambiente de trabalho higienizado e organizado. Classificação da vaga: 35-3023.01 - Baristas. A classificação e descrição da vaga/setor incluem informações gerais sobre o cargo, de acordo com o ONET/OES e o Sistema de Classificação Industrial da América do Norte. Consulte as Funções e a Ordem de Serviço para obter mais informações. Requisitos da vaga: Experiência necessária: Não. Requisitos especiais: Capacidade de ficar em pé por longos períodos. 40 horas semanais, em turnos rotativos das 5h às 13h; das 7h às 15h; e das 9h às 16h (segunda a domingo). Número de horas por semana: 56 Horário de trabalho (início/término): 5h00 - 13h00</v>
      </c>
    </row>
    <row r="961" ht="20.25" customHeight="1">
      <c r="A961" s="8" t="s">
        <v>4526</v>
      </c>
      <c r="B961" s="8" t="s">
        <v>4527</v>
      </c>
      <c r="C961" s="8" t="s">
        <v>4507</v>
      </c>
      <c r="D961" s="8" t="s">
        <v>71</v>
      </c>
      <c r="E961" s="9" t="s">
        <v>44</v>
      </c>
      <c r="F961" s="9" t="s">
        <v>20</v>
      </c>
      <c r="G961" s="9" t="s">
        <v>404</v>
      </c>
      <c r="H961" s="8" t="s">
        <v>4528</v>
      </c>
      <c r="I961" s="8" t="s">
        <v>4529</v>
      </c>
      <c r="J961" s="9">
        <v>18.57</v>
      </c>
      <c r="K961" s="9">
        <v>16.0</v>
      </c>
      <c r="L961" s="8" t="s">
        <v>4517</v>
      </c>
      <c r="M961" s="8" t="s">
        <v>4530</v>
      </c>
      <c r="N961" s="7" t="str">
        <f>IFERROR(__xludf.DUMMYFUNCTION("GOOGLETRANSLATE(L961, ""en"", ""pt"")"),"tratador de estábulo")</f>
        <v>tratador de estábulo</v>
      </c>
      <c r="O961" s="7" t="str">
        <f>IFERROR(__xludf.DUMMYFUNCTION("IF(M961="""","""",GOOGLETRANSLATE(M961,""en"",""pt""))"),"Cuidados diários com cavalos/preparação de cavalos para treinamento/corridas. Alimentar/dar água ao cavalo, limpar arreios, dar banho, escovar e tosar o cavalo, colocar botas e preparar o cavalo para ser selado para corridas. Limpar os cascos do cavalo, c"&amp;"olocar/remover bandagens/botas e selar para treinamento. Dar banho/resfriar o cavalo após o treinamento/corrida. Auxiliar o veterinário e o ferrador. Limpar/trocar a cama das baias. Lavar o cavalo com água fria/morna. Enfaixar o cavalo com talas ou bandag"&amp;"ens de cataplasma, conforme necessário. Classificação da vaga: 39-2021.00 - Cuidadores de Animais. A classificação e descrição da vaga/setor inclui informações gerais sobre a posição, de acordo com o ONET/OES e o Sistema de Classificação Industrial da Amé"&amp;"rica do Norte. Consulte as Funções e a Ordem de Serviço para obter mais informações. Requisitos da vaga: Experiência necessária: Sim. Meses de experiência necessários: 1. Requisitos especiais: Capacidade de levantar 68 kg com auxílio. Testes aleatórios de"&amp;" drogas poderão ser realizados após a contratação, às custas do empregador, para todos os funcionários, tanto nacionais quanto com visto H-2B, para a segurança dos cavalos e dos trabalhadores. É necessário 1 mês de experiência como tratador/auxiliar de es"&amp;"tábulo. Turnos divididos: 5h às 11h e 15h às 17h. Trabalho aos fins de semana, quando necessário. O horário pode variar de acordo com as condições climáticas e o calendário de corridas. Número de horas por semana: 40. Horário de trabalho (início/término):"&amp;" 5h às 17h.")</f>
        <v>Cuidados diários com cavalos/preparação de cavalos para treinamento/corridas. Alimentar/dar água ao cavalo, limpar arreios, dar banho, escovar e tosar o cavalo, colocar botas e preparar o cavalo para ser selado para corridas. Limpar os cascos do cavalo, colocar/remover bandagens/botas e selar para treinamento. Dar banho/resfriar o cavalo após o treinamento/corrida. Auxiliar o veterinário e o ferrador. Limpar/trocar a cama das baias. Lavar o cavalo com água fria/morna. Enfaixar o cavalo com talas ou bandagens de cataplasma, conforme necessário. Classificação da vaga: 39-2021.00 - Cuidadores de Animais. A classificação e descrição da vaga/setor inclui informações gerais sobre a posição, de acordo com o ONET/OES e o Sistema de Classificação Industrial da América do Norte. Consulte as Funções e a Ordem de Serviço para obter mais informações. Requisitos da vaga: Experiência necessária: Sim. Meses de experiência necessários: 1. Requisitos especiais: Capacidade de levantar 68 kg com auxílio. Testes aleatórios de drogas poderão ser realizados após a contratação, às custas do empregador, para todos os funcionários, tanto nacionais quanto com visto H-2B, para a segurança dos cavalos e dos trabalhadores. É necessário 1 mês de experiência como tratador/auxiliar de estábulo. Turnos divididos: 5h às 11h e 15h às 17h. Trabalho aos fins de semana, quando necessário. O horário pode variar de acordo com as condições climáticas e o calendário de corridas. Número de horas por semana: 40. Horário de trabalho (início/término): 5h às 17h.</v>
      </c>
    </row>
    <row r="962" ht="20.25" customHeight="1">
      <c r="A962" s="3" t="s">
        <v>4531</v>
      </c>
      <c r="B962" s="3" t="s">
        <v>4532</v>
      </c>
      <c r="C962" s="3" t="s">
        <v>4241</v>
      </c>
      <c r="D962" s="3" t="s">
        <v>71</v>
      </c>
      <c r="E962" s="4" t="s">
        <v>44</v>
      </c>
      <c r="F962" s="4" t="s">
        <v>20</v>
      </c>
      <c r="G962" s="4" t="s">
        <v>345</v>
      </c>
      <c r="H962" s="3" t="s">
        <v>4533</v>
      </c>
      <c r="I962" s="3" t="s">
        <v>4534</v>
      </c>
      <c r="J962" s="4">
        <v>21.0</v>
      </c>
      <c r="K962" s="4">
        <v>3.0</v>
      </c>
      <c r="L962" s="3" t="s">
        <v>4535</v>
      </c>
      <c r="M962" s="3" t="s">
        <v>4536</v>
      </c>
      <c r="N962" s="7" t="str">
        <f>IFERROR(__xludf.DUMMYFUNCTION("GOOGLETRANSLATE(L962, ""en"", ""pt"")"),"Atendente de servidor/vestiário")</f>
        <v>Atendente de servidor/vestiário</v>
      </c>
      <c r="O962" s="7" t="str">
        <f>IFERROR(__xludf.DUMMYFUNCTION("IF(M962="""","""",GOOGLETRANSLATE(M962,""en"",""pt""))"),"Os funcionários de atendimento/vestiário serão responsáveis ​​por recepcionar os sócios, preparar as áreas de refeição, anotar e registrar pedidos, transportar bandejas e pratos, servir alimentos e bebidas no vestiário/refeitório e na área de concessões, "&amp;"limpar e desocupar mesas, montar e desmontar eventos (ou seja, mover mesas e cadeiras do depósito para o salão de banquetes, organizar mesas e cadeiras e colocar e retirar a louça), responder a perguntas dos sócios, engraxar sapatos, recolher roupas de ca"&amp;"ma sujas para lavagem e garantir a limpeza da área dos vestiários. Horário: 40 horas semanais. A escala de trabalho pode variar e incluir turnos noturnos, fins de semana e feriados. O trabalho pode ser realizado em qualquer dia da semana, de segunda a dom"&amp;"ingo. Exemplos de turnos: das 9h às 17h, das 11h às 19h ou das 7h às 15h. Os horários dos turnos podem variar. Consulte a descrição da vaga em anexo para obter mais informações. Classificação da Função: 35-3031.00 - Garçons e Garçonetes. A classificação e"&amp;" descrição da função/setor inclui informações gerais sobre o cargo, de acordo com o ONET/OES e o Sistema de Classificação Industrial da América do Norte. Consulte as Funções e a Ordem de Serviço para obter mais informações. Requisitos da Função Experiênci"&amp;"a Necessária: Sim Meses de Experiência Necessários: 3 Requisitos Especiais: O contratante considerará para emprego qualquer pessoa que possua pelo menos três (3) meses de experiência em um ambiente de alta gastronomia ou de grande movimento em um restaura"&amp;"nte sofisticado, resort ou clube privado. O candidato deverá se submeter à verificação de antecedentes e ao exame toxicológico pré-admissional, às custas do empregador. Número de Horas por Semana: 40 Horário de Trabalho (Início/Término): 9h às 17h")</f>
        <v>Os funcionários de atendimento/vestiário serão responsáveis ​​por recepcionar os sócios, preparar as áreas de refeição, anotar e registrar pedidos, transportar bandejas e pratos, servir alimentos e bebidas no vestiário/refeitório e na área de concessões, limpar e desocupar mesas, montar e desmontar eventos (ou seja, mover mesas e cadeiras do depósito para o salão de banquetes, organizar mesas e cadeiras e colocar e retirar a louça), responder a perguntas dos sócios, engraxar sapatos, recolher roupas de cama sujas para lavagem e garantir a limpeza da área dos vestiários. Horário: 40 horas semanais. A escala de trabalho pode variar e incluir turnos noturnos, fins de semana e feriados. O trabalho pode ser realizado em qualquer dia da semana, de segunda a domingo. Exemplos de turnos: das 9h às 17h, das 11h às 19h ou das 7h às 15h. Os horários dos turnos podem variar. Consulte a descrição da vaga em anexo para obter mais informações. Classificação da Função: 35-3031.00 - Garçons e Garçonetes. A classificação e descrição da função/setor inclui informações gerais sobre o cargo, de acordo com o ONET/OES e o Sistema de Classificação Industrial da América do Norte. Consulte as Funções e a Ordem de Serviço para obter mais informações. Requisitos da Função Experiência Necessária: Sim Meses de Experiência Necessários: 3 Requisitos Especiais: O contratante considerará para emprego qualquer pessoa que possua pelo menos três (3) meses de experiência em um ambiente de alta gastronomia ou de grande movimento em um restaurante sofisticado, resort ou clube privado. O candidato deverá se submeter à verificação de antecedentes e ao exame toxicológico pré-admissional, às custas do empregador. Número de Horas por Semana: 40 Horário de Trabalho (Início/Término): 9h às 17h</v>
      </c>
    </row>
    <row r="963" ht="20.25" customHeight="1">
      <c r="A963" s="8" t="s">
        <v>4537</v>
      </c>
      <c r="B963" s="8" t="s">
        <v>4538</v>
      </c>
      <c r="C963" s="8" t="s">
        <v>3974</v>
      </c>
      <c r="D963" s="8" t="s">
        <v>28</v>
      </c>
      <c r="E963" s="9" t="s">
        <v>19</v>
      </c>
      <c r="F963" s="9" t="s">
        <v>20</v>
      </c>
      <c r="G963" s="9" t="s">
        <v>377</v>
      </c>
      <c r="H963" s="8" t="s">
        <v>4539</v>
      </c>
      <c r="I963" s="8" t="s">
        <v>4002</v>
      </c>
      <c r="J963" s="9">
        <v>24.39</v>
      </c>
      <c r="K963" s="9">
        <v>20.0</v>
      </c>
      <c r="L963" s="8" t="s">
        <v>3490</v>
      </c>
      <c r="M963" s="8" t="s">
        <v>4003</v>
      </c>
      <c r="N963" s="7" t="str">
        <f>IFERROR(__xludf.DUMMYFUNCTION("GOOGLETRANSLATE(L963, ""en"", ""pt"")"),"Marinheiro de convés, barco de pesca de ostras")</f>
        <v>Marinheiro de convés, barco de pesca de ostras</v>
      </c>
      <c r="O963" s="7" t="str">
        <f>IFERROR(__xludf.DUMMYFUNCTION("IF(M963="""","""",GOOGLETRANSLATE(M963,""en"",""pt""))"),"Utilizar redes, armadilhas, dragas ou outros equipamentos para colher e coletar ostras do fundo do mar, içá-las para os barcos, ensacá-las e empilhá-las. Descarregar os sacos do barco para o cais. Limpar o barco. Classificação da função: 45-3031.00 - Trab"&amp;"alhadores da Pesca e Caça. A classificação e descrição da função/setor inclui informações gerais sobre o cargo, de acordo com o ONET/OES e o Sistema de Classificação Industrial da América do Norte. Consulte as Funções e a Ordem de Serviço para obter mais "&amp;"informações. Requisitos da função: Experiência necessária: Não. Número de horas por semana: 40. Horário de trabalho (início/término): 6h às 14h.")</f>
        <v>Utilizar redes, armadilhas, dragas ou outros equipamentos para colher e coletar ostras do fundo do mar, içá-las para os barcos, ensacá-las e empilhá-las. Descarregar os sacos do barco para o cais. Limpar o barco. Classificação da função: 45-3031.00 - Trabalhadores da Pesca e Caça. A classificação e descrição da função/setor inclui informações gerais sobre o cargo, de acordo com o ONET/OES e o Sistema de Classificação Industrial da América do Norte. Consulte as Funções e a Ordem de Serviço para obter mais informações. Requisitos da função: Experiência necessária: Não. Número de horas por semana: 40. Horário de trabalho (início/término): 6h às 14h.</v>
      </c>
    </row>
    <row r="964" ht="20.25" customHeight="1">
      <c r="A964" s="8" t="s">
        <v>4540</v>
      </c>
      <c r="B964" s="8" t="s">
        <v>4541</v>
      </c>
      <c r="C964" s="8" t="s">
        <v>391</v>
      </c>
      <c r="D964" s="8" t="s">
        <v>278</v>
      </c>
      <c r="E964" s="9" t="s">
        <v>44</v>
      </c>
      <c r="F964" s="9" t="s">
        <v>20</v>
      </c>
      <c r="G964" s="9" t="s">
        <v>56</v>
      </c>
      <c r="H964" s="14" t="s">
        <v>4542</v>
      </c>
      <c r="I964" s="8" t="s">
        <v>4543</v>
      </c>
      <c r="J964" s="9">
        <v>20.04</v>
      </c>
      <c r="K964" s="9">
        <v>5.0</v>
      </c>
      <c r="L964" s="8" t="s">
        <v>59</v>
      </c>
      <c r="M964" s="8" t="s">
        <v>4544</v>
      </c>
      <c r="N964" s="7" t="str">
        <f>IFERROR(__xludf.DUMMYFUNCTION("GOOGLETRANSLATE(L964, ""en"", ""pt"")"),"Trabalhador de paisagismo")</f>
        <v>Trabalhador de paisagismo</v>
      </c>
      <c r="O964" s="7" t="str">
        <f>IFERROR(__xludf.DUMMYFUNCTION("IF(M964="""","""",GOOGLETRANSLATE(M964,""en"",""pt""))"),"Paisagismo ou manutenção de terrenos utilizando ferramentas manuais ou elétricas. Colocação de grama, corte de grama, aparo/acabamento de bordas, plantio, capina, rega, rastelamento, varrição de folhas; uso de pá manual para cavar buracos para instalação "&amp;"de plantas, árvores, arbustos ou sistemas de irrigação, com até 60 cm de profundidade e 90 cm de largura. Espalhamento de sementes, fertilizantes e cobertura morta; trabalho no solo para podar ou aparar árvores, arbustos ou sebes utilizando tesouras de po"&amp;"da, podadores ou motosserras; aeração do solo; instalação/reparo de sprinklers, instalação de blocos de concreto pré-moldados sem argamassa. Manutenção dos equipamentos para garantir o funcionamento adequado. Atividades auxiliares: Pode dirigir caminhão o"&amp;"u outro veículo para transportar plantas, materiais e ferramentas de/para os locais de trabalho. Mínimo de 35 horas semanais, podendo chegar a 40 horas semanais. Dias normais de trabalho: segunda a sexta-feira, das 7h às 16h, com uma hora de almoço não re"&amp;"munerada. Os dias e horários de trabalho podem variar conforme as condições climáticas. Trabalho aos sábados conforme necessário. $20,04/hora. O empregador poderá aumentar o salário com base na experiência, nas mudanças nas condições de mercado e/ou ofere"&amp;"cer remuneração adicional por desempenho e tempo de serviço. Será pago adicional por horas extras quando exigido por lei federal, estadual ou local, incluindo hora e meia após 40 horas semanais. Geralmente, quando houver horas extras disponíveis, o pagame"&amp;"nto será de $30,06/hora, com base na localidade onde o trabalho é realizado e no salário-base oferecido por hora. O cálculo dos salários devidos será feito com base em uma única semana de trabalho. Pagamento semanal. Programa de bônus baseado em produtivi"&amp;"dade e assiduidade disponível. Transporte diário fornecido do local de trabalho principal no Condado de Sarpy para vários locais de trabalho nos Condados de Douglas, Sarpy, Cass, Washington e Saunders, Nebraska. O empregador fornecerá ao trabalhador, sem "&amp;"custo, todas as ferramentas, suprimentos, equipamentos e uniforme necessários para a execução do trabalho. Classificação da vaga: 37-3011.00 - Trabalhadores de Paisagismo e Manutenção de Áreas Verdes. A classificação e descrição da vaga/setor inclui infor"&amp;"mações gerais sobre o cargo, conforme o ONET/OES e o Sistema de Classificação Industrial da América do Norte (NAICS). Consulte as Funções e a Ordem de Serviço para obter mais informações. Requisitos da vaga: Experiência exigida: Não. Requisitos especiais:"&amp;" É necessário passar por verificação de antecedentes criminais e exame toxicológico após a contratação. Os custos são pagos pelo empregador e aplicados igualmente a todos os trabalhadores, americanos e estrangeiros/H-2B. É necessário ser capaz de levantar"&amp;" 23 kg. É necessário ter disponibilidade para trabalhar 5 dias por semana, incluindo fins de semana e feriados, conforme necessário. Os candidatos devem preencher uma ficha de inscrição. Número de horas por semana: 40. Horário de trabalho (início/término)"&amp;": 7h às 16h.")</f>
        <v>Paisagismo ou manutenção de terrenos utilizando ferramentas manuais ou elétricas. Colocação de grama, corte de grama, aparo/acabamento de bordas, plantio, capina, rega, rastelamento, varrição de folhas; uso de pá manual para cavar buracos para instalação de plantas, árvores, arbustos ou sistemas de irrigação, com até 60 cm de profundidade e 90 cm de largura. Espalhamento de sementes, fertilizantes e cobertura morta; trabalho no solo para podar ou aparar árvores, arbustos ou sebes utilizando tesouras de poda, podadores ou motosserras; aeração do solo; instalação/reparo de sprinklers, instalação de blocos de concreto pré-moldados sem argamassa. Manutenção dos equipamentos para garantir o funcionamento adequado. Atividades auxiliares: Pode dirigir caminhão ou outro veículo para transportar plantas, materiais e ferramentas de/para os locais de trabalho. Mínimo de 35 horas semanais, podendo chegar a 40 horas semanais. Dias normais de trabalho: segunda a sexta-feira, das 7h às 16h, com uma hora de almoço não remunerada. Os dias e horários de trabalho podem variar conforme as condições climáticas. Trabalho aos sábados conforme necessário. $20,04/hora. O empregador poderá aumentar o salário com base na experiência, nas mudanças nas condições de mercado e/ou oferecer remuneração adicional por desempenho e tempo de serviço. Será pago adicional por horas extras quando exigido por lei federal, estadual ou local, incluindo hora e meia após 40 horas semanais. Geralmente, quando houver horas extras disponíveis, o pagamento será de $30,06/hora, com base na localidade onde o trabalho é realizado e no salário-base oferecido por hora. O cálculo dos salários devidos será feito com base em uma única semana de trabalho. Pagamento semanal. Programa de bônus baseado em produtividade e assiduidade disponível. Transporte diário fornecido do local de trabalho principal no Condado de Sarpy para vários locais de trabalho nos Condados de Douglas, Sarpy, Cass, Washington e Saunders, Nebraska. O empregador fornecerá ao trabalhador, sem custo, todas as ferramentas, suprimentos, equipamentos e uniforme necessários para a execução do trabalho. Classificação da vaga: 37-3011.00 - Trabalhadores de Paisagismo e Manutenção de Áreas Verdes. A classificação e descrição da vaga/setor inclui informações gerais sobre o cargo, conforme o ONET/OES e o Sistema de Classificação Industrial da América do Norte (NAICS). Consulte as Funções e a Ordem de Serviço para obter mais informações. Requisitos da vaga: Experiência exigida: Não. Requisitos especiais: É necessário passar por verificação de antecedentes criminais e exame toxicológico após a contratação. Os custos são pagos pelo empregador e aplicados igualmente a todos os trabalhadores, americanos e estrangeiros/H-2B. É necessário ser capaz de levantar 23 kg. É necessário ter disponibilidade para trabalhar 5 dias por semana, incluindo fins de semana e feriados, conforme necessário. Os candidatos devem preencher uma ficha de inscrição. Número de horas por semana: 40. Horário de trabalho (início/término): 7h às 16h.</v>
      </c>
    </row>
    <row r="965" ht="20.25" customHeight="1">
      <c r="A965" s="8" t="s">
        <v>4545</v>
      </c>
      <c r="B965" s="8" t="s">
        <v>4546</v>
      </c>
      <c r="C965" s="8" t="s">
        <v>4241</v>
      </c>
      <c r="D965" s="8" t="s">
        <v>4521</v>
      </c>
      <c r="E965" s="9" t="s">
        <v>44</v>
      </c>
      <c r="F965" s="9" t="s">
        <v>20</v>
      </c>
      <c r="G965" s="9" t="s">
        <v>404</v>
      </c>
      <c r="H965" s="8" t="s">
        <v>4547</v>
      </c>
      <c r="I965" s="8" t="s">
        <v>4548</v>
      </c>
      <c r="J965" s="9">
        <v>20.72</v>
      </c>
      <c r="K965" s="9">
        <v>12.0</v>
      </c>
      <c r="L965" s="8" t="s">
        <v>4549</v>
      </c>
      <c r="M965" s="8" t="s">
        <v>4550</v>
      </c>
      <c r="N965" s="7" t="str">
        <f>IFERROR(__xludf.DUMMYFUNCTION("GOOGLETRANSLATE(L965, ""en"", ""pt"")"),"Trabalhador de serviços de alimentação")</f>
        <v>Trabalhador de serviços de alimentação</v>
      </c>
      <c r="O965" s="7" t="str">
        <f>IFERROR(__xludf.DUMMYFUNCTION("IF(M965="""","""",GOOGLETRANSLATE(M965,""en"",""pt""))"),"***Resposta à Solicitação de Informações*** Os tipos de alimentos que os funcionários do serviço de alimentação prepararão incluem sanduíches, saladas e sobremesas geladas. Para preparar esses itens, eles utilizarão equipamentos de cozinha padrão, como co"&amp;"lheres, facas, fatiadores, batedeiras, fogões, fornos e fritadeiras. Os funcionários prepararão esses itens tanto para pedidos individuais quanto em grandes quantidades para os pontos de venda de comida para viagem. A tarefa específica de receber pagament"&amp;"os dos clientes consiste em registrar as compras no caixa do refeitório. Para isso, utilizarão o terminal de ponto de venda (PDV). Além de receber pagamentos, os funcionários do serviço de alimentação podem, ocasionalmente, anotar pedidos, o que é feito a"&amp;"trás do balcão do refeitório. A tarefa específica de organizar as áreas do refeitório consiste em mover e reorganizar cadeiras e mesas de acordo com as necessidades do local. Não são utilizadas ferramentas ou equipamentos específicos para essa tarefa. ***"&amp;"Original*** Os funcionários de serviços de alimentação serão responsáveis ​​por servir comida aos clientes, cozinhar ou preparar itens alimentícios, como sanduíches, saladas e sobremesas, utilizando receitas padrão ou seguindo instruções, preparar e embal"&amp;"ar pedidos, receber pagamentos, organizar e abastecer a área de preparação, arrumar as áreas do salão de refeições, incluindo mesas e cadeiras, e realizar tarefas de limpeza, como aspirar levemente a área de trabalho, lavar louças e utensílios utilizados "&amp;"na preparação de alimentos. Os funcionários de serviços de alimentação trabalham em pousadas, restaurantes, eventos de banquetes e quiosques móveis no Resort. Eles também ajudarão na manutenção das áreas de serviço externas, docas de carga, entradas de ed"&amp;"ifícios e áreas de descarte de lixo, removendo neve e espalhando areia/sedimento. Além disso, os funcionários de serviços de alimentação receberão e interagirão com nossos hóspedes, praticando nossos Padrões de Hospitalidade, sendo amigáveis ​​e prestativ"&amp;"os nas áreas de refeições e nas filas de distribuição de alimentos. Horário: 35 horas por semana. O horário de trabalho pode variar e incluir noites, fins de semana e feriados. O trabalho pode ser realizado em qualquer dia da semana, de segunda a domingo."&amp;" Exemplo de turno: das 7h às 14h. O horário de trabalho pode variar. Consulte a descrição da vaga em anexo para obter mais informações. Classificação da vaga: 35-2014.00 - Cozinheiros, Restaurante. A classificação e descrição da vaga/setor incluem informa"&amp;"ções gerais sobre o cargo, de acordo com o ONET/OES e o Sistema de Classificação Industrial da América do Norte (NAICS). Consulte as Funções e a Ordem de Serviço para obter mais informações. Requisitos da vaga: Experiência exigida: Sim. Meses de experiênc"&amp;"ia exigidos: 3. Requisitos especiais: O contratante considerará para emprego qualquer pessoa que possua pelo menos três (3) meses de experiência em atendimento ao cliente em restaurante, resort, clube privado ou ambiente turístico. O candidato poderá ser "&amp;"obrigado a realizar um teste de COVID-19 pré-admissional, cumprir um período de quarentena e/ou apresentar comprovante de vacinação contra COVID-19, se exigido pelas diretrizes estaduais, federais ou da empresa no momento da contratação. Número de horas p"&amp;"or semana: 35. Horário de trabalho (início/término): 7h às 14h.")</f>
        <v>***Resposta à Solicitação de Informações*** Os tipos de alimentos que os funcionários do serviço de alimentação prepararão incluem sanduíches, saladas e sobremesas geladas. Para preparar esses itens, eles utilizarão equipamentos de cozinha padrão, como colheres, facas, fatiadores, batedeiras, fogões, fornos e fritadeiras. Os funcionários prepararão esses itens tanto para pedidos individuais quanto em grandes quantidades para os pontos de venda de comida para viagem. A tarefa específica de receber pagamentos dos clientes consiste em registrar as compras no caixa do refeitório. Para isso, utilizarão o terminal de ponto de venda (PDV). Além de receber pagamentos, os funcionários do serviço de alimentação podem, ocasionalmente, anotar pedidos, o que é feito atrás do balcão do refeitório. A tarefa específica de organizar as áreas do refeitório consiste em mover e reorganizar cadeiras e mesas de acordo com as necessidades do local. Não são utilizadas ferramentas ou equipamentos específicos para essa tarefa. ***Original*** Os funcionários de serviços de alimentação serão responsáveis ​​por servir comida aos clientes, cozinhar ou preparar itens alimentícios, como sanduíches, saladas e sobremesas, utilizando receitas padrão ou seguindo instruções, preparar e embalar pedidos, receber pagamentos, organizar e abastecer a área de preparação, arrumar as áreas do salão de refeições, incluindo mesas e cadeiras, e realizar tarefas de limpeza, como aspirar levemente a área de trabalho, lavar louças e utensílios utilizados na preparação de alimentos. Os funcionários de serviços de alimentação trabalham em pousadas, restaurantes, eventos de banquetes e quiosques móveis no Resort. Eles também ajudarão na manutenção das áreas de serviço externas, docas de carga, entradas de edifícios e áreas de descarte de lixo, removendo neve e espalhando areia/sedimento. Além disso, os funcionários de serviços de alimentação receberão e interagirão com nossos hóspedes, praticando nossos Padrões de Hospitalidade, sendo amigáveis ​​e prestativos nas áreas de refeições e nas filas de distribuição de alimentos. Horário: 35 horas por semana. O horário de trabalho pode variar e incluir noites, fins de semana e feriados. O trabalho pode ser realizado em qualquer dia da semana, de segunda a domingo. Exemplo de turno: das 7h às 14h. O horário de trabalho pode variar. Consulte a descrição da vaga em anexo para obter mais informações. Classificação da vaga: 35-2014.00 - Cozinheiros, Restaurante. A classificação e descrição da vaga/setor incluem informações gerais sobre o cargo, de acordo com o ONET/OES e o Sistema de Classificação Industrial da América do Norte (NAICS). Consulte as Funções e a Ordem de Serviço para obter mais informações. Requisitos da vaga: Experiência exigida: Sim. Meses de experiência exigidos: 3. Requisitos especiais: O contratante considerará para emprego qualquer pessoa que possua pelo menos três (3) meses de experiência em atendimento ao cliente em restaurante, resort, clube privado ou ambiente turístico. O candidato poderá ser obrigado a realizar um teste de COVID-19 pré-admissional, cumprir um período de quarentena e/ou apresentar comprovante de vacinação contra COVID-19, se exigido pelas diretrizes estaduais, federais ou da empresa no momento da contratação. Número de horas por semana: 35. Horário de trabalho (início/término): 7h às 14h.</v>
      </c>
    </row>
    <row r="966" ht="20.25" customHeight="1">
      <c r="A966" s="3" t="s">
        <v>4551</v>
      </c>
      <c r="B966" s="3" t="s">
        <v>4552</v>
      </c>
      <c r="C966" s="3" t="s">
        <v>4514</v>
      </c>
      <c r="D966" s="3" t="s">
        <v>596</v>
      </c>
      <c r="E966" s="4" t="s">
        <v>19</v>
      </c>
      <c r="F966" s="4" t="s">
        <v>20</v>
      </c>
      <c r="G966" s="4" t="s">
        <v>307</v>
      </c>
      <c r="H966" s="3" t="s">
        <v>4553</v>
      </c>
      <c r="I966" s="3" t="s">
        <v>4554</v>
      </c>
      <c r="J966" s="4">
        <v>21.91</v>
      </c>
      <c r="K966" s="4">
        <v>3.0</v>
      </c>
      <c r="L966" s="3" t="s">
        <v>2196</v>
      </c>
      <c r="M966" s="3" t="s">
        <v>4555</v>
      </c>
      <c r="N966" s="7" t="str">
        <f>IFERROR(__xludf.DUMMYFUNCTION("GOOGLETRANSLATE(L966, ""en"", ""pt"")"),"Paisagistas")</f>
        <v>Paisagistas</v>
      </c>
      <c r="O966" s="7" t="str">
        <f>IFERROR(__xludf.DUMMYFUNCTION("IF(M966="""","""",GOOGLETRANSLATE(M966,""en"",""pt""))"),"Cortar, aparar e podar a grama; Fertilizar e controlar ervas daninhas; Plantar flores, arbustos e árvores; Podar, aparar e remover plantas; Limpeza sazonal (remoção de folhas e detritos); Colocar cobertura morta nos canteiros; Regar e verificar o sistema "&amp;"de irrigação; Substituir plantas mortas; Manter a saúde do solo. Classificação da vaga: 37-3011.00 - Trabalhadores de Paisagismo e Jardinagem. A classificação e descrição da vaga/setor incluem informações gerais sobre o cargo, de acordo com o ONET/OES e o"&amp;" Sistema de Classificação Industrial da América do Norte. Consulte as Funções e a Ordem de Serviço para obter mais informações. Requisitos da vaga: Experiência necessária: Não; Número de horas por semana: 40; Horário de trabalho (início/término): 7h às 19"&amp;"h.")</f>
        <v>Cortar, aparar e podar a grama; Fertilizar e controlar ervas daninhas; Plantar flores, arbustos e árvores; Podar, aparar e remover plantas; Limpeza sazonal (remoção de folhas e detritos); Colocar cobertura morta nos canteiros; Regar e verificar o sistema de irrigação; Substituir plantas mortas; Manter a saúde do solo. Classificação da vaga: 37-3011.00 - Trabalhadores de Paisagismo e Jardinagem. A classificação e descrição da vaga/setor incluem informações gerais sobre o cargo, de acordo com o ONET/OES e o Sistema de Classificação Industrial da América do Norte. Consulte as Funções e a Ordem de Serviço para obter mais informações. Requisitos da vaga: Experiência necessária: Não; Número de horas por semana: 40; Horário de trabalho (início/término): 7h às 19h.</v>
      </c>
    </row>
    <row r="967" ht="20.25" customHeight="1">
      <c r="A967" s="8" t="s">
        <v>4556</v>
      </c>
      <c r="B967" s="8" t="s">
        <v>4557</v>
      </c>
      <c r="C967" s="8" t="s">
        <v>4507</v>
      </c>
      <c r="D967" s="8" t="s">
        <v>71</v>
      </c>
      <c r="E967" s="9" t="s">
        <v>44</v>
      </c>
      <c r="F967" s="9" t="s">
        <v>20</v>
      </c>
      <c r="G967" s="9" t="s">
        <v>2339</v>
      </c>
      <c r="H967" s="8" t="s">
        <v>4558</v>
      </c>
      <c r="I967" s="8" t="s">
        <v>4559</v>
      </c>
      <c r="J967" s="9">
        <v>18.57</v>
      </c>
      <c r="K967" s="9">
        <v>12.0</v>
      </c>
      <c r="L967" s="8" t="s">
        <v>4560</v>
      </c>
      <c r="M967" s="8" t="s">
        <v>4561</v>
      </c>
      <c r="N967" s="7" t="str">
        <f>IFERROR(__xludf.DUMMYFUNCTION("GOOGLETRANSLATE(L967, ""en"", ""pt"")"),"tratador de cavalos")</f>
        <v>tratador de cavalos</v>
      </c>
      <c r="O967" s="7" t="str">
        <f>IFERROR(__xludf.DUMMYFUNCTION("IF(M967="""","""",GOOGLETRANSLATE(M967,""en"",""pt""))"),"Prestar cuidados diários a cavalos de salto de nível internacional. Manter os cavalos em ótimas condições físicas: escovar, aplicar cataplasmas, enfaixar e realizar todos os cuidados diários gerais, incluindo, entre outros, aplicar gelo nas patas após o t"&amp;"rabalho diário, preparar cataplasmas e aplicá-las conforme necessário, supervisionar as patas dos cavalos a cada hora e verificar se há inchaço após o exercício, tratando-o adequadamente. Preparar a ração diariamente, garantindo que os cavalos mantenham o"&amp;" peso correto. Ajustar as rações de acordo com a rotina de trabalho diária dos cavalos. Administrar suplementos diários e semanais. Supervisionar os cavalos nos piquetes. Exercitar os cavalos na guia, conforme necessário. Manter os equipamentos dos cavalo"&amp;"s e dos cavaleiros. Preparar todos os itens para as competições, solicitar os documentos de viagem necessários para os cavalos, incluindo a atualização do passaporte e a solicitação de certificados sanitários interestaduais. Preparar os cavalos e apresent"&amp;"á-los para a inspeção/teste. Coordenar o horário de competição diário dos cavalos e garantir que estejam na arena de competição no horário apropriado. Providenciar obstáculos de aquecimento adequados para os cavaleiros. Garantir que o cavalo esteja física"&amp;" e emocionalmente preparado para apresentar seu melhor desempenho. Classificação da Função: 39-2021.00 - Cuidadores de Animais. A classificação e descrição da função/setor inclui informações gerais sobre o cargo, de acordo com o ONET/OES e o Sistema de Cl"&amp;"assificação Industrial da América do Norte. Consulte as Funções e a Ordem de Serviço para obter mais informações. Requisitos da Função: Experiência Necessária: Sim. Meses de Experiência Necessários: 3. Requisitos Especiais: Capacidade de levantar 68 kg co"&amp;"m auxílio. TURNO DIVIDIDO, 7h-12h; 14h30-17h30. O HORÁRIO E A ESCALA PODEM VARIAR DE ACORDO COM A PROGRAMAÇÃO DE EVENTOS E AS CONDIÇÕES CLIMÁTICAS. Número de Horas por Semana: 48. Horário de Trabalho (Início/Término): 7h00 - 17h30.")</f>
        <v>Prestar cuidados diários a cavalos de salto de nível internacional. Manter os cavalos em ótimas condições físicas: escovar, aplicar cataplasmas, enfaixar e realizar todos os cuidados diários gerais, incluindo, entre outros, aplicar gelo nas patas após o trabalho diário, preparar cataplasmas e aplicá-las conforme necessário, supervisionar as patas dos cavalos a cada hora e verificar se há inchaço após o exercício, tratando-o adequadamente. Preparar a ração diariamente, garantindo que os cavalos mantenham o peso correto. Ajustar as rações de acordo com a rotina de trabalho diária dos cavalos. Administrar suplementos diários e semanais. Supervisionar os cavalos nos piquetes. Exercitar os cavalos na guia, conforme necessário. Manter os equipamentos dos cavalos e dos cavaleiros. Preparar todos os itens para as competições, solicitar os documentos de viagem necessários para os cavalos, incluindo a atualização do passaporte e a solicitação de certificados sanitários interestaduais. Preparar os cavalos e apresentá-los para a inspeção/teste. Coordenar o horário de competição diário dos cavalos e garantir que estejam na arena de competição no horário apropriado. Providenciar obstáculos de aquecimento adequados para os cavaleiros. Garantir que o cavalo esteja física e emocionalmente preparado para apresentar seu melhor desempenho. Classificação da Função: 39-2021.00 - Cuidadores de Animais. A classificação e descrição da função/setor inclui informações gerais sobre o cargo, de acordo com o ONET/OES e o Sistema de Classificação Industrial da América do Norte. Consulte as Funções e a Ordem de Serviço para obter mais informações. Requisitos da Função: Experiência Necessária: Sim. Meses de Experiência Necessários: 3. Requisitos Especiais: Capacidade de levantar 68 kg com auxílio. TURNO DIVIDIDO, 7h-12h; 14h30-17h30. O HORÁRIO E A ESCALA PODEM VARIAR DE ACORDO COM A PROGRAMAÇÃO DE EVENTOS E AS CONDIÇÕES CLIMÁTICAS. Número de Horas por Semana: 48. Horário de Trabalho (Início/Término): 7h00 - 17h30.</v>
      </c>
    </row>
    <row r="968" ht="20.25" customHeight="1">
      <c r="A968" s="3" t="s">
        <v>4562</v>
      </c>
      <c r="B968" s="3" t="s">
        <v>4563</v>
      </c>
      <c r="C968" s="3" t="s">
        <v>3974</v>
      </c>
      <c r="D968" s="3" t="s">
        <v>28</v>
      </c>
      <c r="E968" s="4" t="s">
        <v>44</v>
      </c>
      <c r="F968" s="4" t="s">
        <v>20</v>
      </c>
      <c r="G968" s="4" t="s">
        <v>377</v>
      </c>
      <c r="H968" s="3" t="s">
        <v>4564</v>
      </c>
      <c r="I968" s="3" t="s">
        <v>4002</v>
      </c>
      <c r="J968" s="4">
        <v>24.39</v>
      </c>
      <c r="K968" s="4">
        <v>30.0</v>
      </c>
      <c r="L968" s="3" t="s">
        <v>3490</v>
      </c>
      <c r="M968" s="3" t="s">
        <v>4003</v>
      </c>
      <c r="N968" s="7" t="str">
        <f>IFERROR(__xludf.DUMMYFUNCTION("GOOGLETRANSLATE(L968, ""en"", ""pt"")"),"Marinheiro de convés, barco de pesca de ostras")</f>
        <v>Marinheiro de convés, barco de pesca de ostras</v>
      </c>
      <c r="O968" s="7" t="str">
        <f>IFERROR(__xludf.DUMMYFUNCTION("IF(M968="""","""",GOOGLETRANSLATE(M968,""en"",""pt""))"),"Utilizar redes, armadilhas, dragas ou outros equipamentos para colher e coletar ostras do fundo do mar, içá-las para os barcos, ensacá-las e empilhá-las. Descarregar os sacos do barco para o cais. Limpar o barco. Classificação da função: 45-3031.00 - Trab"&amp;"alhadores da Pesca e Caça. A classificação e descrição da função/setor inclui informações gerais sobre o cargo, de acordo com o ONET/OES e o Sistema de Classificação Industrial da América do Norte. Consulte as Funções e a Ordem de Serviço para obter mais "&amp;"informações. Requisitos da função: Experiência necessária: Não. Número de horas por semana: 40. Horário de trabalho (início/término): 6h às 14h.")</f>
        <v>Utilizar redes, armadilhas, dragas ou outros equipamentos para colher e coletar ostras do fundo do mar, içá-las para os barcos, ensacá-las e empilhá-las. Descarregar os sacos do barco para o cais. Limpar o barco. Classificação da função: 45-3031.00 - Trabalhadores da Pesca e Caça. A classificação e descrição da função/setor inclui informações gerais sobre o cargo, de acordo com o ONET/OES e o Sistema de Classificação Industrial da América do Norte. Consulte as Funções e a Ordem de Serviço para obter mais informações. Requisitos da função: Experiência necessária: Não. Número de horas por semana: 40. Horário de trabalho (início/término): 6h às 14h.</v>
      </c>
    </row>
    <row r="969" ht="20.25" customHeight="1">
      <c r="A969" s="8" t="s">
        <v>4565</v>
      </c>
      <c r="B969" s="8" t="s">
        <v>4566</v>
      </c>
      <c r="C969" s="8" t="s">
        <v>4011</v>
      </c>
      <c r="D969" s="8" t="s">
        <v>36</v>
      </c>
      <c r="E969" s="9" t="s">
        <v>19</v>
      </c>
      <c r="F969" s="9" t="s">
        <v>20</v>
      </c>
      <c r="G969" s="9" t="s">
        <v>236</v>
      </c>
      <c r="H969" s="8" t="s">
        <v>4567</v>
      </c>
      <c r="I969" s="8" t="s">
        <v>4568</v>
      </c>
      <c r="J969" s="9">
        <v>18.72</v>
      </c>
      <c r="K969" s="9">
        <v>60.0</v>
      </c>
      <c r="L969" s="8" t="s">
        <v>59</v>
      </c>
      <c r="M969" s="8" t="s">
        <v>4569</v>
      </c>
      <c r="N969" s="7" t="str">
        <f>IFERROR(__xludf.DUMMYFUNCTION("GOOGLETRANSLATE(L969, ""en"", ""pt"")"),"Trabalhador de paisagismo")</f>
        <v>Trabalhador de paisagismo</v>
      </c>
      <c r="O969" s="7" t="str">
        <f>IFERROR(__xludf.DUMMYFUNCTION("IF(M969="""","""",GOOGLETRANSLATE(M969,""en"",""pt""))"),"Paisagismo e manutenção de terrenos utilizando ferramentas manuais ou elétricas. Os trabalhadores geralmente executam uma variedade de tarefas, que podem incluir qualquer combinação das seguintes: colocação de grama, corte de grama, poda, plantio, irrigaç"&amp;"ão, fertilização, escavação, rastelagem, instalação de sprinklers e instalação de blocos de concreto pré-moldados sem argamassa. Classificação da função: 37-3011.00 - Trabalhadores de Paisagismo e Manutenção de Terrenos. A classificação e descrição da fun"&amp;"ção/setor incluem informações gerais sobre o cargo, de acordo com o ONET/OES e o Sistema de Classificação Industrial da América do Norte (NAICS). Consulte as Funções e a Ordem de Serviço para obter mais informações. Requisitos da vaga: Experiência exigida"&amp;": Sim. Meses de experiência exigidos: 3. Requisitos especiais: Capacidade de levantar e carregar 23 kg (50 libras), disponibilidade para horas extras e trabalho nos fins de semana. O empregador exige teste antidrogas para trabalhadores estrangeiros e naci"&amp;"onais antes do início do trabalho e após a contratação, de forma aleatória, em caso de suspeita de uso e após acidente. A verificação de antecedentes e a verificação de elegibilidade para emprego (E-Verify) são obrigatórias para trabalhadores estrangeiros"&amp;" e nacionais após a contratação. O empregador pode oferecer mais horas de trabalho do que as estipuladas, dependendo das condições climáticas, das necessidades da empresa e de outras circunstâncias. Condições climáticas extremas, frio, chuva ou seca podem"&amp;" afetar o horário de trabalho exato. Número de horas por semana: 40. Horário de trabalho (início/término): 7h às 17h.")</f>
        <v>Paisagismo e manutenção de terrenos utilizando ferramentas manuais ou elétricas. Os trabalhadores geralmente executam uma variedade de tarefas, que podem incluir qualquer combinação das seguintes: colocação de grama, corte de grama, poda, plantio, irrigação, fertilização, escavação, rastelagem, instalação de sprinklers e instalação de blocos de concreto pré-moldados sem argamassa. Classificação da função: 37-3011.00 - Trabalhadores de Paisagismo e Manutenção de Terrenos. A classificação e descrição da função/setor incluem informações gerais sobre o cargo, de acordo com o ONET/OES e o Sistema de Classificação Industrial da América do Norte (NAICS). Consulte as Funções e a Ordem de Serviço para obter mais informações. Requisitos da vaga: Experiência exigida: Sim. Meses de experiência exigidos: 3. Requisitos especiais: Capacidade de levantar e carregar 23 kg (50 libras), disponibilidade para horas extras e trabalho nos fins de semana. O empregador exige teste antidrogas para trabalhadores estrangeiros e nacionais antes do início do trabalho e após a contratação, de forma aleatória, em caso de suspeita de uso e após acidente. A verificação de antecedentes e a verificação de elegibilidade para emprego (E-Verify) são obrigatórias para trabalhadores estrangeiros e nacionais após a contratação. O empregador pode oferecer mais horas de trabalho do que as estipuladas, dependendo das condições climáticas, das necessidades da empresa e de outras circunstâncias. Condições climáticas extremas, frio, chuva ou seca podem afetar o horário de trabalho exato. Número de horas por semana: 40. Horário de trabalho (início/término): 7h às 17h.</v>
      </c>
    </row>
    <row r="970" ht="20.25" customHeight="1">
      <c r="A970" s="3" t="s">
        <v>4570</v>
      </c>
      <c r="B970" s="3" t="s">
        <v>4571</v>
      </c>
      <c r="C970" s="3" t="s">
        <v>4241</v>
      </c>
      <c r="D970" s="3" t="s">
        <v>71</v>
      </c>
      <c r="E970" s="4" t="s">
        <v>19</v>
      </c>
      <c r="F970" s="4" t="s">
        <v>20</v>
      </c>
      <c r="G970" s="4" t="s">
        <v>4572</v>
      </c>
      <c r="H970" s="3" t="s">
        <v>4573</v>
      </c>
      <c r="I970" s="3" t="s">
        <v>4574</v>
      </c>
      <c r="J970" s="4">
        <v>18.71</v>
      </c>
      <c r="K970" s="4">
        <v>3.0</v>
      </c>
      <c r="L970" s="3" t="s">
        <v>2298</v>
      </c>
      <c r="M970" s="3" t="s">
        <v>4575</v>
      </c>
      <c r="N970" s="7" t="str">
        <f>IFERROR(__xludf.DUMMYFUNCTION("GOOGLETRANSLATE(L970, ""en"", ""pt"")"),"Sommelier")</f>
        <v>Sommelier</v>
      </c>
      <c r="O970" s="7" t="str">
        <f>IFERROR(__xludf.DUMMYFUNCTION("IF(M970="""","""",GOOGLETRANSLATE(M970,""en"",""pt""))"),"Os sommeliers serão responsáveis ​​por recepcionar os clientes, auxiliar na venda de vinhos no salão, organizar a adega, receber entregas de vinho, inspecionar e armazenar as garrafas, realizar o controle de estoque semanal/mensal e manter registros preci"&amp;"sos, além de auxiliar no treinamento da equipe sobre vinhos. Os sommeliers podem precisar ocasionalmente levantar e/ou mover até 23 kg. Horário: 40 horas semanais. O horário de trabalho pode variar e incluir noites, fins de semana e feriados. O trabalho p"&amp;"ode ser realizado em qualquer dia da semana, de segunda a domingo. Exemplos de turnos: 10h às 18h, 12h às 20h ou 16h às 00h. Os horários dos turnos podem variar. Consulte a descrição da vaga para obter mais informações. Classificação da vaga: 35-3031.00 -"&amp;" Garçons e Garçonetes. A classificação e descrição da vaga/setor incluem informações gerais sobre o cargo, de acordo com o ONET/OES e o Sistema de Classificação Industrial da América do Norte. Consulte a Descrição das Funções e a Ordem de Serviço para obt"&amp;"er mais informações. Requisitos da Vaga Experiência Necessária: Sim Meses de Experiência Necessários: 6 Requisitos Especiais: O contratante considerará para emprego qualquer pessoa que possua pelo menos seis (6) meses de experiência em atendimento em um a"&amp;"mbiente de alta gastronomia ou de grande movimento em um restaurante sofisticado, resort ou clube privado. Certificação de sommelier e treinamento prévio em bebidas alcoólicas e vinhos são desejáveis, mas não obrigatórios. O candidato deverá se submeter a"&amp;" uma verificação de antecedentes pré-emprego, às custas do empregador, caso não esteja retornando da temporada anterior. Número de Horas por Semana: 40 Horário de Trabalho (Início/Término): 10:00 - 18:00")</f>
        <v>Os sommeliers serão responsáveis ​​por recepcionar os clientes, auxiliar na venda de vinhos no salão, organizar a adega, receber entregas de vinho, inspecionar e armazenar as garrafas, realizar o controle de estoque semanal/mensal e manter registros precisos, além de auxiliar no treinamento da equipe sobre vinhos. Os sommeliers podem precisar ocasionalmente levantar e/ou mover até 23 kg. Horário: 40 horas semanais. O horário de trabalho pode variar e incluir noites, fins de semana e feriados. O trabalho pode ser realizado em qualquer dia da semana, de segunda a domingo. Exemplos de turnos: 10h às 18h, 12h às 20h ou 16h às 00h. Os horários dos turnos podem variar. Consulte a descrição da vaga para obter mais informações. Classificação da vaga: 35-3031.00 - Garçons e Garçonetes. A classificação e descrição da vaga/setor incluem informações gerais sobre o cargo, de acordo com o ONET/OES e o Sistema de Classificação Industrial da América do Norte. Consulte a Descrição das Funções e a Ordem de Serviço para obter mais informações. Requisitos da Vaga Experiência Necessária: Sim Meses de Experiência Necessários: 6 Requisitos Especiais: O contratante considerará para emprego qualquer pessoa que possua pelo menos seis (6) meses de experiência em atendimento em um ambiente de alta gastronomia ou de grande movimento em um restaurante sofisticado, resort ou clube privado. Certificação de sommelier e treinamento prévio em bebidas alcoólicas e vinhos são desejáveis, mas não obrigatórios. O candidato deverá se submeter a uma verificação de antecedentes pré-emprego, às custas do empregador, caso não esteja retornando da temporada anterior. Número de Horas por Semana: 40 Horário de Trabalho (Início/Término): 10:00 - 18:00</v>
      </c>
    </row>
    <row r="971" ht="20.25" customHeight="1">
      <c r="A971" s="8" t="s">
        <v>4576</v>
      </c>
      <c r="B971" s="8" t="s">
        <v>4571</v>
      </c>
      <c r="C971" s="8" t="s">
        <v>4241</v>
      </c>
      <c r="D971" s="8" t="s">
        <v>71</v>
      </c>
      <c r="E971" s="9" t="s">
        <v>19</v>
      </c>
      <c r="F971" s="9" t="s">
        <v>20</v>
      </c>
      <c r="G971" s="9" t="s">
        <v>4572</v>
      </c>
      <c r="H971" s="8" t="s">
        <v>4573</v>
      </c>
      <c r="I971" s="8" t="s">
        <v>4574</v>
      </c>
      <c r="J971" s="9">
        <v>25.0</v>
      </c>
      <c r="K971" s="9">
        <v>2.0</v>
      </c>
      <c r="L971" s="8" t="s">
        <v>4577</v>
      </c>
      <c r="M971" s="8" t="s">
        <v>4578</v>
      </c>
      <c r="N971" s="7" t="str">
        <f>IFERROR(__xludf.DUMMYFUNCTION("GOOGLETRANSLATE(L971, ""en"", ""pt"")"),"Subchefe")</f>
        <v>Subchefe</v>
      </c>
      <c r="O971" s="7" t="str">
        <f>IFERROR(__xludf.DUMMYFUNCTION("IF(M971="""","""",GOOGLETRANSLATE(M971,""en"",""pt""))"),"Os Subchefes serão responsáveis ​​por preparar, temperar e cozinhar sopas, carnes, legumes, sobremesas e outros pratos, garantindo a limpeza de suas áreas de trabalho e assegurando que os pedidos sejam preparados em tempo hábil. Esta posição não envolve g"&amp;"estão de pessoal ou responsabilidades de supervisão. Horário: 40 horas semanais. O horário de trabalho pode variar e incluir turnos noturnos, fins de semana e feriados. O trabalho pode ser realizado em qualquer dia da semana, de segunda a domingo. Exemplo"&amp;"s de turnos: 10h às 18h, 12h às 20h ou 16h às 00h. Os horários dos turnos podem variar. Consulte a descrição da vaga para obter mais informações. Classificação da vaga: 35-2014.00 - Cozinheiros, Restaurante. A classificação e descrição da vaga/setor inclu"&amp;"em informações gerais sobre o cargo, de acordo com o ONET/OES e o Sistema de Classificação Industrial da América do Norte. Consulte as Funções e a Ordem de Serviço para obter mais informações. Requisitos da Vaga Experiência Necessária: Sim Meses de Experi"&amp;"ência Necessários: 6 Requisitos Especiais: O contratante considerará para emprego qualquer pessoa que possua pelo menos seis (6) meses de experiência culinária em um ambiente de alta gastronomia ou de grande movimento em um restaurante sofisticado, resort"&amp;" ou clube privado. O candidato deverá se submeter a uma verificação de antecedentes pré-emprego, custeada pelo empregador, caso não esteja retornando da temporada anterior. Número de Horas por Semana: 40 Horário de Trabalho (Início/Término): 10:00 - 18:00")</f>
        <v>Os Subchefes serão responsáveis ​​por preparar, temperar e cozinhar sopas, carnes, legumes, sobremesas e outros pratos, garantindo a limpeza de suas áreas de trabalho e assegurando que os pedidos sejam preparados em tempo hábil. Esta posição não envolve gestão de pessoal ou responsabilidades de supervisão. Horário: 40 horas semanais. O horário de trabalho pode variar e incluir turnos noturnos, fins de semana e feriados. O trabalho pode ser realizado em qualquer dia da semana, de segunda a domingo. Exemplos de turnos: 10h às 18h, 12h às 20h ou 16h às 00h. Os horários dos turnos podem variar. Consulte a descrição da vaga para obter mais informações. Classificação da vaga: 35-2014.00 - Cozinheiros, Restaurante. A classificação e descrição da vaga/setor incluem informações gerais sobre o cargo, de acordo com o ONET/OES e o Sistema de Classificação Industrial da América do Norte. Consulte as Funções e a Ordem de Serviço para obter mais informações. Requisitos da Vaga Experiência Necessária: Sim Meses de Experiência Necessários: 6 Requisitos Especiais: O contratante considerará para emprego qualquer pessoa que possua pelo menos seis (6) meses de experiência culinária em um ambiente de alta gastronomia ou de grande movimento em um restaurante sofisticado, resort ou clube privado. O candidato deverá se submeter a uma verificação de antecedentes pré-emprego, custeada pelo empregador, caso não esteja retornando da temporada anterior. Número de Horas por Semana: 40 Horário de Trabalho (Início/Término): 10:00 - 18:00</v>
      </c>
    </row>
    <row r="972" ht="20.25" customHeight="1">
      <c r="A972" s="3" t="s">
        <v>4579</v>
      </c>
      <c r="B972" s="3" t="s">
        <v>4571</v>
      </c>
      <c r="C972" s="3" t="s">
        <v>4241</v>
      </c>
      <c r="D972" s="3" t="s">
        <v>71</v>
      </c>
      <c r="E972" s="4" t="s">
        <v>19</v>
      </c>
      <c r="F972" s="4" t="s">
        <v>20</v>
      </c>
      <c r="G972" s="4" t="s">
        <v>4572</v>
      </c>
      <c r="H972" s="3" t="s">
        <v>4573</v>
      </c>
      <c r="I972" s="3" t="s">
        <v>4574</v>
      </c>
      <c r="J972" s="4">
        <v>22.56</v>
      </c>
      <c r="K972" s="4">
        <v>2.0</v>
      </c>
      <c r="L972" s="3" t="s">
        <v>4580</v>
      </c>
      <c r="M972" s="3" t="s">
        <v>4581</v>
      </c>
      <c r="N972" s="7" t="str">
        <f>IFERROR(__xludf.DUMMYFUNCTION("GOOGLETRANSLATE(L972, ""en"", ""pt"")"),"Gerente de Serviço")</f>
        <v>Gerente de Serviço</v>
      </c>
      <c r="O972" s="7" t="str">
        <f>IFERROR(__xludf.DUMMYFUNCTION("IF(M972="""","""",GOOGLETRANSLATE(M972,""en"",""pt""))"),"Os Gerentes de Serviço serão responsáveis ​​por realizar diversas atividades financeiras, como manuseio de cartões/dinheiro, resolução de reclamações de clientes referentes ao serviço de alimentos e bebidas, compilar e conciliar o caixa ao final do dia ou"&amp;" turno, treinar funcionários na preparação e serviço de alimentos e bebidas, procedimentos de higiene e segurança, além de supervisionar e participar das atividades de limpeza do bar e do salão. Podem supervisionar até nove (9) Garçons, sete (7) Auxiliare"&amp;"s de Garçom, sete (7) Bartenders, um (1) Expedidor e cinco (5) Auxiliares de Garçom. Horário: 40 horas semanais. A escala de trabalho pode variar e incluir turnos noturnos, fins de semana e feriados. O trabalho pode ser realizado em qualquer dia da semana"&amp;", de segunda a domingo. Exemplos de turnos: 10h às 18h, 12h às 20h ou 16h às 00h. Os horários dos turnos podem variar. Consulte a descrição da vaga para obter mais informações. Classificação da Função: 35-1012.00 - Supervisores de Primeira Linha de Prepar"&amp;"adores e Servidores de Alimentos. A classificação e descrição da função/setor inclui informações gerais sobre o cargo, de acordo com o ONET/OES e o Sistema de Classificação Industrial da América do Norte (NAICS). Consulte as Funções e a Ordem de Serviço p"&amp;"ara obter mais informações. Requisitos da Função Experiência Necessária: Sim Meses de Experiência Necessários: 6 Requisitos Especiais: O contratante considerará para emprego qualquer pessoa que possua pelo menos seis (6) meses de experiência em atendiment"&amp;"o em um ambiente de alta gastronomia ou de grande movimento, em um restaurante sofisticado, resort ou clube privado. O candidato deverá se submeter a uma verificação de antecedentes pré-emprego, às custas do empregador, caso não esteja retornando da tempo"&amp;"rada anterior. Número de Horas por Semana: 40 Horário de Trabalho (Início/Término): 10h00 - 18h00")</f>
        <v>Os Gerentes de Serviço serão responsáveis ​​por realizar diversas atividades financeiras, como manuseio de cartões/dinheiro, resolução de reclamações de clientes referentes ao serviço de alimentos e bebidas, compilar e conciliar o caixa ao final do dia ou turno, treinar funcionários na preparação e serviço de alimentos e bebidas, procedimentos de higiene e segurança, além de supervisionar e participar das atividades de limpeza do bar e do salão. Podem supervisionar até nove (9) Garçons, sete (7) Auxiliares de Garçom, sete (7) Bartenders, um (1) Expedidor e cinco (5) Auxiliares de Garçom. Horário: 40 horas semanais. A escala de trabalho pode variar e incluir turnos noturnos, fins de semana e feriados. O trabalho pode ser realizado em qualquer dia da semana, de segunda a domingo. Exemplos de turnos: 10h às 18h, 12h às 20h ou 16h às 00h. Os horários dos turnos podem variar. Consulte a descrição da vaga para obter mais informações. Classificação da Função: 35-1012.00 - Supervisores de Primeira Linha de Preparadores e Servidores de Alimentos. A classificação e descrição da função/setor inclui informações gerais sobre o cargo, de acordo com o ONET/OES e o Sistema de Classificação Industrial da América do Norte (NAICS). Consulte as Funções e a Ordem de Serviço para obter mais informações. Requisitos da Função Experiência Necessária: Sim Meses de Experiência Necessários: 6 Requisitos Especiais: O contratante considerará para emprego qualquer pessoa que possua pelo menos seis (6) meses de experiência em atendimento em um ambiente de alta gastronomia ou de grande movimento, em um restaurante sofisticado, resort ou clube privado. O candidato deverá se submeter a uma verificação de antecedentes pré-emprego, às custas do empregador, caso não esteja retornando da temporada anterior. Número de Horas por Semana: 40 Horário de Trabalho (Início/Término): 10h00 - 18h00</v>
      </c>
    </row>
    <row r="973" ht="20.25" customHeight="1">
      <c r="A973" s="8" t="s">
        <v>4582</v>
      </c>
      <c r="B973" s="8" t="s">
        <v>4571</v>
      </c>
      <c r="C973" s="8" t="s">
        <v>4241</v>
      </c>
      <c r="D973" s="8" t="s">
        <v>71</v>
      </c>
      <c r="E973" s="9" t="s">
        <v>19</v>
      </c>
      <c r="F973" s="9" t="s">
        <v>20</v>
      </c>
      <c r="G973" s="9" t="s">
        <v>4572</v>
      </c>
      <c r="H973" s="8" t="s">
        <v>4573</v>
      </c>
      <c r="I973" s="8" t="s">
        <v>4574</v>
      </c>
      <c r="J973" s="9">
        <v>20.0</v>
      </c>
      <c r="K973" s="9">
        <v>5.0</v>
      </c>
      <c r="L973" s="8" t="s">
        <v>387</v>
      </c>
      <c r="M973" s="8" t="s">
        <v>4583</v>
      </c>
      <c r="N973" s="7" t="str">
        <f>IFERROR(__xludf.DUMMYFUNCTION("GOOGLETRANSLATE(L973, ""en"", ""pt"")"),"Ordem de serviço não disponível")</f>
        <v>Ordem de serviço não disponível</v>
      </c>
      <c r="O973" s="7" t="str">
        <f>IFERROR(__xludf.DUMMYFUNCTION("IF(M973="""","""",GOOGLETRANSLATE(M973,""en"",""pt""))"),"Os recepcionistas serão responsáveis ​​por fornecer os cardápios aos clientes, recepcioná-los e acomodá-los às mesas ou nas áreas de espera, atender telefonemas e responder a perguntas ou transferir chamadas, fazer reservas e pedidos para viagem, realizar"&amp;" tarefas auxiliares, como preparar os cardápios de almoço, sobremesa, coquetéis e bebidas do bar, organizar o pátio, guardar casacos e xales e manter contato com a equipe da cozinha, gerência, garçons e clientes para garantir que os detalhes da experiênci"&amp;"a gastronômica sejam tratados adequadamente e que as preocupações dos clientes sejam atendidas. Horário: 40 horas semanais. A escala de trabalho pode variar e incluir noites, fins de semana e feriados. O trabalho pode ser realizado em qualquer dia da sema"&amp;"na, de segunda a domingo. Exemplos de turnos: 10h às 18h, 12h às 20h ou 16h às 00h. Os horários dos turnos podem variar. Consulte a descrição da vaga para obter mais informações. Classificação da Função: 35-9031.00 - Recepcionistas, Restaurante, Lounge e "&amp;"Cafeteria. A classificação e descrição da função/setor inclui informações gerais sobre o cargo, de acordo com o ONET/OES e o Sistema de Classificação Industrial da América do Norte. Consulte as Funções e a Ordem de Serviço para obter mais informações. Req"&amp;"uisitos da Função Experiência Necessária: Sim Meses de Experiência Necessários: 3 Requisitos Especiais: O contratante considerará para emprego qualquer pessoa que possua pelo menos três (3) meses de experiência em um ambiente de alta gastronomia ou de gra"&amp;"nde movimento em um restaurante sofisticado, resort ou clube privado. O candidato deverá se submeter a uma verificação de antecedentes pré-emprego, às custas do empregador, caso não esteja retornando da temporada anterior. Número de Horas por Semana: 40 H"&amp;"orário de Trabalho (Início/Término): 10:00 - 18:00")</f>
        <v>Os recepcionistas serão responsáveis ​​por fornecer os cardápios aos clientes, recepcioná-los e acomodá-los às mesas ou nas áreas de espera, atender telefonemas e responder a perguntas ou transferir chamadas, fazer reservas e pedidos para viagem, realizar tarefas auxiliares, como preparar os cardápios de almoço, sobremesa, coquetéis e bebidas do bar, organizar o pátio, guardar casacos e xales e manter contato com a equipe da cozinha, gerência, garçons e clientes para garantir que os detalhes da experiência gastronômica sejam tratados adequadamente e que as preocupações dos clientes sejam atendidas. Horário: 40 horas semanais. A escala de trabalho pode variar e incluir noites, fins de semana e feriados. O trabalho pode ser realizado em qualquer dia da semana, de segunda a domingo. Exemplos de turnos: 10h às 18h, 12h às 20h ou 16h às 00h. Os horários dos turnos podem variar. Consulte a descrição da vaga para obter mais informações. Classificação da Função: 35-9031.00 - Recepcionistas, Restaurante, Lounge e Cafeteria. A classificação e descrição da função/setor inclui informações gerais sobre o cargo, de acordo com o ONET/OES e o Sistema de Classificação Industrial da América do Norte. Consulte as Funções e a Ordem de Serviço para obter mais informações. Requisitos da Função Experiência Necessária: Sim Meses de Experiência Necessários: 3 Requisitos Especiais: O contratante considerará para emprego qualquer pessoa que possua pelo menos três (3) meses de experiência em um ambiente de alta gastronomia ou de grande movimento em um restaurante sofisticado, resort ou clube privado. O candidato deverá se submeter a uma verificação de antecedentes pré-emprego, às custas do empregador, caso não esteja retornando da temporada anterior. Número de Horas por Semana: 40 Horário de Trabalho (Início/Término): 10:00 - 18:00</v>
      </c>
    </row>
    <row r="974" ht="20.25" customHeight="1">
      <c r="A974" s="3" t="s">
        <v>4584</v>
      </c>
      <c r="B974" s="3" t="s">
        <v>4571</v>
      </c>
      <c r="C974" s="3" t="s">
        <v>4241</v>
      </c>
      <c r="D974" s="3" t="s">
        <v>71</v>
      </c>
      <c r="E974" s="4" t="s">
        <v>19</v>
      </c>
      <c r="F974" s="4" t="s">
        <v>20</v>
      </c>
      <c r="G974" s="4" t="s">
        <v>4572</v>
      </c>
      <c r="H974" s="3" t="s">
        <v>4573</v>
      </c>
      <c r="I974" s="3" t="s">
        <v>4574</v>
      </c>
      <c r="J974" s="4">
        <v>21.0</v>
      </c>
      <c r="K974" s="4">
        <v>16.0</v>
      </c>
      <c r="L974" s="3" t="s">
        <v>586</v>
      </c>
      <c r="M974" s="3" t="s">
        <v>4585</v>
      </c>
      <c r="N974" s="7" t="str">
        <f>IFERROR(__xludf.DUMMYFUNCTION("GOOGLETRANSLATE(L974, ""en"", ""pt"")"),"Cozinheiro de linha")</f>
        <v>Cozinheiro de linha</v>
      </c>
      <c r="O974" s="7" t="str">
        <f>IFERROR(__xludf.DUMMYFUNCTION("IF(M974="""","""",GOOGLETRANSLATE(M974,""en"",""pt""))"),"Os cozinheiros de linha serão responsáveis ​​por preparar, temperar e cozinhar sopas, carnes, legumes, sobremesas e outros itens alimentícios em um restaurante. Horário: 40 horas por semana. O horário de trabalho pode variar e incluir turnos noturnos, fin"&amp;"s de semana e feriados. O trabalho pode ser realizado em qualquer dia da semana, de segunda a domingo. Exemplos de turnos: 8h às 16h ou 15h às 23h. Os horários dos turnos podem variar. Consulte a descrição da vaga para obter mais informações. Classificaçã"&amp;"o da vaga: 35-2014.00 - Cozinheiros, Restaurante. A classificação e a descrição da vaga/setor incluem informações gerais sobre o cargo, de acordo com o ONET/OES e o Sistema de Classificação Industrial da América do Norte. Consulte as atribuições e a ordem"&amp;" de serviço para obter mais informações. Requisitos da vaga Experiência necessária: Sim Meses de experiência necessários: 6 Requisitos especiais: O contratante considerará para emprego qualquer pessoa que possua pelo menos seis (6) meses de experiência cu"&amp;"linária em um ambiente de alta gastronomia ou de grande movimento em um restaurante sofisticado, resort ou clube privado. O candidato deverá se submeter a uma verificação de antecedentes pré-emprego, custeada pelo empregador, caso não esteja retornando da"&amp;" temporada anterior. Número de horas por semana: 40 Horário de trabalho (início/término): 8h às 16h")</f>
        <v>Os cozinheiros de linha serão responsáveis ​​por preparar, temperar e cozinhar sopas, carnes, legumes, sobremesas e outros itens alimentícios em um restaurante. Horário: 40 horas por semana. O horário de trabalho pode variar e incluir turnos noturnos, fins de semana e feriados. O trabalho pode ser realizado em qualquer dia da semana, de segunda a domingo. Exemplos de turnos: 8h às 16h ou 15h às 23h. Os horários dos turnos podem variar. Consulte a descrição da vaga para obter mais informações. Classificação da vaga: 35-2014.00 - Cozinheiros, Restaurante. A classificação e a descrição da vaga/setor incluem informações gerais sobre o cargo, de acordo com o ONET/OES e o Sistema de Classificação Industrial da América do Norte. Consulte as atribuições e a ordem de serviço para obter mais informações. Requisitos da vaga Experiência necessária: Sim Meses de experiência necessários: 6 Requisitos especiais: O contratante considerará para emprego qualquer pessoa que possua pelo menos seis (6) meses de experiência culinária em um ambiente de alta gastronomia ou de grande movimento em um restaurante sofisticado, resort ou clube privado. O candidato deverá se submeter a uma verificação de antecedentes pré-emprego, custeada pelo empregador, caso não esteja retornando da temporada anterior. Número de horas por semana: 40 Horário de trabalho (início/término): 8h às 16h</v>
      </c>
    </row>
    <row r="975" ht="20.25" customHeight="1">
      <c r="A975" s="8" t="s">
        <v>4586</v>
      </c>
      <c r="B975" s="8" t="s">
        <v>4571</v>
      </c>
      <c r="C975" s="8" t="s">
        <v>4241</v>
      </c>
      <c r="D975" s="8" t="s">
        <v>71</v>
      </c>
      <c r="E975" s="9" t="s">
        <v>19</v>
      </c>
      <c r="F975" s="9" t="s">
        <v>20</v>
      </c>
      <c r="G975" s="9" t="s">
        <v>4572</v>
      </c>
      <c r="H975" s="8" t="s">
        <v>4573</v>
      </c>
      <c r="I975" s="8" t="s">
        <v>4574</v>
      </c>
      <c r="J975" s="9">
        <v>21.0</v>
      </c>
      <c r="K975" s="9">
        <v>2.0</v>
      </c>
      <c r="L975" s="8" t="s">
        <v>4587</v>
      </c>
      <c r="M975" s="8" t="s">
        <v>4588</v>
      </c>
      <c r="N975" s="7" t="str">
        <f>IFERROR(__xludf.DUMMYFUNCTION("GOOGLETRANSLATE(L975, ""en"", ""pt"")"),"Confeiteiro(a)")</f>
        <v>Confeiteiro(a)</v>
      </c>
      <c r="O975" s="7" t="str">
        <f>IFERROR(__xludf.DUMMYFUNCTION("IF(M975="""","""",GOOGLETRANSLATE(M975,""en"",""pt""))"),"***Resposta à Solicitação de Informações*** O tipo específico de instalações ou estabelecimentos onde o trabalho é realizado inclui a área de confeitaria designada na cozinha, onde os doces são preparados para servir nos restaurantes do Clube. Para evento"&amp;"s especiais, como festas de fim de ano, os Confeiteiros podem preparar sobremesas em uma estação de sobremesas montada dentro da área de jantar/eventos do Clube. ***Original*** Os Confeiteiros serão responsáveis ​​por misturar e assar ingredientes para pr"&amp;"oduzir doces ou outros produtos assados, bem como monitorar o estoque e manter os equipamentos. Horário: 40 horas por semana. O horário de trabalho pode variar e incluir turnos noturnos, fins de semana e feriados. O trabalho pode ser realizado em qualquer"&amp;" dia da semana, de segunda a domingo. Exemplos de turnos: 8h às 16h ou 15h às 23h. Os horários dos turnos podem variar. Consulte a descrição do cargo para obter mais informações. Classificação do Cargo: 35-2014.00 - Cozinheiros, Restaurante. A classificaç"&amp;"ão e descrição do cargo/setor inclui informações gerais sobre a posição, de acordo com o ONET/OES e o Sistema de Classificação Industrial da América do Norte. Consulte a Descrição das Funções e a Ordem de Serviço para obter mais informações. Requisitos da"&amp;" Vaga Experiência Necessária: Sim Meses de Experiência Necessários: 6 Requisitos Especiais: O Requerente considerará para emprego qualquer pessoa que possua pelo menos seis (6) meses de experiência culinária em um ambiente de alta gastronomia ou de grande"&amp;" movimento em um restaurante sofisticado, resort ou clube privado. O candidato deverá se submeter a uma verificação de antecedentes pré-emprego, às custas do empregador, caso não esteja retornando da temporada anterior. Número de Horas por Semana: 40 Horá"&amp;"rio de Trabalho (Início/Término): 8h00 - 16h00")</f>
        <v>***Resposta à Solicitação de Informações*** O tipo específico de instalações ou estabelecimentos onde o trabalho é realizado inclui a área de confeitaria designada na cozinha, onde os doces são preparados para servir nos restaurantes do Clube. Para eventos especiais, como festas de fim de ano, os Confeiteiros podem preparar sobremesas em uma estação de sobremesas montada dentro da área de jantar/eventos do Clube. ***Original*** Os Confeiteiros serão responsáveis ​​por misturar e assar ingredientes para produzir doces ou outros produtos assados, bem como monitorar o estoque e manter os equipamentos. Horário: 40 horas por semana. O horário de trabalho pode variar e incluir turnos noturnos, fins de semana e feriados. O trabalho pode ser realizado em qualquer dia da semana, de segunda a domingo. Exemplos de turnos: 8h às 16h ou 15h às 23h. Os horários dos turnos podem variar. Consulte a descrição do cargo para obter mais informações. Classificação do Cargo: 35-2014.00 - Cozinheiros, Restaurante. A classificação e descrição do cargo/setor inclui informações gerais sobre a posição, de acordo com o ONET/OES e o Sistema de Classificação Industrial da América do Norte. Consulte a Descrição das Funções e a Ordem de Serviço para obter mais informações. Requisitos da Vaga Experiência Necessária: Sim Meses de Experiência Necessários: 6 Requisitos Especiais: O Requerente considerará para emprego qualquer pessoa que possua pelo menos seis (6) meses de experiência culinária em um ambiente de alta gastronomia ou de grande movimento em um restaurante sofisticado, resort ou clube privado. O candidato deverá se submeter a uma verificação de antecedentes pré-emprego, às custas do empregador, caso não esteja retornando da temporada anterior. Número de Horas por Semana: 40 Horário de Trabalho (Início/Término): 8h00 - 16h00</v>
      </c>
    </row>
    <row r="976" ht="20.25" customHeight="1">
      <c r="A976" s="3" t="s">
        <v>4589</v>
      </c>
      <c r="B976" s="3" t="s">
        <v>4571</v>
      </c>
      <c r="C976" s="3" t="s">
        <v>4241</v>
      </c>
      <c r="D976" s="3" t="s">
        <v>71</v>
      </c>
      <c r="E976" s="4" t="s">
        <v>19</v>
      </c>
      <c r="F976" s="4" t="s">
        <v>20</v>
      </c>
      <c r="G976" s="4" t="s">
        <v>4572</v>
      </c>
      <c r="H976" s="3" t="s">
        <v>4573</v>
      </c>
      <c r="I976" s="3" t="s">
        <v>4574</v>
      </c>
      <c r="J976" s="4">
        <v>20.0</v>
      </c>
      <c r="K976" s="4">
        <v>2.0</v>
      </c>
      <c r="L976" s="3" t="s">
        <v>4590</v>
      </c>
      <c r="M976" s="3" t="s">
        <v>4591</v>
      </c>
      <c r="N976" s="7" t="str">
        <f>IFERROR(__xludf.DUMMYFUNCTION("GOOGLETRANSLATE(L976, ""en"", ""pt"")"),"Reservador")</f>
        <v>Reservador</v>
      </c>
      <c r="O976" s="7" t="str">
        <f>IFERROR(__xludf.DUMMYFUNCTION("IF(M976="""","""",GOOGLETRANSLATE(M976,""en"",""pt""))"),"***Resposta à Solicitação de Informações*** “Tipo específico de instalação ou estabelecimento onde o funcionário realizará as tarefas” inclui o prédio administrativo localizado no endereço 230 Royal Palm Way, 2º andar, Palm Beach, FL 33480, em frente à se"&amp;"de do clube. “Facilitar todas as reservas do clube para os membros” inclui trabalhar com os membros para confirmar suas reservas para jantares (por exemplo, à la carte), coquetéis, eventos privados (por exemplo, festas de aniversário, chás de panela), res"&amp;"ervas para a programação do clube (por exemplo, Halloween, Natal, Ano Novo), atividades para membros e eventos similares (por exemplo, clube do livro, arte, ciclo de palestras) dentro do clube. “Atuar como principal ponto de contato entre o membro e a par"&amp;"te aplicável” inclui gerenciar reservas e responder a perguntas relacionadas a eventos, como eventos exclusivos para membros (por exemplo, trunk shows da marca). Os responsáveis ​​pelas reservas atuam como o principal ponto de contato entre os membros e a"&amp;" marca. ***Original*** Os atendentes de reservas serão responsáveis ​​por facilitar todas as reservas do clube para os membros. Eles atuam de forma proativa, garantindo que compreendam as necessidades e os interesses dos membros e que as reservas reflitam"&amp;" essas preferências. Eles oferecem o mais alto nível de serviço e atuam como principal elo de ligação entre o membro e a parte relevante (incluindo restaurantes, eventos especiais e outras comodidades dentro do clube), comunicando-se proativamente com out"&amp;"ros departamentos a respeito das necessidades e preferências dos membros. Horário: 40 horas semanais. O horário de trabalho pode variar e incluir noites, fins de semana e feriados. O trabalho pode ser realizado em qualquer dia da semana, de segunda a domi"&amp;"ngo. Exemplos de turnos: 10h às 18h, 12h às 20h ou 16h às 00h. Os horários dos turnos podem variar. Consulte a descrição da vaga para obter mais informações. Classificação da Função: 39-6012.00 - Concierges. A classificação e descrição da função/setor inc"&amp;"lui informações gerais sobre o cargo, de acordo com o ONET/OES e o Sistema de Classificação Industrial da América do Norte. Consulte as Funções e a Ordem de Serviço para obter mais informações. Requisitos da Função Experiência Necessária: Sim Meses de Exp"&amp;"eriência Necessários: 3 Requisitos Especiais: O contratante considerará para emprego qualquer pessoa que possua pelo menos três (3) meses de experiência em atendimento ao cliente em um ambiente de alta gastronomia ou de grande movimento, em um restaurante"&amp;" de luxo, resort ou clube privado. O candidato deverá se submeter a uma verificação de antecedentes pré-emprego, às custas do empregador, caso não esteja retornando da temporada anterior. Número de Horas por Semana: 40 Horário de Trabalho (Início/Término)"&amp;": 10:00 - 18:00")</f>
        <v>***Resposta à Solicitação de Informações*** “Tipo específico de instalação ou estabelecimento onde o funcionário realizará as tarefas” inclui o prédio administrativo localizado no endereço 230 Royal Palm Way, 2º andar, Palm Beach, FL 33480, em frente à sede do clube. “Facilitar todas as reservas do clube para os membros” inclui trabalhar com os membros para confirmar suas reservas para jantares (por exemplo, à la carte), coquetéis, eventos privados (por exemplo, festas de aniversário, chás de panela), reservas para a programação do clube (por exemplo, Halloween, Natal, Ano Novo), atividades para membros e eventos similares (por exemplo, clube do livro, arte, ciclo de palestras) dentro do clube. “Atuar como principal ponto de contato entre o membro e a parte aplicável” inclui gerenciar reservas e responder a perguntas relacionadas a eventos, como eventos exclusivos para membros (por exemplo, trunk shows da marca). Os responsáveis ​​pelas reservas atuam como o principal ponto de contato entre os membros e a marca. ***Original*** Os atendentes de reservas serão responsáveis ​​por facilitar todas as reservas do clube para os membros. Eles atuam de forma proativa, garantindo que compreendam as necessidades e os interesses dos membros e que as reservas reflitam essas preferências. Eles oferecem o mais alto nível de serviço e atuam como principal elo de ligação entre o membro e a parte relevante (incluindo restaurantes, eventos especiais e outras comodidades dentro do clube), comunicando-se proativamente com outros departamentos a respeito das necessidades e preferências dos membros. Horário: 40 horas semanais. O horário de trabalho pode variar e incluir noites, fins de semana e feriados. O trabalho pode ser realizado em qualquer dia da semana, de segunda a domingo. Exemplos de turnos: 10h às 18h, 12h às 20h ou 16h às 00h. Os horários dos turnos podem variar. Consulte a descrição da vaga para obter mais informações. Classificação da Função: 39-6012.00 - Concierges. A classificação e descrição da função/setor inclui informações gerais sobre o cargo, de acordo com o ONET/OES e o Sistema de Classificação Industrial da América do Norte. Consulte as Funções e a Ordem de Serviço para obter mais informações. Requisitos da Função Experiência Necessária: Sim Meses de Experiência Necessários: 3 Requisitos Especiais: O contratante considerará para emprego qualquer pessoa que possua pelo menos três (3) meses de experiência em atendimento ao cliente em um ambiente de alta gastronomia ou de grande movimento, em um restaurante de luxo, resort ou clube privado. O candidato deverá se submeter a uma verificação de antecedentes pré-emprego, às custas do empregador, caso não esteja retornando da temporada anterior. Número de Horas por Semana: 40 Horário de Trabalho (Início/Término): 10:00 - 18:00</v>
      </c>
    </row>
    <row r="977" ht="20.25" customHeight="1">
      <c r="A977" s="8" t="s">
        <v>4592</v>
      </c>
      <c r="B977" s="8" t="s">
        <v>4571</v>
      </c>
      <c r="C977" s="8" t="s">
        <v>4241</v>
      </c>
      <c r="D977" s="8" t="s">
        <v>71</v>
      </c>
      <c r="E977" s="9" t="s">
        <v>19</v>
      </c>
      <c r="F977" s="9" t="s">
        <v>20</v>
      </c>
      <c r="G977" s="9" t="s">
        <v>4572</v>
      </c>
      <c r="H977" s="8" t="s">
        <v>4573</v>
      </c>
      <c r="I977" s="8" t="s">
        <v>4574</v>
      </c>
      <c r="J977" s="9">
        <v>28.37</v>
      </c>
      <c r="K977" s="9">
        <v>1.0</v>
      </c>
      <c r="L977" s="8" t="s">
        <v>4593</v>
      </c>
      <c r="M977" s="8" t="s">
        <v>4594</v>
      </c>
      <c r="N977" s="7" t="str">
        <f>IFERROR(__xludf.DUMMYFUNCTION("GOOGLETRANSLATE(L977, ""en"", ""pt"")"),"Sommelier Chefe")</f>
        <v>Sommelier Chefe</v>
      </c>
      <c r="O977" s="7" t="str">
        <f>IFERROR(__xludf.DUMMYFUNCTION("IF(M977="""","""",GOOGLETRANSLATE(M977,""en"",""pt""))"),"O Sommelier Chefe será responsável por recepcionar os clientes, repor os vinhos, supervisionar o estoque, anotar e registrar os pedidos, servir os vinhos adequadamente, polir as taças, fazer pedidos de bebidas e ministrar o treinamento necessário à equipe"&amp;" de serviço sobre conhecimentos básicos de vinhos, como tipos de uva, influência do clima e da região geográfica no sabor, harmonização com comida e serviço de vinhos. Pode supervisionar até dois (2) Sommeliers. Horário: 40 horas semanais. A escala de tra"&amp;"balho pode variar e incluir noites, fins de semana e feriados. O trabalho pode ser realizado em qualquer dia da semana, de segunda a domingo. Exemplos de turnos: 10h às 18h, 12h às 20h ou 16h às 00h. Os horários dos turnos podem variar. Consulte a descriç"&amp;"ão da vaga para obter mais informações. Classificação da Função: 35-1011.00 - Chefs e Cozinheiros Chefes. A classificação e descrição da função/setor inclui informações gerais sobre o cargo, de acordo com o ONET/OES e o Sistema de Classificação Industrial"&amp;" da América do Norte. Consulte as Funções e a Ordem de Serviço para obter mais informações. Requisitos da Função Experiência Necessária: Sim Meses de Experiência Necessários: 12 Requisitos Especiais: O contratante considerará para emprego qualquer pessoa "&amp;"que possua pelo menos um (1) ano de experiência em atendimento em um ambiente de alta gastronomia ou de grande movimento, em um restaurante sofisticado, resort ou clube privado. Certificação de sommelier e treinamento prévio em bebidas alcoólicas e vinhos"&amp;" são desejáveis, mas não obrigatórios. O candidato deverá se submeter a uma verificação de antecedentes pré-emprego, às custas do empregador, caso não esteja retornando da temporada anterior. Número de Horas por Semana: 40 Horário de Trabalho (Início/Térm"&amp;"ino): 10:00 - 18:00")</f>
        <v>O Sommelier Chefe será responsável por recepcionar os clientes, repor os vinhos, supervisionar o estoque, anotar e registrar os pedidos, servir os vinhos adequadamente, polir as taças, fazer pedidos de bebidas e ministrar o treinamento necessário à equipe de serviço sobre conhecimentos básicos de vinhos, como tipos de uva, influência do clima e da região geográfica no sabor, harmonização com comida e serviço de vinhos. Pode supervisionar até dois (2) Sommeliers. Horário: 40 horas semanais. A escala de trabalho pode variar e incluir noites, fins de semana e feriados. O trabalho pode ser realizado em qualquer dia da semana, de segunda a domingo. Exemplos de turnos: 10h às 18h, 12h às 20h ou 16h às 00h. Os horários dos turnos podem variar. Consulte a descrição da vaga para obter mais informações. Classificação da Função: 35-1011.00 - Chefs e Cozinheiros Chefes. A classificação e descrição da função/setor inclui informações gerais sobre o cargo, de acordo com o ONET/OES e o Sistema de Classificação Industrial da América do Norte. Consulte as Funções e a Ordem de Serviço para obter mais informações. Requisitos da Função Experiência Necessária: Sim Meses de Experiência Necessários: 12 Requisitos Especiais: O contratante considerará para emprego qualquer pessoa que possua pelo menos um (1) ano de experiência em atendimento em um ambiente de alta gastronomia ou de grande movimento, em um restaurante sofisticado, resort ou clube privado. Certificação de sommelier e treinamento prévio em bebidas alcoólicas e vinhos são desejáveis, mas não obrigatórios. O candidato deverá se submeter a uma verificação de antecedentes pré-emprego, às custas do empregador, caso não esteja retornando da temporada anterior. Número de Horas por Semana: 40 Horário de Trabalho (Início/Término): 10:00 - 18:00</v>
      </c>
    </row>
    <row r="978" ht="20.25" customHeight="1">
      <c r="A978" s="3" t="s">
        <v>4595</v>
      </c>
      <c r="B978" s="3" t="s">
        <v>4571</v>
      </c>
      <c r="C978" s="3" t="s">
        <v>4241</v>
      </c>
      <c r="D978" s="3" t="s">
        <v>71</v>
      </c>
      <c r="E978" s="4" t="s">
        <v>19</v>
      </c>
      <c r="F978" s="4" t="s">
        <v>20</v>
      </c>
      <c r="G978" s="4" t="s">
        <v>4572</v>
      </c>
      <c r="H978" s="3" t="s">
        <v>4573</v>
      </c>
      <c r="I978" s="3" t="s">
        <v>4574</v>
      </c>
      <c r="J978" s="4">
        <v>18.71</v>
      </c>
      <c r="K978" s="4">
        <v>3.0</v>
      </c>
      <c r="L978" s="3" t="s">
        <v>4596</v>
      </c>
      <c r="M978" s="3" t="s">
        <v>4597</v>
      </c>
      <c r="N978" s="7" t="str">
        <f>IFERROR(__xludf.DUMMYFUNCTION("GOOGLETRANSLATE(L978, ""en"", ""pt"")"),"Garçom de Coquetéis")</f>
        <v>Garçom de Coquetéis</v>
      </c>
      <c r="O978" s="7" t="str">
        <f>IFERROR(__xludf.DUMMYFUNCTION("IF(M978="""","""",GOOGLETRANSLATE(M978,""en"",""pt""))"),"Os garçons de coquetéis serão responsáveis ​​por anotar e entregar pedidos de comida e bebida, manter-se atualizados sobre coquetéis clássicos, coquetéis da casa, marcas de bebidas alcoólicas, vinhos, champanhes, cervejas e opções não alcoólicas, proporci"&amp;"onar um excelente atendimento ao cliente, realizar tarefas auxiliares, como limpar e guardar cardápios, remover/colocar velas/vasos nas mesas, preparar as mesas de coquetéis, reabastecer seu posto de trabalho, preparar-se para o serviço e desmontar após o"&amp;" serviço, e garantir uma experiência positiva para os clientes. Os garçons de coquetéis podem precisar ocasionalmente levantar e/ou mover até 23 kg. Horário: 40 horas por semana. O horário de trabalho pode variar e incluir noites, fins de semana e feriado"&amp;"s. O trabalho pode ser realizado em qualquer dia da semana, de segunda a domingo. Exemplos de turnos: 10h às 18h, 12h às 20h ou 16h às 00h. Os horários dos turnos podem variar. Consulte a descrição da vaga para obter mais informações. Classificação da Fun"&amp;"ção: 35-3031.00 - Garçons e Garçonetes. A classificação e descrição da função/setor inclui informações gerais sobre o cargo, de acordo com o ONET/OES e o Sistema de Classificação Industrial da América do Norte. Consulte as Funções e a Ordem de Serviço par"&amp;"a obter mais informações. Requisitos da Função Experiência Necessária: Sim Meses de Experiência Necessários: 3 Requisitos Especiais: O contratante considerará para emprego qualquer pessoa que possua pelo menos três (3) meses de experiência em um ambiente "&amp;"de alta gastronomia ou de grande movimento em um restaurante sofisticado, resort ou clube privado. O candidato deverá se submeter a uma verificação de antecedentes pré-emprego, às custas do empregador, caso não esteja retornando da temporada anterior. Núm"&amp;"ero de Horas por Semana: 40 Horário de Trabalho (Início/Término): 10:00 - 18:00")</f>
        <v>Os garçons de coquetéis serão responsáveis ​​por anotar e entregar pedidos de comida e bebida, manter-se atualizados sobre coquetéis clássicos, coquetéis da casa, marcas de bebidas alcoólicas, vinhos, champanhes, cervejas e opções não alcoólicas, proporcionar um excelente atendimento ao cliente, realizar tarefas auxiliares, como limpar e guardar cardápios, remover/colocar velas/vasos nas mesas, preparar as mesas de coquetéis, reabastecer seu posto de trabalho, preparar-se para o serviço e desmontar após o serviço, e garantir uma experiência positiva para os clientes. Os garçons de coquetéis podem precisar ocasionalmente levantar e/ou mover até 23 kg. Horário: 40 horas por semana. O horário de trabalho pode variar e incluir noites, fins de semana e feriados. O trabalho pode ser realizado em qualquer dia da semana, de segunda a domingo. Exemplos de turnos: 10h às 18h, 12h às 20h ou 16h às 00h. Os horários dos turnos podem variar. Consulte a descrição da vaga para obter mais informações. Classificação da Função: 35-3031.00 - Garçons e Garçonetes. A classificação e descrição da função/setor inclui informações gerais sobre o cargo, de acordo com o ONET/OES e o Sistema de Classificação Industrial da América do Norte. Consulte as Funções e a Ordem de Serviço para obter mais informações. Requisitos da Função Experiência Necessária: Sim Meses de Experiência Necessários: 3 Requisitos Especiais: O contratante considerará para emprego qualquer pessoa que possua pelo menos três (3) meses de experiência em um ambiente de alta gastronomia ou de grande movimento em um restaurante sofisticado, resort ou clube privado. O candidato deverá se submeter a uma verificação de antecedentes pré-emprego, às custas do empregador, caso não esteja retornando da temporada anterior. Número de Horas por Semana: 40 Horário de Trabalho (Início/Término): 10:00 - 18:00</v>
      </c>
    </row>
    <row r="979" ht="20.25" customHeight="1">
      <c r="A979" s="8" t="s">
        <v>4598</v>
      </c>
      <c r="B979" s="8" t="s">
        <v>4571</v>
      </c>
      <c r="C979" s="8" t="s">
        <v>4241</v>
      </c>
      <c r="D979" s="8" t="s">
        <v>71</v>
      </c>
      <c r="E979" s="9" t="s">
        <v>19</v>
      </c>
      <c r="F979" s="9" t="s">
        <v>20</v>
      </c>
      <c r="G979" s="9" t="s">
        <v>4572</v>
      </c>
      <c r="H979" s="8" t="s">
        <v>4573</v>
      </c>
      <c r="I979" s="8" t="s">
        <v>4574</v>
      </c>
      <c r="J979" s="9">
        <v>19.51</v>
      </c>
      <c r="K979" s="9">
        <v>8.0</v>
      </c>
      <c r="L979" s="8" t="s">
        <v>1684</v>
      </c>
      <c r="M979" s="8" t="s">
        <v>4599</v>
      </c>
      <c r="N979" s="7" t="str">
        <f>IFERROR(__xludf.DUMMYFUNCTION("GOOGLETRANSLATE(L979, ""en"", ""pt"")"),"Barman")</f>
        <v>Barman</v>
      </c>
      <c r="O979" s="7" t="str">
        <f>IFERROR(__xludf.DUMMYFUNCTION("IF(M979="""","""",GOOGLETRANSLATE(M979,""en"",""pt""))"),"Os bartenders serão responsáveis ​​por recepcionar os clientes, limpar o bar, as áreas de trabalho e as mesas, anotar os pedidos de bebidas feitos pelos garçons ou diretamente pelos clientes, abastecer o bar com cerveja, vinho, bebidas destiladas e suprim"&amp;"entos relacionados, como copos, gelo, guardanapos e canudos, misturar ingredientes para preparar coquetéis e outras bebidas, cortar e retirar os caroços de frutas para decorar as bebidas e organizar garrafas e copos para criar apresentações atraentes. Hor"&amp;"ário: 40 horas semanais. O horário de trabalho pode variar e incluir turnos noturnos, fins de semana e feriados. O trabalho pode ser realizado em qualquer dia da semana, de segunda a domingo. Exemplos de turnos: 10h às 18h, 12h às 20h ou 16h às 00h. Os ho"&amp;"rários dos turnos podem variar. Consulte a descrição da vaga para obter mais informações. Classificação da vaga: 35-3011.00 - Bartenders. A classificação e a descrição da vaga/setor incluem informações gerais sobre o cargo, de acordo com o ONET/OES e o Si"&amp;"stema de Classificação Industrial da América do Norte. Consulte as Funções e a Ordem de Serviço para obter mais informações. Requisitos da vaga Experiência necessária: Sim Meses de experiência necessários: 3 Requisitos especiais: O contratante considerará"&amp;" para emprego qualquer pessoa que possua pelo menos três (3) meses de experiência em um ambiente de alta gastronomia ou de grande movimento em um restaurante de luxo, resort ou clube privado. O candidato deverá se submeter a uma verificação de antecedente"&amp;"s pré-emprego, às custas do empregador, caso não esteja retornando da temporada anterior. Número de horas por semana: 40 Horário de trabalho (início/término): 10h00 - 18h00")</f>
        <v>Os bartenders serão responsáveis ​​por recepcionar os clientes, limpar o bar, as áreas de trabalho e as mesas, anotar os pedidos de bebidas feitos pelos garçons ou diretamente pelos clientes, abastecer o bar com cerveja, vinho, bebidas destiladas e suprimentos relacionados, como copos, gelo, guardanapos e canudos, misturar ingredientes para preparar coquetéis e outras bebidas, cortar e retirar os caroços de frutas para decorar as bebidas e organizar garrafas e copos para criar apresentações atraentes. Horário: 40 horas semanais. O horário de trabalho pode variar e incluir turnos noturnos, fins de semana e feriados. O trabalho pode ser realizado em qualquer dia da semana, de segunda a domingo. Exemplos de turnos: 10h às 18h, 12h às 20h ou 16h às 00h. Os horários dos turnos podem variar. Consulte a descrição da vaga para obter mais informações. Classificação da vaga: 35-3011.00 - Bartenders. A classificação e a descrição da vaga/setor incluem informações gerais sobre o cargo, de acordo com o ONET/OES e o Sistema de Classificação Industrial da América do Norte. Consulte as Funções e a Ordem de Serviço para obter mais informações. Requisitos da vaga Experiência necessária: Sim Meses de experiência necessários: 3 Requisitos especiais: O contratante considerará para emprego qualquer pessoa que possua pelo menos três (3) meses de experiência em um ambiente de alta gastronomia ou de grande movimento em um restaurante de luxo, resort ou clube privado. O candidato deverá se submeter a uma verificação de antecedentes pré-emprego, às custas do empregador, caso não esteja retornando da temporada anterior. Número de horas por semana: 40 Horário de trabalho (início/término): 10h00 - 18h00</v>
      </c>
    </row>
    <row r="980" ht="20.25" customHeight="1">
      <c r="A980" s="3" t="s">
        <v>4600</v>
      </c>
      <c r="B980" s="3" t="s">
        <v>4571</v>
      </c>
      <c r="C980" s="3" t="s">
        <v>4241</v>
      </c>
      <c r="D980" s="3" t="s">
        <v>71</v>
      </c>
      <c r="E980" s="4" t="s">
        <v>19</v>
      </c>
      <c r="F980" s="4" t="s">
        <v>20</v>
      </c>
      <c r="G980" s="4" t="s">
        <v>4572</v>
      </c>
      <c r="H980" s="3" t="s">
        <v>4573</v>
      </c>
      <c r="I980" s="3" t="s">
        <v>4574</v>
      </c>
      <c r="J980" s="4">
        <v>17.91</v>
      </c>
      <c r="K980" s="4">
        <v>8.0</v>
      </c>
      <c r="L980" s="3" t="s">
        <v>4601</v>
      </c>
      <c r="M980" s="3" t="s">
        <v>4602</v>
      </c>
      <c r="N980" s="7" t="str">
        <f>IFERROR(__xludf.DUMMYFUNCTION("GOOGLETRANSLATE(L980, ""en"", ""pt"")"),"Servidor de retorno")</f>
        <v>Servidor de retorno</v>
      </c>
      <c r="O980" s="7" t="str">
        <f>IFERROR(__xludf.DUMMYFUNCTION("IF(M980="""","""",GOOGLETRANSLATE(M980,""en"",""pt""))"),"Os auxiliares de garçom serão responsáveis ​​por separar e organizar os pedidos recebidos, garantir que os pedidos estejam corretos, transportar bandejas e pratos, levar a comida às mesas, repor bebidas quando necessário, arrumar as mesas, limpar e retira"&amp;"r as mesas, higienizar as áreas de trabalho e abastecer os suprimentos. Os auxiliares de garçom precisarão levantar e carregar até 11 kg sem ajuda e até 23 kg com ajuda. Horário: 40 horas por semana. O horário de trabalho pode variar e incluir turnos notu"&amp;"rnos, fins de semana e feriados. O trabalho pode ser realizado em qualquer dia da semana, de segunda a domingo. Exemplos de turnos: 10h às 18h, 12h às 20h ou 16h às 00h. Os horários dos turnos podem variar. Consulte a descrição do cargo em anexo para obte"&amp;"r mais informações. Classificação da vaga: 35-9011.00 - Atendentes de Salão e Cafeteria e Auxiliares de Barman. A classificação e descrição da vaga/setor inclui informações gerais sobre o cargo, de acordo com o ONET/OES e o Sistema de Classificação Indust"&amp;"rial da América do Norte. Consulte as Funções e a Ordem de Serviço para obter mais informações. Requisitos da vaga Experiência exigida: Sim Meses de experiência exigidos: 3 Requisitos especiais: O contratante considerará para emprego qualquer pessoa que p"&amp;"ossua pelo menos três (3) meses de experiência em um ambiente de alta gastronomia ou de grande movimento em um restaurante de alto padrão, resort ou clube privado. O candidato deverá se submeter a uma verificação de antecedentes pré-emprego, às custas do "&amp;"empregador, caso não esteja retornando da temporada anterior. Número de horas por semana: 40 Horário de trabalho (início/término): 10h00 - 18h00")</f>
        <v>Os auxiliares de garçom serão responsáveis ​​por separar e organizar os pedidos recebidos, garantir que os pedidos estejam corretos, transportar bandejas e pratos, levar a comida às mesas, repor bebidas quando necessário, arrumar as mesas, limpar e retirar as mesas, higienizar as áreas de trabalho e abastecer os suprimentos. Os auxiliares de garçom precisarão levantar e carregar até 11 kg sem ajuda e até 23 kg com ajuda. Horário: 40 horas por semana. O horário de trabalho pode variar e incluir turnos noturnos, fins de semana e feriados. O trabalho pode ser realizado em qualquer dia da semana, de segunda a domingo. Exemplos de turnos: 10h às 18h, 12h às 20h ou 16h às 00h. Os horários dos turnos podem variar. Consulte a descrição do cargo em anexo para obter mais informações. Classificação da vaga: 35-9011.00 - Atendentes de Salão e Cafeteria e Auxiliares de Barman. A classificação e descrição da vaga/setor inclui informações gerais sobre o cargo, de acordo com o ONET/OES e o Sistema de Classificação Industrial da América do Norte. Consulte as Funções e a Ordem de Serviço para obter mais informações. Requisitos da vaga Experiência exigida: Sim Meses de experiência exigidos: 3 Requisitos especiais: O contratante considerará para emprego qualquer pessoa que possua pelo menos três (3) meses de experiência em um ambiente de alta gastronomia ou de grande movimento em um restaurante de alto padrão, resort ou clube privado. O candidato deverá se submeter a uma verificação de antecedentes pré-emprego, às custas do empregador, caso não esteja retornando da temporada anterior. Número de horas por semana: 40 Horário de trabalho (início/término): 10h00 - 18h00</v>
      </c>
    </row>
    <row r="981" ht="20.25" customHeight="1">
      <c r="A981" s="8" t="s">
        <v>4603</v>
      </c>
      <c r="B981" s="8" t="s">
        <v>4571</v>
      </c>
      <c r="C981" s="8" t="s">
        <v>4241</v>
      </c>
      <c r="D981" s="8" t="s">
        <v>71</v>
      </c>
      <c r="E981" s="9" t="s">
        <v>44</v>
      </c>
      <c r="F981" s="9" t="s">
        <v>20</v>
      </c>
      <c r="G981" s="9" t="s">
        <v>4572</v>
      </c>
      <c r="H981" s="8" t="s">
        <v>4573</v>
      </c>
      <c r="I981" s="8" t="s">
        <v>4604</v>
      </c>
      <c r="J981" s="9">
        <v>18.0</v>
      </c>
      <c r="K981" s="9">
        <v>6.0</v>
      </c>
      <c r="L981" s="8" t="s">
        <v>1636</v>
      </c>
      <c r="M981" s="8" t="s">
        <v>4605</v>
      </c>
      <c r="N981" s="7" t="str">
        <f>IFERROR(__xludf.DUMMYFUNCTION("GOOGLETRANSLATE(L981, ""en"", ""pt"")"),"Mordomo")</f>
        <v>Mordomo</v>
      </c>
      <c r="O981" s="7" t="str">
        <f>IFERROR(__xludf.DUMMYFUNCTION("IF(M981="""","""",GOOGLETRANSLATE(M981,""en"",""pt""))"),"Os auxiliares de cozinha serão responsáveis ​​por lavar pratos, utensílios e equipamentos de cozinha e guardá-los em locais apropriados, varrer ou esfregar o chão, receber e armazenar suprimentos e repor suprimentos, como alimentos e utensílios, em estaçõ"&amp;"es de serviço, armários ou geladeiras. Horário: 40 horas semanais. O horário de trabalho pode variar e incluir turnos noturnos, fins de semana e feriados. O trabalho pode ser realizado em qualquer dia da semana, de segunda a domingo. Exemplos de turnos: 8"&amp;"h às 16h, 21h às 17h ou 16h à meia-noite. Os horários dos turnos podem variar. Consulte a descrição da vaga para obter mais informações. Classificação da vaga: 35-9021.00 - Lavadores de Louça. A classificação e descrição da vaga/setor incluem informações "&amp;"gerais sobre o cargo, de acordo com o ONET/OES e o Sistema de Classificação Industrial da América do Norte (NAICS). Consulte as Funções e a Ordem de Serviço para obter mais informações. Requisitos da vaga Experiência necessária: Sim Meses de experiência n"&amp;"ecessários: 3 Requisitos especiais: O contratante considerará para emprego qualquer pessoa que possua pelo menos três (3) meses de experiência em um ambiente de alta gastronomia ou de grande movimento em um restaurante de luxo, resort ou clube privado. O "&amp;"candidato deverá se submeter a uma verificação de antecedentes pré-emprego, às custas do empregador, caso não esteja retornando da temporada anterior. Número de horas por semana: 40 Horário de trabalho (início/término): 8h às 16h")</f>
        <v>Os auxiliares de cozinha serão responsáveis ​​por lavar pratos, utensílios e equipamentos de cozinha e guardá-los em locais apropriados, varrer ou esfregar o chão, receber e armazenar suprimentos e repor suprimentos, como alimentos e utensílios, em estações de serviço, armários ou geladeiras. Horário: 40 horas semanais. O horário de trabalho pode variar e incluir turnos noturnos, fins de semana e feriados. O trabalho pode ser realizado em qualquer dia da semana, de segunda a domingo. Exemplos de turnos: 8h às 16h, 21h às 17h ou 16h à meia-noite. Os horários dos turnos podem variar. Consulte a descrição da vaga para obter mais informações. Classificação da vaga: 35-9021.00 - Lavadores de Louça. A classificação e descrição da vaga/setor incluem informações gerais sobre o cargo, de acordo com o ONET/OES e o Sistema de Classificação Industrial da América do Norte (NAICS). Consulte as Funções e a Ordem de Serviço para obter mais informações. Requisitos da vaga Experiência necessária: Sim Meses de experiência necessários: 3 Requisitos especiais: O contratante considerará para emprego qualquer pessoa que possua pelo menos três (3) meses de experiência em um ambiente de alta gastronomia ou de grande movimento em um restaurante de luxo, resort ou clube privado. O candidato deverá se submeter a uma verificação de antecedentes pré-emprego, às custas do empregador, caso não esteja retornando da temporada anterior. Número de horas por semana: 40 Horário de trabalho (início/término): 8h às 16h</v>
      </c>
    </row>
    <row r="982" ht="20.25" customHeight="1">
      <c r="A982" s="3" t="s">
        <v>4606</v>
      </c>
      <c r="B982" s="3" t="s">
        <v>4571</v>
      </c>
      <c r="C982" s="3" t="s">
        <v>4241</v>
      </c>
      <c r="D982" s="3" t="s">
        <v>71</v>
      </c>
      <c r="E982" s="4" t="s">
        <v>44</v>
      </c>
      <c r="F982" s="4" t="s">
        <v>20</v>
      </c>
      <c r="G982" s="4" t="s">
        <v>4572</v>
      </c>
      <c r="H982" s="3" t="s">
        <v>4573</v>
      </c>
      <c r="I982" s="3" t="s">
        <v>4574</v>
      </c>
      <c r="J982" s="4">
        <v>18.71</v>
      </c>
      <c r="K982" s="4">
        <v>10.0</v>
      </c>
      <c r="L982" s="3" t="s">
        <v>1206</v>
      </c>
      <c r="M982" s="3" t="s">
        <v>4607</v>
      </c>
      <c r="N982" s="7" t="str">
        <f>IFERROR(__xludf.DUMMYFUNCTION("GOOGLETRANSLATE(L982, ""en"", ""pt"")"),"Servidor")</f>
        <v>Servidor</v>
      </c>
      <c r="O982" s="7" t="str">
        <f>IFERROR(__xludf.DUMMYFUNCTION("IF(M982="""","""",GOOGLETRANSLATE(M982,""en"",""pt""))"),"Os garçons serão responsáveis ​​por recepcionar os clientes, preparar as áreas de refeição, anotar e registrar os pedidos, transportar bandejas e pratos, servir alimentos e bebidas, polir talheres e copos, e limpar e retirar os pratos das mesas. Horário: "&amp;"40 horas semanais. A escala de trabalho pode variar e incluir turnos noturnos, fins de semana e feriados. O trabalho pode ser realizado em qualquer dia da semana, de segunda a domingo. Exemplos de turnos: 10h às 18h, 12h às 20h ou 16h às 00h. Os horários "&amp;"dos turnos podem variar. Consulte a descrição da vaga para obter mais informações. Classificação da vaga: 35-3031.00 - Garçons e Garçonetes. A classificação e descrição da vaga/setor incluem informações gerais sobre o cargo, de acordo com o ONET/OES e o S"&amp;"istema de Classificação Industrial da América do Norte (NAICS). Consulte as Funções e a Ordem de Serviço para obter mais informações. Requisitos da vaga Experiência necessária: Sim Meses de experiência necessários: 3 Requisitos especiais: O contratante co"&amp;"nsiderará para emprego qualquer pessoa que possua pelo menos três (3) meses de experiência em um ambiente de alta gastronomia ou de grande movimento em um restaurante de luxo, resort ou clube privado. O candidato deverá se submeter a uma verificação de an"&amp;"tecedentes pré-emprego, às custas do empregador, caso não esteja retornando da temporada anterior. Número de horas por semana: 40 Horário de trabalho (início/término): 10h00 - 18h00")</f>
        <v>Os garçons serão responsáveis ​​por recepcionar os clientes, preparar as áreas de refeição, anotar e registrar os pedidos, transportar bandejas e pratos, servir alimentos e bebidas, polir talheres e copos, e limpar e retirar os pratos das mesas. Horário: 40 horas semanais. A escala de trabalho pode variar e incluir turnos noturnos, fins de semana e feriados. O trabalho pode ser realizado em qualquer dia da semana, de segunda a domingo. Exemplos de turnos: 10h às 18h, 12h às 20h ou 16h às 00h. Os horários dos turnos podem variar. Consulte a descrição da vaga para obter mais informações. Classificação da vaga: 35-3031.00 - Garçons e Garçonetes. A classificação e descrição da vaga/setor incluem informações gerais sobre o cargo, de acordo com o ONET/OES e o Sistema de Classificação Industrial da América do Norte (NAICS). Consulte as Funções e a Ordem de Serviço para obter mais informações. Requisitos da vaga Experiência necessária: Sim Meses de experiência necessários: 3 Requisitos especiais: O contratante considerará para emprego qualquer pessoa que possua pelo menos três (3) meses de experiência em um ambiente de alta gastronomia ou de grande movimento em um restaurante de luxo, resort ou clube privado. O candidato deverá se submeter a uma verificação de antecedentes pré-emprego, às custas do empregador, caso não esteja retornando da temporada anterior. Número de horas por semana: 40 Horário de trabalho (início/término): 10h00 - 18h00</v>
      </c>
    </row>
    <row r="983" ht="20.25" customHeight="1">
      <c r="A983" s="8" t="s">
        <v>4608</v>
      </c>
      <c r="B983" s="8" t="s">
        <v>4609</v>
      </c>
      <c r="C983" s="8" t="s">
        <v>4507</v>
      </c>
      <c r="D983" s="8" t="s">
        <v>71</v>
      </c>
      <c r="E983" s="9" t="s">
        <v>19</v>
      </c>
      <c r="F983" s="9" t="s">
        <v>20</v>
      </c>
      <c r="G983" s="9" t="s">
        <v>377</v>
      </c>
      <c r="H983" s="8" t="s">
        <v>4610</v>
      </c>
      <c r="I983" s="8" t="s">
        <v>4611</v>
      </c>
      <c r="J983" s="9">
        <v>16.29</v>
      </c>
      <c r="K983" s="9">
        <v>18.0</v>
      </c>
      <c r="L983" s="8" t="s">
        <v>2342</v>
      </c>
      <c r="M983" s="8" t="s">
        <v>4612</v>
      </c>
      <c r="N983" s="7" t="str">
        <f>IFERROR(__xludf.DUMMYFUNCTION("GOOGLETRANSLATE(L983, ""en"", ""pt"")"),"Tratador de cavalos/cuidador de estábulo")</f>
        <v>Tratador de cavalos/cuidador de estábulo</v>
      </c>
      <c r="O983" s="7" t="str">
        <f>IFERROR(__xludf.DUMMYFUNCTION("IF(M983="""","""",GOOGLETRANSLATE(M983,""en"",""pt""))"),"Como tratador/auxiliar de estábulo, o profissional será responsável por auxiliar nos cuidados diários dos cavalos, incluindo a preparação para treinamento e corridas. Suas responsabilidades incluem alimentar e dar água aos cavalos, limpar arreios, banhar,"&amp;" escovar e tosar, colocar botas e preparar os cavalos para serem selados. Também será responsável por limpar os cascos, colocar e remover bandagens/botas e selar os cavalos para treinamento, além de banhá-los e refrescá-los após o treinamento e as corrida"&amp;"s. Auxiliará o veterinário durante os exames físicos, mantendo o cavalo calmo e sob controle, e os ferradores na inspeção, remoção, aplicação, ajuste e manutenção dos cascos e ferraduras, mantendo o cavalo calmo e sob controle. Outras responsabilidades in"&amp;"cluem limpar e trocar a cama das baias, dar banho nos cavalos com água fria ou morna e envolver os cavalos com bandagens ou curativos, conforme necessário. Classificação da função: 39-2021.00 - Cuidadores de Animais. A classificação e descrição da função/"&amp;"setor inclui informações gerais sobre o cargo, conforme ONET/OES e o Sistema de Classificação Industrial da América do Norte. Consulte a Descrição das Funções e a Ordem de Serviço para obter mais informações. Requisitos da Vaga Experiência Necessária: Sim"&amp;" Meses de Experiência Necessários: 3 Requisitos Especiais: Capacidade de levantar até 68 kg com auxílio. TESTES DE DROGAS ALEATÓRIOS, APÓS ACIDENTES E EM CASO DE SUSPEITA PODEM SER EXIGIDOS APÓS A CONTRATAÇÃO PARA TODOS OS FUNCIONÁRIOS, TANTO NACIONAIS QU"&amp;"ANTO COM VISTO H-2B, ÀS CUSTAS DO EMPREGADOR. TURNO DIVIDIDO, DAS 4H ÀS 11H30 E DAS 15H ÀS 16H30 (SEGUNDA A SEXTA); DAS 4H ÀS 11H30 (SÁBADO E DOMINGO). A ESCALA E O HORÁRIO PODEM VARIAR. Número de Horas por Semana: 60 Horário de Trabalho (Início/Término):"&amp;" 4h - 16h30")</f>
        <v>Como tratador/auxiliar de estábulo, o profissional será responsável por auxiliar nos cuidados diários dos cavalos, incluindo a preparação para treinamento e corridas. Suas responsabilidades incluem alimentar e dar água aos cavalos, limpar arreios, banhar, escovar e tosar, colocar botas e preparar os cavalos para serem selados. Também será responsável por limpar os cascos, colocar e remover bandagens/botas e selar os cavalos para treinamento, além de banhá-los e refrescá-los após o treinamento e as corridas. Auxiliará o veterinário durante os exames físicos, mantendo o cavalo calmo e sob controle, e os ferradores na inspeção, remoção, aplicação, ajuste e manutenção dos cascos e ferraduras, mantendo o cavalo calmo e sob controle. Outras responsabilidades incluem limpar e trocar a cama das baias, dar banho nos cavalos com água fria ou morna e envolver os cavalos com bandagens ou curativos, conforme necessário. Classificação da função: 39-2021.00 - Cuidadores de Animais. A classificação e descrição da função/setor inclui informações gerais sobre o cargo, conforme ONET/OES e o Sistema de Classificação Industrial da América do Norte. Consulte a Descrição das Funções e a Ordem de Serviço para obter mais informações. Requisitos da Vaga Experiência Necessária: Sim Meses de Experiência Necessários: 3 Requisitos Especiais: Capacidade de levantar até 68 kg com auxílio. TESTES DE DROGAS ALEATÓRIOS, APÓS ACIDENTES E EM CASO DE SUSPEITA PODEM SER EXIGIDOS APÓS A CONTRATAÇÃO PARA TODOS OS FUNCIONÁRIOS, TANTO NACIONAIS QUANTO COM VISTO H-2B, ÀS CUSTAS DO EMPREGADOR. TURNO DIVIDIDO, DAS 4H ÀS 11H30 E DAS 15H ÀS 16H30 (SEGUNDA A SEXTA); DAS 4H ÀS 11H30 (SÁBADO E DOMINGO). A ESCALA E O HORÁRIO PODEM VARIAR. Número de Horas por Semana: 60 Horário de Trabalho (Início/Término): 4h - 16h30</v>
      </c>
    </row>
    <row r="984" ht="20.25" customHeight="1">
      <c r="A984" s="3" t="s">
        <v>4613</v>
      </c>
      <c r="B984" s="3" t="s">
        <v>4614</v>
      </c>
      <c r="C984" s="3" t="s">
        <v>4241</v>
      </c>
      <c r="D984" s="3" t="s">
        <v>71</v>
      </c>
      <c r="E984" s="4" t="s">
        <v>19</v>
      </c>
      <c r="F984" s="4" t="s">
        <v>20</v>
      </c>
      <c r="G984" s="4" t="s">
        <v>384</v>
      </c>
      <c r="H984" s="3" t="s">
        <v>4615</v>
      </c>
      <c r="I984" s="3" t="s">
        <v>4616</v>
      </c>
      <c r="J984" s="4">
        <v>21.48</v>
      </c>
      <c r="K984" s="4">
        <v>7.0</v>
      </c>
      <c r="L984" s="3" t="s">
        <v>1684</v>
      </c>
      <c r="M984" s="3" t="s">
        <v>4617</v>
      </c>
      <c r="N984" s="7" t="str">
        <f>IFERROR(__xludf.DUMMYFUNCTION("GOOGLETRANSLATE(L984, ""en"", ""pt"")"),"Barman")</f>
        <v>Barman</v>
      </c>
      <c r="O984" s="7" t="str">
        <f>IFERROR(__xludf.DUMMYFUNCTION("IF(M984="""","""",GOOGLETRANSLATE(M984,""en"",""pt""))"),"Os bartenders serão responsáveis ​​por preparar e servir bebidas alcoólicas e não alcoólicas para sócios e convidados, limpar copos e equipamentos do bar e garantir que o bar e as áreas de trabalho estejam limpos e bem abastecidos. Os bartenders também re"&amp;"ceberão e servirão pedidos de bebidas e comidas, criarão receitas de drinks inovadoras e visualmente atraentes, receberão pagamentos dos clientes e manterão um controle preciso do estoque de suprimentos. Horário: 35 horas semanais. A escala de trabalho po"&amp;"de variar e incluir turnos noturnos, fins de semana e feriados. O trabalho pode ser realizado em qualquer dia da semana, de segunda a domingo. Exemplos de turnos: 10h às 17h, 12h às 19h ou 15h às 22h. Os horários dos turnos podem variar. Consulte a descri"&amp;"ção da vaga em anexo para obter mais informações. Classificação da vaga: 35-3011.00 - Bartenders. A classificação e descrição da vaga/setor incluem informações gerais sobre o cargo, de acordo com o ONET/OES e o Sistema de Classificação Industrial da Améri"&amp;"ca do Norte. Consulte as Funções e a Ordem de Serviço para obter mais informações. Requisitos da vaga Experiência exigida: Sim Meses de experiência exigidos: 6 Requisitos especiais: O contratante considerará para emprego qualquer pessoa que possua pelo me"&amp;"nos seis (6) meses de experiência em um ambiente de alta gastronomia ou de grande movimento em um restaurante sofisticado, resort ou clube privado. O candidato deverá se submeter a uma verificação de antecedentes pré-emprego, custeada pelo empregador. Núm"&amp;"ero de horas por semana: 35 Horário de trabalho (início/término): 10h00 - 17h00")</f>
        <v>Os bartenders serão responsáveis ​​por preparar e servir bebidas alcoólicas e não alcoólicas para sócios e convidados, limpar copos e equipamentos do bar e garantir que o bar e as áreas de trabalho estejam limpos e bem abastecidos. Os bartenders também receberão e servirão pedidos de bebidas e comidas, criarão receitas de drinks inovadoras e visualmente atraentes, receberão pagamentos dos clientes e manterão um controle preciso do estoque de suprimentos. Horário: 35 horas semanais. A escala de trabalho pode variar e incluir turnos noturnos, fins de semana e feriados. O trabalho pode ser realizado em qualquer dia da semana, de segunda a domingo. Exemplos de turnos: 10h às 17h, 12h às 19h ou 15h às 22h. Os horários dos turnos podem variar. Consulte a descrição da vaga em anexo para obter mais informações. Classificação da vaga: 35-3011.00 - Bartenders. A classificação e descrição da vaga/setor incluem informações gerais sobre o cargo, de acordo com o ONET/OES e o Sistema de Classificação Industrial da América do Norte. Consulte as Funções e a Ordem de Serviço para obter mais informações. Requisitos da vaga Experiência exigida: Sim Meses de experiência exigidos: 6 Requisitos especiais: O contratante considerará para emprego qualquer pessoa que possua pelo menos seis (6) meses de experiência em um ambiente de alta gastronomia ou de grande movimento em um restaurante sofisticado, resort ou clube privado. O candidato deverá se submeter a uma verificação de antecedentes pré-emprego, custeada pelo empregador. Número de horas por semana: 35 Horário de trabalho (início/término): 10h00 - 17h00</v>
      </c>
    </row>
    <row r="985" ht="20.25" customHeight="1">
      <c r="A985" s="8" t="s">
        <v>4618</v>
      </c>
      <c r="B985" s="8" t="s">
        <v>4614</v>
      </c>
      <c r="C985" s="8" t="s">
        <v>4241</v>
      </c>
      <c r="D985" s="8" t="s">
        <v>71</v>
      </c>
      <c r="E985" s="9" t="s">
        <v>19</v>
      </c>
      <c r="F985" s="9" t="s">
        <v>20</v>
      </c>
      <c r="G985" s="9" t="s">
        <v>384</v>
      </c>
      <c r="H985" s="8" t="s">
        <v>4615</v>
      </c>
      <c r="I985" s="8" t="s">
        <v>4616</v>
      </c>
      <c r="J985" s="9">
        <v>16.35</v>
      </c>
      <c r="K985" s="9">
        <v>22.0</v>
      </c>
      <c r="L985" s="8" t="s">
        <v>4619</v>
      </c>
      <c r="M985" s="8" t="s">
        <v>4620</v>
      </c>
      <c r="N985" s="7" t="str">
        <f>IFERROR(__xludf.DUMMYFUNCTION("GOOGLETRANSLATE(L985, ""en"", ""pt"")"),"Garçom")</f>
        <v>Garçom</v>
      </c>
      <c r="O985" s="7" t="str">
        <f>IFERROR(__xludf.DUMMYFUNCTION("IF(M985="""","""",GOOGLETRANSLATE(M985,""en"",""pt""))"),"Os auxiliares de mesa ajudarão na montagem de bares, áreas de refeição e serviço, levando comida aos clientes, servindo e reabastecendo água, condimentos e café, limpando mesas, retirando pratos sujos e repondo as mesas com toalhas, talheres, copos e prat"&amp;"os limpos. Os auxiliares de mesa também ajudarão atrás do balcão, reabastecendo gelo, organizando e limpando, e movendo equipamentos, suprimentos e alimentos para os locais necessários. Horário: 35 horas por semana. O horário de trabalho pode variar e inc"&amp;"luir noites, fins de semana e feriados. O trabalho pode ser realizado em qualquer dia da semana, de segunda a domingo. Exemplos de turnos: 10h às 17h, 12h às 19h ou 14h às 21h. Os horários dos turnos podem variar. Consulte a descrição do cargo em anexo pa"&amp;"ra obter mais informações. Classificação da vaga: 35-9011.00 - Atendentes de Salão e Cafeteria e Auxiliares de Barman. A classificação e descrição da vaga/setor inclui informações gerais sobre o cargo, de acordo com o ONET/OES e o Sistema de Classificação"&amp;" Industrial da América do Norte. Consulte as Funções e a Ordem de Serviço para obter mais informações. Requisitos da vaga Experiência exigida: Sim Meses de experiência exigidos: 3 Requisitos especiais: O contratante considerará para emprego qualquer pesso"&amp;"a que possua pelo menos três (3) meses de experiência em um ambiente de alta gastronomia ou de grande movimento em um restaurante sofisticado, resort ou clube privado. O candidato deverá se submeter a uma verificação de antecedentes pré-emprego, às custas"&amp;" do empregador. Número de horas por semana: 35 Horário de trabalho (início/término): 10h às 17h.")</f>
        <v>Os auxiliares de mesa ajudarão na montagem de bares, áreas de refeição e serviço, levando comida aos clientes, servindo e reabastecendo água, condimentos e café, limpando mesas, retirando pratos sujos e repondo as mesas com toalhas, talheres, copos e pratos limpos. Os auxiliares de mesa também ajudarão atrás do balcão, reabastecendo gelo, organizando e limpando, e movendo equipamentos, suprimentos e alimentos para os locais necessários. Horário: 35 horas por semana. O horário de trabalho pode variar e incluir noites, fins de semana e feriados. O trabalho pode ser realizado em qualquer dia da semana, de segunda a domingo. Exemplos de turnos: 10h às 17h, 12h às 19h ou 14h às 21h. Os horários dos turnos podem variar. Consulte a descrição do cargo em anexo para obter mais informações. Classificação da vaga: 35-9011.00 - Atendentes de Salão e Cafeteria e Auxiliares de Barman. A classificação e descrição da vaga/setor inclui informações gerais sobre o cargo, de acordo com o ONET/OES e o Sistema de Classificação Industrial da América do Norte. Consulte as Funções e a Ordem de Serviço para obter mais informações. Requisitos da vaga Experiência exigida: Sim Meses de experiência exigidos: 3 Requisitos especiais: O contratante considerará para emprego qualquer pessoa que possua pelo menos três (3) meses de experiência em um ambiente de alta gastronomia ou de grande movimento em um restaurante sofisticado, resort ou clube privado. O candidato deverá se submeter a uma verificação de antecedentes pré-emprego, às custas do empregador. Número de horas por semana: 35 Horário de trabalho (início/término): 10h às 17h.</v>
      </c>
    </row>
    <row r="986" ht="20.25" customHeight="1">
      <c r="A986" s="3" t="s">
        <v>4621</v>
      </c>
      <c r="B986" s="3" t="s">
        <v>4614</v>
      </c>
      <c r="C986" s="3" t="s">
        <v>4241</v>
      </c>
      <c r="D986" s="3" t="s">
        <v>71</v>
      </c>
      <c r="E986" s="4" t="s">
        <v>19</v>
      </c>
      <c r="F986" s="4" t="s">
        <v>20</v>
      </c>
      <c r="G986" s="4" t="s">
        <v>384</v>
      </c>
      <c r="H986" s="3" t="s">
        <v>4615</v>
      </c>
      <c r="I986" s="3" t="s">
        <v>4616</v>
      </c>
      <c r="J986" s="4">
        <v>19.88</v>
      </c>
      <c r="K986" s="4">
        <v>35.0</v>
      </c>
      <c r="L986" s="3" t="s">
        <v>387</v>
      </c>
      <c r="M986" s="3" t="s">
        <v>4622</v>
      </c>
      <c r="N986" s="7" t="str">
        <f>IFERROR(__xludf.DUMMYFUNCTION("GOOGLETRANSLATE(L986, ""en"", ""pt"")"),"Ordem de serviço não disponível")</f>
        <v>Ordem de serviço não disponível</v>
      </c>
      <c r="O986" s="7" t="str">
        <f>IFERROR(__xludf.DUMMYFUNCTION("IF(M986="""","""",GOOGLETRANSLATE(M986,""en"",""pt""))"),"Os cozinheiros serão responsáveis ​​por preparar, temperar, cozinhar, empratar e decorar pratos como sopas, carnes, legumes, sobremesas e outros itens alimentícios em um restaurante, garantindo que os pedidos sejam preparados em tempo hábil e de acordo co"&amp;"m altos padrões de qualidade, além de cumprir as normas de nutrição, higiene e segurança alimentar. Os cozinheiros inspecionarão e limparão as áreas de preparo de alimentos, panelas, superfícies de trabalho e áreas de serviço para garantir práticas segura"&amp;"s e higiênicas de manipulação de alimentos. Os cozinheiros também garantirão que os alimentos sejam armazenados e cozidos nas temperaturas corretas, regulando a temperatura de fornos, grelhas e assadeiras, assegurando o frescor dos alimentos e ingrediente"&amp;"s, verificando a qualidade, controlando os itens novos e antigos e fazendo o rodízio do estoque. Horário: 35 horas semanais. A escala de trabalho pode variar e incluir noites, fins de semana e feriados. O trabalho pode ser realizado em qualquer dia da sem"&amp;"ana, de segunda a domingo. Exemplos de turnos: 8h às 15h, 14h às 21h ou 15h às 22h. Os horários dos turnos podem variar. Consulte a descrição do cargo em anexo para obter mais informações. Classificação do Cargo: 35-2014.00 - Cozinheiros, Restaurante. A c"&amp;"lassificação e a descrição do cargo/setor incluem informações gerais sobre a posição, de acordo com o ONET/OES e o Sistema de Classificação Industrial da América do Norte. Consulte as Funções e a Ordem de Serviço para obter mais informações. Requisitos do"&amp;" Cargo Experiência Necessária: Sim Meses de Experiência Necessários: 6 Requisitos Especiais: O contratante considerará para emprego qualquer pessoa que possua pelo menos seis (6) meses de experiência culinária em um ambiente de alta gastronomia ou de gran"&amp;"de movimento, em um restaurante sofisticado, resort ou clube privado. O candidato deverá se submeter a uma verificação de antecedentes pré-emprego, às custas do empregador. Número de Horas por Semana: 35 Horário de Trabalho (Início/Término): 8h - 15h00")</f>
        <v>Os cozinheiros serão responsáveis ​​por preparar, temperar, cozinhar, empratar e decorar pratos como sopas, carnes, legumes, sobremesas e outros itens alimentícios em um restaurante, garantindo que os pedidos sejam preparados em tempo hábil e de acordo com altos padrões de qualidade, além de cumprir as normas de nutrição, higiene e segurança alimentar. Os cozinheiros inspecionarão e limparão as áreas de preparo de alimentos, panelas, superfícies de trabalho e áreas de serviço para garantir práticas seguras e higiênicas de manipulação de alimentos. Os cozinheiros também garantirão que os alimentos sejam armazenados e cozidos nas temperaturas corretas, regulando a temperatura de fornos, grelhas e assadeiras, assegurando o frescor dos alimentos e ingredientes, verificando a qualidade, controlando os itens novos e antigos e fazendo o rodízio do estoque. Horário: 35 horas semanais. A escala de trabalho pode variar e incluir noites, fins de semana e feriados. O trabalho pode ser realizado em qualquer dia da semana, de segunda a domingo. Exemplos de turnos: 8h às 15h, 14h às 21h ou 15h às 22h. Os horários dos turnos podem variar. Consulte a descrição do cargo em anexo para obter mais informações. Classificação do Cargo: 35-2014.00 - Cozinheiros, Restaurante. A classificação e a descrição do cargo/setor incluem informações gerais sobre a posição, de acordo com o ONET/OES e o Sistema de Classificação Industrial da América do Norte. Consulte as Funções e a Ordem de Serviço para obter mais informações. Requisitos do Cargo Experiência Necessária: Sim Meses de Experiência Necessários: 6 Requisitos Especiais: O contratante considerará para emprego qualquer pessoa que possua pelo menos seis (6) meses de experiência culinária em um ambiente de alta gastronomia ou de grande movimento, em um restaurante sofisticado, resort ou clube privado. O candidato deverá se submeter a uma verificação de antecedentes pré-emprego, às custas do empregador. Número de Horas por Semana: 35 Horário de Trabalho (Início/Término): 8h - 15h00</v>
      </c>
    </row>
    <row r="987" ht="20.25" customHeight="1">
      <c r="A987" s="8" t="s">
        <v>4623</v>
      </c>
      <c r="B987" s="8" t="s">
        <v>4614</v>
      </c>
      <c r="C987" s="8" t="s">
        <v>4241</v>
      </c>
      <c r="D987" s="8" t="s">
        <v>71</v>
      </c>
      <c r="E987" s="9" t="s">
        <v>44</v>
      </c>
      <c r="F987" s="9" t="s">
        <v>20</v>
      </c>
      <c r="G987" s="9" t="s">
        <v>384</v>
      </c>
      <c r="H987" s="8" t="s">
        <v>4615</v>
      </c>
      <c r="I987" s="8" t="s">
        <v>4616</v>
      </c>
      <c r="J987" s="9">
        <v>20.13</v>
      </c>
      <c r="K987" s="9">
        <v>25.0</v>
      </c>
      <c r="L987" s="8" t="s">
        <v>1206</v>
      </c>
      <c r="M987" s="8" t="s">
        <v>4624</v>
      </c>
      <c r="N987" s="7" t="str">
        <f>IFERROR(__xludf.DUMMYFUNCTION("GOOGLETRANSLATE(L987, ""en"", ""pt"")"),"Servidor")</f>
        <v>Servidor</v>
      </c>
      <c r="O987" s="7" t="str">
        <f>IFERROR(__xludf.DUMMYFUNCTION("IF(M987="""","""",GOOGLETRANSLATE(M987,""en"",""pt""))"),"Os garçons serão responsáveis ​​por recepcionar os membros e convidados, preparar as áreas de refeição, anotar e registrar os pedidos com precisão, transportar bandejas e pratos, servir alimentos e bebidas, e limpar e retirar os pratos das mesas. Os garço"&amp;"ns verificarão regularmente se os clientes estão satisfeitos com suas refeições, tomarão medidas para corrigir quaisquer problemas, informarão os clientes sobre os pratos do dia, responderão a perguntas sobre os itens do cardápio, farão recomendações quan"&amp;"do solicitados, auxiliarão no preparo de bebidas quentes, frias, alcoólicas e cerveja para os clientes, gelarão garrafas de vinho, receberão os pagamentos dos clientes e prepararão as mesas para as refeições, incluindo a colocação de toalhas de mesa, talh"&amp;"eres e copos. Horário: 35 horas por semana. O horário de trabalho pode variar e incluir turnos noturnos, fins de semana e feriados. O trabalho pode ser realizado em qualquer dia da semana, de segunda a domingo. Exemplos de turnos: 10h às 17h, 14h às 21h o"&amp;"u 15h às 22h. Os horários dos turnos podem variar. Consulte a descrição do cargo em anexo para obter mais informações. Classificação da Função: 35-3031.00 - Garçons e Garçonetes. A classificação e descrição da função/setor inclui informações gerais sobre "&amp;"o cargo, de acordo com o ONET/OES e o Sistema de Classificação Industrial da América do Norte. Consulte as Funções e a Ordem de Serviço para obter mais informações. Requisitos da Função Experiência Necessária: Sim Meses de Experiência Necessários: 6 Requi"&amp;"sitos Especiais: O contratante considerará para emprego qualquer pessoa que possua pelo menos seis (6) meses de experiência em atendimento em um ambiente de alta gastronomia ou de grande movimento, em um restaurante sofisticado, resort ou clube privado. O"&amp;" candidato deverá se submeter a uma verificação de antecedentes pré-emprego, às custas do empregador. Número de Horas por Semana: 35 Horário de Trabalho (Início/Término): 10h00 - 17h00")</f>
        <v>Os garçons serão responsáveis ​​por recepcionar os membros e convidados, preparar as áreas de refeição, anotar e registrar os pedidos com precisão, transportar bandejas e pratos, servir alimentos e bebidas, e limpar e retirar os pratos das mesas. Os garçons verificarão regularmente se os clientes estão satisfeitos com suas refeições, tomarão medidas para corrigir quaisquer problemas, informarão os clientes sobre os pratos do dia, responderão a perguntas sobre os itens do cardápio, farão recomendações quando solicitados, auxiliarão no preparo de bebidas quentes, frias, alcoólicas e cerveja para os clientes, gelarão garrafas de vinho, receberão os pagamentos dos clientes e prepararão as mesas para as refeições, incluindo a colocação de toalhas de mesa, talheres e copos. Horário: 35 horas por semana. O horário de trabalho pode variar e incluir turnos noturnos, fins de semana e feriados. O trabalho pode ser realizado em qualquer dia da semana, de segunda a domingo. Exemplos de turnos: 10h às 17h, 14h às 21h ou 15h às 22h. Os horários dos turnos podem variar. Consulte a descrição do cargo em anexo para obter mais informações. Classificação da Função: 35-3031.00 - Garçons e Garçonetes. A classificação e descrição da função/setor inclui informações gerais sobre o cargo, de acordo com o ONET/OES e o Sistema de Classificação Industrial da América do Norte. Consulte as Funções e a Ordem de Serviço para obter mais informações. Requisitos da Função Experiência Necessária: Sim Meses de Experiência Necessários: 6 Requisitos Especiais: O contratante considerará para emprego qualquer pessoa que possua pelo menos seis (6) meses de experiência em atendimento em um ambiente de alta gastronomia ou de grande movimento, em um restaurante sofisticado, resort ou clube privado. O candidato deverá se submeter a uma verificação de antecedentes pré-emprego, às custas do empregador. Número de Horas por Semana: 35 Horário de Trabalho (Início/Término): 10h00 - 17h00</v>
      </c>
    </row>
    <row r="988" ht="20.25" customHeight="1">
      <c r="A988" s="3" t="s">
        <v>4625</v>
      </c>
      <c r="B988" s="3" t="s">
        <v>4614</v>
      </c>
      <c r="C988" s="3" t="s">
        <v>4241</v>
      </c>
      <c r="D988" s="3" t="s">
        <v>71</v>
      </c>
      <c r="E988" s="4" t="s">
        <v>44</v>
      </c>
      <c r="F988" s="4" t="s">
        <v>20</v>
      </c>
      <c r="G988" s="4" t="s">
        <v>384</v>
      </c>
      <c r="H988" s="3" t="s">
        <v>4615</v>
      </c>
      <c r="I988" s="3" t="s">
        <v>4616</v>
      </c>
      <c r="J988" s="4">
        <v>15.12</v>
      </c>
      <c r="K988" s="4">
        <v>7.0</v>
      </c>
      <c r="L988" s="3" t="s">
        <v>387</v>
      </c>
      <c r="M988" s="3" t="s">
        <v>4626</v>
      </c>
      <c r="N988" s="7" t="str">
        <f>IFERROR(__xludf.DUMMYFUNCTION("GOOGLETRANSLATE(L988, ""en"", ""pt"")"),"Ordem de serviço não disponível")</f>
        <v>Ordem de serviço não disponível</v>
      </c>
      <c r="O988" s="7" t="str">
        <f>IFERROR(__xludf.DUMMYFUNCTION("IF(M988="""","""",GOOGLETRANSLATE(M988,""en"",""pt""))"),"Os recepcionistas serão responsáveis ​​por recepcionar os clientes, acomodá-los às mesas e ajudar a garantir a qualidade das instalações e do serviço. Suas responsabilidades incluem fornecer os cardápios aos clientes, encaminhá-los às mesas de acordo com "&amp;"suas necessidades e seguindo o sistema de rodízio para que os garçons recebam um número adequado de clientes, atender telefonemas e responder a perguntas, receber e registrar reservas, conversar com os clientes para garantir a satisfação com a comida e o "&amp;"serviço, inspecionar as áreas de refeição e serviço para garantir a limpeza e a organização adequadas, informar os clientes sobre as especialidades e características do estabelecimento, manter contato com a equipe da cozinha, a gerência, os garçons e os c"&amp;"lientes para garantir que os detalhes da refeição sejam tratados adequadamente e que as preocupações dos clientes sejam atendidas, e auxiliar a equipe do restaurante preparando a estação de café para o próximo turno. Horário: 35 horas semanais. A escala d"&amp;"e trabalho pode variar e incluir turnos noturnos, fins de semana e feriados. O trabalho pode ser realizado em qualquer dia da semana, de segunda a domingo. Exemplos de turnos: 10h às 17h, 12h às 19h ou 14h às 21h. O horário de trabalho pode variar. Consul"&amp;"te a descrição da vaga em anexo para obter mais informações. Classificação da vaga: 35-9031.00 - Recepcionistas, Restaurante, Lounge e Cafeteria. A classificação e descrição da vaga/setor inclui informações gerais sobre o cargo, de acordo com o ONET/OES e"&amp;" o Sistema de Classificação Industrial da América do Norte (NAICS). Consulte as Funções e a Ordem de Serviço para obter mais informações. Requisitos da vaga: Experiência exigida: Sim. Meses de experiência exigidos: 6. Requisitos especiais: O contratante c"&amp;"onsiderará para emprego qualquer pessoa que possua pelo menos seis (6) meses de experiência em atendimento ao cliente em um ambiente de alta gastronomia ou de grande movimento, em um restaurante sofisticado, resort ou clube privado. O candidato deverá se "&amp;"submeter a uma verificação de antecedentes pré-emprego, às custas do empregador. Número de horas por semana: 35. Horário de trabalho (início/término): 10h às 17h.")</f>
        <v>Os recepcionistas serão responsáveis ​​por recepcionar os clientes, acomodá-los às mesas e ajudar a garantir a qualidade das instalações e do serviço. Suas responsabilidades incluem fornecer os cardápios aos clientes, encaminhá-los às mesas de acordo com suas necessidades e seguindo o sistema de rodízio para que os garçons recebam um número adequado de clientes, atender telefonemas e responder a perguntas, receber e registrar reservas, conversar com os clientes para garantir a satisfação com a comida e o serviço, inspecionar as áreas de refeição e serviço para garantir a limpeza e a organização adequadas, informar os clientes sobre as especialidades e características do estabelecimento, manter contato com a equipe da cozinha, a gerência, os garçons e os clientes para garantir que os detalhes da refeição sejam tratados adequadamente e que as preocupações dos clientes sejam atendidas, e auxiliar a equipe do restaurante preparando a estação de café para o próximo turno. Horário: 35 horas semanais. A escala de trabalho pode variar e incluir turnos noturnos, fins de semana e feriados. O trabalho pode ser realizado em qualquer dia da semana, de segunda a domingo. Exemplos de turnos: 10h às 17h, 12h às 19h ou 14h às 21h. O horário de trabalho pode variar. Consulte a descrição da vaga em anexo para obter mais informações. Classificação da vaga: 35-9031.00 - Recepcionistas, Restaurante, Lounge e Cafeteria. A classificação e descrição da vaga/setor inclui informações gerais sobre o cargo, de acordo com o ONET/OES e o Sistema de Classificação Industrial da América do Norte (NAICS). Consulte as Funções e a Ordem de Serviço para obter mais informações. Requisitos da vaga: Experiência exigida: Sim. Meses de experiência exigidos: 6. Requisitos especiais: O contratante considerará para emprego qualquer pessoa que possua pelo menos seis (6) meses de experiência em atendimento ao cliente em um ambiente de alta gastronomia ou de grande movimento, em um restaurante sofisticado, resort ou clube privado. O candidato deverá se submeter a uma verificação de antecedentes pré-emprego, às custas do empregador. Número de horas por semana: 35. Horário de trabalho (início/término): 10h às 17h.</v>
      </c>
    </row>
    <row r="989" ht="20.25" customHeight="1">
      <c r="A989" s="8" t="s">
        <v>4627</v>
      </c>
      <c r="B989" s="8" t="s">
        <v>4628</v>
      </c>
      <c r="C989" s="8" t="s">
        <v>4507</v>
      </c>
      <c r="D989" s="8" t="s">
        <v>71</v>
      </c>
      <c r="E989" s="9" t="s">
        <v>19</v>
      </c>
      <c r="F989" s="9" t="s">
        <v>20</v>
      </c>
      <c r="G989" s="9" t="s">
        <v>4629</v>
      </c>
      <c r="H989" s="8" t="s">
        <v>4630</v>
      </c>
      <c r="I989" s="8" t="s">
        <v>4631</v>
      </c>
      <c r="J989" s="9">
        <v>15.74</v>
      </c>
      <c r="K989" s="9">
        <v>20.0</v>
      </c>
      <c r="L989" s="8" t="s">
        <v>4517</v>
      </c>
      <c r="M989" s="8" t="s">
        <v>4632</v>
      </c>
      <c r="N989" s="7" t="str">
        <f>IFERROR(__xludf.DUMMYFUNCTION("GOOGLETRANSLATE(L989, ""en"", ""pt"")"),"tratador de estábulo")</f>
        <v>tratador de estábulo</v>
      </c>
      <c r="O989" s="7" t="str">
        <f>IFERROR(__xludf.DUMMYFUNCTION("IF(M989="""","""",GOOGLETRANSLATE(M989,""en"",""pt""))"),"Cuidar de cavalos vivos. Alimentar, dar água, banhar, exercitar, montar, passear e embarcar os cavalos. Limpar e manter as baias. Classificação da vaga: 39-2021.00 - Cuidadores de Animais. A classificação e descrição da vaga/setor inclui informações gerai"&amp;"s sobre o cargo, de acordo com o ONET/OES e o Sistema de Classificação Industrial da América do Norte. Consulte as Funções e a Ordem de Serviço para obter mais informações. Requisitos da vaga: Experiência necessária: Sim. Meses de experiência necessários:"&amp;" 3. Requisitos especiais: Horário de trabalho em turnos divididos, das 6h às 12h e das 14h às 16h. Horário e carga horária variáveis. Trabalho aos fins de semana quando necessário. Capacidade de levantar 68 kg com auxílio. Teste toxicológico pós-contrataç"&amp;"ão, após acidente e em caso de suspeita, por conta do empregador. É necessário ter 3 meses de experiência como tratador de cavalos ou auxiliar de estábulo. Número de horas por semana: 40. Horário de trabalho (início/término): 6h às 16h.")</f>
        <v>Cuidar de cavalos vivos. Alimentar, dar água, banhar, exercitar, montar, passear e embarcar os cavalos. Limpar e manter as baias. Classificação da vaga: 39-2021.00 - Cuidadores de Animais. A classificação e descrição da vaga/setor inclui informações gerais sobre o cargo, de acordo com o ONET/OES e o Sistema de Classificação Industrial da América do Norte. Consulte as Funções e a Ordem de Serviço para obter mais informações. Requisitos da vaga: Experiência necessária: Sim. Meses de experiência necessários: 3. Requisitos especiais: Horário de trabalho em turnos divididos, das 6h às 12h e das 14h às 16h. Horário e carga horária variáveis. Trabalho aos fins de semana quando necessário. Capacidade de levantar 68 kg com auxílio. Teste toxicológico pós-contratação, após acidente e em caso de suspeita, por conta do empregador. É necessário ter 3 meses de experiência como tratador de cavalos ou auxiliar de estábulo. Número de horas por semana: 40. Horário de trabalho (início/término): 6h às 16h.</v>
      </c>
    </row>
    <row r="990" ht="20.25" customHeight="1">
      <c r="A990" s="3" t="s">
        <v>4633</v>
      </c>
      <c r="B990" s="3" t="s">
        <v>4634</v>
      </c>
      <c r="C990" s="3" t="s">
        <v>4507</v>
      </c>
      <c r="D990" s="3" t="s">
        <v>4521</v>
      </c>
      <c r="E990" s="4" t="s">
        <v>44</v>
      </c>
      <c r="F990" s="4" t="s">
        <v>20</v>
      </c>
      <c r="G990" s="4" t="s">
        <v>2356</v>
      </c>
      <c r="H990" s="3" t="s">
        <v>4635</v>
      </c>
      <c r="I990" s="3" t="s">
        <v>4636</v>
      </c>
      <c r="J990" s="4">
        <v>19.86</v>
      </c>
      <c r="K990" s="4">
        <v>2.0</v>
      </c>
      <c r="L990" s="3" t="s">
        <v>4637</v>
      </c>
      <c r="M990" s="3" t="s">
        <v>4638</v>
      </c>
      <c r="N990" s="7" t="str">
        <f>IFERROR(__xludf.DUMMYFUNCTION("GOOGLETRANSLATE(L990, ""en"", ""pt"")"),"Atendente de delicatessen")</f>
        <v>Atendente de delicatessen</v>
      </c>
      <c r="O990" s="7" t="str">
        <f>IFERROR(__xludf.DUMMYFUNCTION("IF(M990="""","""",GOOGLETRANSLATE(M990,""en"",""pt""))"),"Receber pedidos, preparar, cozinhar e embalar alimentos que exigem pouco tempo de preparo. Servir alimentos e bebidas, preparar a conta e receber o pagamento do cliente; solicitar suprimentos e abastecer as prateleiras; limpar a área de trabalho e os equi"&amp;"pamentos de preparo de alimentos. Preparar bebidas, fazer café ou chá, realizar tarefas de preparo de alimentos, como fazer sanduíches, e servir refeições aos clientes no balcão. Classificação do Cargo: 35-2015.00 - Cozinheiros, Lanches Rápidos. A classif"&amp;"icação e a descrição do cargo/setor incluem informações gerais sobre a posição, de acordo com o ONET/OES e o Sistema de Classificação Industrial da América do Norte. Consulte as Funções e a Ordem de Serviço para obter mais informações. Requisitos do Cargo"&amp;" Experiência Necessária: Sim Meses de Experiência Necessários: 3 Requisitos Especiais: Deve ser capaz de levantar 18 kg e ficar em pé por longos períodos. 3 meses de experiência como cozinheiro em um ambiente de varejo, restaurante, comercial ou similar. "&amp;"A escala de trabalho varia. Os dias e horários de trabalho podem variar dependendo da programação, e a carga horária semanal varia de acordo com o volume de negócios, mas geralmente fica entre 38 e 45 horas por semana. A empresa funciona 7 dias por semana"&amp;" e será necessário trabalhar aos fins de semana. Número de horas por semana: 45. Horário de trabalho (início/término): 5h às 12h.")</f>
        <v>Receber pedidos, preparar, cozinhar e embalar alimentos que exigem pouco tempo de preparo. Servir alimentos e bebidas, preparar a conta e receber o pagamento do cliente; solicitar suprimentos e abastecer as prateleiras; limpar a área de trabalho e os equipamentos de preparo de alimentos. Preparar bebidas, fazer café ou chá, realizar tarefas de preparo de alimentos, como fazer sanduíches, e servir refeições aos clientes no balcão. Classificação do Cargo: 35-2015.00 - Cozinheiros, Lanches Rápidos. A classificação e a descrição do cargo/setor incluem informações gerais sobre a posição, de acordo com o ONET/OES e o Sistema de Classificação Industrial da América do Norte. Consulte as Funções e a Ordem de Serviço para obter mais informações. Requisitos do Cargo Experiência Necessária: Sim Meses de Experiência Necessários: 3 Requisitos Especiais: Deve ser capaz de levantar 18 kg e ficar em pé por longos períodos. 3 meses de experiência como cozinheiro em um ambiente de varejo, restaurante, comercial ou similar. A escala de trabalho varia. Os dias e horários de trabalho podem variar dependendo da programação, e a carga horária semanal varia de acordo com o volume de negócios, mas geralmente fica entre 38 e 45 horas por semana. A empresa funciona 7 dias por semana e será necessário trabalhar aos fins de semana. Número de horas por semana: 45. Horário de trabalho (início/término): 5h às 12h.</v>
      </c>
    </row>
    <row r="991" ht="20.25" customHeight="1">
      <c r="A991" s="8" t="s">
        <v>4639</v>
      </c>
      <c r="B991" s="8" t="s">
        <v>4640</v>
      </c>
      <c r="C991" s="8" t="s">
        <v>4507</v>
      </c>
      <c r="D991" s="8" t="s">
        <v>596</v>
      </c>
      <c r="E991" s="9" t="s">
        <v>19</v>
      </c>
      <c r="F991" s="9" t="s">
        <v>20</v>
      </c>
      <c r="G991" s="9" t="s">
        <v>236</v>
      </c>
      <c r="H991" s="8" t="s">
        <v>4641</v>
      </c>
      <c r="I991" s="8" t="s">
        <v>4642</v>
      </c>
      <c r="J991" s="9">
        <v>21.32</v>
      </c>
      <c r="K991" s="9">
        <v>10.0</v>
      </c>
      <c r="L991" s="8" t="s">
        <v>59</v>
      </c>
      <c r="M991" s="8" t="s">
        <v>4643</v>
      </c>
      <c r="N991" s="7" t="str">
        <f>IFERROR(__xludf.DUMMYFUNCTION("GOOGLETRANSLATE(L991, ""en"", ""pt"")"),"Trabalhador de paisagismo")</f>
        <v>Trabalhador de paisagismo</v>
      </c>
      <c r="O991" s="7" t="str">
        <f>IFERROR(__xludf.DUMMYFUNCTION("IF(M991="""","""",GOOGLETRANSLATE(M991,""en"",""pt""))"),"Paisagismo e manutenção de propriedades utilizando ferramentas ou equipamentos. As tarefas podem incluir plantio, rega, fertilização, escavação, rastelagem, instalação de aspersores, semeadura, cobertura morta, colocação de grama em placas, transporte e e"&amp;"spalhamento de terra vegetal e instalação de blocos de concreto pré-moldado sem argamassa. Classificação da função: 37-3011.00 - Trabalhadores de Paisagismo e Manutenção de Áreas Verdes. A classificação e descrição da função/setor incluem informações gera"&amp;"is sobre o cargo, de acordo com o ONET/OES e o Sistema de Classificação Industrial da América do Norte (NAICS). Consulte as Funções e a Ordem de Serviço para obter mais informações. Requisitos da vaga: Experiência necessária: Não. Requisitos especiais: CA"&amp;"PACIDADE DE LEVANTAR ATÉ 23 KG. TRABALHO AOS SÁBADOS, QUANDO NECESSÁRIO. O HORÁRIO PODE VARIAR DEVIDO ÀS CONDIÇÕES CLIMÁTICAS, E AS HORAS EXTRAS SERÃO VARIÁVEIS. TRABALHO EM CONDIÇÕES CLIMÁTICAS ADVERSAS. Testes toxicológicos aleatórios após a contratação"&amp;", pagos pelo empregador, para todos os funcionários, tanto nacionais quanto com visto H-2B. Número de horas por semana: 40. Horário de trabalho (início/término): 7h às 17h.")</f>
        <v>Paisagismo e manutenção de propriedades utilizando ferramentas ou equipamentos. As tarefas podem incluir plantio, rega, fertilização, escavação, rastelagem, instalação de aspersores, semeadura, cobertura morta, colocação de grama em placas, transporte e espalhamento de terra vegetal e instalação de blocos de concreto pré-moldado sem argamassa. Classificação da função: 37-3011.00 - Trabalhadores de Paisagismo e Manutenção de Áreas Verdes. A classificação e descrição da função/setor incluem informações gerais sobre o cargo, de acordo com o ONET/OES e o Sistema de Classificação Industrial da América do Norte (NAICS). Consulte as Funções e a Ordem de Serviço para obter mais informações. Requisitos da vaga: Experiência necessária: Não. Requisitos especiais: CAPACIDADE DE LEVANTAR ATÉ 23 KG. TRABALHO AOS SÁBADOS, QUANDO NECESSÁRIO. O HORÁRIO PODE VARIAR DEVIDO ÀS CONDIÇÕES CLIMÁTICAS, E AS HORAS EXTRAS SERÃO VARIÁVEIS. TRABALHO EM CONDIÇÕES CLIMÁTICAS ADVERSAS. Testes toxicológicos aleatórios após a contratação, pagos pelo empregador, para todos os funcionários, tanto nacionais quanto com visto H-2B. Número de horas por semana: 40. Horário de trabalho (início/término): 7h às 17h.</v>
      </c>
    </row>
    <row r="992" ht="20.25" customHeight="1">
      <c r="A992" s="3" t="s">
        <v>4644</v>
      </c>
      <c r="B992" s="3" t="s">
        <v>4645</v>
      </c>
      <c r="C992" s="3" t="s">
        <v>444</v>
      </c>
      <c r="D992" s="3" t="s">
        <v>71</v>
      </c>
      <c r="E992" s="4" t="s">
        <v>19</v>
      </c>
      <c r="F992" s="4" t="s">
        <v>20</v>
      </c>
      <c r="G992" s="4" t="s">
        <v>524</v>
      </c>
      <c r="H992" s="3" t="s">
        <v>4646</v>
      </c>
      <c r="I992" s="3" t="s">
        <v>4647</v>
      </c>
      <c r="J992" s="4">
        <v>19.3</v>
      </c>
      <c r="K992" s="4">
        <v>150.0</v>
      </c>
      <c r="L992" s="3" t="s">
        <v>4648</v>
      </c>
      <c r="M992" s="3" t="s">
        <v>4649</v>
      </c>
      <c r="N992" s="7" t="str">
        <f>IFERROR(__xludf.DUMMYFUNCTION("GOOGLETRANSLATE(L992, ""en"", ""pt"")"),"Instalação de cobertura morta")</f>
        <v>Instalação de cobertura morta</v>
      </c>
      <c r="O992" s="7" t="str">
        <f>IFERROR(__xludf.DUMMYFUNCTION("IF(M992="""","""",GOOGLETRANSLATE(M992,""en"",""pt""))"),"Executar trabalhos manuais relacionados à manutenção de jardins e instalação de cobertura vegetal. Instalar cobertura vegetal carregando, transportando e espalhando o material ao redor de árvores, canteiros de flores e áreas ajardinadas. Aparar, soprar e "&amp;"limpar as áreas de trabalho. Capinar e remover detritos. Carregar, descarregar e movimentar ferramentas, equipamentos e materiais. Manter as áreas de trabalho limpas e seguras. Seguir todas as instruções e procedimentos de segurança do empregador. O traba"&amp;"lho é realizado ao ar livre, em condições climáticas variáveis, e exige ficar em pé, curvar-se, levantar peso e realizar atividades físicas repetitivas. O empregador poderá oferecer aumentos/bônus aos funcionários temporários contratados sob esta ordem de"&amp;" serviço, a seu exclusivo critério, com base em fatores individuais como desempenho, habilidade e tempo de serviço. Os salários serão calculados com base em uma semana de trabalho. Os funcionários receberão pagamento semanalmente. Horário: O horário de tr"&amp;"abalho pode variar de acordo com as condições da empresa e do clima. Um exemplo de horário é de segunda a sexta-feira, das 7h às 15h, e sábado, das 7h às 12h. A jornada de trabalho prevista é de aproximadamente 40 horas semanais. O empregador poderá ofere"&amp;"cer mais horas do que o especificado, dependendo das necessidades da empresa e de outras condições. Treinamento no local de trabalho está disponível. Classificação da vaga: 37-3011.00 - Trabalhadores de Paisagismo e Manutenção de Áreas Verdes. A classific"&amp;"ação e descrição da vaga/setor incluem informações gerais sobre o cargo, de acordo com o ONET/OES e o Sistema de Classificação Industrial da América do Norte (NAICS). Consulte as Funções e a Ordem de Serviço para obter mais informações. Requisitos da vaga"&amp;": Experiência necessária: Não. Requisitos especiais: Levantar, carregar e mover sacos de cobertura vegetal com peso de até 23 kg. Capacidade para realizar trabalho físico exigente ao ar livre. Os trabalhadores podem manusear até 200 sacos por pessoa por d"&amp;"ia, dependendo das necessidades do local de trabalho e das instruções do empregador. Número de horas por semana: 40. Horário de trabalho (início/término): 7h às 15h.")</f>
        <v>Executar trabalhos manuais relacionados à manutenção de jardins e instalação de cobertura vegetal. Instalar cobertura vegetal carregando, transportando e espalhando o material ao redor de árvores, canteiros de flores e áreas ajardinadas. Aparar, soprar e limpar as áreas de trabalho. Capinar e remover detritos. Carregar, descarregar e movimentar ferramentas, equipamentos e materiais. Manter as áreas de trabalho limpas e seguras. Seguir todas as instruções e procedimentos de segurança do empregador. O trabalho é realizado ao ar livre, em condições climáticas variáveis, e exige ficar em pé, curvar-se, levantar peso e realizar atividades físicas repetitivas. O empregador poderá oferecer aumentos/bônus aos funcionários temporários contratados sob esta ordem de serviço, a seu exclusivo critério, com base em fatores individuais como desempenho, habilidade e tempo de serviço. Os salários serão calculados com base em uma semana de trabalho. Os funcionários receberão pagamento semanalmente. Horário: O horário de trabalho pode variar de acordo com as condições da empresa e do clima. Um exemplo de horário é de segunda a sexta-feira, das 7h às 15h, e sábado, das 7h às 12h. A jornada de trabalho prevista é de aproximadamente 40 horas semanais. O empregador poderá oferecer mais horas do que o especificado, dependendo das necessidades da empresa e de outras condições. Treinamento no local de trabalho está disponível. Classificação da vaga: 37-3011.00 - Trabalhadores de Paisagismo e Manutenção de Áreas Verdes. A classificação e descrição da vaga/setor incluem informações gerais sobre o cargo, de acordo com o ONET/OES e o Sistema de Classificação Industrial da América do Norte (NAICS). Consulte as Funções e a Ordem de Serviço para obter mais informações. Requisitos da vaga: Experiência necessária: Não. Requisitos especiais: Levantar, carregar e mover sacos de cobertura vegetal com peso de até 23 kg. Capacidade para realizar trabalho físico exigente ao ar livre. Os trabalhadores podem manusear até 200 sacos por pessoa por dia, dependendo das necessidades do local de trabalho e das instruções do empregador. Número de horas por semana: 40. Horário de trabalho (início/término): 7h às 15h.</v>
      </c>
    </row>
    <row r="993" ht="20.25" customHeight="1">
      <c r="A993" s="8" t="s">
        <v>4650</v>
      </c>
      <c r="B993" s="8" t="s">
        <v>4651</v>
      </c>
      <c r="C993" s="8" t="s">
        <v>4241</v>
      </c>
      <c r="D993" s="8" t="s">
        <v>71</v>
      </c>
      <c r="E993" s="9" t="s">
        <v>19</v>
      </c>
      <c r="F993" s="9" t="s">
        <v>20</v>
      </c>
      <c r="G993" s="9" t="s">
        <v>524</v>
      </c>
      <c r="H993" s="8" t="s">
        <v>4652</v>
      </c>
      <c r="I993" s="8" t="s">
        <v>4653</v>
      </c>
      <c r="J993" s="9">
        <v>24.46</v>
      </c>
      <c r="K993" s="9">
        <v>2.0</v>
      </c>
      <c r="L993" s="8" t="s">
        <v>4654</v>
      </c>
      <c r="M993" s="8" t="s">
        <v>4655</v>
      </c>
      <c r="N993" s="7" t="str">
        <f>IFERROR(__xludf.DUMMYFUNCTION("GOOGLETRANSLATE(L993, ""en"", ""pt"")"),"Capitão do servidor")</f>
        <v>Capitão do servidor</v>
      </c>
      <c r="O993" s="7" t="str">
        <f>IFERROR(__xludf.DUMMYFUNCTION("IF(M993="""","""",GOOGLETRANSLATE(M993,""en"",""pt""))"),"O(A) Chefe de Garçons será responsável por recepcionar os clientes, preparar as áreas de refeição, anotar e registrar os pedidos, transportar bandejas e pratos, servir alimentos e bebidas, preparar e servir bebidas alcoólicas e não alcoólicas, limpar e de"&amp;"socupar as mesas e abastecer o bar conforme necessário. Também será responsável pelo treinamento, monitoramento dos níveis de serviço, elaboração de cardápios, coordenação da escala de trabalho da equipe e realização da reunião diária de alinhamento. Pode"&amp;"rá supervisionar até vinte e cinco (25) Garçons e cinco (5) Auxiliares de Garçom. Horário: 35 horas semanais. A escala de trabalho pode variar e incluir turnos noturnos, fins de semana e feriados. O trabalho pode ser realizado em qualquer dia da semana, d"&amp;"e segunda a domingo. Exemplos de turnos: 10h30 às 17h30, 11h às 18h ou 16h às 23h. Os horários dos turnos podem variar. Consulte a descrição de cargo anexa para obter mais informações. Classificação da Função: 35-1012.00 - Supervisores de Primeira Linha d"&amp;"e Preparadores e Servidores de Alimentos. A classificação e descrição da função/setor inclui informações gerais sobre o cargo, de acordo com o ONET/OES e o Sistema de Classificação Industrial da América do Norte (NAICS). Consulte as Funções e a Ordem de S"&amp;"erviço para obter mais informações. Requisitos da Função Experiência Necessária: Sim Meses de Experiência Necessários: 6 Requisitos Especiais: O contratante considerará para emprego qualquer pessoa que possua pelo menos seis (6) meses de experiência em at"&amp;"endimento em um ambiente de alta gastronomia ou de grande movimento, em um restaurante sofisticado, resort ou clube privado. O candidato deverá se submeter à verificação de antecedentes e ao exame toxicológico pré-admissional, às custas do empregador. Núm"&amp;"ero de Horas por Semana: 35 Horário de Trabalho (Início/Término): 10h30 - 17h30")</f>
        <v>O(A) Chefe de Garçons será responsável por recepcionar os clientes, preparar as áreas de refeição, anotar e registrar os pedidos, transportar bandejas e pratos, servir alimentos e bebidas, preparar e servir bebidas alcoólicas e não alcoólicas, limpar e desocupar as mesas e abastecer o bar conforme necessário. Também será responsável pelo treinamento, monitoramento dos níveis de serviço, elaboração de cardápios, coordenação da escala de trabalho da equipe e realização da reunião diária de alinhamento. Poderá supervisionar até vinte e cinco (25) Garçons e cinco (5) Auxiliares de Garçom. Horário: 35 horas semanais. A escala de trabalho pode variar e incluir turnos noturnos, fins de semana e feriados. O trabalho pode ser realizado em qualquer dia da semana, de segunda a domingo. Exemplos de turnos: 10h30 às 17h30, 11h às 18h ou 16h às 23h. Os horários dos turnos podem variar. Consulte a descrição de cargo anexa para obter mais informações. Classificação da Função: 35-1012.00 - Supervisores de Primeira Linha de Preparadores e Servidores de Alimentos. A classificação e descrição da função/setor inclui informações gerais sobre o cargo, de acordo com o ONET/OES e o Sistema de Classificação Industrial da América do Norte (NAICS). Consulte as Funções e a Ordem de Serviço para obter mais informações. Requisitos da Função Experiência Necessária: Sim Meses de Experiência Necessários: 6 Requisitos Especiais: O contratante considerará para emprego qualquer pessoa que possua pelo menos seis (6) meses de experiência em atendimento em um ambiente de alta gastronomia ou de grande movimento, em um restaurante sofisticado, resort ou clube privado. O candidato deverá se submeter à verificação de antecedentes e ao exame toxicológico pré-admissional, às custas do empregador. Número de Horas por Semana: 35 Horário de Trabalho (Início/Término): 10h30 - 17h30</v>
      </c>
    </row>
    <row r="994" ht="20.25" customHeight="1">
      <c r="A994" s="3" t="s">
        <v>4656</v>
      </c>
      <c r="B994" s="3" t="s">
        <v>4651</v>
      </c>
      <c r="C994" s="3" t="s">
        <v>4241</v>
      </c>
      <c r="D994" s="3" t="s">
        <v>71</v>
      </c>
      <c r="E994" s="4" t="s">
        <v>19</v>
      </c>
      <c r="F994" s="4" t="s">
        <v>20</v>
      </c>
      <c r="G994" s="4" t="s">
        <v>524</v>
      </c>
      <c r="H994" s="3" t="s">
        <v>4652</v>
      </c>
      <c r="I994" s="3" t="s">
        <v>4653</v>
      </c>
      <c r="J994" s="4">
        <v>21.48</v>
      </c>
      <c r="K994" s="4">
        <v>20.0</v>
      </c>
      <c r="L994" s="3" t="s">
        <v>1206</v>
      </c>
      <c r="M994" s="3" t="s">
        <v>4657</v>
      </c>
      <c r="N994" s="7" t="str">
        <f>IFERROR(__xludf.DUMMYFUNCTION("GOOGLETRANSLATE(L994, ""en"", ""pt"")"),"Servidor")</f>
        <v>Servidor</v>
      </c>
      <c r="O994" s="7" t="str">
        <f>IFERROR(__xludf.DUMMYFUNCTION("IF(M994="""","""",GOOGLETRANSLATE(M994,""en"",""pt""))"),"Os garçons serão responsáveis ​​por recepcionar os membros e convidados, preparar as áreas de refeição internas e externas, anotar e registrar pedidos, transportar bandejas e pratos, preparar e servir bebidas alcoólicas e não alcoólicas, abastecer o bar c"&amp;"onforme necessário e limpar e desocupar as mesas e áreas de refeição. Os garçons também podem auxiliar na colocação e retirada de cadeiras de praia e mesas. Horário: 35 horas semanais. O horário de trabalho pode variar e incluir turnos noturnos, fins de s"&amp;"emana e feriados. O trabalho pode ser realizado em qualquer dia da semana, de segunda a domingo. Exemplos de turnos: 10h30 às 17h30, 11h às 18h ou 16h às 23h. Os horários dos turnos podem variar. Consulte a descrição do cargo em anexo para obter mais info"&amp;"rmações. Classificação do Cargo: 35-3011.00 - Bartenders. A classificação e descrição do cargo/setor incluem informações gerais sobre a posição, de acordo com o ONET/OES e o Sistema de Classificação Industrial da América do Norte. Consulte as Funções e a "&amp;"Ordem de Serviço para obter mais informações. Requisitos da vaga Experiência necessária: Sim Meses de experiência necessários: 3 Requisitos especiais: O contratante considerará para emprego qualquer pessoa que possua pelo menos três (3) meses de experiênc"&amp;"ia em atendimento ao público em um ambiente de alta gastronomia ou de grande movimento, em um restaurante sofisticado, resort ou clube privado. O candidato deverá se submeter à verificação de antecedentes e ao exame toxicológico pré-admissional, às custas"&amp;" do empregador. Número de horas por semana: 35 Horário de trabalho (início/término): 10h30 às 17h30")</f>
        <v>Os garçons serão responsáveis ​​por recepcionar os membros e convidados, preparar as áreas de refeição internas e externas, anotar e registrar pedidos, transportar bandejas e pratos, preparar e servir bebidas alcoólicas e não alcoólicas, abastecer o bar conforme necessário e limpar e desocupar as mesas e áreas de refeição. Os garçons também podem auxiliar na colocação e retirada de cadeiras de praia e mesas. Horário: 35 horas semanais. O horário de trabalho pode variar e incluir turnos noturnos, fins de semana e feriados. O trabalho pode ser realizado em qualquer dia da semana, de segunda a domingo. Exemplos de turnos: 10h30 às 17h30, 11h às 18h ou 16h às 23h. Os horários dos turnos podem variar. Consulte a descrição do cargo em anexo para obter mais informações. Classificação do Cargo: 35-3011.00 - Bartenders. A classificação e descrição do cargo/setor incluem informações gerais sobre a posição, de acordo com o ONET/OES e o Sistema de Classificação Industrial da América do Norte. Consulte as Funções e a Ordem de Serviço para obter mais informações. Requisitos da vaga Experiência necessária: Sim Meses de experiência necessários: 3 Requisitos especiais: O contratante considerará para emprego qualquer pessoa que possua pelo menos três (3) meses de experiência em atendimento ao público em um ambiente de alta gastronomia ou de grande movimento, em um restaurante sofisticado, resort ou clube privado. O candidato deverá se submeter à verificação de antecedentes e ao exame toxicológico pré-admissional, às custas do empregador. Número de horas por semana: 35 Horário de trabalho (início/término): 10h30 às 17h30</v>
      </c>
    </row>
    <row r="995" ht="20.25" customHeight="1">
      <c r="A995" s="8" t="s">
        <v>4658</v>
      </c>
      <c r="B995" s="8" t="s">
        <v>4651</v>
      </c>
      <c r="C995" s="8" t="s">
        <v>4241</v>
      </c>
      <c r="D995" s="8" t="s">
        <v>71</v>
      </c>
      <c r="E995" s="9" t="s">
        <v>19</v>
      </c>
      <c r="F995" s="9" t="s">
        <v>20</v>
      </c>
      <c r="G995" s="9" t="s">
        <v>524</v>
      </c>
      <c r="H995" s="8" t="s">
        <v>4652</v>
      </c>
      <c r="I995" s="8" t="s">
        <v>4653</v>
      </c>
      <c r="J995" s="9">
        <v>19.88</v>
      </c>
      <c r="K995" s="9">
        <v>22.0</v>
      </c>
      <c r="L995" s="8" t="s">
        <v>586</v>
      </c>
      <c r="M995" s="8" t="s">
        <v>4659</v>
      </c>
      <c r="N995" s="7" t="str">
        <f>IFERROR(__xludf.DUMMYFUNCTION("GOOGLETRANSLATE(L995, ""en"", ""pt"")"),"Cozinheiro de linha")</f>
        <v>Cozinheiro de linha</v>
      </c>
      <c r="O995" s="7" t="str">
        <f>IFERROR(__xludf.DUMMYFUNCTION("IF(M995="""","""",GOOGLETRANSLATE(M995,""en"",""pt""))"),"Os cozinheiros de linha serão responsáveis ​​por preparar, temperar e cozinhar sopas, carnes, legumes, sobremesas e outros itens alimentícios em um restaurante. Horário: 35 horas por semana. O horário de trabalho pode variar e incluir turnos noturnos, fin"&amp;"s de semana e feriados. O trabalho pode ser realizado em qualquer dia da semana, de segunda a domingo. Exemplos de turnos: 8h às 15h, 13h às 20h ou 14h às 21h. Os horários dos turnos podem variar. Consulte a descrição do cargo em anexo para obter mais inf"&amp;"ormações. Classificação do cargo: 35-2014.00 - Cozinheiros, Restaurante. A classificação e a descrição do cargo/setor incluem informações gerais sobre a posição, de acordo com o ONET/OES e o Sistema de Classificação Industrial da América do Norte. Consult"&amp;"e as Funções e a Ordem de Serviço para obter mais informações. Requisitos da Vaga Experiência Necessária: Sim Meses de Experiência Necessários: 6 Requisitos Especiais: O contratante considerará para emprego qualquer pessoa que possua pelo menos seis (6) m"&amp;"eses de experiência culinária em um ambiente de alta gastronomia ou de grande movimento em um restaurante sofisticado, resort ou clube privado. O candidato deverá se submeter à verificação de antecedentes e ao exame toxicológico pré-admissional, às custas"&amp;" do empregador. Número de Horas por Semana: 35 Horário de Trabalho (Início/Término): 8h00 - 15h00")</f>
        <v>Os cozinheiros de linha serão responsáveis ​​por preparar, temperar e cozinhar sopas, carnes, legumes, sobremesas e outros itens alimentícios em um restaurante. Horário: 35 horas por semana. O horário de trabalho pode variar e incluir turnos noturnos, fins de semana e feriados. O trabalho pode ser realizado em qualquer dia da semana, de segunda a domingo. Exemplos de turnos: 8h às 15h, 13h às 20h ou 14h às 21h. Os horários dos turnos podem variar. Consulte a descrição do cargo em anexo para obter mais informações. Classificação do cargo: 35-2014.00 - Cozinheiros, Restaurante. A classificação e a descrição do cargo/setor incluem informações gerais sobre a posição, de acordo com o ONET/OES e o Sistema de Classificação Industrial da América do Norte. Consulte as Funções e a Ordem de Serviço para obter mais informações. Requisitos da Vaga Experiência Necessária: Sim Meses de Experiência Necessários: 6 Requisitos Especiais: O contratante considerará para emprego qualquer pessoa que possua pelo menos seis (6) meses de experiência culinária em um ambiente de alta gastronomia ou de grande movimento em um restaurante sofisticado, resort ou clube privado. O candidato deverá se submeter à verificação de antecedentes e ao exame toxicológico pré-admissional, às custas do empregador. Número de Horas por Semana: 35 Horário de Trabalho (Início/Término): 8h00 - 15h00</v>
      </c>
    </row>
    <row r="996" ht="20.25" customHeight="1">
      <c r="A996" s="3" t="s">
        <v>4660</v>
      </c>
      <c r="B996" s="3" t="s">
        <v>4651</v>
      </c>
      <c r="C996" s="3" t="s">
        <v>4241</v>
      </c>
      <c r="D996" s="3" t="s">
        <v>71</v>
      </c>
      <c r="E996" s="4" t="s">
        <v>19</v>
      </c>
      <c r="F996" s="4" t="s">
        <v>20</v>
      </c>
      <c r="G996" s="4" t="s">
        <v>524</v>
      </c>
      <c r="H996" s="3" t="s">
        <v>4652</v>
      </c>
      <c r="I996" s="3" t="s">
        <v>4653</v>
      </c>
      <c r="J996" s="4">
        <v>20.13</v>
      </c>
      <c r="K996" s="4">
        <v>1.0</v>
      </c>
      <c r="L996" s="3" t="s">
        <v>387</v>
      </c>
      <c r="M996" s="3" t="s">
        <v>4661</v>
      </c>
      <c r="N996" s="7" t="str">
        <f>IFERROR(__xludf.DUMMYFUNCTION("GOOGLETRANSLATE(L996, ""en"", ""pt"")"),"Ordem de serviço não disponível")</f>
        <v>Ordem de serviço não disponível</v>
      </c>
      <c r="O996" s="7" t="str">
        <f>IFERROR(__xludf.DUMMYFUNCTION("IF(M996="""","""",GOOGLETRANSLATE(M996,""en"",""pt""))"),"Os recepcionistas serão responsáveis ​​por recepcionar sócios e convidados, auxiliar os sócios com reservas utilizando um sistema informatizado; atender o telefone e anotar pedidos para viagem; monitorar o layout do salão e as listas de espera; preparar a"&amp;"s áreas de refeição internas e externas, anotar e registrar pedidos e auxiliar na limpeza das mesas e áreas de refeição. Horário: 35 horas semanais. O horário de trabalho pode variar e incluir turnos noturnos, fins de semana e feriados. O trabalho pode se"&amp;"r realizado em qualquer dia da semana, de segunda a domingo. Exemplos de turnos: 10h30 às 17h30, 11h às 18h ou 16h às 23h. Os horários dos turnos podem variar. Consulte a descrição de cargo anexa para obter mais informações. Classificação do Cargo: 35-303"&amp;"1.00 - Garçons e Garçonetes. A classificação e descrição do cargo/setor incluem informações gerais sobre a posição, de acordo com o ONET/OES e o Sistema de Classificação Industrial da América do Norte. Consulte as Funções e a Ordem de Serviço para obter m"&amp;"ais informações. Requisitos da Vaga Experiência Necessária: Sim Meses de Experiência Necessários: 3 Requisitos Especiais: O contratante considerará para emprego qualquer pessoa que possua pelo menos três (3) meses de experiência em serviços de alimentação"&amp;" em um ambiente de alta gastronomia ou de grande movimento, em um restaurante sofisticado, resort ou clube privado. O candidato deverá se submeter à verificação de antecedentes e ao exame toxicológico pré-admissional, às custas do empregador. Número de Ho"&amp;"ras por Semana: 35 Horário de Trabalho (Início/Término): 10h30 - 17h30")</f>
        <v>Os recepcionistas serão responsáveis ​​por recepcionar sócios e convidados, auxiliar os sócios com reservas utilizando um sistema informatizado; atender o telefone e anotar pedidos para viagem; monitorar o layout do salão e as listas de espera; preparar as áreas de refeição internas e externas, anotar e registrar pedidos e auxiliar na limpeza das mesas e áreas de refeição. Horário: 35 horas semanais. O horário de trabalho pode variar e incluir turnos noturnos, fins de semana e feriados. O trabalho pode ser realizado em qualquer dia da semana, de segunda a domingo. Exemplos de turnos: 10h30 às 17h30, 11h às 18h ou 16h às 23h. Os horários dos turnos podem variar. Consulte a descrição de cargo anexa para obter mais informações. Classificação do Cargo: 35-3031.00 - Garçons e Garçonetes. A classificação e descrição do cargo/setor incluem informações gerais sobre a posição, de acordo com o ONET/OES e o Sistema de Classificação Industrial da América do Norte. Consulte as Funções e a Ordem de Serviço para obter mais informações. Requisitos da Vaga Experiência Necessária: Sim Meses de Experiência Necessários: 3 Requisitos Especiais: O contratante considerará para emprego qualquer pessoa que possua pelo menos três (3) meses de experiência em serviços de alimentação em um ambiente de alta gastronomia ou de grande movimento, em um restaurante sofisticado, resort ou clube privado. O candidato deverá se submeter à verificação de antecedentes e ao exame toxicológico pré-admissional, às custas do empregador. Número de Horas por Semana: 35 Horário de Trabalho (Início/Término): 10h30 - 17h30</v>
      </c>
    </row>
    <row r="997" ht="20.25" customHeight="1">
      <c r="A997" s="8" t="s">
        <v>4662</v>
      </c>
      <c r="B997" s="8" t="s">
        <v>4651</v>
      </c>
      <c r="C997" s="8" t="s">
        <v>4241</v>
      </c>
      <c r="D997" s="8" t="s">
        <v>71</v>
      </c>
      <c r="E997" s="9" t="s">
        <v>44</v>
      </c>
      <c r="F997" s="9" t="s">
        <v>20</v>
      </c>
      <c r="G997" s="9" t="s">
        <v>524</v>
      </c>
      <c r="H997" s="8" t="s">
        <v>4652</v>
      </c>
      <c r="I997" s="8" t="s">
        <v>4653</v>
      </c>
      <c r="J997" s="9">
        <v>22.24</v>
      </c>
      <c r="K997" s="9">
        <v>1.0</v>
      </c>
      <c r="L997" s="8" t="s">
        <v>4663</v>
      </c>
      <c r="M997" s="8" t="s">
        <v>4664</v>
      </c>
      <c r="N997" s="7" t="str">
        <f>IFERROR(__xludf.DUMMYFUNCTION("GOOGLETRANSLATE(L997, ""en"", ""pt"")"),"Assistente de Catering e Eventos")</f>
        <v>Assistente de Catering e Eventos</v>
      </c>
      <c r="O997" s="7" t="str">
        <f>IFERROR(__xludf.DUMMYFUNCTION("IF(M997="""","""",GOOGLETRANSLATE(M997,""en"",""pt""))"),"***Resposta à RFI*** ""Montagem e desmontagem de espaços para eventos de catering"" - isso consiste em arrumar as mesas com toalhas de mesa e itens decorativos para os eventos (flores, centros de mesa e pequenos itens decorativos temáticos) e a posterior "&amp;"remoção desses itens. Nenhuma ferramenta, equipamento ou material (além dos já mencionados) é utilizado. ""Auxiliar membros e funcionários com solicitações especiais relacionadas a alimentos/bebidas durante banquetes"" - isso consiste em responder a pergu"&amp;"ntas dos convidados sobre os detalhes/programação do evento. Nenhuma ferramenta, equipamento ou material é utilizado. ***Original*** O Assistente de Catering e Eventos será responsável por apoiar o Departamento de Alimentos e Bebidas com tarefas administr"&amp;"ativas, montagem de banquetes e serviço de alimentos e bebidas durante os banquetes. Isso inclui comunicar-se com fornecedores de banquetes para confirmar o fornecimento de bens/serviços, comunicar-se com os membros para confirmar a presença no evento, mo"&amp;"ntar e desmontar espaços para eventos de catering, recepcionar e servir alimentos e bebidas a membros e convidados, auxiliar membros e funcionários com solicitações especiais relacionadas a alimentos/bebidas durante os banquetes e executar tarefas adminis"&amp;"trativas relacionadas a banquetes, como entrada de dados e geração de relatórios. Horário: 35 horas por semana. O horário de trabalho pode variar e incluir turnos noturnos, fins de semana e feriados. O trabalho pode ser realizado em qualquer dia da semana"&amp;", de segunda a domingo. Exemplos de turnos: 10h às 17h, 11h às 18h, 12h às 19h. Os horários dos turnos podem variar. Consulte a descrição do cargo em anexo para obter mais informações. Classificação do Cargo: 43-4151.00 - Atendente de Pedidos. A classific"&amp;"ação e descrição do cargo/setor incluem informações gerais sobre a posição, de acordo com o ONET/OES e o Sistema de Classificação Industrial da América do Norte (NAICS). Consulte as Funções e a Ordem de Serviço para obter mais informações. Requisitos do C"&amp;"argo Experiência Necessária: Sim Meses de Experiência Necessários: 3 Requisitos Especiais: O contratante considerará para emprego qualquer pessoa que possua pelo menos três (3) meses de experiência em atendimento ao público em um ambiente de alta gastrono"&amp;"mia ou de grande movimento, em um restaurante sofisticado, resort ou clube privado. O candidato deverá se submeter à verificação de antecedentes e ao exame toxicológico pré-admissional. Despesas do empregador. Número de horas por semana: 35. Horário de tr"&amp;"abalho (início/término): 10h às 17h.")</f>
        <v>***Resposta à RFI*** "Montagem e desmontagem de espaços para eventos de catering" - isso consiste em arrumar as mesas com toalhas de mesa e itens decorativos para os eventos (flores, centros de mesa e pequenos itens decorativos temáticos) e a posterior remoção desses itens. Nenhuma ferramenta, equipamento ou material (além dos já mencionados) é utilizado. "Auxiliar membros e funcionários com solicitações especiais relacionadas a alimentos/bebidas durante banquetes" - isso consiste em responder a perguntas dos convidados sobre os detalhes/programação do evento. Nenhuma ferramenta, equipamento ou material é utilizado. ***Original*** O Assistente de Catering e Eventos será responsável por apoiar o Departamento de Alimentos e Bebidas com tarefas administrativas, montagem de banquetes e serviço de alimentos e bebidas durante os banquetes. Isso inclui comunicar-se com fornecedores de banquetes para confirmar o fornecimento de bens/serviços, comunicar-se com os membros para confirmar a presença no evento, montar e desmontar espaços para eventos de catering, recepcionar e servir alimentos e bebidas a membros e convidados, auxiliar membros e funcionários com solicitações especiais relacionadas a alimentos/bebidas durante os banquetes e executar tarefas administrativas relacionadas a banquetes, como entrada de dados e geração de relatórios. Horário: 35 horas por semana. O horário de trabalho pode variar e incluir turnos noturnos, fins de semana e feriados. O trabalho pode ser realizado em qualquer dia da semana, de segunda a domingo. Exemplos de turnos: 10h às 17h, 11h às 18h, 12h às 19h. Os horários dos turnos podem variar. Consulte a descrição do cargo em anexo para obter mais informações. Classificação do Cargo: 43-4151.00 - Atendente de Pedidos. A classificação e descrição do cargo/setor incluem informações gerais sobre a posição, de acordo com o ONET/OES e o Sistema de Classificação Industrial da América do Norte (NAICS). Consulte as Funções e a Ordem de Serviço para obter mais informações. Requisitos do Cargo Experiência Necessária: Sim Meses de Experiência Necessários: 3 Requisitos Especiais: O contratante considerará para emprego qualquer pessoa que possua pelo menos três (3) meses de experiência em atendimento ao público em um ambiente de alta gastronomia ou de grande movimento, em um restaurante sofisticado, resort ou clube privado. O candidato deverá se submeter à verificação de antecedentes e ao exame toxicológico pré-admissional. Despesas do empregador. Número de horas por semana: 35. Horário de trabalho (início/término): 10h às 17h.</v>
      </c>
    </row>
    <row r="998" ht="20.25" customHeight="1">
      <c r="A998" s="3" t="s">
        <v>4665</v>
      </c>
      <c r="B998" s="3" t="s">
        <v>4666</v>
      </c>
      <c r="C998" s="3" t="s">
        <v>4241</v>
      </c>
      <c r="D998" s="3" t="s">
        <v>71</v>
      </c>
      <c r="E998" s="4" t="s">
        <v>19</v>
      </c>
      <c r="F998" s="4" t="s">
        <v>20</v>
      </c>
      <c r="G998" s="4" t="s">
        <v>524</v>
      </c>
      <c r="H998" s="3" t="s">
        <v>4652</v>
      </c>
      <c r="I998" s="3" t="s">
        <v>4653</v>
      </c>
      <c r="J998" s="4">
        <v>24.46</v>
      </c>
      <c r="K998" s="4">
        <v>4.0</v>
      </c>
      <c r="L998" s="3" t="s">
        <v>4667</v>
      </c>
      <c r="M998" s="3" t="s">
        <v>4668</v>
      </c>
      <c r="N998" s="7" t="str">
        <f>IFERROR(__xludf.DUMMYFUNCTION("GOOGLETRANSLATE(L998, ""en"", ""pt"")"),"Gerente assistente de alimentos e bebidas")</f>
        <v>Gerente assistente de alimentos e bebidas</v>
      </c>
      <c r="O998" s="7" t="str">
        <f>IFERROR(__xludf.DUMMYFUNCTION("IF(M998="""","""",GOOGLETRANSLATE(M998,""en"",""pt""))"),"Os Assistentes de Gerente de Alimentos e Bebidas serão responsáveis ​​por supervisionar e coordenar o trabalho da equipe de atendimento. As responsabilidades de supervisão incluem treinamento, monitoramento dos níveis de serviço, elaboração de cardápios, "&amp;"coordenação de escalas de trabalho e realização de reuniões diárias com a equipe de atendimento para revisar e coordenar as atividades do dia. Também trabalharão com a equipe gerencial de alimentos e bebidas para auxiliar na análise de custos de alimentos"&amp;" e bebidas, a fim de determinar a precificação adequada dos itens do cardápio. Poderão supervisionar até vinte e cinco (25) garçons iniciantes e cinco (5) auxiliares de garçom. Horário: 35 horas semanais. O horário de trabalho pode variar e incluir turnos"&amp;" noturnos, fins de semana e feriados. O trabalho pode ser realizado em qualquer dia da semana, de segunda a domingo. Exemplos de turnos: 10h30 às 17h30, 11h às 18h ou 16h às 23h. Os horários dos turnos podem variar. Consulte a descrição do cargo em anexo "&amp;"para obter mais informações. Classificação da Função: 35-1012.00 - Supervisores de Primeira Linha de Preparadores e Servidores de Alimentos. A classificação e descrição da função/setor inclui informações gerais sobre o cargo, de acordo com o ONET/OES e o "&amp;"Sistema de Classificação Industrial da América do Norte (NAICS). Consulte as Funções e a Ordem de Serviço para obter mais informações. Requisitos da Função Experiência Necessária: Sim Meses de Experiência Necessários: 6 Requisitos Especiais: O contratante"&amp;" considerará para emprego qualquer pessoa que possua pelo menos seis (6) meses de experiência em atendimento em um ambiente de alta gastronomia ou de grande movimento, em um restaurante sofisticado, resort ou clube privado. O candidato deverá se submeter "&amp;"à verificação de antecedentes e ao exame toxicológico pré-admissional, às custas do empregador. Número de Horas por Semana: 35 Horário de Trabalho (Início/Término): 10h30 - 17h30")</f>
        <v>Os Assistentes de Gerente de Alimentos e Bebidas serão responsáveis ​​por supervisionar e coordenar o trabalho da equipe de atendimento. As responsabilidades de supervisão incluem treinamento, monitoramento dos níveis de serviço, elaboração de cardápios, coordenação de escalas de trabalho e realização de reuniões diárias com a equipe de atendimento para revisar e coordenar as atividades do dia. Também trabalharão com a equipe gerencial de alimentos e bebidas para auxiliar na análise de custos de alimentos e bebidas, a fim de determinar a precificação adequada dos itens do cardápio. Poderão supervisionar até vinte e cinco (25) garçons iniciantes e cinco (5) auxiliares de garçom. Horário: 35 horas semanais. O horário de trabalho pode variar e incluir turnos noturnos, fins de semana e feriados. O trabalho pode ser realizado em qualquer dia da semana, de segunda a domingo. Exemplos de turnos: 10h30 às 17h30, 11h às 18h ou 16h às 23h. Os horários dos turnos podem variar. Consulte a descrição do cargo em anexo para obter mais informações. Classificação da Função: 35-1012.00 - Supervisores de Primeira Linha de Preparadores e Servidores de Alimentos. A classificação e descrição da função/setor inclui informações gerais sobre o cargo, de acordo com o ONET/OES e o Sistema de Classificação Industrial da América do Norte (NAICS). Consulte as Funções e a Ordem de Serviço para obter mais informações. Requisitos da Função Experiência Necessária: Sim Meses de Experiência Necessários: 6 Requisitos Especiais: O contratante considerará para emprego qualquer pessoa que possua pelo menos seis (6) meses de experiência em atendimento em um ambiente de alta gastronomia ou de grande movimento, em um restaurante sofisticado, resort ou clube privado. O candidato deverá se submeter à verificação de antecedentes e ao exame toxicológico pré-admissional, às custas do empregador. Número de Horas por Semana: 35 Horário de Trabalho (Início/Término): 10h30 - 17h30</v>
      </c>
    </row>
    <row r="999" ht="20.25" customHeight="1">
      <c r="A999" s="8" t="s">
        <v>4669</v>
      </c>
      <c r="B999" s="8" t="s">
        <v>4670</v>
      </c>
      <c r="C999" s="8" t="s">
        <v>4241</v>
      </c>
      <c r="D999" s="8" t="s">
        <v>71</v>
      </c>
      <c r="E999" s="9" t="s">
        <v>44</v>
      </c>
      <c r="F999" s="9" t="s">
        <v>20</v>
      </c>
      <c r="G999" s="9" t="s">
        <v>384</v>
      </c>
      <c r="H999" s="8" t="s">
        <v>4459</v>
      </c>
      <c r="I999" s="8" t="s">
        <v>4460</v>
      </c>
      <c r="J999" s="9">
        <v>20.13</v>
      </c>
      <c r="K999" s="9">
        <v>12.0</v>
      </c>
      <c r="L999" s="8" t="s">
        <v>1206</v>
      </c>
      <c r="M999" s="8" t="s">
        <v>4671</v>
      </c>
      <c r="N999" s="7" t="str">
        <f>IFERROR(__xludf.DUMMYFUNCTION("GOOGLETRANSLATE(L999, ""en"", ""pt"")"),"Servidor")</f>
        <v>Servidor</v>
      </c>
      <c r="O999" s="7" t="str">
        <f>IFERROR(__xludf.DUMMYFUNCTION("IF(M999="""","""",GOOGLETRANSLATE(M999,""en"",""pt""))"),"Os garçons serão responsáveis ​​por servir e entregar alimentos e bebidas, criando uma experiência personalizada, impecável e memorável para os membros do TwinEagles. Suas funções incluirão a abertura e o fechamento diários do restaurante, garantindo que "&amp;"o serviço à la carte e/ou eventos estejam prontos para os membros em tempo hábil. Os garçons auxiliarão no acolhimento e acomodação dos membros, seguindo todos os procedimentos operacionais padrão (POP) da empresa, orientando os membros no cardápio e anot"&amp;"ando os pedidos de comida e bebida com precisão. É necessário ser capaz de atender até 4 mesas simultaneamente, com senso de urgência, atenção aos detalhes e priorização de responsabilidades. Devem assegurar altos padrões de limpeza, higienização e higien"&amp;"e na área de trabalho. Os garçons devem ser capazes de carregar itens pesados ​​diariamente, seguindo os procedimentos de segurança, e permanecer em pé por longos períodos, de até 10 horas. Suas responsabilidades incluem auxiliar na abertura e fechamento "&amp;"do restaurante e da área de alimentos e bebidas, polir copos e talheres, preparar, limpar e desmontar a estação de trabalho, anotar e digitar os pedidos dos clientes, informar a equipe da cozinha sobre os itens pedidos, apresentar a conta ao cliente e lim"&amp;"par as mesas. As funções também incluem auxiliar na preparação do salão de jantar para eventos de banquete, incluindo a montagem de estações de comida e/ou movimentação de cadeiras e mesas para configurar o salão corretamente. Horário: 35 horas semanais. "&amp;"Aberto 7 dias por semana. O horário de trabalho pode variar e incluir turnos noturnos e de fim de semana. O trabalho pode ser realizado em qualquer dia da semana, de segunda a domingo. Exemplos de turnos: 6h às 13h, 10h às 17h ou 16h às 23h. Os horários d"&amp;"os turnos podem variar. Consulte a descrição do cargo em anexo para obter mais informações. Classificação do Cargo: 35-3031.00 - Garçons e Garçonetes. A classificação e descrição do cargo/setor incluem informações gerais sobre a posição, de acordo com o O"&amp;"NET/OES e o Sistema de Classificação Industrial da América do Norte. Consulte as Funções e a Ordem de Serviço para obter mais informações. Requisitos da vaga Experiência necessária: Sim Meses de experiência necessários: 6 Requisitos especiais: O contratan"&amp;"te considerará para emprego qualquer pessoa que possua pelo menos seis (6) meses de experiência em atendimento ao público em um ambiente de alta gastronomia ou de grande movimento, em um restaurante sofisticado, resort ou clube privado. O candidato deverá"&amp;" se submeter à verificação de antecedentes e ao exame toxicológico pré-admissional, às custas do empregador. Número de horas por semana: 35 Horário de trabalho (início/término): 6h às 13h")</f>
        <v>Os garçons serão responsáveis ​​por servir e entregar alimentos e bebidas, criando uma experiência personalizada, impecável e memorável para os membros do TwinEagles. Suas funções incluirão a abertura e o fechamento diários do restaurante, garantindo que o serviço à la carte e/ou eventos estejam prontos para os membros em tempo hábil. Os garçons auxiliarão no acolhimento e acomodação dos membros, seguindo todos os procedimentos operacionais padrão (POP) da empresa, orientando os membros no cardápio e anotando os pedidos de comida e bebida com precisão. É necessário ser capaz de atender até 4 mesas simultaneamente, com senso de urgência, atenção aos detalhes e priorização de responsabilidades. Devem assegurar altos padrões de limpeza, higienização e higiene na área de trabalho. Os garçons devem ser capazes de carregar itens pesados ​​diariamente, seguindo os procedimentos de segurança, e permanecer em pé por longos períodos, de até 10 horas. Suas responsabilidades incluem auxiliar na abertura e fechamento do restaurante e da área de alimentos e bebidas, polir copos e talheres, preparar, limpar e desmontar a estação de trabalho, anotar e digitar os pedidos dos clientes, informar a equipe da cozinha sobre os itens pedidos, apresentar a conta ao cliente e limpar as mesas. As funções também incluem auxiliar na preparação do salão de jantar para eventos de banquete, incluindo a montagem de estações de comida e/ou movimentação de cadeiras e mesas para configurar o salão corretamente. Horário: 35 horas semanais. Aberto 7 dias por semana. O horário de trabalho pode variar e incluir turnos noturnos e de fim de semana. O trabalho pode ser realizado em qualquer dia da semana, de segunda a domingo. Exemplos de turnos: 6h às 13h, 10h às 17h ou 16h às 23h. Os horários dos turnos podem variar. Consulte a descrição do cargo em anexo para obter mais informações. Classificação do Cargo: 35-3031.00 - Garçons e Garçonetes. A classificação e descrição do cargo/setor incluem informações gerais sobre a posição, de acordo com o ONET/OES e o Sistema de Classificação Industrial da América do Norte. Consulte as Funções e a Ordem de Serviço para obter mais informações. Requisitos da vaga Experiência necessária: Sim Meses de experiência necessários: 6 Requisitos especiais: O contratante considerará para emprego qualquer pessoa que possua pelo menos seis (6) meses de experiência em atendimento ao público em um ambiente de alta gastronomia ou de grande movimento, em um restaurante sofisticado, resort ou clube privado. O candidato deverá se submeter à verificação de antecedentes e ao exame toxicológico pré-admissional, às custas do empregador. Número de horas por semana: 35 Horário de trabalho (início/término): 6h às 13h</v>
      </c>
    </row>
    <row r="1000" ht="20.25" customHeight="1">
      <c r="A1000" s="3" t="s">
        <v>4672</v>
      </c>
      <c r="B1000" s="3" t="s">
        <v>4673</v>
      </c>
      <c r="C1000" s="3" t="s">
        <v>4507</v>
      </c>
      <c r="D1000" s="3" t="s">
        <v>71</v>
      </c>
      <c r="E1000" s="4" t="s">
        <v>19</v>
      </c>
      <c r="F1000" s="4" t="s">
        <v>20</v>
      </c>
      <c r="G1000" s="4" t="s">
        <v>2339</v>
      </c>
      <c r="H1000" s="3" t="s">
        <v>4674</v>
      </c>
      <c r="I1000" s="3" t="s">
        <v>4675</v>
      </c>
      <c r="J1000" s="4">
        <v>18.57</v>
      </c>
      <c r="K1000" s="4">
        <v>42.0</v>
      </c>
      <c r="L1000" s="3" t="s">
        <v>4560</v>
      </c>
      <c r="M1000" s="3" t="s">
        <v>4676</v>
      </c>
      <c r="N1000" s="7" t="str">
        <f>IFERROR(__xludf.DUMMYFUNCTION("GOOGLETRANSLATE(L1000, ""en"", ""pt"")"),"tratador de cavalos")</f>
        <v>tratador de cavalos</v>
      </c>
      <c r="O1000" s="7" t="str">
        <f>IFERROR(__xludf.DUMMYFUNCTION("IF(M1000="""","""",GOOGLETRANSLATE(M1000,""en"",""pt""))"),"Como tratador de cavalos, o profissional será responsável por auxiliar nos cuidados diários dos cavalos e na preparação dos mesmos para treinamento e participação em competições. O profissional viajará para as competições para ajudar a preparar os cavalos"&amp;" para as pistas. Suas responsabilidades incluem alimentar e dar água aos cavalos, limpá-los, selá-los, banhá-los, escová-los e tosquiá-los, colocar botas e prepará-los para serem selados. Deverá limpar os cascos dos cavalos, colocar/remover bandagens/bota"&amp;"s e selá-los para o treinamento. Banhar e refrescar os cavalos após o treinamento/competição. Auxiliar o veterinário durante os exames físicos, mantendo o cavalo calmo e sob controle. Auxiliar os ferradores na inspeção, remoção, aplicação, ajuste e trabal"&amp;"ho com os cascos e ferraduras dos cavalos, mantendo-os calmos e sob controle. Limpar e trocar a cama das baias. Dar banho nos cavalos com água fria/morna. Enfaixar os cavalos com bandagens ou curativos, conforme necessário. Classificação da vaga: 39-2021."&amp;"00 - Cuidadores de Animais. A classificação e descrição da vaga/setor inclui informações gerais sobre a posição, conforme o ONET/OES e o Sistema de Classificação Industrial da América do Norte. Consulte as Funções e a Ordem de Serviço para obter mais info"&amp;"rmações. Requisitos da vaga: Experiência necessária: Sim. Meses de experiência necessários: 3. Requisitos especiais: CAPACIDADE DE LEVANTAR 68 KG COM AUXÍLIO. TESTES DE DROGAS ALEATÓRIOS PODEM SER EXIGIDOS APÓS A CONTRATAÇÃO PARA TODOS OS FUNCIONÁRIOS, TA"&amp;"NTO NACIONAIS QUANTO COM VISTO H-2B, POR CONTA DO EMPREGADOR. HORÁRIO DE TRABALHO DIVIDIDO: 7h às 12h; 14h30 às 17h30. O HORÁRIO PODE VARIAR. TRABALHO AOS FINS DE SEMANA PODE SER NECESSÁRIO. Número de horas por semana: 40. Horário de trabalho (início/térm"&amp;"ino): 7h às 17h30.")</f>
        <v>Como tratador de cavalos, o profissional será responsável por auxiliar nos cuidados diários dos cavalos e na preparação dos mesmos para treinamento e participação em competições. O profissional viajará para as competições para ajudar a preparar os cavalos para as pistas. Suas responsabilidades incluem alimentar e dar água aos cavalos, limpá-los, selá-los, banhá-los, escová-los e tosquiá-los, colocar botas e prepará-los para serem selados. Deverá limpar os cascos dos cavalos, colocar/remover bandagens/botas e selá-los para o treinamento. Banhar e refrescar os cavalos após o treinamento/competição. Auxiliar o veterinário durante os exames físicos, mantendo o cavalo calmo e sob controle. Auxiliar os ferradores na inspeção, remoção, aplicação, ajuste e trabalho com os cascos e ferraduras dos cavalos, mantendo-os calmos e sob controle. Limpar e trocar a cama das baias. Dar banho nos cavalos com água fria/morna. Enfaixar os cavalos com bandagens ou curativos, conforme necessário. Classificação da vaga: 39-2021.00 - Cuidadores de Animais. A classificação e descrição da vaga/setor inclui informações gerais sobre a posição, conforme o ONET/OES e o Sistema de Classificação Industrial da América do Norte. Consulte as Funções e a Ordem de Serviço para obter mais informações. Requisitos da vaga: Experiência necessária: Sim. Meses de experiência necessários: 3. Requisitos especiais: CAPACIDADE DE LEVANTAR 68 KG COM AUXÍLIO. TESTES DE DROGAS ALEATÓRIOS PODEM SER EXIGIDOS APÓS A CONTRATAÇÃO PARA TODOS OS FUNCIONÁRIOS, TANTO NACIONAIS QUANTO COM VISTO H-2B, POR CONTA DO EMPREGADOR. HORÁRIO DE TRABALHO DIVIDIDO: 7h às 12h; 14h30 às 17h30. O HORÁRIO PODE VARIAR. TRABALHO AOS FINS DE SEMANA PODE SER NECESSÁRIO. Número de horas por semana: 40. Horário de trabalho (início/término): 7h às 17h30.</v>
      </c>
    </row>
    <row r="1001" ht="20.25" customHeight="1">
      <c r="A1001" s="8" t="s">
        <v>4677</v>
      </c>
      <c r="B1001" s="8" t="s">
        <v>4678</v>
      </c>
      <c r="C1001" s="8" t="s">
        <v>4452</v>
      </c>
      <c r="D1001" s="8" t="s">
        <v>109</v>
      </c>
      <c r="E1001" s="9" t="s">
        <v>19</v>
      </c>
      <c r="F1001" s="9" t="s">
        <v>20</v>
      </c>
      <c r="G1001" s="9" t="s">
        <v>80</v>
      </c>
      <c r="H1001" s="8" t="s">
        <v>4453</v>
      </c>
      <c r="I1001" s="8" t="s">
        <v>4454</v>
      </c>
      <c r="J1001" s="9">
        <v>33.33</v>
      </c>
      <c r="K1001" s="9">
        <v>10.0</v>
      </c>
      <c r="L1001" s="8" t="s">
        <v>4679</v>
      </c>
      <c r="M1001" s="8" t="s">
        <v>4680</v>
      </c>
      <c r="N1001" s="7" t="str">
        <f>IFERROR(__xludf.DUMMYFUNCTION("GOOGLETRANSLATE(L1001, ""en"", ""pt"")"),"Pedreiro")</f>
        <v>Pedreiro</v>
      </c>
      <c r="O1001" s="7" t="str">
        <f>IFERROR(__xludf.DUMMYFUNCTION("IF(M1001="""","""",GOOGLETRANSLATE(M1001,""en"",""pt""))"),"Construir estruturas de pedra, como muros e contrafortes. Traçar padrões de muros usando régua, trena ou linhas de marcação. Moldar, aparar e cortar mármore ou pedra usando serras elétricas, equipamentos de corte e ferramentas manuais. Misturar argamassa "&amp;"e rejunte e despejá-los sobre placas de mármore, pedra ou fundações. Classificação da Função: 47-2022.00 - Pedreiros. A classificação e descrição da função/setor inclui informações gerais sobre o cargo, de acordo com o ONET/OES e o Sistema de Classificaçã"&amp;"o Industrial da América do Norte. Consulte as Funções e a Ordem de Serviço para obter mais informações. Requisitos da Função: Experiência Necessária: Sim. Meses de Experiência Necessária: 24. Requisitos Especiais: Nenhum. Número de Horas por Semana: 35. H"&amp;"orário de Trabalho (Início/Término): 8h às 16h.")</f>
        <v>Construir estruturas de pedra, como muros e contrafortes. Traçar padrões de muros usando régua, trena ou linhas de marcação. Moldar, aparar e cortar mármore ou pedra usando serras elétricas, equipamentos de corte e ferramentas manuais. Misturar argamassa e rejunte e despejá-los sobre placas de mármore, pedra ou fundações. Classificação da Função: 47-2022.00 - Pedreiros. A classificação e descrição da função/setor inclui informações gerais sobre o cargo, de acordo com o ONET/OES e o Sistema de Classificação Industrial da América do Norte. Consulte as Funções e a Ordem de Serviço para obter mais informações. Requisitos da Função: Experiência Necessária: Sim. Meses de Experiência Necessária: 24. Requisitos Especiais: Nenhum. Número de Horas por Semana: 35. Horário de Trabalho (Início/Término): 8h às 16h.</v>
      </c>
    </row>
    <row r="1002" ht="20.25" customHeight="1">
      <c r="A1002" s="3" t="s">
        <v>4681</v>
      </c>
      <c r="B1002" s="3" t="s">
        <v>4486</v>
      </c>
      <c r="C1002" s="3" t="s">
        <v>4241</v>
      </c>
      <c r="D1002" s="3" t="s">
        <v>71</v>
      </c>
      <c r="E1002" s="4" t="s">
        <v>19</v>
      </c>
      <c r="F1002" s="4" t="s">
        <v>20</v>
      </c>
      <c r="G1002" s="4" t="s">
        <v>4487</v>
      </c>
      <c r="H1002" s="3" t="s">
        <v>4682</v>
      </c>
      <c r="I1002" s="3" t="s">
        <v>4489</v>
      </c>
      <c r="J1002" s="4">
        <v>19.0</v>
      </c>
      <c r="K1002" s="4">
        <v>1.0</v>
      </c>
      <c r="L1002" s="3" t="s">
        <v>4683</v>
      </c>
      <c r="M1002" s="3" t="s">
        <v>4684</v>
      </c>
      <c r="N1002" s="7" t="str">
        <f>IFERROR(__xludf.DUMMYFUNCTION("GOOGLETRANSLATE(L1002, ""en"", ""pt"")"),"Administração de Alimentos e Bebidas")</f>
        <v>Administração de Alimentos e Bebidas</v>
      </c>
      <c r="O1002" s="7" t="str">
        <f>IFERROR(__xludf.DUMMYFUNCTION("IF(M1002="""","""",GOOGLETRANSLATE(M1002,""en"",""pt""))"),"O(A) Assistente Administrativo(a) de Alimentos e Bebidas será responsável por tarefas administrativas no departamento de Alimentos e Bebidas, como auxiliar com reservas para restaurantes e eventos do clube, responder a perguntas sobre eventos privados, ge"&amp;"renciar confirmações por e-mail e telefone para participantes de eventos do clube e inscrições para eventos, fornecer à equipe de gestão de Alimentos e Bebidas relatórios e resumos de reservas e auxiliar na atualização/programação do sistema de reservas, "&amp;"inserindo horários de funcionamento, bloqueios, restrições de assentos e eventos do clube no sistema. O(A) Assistente Administrativo(a) de Alimentos e Bebidas também fornecerá suporte geral ao departamento de Alimentos e Bebidas, distribuindo pedidos de c"&amp;"omida para viagem para as estações de cozinha e balcões para preparação e coordenação, preparando e imprimindo materiais de A&amp;B, como cardápios e placas de sinalização para os restaurantes do clube, e atualizando diversas plataformas online e calendários "&amp;"com novos cardápios, pratos do dia e eventos. Além disso, o(a) Assistente Administrativo(a) de Alimentos e Bebidas será responsável por fornecer suporte administrativo geral à equipe para as operações diárias do clube, incluindo a manutenção da recepção, "&amp;"monitorando os níveis de estoque, organizando e mantendo os sistemas de arquivamento, registrando com precisão as informações dos membros, criando materiais promocionais impressos e digitais para eventos e atividades do clube, criando e distribuindo comun"&amp;"icados por e-mail sobre eventos do clube e mantendo a exibição de informações sobre eventos. Por fim, o(a) Assistente Administrativo(a) de Alimentos e Bebidas prestará suporte geral na recepção, recepcionando e auxiliando sócios e visitantes, atendendo te"&amp;"lefonemas, respondendo a perguntas e fornecendo informações gerais, além de processar correspondências/pacotes, faxes e e-mails recebidos e enviados. É necessário ser capaz de levantar e carregar até 11 kg quando necessário e visualizar um monitor por lon"&amp;"gos períodos. Horário: 40 horas semanais. O horário de trabalho pode variar e incluir turnos noturnos, fins de semana e feriados. O trabalho pode ser realizado em qualquer dia da semana, de segunda a domingo. Exemplos de turnos: 9h às 17h ou 10h às 18h. O"&amp;"s horários dos turnos podem variar. Consulte a descrição da vaga para obter mais informações. Classificação da vaga: 39-6012.00 - Concierges. A classificação e descrição da vaga/setor incluem informações gerais sobre o cargo, de acordo com o ONET/OES e o "&amp;"Sistema de Classificação Industrial da América do Norte (NAICS). Consulte as Funções e a Ordem de Serviço para obter mais informações. Requisitos da Vaga Experiência Necessária: Sim Meses de Experiência Necessários: 12 Requisitos Especiais: O contratante "&amp;"considerará para emprego qualquer pessoa que possua pelo menos um (1) ano de experiência em suporte administrativo ou atendimento ao cliente na área de alimentos e bebidas em um restaurante de alto padrão, resort ou clube privado. Diploma de ensino médio "&amp;"ou equivalente é obrigatório. O candidato deverá se submeter à verificação de antecedentes e exame toxicológico pré-admissional, às custas do empregador. Número de Horas por Semana: 40 Horário de Trabalho (Início/Término): 9h às 17h")</f>
        <v>O(A) Assistente Administrativo(a) de Alimentos e Bebidas será responsável por tarefas administrativas no departamento de Alimentos e Bebidas, como auxiliar com reservas para restaurantes e eventos do clube, responder a perguntas sobre eventos privados, gerenciar confirmações por e-mail e telefone para participantes de eventos do clube e inscrições para eventos, fornecer à equipe de gestão de Alimentos e Bebidas relatórios e resumos de reservas e auxiliar na atualização/programação do sistema de reservas, inserindo horários de funcionamento, bloqueios, restrições de assentos e eventos do clube no sistema. O(A) Assistente Administrativo(a) de Alimentos e Bebidas também fornecerá suporte geral ao departamento de Alimentos e Bebidas, distribuindo pedidos de comida para viagem para as estações de cozinha e balcões para preparação e coordenação, preparando e imprimindo materiais de A&amp;B, como cardápios e placas de sinalização para os restaurantes do clube, e atualizando diversas plataformas online e calendários com novos cardápios, pratos do dia e eventos. Além disso, o(a) Assistente Administrativo(a) de Alimentos e Bebidas será responsável por fornecer suporte administrativo geral à equipe para as operações diárias do clube, incluindo a manutenção da recepção, monitorando os níveis de estoque, organizando e mantendo os sistemas de arquivamento, registrando com precisão as informações dos membros, criando materiais promocionais impressos e digitais para eventos e atividades do clube, criando e distribuindo comunicados por e-mail sobre eventos do clube e mantendo a exibição de informações sobre eventos. Por fim, o(a) Assistente Administrativo(a) de Alimentos e Bebidas prestará suporte geral na recepção, recepcionando e auxiliando sócios e visitantes, atendendo telefonemas, respondendo a perguntas e fornecendo informações gerais, além de processar correspondências/pacotes, faxes e e-mails recebidos e enviados. É necessário ser capaz de levantar e carregar até 11 kg quando necessário e visualizar um monitor por longos períodos. Horário: 40 horas semanais. O horário de trabalho pode variar e incluir turnos noturnos, fins de semana e feriados. O trabalho pode ser realizado em qualquer dia da semana, de segunda a domingo. Exemplos de turnos: 9h às 17h ou 10h às 18h. Os horários dos turnos podem variar. Consulte a descrição da vaga para obter mais informações. Classificação da vaga: 39-6012.00 - Concierges. A classificação e descrição da vaga/setor incluem informações gerais sobre o cargo, de acordo com o ONET/OES e o Sistema de Classificação Industrial da América do Norte (NAICS). Consulte as Funções e a Ordem de Serviço para obter mais informações. Requisitos da Vaga Experiência Necessária: Sim Meses de Experiência Necessários: 12 Requisitos Especiais: O contratante considerará para emprego qualquer pessoa que possua pelo menos um (1) ano de experiência em suporte administrativo ou atendimento ao cliente na área de alimentos e bebidas em um restaurante de alto padrão, resort ou clube privado. Diploma de ensino médio ou equivalente é obrigatório. O candidato deverá se submeter à verificação de antecedentes e exame toxicológico pré-admissional, às custas do empregador. Número de Horas por Semana: 40 Horário de Trabalho (Início/Término): 9h às 17h</v>
      </c>
    </row>
    <row r="1003" ht="20.25" customHeight="1">
      <c r="A1003" s="8" t="s">
        <v>4685</v>
      </c>
      <c r="B1003" s="8" t="s">
        <v>4486</v>
      </c>
      <c r="C1003" s="8" t="s">
        <v>4241</v>
      </c>
      <c r="D1003" s="8" t="s">
        <v>71</v>
      </c>
      <c r="E1003" s="9" t="s">
        <v>19</v>
      </c>
      <c r="F1003" s="9" t="s">
        <v>20</v>
      </c>
      <c r="G1003" s="9" t="s">
        <v>4487</v>
      </c>
      <c r="H1003" s="8" t="s">
        <v>4682</v>
      </c>
      <c r="I1003" s="8" t="s">
        <v>4489</v>
      </c>
      <c r="J1003" s="9">
        <v>34.96</v>
      </c>
      <c r="K1003" s="9">
        <v>1.0</v>
      </c>
      <c r="L1003" s="8" t="s">
        <v>4686</v>
      </c>
      <c r="M1003" s="8" t="s">
        <v>4687</v>
      </c>
      <c r="N1003" s="7" t="str">
        <f>IFERROR(__xludf.DUMMYFUNCTION("GOOGLETRANSLATE(L1003, ""en"", ""pt"")"),"Supervisor Culinário")</f>
        <v>Supervisor Culinário</v>
      </c>
      <c r="O1003" s="7" t="str">
        <f>IFERROR(__xludf.DUMMYFUNCTION("IF(M1003="""","""",GOOGLETRANSLATE(M1003,""en"",""pt""))"),"Os Supervisores de Cozinha serão responsáveis ​​por supervisionar as operações da cozinha e garantir que todas as atividades culinárias sejam realizadas de forma eficiente, segura e em conformidade com os padrões da empresa, como o preparo e a apresentaçã"&amp;"o dos alimentos, a manutenção da limpeza e organização e o cumprimento dos protocolos de segurança e higiene. Os Supervisores de Cozinha também serão responsáveis ​​por supervisionar os horários da equipe, gerenciar o estoque, auxiliar no planejamento do "&amp;"cardápio e treinar a equipe da cozinha, conforme necessário. Podem supervisionar até três (3) Lavadores de Louça e seis (6) Cozinheiros. Os Supervisores de Cozinha podem precisar levantar e carregar itens de até 11 kg. Horário: 35 horas por semana. O horá"&amp;"rio de trabalho pode variar e incluir turnos noturnos, fins de semana e feriados. O trabalho pode ser realizado em qualquer dia da semana, de segunda a domingo. Exemplos de turnos: 8h às 15h ou 15h às 22h. Os horários dos turnos podem variar. Consulte a d"&amp;"escrição da vaga para obter mais informações. Classificação da Função: 35-1011.00 - Chefs e Cozinheiros Chefes. A classificação e descrição da função/setor inclui informações gerais sobre o cargo, de acordo com o ONET/OES e o Sistema de Classificação Indu"&amp;"strial da América do Norte. Consulte as Funções e a Ordem de Serviço para obter mais informações. Requisitos da Função Experiência Necessária: Sim Meses de Experiência Necessários: 12 Requisitos Especiais: O contratante considerará para emprego qualquer p"&amp;"essoa que possua pelo menos um (1) ano de experiência culinária em um ambiente de alta gastronomia ou de grande movimento, em um restaurante sofisticado, resort ou clube privado. O candidato deverá se submeter à verificação de antecedentes e ao exame toxi"&amp;"cológico pré-admissional, às custas do empregador. Número de Horas por Semana: 35 Horário de Trabalho (Início/Término): 8h00 - 15h00")</f>
        <v>Os Supervisores de Cozinha serão responsáveis ​​por supervisionar as operações da cozinha e garantir que todas as atividades culinárias sejam realizadas de forma eficiente, segura e em conformidade com os padrões da empresa, como o preparo e a apresentação dos alimentos, a manutenção da limpeza e organização e o cumprimento dos protocolos de segurança e higiene. Os Supervisores de Cozinha também serão responsáveis ​​por supervisionar os horários da equipe, gerenciar o estoque, auxiliar no planejamento do cardápio e treinar a equipe da cozinha, conforme necessário. Podem supervisionar até três (3) Lavadores de Louça e seis (6) Cozinheiros. Os Supervisores de Cozinha podem precisar levantar e carregar itens de até 11 kg. Horário: 35 horas por semana. O horário de trabalho pode variar e incluir turnos noturnos, fins de semana e feriados. O trabalho pode ser realizado em qualquer dia da semana, de segunda a domingo. Exemplos de turnos: 8h às 15h ou 15h às 22h. Os horários dos turnos podem variar. Consulte a descrição da vaga para obter mais informações. Classificação da Função: 35-1011.00 - Chefs e Cozinheiros Chefes. A classificação e descrição da função/setor inclui informações gerais sobre o cargo, de acordo com o ONET/OES e o Sistema de Classificação Industrial da América do Norte. Consulte as Funções e a Ordem de Serviço para obter mais informações. Requisitos da Função Experiência Necessária: Sim Meses de Experiência Necessários: 12 Requisitos Especiais: O contratante considerará para emprego qualquer pessoa que possua pelo menos um (1) ano de experiência culinária em um ambiente de alta gastronomia ou de grande movimento, em um restaurante sofisticado, resort ou clube privado. O candidato deverá se submeter à verificação de antecedentes e ao exame toxicológico pré-admissional, às custas do empregador. Número de Horas por Semana: 35 Horário de Trabalho (Início/Término): 8h00 - 15h00</v>
      </c>
    </row>
    <row r="1004" ht="20.25" customHeight="1">
      <c r="A1004" s="3" t="s">
        <v>4688</v>
      </c>
      <c r="B1004" s="3" t="s">
        <v>4486</v>
      </c>
      <c r="C1004" s="3" t="s">
        <v>4241</v>
      </c>
      <c r="D1004" s="3" t="s">
        <v>71</v>
      </c>
      <c r="E1004" s="4" t="s">
        <v>19</v>
      </c>
      <c r="F1004" s="4" t="s">
        <v>20</v>
      </c>
      <c r="G1004" s="4" t="s">
        <v>4487</v>
      </c>
      <c r="H1004" s="3" t="s">
        <v>4682</v>
      </c>
      <c r="I1004" s="3" t="s">
        <v>4489</v>
      </c>
      <c r="J1004" s="4">
        <v>19.4</v>
      </c>
      <c r="K1004" s="4">
        <v>12.0</v>
      </c>
      <c r="L1004" s="3" t="s">
        <v>387</v>
      </c>
      <c r="M1004" s="3" t="s">
        <v>4689</v>
      </c>
      <c r="N1004" s="7" t="str">
        <f>IFERROR(__xludf.DUMMYFUNCTION("GOOGLETRANSLATE(L1004, ""en"", ""pt"")"),"Ordem de serviço não disponível")</f>
        <v>Ordem de serviço não disponível</v>
      </c>
      <c r="O1004" s="7" t="str">
        <f>IFERROR(__xludf.DUMMYFUNCTION("IF(M1004="""","""",GOOGLETRANSLATE(M1004,""en"",""pt""))"),"Os cozinheiros serão responsáveis ​​por preparar, temperar e cozinhar sopas, carnes, legumes, sobremesas e outros pratos em um restaurante. Horário: 35 horas semanais. O horário de trabalho pode variar e incluir noites, fins de semana e feriados. O trabal"&amp;"ho pode ser realizado em qualquer dia da semana, de segunda a domingo. Exemplos de turnos: 8h às 15h ou 15h às 22h. Os horários dos turnos podem variar. Consulte a descrição da vaga para obter mais informações. Classificação da vaga: 35-2014.00 - Cozinhei"&amp;"ros, Restaurante. A classificação e a descrição da vaga/setor incluem informações gerais sobre o cargo, de acordo com o ONET/OES e o Sistema de Classificação Industrial da América do Norte. Consulte as Funções e a Ordem de Serviço para obter mais informaç"&amp;"ões. Requisitos da vaga: Experiência exigida: Sim. Meses de experiência exigidos: 6. Requisitos especiais: O contratante considerará para emprego qualquer pessoa que possua pelo menos seis (6) meses de experiência culinária em um ambiente de alta gastrono"&amp;"mia ou de grande movimento, em um restaurante sofisticado, resort ou clube privado. O candidato deverá se submeter à verificação de antecedentes e ao exame toxicológico pré-admissional, às custas do empregador. Número de horas semanais: 35. Horário de tra"&amp;"balho (início/término): 8h às 15h.")</f>
        <v>Os cozinheiros serão responsáveis ​​por preparar, temperar e cozinhar sopas, carnes, legumes, sobremesas e outros pratos em um restaurante. Horário: 35 horas semanais. O horário de trabalho pode variar e incluir noites, fins de semana e feriados. O trabalho pode ser realizado em qualquer dia da semana, de segunda a domingo. Exemplos de turnos: 8h às 15h ou 15h às 22h. Os horários dos turnos podem variar. Consulte a descrição da vaga para obter mais informações. Classificação da vaga: 35-2014.00 - Cozinheiros, Restaurante. A classificação e a descrição da vaga/setor incluem informações gerais sobre o cargo, de acordo com o ONET/OES e o Sistema de Classificação Industrial da América do Norte. Consulte as Funções e a Ordem de Serviço para obter mais informações. Requisitos da vaga: Experiência exigida: Sim. Meses de experiência exigidos: 6. Requisitos especiais: O contratante considerará para emprego qualquer pessoa que possua pelo menos seis (6) meses de experiência culinária em um ambiente de alta gastronomia ou de grande movimento, em um restaurante sofisticado, resort ou clube privado. O candidato deverá se submeter à verificação de antecedentes e ao exame toxicológico pré-admissional, às custas do empregador. Número de horas semanais: 35. Horário de trabalho (início/término): 8h às 15h.</v>
      </c>
    </row>
    <row r="1005" ht="20.25" customHeight="1">
      <c r="A1005" s="8" t="s">
        <v>4690</v>
      </c>
      <c r="B1005" s="8" t="s">
        <v>4486</v>
      </c>
      <c r="C1005" s="8" t="s">
        <v>4241</v>
      </c>
      <c r="D1005" s="8" t="s">
        <v>71</v>
      </c>
      <c r="E1005" s="9" t="s">
        <v>44</v>
      </c>
      <c r="F1005" s="9" t="s">
        <v>20</v>
      </c>
      <c r="G1005" s="9" t="s">
        <v>4487</v>
      </c>
      <c r="H1005" s="8" t="s">
        <v>4682</v>
      </c>
      <c r="I1005" s="8" t="s">
        <v>4489</v>
      </c>
      <c r="J1005" s="9">
        <v>22.86</v>
      </c>
      <c r="K1005" s="9">
        <v>3.0</v>
      </c>
      <c r="L1005" s="8" t="s">
        <v>3402</v>
      </c>
      <c r="M1005" s="8" t="s">
        <v>4691</v>
      </c>
      <c r="N1005" s="7" t="str">
        <f>IFERROR(__xludf.DUMMYFUNCTION("GOOGLETRANSLATE(L1005, ""en"", ""pt"")"),"Supervisor de Alimentos e Bebidas")</f>
        <v>Supervisor de Alimentos e Bebidas</v>
      </c>
      <c r="O1005" s="7" t="str">
        <f>IFERROR(__xludf.DUMMYFUNCTION("IF(M1005="""","""",GOOGLETRANSLATE(M1005,""en"",""pt""))"),"Os Supervisores de Alimentos e Bebidas serão responsáveis ​​por conduzir reuniões e atividades de supervisão (como a criação de escalas de trabalho), observar e avaliar os funcionários e os procedimentos de trabalho para garantir os padrões de qualidade e"&amp;" serviço, e colaborar com outros funcionários do Clube no planejamento e aprimoramento do cardápio, gestão de estoque, organização do serviço e detalhes relacionados. Podem supervisionar até vinte e um (21) funcionários, incluindo quatro (4) Bartenders, c"&amp;"inco (5) Auxiliares de Garçom e doze (12) Garçons. Os Supervisores de Alimentos e Bebidas podem precisar levantar e carregar itens de até 11 kg. Horário: 35 horas semanais. O horário de trabalho pode variar e incluir turnos noturnos, fins de semana e feri"&amp;"ados. O trabalho pode ser realizado em qualquer dia da semana, de segunda a domingo. Exemplos de turnos: das 8h às 15h ou das 15h às 22h. Os horários dos turnos podem variar. Consulte a descrição da vaga para obter mais informações. Classificação da Funçã"&amp;"o: 35-1012.00 - Supervisores de Primeira Linha de Preparadores e Servidores de Alimentos. A classificação e descrição da função/setor inclui informações gerais sobre o cargo, de acordo com o ONET/OES e o Sistema de Classificação Industrial da América do N"&amp;"orte (NAICS). Consulte as Funções e a Ordem de Serviço para obter mais informações. Requisitos da Função Experiência Necessária: Sim Meses de Experiência Necessários: 12 Requisitos Especiais: O contratante considerará para emprego qualquer pessoa que poss"&amp;"ua pelo menos um (1) ano de experiência em um ambiente de alta gastronomia ou de grande movimento em um restaurante sofisticado, resort ou clube privado. O candidato deverá se submeter à verificação de antecedentes e ao exame toxicológico pré-admissional,"&amp;" às custas do empregador. Número de Horas por Semana: 35 Horário de Trabalho (Início/Término): 8h00 - 15h00")</f>
        <v>Os Supervisores de Alimentos e Bebidas serão responsáveis ​​por conduzir reuniões e atividades de supervisão (como a criação de escalas de trabalho), observar e avaliar os funcionários e os procedimentos de trabalho para garantir os padrões de qualidade e serviço, e colaborar com outros funcionários do Clube no planejamento e aprimoramento do cardápio, gestão de estoque, organização do serviço e detalhes relacionados. Podem supervisionar até vinte e um (21) funcionários, incluindo quatro (4) Bartenders, cinco (5) Auxiliares de Garçom e doze (12) Garçons. Os Supervisores de Alimentos e Bebidas podem precisar levantar e carregar itens de até 11 kg. Horário: 35 horas semanais. O horário de trabalho pode variar e incluir turnos noturnos, fins de semana e feriados. O trabalho pode ser realizado em qualquer dia da semana, de segunda a domingo. Exemplos de turnos: das 8h às 15h ou das 15h às 22h. Os horários dos turnos podem variar. Consulte a descrição da vaga para obter mais informações. Classificação da Função: 35-1012.00 - Supervisores de Primeira Linha de Preparadores e Servidores de Alimentos. A classificação e descrição da função/setor inclui informações gerais sobre o cargo, de acordo com o ONET/OES e o Sistema de Classificação Industrial da América do Norte (NAICS). Consulte as Funções e a Ordem de Serviço para obter mais informações. Requisitos da Função Experiência Necessária: Sim Meses de Experiência Necessários: 12 Requisitos Especiais: O contratante considerará para emprego qualquer pessoa que possua pelo menos um (1) ano de experiência em um ambiente de alta gastronomia ou de grande movimento em um restaurante sofisticado, resort ou clube privado. O candidato deverá se submeter à verificação de antecedentes e ao exame toxicológico pré-admissional, às custas do empregador. Número de Horas por Semana: 35 Horário de Trabalho (Início/Término): 8h00 - 15h00</v>
      </c>
    </row>
    <row r="1006" ht="20.25" customHeight="1">
      <c r="A1006" s="3" t="s">
        <v>4692</v>
      </c>
      <c r="B1006" s="3" t="s">
        <v>4693</v>
      </c>
      <c r="C1006" s="3" t="s">
        <v>391</v>
      </c>
      <c r="D1006" s="3" t="s">
        <v>64</v>
      </c>
      <c r="E1006" s="4" t="s">
        <v>19</v>
      </c>
      <c r="F1006" s="4" t="s">
        <v>20</v>
      </c>
      <c r="G1006" s="4" t="s">
        <v>377</v>
      </c>
      <c r="H1006" s="3" t="s">
        <v>4694</v>
      </c>
      <c r="I1006" s="3" t="s">
        <v>4695</v>
      </c>
      <c r="J1006" s="4">
        <v>17.42</v>
      </c>
      <c r="K1006" s="4">
        <v>23.0</v>
      </c>
      <c r="L1006" s="3" t="s">
        <v>59</v>
      </c>
      <c r="M1006" s="3" t="s">
        <v>4696</v>
      </c>
      <c r="N1006" s="7" t="str">
        <f>IFERROR(__xludf.DUMMYFUNCTION("GOOGLETRANSLATE(L1006, ""en"", ""pt"")"),"Trabalhador de paisagismo")</f>
        <v>Trabalhador de paisagismo</v>
      </c>
      <c r="O1006" s="7" t="str">
        <f>IFERROR(__xludf.DUMMYFUNCTION("IF(M1006="""","""",GOOGLETRANSLATE(M1006,""en"",""pt""))"),"Plantar e regar árvores, arbustos, grama e outras vegetações. Espalhar cobertura morta, terra e cascalho manualmente ou com ferramentas básicas. Colocar materiais de controle de erosão (por exemplo, mantas, barreiras de contenção). Auxiliar em tarefas bás"&amp;"icas de irrigação, conforme instruções. Remover detritos, ervas daninhas e lixo das faixas de domínio. Utilizar ferramentas manuais e equipamentos pequenos, como pás, ancinhos, roçadeiras e sopradores. Auxiliar os membros da equipe em tarefas básicas de p"&amp;"aisagismo, conforme instruções. Carregar e descarregar materiais e suprimentos. Seguir todos os procedimentos de controle de tráfego e segurança viária. O trabalho é realizado ao ar livre, em condições climáticas variáveis ​​e próximo a vias movimentadas."&amp;" O empregador oferece 40 horas de trabalho por semana. O horário normal é de segunda a sexta-feira, das 7h às 16h. O turno inclui 1 hora de intervalo não remunerado. Pode ser necessário trabalhar aos sábados e domingos. Os dias, horários e turnos de traba"&amp;"lho podem variar dependendo das condições climáticas. Salário base de US$ 17,42 por hora. O empregador poderá aumentar o salário com base na experiência, nas condições de mercado e/ou oferecer remuneração adicional por desempenho e tempo de serviço. Poder"&amp;"á haver disponibilidade para horas extras. Um adicional por horas extras será pago quando exigido por lei federal, estadual ou local, incluindo hora e meia após 40 horas semanais. Geralmente, quando houver disponibilidade para horas extras, o pagamento se"&amp;"rá de US$ 34,84 por hora. O empregador fornecerá treinamento no local de trabalho. Uma única semana de trabalho será utilizada para o cálculo dos salários devidos. Os trabalhadores receberão pagamento semanalmente. O empregador fornecerá ao trabalhador, s"&amp;"em custo algum, todas as ferramentas, suprimentos, EPIs, uniforme e equipamentos necessários para a execução do trabalho. O trabalho será realizado em diversos locais de trabalho externos, situados ao longo de vias públicas, canteiros centrais, acostament"&amp;"os e faixas de domínio nos condados de Montgomery, Harris e Liberty, no Texas. Esses locais de trabalho estão associados a projetos de construção de rodovias e paisagismo, sob contratos com o Departamento de Transportes do Texas. Os trabalhadores se apres"&amp;"entarão diretamente aos locais de trabalho designados e não precisarão se apresentar a um escritório central diariamente. O empregador fornecerá instruções e tarefas diárias. Transporte diário opcional entre a residência e os locais de trabalho, sem custo"&amp;" para o trabalhador. Classificação da vaga: 37-3011.00 - Trabalhadores de Paisagismo e Manutenção de Áreas Verdes. A classificação e descrição da vaga/setor inclui informações gerais sobre o cargo, de acordo com o ONET/OES e o Sistema de Classificação Ind"&amp;"ustrial da América do Norte (NAICS). Consulte as Funções e a Ordem de Serviço para obter mais informações. Requisitos da vaga: Experiência necessária: Não. Requisitos especiais: Deve ser capaz de levantar e carregar até 23 kg. Os trabalhadores devem cumpr"&amp;"ir todas as normas de segurança relacionadas a zonas de construção de rodovias. Os trabalhadores podem ser obrigados a usar equipamentos de proteção individual (EPI), incluindo coletes de alta visibilidade, capacetes, luvas e botas de segurança. Deve ter "&amp;"disponibilidade para trabalhar 5 dias por semana, incluindo sábados, domingos e feriados, quando necessário. O candidato deve preencher uma ficha de emprego. Número de horas por semana: 40. Horário de trabalho (início/término): 7h às 16h.")</f>
        <v>Plantar e regar árvores, arbustos, grama e outras vegetações. Espalhar cobertura morta, terra e cascalho manualmente ou com ferramentas básicas. Colocar materiais de controle de erosão (por exemplo, mantas, barreiras de contenção). Auxiliar em tarefas básicas de irrigação, conforme instruções. Remover detritos, ervas daninhas e lixo das faixas de domínio. Utilizar ferramentas manuais e equipamentos pequenos, como pás, ancinhos, roçadeiras e sopradores. Auxiliar os membros da equipe em tarefas básicas de paisagismo, conforme instruções. Carregar e descarregar materiais e suprimentos. Seguir todos os procedimentos de controle de tráfego e segurança viária. O trabalho é realizado ao ar livre, em condições climáticas variáveis ​​e próximo a vias movimentadas. O empregador oferece 40 horas de trabalho por semana. O horário normal é de segunda a sexta-feira, das 7h às 16h. O turno inclui 1 hora de intervalo não remunerado. Pode ser necessário trabalhar aos sábados e domingos. Os dias, horários e turnos de trabalho podem variar dependendo das condições climáticas. Salário base de US$ 17,42 por hora. O empregador poderá aumentar o salário com base na experiência, nas condições de mercado e/ou oferecer remuneração adicional por desempenho e tempo de serviço. Poderá haver disponibilidade para horas extras. Um adicional por horas extras será pago quando exigido por lei federal, estadual ou local, incluindo hora e meia após 40 horas semanais. Geralmente, quando houver disponibilidade para horas extras, o pagamento será de US$ 34,84 por hora. O empregador fornecerá treinamento no local de trabalho. Uma única semana de trabalho será utilizada para o cálculo dos salários devidos. Os trabalhadores receberão pagamento semanalmente. O empregador fornecerá ao trabalhador, sem custo algum, todas as ferramentas, suprimentos, EPIs, uniforme e equipamentos necessários para a execução do trabalho. O trabalho será realizado em diversos locais de trabalho externos, situados ao longo de vias públicas, canteiros centrais, acostamentos e faixas de domínio nos condados de Montgomery, Harris e Liberty, no Texas. Esses locais de trabalho estão associados a projetos de construção de rodovias e paisagismo, sob contratos com o Departamento de Transportes do Texas. Os trabalhadores se apresentarão diretamente aos locais de trabalho designados e não precisarão se apresentar a um escritório central diariamente. O empregador fornecerá instruções e tarefas diárias. Transporte diário opcional entre a residência e os locais de trabalho, sem custo para o trabalhador. Classificação da vaga: 37-3011.00 - Trabalhadores de Paisagismo e Manutenção de Áreas Verdes. A classificação e descrição da vaga/setor inclui informações gerais sobre o cargo, de acordo com o ONET/OES e o Sistema de Classificação Industrial da América do Norte (NAICS). Consulte as Funções e a Ordem de Serviço para obter mais informações. Requisitos da vaga: Experiência necessária: Não. Requisitos especiais: Deve ser capaz de levantar e carregar até 23 kg. Os trabalhadores devem cumprir todas as normas de segurança relacionadas a zonas de construção de rodovias. Os trabalhadores podem ser obrigados a usar equipamentos de proteção individual (EPI), incluindo coletes de alta visibilidade, capacetes, luvas e botas de segurança. Deve ter disponibilidade para trabalhar 5 dias por semana, incluindo sábados, domingos e feriados, quando necessário. O candidato deve preencher uma ficha de emprego. Número de horas por semana: 40. Horário de trabalho (início/término): 7h às 16h.</v>
      </c>
    </row>
    <row r="1007" ht="20.25" customHeight="1">
      <c r="A1007" s="8" t="s">
        <v>4697</v>
      </c>
      <c r="B1007" s="8" t="s">
        <v>4693</v>
      </c>
      <c r="C1007" s="8" t="s">
        <v>391</v>
      </c>
      <c r="D1007" s="8" t="s">
        <v>64</v>
      </c>
      <c r="E1007" s="9" t="s">
        <v>44</v>
      </c>
      <c r="F1007" s="9" t="s">
        <v>20</v>
      </c>
      <c r="G1007" s="9" t="s">
        <v>377</v>
      </c>
      <c r="H1007" s="8" t="s">
        <v>4694</v>
      </c>
      <c r="I1007" s="8" t="s">
        <v>4695</v>
      </c>
      <c r="J1007" s="9">
        <v>18.93</v>
      </c>
      <c r="K1007" s="9">
        <v>12.0</v>
      </c>
      <c r="L1007" s="8" t="s">
        <v>59</v>
      </c>
      <c r="M1007" s="8" t="s">
        <v>4698</v>
      </c>
      <c r="N1007" s="7" t="str">
        <f>IFERROR(__xludf.DUMMYFUNCTION("GOOGLETRANSLATE(L1007, ""en"", ""pt"")"),"Trabalhador de paisagismo")</f>
        <v>Trabalhador de paisagismo</v>
      </c>
      <c r="O1007" s="7" t="str">
        <f>IFERROR(__xludf.DUMMYFUNCTION("IF(M1007="""","""",GOOGLETRANSLATE(M1007,""en"",""pt""))"),"Plantar e regar árvores, arbustos, grama e outras vegetações. Espalhar cobertura morta, terra e cascalho manualmente ou com ferramentas básicas. Colocar materiais de controle de erosão (por exemplo, mantas, barreiras de contenção). Auxiliar em tarefas bás"&amp;"icas de irrigação, conforme instruções. Remover detritos, ervas daninhas e lixo das faixas de domínio. Utilizar ferramentas manuais e equipamentos pequenos, como pás, ancinhos, roçadeiras e sopradores. Auxiliar os membros da equipe em tarefas básicas de p"&amp;"aisagismo, conforme instruções. Carregar e descarregar materiais e suprimentos. Seguir todos os procedimentos de controle de tráfego e segurança viária. O trabalho é realizado ao ar livre, em condições climáticas variáveis ​​e próximo a vias movimentadas."&amp;" O empregador oferece 40 horas de trabalho por semana. O horário normal é de segunda a sexta-feira, das 7h às 16h. O turno inclui uma hora de intervalo não remunerado. Pode ser necessário trabalhar aos sábados e domingos. Os dias, horários e turnos de tra"&amp;"balho podem variar dependendo das condições climáticas. Salário base de US$ 18,93 por hora. O empregador poderá aumentar o salário com base na experiência, nas condições de mercado e/ou oferecer remuneração adicional por desempenho e tempo de serviço. Pod"&amp;"erá haver disponibilidade para horas extras. Um adicional por horas extras será pago quando exigido por lei federal, estadual ou local, incluindo hora e meia após 40 horas semanais. Geralmente, quando houver disponibilidade para horas extras, o pagamento "&amp;"será de US$ 28,40 por hora. O empregador fornecerá treinamento no local de trabalho. Uma única semana de trabalho será utilizada para o cálculo dos salários devidos. Os trabalhadores receberão pagamento semanalmente. O empregador fornecerá ao trabalhador,"&amp;" sem custo algum, todas as ferramentas, suprimentos, EPIs, uniforme e equipamentos necessários para a execução do trabalho. O trabalho será realizado em diversos locais de trabalho externos, situados ao longo de vias públicas, canteiros centrais, acostame"&amp;"ntos e faixas de domínio nos condados de Williamson, Travis, Hays e Bastrop, no Texas. Esses locais de trabalho estão associados a projetos de construção de rodovias e paisagismo, sob contratos com o Departamento de Transportes do Texas. Os trabalhadores "&amp;"se apresentarão diretamente aos locais de trabalho designados e não precisarão se apresentar a um escritório central diariamente. O empregador fornecerá instruções e tarefas diárias. Transporte diário opcional entre a residência e os locais de trabalho, s"&amp;"em custo para o trabalhador. Classificação da vaga: 37-3011.00 - Trabalhadores de Paisagismo e Manutenção de Áreas Verdes. A classificação e descrição da vaga/setor inclui informações gerais sobre o cargo, de acordo com o ONET/OES e o Sistema de Classific"&amp;"ação Industrial da América do Norte (NAICS). Consulte as Funções e a Ordem de Serviço para obter mais informações. Requisitos da vaga: Experiência necessária: Não. Requisitos especiais: Deve ser capaz de levantar e carregar até 23 kg. Os trabalhadores dev"&amp;"em cumprir todas as normas de segurança relacionadas a zonas de construção de rodovias. Os trabalhadores podem ser obrigados a usar equipamentos de proteção individual (EPI), incluindo coletes de alta visibilidade, capacetes, luvas e botas de segurança. D"&amp;"eve ter disponibilidade para trabalhar 5 dias por semana, incluindo sábados, domingos e feriados, quando necessário. O candidato deve preencher uma ficha de emprego. Número de horas por semana: 40. Horário de trabalho (início/término): 7h às 16h.")</f>
        <v>Plantar e regar árvores, arbustos, grama e outras vegetações. Espalhar cobertura morta, terra e cascalho manualmente ou com ferramentas básicas. Colocar materiais de controle de erosão (por exemplo, mantas, barreiras de contenção). Auxiliar em tarefas básicas de irrigação, conforme instruções. Remover detritos, ervas daninhas e lixo das faixas de domínio. Utilizar ferramentas manuais e equipamentos pequenos, como pás, ancinhos, roçadeiras e sopradores. Auxiliar os membros da equipe em tarefas básicas de paisagismo, conforme instruções. Carregar e descarregar materiais e suprimentos. Seguir todos os procedimentos de controle de tráfego e segurança viária. O trabalho é realizado ao ar livre, em condições climáticas variáveis ​​e próximo a vias movimentadas. O empregador oferece 40 horas de trabalho por semana. O horário normal é de segunda a sexta-feira, das 7h às 16h. O turno inclui uma hora de intervalo não remunerado. Pode ser necessário trabalhar aos sábados e domingos. Os dias, horários e turnos de trabalho podem variar dependendo das condições climáticas. Salário base de US$ 18,93 por hora. O empregador poderá aumentar o salário com base na experiência, nas condições de mercado e/ou oferecer remuneração adicional por desempenho e tempo de serviço. Poderá haver disponibilidade para horas extras. Um adicional por horas extras será pago quando exigido por lei federal, estadual ou local, incluindo hora e meia após 40 horas semanais. Geralmente, quando houver disponibilidade para horas extras, o pagamento será de US$ 28,40 por hora. O empregador fornecerá treinamento no local de trabalho. Uma única semana de trabalho será utilizada para o cálculo dos salários devidos. Os trabalhadores receberão pagamento semanalmente. O empregador fornecerá ao trabalhador, sem custo algum, todas as ferramentas, suprimentos, EPIs, uniforme e equipamentos necessários para a execução do trabalho. O trabalho será realizado em diversos locais de trabalho externos, situados ao longo de vias públicas, canteiros centrais, acostamentos e faixas de domínio nos condados de Williamson, Travis, Hays e Bastrop, no Texas. Esses locais de trabalho estão associados a projetos de construção de rodovias e paisagismo, sob contratos com o Departamento de Transportes do Texas. Os trabalhadores se apresentarão diretamente aos locais de trabalho designados e não precisarão se apresentar a um escritório central diariamente. O empregador fornecerá instruções e tarefas diárias. Transporte diário opcional entre a residência e os locais de trabalho, sem custo para o trabalhador. Classificação da vaga: 37-3011.00 - Trabalhadores de Paisagismo e Manutenção de Áreas Verdes. A classificação e descrição da vaga/setor inclui informações gerais sobre o cargo, de acordo com o ONET/OES e o Sistema de Classificação Industrial da América do Norte (NAICS). Consulte as Funções e a Ordem de Serviço para obter mais informações. Requisitos da vaga: Experiência necessária: Não. Requisitos especiais: Deve ser capaz de levantar e carregar até 23 kg. Os trabalhadores devem cumprir todas as normas de segurança relacionadas a zonas de construção de rodovias. Os trabalhadores podem ser obrigados a usar equipamentos de proteção individual (EPI), incluindo coletes de alta visibilidade, capacetes, luvas e botas de segurança. Deve ter disponibilidade para trabalhar 5 dias por semana, incluindo sábados, domingos e feriados, quando necessário. O candidato deve preencher uma ficha de emprego. Número de horas por semana: 40. Horário de trabalho (início/término): 7h às 16h.</v>
      </c>
    </row>
    <row r="1008" ht="20.25" customHeight="1">
      <c r="A1008" s="3" t="s">
        <v>4699</v>
      </c>
      <c r="B1008" s="3" t="s">
        <v>4700</v>
      </c>
      <c r="C1008" s="3" t="s">
        <v>4241</v>
      </c>
      <c r="D1008" s="3" t="s">
        <v>71</v>
      </c>
      <c r="E1008" s="4" t="s">
        <v>19</v>
      </c>
      <c r="F1008" s="4" t="s">
        <v>20</v>
      </c>
      <c r="G1008" s="4" t="s">
        <v>524</v>
      </c>
      <c r="H1008" s="3" t="s">
        <v>4701</v>
      </c>
      <c r="I1008" s="3" t="s">
        <v>4702</v>
      </c>
      <c r="J1008" s="4">
        <v>18.0</v>
      </c>
      <c r="K1008" s="4">
        <v>1.0</v>
      </c>
      <c r="L1008" s="3" t="s">
        <v>4703</v>
      </c>
      <c r="M1008" s="3" t="s">
        <v>4704</v>
      </c>
      <c r="N1008" s="7" t="str">
        <f>IFERROR(__xludf.DUMMYFUNCTION("GOOGLETRANSLATE(L1008, ""en"", ""pt"")"),"Anfitriã")</f>
        <v>Anfitriã</v>
      </c>
      <c r="O1008" s="7" t="str">
        <f>IFERROR(__xludf.DUMMYFUNCTION("IF(M1008="""","""",GOOGLETRANSLATE(M1008,""en"",""pt""))"),"As recepcionistas serão responsáveis ​​por recepcionar e acomodar os membros e convidados, auxiliar os membros com reservas utilizando um sistema informatizado; atender o telefone e anotar pedidos para viagem; monitorar o layout do salão e as listas de es"&amp;"pera; preparar as áreas de refeição internas e externas, anotar e registrar pedidos quando os garçons precisarem de auxílio e auxiliar na limpeza das mesas e áreas de refeição. Horário: 35 horas semanais. A escala de trabalho pode variar e incluir turnos "&amp;"noturnos, fins de semana e feriados. O trabalho pode ser realizado em qualquer dia da semana, de segunda a domingo. Exemplos de turnos: 9h às 16h, 10h às 17h ou 12h às 19h. Os horários dos turnos podem variar. Consulte a descrição da vaga em anexo para ob"&amp;"ter mais informações. Classificação da vaga: 35-9031.00 - Recepcionistas, Restaurante, Lounge e Cafeteria. A classificação e descrição da vaga/setor incluem informações gerais sobre o cargo, de acordo com o ONET/OES e o Sistema de Classificação Industrial"&amp;" da América do Norte (NAICS). Consulte as Funções e a Ordem de Serviço para obter mais informações. Requisitos da vaga Experiência necessária: Sim Meses de experiência necessários: 3 Requisitos especiais: O contratante considerará para emprego qualquer pe"&amp;"ssoa que possua pelo menos três (3) meses de experiência em um ambiente de alta gastronomia ou de grande movimento em um restaurante sofisticado, resort ou clube privado. O candidato deverá se submeter à verificação de antecedentes e ao exame toxicológico"&amp;" pré-admissional, às custas do empregador. Número de horas por semana: 35 Horário de trabalho (início/término): 9h às 16h")</f>
        <v>As recepcionistas serão responsáveis ​​por recepcionar e acomodar os membros e convidados, auxiliar os membros com reservas utilizando um sistema informatizado; atender o telefone e anotar pedidos para viagem; monitorar o layout do salão e as listas de espera; preparar as áreas de refeição internas e externas, anotar e registrar pedidos quando os garçons precisarem de auxílio e auxiliar na limpeza das mesas e áreas de refeição. Horário: 35 horas semanais. A escala de trabalho pode variar e incluir turnos noturnos, fins de semana e feriados. O trabalho pode ser realizado em qualquer dia da semana, de segunda a domingo. Exemplos de turnos: 9h às 16h, 10h às 17h ou 12h às 19h. Os horários dos turnos podem variar. Consulte a descrição da vaga em anexo para obter mais informações. Classificação da vaga: 35-9031.00 - Recepcionistas, Restaurante, Lounge e Cafeteria. A classificação e descrição da vaga/setor incluem informações gerais sobre o cargo, de acordo com o ONET/OES e o Sistema de Classificação Industrial da América do Norte (NAICS). Consulte as Funções e a Ordem de Serviço para obter mais informações. Requisitos da vaga Experiência necessária: Sim Meses de experiência necessários: 3 Requisitos especiais: O contratante considerará para emprego qualquer pessoa que possua pelo menos três (3) meses de experiência em um ambiente de alta gastronomia ou de grande movimento em um restaurante sofisticado, resort ou clube privado. O candidato deverá se submeter à verificação de antecedentes e ao exame toxicológico pré-admissional, às custas do empregador. Número de horas por semana: 35 Horário de trabalho (início/término): 9h às 16h</v>
      </c>
    </row>
    <row r="1009" ht="20.25" customHeight="1">
      <c r="A1009" s="8" t="s">
        <v>4705</v>
      </c>
      <c r="B1009" s="8" t="s">
        <v>4700</v>
      </c>
      <c r="C1009" s="8" t="s">
        <v>4241</v>
      </c>
      <c r="D1009" s="8" t="s">
        <v>71</v>
      </c>
      <c r="E1009" s="9" t="s">
        <v>19</v>
      </c>
      <c r="F1009" s="9" t="s">
        <v>20</v>
      </c>
      <c r="G1009" s="9" t="s">
        <v>524</v>
      </c>
      <c r="H1009" s="8" t="s">
        <v>4701</v>
      </c>
      <c r="I1009" s="8" t="s">
        <v>4702</v>
      </c>
      <c r="J1009" s="9">
        <v>19.0</v>
      </c>
      <c r="K1009" s="9">
        <v>8.0</v>
      </c>
      <c r="L1009" s="8" t="s">
        <v>1206</v>
      </c>
      <c r="M1009" s="8" t="s">
        <v>4706</v>
      </c>
      <c r="N1009" s="7" t="str">
        <f>IFERROR(__xludf.DUMMYFUNCTION("GOOGLETRANSLATE(L1009, ""en"", ""pt"")"),"Servidor")</f>
        <v>Servidor</v>
      </c>
      <c r="O1009" s="7" t="str">
        <f>IFERROR(__xludf.DUMMYFUNCTION("IF(M1009="""","""",GOOGLETRANSLATE(M1009,""en"",""pt""))"),"Os garçons serão responsáveis ​​por recepcionar os clientes, preparar as áreas de refeição, anotar e registrar pedidos, transportar bandejas e pratos, servir alimentos e bebidas, e limpar e retirar os pratos das mesas. Horário: 40 horas semanais. A escala"&amp;" de trabalho pode variar e incluir turnos noturnos, fins de semana e feriados. O trabalho pode ser realizado em qualquer dia da semana, de segunda a domingo. Exemplos de turnos: das 9h às 17h ou das 15h às 23h. Os horários dos turnos podem variar. Consult"&amp;"e a descrição da vaga em anexo para obter mais informações. Classificação da vaga: 35-3031.00 - Garçons e Garçonetes. A classificação e descrição da vaga/setor incluem informações gerais sobre o cargo, de acordo com o ONET/OES e o Sistema de Classificação"&amp;" Industrial da América do Norte (NAICS). Consulte as Funções e a Ordem de Serviço para obter mais informações. Requisitos da Vaga Experiência Necessária: Sim Meses de Experiência Necessários: 6 Requisitos Especiais: O Requerente considerará para emprego q"&amp;"ualquer pessoa que possua pelo menos seis (6) meses de experiência em atendimento em um ambiente de alta gastronomia ou de grande movimento em um restaurante sofisticado, resort ou clube privado. O candidato deverá se submeter à verificação de antecedente"&amp;"s e ao exame toxicológico pré-admissional, às custas do empregador. Número de Horas por Semana: 40 Horário de Trabalho (Início/Término): 9h00 - 17h00")</f>
        <v>Os garçons serão responsáveis ​​por recepcionar os clientes, preparar as áreas de refeição, anotar e registrar pedidos, transportar bandejas e pratos, servir alimentos e bebidas, e limpar e retirar os pratos das mesas. Horário: 40 horas semanais. A escala de trabalho pode variar e incluir turnos noturnos, fins de semana e feriados. O trabalho pode ser realizado em qualquer dia da semana, de segunda a domingo. Exemplos de turnos: das 9h às 17h ou das 15h às 23h. Os horários dos turnos podem variar. Consulte a descrição da vaga em anexo para obter mais informações. Classificação da vaga: 35-3031.00 - Garçons e Garçonetes. A classificação e descrição da vaga/setor incluem informações gerais sobre o cargo, de acordo com o ONET/OES e o Sistema de Classificação Industrial da América do Norte (NAICS). Consulte as Funções e a Ordem de Serviço para obter mais informações. Requisitos da Vaga Experiência Necessária: Sim Meses de Experiência Necessários: 6 Requisitos Especiais: O Requerente considerará para emprego qualquer pessoa que possua pelo menos seis (6) meses de experiência em atendimento em um ambiente de alta gastronomia ou de grande movimento em um restaurante sofisticado, resort ou clube privado. O candidato deverá se submeter à verificação de antecedentes e ao exame toxicológico pré-admissional, às custas do empregador. Número de Horas por Semana: 40 Horário de Trabalho (Início/Término): 9h00 - 17h00</v>
      </c>
    </row>
    <row r="1010" ht="20.25" customHeight="1">
      <c r="A1010" s="3" t="s">
        <v>4707</v>
      </c>
      <c r="B1010" s="3" t="s">
        <v>4700</v>
      </c>
      <c r="C1010" s="3" t="s">
        <v>4241</v>
      </c>
      <c r="D1010" s="3" t="s">
        <v>71</v>
      </c>
      <c r="E1010" s="4" t="s">
        <v>19</v>
      </c>
      <c r="F1010" s="4" t="s">
        <v>20</v>
      </c>
      <c r="G1010" s="4" t="s">
        <v>524</v>
      </c>
      <c r="H1010" s="3" t="s">
        <v>4701</v>
      </c>
      <c r="I1010" s="3" t="s">
        <v>4702</v>
      </c>
      <c r="J1010" s="4">
        <v>19.0</v>
      </c>
      <c r="K1010" s="4">
        <v>4.0</v>
      </c>
      <c r="L1010" s="3" t="s">
        <v>586</v>
      </c>
      <c r="M1010" s="3" t="s">
        <v>4708</v>
      </c>
      <c r="N1010" s="7" t="str">
        <f>IFERROR(__xludf.DUMMYFUNCTION("GOOGLETRANSLATE(L1010, ""en"", ""pt"")"),"Cozinheiro de linha")</f>
        <v>Cozinheiro de linha</v>
      </c>
      <c r="O1010" s="7" t="str">
        <f>IFERROR(__xludf.DUMMYFUNCTION("IF(M1010="""","""",GOOGLETRANSLATE(M1010,""en"",""pt""))"),"Os cozinheiros de linha serão responsáveis ​​por preparar, temperar e cozinhar sopas, carnes, legumes, sobremesas e outros itens alimentícios em um restaurante. Além disso, os cozinheiros de linha serão responsáveis ​​por utilizar técnicas seguras de mani"&amp;"pulação de alimentos e seguir as diretrizes de segurança alimentar para garantir um ambiente de trabalho seguro. Horário: 40 horas por semana. O horário de trabalho pode variar e incluir turnos noturnos, fins de semana e feriados. O trabalho pode ser real"&amp;"izado em qualquer dia da semana, de segunda a domingo. Exemplos de turnos: das 8h às 16h ou das 14h às 22h. Os horários dos turnos podem variar. Consulte a descrição do cargo em anexo para obter mais informações. Classificação do cargo: 35-2014.00 - Cozin"&amp;"heiros, Restaurante. A classificação e a descrição do cargo/setor incluem informações gerais sobre a posição, de acordo com o ONET/OES e o Sistema de Classificação Industrial da América do Norte. Consulte as atribuições e a ordem de serviço para obter mai"&amp;"s informações. Requisitos da Vaga Experiência Necessária: Sim Meses de Experiência Necessários: 6 Requisitos Especiais: O contratante considerará para emprego qualquer pessoa que possua pelo menos seis (6) meses de experiência culinária em um ambiente de "&amp;"alta gastronomia ou de grande movimento em um restaurante sofisticado, resort ou clube privado. O candidato deverá se submeter à verificação de antecedentes e ao exame toxicológico pré-admissional, às custas do empregador. Número de Horas por Semana: 40 H"&amp;"orário de Trabalho (Início/Término): 8h00 - 16h00")</f>
        <v>Os cozinheiros de linha serão responsáveis ​​por preparar, temperar e cozinhar sopas, carnes, legumes, sobremesas e outros itens alimentícios em um restaurante. Além disso, os cozinheiros de linha serão responsáveis ​​por utilizar técnicas seguras de manipulação de alimentos e seguir as diretrizes de segurança alimentar para garantir um ambiente de trabalho seguro. Horário: 40 horas por semana. O horário de trabalho pode variar e incluir turnos noturnos, fins de semana e feriados. O trabalho pode ser realizado em qualquer dia da semana, de segunda a domingo. Exemplos de turnos: das 8h às 16h ou das 14h às 22h. Os horários dos turnos podem variar. Consulte a descrição do cargo em anexo para obter mais informações. Classificação do cargo: 35-2014.00 - Cozinheiros, Restaurante. A classificação e a descrição do cargo/setor incluem informações gerais sobre a posição, de acordo com o ONET/OES e o Sistema de Classificação Industrial da América do Norte. Consulte as atribuições e a ordem de serviço para obter mais informações. Requisitos da Vaga Experiência Necessária: Sim Meses de Experiência Necessários: 6 Requisitos Especiais: O contratante considerará para emprego qualquer pessoa que possua pelo menos seis (6) meses de experiência culinária em um ambiente de alta gastronomia ou de grande movimento em um restaurante sofisticado, resort ou clube privado. O candidato deverá se submeter à verificação de antecedentes e ao exame toxicológico pré-admissional, às custas do empregador. Número de Horas por Semana: 40 Horário de Trabalho (Início/Término): 8h00 - 16h00</v>
      </c>
    </row>
    <row r="1011" ht="20.25" customHeight="1">
      <c r="A1011" s="8" t="s">
        <v>4709</v>
      </c>
      <c r="B1011" s="8" t="s">
        <v>4710</v>
      </c>
      <c r="C1011" s="8" t="s">
        <v>4247</v>
      </c>
      <c r="D1011" s="8" t="s">
        <v>271</v>
      </c>
      <c r="E1011" s="9" t="s">
        <v>19</v>
      </c>
      <c r="F1011" s="9" t="s">
        <v>20</v>
      </c>
      <c r="G1011" s="9" t="s">
        <v>118</v>
      </c>
      <c r="H1011" s="8" t="s">
        <v>4711</v>
      </c>
      <c r="I1011" s="8" t="s">
        <v>4712</v>
      </c>
      <c r="J1011" s="9">
        <v>21.41</v>
      </c>
      <c r="K1011" s="9">
        <v>38.0</v>
      </c>
      <c r="L1011" s="8" t="s">
        <v>4250</v>
      </c>
      <c r="M1011" s="8" t="s">
        <v>4251</v>
      </c>
      <c r="N1011" s="7" t="str">
        <f>IFERROR(__xludf.DUMMYFUNCTION("GOOGLETRANSLATE(L1011, ""en"", ""pt"")"),"49-9098: Ajudantes — Trabalhos de instalação, manutenção e reparo")</f>
        <v>49-9098: Ajudantes — Trabalhos de instalação, manutenção e reparo</v>
      </c>
      <c r="O1011" s="7" t="str">
        <f>IFERROR(__xludf.DUMMYFUNCTION("IF(M1011="""","""",GOOGLETRANSLATE(M1011,""en"",""pt""))"),"Auxiliar os trabalhadores de instalação, manutenção e reparo na manutenção, substituição de peças e reparo de veículos, máquinas industriais e equipamentos elétricos e eletrônicos. Executar tarefas como fornecer ferramentas, materiais e suprimentos para o"&amp;"utros trabalhadores; limpar a área de trabalho, máquinas e ferramentas; e segurar materiais ou ferramentas para outros trabalhadores. Classificação da vaga: 49-9098.00 - Auxiliares - Trabalhadores de Instalação, Manutenção e Reparo. A classificação e desc"&amp;"rição da vaga/setor inclui informações gerais sobre a posição, de acordo com o ONET/OES e o Sistema de Classificação Industrial da América do Norte (NAICS). Consulte as Funções e a Ordem de Serviço para obter mais informações. Requisitos da vaga: Experiên"&amp;"cia exigida: Não. Requisitos especiais: Testes aleatórios de drogas e verificação de antecedentes criminais após a contratação podem ser exigidos, sem custo para o trabalhador. A vaga exige que o candidato seja qualificado, esteja pronto, disposto, apto e"&amp;" disponível para trabalhar durante todo o período de emprego no local de trabalho designado; para firmar e cumprir o contrato de trabalho; e para seguir as normas do local de trabalho. Número de horas por semana: 35. Horário de trabalho (início/término): "&amp;"8h. - 16:00")</f>
        <v>Auxiliar os trabalhadores de instalação, manutenção e reparo na manutenção, substituição de peças e reparo de veículos, máquinas industriais e equipamentos elétricos e eletrônicos. Executar tarefas como fornecer ferramentas, materiais e suprimentos para outros trabalhadores; limpar a área de trabalho, máquinas e ferramentas; e segurar materiais ou ferramentas para outros trabalhadores. Classificação da vaga: 49-9098.00 - Auxiliares - Trabalhadores de Instalação, Manutenção e Reparo. A classificação e descrição da vaga/setor inclui informações gerais sobre a posição, de acordo com o ONET/OES e o Sistema de Classificação Industrial da América do Norte (NAICS). Consulte as Funções e a Ordem de Serviço para obter mais informações. Requisitos da vaga: Experiência exigida: Não. Requisitos especiais: Testes aleatórios de drogas e verificação de antecedentes criminais após a contratação podem ser exigidos, sem custo para o trabalhador. A vaga exige que o candidato seja qualificado, esteja pronto, disposto, apto e disponível para trabalhar durante todo o período de emprego no local de trabalho designado; para firmar e cumprir o contrato de trabalho; e para seguir as normas do local de trabalho. Número de horas por semana: 35. Horário de trabalho (início/término): 8h. - 16:00</v>
      </c>
    </row>
    <row r="1012" ht="20.25" customHeight="1">
      <c r="A1012" s="3" t="s">
        <v>4713</v>
      </c>
      <c r="B1012" s="3" t="s">
        <v>4714</v>
      </c>
      <c r="C1012" s="3" t="s">
        <v>4247</v>
      </c>
      <c r="D1012" s="3" t="s">
        <v>71</v>
      </c>
      <c r="E1012" s="4" t="s">
        <v>44</v>
      </c>
      <c r="F1012" s="4" t="s">
        <v>20</v>
      </c>
      <c r="G1012" s="4" t="s">
        <v>4493</v>
      </c>
      <c r="H1012" s="3" t="s">
        <v>4715</v>
      </c>
      <c r="I1012" s="3" t="s">
        <v>4716</v>
      </c>
      <c r="J1012" s="4">
        <v>19.02</v>
      </c>
      <c r="K1012" s="4">
        <v>36.0</v>
      </c>
      <c r="L1012" s="3" t="s">
        <v>4250</v>
      </c>
      <c r="M1012" s="3" t="s">
        <v>4251</v>
      </c>
      <c r="N1012" s="7" t="str">
        <f>IFERROR(__xludf.DUMMYFUNCTION("GOOGLETRANSLATE(L1012, ""en"", ""pt"")"),"49-9098: Ajudantes — Trabalhos de instalação, manutenção e reparo")</f>
        <v>49-9098: Ajudantes — Trabalhos de instalação, manutenção e reparo</v>
      </c>
      <c r="O1012" s="7" t="str">
        <f>IFERROR(__xludf.DUMMYFUNCTION("IF(M1012="""","""",GOOGLETRANSLATE(M1012,""en"",""pt""))"),"Auxiliar os trabalhadores de instalação, manutenção e reparo na manutenção, substituição de peças e reparo de veículos, máquinas industriais e equipamentos elétricos e eletrônicos. Executar tarefas como fornecer ferramentas, materiais e suprimentos para o"&amp;"utros trabalhadores; limpar a área de trabalho, máquinas e ferramentas; e segurar materiais ou ferramentas para outros trabalhadores. Classificação da vaga: 49-9098.00 - Auxiliares - Trabalhadores de Instalação, Manutenção e Reparo. A classificação e desc"&amp;"rição da vaga/setor inclui informações gerais sobre a posição, de acordo com o ONET/OES e o Sistema de Classificação Industrial da América do Norte (NAICS). Consulte as Funções e a Ordem de Serviço para obter mais informações. Requisitos da vaga: Experiên"&amp;"cia exigida: Não. Requisitos especiais: Testes aleatórios de drogas e verificação de antecedentes criminais após a contratação podem ser exigidos, sem custo para o trabalhador. A vaga exige que o candidato seja qualificado, esteja pronto, disposto, apto e"&amp;" disponível para trabalhar durante todo o período de emprego no local de trabalho designado; para firmar e cumprir o contrato de trabalho; e para seguir as normas do local de trabalho. Número de horas por semana: 35. Horário de trabalho (início/término): "&amp;"8h. - 16:00")</f>
        <v>Auxiliar os trabalhadores de instalação, manutenção e reparo na manutenção, substituição de peças e reparo de veículos, máquinas industriais e equipamentos elétricos e eletrônicos. Executar tarefas como fornecer ferramentas, materiais e suprimentos para outros trabalhadores; limpar a área de trabalho, máquinas e ferramentas; e segurar materiais ou ferramentas para outros trabalhadores. Classificação da vaga: 49-9098.00 - Auxiliares - Trabalhadores de Instalação, Manutenção e Reparo. A classificação e descrição da vaga/setor inclui informações gerais sobre a posição, de acordo com o ONET/OES e o Sistema de Classificação Industrial da América do Norte (NAICS). Consulte as Funções e a Ordem de Serviço para obter mais informações. Requisitos da vaga: Experiência exigida: Não. Requisitos especiais: Testes aleatórios de drogas e verificação de antecedentes criminais após a contratação podem ser exigidos, sem custo para o trabalhador. A vaga exige que o candidato seja qualificado, esteja pronto, disposto, apto e disponível para trabalhar durante todo o período de emprego no local de trabalho designado; para firmar e cumprir o contrato de trabalho; e para seguir as normas do local de trabalho. Número de horas por semana: 35. Horário de trabalho (início/término): 8h. - 16:00</v>
      </c>
    </row>
    <row r="1013" ht="20.25" customHeight="1">
      <c r="A1013" s="8" t="s">
        <v>4717</v>
      </c>
      <c r="B1013" s="8" t="s">
        <v>4718</v>
      </c>
      <c r="C1013" s="8" t="s">
        <v>4241</v>
      </c>
      <c r="D1013" s="8" t="s">
        <v>71</v>
      </c>
      <c r="E1013" s="9" t="s">
        <v>19</v>
      </c>
      <c r="F1013" s="9" t="s">
        <v>20</v>
      </c>
      <c r="G1013" s="9" t="s">
        <v>437</v>
      </c>
      <c r="H1013" s="8" t="s">
        <v>4719</v>
      </c>
      <c r="I1013" s="8" t="s">
        <v>4720</v>
      </c>
      <c r="J1013" s="9">
        <v>16.56</v>
      </c>
      <c r="K1013" s="9">
        <v>10.0</v>
      </c>
      <c r="L1013" s="8" t="s">
        <v>4721</v>
      </c>
      <c r="M1013" s="8" t="s">
        <v>4722</v>
      </c>
      <c r="N1013" s="7" t="str">
        <f>IFERROR(__xludf.DUMMYFUNCTION("GOOGLETRANSLATE(L1013, ""en"", ""pt"")"),"Auxiliar de Garçom/Garçonete de Alimentos e Bebidas")</f>
        <v>Auxiliar de Garçom/Garçonete de Alimentos e Bebidas</v>
      </c>
      <c r="O1013" s="7" t="str">
        <f>IFERROR(__xludf.DUMMYFUNCTION("IF(M1013="""","""",GOOGLETRANSLATE(M1013,""en"",""pt""))"),"Os Auxiliares de Garçom e Garçonete serão responsáveis ​​por recepcionar os clientes, preparar as mesas nas áreas de jantar e buffet com utensílios como pratos, copos e talheres, transportar bandejas e pratos, limpar e retirar os pratos das mesas, entrega"&amp;"r pedidos de serviço de quarto, fornecer um excelente atendimento ao cliente, cooperar e se comunicar com toda a equipe de serviço e cozinha, e seguir todas as normas e regulamentos do departamento de saúde e as diretrizes de atendimento ao cliente. Os Au"&amp;"xiliares de Garçom e Garçonete auxiliarão os Garçons reabastecendo bebidas e transportando bandejas e cestas com os pedidos dos clientes da cozinha, quando necessário. Os Auxiliares de Garçom e Garçonete não anotam os pedidos dos clientes, pois todos os p"&amp;"edidos são feitos pelos Garçons. Horário: 40 horas semanais. A escala de trabalho pode variar e incluir turnos noturnos, fins de semana e feriados. O trabalho pode ser realizado em qualquer dia da semana, de segunda a domingo. Exemplos de turnos: 6h às 14"&amp;"h, 9h às 17h ou 15h às 23h. Os horários dos turnos podem variar. Consulte a descrição do cargo em anexo para obter mais informações. Classificação da vaga: 35-3041.00 - Garçons/Garçonetes (fora de restaurante). A classificação e descrição da vaga/setor in"&amp;"clui informações gerais sobre o cargo, conforme o ONET/OES e o Sistema de Classificação Industrial da América do Norte (NAICS). Consulte as Funções e a Ordem de Serviço para obter mais informações. Requisitos da vaga: Experiência exigida: Não. Requisitos "&amp;"especiais: O candidato deverá se submeter a uma verificação de antecedentes pré-admissional, custeada pelo empregador. Número de horas semanais: 40. Horário de trabalho (início/término): 6h às 14h.")</f>
        <v>Os Auxiliares de Garçom e Garçonete serão responsáveis ​​por recepcionar os clientes, preparar as mesas nas áreas de jantar e buffet com utensílios como pratos, copos e talheres, transportar bandejas e pratos, limpar e retirar os pratos das mesas, entregar pedidos de serviço de quarto, fornecer um excelente atendimento ao cliente, cooperar e se comunicar com toda a equipe de serviço e cozinha, e seguir todas as normas e regulamentos do departamento de saúde e as diretrizes de atendimento ao cliente. Os Auxiliares de Garçom e Garçonete auxiliarão os Garçons reabastecendo bebidas e transportando bandejas e cestas com os pedidos dos clientes da cozinha, quando necessário. Os Auxiliares de Garçom e Garçonete não anotam os pedidos dos clientes, pois todos os pedidos são feitos pelos Garçons. Horário: 40 horas semanais. A escala de trabalho pode variar e incluir turnos noturnos, fins de semana e feriados. O trabalho pode ser realizado em qualquer dia da semana, de segunda a domingo. Exemplos de turnos: 6h às 14h, 9h às 17h ou 15h às 23h. Os horários dos turnos podem variar. Consulte a descrição do cargo em anexo para obter mais informações. Classificação da vaga: 35-3041.00 - Garçons/Garçonetes (fora de restaurante). A classificação e descrição da vaga/setor inclui informações gerais sobre o cargo, conforme o ONET/OES e o Sistema de Classificação Industrial da América do Norte (NAICS). Consulte as Funções e a Ordem de Serviço para obter mais informações. Requisitos da vaga: Experiência exigida: Não. Requisitos especiais: O candidato deverá se submeter a uma verificação de antecedentes pré-admissional, custeada pelo empregador. Número de horas semanais: 40. Horário de trabalho (início/término): 6h às 14h.</v>
      </c>
    </row>
    <row r="1014" ht="20.25" customHeight="1">
      <c r="A1014" s="3" t="s">
        <v>4723</v>
      </c>
      <c r="B1014" s="3" t="s">
        <v>4718</v>
      </c>
      <c r="C1014" s="3" t="s">
        <v>4241</v>
      </c>
      <c r="D1014" s="3" t="s">
        <v>71</v>
      </c>
      <c r="E1014" s="4" t="s">
        <v>19</v>
      </c>
      <c r="F1014" s="4" t="s">
        <v>20</v>
      </c>
      <c r="G1014" s="4" t="s">
        <v>437</v>
      </c>
      <c r="H1014" s="3" t="s">
        <v>4719</v>
      </c>
      <c r="I1014" s="3" t="s">
        <v>4720</v>
      </c>
      <c r="J1014" s="4">
        <v>18.0</v>
      </c>
      <c r="K1014" s="4">
        <v>15.0</v>
      </c>
      <c r="L1014" s="3" t="s">
        <v>4724</v>
      </c>
      <c r="M1014" s="3" t="s">
        <v>4725</v>
      </c>
      <c r="N1014" s="7" t="str">
        <f>IFERROR(__xludf.DUMMYFUNCTION("GOOGLETRANSLATE(L1014, ""en"", ""pt"")"),"Camareira")</f>
        <v>Camareira</v>
      </c>
      <c r="O1014" s="7" t="str">
        <f>IFERROR(__xludf.DUMMYFUNCTION("IF(M1014="""","""",GOOGLETRANSLATE(M1014,""en"",""pt""))"),"Os camareiros serão responsáveis ​​pela limpeza e manutenção de todos os quartos, suítes e áreas comuns internas das propriedades do empregador, incluindo aspirar o chão, tirar o pó, repor roupas de cama e toalhas, desinfetar banheiros e lavar janelas. De"&amp;"vem utilizar os produtos químicos corretamente para garantir a segurança e uma limpeza completa. Manter o carrinho de limpeza organizado e limpo, repondo roupas de cama e toalhas conforme necessário. Comunicar as necessidades de manutenção ou segurança ao"&amp;" gerente ou supervisor responsável em tempo hábil. Os camareiros podem precisar ocasionalmente levantar e/ou mover até 23 kg. Horário: 40 horas semanais. A escala de trabalho pode variar e incluir turnos noturnos, fins de semana e feriados. O trabalho pod"&amp;"e ser realizado em qualquer dia da semana, de segunda a domingo. Exemplos de turnos: 9h às 17h ou 16h às 00h. Os horários dos turnos podem variar. Consulte a descrição da vaga em anexo para obter mais informações. Classificação da Função: 37-2012.00 - Cam"&amp;"areiras e Auxiliares de Limpeza. A classificação e descrição da função/setor inclui informações gerais sobre o cargo, de acordo com o ONET/OES e o Sistema de Classificação Industrial da América do Norte. Consulte as Funções e a Ordem de Serviço para obter"&amp;" mais informações. Requisitos da Função Experiência Necessária: Sim Meses de Experiência Necessários: 3 Requisitos Especiais: O contratante considerará para emprego qualquer pessoa que possua pelo menos três (3) meses de experiência em um hotel de alto pa"&amp;"drão, resort ou clube privado. O candidato deverá se submeter a uma verificação de antecedentes pré-emprego, às custas do empregador. Número de Horas por Semana: 40 Horário de Trabalho (Início/Término): 9h00 - 17h00")</f>
        <v>Os camareiros serão responsáveis ​​pela limpeza e manutenção de todos os quartos, suítes e áreas comuns internas das propriedades do empregador, incluindo aspirar o chão, tirar o pó, repor roupas de cama e toalhas, desinfetar banheiros e lavar janelas. Devem utilizar os produtos químicos corretamente para garantir a segurança e uma limpeza completa. Manter o carrinho de limpeza organizado e limpo, repondo roupas de cama e toalhas conforme necessário. Comunicar as necessidades de manutenção ou segurança ao gerente ou supervisor responsável em tempo hábil. Os camareiros podem precisar ocasionalmente levantar e/ou mover até 23 kg. Horário: 40 horas semanais. A escala de trabalho pode variar e incluir turnos noturnos, fins de semana e feriados. O trabalho pode ser realizado em qualquer dia da semana, de segunda a domingo. Exemplos de turnos: 9h às 17h ou 16h às 00h. Os horários dos turnos podem variar. Consulte a descrição da vaga em anexo para obter mais informações. Classificação da Função: 37-2012.00 - Camareiras e Auxiliares de Limpeza. A classificação e descrição da função/setor inclui informações gerais sobre o cargo, de acordo com o ONET/OES e o Sistema de Classificação Industrial da América do Norte. Consulte as Funções e a Ordem de Serviço para obter mais informações. Requisitos da Função Experiência Necessária: Sim Meses de Experiência Necessários: 3 Requisitos Especiais: O contratante considerará para emprego qualquer pessoa que possua pelo menos três (3) meses de experiência em um hotel de alto padrão, resort ou clube privado. O candidato deverá se submeter a uma verificação de antecedentes pré-emprego, às custas do empregador. Número de Horas por Semana: 40 Horário de Trabalho (Início/Término): 9h00 - 17h00</v>
      </c>
    </row>
    <row r="1015" ht="20.25" customHeight="1">
      <c r="A1015" s="8" t="s">
        <v>4726</v>
      </c>
      <c r="B1015" s="8" t="s">
        <v>4718</v>
      </c>
      <c r="C1015" s="8" t="s">
        <v>4241</v>
      </c>
      <c r="D1015" s="8" t="s">
        <v>71</v>
      </c>
      <c r="E1015" s="9" t="s">
        <v>44</v>
      </c>
      <c r="F1015" s="9" t="s">
        <v>20</v>
      </c>
      <c r="G1015" s="9" t="s">
        <v>437</v>
      </c>
      <c r="H1015" s="8" t="s">
        <v>4719</v>
      </c>
      <c r="I1015" s="8" t="s">
        <v>4720</v>
      </c>
      <c r="J1015" s="9">
        <v>19.4</v>
      </c>
      <c r="K1015" s="9">
        <v>12.0</v>
      </c>
      <c r="L1015" s="8" t="s">
        <v>387</v>
      </c>
      <c r="M1015" s="8" t="s">
        <v>4727</v>
      </c>
      <c r="N1015" s="7" t="str">
        <f>IFERROR(__xludf.DUMMYFUNCTION("GOOGLETRANSLATE(L1015, ""en"", ""pt"")"),"Ordem de serviço não disponível")</f>
        <v>Ordem de serviço não disponível</v>
      </c>
      <c r="O1015" s="7" t="str">
        <f>IFERROR(__xludf.DUMMYFUNCTION("IF(M1015="""","""",GOOGLETRANSLATE(M1015,""en"",""pt""))"),"Os cozinheiros serão responsáveis ​​por preparar, temperar e cozinhar sopas, carnes, legumes, sobremesas e outros produtos para consumo nos estabelecimentos de alimentação, incluindo o refeitório dos funcionários. Devem medir e misturar ingredientes de ac"&amp;"ordo com as receitas, utilizar diversos utensílios e equipamentos de cozinha, assar, grelhar e tostar alimentos, manter os padrões de higiene, saúde e segurança na área de trabalho, ler os pedidos de comida ou receber instruções verbais, verificar se os a"&amp;"limentos preparados atendem aos requisitos de qualidade e quantidade, limpar, abastecer e reabastecer as estações de trabalho e os refrigeradores, demonstrar conhecimento de todas as estações da cozinha, compreender a apresentação dos pratos e o preparo d"&amp;"os itens do cardápio, manter o buffet do restaurante e quaisquer estações de preparo ao vivo que sejam necessárias de acordo com as demandas do negócio, manter e rotacionar todos os itens alimentícios para garantir a qualidade e assegurar que os alimentos"&amp;" estejam etiquetados e datados, e executar outras tarefas de cozinha conforme designadas pelos chefs, como auxiliar nas estações de corte de carnes, desenvolver pratos especiais da noite e executar estações de comida ao vivo para eventos de banquetes. A c"&amp;"arga horária é de 40 horas semanais, podendo variar e incluir turnos noturnos, fins de semana e feriados. O trabalho pode ser realizado em qualquer dia da semana, de segunda a domingo. Exemplos de turnos: 5h às 13h, 11h às 19h ou 15h às 23h. Os horários d"&amp;"os turnos podem variar. Consulte a descrição do cargo em anexo para obter mais informações. Classificação do Cargo: 35-2014.00 - Cozinheiros, Restaurante. A classificação e a descrição do cargo/setor incluem informações gerais sobre a posição, de acordo c"&amp;"om o ONET/OES e o Sistema de Classificação Industrial da América do Norte (NAICS). Consulte as Funções e a Ordem de Serviço para obter mais informações. Requisitos do Cargo Experiência Necessária: Sim Meses de Experiência Necessários: 6 Requisitos Especia"&amp;"is: O contratante considerará para emprego qualquer pessoa que possua pelo menos seis (6) meses de experiência culinária em um ambiente de alta gastronomia ou de grande movimento, em um restaurante sofisticado, resort ou clube privado. O candidato deverá "&amp;"se submeter a uma verificação de antecedentes pré-emprego, às custas do empregador. Número de horas por semana: 40 Horário de trabalho (início/término): 5h00 - 13h00")</f>
        <v>Os cozinheiros serão responsáveis ​​por preparar, temperar e cozinhar sopas, carnes, legumes, sobremesas e outros produtos para consumo nos estabelecimentos de alimentação, incluindo o refeitório dos funcionários. Devem medir e misturar ingredientes de acordo com as receitas, utilizar diversos utensílios e equipamentos de cozinha, assar, grelhar e tostar alimentos, manter os padrões de higiene, saúde e segurança na área de trabalho, ler os pedidos de comida ou receber instruções verbais, verificar se os alimentos preparados atendem aos requisitos de qualidade e quantidade, limpar, abastecer e reabastecer as estações de trabalho e os refrigeradores, demonstrar conhecimento de todas as estações da cozinha, compreender a apresentação dos pratos e o preparo dos itens do cardápio, manter o buffet do restaurante e quaisquer estações de preparo ao vivo que sejam necessárias de acordo com as demandas do negócio, manter e rotacionar todos os itens alimentícios para garantir a qualidade e assegurar que os alimentos estejam etiquetados e datados, e executar outras tarefas de cozinha conforme designadas pelos chefs, como auxiliar nas estações de corte de carnes, desenvolver pratos especiais da noite e executar estações de comida ao vivo para eventos de banquetes. A carga horária é de 40 horas semanais, podendo variar e incluir turnos noturnos, fins de semana e feriados. O trabalho pode ser realizado em qualquer dia da semana, de segunda a domingo. Exemplos de turnos: 5h às 13h, 11h às 19h ou 15h às 23h. Os horários dos turnos podem variar. Consulte a descrição do cargo em anexo para obter mais informações. Classificação do Cargo: 35-2014.00 - Cozinheiros, Restaurante. A classificação e a descrição do cargo/setor incluem informações gerais sobre a posição, de acordo com o ONET/OES e o Sistema de Classificação Industrial da América do Norte (NAICS). Consulte as Funções e a Ordem de Serviço para obter mais informações. Requisitos do Cargo Experiência Necessária: Sim Meses de Experiência Necessários: 6 Requisitos Especiais: O contratante considerará para emprego qualquer pessoa que possua pelo menos seis (6) meses de experiência culinária em um ambiente de alta gastronomia ou de grande movimento, em um restaurante sofisticado, resort ou clube privado. O candidato deverá se submeter a uma verificação de antecedentes pré-emprego, às custas do empregador. Número de horas por semana: 40 Horário de trabalho (início/término): 5h00 - 13h00</v>
      </c>
    </row>
    <row r="1016" ht="20.25" customHeight="1">
      <c r="A1016" s="3" t="s">
        <v>4728</v>
      </c>
      <c r="B1016" s="3" t="s">
        <v>4729</v>
      </c>
      <c r="C1016" s="3" t="s">
        <v>391</v>
      </c>
      <c r="D1016" s="3" t="s">
        <v>992</v>
      </c>
      <c r="E1016" s="4" t="s">
        <v>19</v>
      </c>
      <c r="F1016" s="4" t="s">
        <v>20</v>
      </c>
      <c r="G1016" s="4" t="s">
        <v>56</v>
      </c>
      <c r="H1016" s="3" t="s">
        <v>4730</v>
      </c>
      <c r="I1016" s="3" t="s">
        <v>4731</v>
      </c>
      <c r="J1016" s="4">
        <v>23.31</v>
      </c>
      <c r="K1016" s="4">
        <v>5.0</v>
      </c>
      <c r="L1016" s="3" t="s">
        <v>59</v>
      </c>
      <c r="M1016" s="3" t="s">
        <v>4732</v>
      </c>
      <c r="N1016" s="7" t="str">
        <f>IFERROR(__xludf.DUMMYFUNCTION("GOOGLETRANSLATE(L1016, ""en"", ""pt"")"),"Trabalhador de paisagismo")</f>
        <v>Trabalhador de paisagismo</v>
      </c>
      <c r="O1016" s="7" t="str">
        <f>IFERROR(__xludf.DUMMYFUNCTION("IF(M1016="""","""",GOOGLETRANSLATE(M1016,""en"",""pt""))"),"Realizar a manutenção paisagística ou de terrenos utilizando ferramentas manuais ou elétricas. Colocar grama, cortar a relva, aparar/cortar as bordas, plantar, capinar, regar, rastelar, varrer folhas; usar uma pá para cavar buracos para o plantio de plant"&amp;"as, árvores, arbustos ou sistemas de irrigação, com até 60 cm de profundidade e 90 cm de largura. Espalhar sementes, fertilizantes e cobertura morta; trabalhar no solo para podar ou aparar árvores, arbustos ou sebes utilizando tesouras de poda, podadores "&amp;"ou motosserras; aerar o solo; instalar/reparar sistemas de irrigação; instalar blocos de concreto pré-moldado sem argamassa. Manter os equipamentos em bom funcionamento. Pode dirigir caminhão da empresa ou outro veículo para transportar equipes de trabalh"&amp;"o, plantas, materiais e ferramentas de/para os locais de trabalho. Mínimo de 35 horas semanais, podendo chegar a 40 horas semanais. Dias normais de trabalho: segunda a sexta-feira, das 7h30 às 16h30, com uma hora de almoço não remunerada. Os dias e horári"&amp;"os de trabalho podem variar conforme as condições climáticas. Trabalho aos sábados conforme necessário. $23,31/hora. O empregador poderá aumentar o salário com base na experiência, nas mudanças nas condições de mercado e/ou oferecer remuneração adicional "&amp;"por desempenho e tempo de serviço. Será pago adicional por horas extras quando exigido por lei federal, estadual ou local, incluindo hora e meia após 40 horas semanais. Geralmente, quando houver horas extras disponíveis, elas serão pagas a $34,97 por hora"&amp;", com base na localidade onde o trabalho é realizado e na taxa horária base oferecida. Uma única semana de trabalho será usada para calcular os salários devidos. Pagamento semanal. Programa de bônus baseado em produtividade e assiduidade disponível. Trans"&amp;"porte diário fornecido do local de trabalho principal no Condado de Monmouth para vários locais de trabalho nos Condados de Ocean, Monmouth, Middlesex, Mercer, Morris, Essex, Bergen, Sussex, Hudson, Passaic, Somerset e Union, NJ. O empregador fornecerá ao"&amp;" trabalhador, sem custo, todas as ferramentas, suprimentos, equipamentos e uniforme necessários para a execução do trabalho. Classificação da vaga: 37-3011.00 - Trabalhadores de Paisagismo e Manutenção de Áreas Verdes. A classificação e descrição da vaga/"&amp;"setor inclui informações gerais sobre o cargo, conforme o ONET/OES e o Sistema de Classificação Industrial da América do Norte (NAICS). Consulte as Funções e a Ordem de Serviço para obter mais informações. Requisitos da vaga: Experiência exigida: Não. Req"&amp;"uisitos especiais: É necessário passar por verificação de antecedentes criminais e exame toxicológico após a contratação. Os custos são pagos pelo empregador e aplicados igualmente a todos os trabalhadores, americanos e estrangeiros/H-2B. É necessário ser"&amp;" capaz de levantar até 23 kg. É necessário ter disponibilidade para trabalhar 5 dias por semana, incluindo fins de semana e feriados, conforme necessário. Os candidatos devem preencher uma ficha de inscrição. Número de horas por semana: 40. Horário de tra"&amp;"balho (início/término): 7h30 às 16h30.")</f>
        <v>Realizar a manutenção paisagística ou de terrenos utilizando ferramentas manuais ou elétricas. Colocar grama, cortar a relva, aparar/cortar as bordas, plantar, capinar, regar, rastelar, varrer folhas; usar uma pá para cavar buracos para o plantio de plantas, árvores, arbustos ou sistemas de irrigação, com até 60 cm de profundidade e 90 cm de largura. Espalhar sementes, fertilizantes e cobertura morta; trabalhar no solo para podar ou aparar árvores, arbustos ou sebes utilizando tesouras de poda, podadores ou motosserras; aerar o solo; instalar/reparar sistemas de irrigação; instalar blocos de concreto pré-moldado sem argamassa. Manter os equipamentos em bom funcionamento. Pode dirigir caminhão da empresa ou outro veículo para transportar equipes de trabalho, plantas, materiais e ferramentas de/para os locais de trabalho. Mínimo de 35 horas semanais, podendo chegar a 40 horas semanais. Dias normais de trabalho: segunda a sexta-feira, das 7h30 às 16h30, com uma hora de almoço não remunerada. Os dias e horários de trabalho podem variar conforme as condições climáticas. Trabalho aos sábados conforme necessário. $23,31/hora. O empregador poderá aumentar o salário com base na experiência, nas mudanças nas condições de mercado e/ou oferecer remuneração adicional por desempenho e tempo de serviço. Será pago adicional por horas extras quando exigido por lei federal, estadual ou local, incluindo hora e meia após 40 horas semanais. Geralmente, quando houver horas extras disponíveis, elas serão pagas a $34,97 por hora, com base na localidade onde o trabalho é realizado e na taxa horária base oferecida. Uma única semana de trabalho será usada para calcular os salários devidos. Pagamento semanal. Programa de bônus baseado em produtividade e assiduidade disponível. Transporte diário fornecido do local de trabalho principal no Condado de Monmouth para vários locais de trabalho nos Condados de Ocean, Monmouth, Middlesex, Mercer, Morris, Essex, Bergen, Sussex, Hudson, Passaic, Somerset e Union, NJ. O empregador fornecerá ao trabalhador, sem custo, todas as ferramentas, suprimentos, equipamentos e uniforme necessários para a execução do trabalho. Classificação da vaga: 37-3011.00 - Trabalhadores de Paisagismo e Manutenção de Áreas Verdes. A classificação e descrição da vaga/setor inclui informações gerais sobre o cargo, conforme o ONET/OES e o Sistema de Classificação Industrial da América do Norte (NAICS). Consulte as Funções e a Ordem de Serviço para obter mais informações. Requisitos da vaga: Experiência exigida: Não. Requisitos especiais: É necessário passar por verificação de antecedentes criminais e exame toxicológico após a contratação. Os custos são pagos pelo empregador e aplicados igualmente a todos os trabalhadores, americanos e estrangeiros/H-2B. É necessário ser capaz de levantar até 23 kg. É necessário ter disponibilidade para trabalhar 5 dias por semana, incluindo fins de semana e feriados, conforme necessário. Os candidatos devem preencher uma ficha de inscrição. Número de horas por semana: 40. Horário de trabalho (início/término): 7h30 às 16h30.</v>
      </c>
    </row>
    <row r="1017" ht="20.25" customHeight="1">
      <c r="A1017" s="8" t="s">
        <v>4733</v>
      </c>
      <c r="B1017" s="8" t="s">
        <v>4734</v>
      </c>
      <c r="C1017" s="8" t="s">
        <v>3937</v>
      </c>
      <c r="D1017" s="8" t="s">
        <v>249</v>
      </c>
      <c r="E1017" s="9" t="s">
        <v>44</v>
      </c>
      <c r="F1017" s="9" t="s">
        <v>20</v>
      </c>
      <c r="G1017" s="9" t="s">
        <v>229</v>
      </c>
      <c r="H1017" s="8" t="s">
        <v>4735</v>
      </c>
      <c r="I1017" s="8" t="s">
        <v>4736</v>
      </c>
      <c r="J1017" s="9">
        <v>18.91</v>
      </c>
      <c r="K1017" s="9">
        <v>11.0</v>
      </c>
      <c r="L1017" s="8" t="s">
        <v>59</v>
      </c>
      <c r="M1017" s="8" t="s">
        <v>4737</v>
      </c>
      <c r="N1017" s="7" t="str">
        <f>IFERROR(__xludf.DUMMYFUNCTION("GOOGLETRANSLATE(L1017, ""en"", ""pt"")"),"Trabalhador de paisagismo")</f>
        <v>Trabalhador de paisagismo</v>
      </c>
      <c r="O1017" s="7" t="str">
        <f>IFERROR(__xludf.DUMMYFUNCTION("IF(M1017="""","""",GOOGLETRANSLATE(M1017,""en"",""pt""))"),"Paisagismo e manutenção de terrenos utilizando ferramentas manuais ou elétricas. Os trabalhadores geralmente executam uma variedade de tarefas, que podem incluir qualquer combinação das seguintes: colocação de grama, corte de grama, poda, plantio, rega, f"&amp;"ertilização, escavação, rastelagem, instalação de aspersores e instalação de blocos de concreto pré-moldados sem argamassa. Classificação da função: 37-3011.00 - Trabalhadores de Paisagismo e Manutenção de Terrenos. A classificação e descrição da função/s"&amp;"etor incluem informações gerais sobre o cargo, de acordo com o ONET/OES e o Sistema de Classificação Industrial da América do Norte (NAICS). Consulte as Funções e a Ordem de Serviço para obter mais informações. Requisitos da função: Experiência necessária"&amp;": Não. Requisitos especiais: CAPACIDADE DE LEVANTAR E CARREGAR 23 KG. DISPONIBILIDADE PARA HORAS EXTRAS E TRABALHO AOS FINS DE SEMANA. Horário variável; turno de 8 horas. Número de horas por semana: 40. Horário de trabalho (início/término): 7h30 às 16h.")</f>
        <v>Paisagismo e manutenção de terrenos utilizando ferramentas manuais ou elétricas. Os trabalhadores geralmente executam uma variedade de tarefas, que podem incluir qualquer combinação das seguintes: colocação de grama, corte de grama, poda, plantio, rega, fertilização, escavação, rastelagem, instalação de aspersores e instalação de blocos de concreto pré-moldados sem argamassa. Classificação da função: 37-3011.00 - Trabalhadores de Paisagismo e Manutenção de Terrenos. A classificação e descrição da função/setor incluem informações gerais sobre o cargo, de acordo com o ONET/OES e o Sistema de Classificação Industrial da América do Norte (NAICS). Consulte as Funções e a Ordem de Serviço para obter mais informações. Requisitos da função: Experiência necessária: Não. Requisitos especiais: CAPACIDADE DE LEVANTAR E CARREGAR 23 KG. DISPONIBILIDADE PARA HORAS EXTRAS E TRABALHO AOS FINS DE SEMANA. Horário variável; turno de 8 horas. Número de horas por semana: 40. Horário de trabalho (início/término): 7h30 às 16h.</v>
      </c>
    </row>
    <row r="1018" ht="20.25" customHeight="1">
      <c r="A1018" s="3" t="s">
        <v>4738</v>
      </c>
      <c r="B1018" s="3" t="s">
        <v>4739</v>
      </c>
      <c r="C1018" s="3"/>
      <c r="D1018" s="3" t="s">
        <v>109</v>
      </c>
      <c r="E1018" s="4" t="s">
        <v>19</v>
      </c>
      <c r="F1018" s="4" t="s">
        <v>20</v>
      </c>
      <c r="G1018" s="4" t="s">
        <v>72</v>
      </c>
      <c r="H1018" s="10" t="s">
        <v>4740</v>
      </c>
      <c r="I1018" s="3" t="s">
        <v>4741</v>
      </c>
      <c r="J1018" s="4">
        <v>29.7</v>
      </c>
      <c r="K1018" s="4">
        <v>2.0</v>
      </c>
      <c r="L1018" s="3" t="s">
        <v>4742</v>
      </c>
      <c r="M1018" s="3" t="s">
        <v>4743</v>
      </c>
      <c r="N1018" s="7" t="str">
        <f>IFERROR(__xludf.DUMMYFUNCTION("GOOGLETRANSLATE(L1018, ""en"", ""pt"")"),"Motorista de caminhão trator")</f>
        <v>Motorista de caminhão trator</v>
      </c>
      <c r="O1018" s="7" t="str">
        <f>IFERROR(__xludf.DUMMYFUNCTION("IF(M1018="""","""",GOOGLETRANSLATE(M1018,""en"",""pt""))"),"O motorista deverá conduzir um caminhão articulado ou um caminhão com capacidade de carga bruta de pelo menos 26.000 libras (aproximadamente 11.800 kg), podendo ser necessário descarregar o veículo. É necessário possuir carteira de habilitação comercial. "&amp;"O trabalho consiste no transporte de materiais sazonais, como cobertura vegetal, folhas trituradas, galhos, composto orgânico, terra vegetal, lenha e outros produtos para paisagismo para nossos clientes e fornecedores. O candidato deve ser capaz de subir "&amp;"na carroceria do caminhão para cobrir manualmente a carga com lona e remover qualquer lixo ou detritos não orgânicos. É imprescindível possuir carteira de habilitação comercial válida e um histórico de direção limpo. É necessário comprovar 36 meses de exp"&amp;"eriência como motorista de caminhão articulado em empregos anteriores. O empregador custeará a verificação de antecedentes criminais e o exame toxicológico antes da contratação. O trabalho exige atividades físicas como levantar, equilibrar-se, caminhar, a"&amp;"gachar-se, manusear objetos, movimentar e manipular materiais, utilizando força estática para exercer força muscular máxima para levantar, empurrar, puxar e carregar objetos de até 75 libras (aproximadamente 34 kg). Todos os candidatos devem estar aptos, "&amp;"dispostos e qualificados para realizar o trabalho descrito, além de terem disponibilidade para trabalhar durante todo o período especificado e em todas as áreas da empresa. Trabalho aos sábados e domingos, quando necessário. Classificação da vaga: 53-3032"&amp;".00 - Motoristas de Caminhão Pesado e Carreta. A classificação e descrição da vaga/setor incluem informações gerais sobre o cargo, de acordo com o ONET/OES e o Sistema de Classificação Industrial da América do Norte (NAICS). Consulte as atribuições e a or"&amp;"dem de serviço para obter mais informações. Requisitos da vaga: Experiência exigida: Sim. Meses de experiência exigidos: 36. Requisitos especiais: Carteira Nacional de Habilitação (CNH) categoria C ou superior. O empregador arcará com os custos do exame t"&amp;"oxicológico e da verificação de antecedentes criminais antes da contratação. Número de horas por semana: 40. Horário de trabalho (início/término): 5h às 14h30.")</f>
        <v>O motorista deverá conduzir um caminhão articulado ou um caminhão com capacidade de carga bruta de pelo menos 26.000 libras (aproximadamente 11.800 kg), podendo ser necessário descarregar o veículo. É necessário possuir carteira de habilitação comercial. O trabalho consiste no transporte de materiais sazonais, como cobertura vegetal, folhas trituradas, galhos, composto orgânico, terra vegetal, lenha e outros produtos para paisagismo para nossos clientes e fornecedores. O candidato deve ser capaz de subir na carroceria do caminhão para cobrir manualmente a carga com lona e remover qualquer lixo ou detritos não orgânicos. É imprescindível possuir carteira de habilitação comercial válida e um histórico de direção limpo. É necessário comprovar 36 meses de experiência como motorista de caminhão articulado em empregos anteriores. O empregador custeará a verificação de antecedentes criminais e o exame toxicológico antes da contratação. O trabalho exige atividades físicas como levantar, equilibrar-se, caminhar, agachar-se, manusear objetos, movimentar e manipular materiais, utilizando força estática para exercer força muscular máxima para levantar, empurrar, puxar e carregar objetos de até 75 libras (aproximadamente 34 kg). Todos os candidatos devem estar aptos, dispostos e qualificados para realizar o trabalho descrito, além de terem disponibilidade para trabalhar durante todo o período especificado e em todas as áreas da empresa. Trabalho aos sábados e domingos, quando necessário. Classificação da vaga: 53-3032.00 - Motoristas de Caminhão Pesado e Carreta. A classificação e descrição da vaga/setor incluem informações gerais sobre o cargo, de acordo com o ONET/OES e o Sistema de Classificação Industrial da América do Norte (NAICS). Consulte as atribuições e a ordem de serviço para obter mais informações. Requisitos da vaga: Experiência exigida: Sim. Meses de experiência exigidos: 36. Requisitos especiais: Carteira Nacional de Habilitação (CNH) categoria C ou superior. O empregador arcará com os custos do exame toxicológico e da verificação de antecedentes criminais antes da contratação. Número de horas por semana: 40. Horário de trabalho (início/término): 5h às 14h30.</v>
      </c>
    </row>
    <row r="1019" ht="20.25" customHeight="1">
      <c r="A1019" s="8" t="s">
        <v>4744</v>
      </c>
      <c r="B1019" s="8" t="s">
        <v>4745</v>
      </c>
      <c r="C1019" s="8" t="s">
        <v>4241</v>
      </c>
      <c r="D1019" s="8" t="s">
        <v>71</v>
      </c>
      <c r="E1019" s="9" t="s">
        <v>19</v>
      </c>
      <c r="F1019" s="9" t="s">
        <v>20</v>
      </c>
      <c r="G1019" s="9" t="s">
        <v>384</v>
      </c>
      <c r="H1019" s="8" t="s">
        <v>4746</v>
      </c>
      <c r="I1019" s="8" t="s">
        <v>4747</v>
      </c>
      <c r="J1019" s="9">
        <v>15.71</v>
      </c>
      <c r="K1019" s="9">
        <v>1.0</v>
      </c>
      <c r="L1019" s="8" t="s">
        <v>4748</v>
      </c>
      <c r="M1019" s="8" t="s">
        <v>4749</v>
      </c>
      <c r="N1019" s="7" t="str">
        <f>IFERROR(__xludf.DUMMYFUNCTION("GOOGLETRANSLATE(L1019, ""en"", ""pt"")"),"Atendente de Café")</f>
        <v>Atendente de Café</v>
      </c>
      <c r="O1019" s="7" t="str">
        <f>IFERROR(__xludf.DUMMYFUNCTION("IF(M1019="""","""",GOOGLETRANSLATE(M1019,""en"",""pt""))"),"Os atendentes do refeitório serão responsáveis ​​por cuidar da cafeteria, garantindo que a área de alimentação esteja limpa e que os alimentos estejam abastecidos e repostos pela cozinha. Os atendentes do refeitório servirão marmitas aos funcionários, tra"&amp;"zidas do food truck. Os atendentes do refeitório devem garantir que os alimentos quentes permaneçam nos aquecedores designados e que os alimentos frios sejam mantidos refrigerados no gelo. Os atendentes do refeitório devem se comunicar com a equipe culiná"&amp;"ria sobre os níveis de alimentos e a reposição dos mesmos no refeitório. O atendente irá repor os alimentos preparados pela equipe culinária, utilizando um carrinho que leva os alimentos da cozinha até o refeitório. Os atendentes do refeitório serão respo"&amp;"nsáveis ​​por preparar o refeitório para o serviço e poderão auxiliar na preparação de outras áreas (salas de jantar, salões de banquetes, áreas para eventos nas casas dos membros, áreas de refeições ao ar livre) para reuniões e eventos, ligando os aquece"&amp;"dores de buffet, abastecendo os refrigeradores de buffet com gelo, ligando as chaleiras de sopa, ligando os aquecedores de pratos, preparando as máquinas de café nos postos de serviço e nas salas de jantar para os convidados, organizando mesas e cadeiras "&amp;"e disponibilizando manteiga, copos, pratos e toalhas de mesa. Os atendentes do café devem garantir que as salas de reunião estejam preparadas antes das reuniões, colocando mesas com comidas e bebidas, café e água, além de pães e biscoitos para o café da m"&amp;"anhã. Os atendentes do café auxiliarão na preparação de refrescos para jogos de cartas (Bridge) duas vezes por semana. Os atendentes do café devem repor o estoque de alimentos, bebidas e utensílios de acordo com os pedidos recebidos. Os atendentes do café"&amp;" devem garantir um ambiente de trabalho limpo, levando a louça suja para a área de lavagem e reabastecendo o café com louça limpa, limpando e desinfetando as pias com spray desinfetante, limpando e desinfetando as mesas e áreas de descanso com spray desin"&amp;"fetante, limpando os recipientes de gelo e os balcões de buffet para remover gelo ou água restantes e levando os sacos de lixo para a lixeira externa. Horário: 40 horas por semana. O horário de trabalho pode variar e incluir turnos noturnos, fins de seman"&amp;"a e feriados. O trabalho pode ser realizado em qualquer dia da semana, de segunda a domingo. Exemplos de turnos: 6h às 14h ou 8h às 16h. Os horários dos turnos podem variar. Consulte a descrição de cargo anexa para obter mais informações. Classificação do"&amp;" Cargo: 35-9011.00 - Atendentes de Salão e Cafeteria e Auxiliares de Bar. A classificação e descrição do cargo/setor incluem informações gerais sobre a posição, de acordo com o ONET/OES e o Sistema de Classificação Industrial da América do Norte (NAICS). "&amp;"Consulte as Funções e a Ordem de Serviço para obter mais informações. Requisitos do Cargo Experiência Necessária: Sim Meses de Experiência Necessários: 3 Requisitos Especiais: O contratante considerará para emprego qualquer pessoa que possua pelo menos tr"&amp;"ês (3) meses de experiência em um ambiente de alta gastronomia ou de grande movimento em um restaurante sofisticado, resort ou clube privado. O candidato deverá se submeter à verificação de antecedentes e ao exame toxicológico pré-admissional, às custas d"&amp;"o empregador. Número de Horas por Semana: 40 Horário de Trabalho (Início/Término): 6h00 - 14h00")</f>
        <v>Os atendentes do refeitório serão responsáveis ​​por cuidar da cafeteria, garantindo que a área de alimentação esteja limpa e que os alimentos estejam abastecidos e repostos pela cozinha. Os atendentes do refeitório servirão marmitas aos funcionários, trazidas do food truck. Os atendentes do refeitório devem garantir que os alimentos quentes permaneçam nos aquecedores designados e que os alimentos frios sejam mantidos refrigerados no gelo. Os atendentes do refeitório devem se comunicar com a equipe culinária sobre os níveis de alimentos e a reposição dos mesmos no refeitório. O atendente irá repor os alimentos preparados pela equipe culinária, utilizando um carrinho que leva os alimentos da cozinha até o refeitório. Os atendentes do refeitório serão responsáveis ​​por preparar o refeitório para o serviço e poderão auxiliar na preparação de outras áreas (salas de jantar, salões de banquetes, áreas para eventos nas casas dos membros, áreas de refeições ao ar livre) para reuniões e eventos, ligando os aquecedores de buffet, abastecendo os refrigeradores de buffet com gelo, ligando as chaleiras de sopa, ligando os aquecedores de pratos, preparando as máquinas de café nos postos de serviço e nas salas de jantar para os convidados, organizando mesas e cadeiras e disponibilizando manteiga, copos, pratos e toalhas de mesa. Os atendentes do café devem garantir que as salas de reunião estejam preparadas antes das reuniões, colocando mesas com comidas e bebidas, café e água, além de pães e biscoitos para o café da manhã. Os atendentes do café auxiliarão na preparação de refrescos para jogos de cartas (Bridge) duas vezes por semana. Os atendentes do café devem repor o estoque de alimentos, bebidas e utensílios de acordo com os pedidos recebidos. Os atendentes do café devem garantir um ambiente de trabalho limpo, levando a louça suja para a área de lavagem e reabastecendo o café com louça limpa, limpando e desinfetando as pias com spray desinfetante, limpando e desinfetando as mesas e áreas de descanso com spray desinfetante, limpando os recipientes de gelo e os balcões de buffet para remover gelo ou água restantes e levando os sacos de lixo para a lixeira externa. Horário: 40 horas por semana. O horário de trabalho pode variar e incluir turnos noturnos, fins de semana e feriados. O trabalho pode ser realizado em qualquer dia da semana, de segunda a domingo. Exemplos de turnos: 6h às 14h ou 8h às 16h. Os horários dos turnos podem variar. Consulte a descrição de cargo anexa para obter mais informações. Classificação do Cargo: 35-9011.00 - Atendentes de Salão e Cafeteria e Auxiliares de Bar. A classificação e descrição do cargo/setor incluem informações gerais sobre a posição, de acordo com o ONET/OES e o Sistema de Classificação Industrial da América do Norte (NAICS). Consulte as Funções e a Ordem de Serviço para obter mais informações. Requisitos do Cargo Experiência Necessária: Sim Meses de Experiência Necessários: 3 Requisitos Especiais: O contratante considerará para emprego qualquer pessoa que possua pelo menos três (3) meses de experiência em um ambiente de alta gastronomia ou de grande movimento em um restaurante sofisticado, resort ou clube privado. O candidato deverá se submeter à verificação de antecedentes e ao exame toxicológico pré-admissional, às custas do empregador. Número de Horas por Semana: 40 Horário de Trabalho (Início/Término): 6h00 - 14h00</v>
      </c>
    </row>
    <row r="1020" ht="20.25" customHeight="1">
      <c r="A1020" s="3" t="s">
        <v>4750</v>
      </c>
      <c r="B1020" s="3" t="s">
        <v>4745</v>
      </c>
      <c r="C1020" s="3" t="s">
        <v>4241</v>
      </c>
      <c r="D1020" s="3" t="s">
        <v>71</v>
      </c>
      <c r="E1020" s="4" t="s">
        <v>44</v>
      </c>
      <c r="F1020" s="4" t="s">
        <v>20</v>
      </c>
      <c r="G1020" s="4" t="s">
        <v>384</v>
      </c>
      <c r="H1020" s="3" t="s">
        <v>4746</v>
      </c>
      <c r="I1020" s="3" t="s">
        <v>4747</v>
      </c>
      <c r="J1020" s="4">
        <v>16.0</v>
      </c>
      <c r="K1020" s="4">
        <v>10.0</v>
      </c>
      <c r="L1020" s="3" t="s">
        <v>3440</v>
      </c>
      <c r="M1020" s="3" t="s">
        <v>4751</v>
      </c>
      <c r="N1020" s="7" t="str">
        <f>IFERROR(__xludf.DUMMYFUNCTION("GOOGLETRANSLATE(L1020, ""en"", ""pt"")"),"Auxiliar de Garçom/Entregador de Comida")</f>
        <v>Auxiliar de Garçom/Entregador de Comida</v>
      </c>
      <c r="O1020" s="7" t="str">
        <f>IFERROR(__xludf.DUMMYFUNCTION("IF(M1020="""","""",GOOGLETRANSLATE(M1020,""en"",""pt""))"),"Os auxiliares de mesa/entregadores de comida serão responsáveis ​​por preparar as mesas e buffets do salão para o serviço regular, reuniões e eventos, organizando os aquecedores de buffet com os alimentos preparados pela cozinha; ligando as chaleiras de s"&amp;"opa; ligando os aquecedores de pratos; preparando as máquinas de café; arrumando mesas e cadeiras; e disponibilizando manteiga, louças, toalhas de mesa extras e guardanapos. As tarefas de preparação ocorrerão no restaurante do local, em salões de banquete"&amp;"s, em áreas de eventos nas casas dos membros e em uma área de refeições ao ar livre próxima ao food truck. Os auxiliares de mesa/entregadores de comida também prepararão as estações de serviço de alimentos e áreas de bar com gelo e copos, recepcionarão to"&amp;"dos os clientes para repor pão e água em todas as mesas ocupadas e auxiliarão os garçons, retirando os pratos após cada prato e servindo o próximo. Os auxiliares de mesa/entregadores de comida auxiliarão o Chef Executivo/Subchefe na linha de expedição, ab"&amp;"astecendo pratos quentes e frios, organizando utensílios e ferramentas, repondo os itens da linha de expedição e garantindo a disponibilidade de guarnições e condimentos. Os auxiliares de mesa/entregadores de comida devem prestar muita atenção aos detalhe"&amp;"s de todos os pratos servidos, à temperatura adequada e às guarnições de todas as refeições. Os auxiliares de mesa/entregadores de comida realizarão diversas tarefas de limpeza, incluindo transportar pratos sujos do salão para a área de lavagem de louça d"&amp;"a cozinha, limpar e desmontar bandejas de servir comida, colocar copos na lava-louças, limpar e desinfetar mesas e cadeiras entre cada cliente, remover todo o lixo das estações de serviço, limpar e forrar todos os recipientes de lixo e reciclagem e remove"&amp;"r toda a roupa de mesa suja para levar ao local designado. Os auxiliares de mesa/entregadores de comida também realizarão outras tarefas de limpeza, como varrer e passar pano nas áreas das estações de serviço, carpetes e pisos durante o serviço de jantar."&amp;" É necessário ter capacidade para levantar e/ou mover regularmente até 11 kg e ocasionalmente levantar e/ou mover até 45 kg. Horário: 40 horas por semana. O horário de trabalho pode variar e incluir noites, fins de semana e feriados. O trabalho pode ser r"&amp;"ealizado em qualquer dia da semana, de segunda a domingo. Exemplos de turnos: 6h às 14h ou 8h às 16h. Os horários dos turnos podem variar. Consulte a descrição do cargo em anexo para obter mais informações. Classificação do Cargo: 35-9011.00 - Atendentes "&amp;"de Salão e Cafeteria e Auxiliares de Bar. A classificação e descrição do cargo/setor incluem informações gerais sobre a posição, de acordo com o ONET/OES e o Sistema de Classificação Industrial da América do Norte (NAICS). Consulte as Funções e a Ordem de"&amp;" Serviço para obter mais informações. Requisitos do Cargo Experiência Necessária: Sim Meses de Experiência Necessários: 3 Requisitos Especiais: O contratante considerará para emprego qualquer pessoa que possua pelo menos três (3) meses de experiência em u"&amp;"m ambiente de alta gastronomia ou de grande movimento em um restaurante de alto padrão, resort ou clube privado. O candidato deve se submeter à verificação de antecedentes e ao exame toxicológico pré-emprego, às custas do empregador. Número de Horas por S"&amp;"emana: 40 Horário de Trabalho (Início/Término): 6h - 14h00")</f>
        <v>Os auxiliares de mesa/entregadores de comida serão responsáveis ​​por preparar as mesas e buffets do salão para o serviço regular, reuniões e eventos, organizando os aquecedores de buffet com os alimentos preparados pela cozinha; ligando as chaleiras de sopa; ligando os aquecedores de pratos; preparando as máquinas de café; arrumando mesas e cadeiras; e disponibilizando manteiga, louças, toalhas de mesa extras e guardanapos. As tarefas de preparação ocorrerão no restaurante do local, em salões de banquetes, em áreas de eventos nas casas dos membros e em uma área de refeições ao ar livre próxima ao food truck. Os auxiliares de mesa/entregadores de comida também prepararão as estações de serviço de alimentos e áreas de bar com gelo e copos, recepcionarão todos os clientes para repor pão e água em todas as mesas ocupadas e auxiliarão os garçons, retirando os pratos após cada prato e servindo o próximo. Os auxiliares de mesa/entregadores de comida auxiliarão o Chef Executivo/Subchefe na linha de expedição, abastecendo pratos quentes e frios, organizando utensílios e ferramentas, repondo os itens da linha de expedição e garantindo a disponibilidade de guarnições e condimentos. Os auxiliares de mesa/entregadores de comida devem prestar muita atenção aos detalhes de todos os pratos servidos, à temperatura adequada e às guarnições de todas as refeições. Os auxiliares de mesa/entregadores de comida realizarão diversas tarefas de limpeza, incluindo transportar pratos sujos do salão para a área de lavagem de louça da cozinha, limpar e desmontar bandejas de servir comida, colocar copos na lava-louças, limpar e desinfetar mesas e cadeiras entre cada cliente, remover todo o lixo das estações de serviço, limpar e forrar todos os recipientes de lixo e reciclagem e remover toda a roupa de mesa suja para levar ao local designado. Os auxiliares de mesa/entregadores de comida também realizarão outras tarefas de limpeza, como varrer e passar pano nas áreas das estações de serviço, carpetes e pisos durante o serviço de jantar. É necessário ter capacidade para levantar e/ou mover regularmente até 11 kg e ocasionalmente levantar e/ou mover até 45 kg. Horário: 40 horas por semana. O horário de trabalho pode variar e incluir noites, fins de semana e feriados. O trabalho pode ser realizado em qualquer dia da semana, de segunda a domingo. Exemplos de turnos: 6h às 14h ou 8h às 16h. Os horários dos turnos podem variar. Consulte a descrição do cargo em anexo para obter mais informações. Classificação do Cargo: 35-9011.00 - Atendentes de Salão e Cafeteria e Auxiliares de Bar. A classificação e descrição do cargo/setor incluem informações gerais sobre a posição, de acordo com o ONET/OES e o Sistema de Classificação Industrial da América do Norte (NAICS). Consulte as Funções e a Ordem de Serviço para obter mais informações. Requisitos do Cargo Experiência Necessária: Sim Meses de Experiência Necessários: 3 Requisitos Especiais: O contratante considerará para emprego qualquer pessoa que possua pelo menos três (3) meses de experiência em um ambiente de alta gastronomia ou de grande movimento em um restaurante de alto padrão, resort ou clube privado. O candidato deve se submeter à verificação de antecedentes e ao exame toxicológico pré-emprego, às custas do empregador. Número de Horas por Semana: 40 Horário de Trabalho (Início/Término): 6h - 14h00</v>
      </c>
    </row>
    <row r="1021" ht="20.25" customHeight="1">
      <c r="A1021" s="8" t="s">
        <v>4752</v>
      </c>
      <c r="B1021" s="8" t="s">
        <v>4753</v>
      </c>
      <c r="C1021" s="8" t="s">
        <v>4241</v>
      </c>
      <c r="D1021" s="8" t="s">
        <v>71</v>
      </c>
      <c r="E1021" s="9" t="s">
        <v>19</v>
      </c>
      <c r="F1021" s="9" t="s">
        <v>20</v>
      </c>
      <c r="G1021" s="9" t="s">
        <v>345</v>
      </c>
      <c r="H1021" s="8" t="s">
        <v>4754</v>
      </c>
      <c r="I1021" s="8" t="s">
        <v>4755</v>
      </c>
      <c r="J1021" s="9">
        <v>18.0</v>
      </c>
      <c r="K1021" s="9">
        <v>4.0</v>
      </c>
      <c r="L1021" s="8" t="s">
        <v>586</v>
      </c>
      <c r="M1021" s="8" t="s">
        <v>4756</v>
      </c>
      <c r="N1021" s="7" t="str">
        <f>IFERROR(__xludf.DUMMYFUNCTION("GOOGLETRANSLATE(L1021, ""en"", ""pt"")"),"Cozinheiro de linha")</f>
        <v>Cozinheiro de linha</v>
      </c>
      <c r="O1021" s="7" t="str">
        <f>IFERROR(__xludf.DUMMYFUNCTION("IF(M1021="""","""",GOOGLETRANSLATE(M1021,""en"",""pt""))"),"Os cozinheiros de linha serão responsáveis ​​por preparar, temperar e cozinhar sopas, carnes, legumes, sobremesas e outros itens alimentícios, além de realizar tarefas leves de lavagem de louça e serviços gerais em um restaurante. Horário: 35 horas semana"&amp;"is. O horário de trabalho pode variar e incluir turnos noturnos, fins de semana e feriados. O trabalho pode ser realizado em qualquer dia da semana, de segunda a domingo. Exemplos de turnos: das 10h às 17h ou das 13h às 20h. Os horários dos turnos podem v"&amp;"ariar. Consulte a descrição do cargo em anexo para obter mais informações. Classificação do Cargo: 35-2014.00 - Cozinheiros, Restaurante. A classificação e descrição do cargo/setor incluem informações gerais sobre a posição, de acordo com o ONET/OES e o S"&amp;"istema de Classificação Industrial da América do Norte (NAICS). Consulte as Funções e a Ordem de Serviço para obter mais informações. Requisitos da vaga Experiência necessária: Sim Meses de experiência necessários: 12 Requisitos especiais: O contratante c"&amp;"onsiderará para emprego qualquer pessoa que possua pelo menos um (1) ano de experiência culinária em um ambiente de alta gastronomia ou de grande movimento em um restaurante sofisticado, resort ou clube privado. O candidato deverá se submeter a uma verifi"&amp;"cação de antecedentes pré-emprego, às custas do empregador. Número de horas por semana: 35 Horário de trabalho (início/término): 10h00 - 17h00")</f>
        <v>Os cozinheiros de linha serão responsáveis ​​por preparar, temperar e cozinhar sopas, carnes, legumes, sobremesas e outros itens alimentícios, além de realizar tarefas leves de lavagem de louça e serviços gerais em um restaurante. Horário: 35 horas semanais. O horário de trabalho pode variar e incluir turnos noturnos, fins de semana e feriados. O trabalho pode ser realizado em qualquer dia da semana, de segunda a domingo. Exemplos de turnos: das 10h às 17h ou das 13h às 20h. Os horários dos turnos podem variar. Consulte a descrição do cargo em anexo para obter mais informações. Classificação do Cargo: 35-2014.00 - Cozinheiros, Restaurante. A classificação e descrição do cargo/setor incluem informações gerais sobre a posição, de acordo com o ONET/OES e o Sistema de Classificação Industrial da América do Norte (NAICS). Consulte as Funções e a Ordem de Serviço para obter mais informações. Requisitos da vaga Experiência necessária: Sim Meses de experiência necessários: 12 Requisitos especiais: O contratante considerará para emprego qualquer pessoa que possua pelo menos um (1) ano de experiência culinária em um ambiente de alta gastronomia ou de grande movimento em um restaurante sofisticado, resort ou clube privado. O candidato deverá se submeter a uma verificação de antecedentes pré-emprego, às custas do empregador. Número de horas por semana: 35 Horário de trabalho (início/término): 10h00 - 17h00</v>
      </c>
    </row>
    <row r="1022" ht="20.25" customHeight="1">
      <c r="A1022" s="3" t="s">
        <v>4757</v>
      </c>
      <c r="B1022" s="3" t="s">
        <v>4753</v>
      </c>
      <c r="C1022" s="3" t="s">
        <v>4241</v>
      </c>
      <c r="D1022" s="3" t="s">
        <v>71</v>
      </c>
      <c r="E1022" s="4" t="s">
        <v>19</v>
      </c>
      <c r="F1022" s="4" t="s">
        <v>20</v>
      </c>
      <c r="G1022" s="4" t="s">
        <v>345</v>
      </c>
      <c r="H1022" s="3" t="s">
        <v>4754</v>
      </c>
      <c r="I1022" s="3" t="s">
        <v>4755</v>
      </c>
      <c r="J1022" s="4">
        <v>19.39</v>
      </c>
      <c r="K1022" s="4">
        <v>6.0</v>
      </c>
      <c r="L1022" s="3" t="s">
        <v>1206</v>
      </c>
      <c r="M1022" s="3" t="s">
        <v>4758</v>
      </c>
      <c r="N1022" s="7" t="str">
        <f>IFERROR(__xludf.DUMMYFUNCTION("GOOGLETRANSLATE(L1022, ""en"", ""pt"")"),"Servidor")</f>
        <v>Servidor</v>
      </c>
      <c r="O1022" s="7" t="str">
        <f>IFERROR(__xludf.DUMMYFUNCTION("IF(M1022="""","""",GOOGLETRANSLATE(M1022,""en"",""pt""))"),"Os garçons serão responsáveis ​​por preparar o restaurante, anotar e registrar os pedidos dos clientes, transportar bandejas e pratos, servir comidas e bebidas, preparar e servir bebidas alcoólicas e não alcoólicas, levar os pedidos até a cozinha, agiliza"&amp;"r os pedidos dos clientes e limpar e desocupar as mesas. Horário: 35 horas semanais. A escala de trabalho pode variar e incluir turnos noturnos, fins de semana e feriados. O trabalho pode ser realizado em qualquer dia da semana, de segunda a domingo. Exem"&amp;"plos de turnos: das 11h às 18h ou das 14h às 21h. Os horários dos turnos podem variar. Consulte a descrição da vaga em anexo para obter mais informações. Classificação da vaga: 35-3011.00 - Bartenders. A classificação e descrição da vaga/setor incluem inf"&amp;"ormações gerais sobre o cargo, de acordo com o ONET/OES e o Sistema de Classificação Industrial da América do Norte (NAICS). Consulte as Funções e a Ordem de Serviço para obter mais informações. Requisitos da vaga Experiência necessária: Sim Meses de expe"&amp;"riência necessários: 6 Requisitos especiais: O contratante considerará para emprego qualquer pessoa que possua pelo menos seis (6) meses de experiência em atendimento ao público em um ambiente de alta gastronomia ou de grande movimento, em um restaurante "&amp;"sofisticado, resort ou clube privado. O candidato deverá se submeter a uma verificação de antecedentes pré-admissional, custeada pelo empregador. Número de horas por semana: 35 Horário de trabalho (início/término): 11h00 - 18h00")</f>
        <v>Os garçons serão responsáveis ​​por preparar o restaurante, anotar e registrar os pedidos dos clientes, transportar bandejas e pratos, servir comidas e bebidas, preparar e servir bebidas alcoólicas e não alcoólicas, levar os pedidos até a cozinha, agilizar os pedidos dos clientes e limpar e desocupar as mesas. Horário: 35 horas semanais. A escala de trabalho pode variar e incluir turnos noturnos, fins de semana e feriados. O trabalho pode ser realizado em qualquer dia da semana, de segunda a domingo. Exemplos de turnos: das 11h às 18h ou das 14h às 21h. Os horários dos turnos podem variar. Consulte a descrição da vaga em anexo para obter mais informações. Classificação da vaga: 35-3011.00 - Bartenders. A classificação e descrição da vaga/setor incluem informações gerais sobre o cargo, de acordo com o ONET/OES e o Sistema de Classificação Industrial da América do Norte (NAICS). Consulte as Funções e a Ordem de Serviço para obter mais informações. Requisitos da vaga Experiência necessária: Sim Meses de experiência necessários: 6 Requisitos especiais: O contratante considerará para emprego qualquer pessoa que possua pelo menos seis (6) meses de experiência em atendimento ao público em um ambiente de alta gastronomia ou de grande movimento, em um restaurante sofisticado, resort ou clube privado. O candidato deverá se submeter a uma verificação de antecedentes pré-admissional, custeada pelo empregador. Número de horas por semana: 35 Horário de trabalho (início/término): 11h00 - 18h00</v>
      </c>
    </row>
    <row r="1023" ht="20.25" customHeight="1">
      <c r="A1023" s="8" t="s">
        <v>4759</v>
      </c>
      <c r="B1023" s="8" t="s">
        <v>4760</v>
      </c>
      <c r="C1023" s="8" t="s">
        <v>391</v>
      </c>
      <c r="D1023" s="8" t="s">
        <v>186</v>
      </c>
      <c r="E1023" s="9" t="s">
        <v>44</v>
      </c>
      <c r="F1023" s="9" t="s">
        <v>20</v>
      </c>
      <c r="G1023" s="9" t="s">
        <v>236</v>
      </c>
      <c r="H1023" s="8" t="s">
        <v>4761</v>
      </c>
      <c r="I1023" s="8" t="s">
        <v>4762</v>
      </c>
      <c r="J1023" s="9">
        <v>21.18</v>
      </c>
      <c r="K1023" s="9">
        <v>5.0</v>
      </c>
      <c r="L1023" s="8" t="s">
        <v>59</v>
      </c>
      <c r="M1023" s="8" t="s">
        <v>4763</v>
      </c>
      <c r="N1023" s="7" t="str">
        <f>IFERROR(__xludf.DUMMYFUNCTION("GOOGLETRANSLATE(L1023, ""en"", ""pt"")"),"Trabalhador de paisagismo")</f>
        <v>Trabalhador de paisagismo</v>
      </c>
      <c r="O1023" s="7" t="str">
        <f>IFERROR(__xludf.DUMMYFUNCTION("IF(M1023="""","""",GOOGLETRANSLATE(M1023,""en"",""pt""))"),"Paisagismo ou manutenção de terrenos utilizando ferramentas manuais ou elétricas. Colocação de grama, corte de grama, aparo/acabamento de bordas, plantio, capina, rega, rastelamento, varrição de folhas; uso de pá manual para cavar buracos para instalação "&amp;"de plantas, árvores, arbustos ou sistemas de irrigação, com até 60 cm de profundidade e 90 cm de largura. Espalhamento de sementes, fertilizantes e cobertura morta; trabalho no solo para podar ou aparar árvores, arbustos ou sebes utilizando tesouras de po"&amp;"da, podadores ou motosserras; aeração do solo; instalação/reparo de sprinklers, instalação de blocos de concreto pré-moldados sem argamassa. Manutenção dos equipamentos para garantir o funcionamento adequado. Atividades auxiliares: Pode dirigir caminhão o"&amp;"u outro veículo para transportar plantas, materiais e ferramentas de/para os locais de trabalho. Mínimo de 35 horas semanais, podendo chegar a 40 horas semanais. Dias normais de trabalho: segunda a sexta-feira, das 6h às 15h, com uma hora de almoço não re"&amp;"munerada. Os dias e horários de trabalho podem variar conforme as condições climáticas. Trabalho aos sábados conforme necessário. $21,18/hora. O empregador poderá aumentar o salário com base na experiência, mudanças nas condições de mercado e/ou fornecer "&amp;"remuneração adicional por desempenho e tempo de serviço. Será pago adicional por horas extras quando exigido por lei federal, estadual ou local, incluindo hora e meia após 40 horas semanais. Geralmente, quando houver horas extras disponíveis, elas serão p"&amp;"agas a $31,77/hora, com base na localidade onde o trabalho é realizado e na taxa horária base oferecida. Uma única semana de trabalho será usada para calcular os salários devidos. Pagamento semanal. Programa de bônus baseado em produção e assiduidade disp"&amp;"onível. O empregador fornecerá ao trabalhador, sem custo, todas as ferramentas, suprimentos, equipamentos e uniforme necessários para a execução do trabalho. Transporte diário fornecido do local de trabalho principal no Condado de Loudoun, Virgínia, para "&amp;"vários locais de trabalho nos Condados de Loudoun, Arlington, Clarke, Culpeper, Fauquier, Prince William, Stafford, Warren, Alexandria, Fredericksburg, Manassas e Fairfax, Virgínia. Condados de Frederick, Prince George's e Montgomery, MD; e Condado de Was"&amp;"hington, DC. Classificação da vaga: 37-3011.00 - Trabalhadores de Paisagismo e Manutenção de Jardins. A classificação e descrição da vaga/setor inclui informações gerais sobre o cargo, de acordo com o ONET/OES e o Sistema de Classificação Industrial da Am"&amp;"érica do Norte (NAICS). Consulte as Funções e a Ordem de Serviço para obter mais informações. Requisitos da vaga: Experiência exigida: Não. Requisitos especiais: É necessário passar por verificação de antecedentes criminais e exame toxicológico após a con"&amp;"tratação, com os custos pagos pelo empregador e aplicados igualmente a todos os trabalhadores, americanos e estrangeiros/H-2B. É necessário ser capaz de levantar 23 kg. É necessário ter disponibilidade para trabalhar 5 dias por semana, incluindo fins de s"&amp;"emana e feriados, conforme necessário. Os candidatos devem preencher uma ficha de inscrição. Número de horas por semana: 40. Horário de trabalho (início/término): 6h às 15h.")</f>
        <v>Paisagismo ou manutenção de terrenos utilizando ferramentas manuais ou elétricas. Colocação de grama, corte de grama, aparo/acabamento de bordas, plantio, capina, rega, rastelamento, varrição de folhas; uso de pá manual para cavar buracos para instalação de plantas, árvores, arbustos ou sistemas de irrigação, com até 60 cm de profundidade e 90 cm de largura. Espalhamento de sementes, fertilizantes e cobertura morta; trabalho no solo para podar ou aparar árvores, arbustos ou sebes utilizando tesouras de poda, podadores ou motosserras; aeração do solo; instalação/reparo de sprinklers, instalação de blocos de concreto pré-moldados sem argamassa. Manutenção dos equipamentos para garantir o funcionamento adequado. Atividades auxiliares: Pode dirigir caminhão ou outro veículo para transportar plantas, materiais e ferramentas de/para os locais de trabalho. Mínimo de 35 horas semanais, podendo chegar a 40 horas semanais. Dias normais de trabalho: segunda a sexta-feira, das 6h às 15h, com uma hora de almoço não remunerada. Os dias e horários de trabalho podem variar conforme as condições climáticas. Trabalho aos sábados conforme necessário. $21,18/hora. O empregador poderá aumentar o salário com base na experiência, mudanças nas condições de mercado e/ou fornecer remuneração adicional por desempenho e tempo de serviço. Será pago adicional por horas extras quando exigido por lei federal, estadual ou local, incluindo hora e meia após 40 horas semanais. Geralmente, quando houver horas extras disponíveis, elas serão pagas a $31,77/hora, com base na localidade onde o trabalho é realizado e na taxa horária base oferecida. Uma única semana de trabalho será usada para calcular os salários devidos. Pagamento semanal. Programa de bônus baseado em produção e assiduidade disponível. O empregador fornecerá ao trabalhador, sem custo, todas as ferramentas, suprimentos, equipamentos e uniforme necessários para a execução do trabalho. Transporte diário fornecido do local de trabalho principal no Condado de Loudoun, Virgínia, para vários locais de trabalho nos Condados de Loudoun, Arlington, Clarke, Culpeper, Fauquier, Prince William, Stafford, Warren, Alexandria, Fredericksburg, Manassas e Fairfax, Virgínia. Condados de Frederick, Prince George's e Montgomery, MD; e Condado de Washington, DC. Classificação da vaga: 37-3011.00 - Trabalhadores de Paisagismo e Manutenção de Jardins. A classificação e descrição da vaga/setor inclui informações gerais sobre o cargo, de acordo com o ONET/OES e o Sistema de Classificação Industrial da América do Norte (NAICS). Consulte as Funções e a Ordem de Serviço para obter mais informações. Requisitos da vaga: Experiência exigida: Não. Requisitos especiais: É necessário passar por verificação de antecedentes criminais e exame toxicológico após a contratação, com os custos pagos pelo empregador e aplicados igualmente a todos os trabalhadores, americanos e estrangeiros/H-2B. É necessário ser capaz de levantar 23 kg. É necessário ter disponibilidade para trabalhar 5 dias por semana, incluindo fins de semana e feriados, conforme necessário. Os candidatos devem preencher uma ficha de inscrição. Número de horas por semana: 40. Horário de trabalho (início/término): 6h às 15h.</v>
      </c>
    </row>
    <row r="1024" ht="20.25" customHeight="1">
      <c r="A1024" s="3" t="s">
        <v>4764</v>
      </c>
      <c r="B1024" s="3" t="s">
        <v>4546</v>
      </c>
      <c r="C1024" s="3" t="s">
        <v>4241</v>
      </c>
      <c r="D1024" s="3" t="s">
        <v>4521</v>
      </c>
      <c r="E1024" s="4" t="s">
        <v>19</v>
      </c>
      <c r="F1024" s="4" t="s">
        <v>20</v>
      </c>
      <c r="G1024" s="4" t="s">
        <v>404</v>
      </c>
      <c r="H1024" s="3" t="s">
        <v>4547</v>
      </c>
      <c r="I1024" s="3" t="s">
        <v>4548</v>
      </c>
      <c r="J1024" s="4">
        <v>33.66</v>
      </c>
      <c r="K1024" s="4">
        <v>12.0</v>
      </c>
      <c r="L1024" s="3" t="s">
        <v>4765</v>
      </c>
      <c r="M1024" s="3" t="s">
        <v>4766</v>
      </c>
      <c r="N1024" s="7" t="str">
        <f>IFERROR(__xludf.DUMMYFUNCTION("GOOGLETRANSLATE(L1024, ""en"", ""pt"")"),"Líder da Equipe de Alimentos e Bebidas")</f>
        <v>Líder da Equipe de Alimentos e Bebidas</v>
      </c>
      <c r="O1024" s="7" t="str">
        <f>IFERROR(__xludf.DUMMYFUNCTION("IF(M1024="""","""",GOOGLETRANSLATE(M1024,""en"",""pt""))"),"Os Líderes de Equipe de Alimentos e Bebidas serão responsáveis ​​por supervisionar as operações de alimentos e bebidas nas unidades de negócios do Resort, em cooperação com o gerente, incluindo auxiliar na supervisão e treinamento da equipe. Serão respons"&amp;"áveis ​​por supervisionar e auxiliar na montagem da área de serviço de alimentação, reabastecer os estoques e executar tarefas de preparação e serviço de alimentos quando necessário (incluindo cozinhar, preparar, lavar louça e recepcionar os clientes). Se"&amp;"rão responsáveis ​​pelo transporte de funcionários e suprimentos de e para o local de trabalho, supervisionar a limpeza da área de Alimentos e Bebidas do hotel, abrir e fechar o prédio, coordenar eventos especiais, conduzir reuniões semanais, supervisiona"&amp;"r e coordenar as atividades da equipe e auxiliar no controle de bebidas alcoólicas. Também serão responsáveis ​​por ajudar na manutenção das áreas de serviço externas, docas de carga, entradas do prédio e áreas de descarte de lixo, removendo neve e espalh"&amp;"ando areia/sedimento. Executarão tarefas como desenvolvimento de cardápios, criação de receitas, elaboração de planilhas de preparação, pedidos, controle de estoque, avaliações de desempenho, controle de ponto, folha de pagamento e elaboração de escalas d"&amp;"e trabalho. Os Líderes de Equipe de Alimentos e Bebidas, ocasionalmente, precisarão dirigir veículos e equipamentos da empresa para transportar lixo, alimentos, suprimentos e funcionários para dentro e para fora dos alojamentos localizados na montanha. Po"&amp;"dem supervisionar até vinte e cinco (25) Garçons, Auxiliares de Garçom, Bartenders, Entregadores de Comida, Caixas, Cozinheiros, Atendentes de Áreas Públicas e Auxiliares de Serviços de Alimentação. Os líderes de equipe também recepcionarão e interagirão "&amp;"com nossos hóspedes diariamente e, frequentemente, ao longo do turno, praticando nossos Padrões de Hospitalidade e sendo responsáveis ​​pelo treinamento da equipe nos padrões de serviço estabelecidos. Horário: 35 horas semanais. O horário de trabalho pode"&amp;" variar e incluir turnos noturnos, fins de semana e feriados. O trabalho pode ser realizado em qualquer dia da semana, de segunda a domingo. Exemplos de turnos: 6h às 13h, 9h às 16h e 11h às 18h. Os horários dos turnos podem variar. Consulte a descrição d"&amp;"o cargo em anexo para obter mais informações. Classificação da vaga: 35-1011.00 - Chefs e Cozinheiros Chefes. A classificação e descrição da vaga/setor inclui informações gerais sobre o cargo, de acordo com o ONET/OES e o Sistema de Classificação Industri"&amp;"al da América do Norte. Consulte as Funções e a Ordem de Serviço para obter mais informações. Requisitos da vaga: Experiência exigida: Sim. Meses de experiência exigidos: 12. Requisitos especiais: O contratante considerará para emprego qualquer pessoa que"&amp;" possua pelo menos um (1) ano de experiência em um restaurante de alto padrão ou de grande movimento, resort ou clube privado. O candidato poderá ser obrigado a realizar um teste de COVID-19 pré-admissional, cumprir um período de quarentena e/ou apresenta"&amp;"r comprovante de vacinação contra COVID-19, se exigido pelas diretrizes estaduais, federais ou da empresa no momento da contratação. O candidato deve ser elegível para solicitar uma Carteira de Habilitação dos EUA. Número de horas por semana: 35. Horário "&amp;"de trabalho (início/término): 6h às 13h.")</f>
        <v>Os Líderes de Equipe de Alimentos e Bebidas serão responsáveis ​​por supervisionar as operações de alimentos e bebidas nas unidades de negócios do Resort, em cooperação com o gerente, incluindo auxiliar na supervisão e treinamento da equipe. Serão responsáveis ​​por supervisionar e auxiliar na montagem da área de serviço de alimentação, reabastecer os estoques e executar tarefas de preparação e serviço de alimentos quando necessário (incluindo cozinhar, preparar, lavar louça e recepcionar os clientes). Serão responsáveis ​​pelo transporte de funcionários e suprimentos de e para o local de trabalho, supervisionar a limpeza da área de Alimentos e Bebidas do hotel, abrir e fechar o prédio, coordenar eventos especiais, conduzir reuniões semanais, supervisionar e coordenar as atividades da equipe e auxiliar no controle de bebidas alcoólicas. Também serão responsáveis ​​por ajudar na manutenção das áreas de serviço externas, docas de carga, entradas do prédio e áreas de descarte de lixo, removendo neve e espalhando areia/sedimento. Executarão tarefas como desenvolvimento de cardápios, criação de receitas, elaboração de planilhas de preparação, pedidos, controle de estoque, avaliações de desempenho, controle de ponto, folha de pagamento e elaboração de escalas de trabalho. Os Líderes de Equipe de Alimentos e Bebidas, ocasionalmente, precisarão dirigir veículos e equipamentos da empresa para transportar lixo, alimentos, suprimentos e funcionários para dentro e para fora dos alojamentos localizados na montanha. Podem supervisionar até vinte e cinco (25) Garçons, Auxiliares de Garçom, Bartenders, Entregadores de Comida, Caixas, Cozinheiros, Atendentes de Áreas Públicas e Auxiliares de Serviços de Alimentação. Os líderes de equipe também recepcionarão e interagirão com nossos hóspedes diariamente e, frequentemente, ao longo do turno, praticando nossos Padrões de Hospitalidade e sendo responsáveis ​​pelo treinamento da equipe nos padrões de serviço estabelecidos. Horário: 35 horas semanais. O horário de trabalho pode variar e incluir turnos noturnos, fins de semana e feriados. O trabalho pode ser realizado em qualquer dia da semana, de segunda a domingo. Exemplos de turnos: 6h às 13h, 9h às 16h e 11h às 18h. Os horários dos turnos podem variar. Consulte a descrição do cargo em anexo para obter mais informações. Classificação da vaga: 35-1011.00 - Chefs e Cozinheiros Chefes. A classificação e descrição da vaga/setor inclui informações gerais sobre o cargo, de acordo com o ONET/OES e o Sistema de Classificação Industrial da América do Norte. Consulte as Funções e a Ordem de Serviço para obter mais informações. Requisitos da vaga: Experiência exigida: Sim. Meses de experiência exigidos: 12. Requisitos especiais: O contratante considerará para emprego qualquer pessoa que possua pelo menos um (1) ano de experiência em um restaurante de alto padrão ou de grande movimento, resort ou clube privado. O candidato poderá ser obrigado a realizar um teste de COVID-19 pré-admissional, cumprir um período de quarentena e/ou apresentar comprovante de vacinação contra COVID-19, se exigido pelas diretrizes estaduais, federais ou da empresa no momento da contratação. O candidato deve ser elegível para solicitar uma Carteira de Habilitação dos EUA. Número de horas por semana: 35. Horário de trabalho (início/término): 6h às 13h.</v>
      </c>
    </row>
    <row r="1025" ht="20.25" customHeight="1">
      <c r="A1025" s="8" t="s">
        <v>4767</v>
      </c>
      <c r="B1025" s="8" t="s">
        <v>4546</v>
      </c>
      <c r="C1025" s="8" t="s">
        <v>4241</v>
      </c>
      <c r="D1025" s="8" t="s">
        <v>4521</v>
      </c>
      <c r="E1025" s="9" t="s">
        <v>19</v>
      </c>
      <c r="F1025" s="9" t="s">
        <v>20</v>
      </c>
      <c r="G1025" s="9" t="s">
        <v>404</v>
      </c>
      <c r="H1025" s="8" t="s">
        <v>4547</v>
      </c>
      <c r="I1025" s="8" t="s">
        <v>4548</v>
      </c>
      <c r="J1025" s="9">
        <v>17.55</v>
      </c>
      <c r="K1025" s="9">
        <v>9.0</v>
      </c>
      <c r="L1025" s="8" t="s">
        <v>354</v>
      </c>
      <c r="M1025" s="8" t="s">
        <v>4768</v>
      </c>
      <c r="N1025" s="7" t="str">
        <f>IFERROR(__xludf.DUMMYFUNCTION("GOOGLETRANSLATE(L1025, ""en"", ""pt"")"),"Governanta")</f>
        <v>Governanta</v>
      </c>
      <c r="O1025" s="7" t="str">
        <f>IFERROR(__xludf.DUMMYFUNCTION("IF(M1025="""","""",GOOGLETRANSLATE(M1025,""en"",""pt""))"),"Os(As) funcionários(as) de limpeza serão responsáveis ​​pela limpeza e manutenção de todos os quartos, suítes e áreas comuns internas da(s) propriedade(s) do empregador, incluindo aspirar pisos, tirar o pó, repor roupas de cama e toalhas, desinfetar banhe"&amp;"iros e lavar janelas. Horário: 35 horas semanais. O horário de trabalho pode variar e incluir turnos noturnos, fins de semana e feriados. O trabalho pode ser realizado em qualquer dia da semana, de segunda a domingo. Exemplos de turnos: 8h às 15h e 9h às "&amp;"16h. Os horários dos turnos podem variar. Consulte a descrição do cargo em anexo para obter mais informações. Classificação do Cargo: 37-2012.00 - Camareiras e Auxiliares de Limpeza. A classificação e descrição do cargo/setor inclui informações gerais sob"&amp;"re a posição, de acordo com o ONET/OES e o Sistema de Classificação Industrial da América do Norte (NAICS). Consulte as Funções e a Ordem de Serviço para obter mais informações. Requisitos da Vaga Experiência Necessária: Sim Meses de Experiência Necessári"&amp;"os: 3 Requisitos Especiais: O contratante considerará para emprego qualquer pessoa que possua pelo menos três (3) meses de experiência em um hotel de luxo, resort ou clube privado. O candidato poderá ser obrigado a realizar um teste pré-admissional de COV"&amp;"ID-19, cumprir um período de quarentena e/ou apresentar comprovante de vacinação contra COVID-19, se exigido pelas diretrizes estaduais, federais ou da empresa no momento da contratação. Número de Horas por Semana: 35 Horário de Trabalho (Início/Término):"&amp;" 8h00 - 15h00")</f>
        <v>Os(As) funcionários(as) de limpeza serão responsáveis ​​pela limpeza e manutenção de todos os quartos, suítes e áreas comuns internas da(s) propriedade(s) do empregador, incluindo aspirar pisos, tirar o pó, repor roupas de cama e toalhas, desinfetar banheiros e lavar janelas. Horário: 35 horas semanais. O horário de trabalho pode variar e incluir turnos noturnos, fins de semana e feriados. O trabalho pode ser realizado em qualquer dia da semana, de segunda a domingo. Exemplos de turnos: 8h às 15h e 9h às 16h. Os horários dos turnos podem variar. Consulte a descrição do cargo em anexo para obter mais informações. Classificação do Cargo: 37-2012.00 - Camareiras e Auxiliares de Limpeza. A classificação e descrição do cargo/setor inclui informações gerais sobre a posição, de acordo com o ONET/OES e o Sistema de Classificação Industrial da América do Norte (NAICS). Consulte as Funções e a Ordem de Serviço para obter mais informações. Requisitos da Vaga Experiência Necessária: Sim Meses de Experiência Necessários: 3 Requisitos Especiais: O contratante considerará para emprego qualquer pessoa que possua pelo menos três (3) meses de experiência em um hotel de luxo, resort ou clube privado. O candidato poderá ser obrigado a realizar um teste pré-admissional de COVID-19, cumprir um período de quarentena e/ou apresentar comprovante de vacinação contra COVID-19, se exigido pelas diretrizes estaduais, federais ou da empresa no momento da contratação. Número de Horas por Semana: 35 Horário de Trabalho (Início/Término): 8h00 - 15h00</v>
      </c>
    </row>
    <row r="1026" ht="20.25" customHeight="1">
      <c r="A1026" s="3" t="s">
        <v>4769</v>
      </c>
      <c r="B1026" s="3" t="s">
        <v>4770</v>
      </c>
      <c r="C1026" s="3" t="s">
        <v>3937</v>
      </c>
      <c r="D1026" s="3" t="s">
        <v>249</v>
      </c>
      <c r="E1026" s="4" t="s">
        <v>19</v>
      </c>
      <c r="F1026" s="4" t="s">
        <v>20</v>
      </c>
      <c r="G1026" s="4" t="s">
        <v>1554</v>
      </c>
      <c r="H1026" s="3" t="s">
        <v>4771</v>
      </c>
      <c r="I1026" s="3" t="s">
        <v>4772</v>
      </c>
      <c r="J1026" s="4">
        <v>18.59</v>
      </c>
      <c r="K1026" s="4">
        <v>15.0</v>
      </c>
      <c r="L1026" s="3" t="s">
        <v>394</v>
      </c>
      <c r="M1026" s="3" t="s">
        <v>4773</v>
      </c>
      <c r="N1026" s="7" t="str">
        <f>IFERROR(__xludf.DUMMYFUNCTION("GOOGLETRANSLATE(L1026, ""en"", ""pt"")"),"Membro da tripulação")</f>
        <v>Membro da tripulação</v>
      </c>
      <c r="O1026" s="7" t="str">
        <f>IFERROR(__xludf.DUMMYFUNCTION("IF(M1026="""","""",GOOGLETRANSLATE(M1026,""en"",""pt""))"),"Paisagismo e manutenção de terrenos utilizando ferramentas manuais ou elétricas. Os trabalhadores geralmente executam uma variedade de tarefas, que podem incluir qualquer combinação das seguintes: colocação de grama, corte de grama, poda, plantio, irrigaç"&amp;"ão, fertilização, escavação, rastelagem, instalação de aspersores e instalação de blocos de concreto pré-moldados sem argamassa. Classificação da função: 37-3011.00 - Trabalhadores de Paisagismo e Manutenção de Terrenos. A classificação e descrição da fun"&amp;"ção/setor incluem informações gerais sobre o cargo, de acordo com o ONET/OES e o Sistema de Classificação Industrial da América do Norte (NAICS). Consulte as Funções e a Ordem de Serviço para obter mais informações. Requisitos da função: Experiência neces"&amp;"sária: Não. Requisitos especiais: Capacidade de levantar e carregar 23 kg. Disponibilidade para trabalhar em alguns fins de semana e fazer horas extras. Número de horas por semana: 40. Horário de trabalho (início/término): 7h30 às 17h.")</f>
        <v>Paisagismo e manutenção de terrenos utilizando ferramentas manuais ou elétricas. Os trabalhadores geralmente executam uma variedade de tarefas, que podem incluir qualquer combinação das seguintes: colocação de grama, corte de grama, poda, plantio, irrigação, fertilização, escavação, rastelagem, instalação de aspersores e instalação de blocos de concreto pré-moldados sem argamassa. Classificação da função: 37-3011.00 - Trabalhadores de Paisagismo e Manutenção de Terrenos. A classificação e descrição da função/setor incluem informações gerais sobre o cargo, de acordo com o ONET/OES e o Sistema de Classificação Industrial da América do Norte (NAICS). Consulte as Funções e a Ordem de Serviço para obter mais informações. Requisitos da função: Experiência necessária: Não. Requisitos especiais: Capacidade de levantar e carregar 23 kg. Disponibilidade para trabalhar em alguns fins de semana e fazer horas extras. Número de horas por semana: 40. Horário de trabalho (início/término): 7h30 às 17h.</v>
      </c>
    </row>
    <row r="1027" ht="20.25" customHeight="1">
      <c r="A1027" s="8" t="s">
        <v>4774</v>
      </c>
      <c r="B1027" s="8" t="s">
        <v>4775</v>
      </c>
      <c r="C1027" s="8" t="s">
        <v>4241</v>
      </c>
      <c r="D1027" s="8" t="s">
        <v>71</v>
      </c>
      <c r="E1027" s="9" t="s">
        <v>19</v>
      </c>
      <c r="F1027" s="9" t="s">
        <v>20</v>
      </c>
      <c r="G1027" s="9" t="s">
        <v>524</v>
      </c>
      <c r="H1027" s="8" t="s">
        <v>4776</v>
      </c>
      <c r="I1027" s="8" t="s">
        <v>4777</v>
      </c>
      <c r="J1027" s="9">
        <v>18.0</v>
      </c>
      <c r="K1027" s="9">
        <v>7.0</v>
      </c>
      <c r="L1027" s="8" t="s">
        <v>527</v>
      </c>
      <c r="M1027" s="8" t="s">
        <v>4778</v>
      </c>
      <c r="N1027" s="7" t="str">
        <f>IFERROR(__xludf.DUMMYFUNCTION("GOOGLETRANSLATE(L1027, ""en"", ""pt"")"),"máquina de lavar louça")</f>
        <v>máquina de lavar louça</v>
      </c>
      <c r="O1027" s="7" t="str">
        <f>IFERROR(__xludf.DUMMYFUNCTION("IF(M1027="""","""",GOOGLETRANSLATE(M1027,""en"",""pt""))"),"Os auxiliares de cozinha serão responsáveis ​​por lavar a louça e todos os utensílios de cozinha, manualmente ou à máquina, manter as áreas de trabalho e os equipamentos da cozinha limpos e varrer e esfregar pisos, paredes e fogões. Também serão responsáv"&amp;"eis ​​por separar e descartar o lixo e por organizar os depósitos e refrigeradores com o estoque/produtos de alimentos e bebidas, como produtos secos, enlatados, frutas e verduras, produtos de papel e plástico e materiais de limpeza. Horário: 35 horas sem"&amp;"anais. O horário de trabalho pode variar e incluir turnos noturnos, fins de semana e feriados. O trabalho pode ser realizado em qualquer dia da semana, de segunda a domingo. Exemplos de turnos: 5h30 às 12h30, 7h às 14h ou 16h às 23h. Os horários dos turno"&amp;"s podem variar. Consulte a descrição do cargo em anexo para obter mais informações. Classificação do cargo: 35-9021.00 - Auxiliares de Cozinha. A classificação e a descrição do cargo/setor incluem informações gerais sobre a posição, de acordo com o ONET/O"&amp;"ES e o Sistema de Classificação Industrial da América do Norte (NAICS). Consulte a Descrição das Funções e a Ordem de Serviço para obter mais informações. Requisitos da Vaga Experiência Necessária: Sim Meses de Experiência Necessários: 6 Requisitos Especi"&amp;"ais: O contratante considerará para emprego qualquer pessoa que possua pelo menos seis (6) meses de experiência em um restaurante de alto padrão, resort ou clube privado. O candidato deverá se submeter a um exame toxicológico pré-admissional, bem como a u"&amp;"ma verificação de antecedentes criminais, às custas do empregador. Número de Horas por Semana: 35 Horário de Trabalho (Início/Término): 5h30 - 12h30")</f>
        <v>Os auxiliares de cozinha serão responsáveis ​​por lavar a louça e todos os utensílios de cozinha, manualmente ou à máquina, manter as áreas de trabalho e os equipamentos da cozinha limpos e varrer e esfregar pisos, paredes e fogões. Também serão responsáveis ​​por separar e descartar o lixo e por organizar os depósitos e refrigeradores com o estoque/produtos de alimentos e bebidas, como produtos secos, enlatados, frutas e verduras, produtos de papel e plástico e materiais de limpeza. Horário: 35 horas semanais. O horário de trabalho pode variar e incluir turnos noturnos, fins de semana e feriados. O trabalho pode ser realizado em qualquer dia da semana, de segunda a domingo. Exemplos de turnos: 5h30 às 12h30, 7h às 14h ou 16h às 23h. Os horários dos turnos podem variar. Consulte a descrição do cargo em anexo para obter mais informações. Classificação do cargo: 35-9021.00 - Auxiliares de Cozinha. A classificação e a descrição do cargo/setor incluem informações gerais sobre a posição, de acordo com o ONET/OES e o Sistema de Classificação Industrial da América do Norte (NAICS). Consulte a Descrição das Funções e a Ordem de Serviço para obter mais informações. Requisitos da Vaga Experiência Necessária: Sim Meses de Experiência Necessários: 6 Requisitos Especiais: O contratante considerará para emprego qualquer pessoa que possua pelo menos seis (6) meses de experiência em um restaurante de alto padrão, resort ou clube privado. O candidato deverá se submeter a um exame toxicológico pré-admissional, bem como a uma verificação de antecedentes criminais, às custas do empregador. Número de Horas por Semana: 35 Horário de Trabalho (Início/Término): 5h30 - 12h30</v>
      </c>
    </row>
    <row r="1028" ht="20.25" customHeight="1">
      <c r="A1028" s="3" t="s">
        <v>4779</v>
      </c>
      <c r="B1028" s="3" t="s">
        <v>4775</v>
      </c>
      <c r="C1028" s="3" t="s">
        <v>4241</v>
      </c>
      <c r="D1028" s="3" t="s">
        <v>71</v>
      </c>
      <c r="E1028" s="4" t="s">
        <v>19</v>
      </c>
      <c r="F1028" s="4" t="s">
        <v>20</v>
      </c>
      <c r="G1028" s="4" t="s">
        <v>524</v>
      </c>
      <c r="H1028" s="3" t="s">
        <v>4776</v>
      </c>
      <c r="I1028" s="3" t="s">
        <v>4777</v>
      </c>
      <c r="J1028" s="4">
        <v>19.0</v>
      </c>
      <c r="K1028" s="4">
        <v>8.0</v>
      </c>
      <c r="L1028" s="3" t="s">
        <v>4780</v>
      </c>
      <c r="M1028" s="3" t="s">
        <v>4781</v>
      </c>
      <c r="N1028" s="7" t="str">
        <f>IFERROR(__xludf.DUMMYFUNCTION("GOOGLETRANSLATE(L1028, ""en"", ""pt"")"),"Atendente de Alimentos e Bebidas")</f>
        <v>Atendente de Alimentos e Bebidas</v>
      </c>
      <c r="O1028" s="7" t="str">
        <f>IFERROR(__xludf.DUMMYFUNCTION("IF(M1028="""","""",GOOGLETRANSLATE(M1028,""en"",""pt""))"),"Os atendentes de Alimentos e Bebidas serão responsáveis ​​por recepcionar os clientes, preparar as áreas de refeição, anotar e registrar pedidos, transportar bandejas e pratos, servir alimentos e bebidas, e limpar e desocupar as mesas. Os atendentes de Al"&amp;"imentos e Bebidas também poderão levar pedidos de alimentos e bebidas para sócios e convidados no campo de golfe, bem como abastecer e manter todos os refrigeradores e estações no campo de golfe. Horário: 35 horas por semana. O horário de trabalho pode va"&amp;"riar e incluir turnos noturnos, fins de semana e feriados. O trabalho pode ser realizado em qualquer dia da semana, de segunda a domingo. Exemplos de turnos: 10h às 17h, 7h às 14h ou 16h às 23h. Os horários dos turnos podem variar. Consulte a descrição do"&amp;" cargo em anexo para obter mais informações. Classificação do Cargo: 35-3031.00 - Garçons e Garçonetes. A classificação e descrição do cargo/setor inclui informações gerais sobre a posição, de acordo com o ONET/OES e o Sistema de Classificação Industrial "&amp;"da América do Norte. Consulte as Funções e a Ordem de Serviço para obter mais informações. Requisitos da Vaga Experiência Necessária: Sim Meses de Experiência Necessários: 3 Requisitos Especiais: O Requerente considerará para emprego qualquer pessoa que p"&amp;"ossua pelo menos três (3) meses de experiência em um ambiente de alta gastronomia ou de grande movimento em um restaurante de luxo, resort ou clube privado. O candidato deverá se submeter a um exame toxicológico pré-admissional, bem como a uma verificação"&amp;" de antecedentes criminais pré-admissional para novos contratados, às custas do empregador. Número de Horas por Semana: 35 Horário de Trabalho (Início/Término): 10:00 - 17:00")</f>
        <v>Os atendentes de Alimentos e Bebidas serão responsáveis ​​por recepcionar os clientes, preparar as áreas de refeição, anotar e registrar pedidos, transportar bandejas e pratos, servir alimentos e bebidas, e limpar e desocupar as mesas. Os atendentes de Alimentos e Bebidas também poderão levar pedidos de alimentos e bebidas para sócios e convidados no campo de golfe, bem como abastecer e manter todos os refrigeradores e estações no campo de golfe. Horário: 35 horas por semana. O horário de trabalho pode variar e incluir turnos noturnos, fins de semana e feriados. O trabalho pode ser realizado em qualquer dia da semana, de segunda a domingo. Exemplos de turnos: 10h às 17h, 7h às 14h ou 16h às 23h. Os horários dos turnos podem variar. Consulte a descrição do cargo em anexo para obter mais informações. Classificação do Cargo: 35-3031.00 - Garçons e Garçonetes. A classificação e descrição do cargo/setor inclui informações gerais sobre a posição, de acordo com o ONET/OES e o Sistema de Classificação Industrial da América do Norte. Consulte as Funções e a Ordem de Serviço para obter mais informações. Requisitos da Vaga Experiência Necessária: Sim Meses de Experiência Necessários: 3 Requisitos Especiais: O Requerente considerará para emprego qualquer pessoa que possua pelo menos três (3) meses de experiência em um ambiente de alta gastronomia ou de grande movimento em um restaurante de luxo, resort ou clube privado. O candidato deverá se submeter a um exame toxicológico pré-admissional, bem como a uma verificação de antecedentes criminais pré-admissional para novos contratados, às custas do empregador. Número de Horas por Semana: 35 Horário de Trabalho (Início/Término): 10:00 - 17:00</v>
      </c>
    </row>
    <row r="1029" ht="20.25" customHeight="1">
      <c r="A1029" s="8" t="s">
        <v>4782</v>
      </c>
      <c r="B1029" s="8" t="s">
        <v>4775</v>
      </c>
      <c r="C1029" s="8" t="s">
        <v>4241</v>
      </c>
      <c r="D1029" s="8" t="s">
        <v>71</v>
      </c>
      <c r="E1029" s="9" t="s">
        <v>19</v>
      </c>
      <c r="F1029" s="9" t="s">
        <v>20</v>
      </c>
      <c r="G1029" s="9" t="s">
        <v>524</v>
      </c>
      <c r="H1029" s="8" t="s">
        <v>4776</v>
      </c>
      <c r="I1029" s="8" t="s">
        <v>4777</v>
      </c>
      <c r="J1029" s="9">
        <v>17.0</v>
      </c>
      <c r="K1029" s="9">
        <v>14.0</v>
      </c>
      <c r="L1029" s="8" t="s">
        <v>354</v>
      </c>
      <c r="M1029" s="8" t="s">
        <v>4783</v>
      </c>
      <c r="N1029" s="7" t="str">
        <f>IFERROR(__xludf.DUMMYFUNCTION("GOOGLETRANSLATE(L1029, ""en"", ""pt"")"),"Governanta")</f>
        <v>Governanta</v>
      </c>
      <c r="O1029" s="7" t="str">
        <f>IFERROR(__xludf.DUMMYFUNCTION("IF(M1029="""","""",GOOGLETRANSLATE(M1029,""en"",""pt""))"),"***Resposta à Solicitação de Informações*** Os funcionários da limpeza serão responsáveis ​​por aspirar carpetes e tapetes em clubes, escritórios, vestiários e áreas comuns; varrer e lavar pisos de superfície dura; tirar o pó de móveis, acessórios, peitor"&amp;"is de janelas, rodapés e itens decorativos; limpar e higienizar mesas, bancadas, portas e corrimãos; limpar, higienizar e reabastecer banheiros, incluindo vasos sanitários, pias, espelhos, divisórias e dispensadores; esvaziar lixeiras e recipientes de rec"&amp;"iclagem e substituir os sacos de lixo; limpar superfícies de vidro internas e janelas; repor suprimentos de limpeza, incluindo produtos de papel, sabonete e produtos de higiene; limpar e higienizar banheiros químicos temporários localizados em toda a prop"&amp;"riedade; e relatar quaisquer problemas de manutenção ou falta de suprimentos à gerência. As ferramentas e equipamentos utilizados para realizar essas tarefas incluem aspiradores de pó, vassouras, pás de lixo, esfregões úmidos e secos, baldes, espremedores"&amp;", panos de limpeza de microfibra e panos de pó, sacos e forros de lixo, escovas de limpeza, esponjas de limpeza, ferramentas para limpeza de vidros (por exemplo, pano e rodo), soluções de limpeza Ecolab e solução para limpeza de janelas, e luvas. Banheiro"&amp;"s químicos portáteis estão localizados perto das instalações temporárias do clube, áreas de operação do golfe, instalações para esportes com raquete, comodidades recreativas ao ar livre e outros locais de grande circulação em toda a propriedade do clube d"&amp;"e golfe privado. São fornecidos para garantir acesso conveniente a banheiros para membros, hóspedes, funcionários e contratados em áreas onde banheiros permanentes não estão prontamente disponíveis. ***Original*** As camareiras serão responsáveis ​​pela l"&amp;"impeza e manutenção de todas as vilas, quartos de hóspedes e suítes em toda a propriedade. As camareiras serão responsáveis ​​pela limpeza de todas as áreas públicas e operacionais, incluindo a sede do clube, áreas de refeições e saguão, vestiários, centr"&amp;"o de treinamento, escritórios, áreas de funcionários, sala de segurança, prédio de manutenção e todos os banheiros do clube, incluindo os banheiros químicos temporários. Outras responsabilidades incluem a limpeza e manutenção dos banheiros do campo de gol"&amp;"fe. As camareiras garantirão que as áreas de armazenamento de materiais de limpeza, como carrinhos de limpeza, estejam limpas, organizadas e totalmente abastecidas com produtos de limpeza, suprimentos operacionais, amenidades para hóspedes, artigos de hig"&amp;"iene pessoal, cápsulas de café, roupas de cama, copos e sacos de lixo. Também serão responsáveis ​​por aspirar o chão, tirar o pó, repor roupas de cama e toalhas, higienizar banheiros, limpar janelas internas com pano limpo e spray de limpeza, e garantir "&amp;"que todos os espaços sejam mantidos de acordo com os mais altos padrões de limpeza, organização e apresentação. Horário: 35 horas semanais. O horário de trabalho pode variar e incluir noites, fins de semana e feriados. O trabalho pode ser realizado em qua"&amp;"lquer dia da semana, de segunda a domingo. Exemplos de turnos: 5h às 12h, 9h às 16h ou 14h às 21h. Os horários dos turnos podem variar. Consulte a descrição do cargo em anexo para obter mais informações. Classificação do Cargo: 37-2012.00 - Camareiras e A"&amp;"uxiliares de Limpeza. A classificação e a descrição do cargo/setor incluem informações gerais sobre a posição, de acordo com o ONET/OES e o Sistema de Classificação Industrial da América do Norte (NAICS). Consulte as Funções e a Ordem de Serviço para obte"&amp;"r mais informações. Requisitos do Cargo Experiência Necessária: Sim Meses de Experiência Necessários: 3 Requisitos Especiais: O contratante considerará para emprego qualquer pessoa que possua pelo menos três (3) meses de experiência em um hotel de alto pa"&amp;"drão, resort ou clube privado. O candidato deverá se submeter a um exame toxicológico pré-admissional, bem como a uma verificação de antecedentes criminais, às custas do empregador. Número de horas por semana: 35 Horário de trabalho (início/término): 5h00"&amp;" - 12h00")</f>
        <v>***Resposta à Solicitação de Informações*** Os funcionários da limpeza serão responsáveis ​​por aspirar carpetes e tapetes em clubes, escritórios, vestiários e áreas comuns; varrer e lavar pisos de superfície dura; tirar o pó de móveis, acessórios, peitoris de janelas, rodapés e itens decorativos; limpar e higienizar mesas, bancadas, portas e corrimãos; limpar, higienizar e reabastecer banheiros, incluindo vasos sanitários, pias, espelhos, divisórias e dispensadores; esvaziar lixeiras e recipientes de reciclagem e substituir os sacos de lixo; limpar superfícies de vidro internas e janelas; repor suprimentos de limpeza, incluindo produtos de papel, sabonete e produtos de higiene; limpar e higienizar banheiros químicos temporários localizados em toda a propriedade; e relatar quaisquer problemas de manutenção ou falta de suprimentos à gerência. As ferramentas e equipamentos utilizados para realizar essas tarefas incluem aspiradores de pó, vassouras, pás de lixo, esfregões úmidos e secos, baldes, espremedores, panos de limpeza de microfibra e panos de pó, sacos e forros de lixo, escovas de limpeza, esponjas de limpeza, ferramentas para limpeza de vidros (por exemplo, pano e rodo), soluções de limpeza Ecolab e solução para limpeza de janelas, e luvas. Banheiros químicos portáteis estão localizados perto das instalações temporárias do clube, áreas de operação do golfe, instalações para esportes com raquete, comodidades recreativas ao ar livre e outros locais de grande circulação em toda a propriedade do clube de golfe privado. São fornecidos para garantir acesso conveniente a banheiros para membros, hóspedes, funcionários e contratados em áreas onde banheiros permanentes não estão prontamente disponíveis. ***Original*** As camareiras serão responsáveis ​​pela limpeza e manutenção de todas as vilas, quartos de hóspedes e suítes em toda a propriedade. As camareiras serão responsáveis ​​pela limpeza de todas as áreas públicas e operacionais, incluindo a sede do clube, áreas de refeições e saguão, vestiários, centro de treinamento, escritórios, áreas de funcionários, sala de segurança, prédio de manutenção e todos os banheiros do clube, incluindo os banheiros químicos temporários. Outras responsabilidades incluem a limpeza e manutenção dos banheiros do campo de golfe. As camareiras garantirão que as áreas de armazenamento de materiais de limpeza, como carrinhos de limpeza, estejam limpas, organizadas e totalmente abastecidas com produtos de limpeza, suprimentos operacionais, amenidades para hóspedes, artigos de higiene pessoal, cápsulas de café, roupas de cama, copos e sacos de lixo. Também serão responsáveis ​​por aspirar o chão, tirar o pó, repor roupas de cama e toalhas, higienizar banheiros, limpar janelas internas com pano limpo e spray de limpeza, e garantir que todos os espaços sejam mantidos de acordo com os mais altos padrões de limpeza, organização e apresentação. Horário: 35 horas semanais. O horário de trabalho pode variar e incluir noites, fins de semana e feriados. O trabalho pode ser realizado em qualquer dia da semana, de segunda a domingo. Exemplos de turnos: 5h às 12h, 9h às 16h ou 14h às 21h. Os horários dos turnos podem variar. Consulte a descrição do cargo em anexo para obter mais informações. Classificação do Cargo: 37-2012.00 - Camareiras e Auxiliares de Limpeza. A classificação e a descrição do cargo/setor incluem informações gerais sobre a posição, de acordo com o ONET/OES e o Sistema de Classificação Industrial da América do Norte (NAICS). Consulte as Funções e a Ordem de Serviço para obter mais informações. Requisitos do Cargo Experiência Necessária: Sim Meses de Experiência Necessários: 3 Requisitos Especiais: O contratante considerará para emprego qualquer pessoa que possua pelo menos três (3) meses de experiência em um hotel de alto padrão, resort ou clube privado. O candidato deverá se submeter a um exame toxicológico pré-admissional, bem como a uma verificação de antecedentes criminais, às custas do empregador. Número de horas por semana: 35 Horário de trabalho (início/término): 5h00 - 12h00</v>
      </c>
    </row>
    <row r="1030" ht="20.25" customHeight="1">
      <c r="A1030" s="3" t="s">
        <v>4784</v>
      </c>
      <c r="B1030" s="3" t="s">
        <v>4775</v>
      </c>
      <c r="C1030" s="3" t="s">
        <v>4241</v>
      </c>
      <c r="D1030" s="3" t="s">
        <v>71</v>
      </c>
      <c r="E1030" s="4" t="s">
        <v>19</v>
      </c>
      <c r="F1030" s="4" t="s">
        <v>20</v>
      </c>
      <c r="G1030" s="4" t="s">
        <v>524</v>
      </c>
      <c r="H1030" s="3" t="s">
        <v>4776</v>
      </c>
      <c r="I1030" s="3" t="s">
        <v>4777</v>
      </c>
      <c r="J1030" s="4">
        <v>20.0</v>
      </c>
      <c r="K1030" s="4">
        <v>30.0</v>
      </c>
      <c r="L1030" s="3" t="s">
        <v>4785</v>
      </c>
      <c r="M1030" s="3" t="s">
        <v>4786</v>
      </c>
      <c r="N1030" s="7" t="str">
        <f>IFERROR(__xludf.DUMMYFUNCTION("GOOGLETRANSLATE(L1030, ""en"", ""pt"")"),"Garçom/Barman/Carrinho de bebidas")</f>
        <v>Garçom/Barman/Carrinho de bebidas</v>
      </c>
      <c r="O1030" s="7" t="str">
        <f>IFERROR(__xludf.DUMMYFUNCTION("IF(M1030="""","""",GOOGLETRANSLATE(M1030,""en"",""pt""))"),"O(A) Garçom/Barman/Atendente de Carrinho de Bebidas será responsável por recepcionar os clientes, apresentar os cardápios e responder a perguntas sobre os itens do menu, fazer recomendações quando solicitado, preparar as áreas de refeição, anotar e regist"&amp;"rar pedidos, transportar bandejas e pratos, servir alimentos e bebidas, e limpar e desocupar as mesas. Outras responsabilidades podem incluir preparar e servir bebidas alcoólicas e não alcoólicas para sócios e convidados, limpar copos e equipamentos de ba"&amp;"r e garantir que o bar e as áreas de trabalho estejam limpos e bem abastecidos. O(A) Garçom/Barman/Atendente de Carrinho de Bebidas também será responsável por dirigir e operar o carrinho de bebidas pelo campo de golfe, oferecendo uma seleção de bebidas q"&amp;"uentes e frias, lanches e outros itens para sócios e convidados, bem como realizar a limpeza e manutenção regulares do carrinho de bebidas, incluindo a reposição de produtos, higienização de superfícies e descarte de resíduos. Horário: 35 horas semanais. "&amp;"A escala de trabalho pode variar e incluir noites, fins de semana e feriados. O trabalho pode ser realizado em qualquer dia da semana, de segunda a domingo. Exemplos de turnos: 6h às 13h, 10h às 17h ou 16h às 23h. Os horários dos turnos podem variar. Cons"&amp;"ulte a descrição do cargo em anexo para obter mais informações. Classificação do Cargo: 35-3011.00 - Bartenders. A classificação e descrição do cargo/setor incluem informações gerais sobre a posição, de acordo com o ONET/OES e o Sistema de Classificação I"&amp;"ndustrial da América do Norte (NAICS). Consulte as Funções e a Ordem de Serviço para obter mais informações. Requisitos do Cargo Experiência Necessária: Sim Meses de Experiência Necessários: 3 Requisitos Especiais: O contratante considerará para emprego q"&amp;"ualquer pessoa que possua pelo menos três (3) meses de experiência em um ambiente de alta gastronomia ou de grande movimento em um restaurante sofisticado, resort ou clube privado. O candidato deverá se submeter a um exame toxicológico pré-admissional, be"&amp;"m como a uma verificação de antecedentes criminais pré-admissional para novos contratados, às custas do empregador. Número de horas por semana: 35 Horário de trabalho (início/término): 6h00 - 13h00")</f>
        <v>O(A) Garçom/Barman/Atendente de Carrinho de Bebidas será responsável por recepcionar os clientes, apresentar os cardápios e responder a perguntas sobre os itens do menu, fazer recomendações quando solicitado, preparar as áreas de refeição, anotar e registrar pedidos, transportar bandejas e pratos, servir alimentos e bebidas, e limpar e desocupar as mesas. Outras responsabilidades podem incluir preparar e servir bebidas alcoólicas e não alcoólicas para sócios e convidados, limpar copos e equipamentos de bar e garantir que o bar e as áreas de trabalho estejam limpos e bem abastecidos. O(A) Garçom/Barman/Atendente de Carrinho de Bebidas também será responsável por dirigir e operar o carrinho de bebidas pelo campo de golfe, oferecendo uma seleção de bebidas quentes e frias, lanches e outros itens para sócios e convidados, bem como realizar a limpeza e manutenção regulares do carrinho de bebidas, incluindo a reposição de produtos, higienização de superfícies e descarte de resíduos. Horário: 35 horas semanais. A escala de trabalho pode variar e incluir noites, fins de semana e feriados. O trabalho pode ser realizado em qualquer dia da semana, de segunda a domingo. Exemplos de turnos: 6h às 13h, 10h às 17h ou 16h às 23h. Os horários dos turnos podem variar. Consulte a descrição do cargo em anexo para obter mais informações. Classificação do Cargo: 35-3011.00 - Bartenders. A classificação e descrição do cargo/setor incluem informações gerais sobre a posição, de acordo com o ONET/OES e o Sistema de Classificação Industrial da América do Norte (NAICS). Consulte as Funções e a Ordem de Serviço para obter mais informações. Requisitos do Cargo Experiência Necessária: Sim Meses de Experiência Necessários: 3 Requisitos Especiais: O contratante considerará para emprego qualquer pessoa que possua pelo menos três (3) meses de experiência em um ambiente de alta gastronomia ou de grande movimento em um restaurante sofisticado, resort ou clube privado. O candidato deverá se submeter a um exame toxicológico pré-admissional, bem como a uma verificação de antecedentes criminais pré-admissional para novos contratados, às custas do empregador. Número de horas por semana: 35 Horário de trabalho (início/término): 6h00 - 13h00</v>
      </c>
    </row>
    <row r="1031" ht="20.25" customHeight="1">
      <c r="A1031" s="8" t="s">
        <v>4787</v>
      </c>
      <c r="B1031" s="8" t="s">
        <v>4775</v>
      </c>
      <c r="C1031" s="8" t="s">
        <v>4241</v>
      </c>
      <c r="D1031" s="8" t="s">
        <v>71</v>
      </c>
      <c r="E1031" s="9" t="s">
        <v>19</v>
      </c>
      <c r="F1031" s="9" t="s">
        <v>20</v>
      </c>
      <c r="G1031" s="9" t="s">
        <v>524</v>
      </c>
      <c r="H1031" s="8" t="s">
        <v>4776</v>
      </c>
      <c r="I1031" s="8" t="s">
        <v>4777</v>
      </c>
      <c r="J1031" s="9">
        <v>22.0</v>
      </c>
      <c r="K1031" s="9">
        <v>25.0</v>
      </c>
      <c r="L1031" s="8" t="s">
        <v>387</v>
      </c>
      <c r="M1031" s="8" t="s">
        <v>4788</v>
      </c>
      <c r="N1031" s="7" t="str">
        <f>IFERROR(__xludf.DUMMYFUNCTION("GOOGLETRANSLATE(L1031, ""en"", ""pt"")"),"Ordem de serviço não disponível")</f>
        <v>Ordem de serviço não disponível</v>
      </c>
      <c r="O1031" s="7" t="str">
        <f>IFERROR(__xludf.DUMMYFUNCTION("IF(M1031="""","""",GOOGLETRANSLATE(M1031,""en"",""pt""))"),"Os cozinheiros serão responsáveis ​​por preparar, empratar, executar e cozinhar sopas, carnes, frutos do mar, legumes, pizzas, sobremesas e outros itens alimentícios em um restaurante e cozinha de preparação. Horário: 35 horas por semana. O horário de tra"&amp;"balho pode variar e incluir turnos noturnos, fins de semana e feriados. O trabalho pode ser realizado em qualquer dia da semana, de segunda a domingo. Exemplos de turnos: 7h às 14h, 9h às 16h, 8h às 15h ou 15h às 22h. Os horários dos turnos podem variar. "&amp;"Consulte a descrição do cargo em anexo para obter mais informações. Classificação do Cargo: 35-2014.00 - Cozinheiros, Restaurante. A classificação e descrição do cargo/setor incluem informações gerais sobre a posição, de acordo com o ONET/OES e o Sistema "&amp;"de Classificação Industrial da América do Norte. Consulte as Funções e a Ordem de Serviço para obter mais informações. Requisitos da Vaga Experiência Necessária: Sim Meses de Experiência Necessários: 6 Requisitos Especiais: O Requerente considerará para e"&amp;"mprego qualquer pessoa que possua pelo menos seis (6) meses de experiência culinária em um ambiente de alta gastronomia ou de grande movimento em um restaurante sofisticado, resort ou clube privado. O candidato deverá se submeter a um exame toxicológico p"&amp;"ré-admissional, bem como a uma verificação de antecedentes criminais pré-admissional para novos contratados, às custas do empregador. Número de Horas por Semana: 35 Horário de Trabalho (Início/Término): 7h00 - 14h00")</f>
        <v>Os cozinheiros serão responsáveis ​​por preparar, empratar, executar e cozinhar sopas, carnes, frutos do mar, legumes, pizzas, sobremesas e outros itens alimentícios em um restaurante e cozinha de preparação. Horário: 35 horas por semana. O horário de trabalho pode variar e incluir turnos noturnos, fins de semana e feriados. O trabalho pode ser realizado em qualquer dia da semana, de segunda a domingo. Exemplos de turnos: 7h às 14h, 9h às 16h, 8h às 15h ou 15h às 22h. Os horários dos turnos podem variar. Consulte a descrição do cargo em anexo para obter mais informações. Classificação do Cargo: 35-2014.00 - Cozinheiros, Restaurante. A classificação e descrição do cargo/setor incluem informações gerais sobre a posição, de acordo com o ONET/OES e o Sistema de Classificação Industrial da América do Norte. Consulte as Funções e a Ordem de Serviço para obter mais informações. Requisitos da Vaga Experiência Necessária: Sim Meses de Experiência Necessários: 6 Requisitos Especiais: O Requerente considerará para emprego qualquer pessoa que possua pelo menos seis (6) meses de experiência culinária em um ambiente de alta gastronomia ou de grande movimento em um restaurante sofisticado, resort ou clube privado. O candidato deverá se submeter a um exame toxicológico pré-admissional, bem como a uma verificação de antecedentes criminais pré-admissional para novos contratados, às custas do empregador. Número de Horas por Semana: 35 Horário de Trabalho (Início/Término): 7h00 - 14h00</v>
      </c>
    </row>
    <row r="1032" ht="20.25" customHeight="1">
      <c r="A1032" s="3" t="s">
        <v>4789</v>
      </c>
      <c r="B1032" s="3" t="s">
        <v>4775</v>
      </c>
      <c r="C1032" s="3" t="s">
        <v>4241</v>
      </c>
      <c r="D1032" s="3" t="s">
        <v>71</v>
      </c>
      <c r="E1032" s="4" t="s">
        <v>44</v>
      </c>
      <c r="F1032" s="4" t="s">
        <v>20</v>
      </c>
      <c r="G1032" s="4" t="s">
        <v>524</v>
      </c>
      <c r="H1032" s="3" t="s">
        <v>4776</v>
      </c>
      <c r="I1032" s="3" t="s">
        <v>4777</v>
      </c>
      <c r="J1032" s="4">
        <v>18.0</v>
      </c>
      <c r="K1032" s="4">
        <v>26.0</v>
      </c>
      <c r="L1032" s="3" t="s">
        <v>4790</v>
      </c>
      <c r="M1032" s="3" t="s">
        <v>4791</v>
      </c>
      <c r="N1032" s="7" t="str">
        <f>IFERROR(__xludf.DUMMYFUNCTION("GOOGLETRANSLATE(L1032, ""en"", ""pt"")"),"Atendente de Operações de Golfe")</f>
        <v>Atendente de Operações de Golfe</v>
      </c>
      <c r="O1032" s="7" t="str">
        <f>IFERROR(__xludf.DUMMYFUNCTION("IF(M1032="""","""",GOOGLETRANSLATE(M1032,""en"",""pt""))"),"Os Assistentes de Operações de Golfe serão responsáveis ​​por prestar assistência aos sócios, incluindo recepcioná-los e auxiliá-los no check-in, responder a perguntas, transportar equipamentos, preparar carrinhos de golfe e outros equipamentos para uso d"&amp;"os sócios, dirigir carrinhos de golfe para jogadores que os utilizam, localizar bolas de golfe e fornecer distâncias e leitura dos greens. Os Assistentes de Operações de Golfe também selecionarão os campos de prática e auxiliarão na montagem e desmontagem"&amp;" das estações de treino. Os Assistentes de Operações de Golfe também poderão auxiliar na loja de artigos de golfe, verificando as vitrines, dobrando mercadorias e atualizando a lista de horários de saída. Os Assistentes de Operações de Golfe podem precisa"&amp;"r ocasionalmente levantar e/ou mover até 23 kg. Horário: 35 horas por semana. O horário de trabalho pode variar e incluir turnos noturnos, fins de semana e feriados. O trabalho pode ser realizado em qualquer dia da semana, de segunda a domingo. Exemplos d"&amp;"e turnos: 6h30 às 13h30, 9h às 16h ou 12h às 19h. Os horários dos turnos podem variar. Consulte a descrição do cargo em anexo para obter mais informações. Classificação da Função: 39-3091.00 - Atendentes de Parques de Diversões e Recreação. A classificaçã"&amp;"o e descrição da função/setor inclui informações gerais sobre o cargo, de acordo com o ONET/OES e o Sistema de Classificação Industrial da América do Norte (NAICS). Consulte as Funções e a Ordem de Serviço para obter mais informações. Requisitos da Função"&amp;" Experiência Necessária: Sim Meses de Experiência Necessários: 3 Requisitos Especiais: O contratante considerará para emprego qualquer pessoa que possua pelo menos três (3) meses de experiência em atendimento ao cliente em um hotel de alto padrão, resort,"&amp;" clube privado ou ambiente turístico. O candidato deverá se submeter a um exame toxicológico pré-admissional, bem como a uma verificação de antecedentes criminais, às custas do empregador. Número de Horas por Semana: 35 Horário de Trabalho (Início/Término"&amp;"): 6h30 - 13h30")</f>
        <v>Os Assistentes de Operações de Golfe serão responsáveis ​​por prestar assistência aos sócios, incluindo recepcioná-los e auxiliá-los no check-in, responder a perguntas, transportar equipamentos, preparar carrinhos de golfe e outros equipamentos para uso dos sócios, dirigir carrinhos de golfe para jogadores que os utilizam, localizar bolas de golfe e fornecer distâncias e leitura dos greens. Os Assistentes de Operações de Golfe também selecionarão os campos de prática e auxiliarão na montagem e desmontagem das estações de treino. Os Assistentes de Operações de Golfe também poderão auxiliar na loja de artigos de golfe, verificando as vitrines, dobrando mercadorias e atualizando a lista de horários de saída. Os Assistentes de Operações de Golfe podem precisar ocasionalmente levantar e/ou mover até 23 kg. Horário: 35 horas por semana. O horário de trabalho pode variar e incluir turnos noturnos, fins de semana e feriados. O trabalho pode ser realizado em qualquer dia da semana, de segunda a domingo. Exemplos de turnos: 6h30 às 13h30, 9h às 16h ou 12h às 19h. Os horários dos turnos podem variar. Consulte a descrição do cargo em anexo para obter mais informações. Classificação da Função: 39-3091.00 - Atendentes de Parques de Diversões e Recreação. A classificação e descrição da função/setor inclui informações gerais sobre o cargo, de acordo com o ONET/OES e o Sistema de Classificação Industrial da América do Norte (NAICS). Consulte as Funções e a Ordem de Serviço para obter mais informações. Requisitos da Função Experiência Necessária: Sim Meses de Experiência Necessários: 3 Requisitos Especiais: O contratante considerará para emprego qualquer pessoa que possua pelo menos três (3) meses de experiência em atendimento ao cliente em um hotel de alto padrão, resort, clube privado ou ambiente turístico. O candidato deverá se submeter a um exame toxicológico pré-admissional, bem como a uma verificação de antecedentes criminais, às custas do empregador. Número de Horas por Semana: 35 Horário de Trabalho (Início/Término): 6h30 - 13h30</v>
      </c>
    </row>
    <row r="1033" ht="20.25" customHeight="1">
      <c r="A1033" s="8" t="s">
        <v>4792</v>
      </c>
      <c r="B1033" s="8" t="s">
        <v>4793</v>
      </c>
      <c r="C1033" s="8" t="s">
        <v>4241</v>
      </c>
      <c r="D1033" s="8" t="s">
        <v>71</v>
      </c>
      <c r="E1033" s="9" t="s">
        <v>44</v>
      </c>
      <c r="F1033" s="9" t="s">
        <v>20</v>
      </c>
      <c r="G1033" s="9" t="s">
        <v>384</v>
      </c>
      <c r="H1033" s="8" t="s">
        <v>4794</v>
      </c>
      <c r="I1033" s="8" t="s">
        <v>4795</v>
      </c>
      <c r="J1033" s="9">
        <v>25.0</v>
      </c>
      <c r="K1033" s="9">
        <v>13.0</v>
      </c>
      <c r="L1033" s="8" t="s">
        <v>1206</v>
      </c>
      <c r="M1033" s="8" t="s">
        <v>4796</v>
      </c>
      <c r="N1033" s="7" t="str">
        <f>IFERROR(__xludf.DUMMYFUNCTION("GOOGLETRANSLATE(L1033, ""en"", ""pt"")"),"Servidor")</f>
        <v>Servidor</v>
      </c>
      <c r="O1033" s="7" t="str">
        <f>IFERROR(__xludf.DUMMYFUNCTION("IF(M1033="""","""",GOOGLETRANSLATE(M1033,""en"",""pt""))"),"***Resposta à Solicitação de Informações*** A “montagem das áreas de jantar e espaços para eventos de banquete” consiste em organizar mesas, cadeiras e mobiliário de acordo com a planta baixa e as especificações do evento, colocar toalhas de mesa, guardan"&amp;"apos, talheres, copos e louças, preparar estações de buffet, estações de bebidas e áreas de serviço, garantir que todas as mesas e cadeiras estejam limpas e posicionadas corretamente, colocar centros de mesa, decorações, sinalização e outros materiais do "&amp;"evento conforme as instruções, abastecer as estações de serviço com os suprimentos e condimentos necessários e mover e armazenar mesas, cadeiras e equipamentos com segurança após os eventos. As ferramentas/equipamentos utilizados para realizar essas taref"&amp;"as, além dos listados acima, incluem toalhas de mesa, saias de mesa, copos, talheres e utensílios de servir, bandejas de servir e carrinhos de banquete, mesas dobráveis ​​e bares portáteis, produtos de limpeza, desinfetantes e panos de polimento. Carrinho"&amp;"s de mão, plataformas rolantes e carrinhos para transportar equipamentos e suprimentos são usados ​​minimamente e somente quando necessário. ***Original*** Os garçons serão responsáveis ​​por recepcionar os clientes, preparar as áreas de refeição e de eve"&amp;"ntos, anotar e registrar pedidos, transportar bandejas e pratos, servir alimentos e bebidas, e limpar e retirar as mesas. Horário: 40 horas semanais. A escala de trabalho pode variar e incluir turnos noturnos, fins de semana e feriados. O trabalho pode se"&amp;"r realizado em qualquer dia da semana, de segunda a domingo. Exemplos de turnos: 7h às 15h ou 14h às 22h. Os horários dos turnos podem variar. Consulte a descrição de cargo anexa para obter mais informações. Classificação do Cargo: 35-3031.00 - Garçons e "&amp;"Garçonetes. A classificação e descrição do cargo/setor incluem informações gerais sobre a posição, de acordo com o ONET/OES e o Sistema de Classificação Industrial da América do Norte. Consulte as Funções e a Ordem de Serviço para obter mais informações. "&amp;"Requisitos da vaga Experiência exigida: Sim Meses de experiência exigidos: 3 Requisitos especiais: O contratante considerará para emprego qualquer pessoa que possua pelo menos três (3) meses de experiência em um ambiente de alta gastronomia ou de grande m"&amp;"ovimento em um restaurante sofisticado, resort ou clube privado. O candidato deverá se submeter a um exame toxicológico pré-admissional, custeado pelo empregador. Número de horas por semana: 40 Horário de trabalho (início/término): 7h às 15h")</f>
        <v>***Resposta à Solicitação de Informações*** A “montagem das áreas de jantar e espaços para eventos de banquete” consiste em organizar mesas, cadeiras e mobiliário de acordo com a planta baixa e as especificações do evento, colocar toalhas de mesa, guardanapos, talheres, copos e louças, preparar estações de buffet, estações de bebidas e áreas de serviço, garantir que todas as mesas e cadeiras estejam limpas e posicionadas corretamente, colocar centros de mesa, decorações, sinalização e outros materiais do evento conforme as instruções, abastecer as estações de serviço com os suprimentos e condimentos necessários e mover e armazenar mesas, cadeiras e equipamentos com segurança após os eventos. As ferramentas/equipamentos utilizados para realizar essas tarefas, além dos listados acima, incluem toalhas de mesa, saias de mesa, copos, talheres e utensílios de servir, bandejas de servir e carrinhos de banquete, mesas dobráveis ​​e bares portáteis, produtos de limpeza, desinfetantes e panos de polimento. Carrinhos de mão, plataformas rolantes e carrinhos para transportar equipamentos e suprimentos são usados ​​minimamente e somente quando necessário. ***Original*** Os garçons serão responsáveis ​​por recepcionar os clientes, preparar as áreas de refeição e de eventos, anotar e registrar pedidos, transportar bandejas e pratos, servir alimentos e bebidas, e limpar e retirar as mesas. Horário: 40 horas semanais. A escala de trabalho pode variar e incluir turnos noturnos, fins de semana e feriados. O trabalho pode ser realizado em qualquer dia da semana, de segunda a domingo. Exemplos de turnos: 7h às 15h ou 14h às 22h. Os horários dos turnos podem variar. Consulte a descrição de cargo anexa para obter mais informações. Classificação do Cargo: 35-3031.00 - Garçons e Garçonetes. A classificação e descrição do cargo/setor incluem informações gerais sobre a posição, de acordo com o ONET/OES e o Sistema de Classificação Industrial da América do Norte. Consulte as Funções e a Ordem de Serviço para obter mais informações. Requisitos da vaga Experiência exigida: Sim Meses de experiência exigidos: 3 Requisitos especiais: O contratante considerará para emprego qualquer pessoa que possua pelo menos três (3) meses de experiência em um ambiente de alta gastronomia ou de grande movimento em um restaurante sofisticado, resort ou clube privado. O candidato deverá se submeter a um exame toxicológico pré-admissional, custeado pelo empregador. Número de horas por semana: 40 Horário de trabalho (início/término): 7h às 15h</v>
      </c>
    </row>
    <row r="1034" ht="20.25" customHeight="1">
      <c r="A1034" s="3" t="s">
        <v>4797</v>
      </c>
      <c r="B1034" s="3" t="s">
        <v>4793</v>
      </c>
      <c r="C1034" s="3" t="s">
        <v>4241</v>
      </c>
      <c r="D1034" s="3" t="s">
        <v>71</v>
      </c>
      <c r="E1034" s="4" t="s">
        <v>44</v>
      </c>
      <c r="F1034" s="4" t="s">
        <v>20</v>
      </c>
      <c r="G1034" s="4" t="s">
        <v>384</v>
      </c>
      <c r="H1034" s="3" t="s">
        <v>4794</v>
      </c>
      <c r="I1034" s="3" t="s">
        <v>4795</v>
      </c>
      <c r="J1034" s="4">
        <v>25.0</v>
      </c>
      <c r="K1034" s="4">
        <v>10.0</v>
      </c>
      <c r="L1034" s="3" t="s">
        <v>387</v>
      </c>
      <c r="M1034" s="3" t="s">
        <v>4798</v>
      </c>
      <c r="N1034" s="7" t="str">
        <f>IFERROR(__xludf.DUMMYFUNCTION("GOOGLETRANSLATE(L1034, ""en"", ""pt"")"),"Ordem de serviço não disponível")</f>
        <v>Ordem de serviço não disponível</v>
      </c>
      <c r="O1034" s="7" t="str">
        <f>IFERROR(__xludf.DUMMYFUNCTION("IF(M1034="""","""",GOOGLETRANSLATE(M1034,""en"",""pt""))"),"Os cozinheiros serão responsáveis ​​por preparar, temperar e cozinhar sopas, carnes, legumes, sobremesas e outros pratos em um restaurante. Horário: 40 horas semanais. O horário de trabalho pode variar e incluir turnos noturnos, fins de semana e feriados."&amp;" O trabalho pode ser realizado em qualquer dia da semana, de segunda a domingo. Exemplos de turnos: 8h às 16h, 12h às 20h ou 14h às 22h. Os horários dos turnos podem variar. Consulte a descrição do cargo em anexo para obter mais informações. Classificação"&amp;" do Cargo: 35-2014.00 - Cozinheiros, Restaurante. A classificação e a descrição do cargo/setor incluem informações gerais sobre a posição, de acordo com o ONET/OES e o Sistema de Classificação Industrial da América do Norte (NAICS). Consulte as Funções e "&amp;"a Ordem de Serviço para obter mais informações. Requisitos da vaga Experiência exigida: Sim Meses de experiência exigidos: 6 Requisitos especiais: O contratante considerará para emprego qualquer pessoa que possua pelo menos seis (6) meses de experiência c"&amp;"ulinária em um ambiente de alta gastronomia ou de grande movimento em um restaurante sofisticado, resort ou clube privado. O candidato deverá se submeter a um exame toxicológico pré-admissional, custeado pelo empregador. Número de horas por semana: 40 Hor"&amp;"ário de trabalho (início/término): 8h às 16h")</f>
        <v>Os cozinheiros serão responsáveis ​​por preparar, temperar e cozinhar sopas, carnes, legumes, sobremesas e outros pratos em um restaurante. Horário: 40 horas semanais. O horário de trabalho pode variar e incluir turnos noturnos, fins de semana e feriados. O trabalho pode ser realizado em qualquer dia da semana, de segunda a domingo. Exemplos de turnos: 8h às 16h, 12h às 20h ou 14h às 22h. Os horários dos turnos podem variar. Consulte a descrição do cargo em anexo para obter mais informações. Classificação do Cargo: 35-2014.00 - Cozinheiros, Restaurante. A classificação e a descrição do cargo/setor incluem informações gerais sobre a posição, de acordo com o ONET/OES e o Sistema de Classificação Industrial da América do Norte (NAICS). Consulte as Funções e a Ordem de Serviço para obter mais informações. Requisitos da vaga Experiência exigida: Sim Meses de experiência exigidos: 6 Requisitos especiais: O contratante considerará para emprego qualquer pessoa que possua pelo menos seis (6) meses de experiência culinária em um ambiente de alta gastronomia ou de grande movimento em um restaurante sofisticado, resort ou clube privado. O candidato deverá se submeter a um exame toxicológico pré-admissional, custeado pelo empregador. Número de horas por semana: 40 Horário de trabalho (início/término): 8h às 16h</v>
      </c>
    </row>
    <row r="1035" ht="20.25" customHeight="1">
      <c r="A1035" s="8" t="s">
        <v>4799</v>
      </c>
      <c r="B1035" s="8" t="s">
        <v>4793</v>
      </c>
      <c r="C1035" s="8" t="s">
        <v>4241</v>
      </c>
      <c r="D1035" s="8" t="s">
        <v>71</v>
      </c>
      <c r="E1035" s="9" t="s">
        <v>44</v>
      </c>
      <c r="F1035" s="9" t="s">
        <v>20</v>
      </c>
      <c r="G1035" s="9" t="s">
        <v>384</v>
      </c>
      <c r="H1035" s="8" t="s">
        <v>4794</v>
      </c>
      <c r="I1035" s="8" t="s">
        <v>4795</v>
      </c>
      <c r="J1035" s="9">
        <v>27.22</v>
      </c>
      <c r="K1035" s="9">
        <v>1.0</v>
      </c>
      <c r="L1035" s="8" t="s">
        <v>4800</v>
      </c>
      <c r="M1035" s="8" t="s">
        <v>4801</v>
      </c>
      <c r="N1035" s="7" t="str">
        <f>IFERROR(__xludf.DUMMYFUNCTION("GOOGLETRANSLATE(L1035, ""en"", ""pt"")"),"Supervisor de Banquetes")</f>
        <v>Supervisor de Banquetes</v>
      </c>
      <c r="O1035" s="7" t="str">
        <f>IFERROR(__xludf.DUMMYFUNCTION("IF(M1035="""","""",GOOGLETRANSLATE(M1035,""en"",""pt""))"),"Os Supervisores de Banquetes serão responsáveis ​​por supervisionar a montagem, o serviço e a desmontagem dos salões de banquetes, incluindo a disposição das mesas, a colocação da decoração e a configuração e teste dos equipamentos audiovisuais; revisar a"&amp;"s Ordens de Serviço de Banquete (OSBs) antes de cada evento para confirmar o layout do salão, o cardápio, o horário, a equipe, os pedidos especiais e quaisquer especificações do cliente; coordenar com a cozinha para garantir a entrega pontual, as temperat"&amp;"uras corretas e a apresentação consistente dos alimentos e bebidas; monitorar o fluxo do evento e solucionar problemas operacionais em tempo real; resolver reclamações de hóspedes/membros de forma profissional e rápida; supervisionar, agendar e atribuir t"&amp;"arefas à equipe de serviço, equipes de montagem e auxiliares de limpeza para os eventos designados; manter o inventário e a condição de louças, copos, talheres, roupas de mesa, palcos e outros equipamentos de banquetes; coordenar reparos e substituições, "&amp;"se necessário; realizar as tarefas de abertura e fechamento dos eventos, incluindo a segurança dos salões e equipamentos; e auxiliar na emissão de faturas do evento, fornecendo informações pós-evento precisas e oportunas. Supervisionarão até vinte (20) Ga"&amp;"rçons e Auxiliares de Garçom. Horário: 40 horas por semana. O horário de trabalho pode variar e incluir turnos noturnos, fins de semana e feriados. O trabalho pode ser realizado em qualquer dia da semana, de segunda a domingo. Exemplos de turnos: 7h às 15"&amp;"h ou 14h às 22h. Os horários dos turnos podem variar. Consulte a descrição do cargo em anexo para obter mais informações. Classificação do Cargo: 27-4011.00 - Técnicos de Áudio e Vídeo. A classificação e a descrição do cargo/setor incluem informações gera"&amp;"is sobre a posição, de acordo com o ONET/OES e o Sistema de Classificação Industrial da América do Norte (NAICS). Consulte as Funções e a Ordem de Serviço para obter mais informações. Requisitos do Cargo Experiência Necessária: Sim Meses de Experiência Ne"&amp;"cessários: 6 Requisitos Especiais: O contratante considerará para emprego qualquer pessoa que possua pelo menos seis (6) meses de experiência em um ambiente de alta gastronomia ou de grande movimento em um restaurante sofisticado, resort ou clube privado."&amp;" O candidato deverá se submeter a um exame toxicológico pré-admissional, custeado pelo empregador. Número de horas por semana: 40 Horário de trabalho (início/término): 7h00 - 15h00")</f>
        <v>Os Supervisores de Banquetes serão responsáveis ​​por supervisionar a montagem, o serviço e a desmontagem dos salões de banquetes, incluindo a disposição das mesas, a colocação da decoração e a configuração e teste dos equipamentos audiovisuais; revisar as Ordens de Serviço de Banquete (OSBs) antes de cada evento para confirmar o layout do salão, o cardápio, o horário, a equipe, os pedidos especiais e quaisquer especificações do cliente; coordenar com a cozinha para garantir a entrega pontual, as temperaturas corretas e a apresentação consistente dos alimentos e bebidas; monitorar o fluxo do evento e solucionar problemas operacionais em tempo real; resolver reclamações de hóspedes/membros de forma profissional e rápida; supervisionar, agendar e atribuir tarefas à equipe de serviço, equipes de montagem e auxiliares de limpeza para os eventos designados; manter o inventário e a condição de louças, copos, talheres, roupas de mesa, palcos e outros equipamentos de banquetes; coordenar reparos e substituições, se necessário; realizar as tarefas de abertura e fechamento dos eventos, incluindo a segurança dos salões e equipamentos; e auxiliar na emissão de faturas do evento, fornecendo informações pós-evento precisas e oportunas. Supervisionarão até vinte (20) Garçons e Auxiliares de Garçom. Horário: 40 horas por semana. O horário de trabalho pode variar e incluir turnos noturnos, fins de semana e feriados. O trabalho pode ser realizado em qualquer dia da semana, de segunda a domingo. Exemplos de turnos: 7h às 15h ou 14h às 22h. Os horários dos turnos podem variar. Consulte a descrição do cargo em anexo para obter mais informações. Classificação do Cargo: 27-4011.00 - Técnicos de Áudio e Vídeo. A classificação e a descrição do cargo/setor incluem informações gerais sobre a posição, de acordo com o ONET/OES e o Sistema de Classificação Industrial da América do Norte (NAICS). Consulte as Funções e a Ordem de Serviço para obter mais informações. Requisitos do Cargo Experiência Necessária: Sim Meses de Experiência Necessários: 6 Requisitos Especiais: O contratante considerará para emprego qualquer pessoa que possua pelo menos seis (6) meses de experiência em um ambiente de alta gastronomia ou de grande movimento em um restaurante sofisticado, resort ou clube privado. O candidato deverá se submeter a um exame toxicológico pré-admissional, custeado pelo empregador. Número de horas por semana: 40 Horário de trabalho (início/término): 7h00 - 15h00</v>
      </c>
    </row>
    <row r="1036" ht="20.25" customHeight="1">
      <c r="A1036" s="3" t="s">
        <v>4802</v>
      </c>
      <c r="B1036" s="3" t="s">
        <v>4803</v>
      </c>
      <c r="C1036" s="3" t="s">
        <v>4241</v>
      </c>
      <c r="D1036" s="3" t="s">
        <v>126</v>
      </c>
      <c r="E1036" s="4" t="s">
        <v>19</v>
      </c>
      <c r="F1036" s="4" t="s">
        <v>20</v>
      </c>
      <c r="G1036" s="4" t="s">
        <v>4804</v>
      </c>
      <c r="H1036" s="3" t="s">
        <v>4805</v>
      </c>
      <c r="I1036" s="3" t="s">
        <v>4806</v>
      </c>
      <c r="J1036" s="4">
        <v>18.39</v>
      </c>
      <c r="K1036" s="4">
        <v>25.0</v>
      </c>
      <c r="L1036" s="3" t="s">
        <v>527</v>
      </c>
      <c r="M1036" s="3" t="s">
        <v>4807</v>
      </c>
      <c r="N1036" s="7" t="str">
        <f>IFERROR(__xludf.DUMMYFUNCTION("GOOGLETRANSLATE(L1036, ""en"", ""pt"")"),"máquina de lavar louça")</f>
        <v>máquina de lavar louça</v>
      </c>
      <c r="O1036" s="7" t="str">
        <f>IFERROR(__xludf.DUMMYFUNCTION("IF(M1036="""","""",GOOGLETRANSLATE(M1036,""en"",""pt""))"),"Os auxiliares de cozinha serão responsáveis ​​por lavar a louça e todos os utensílios de cozinha à máquina ou manualmente, manter as áreas de trabalho e os equipamentos da cozinha limpos, varrer e esfregar o chão, separar e descartar o lixo e poderão auxi"&amp;"liar na limpeza das mesas. Horário: 35 horas semanais. O horário de trabalho pode variar e incluir turnos noturnos, fins de semana e feriados. O trabalho pode ser realizado em qualquer dia da semana, de segunda a domingo. Exemplos de turnos: 7h às 14h, 8h"&amp;" às 15h e 9h às 16h. Os horários dos turnos podem variar. Consulte a descrição do cargo em anexo para obter mais informações. Classificação do Cargo: 35-9011.00 - Auxiliares de Salão e Refeitório e Auxiliares de Bar. A classificação e a descrição do cargo"&amp;"/setor incluem informações gerais sobre a posição, de acordo com o ONET/OES e o Sistema de Classificação Industrial da América do Norte (NAICS). Consulte as Funções e a Ordem de Serviço para obter mais informações. Requisitos da vaga Experiência exigida: "&amp;"Sim Meses de experiência exigidos: 3 Requisitos especiais: O contratante considerará para emprego qualquer pessoa que possua pelo menos três (3) meses de experiência em restaurante, resort ou clube privado. Número de horas por semana: 35 Horário de trabal"&amp;"ho (início/término): 7h00 - 14h00")</f>
        <v>Os auxiliares de cozinha serão responsáveis ​​por lavar a louça e todos os utensílios de cozinha à máquina ou manualmente, manter as áreas de trabalho e os equipamentos da cozinha limpos, varrer e esfregar o chão, separar e descartar o lixo e poderão auxiliar na limpeza das mesas. Horário: 35 horas semanais. O horário de trabalho pode variar e incluir turnos noturnos, fins de semana e feriados. O trabalho pode ser realizado em qualquer dia da semana, de segunda a domingo. Exemplos de turnos: 7h às 14h, 8h às 15h e 9h às 16h. Os horários dos turnos podem variar. Consulte a descrição do cargo em anexo para obter mais informações. Classificação do Cargo: 35-9011.00 - Auxiliares de Salão e Refeitório e Auxiliares de Bar. A classificação e a descrição do cargo/setor incluem informações gerais sobre a posição, de acordo com o ONET/OES e o Sistema de Classificação Industrial da América do Norte (NAICS). Consulte as Funções e a Ordem de Serviço para obter mais informações. Requisitos da vaga Experiência exigida: Sim Meses de experiência exigidos: 3 Requisitos especiais: O contratante considerará para emprego qualquer pessoa que possua pelo menos três (3) meses de experiência em restaurante, resort ou clube privado. Número de horas por semana: 35 Horário de trabalho (início/término): 7h00 - 14h00</v>
      </c>
    </row>
    <row r="1037" ht="20.25" customHeight="1">
      <c r="A1037" s="8" t="s">
        <v>4808</v>
      </c>
      <c r="B1037" s="8" t="s">
        <v>4803</v>
      </c>
      <c r="C1037" s="8" t="s">
        <v>4241</v>
      </c>
      <c r="D1037" s="8" t="s">
        <v>126</v>
      </c>
      <c r="E1037" s="9" t="s">
        <v>19</v>
      </c>
      <c r="F1037" s="9" t="s">
        <v>20</v>
      </c>
      <c r="G1037" s="9" t="s">
        <v>4804</v>
      </c>
      <c r="H1037" s="8" t="s">
        <v>4805</v>
      </c>
      <c r="I1037" s="8" t="s">
        <v>4806</v>
      </c>
      <c r="J1037" s="9">
        <v>27.08</v>
      </c>
      <c r="K1037" s="9">
        <v>8.0</v>
      </c>
      <c r="L1037" s="8" t="s">
        <v>4809</v>
      </c>
      <c r="M1037" s="8" t="s">
        <v>4810</v>
      </c>
      <c r="N1037" s="7" t="str">
        <f>IFERROR(__xludf.DUMMYFUNCTION("GOOGLETRANSLATE(L1037, ""en"", ""pt"")"),"Líder de Cozinha")</f>
        <v>Líder de Cozinha</v>
      </c>
      <c r="O1037" s="7" t="str">
        <f>IFERROR(__xludf.DUMMYFUNCTION("IF(M1037="""","""",GOOGLETRANSLATE(M1037,""en"",""pt""))"),"Os Líderes de Cozinha serão responsáveis ​​por preparar, temperar e cozinhar sopas, carnes, legumes, sobremesas e outros itens alimentícios de acordo com as especificações do Chef Executivo, gerenciando um departamento ou estação específica dentro da cozi"&amp;"nha ou restaurante, gerenciando a produção de alimentos em sua estação designada, coordenando-se com a equipe de cozinha em outras estações, supervisionando o preparo e a apresentação de todos os pratos, supervisionando e treinando a equipe de cozinha de "&amp;"nível inferior em práticas de manipulação de alimentos, incluindo rotação adequada, higienização das áreas de armazenamento e etiquetagem/datação para garantir a conformidade com os padrões de saúde e segurança, auxiliando na direção, treinamento e superv"&amp;"isão da equipe de cozinha, atribuindo tarefas à equipe de cozinha, elaborando a escala de trabalho da equipe de acordo com o volume de negócios e auxiliando nos pedidos de alimentos para manter os níveis de estoque e garantir a disponibilidade de ingredie"&amp;"ntes. Pode ser necessário levantar e carregar até 34 kg. Pode supervisionar até dez (10) funcionários, incluindo Lavadores de Louça, Cozinheiros: Iniciante, Cozinheiros: Intermediário e Cozinheiros: Avançado. Horário: 35 horas por semana. O horário de tra"&amp;"balho pode variar e incluir noites, fins de semana e feriados. O trabalho pode ser realizado em qualquer dia da semana, de segunda a domingo. Exemplos de turnos: 7h às 14h, 8h às 15h e 9h às 16h. Os horários dos turnos podem variar. Consulte a descrição d"&amp;"o cargo em anexo para obter mais informações. Classificação do Cargo: 35-1012.00 - Supervisores de Primeira Linha de Preparadores e Atendentes de Alimentos. A classificação e a descrição do cargo/setor incluem informações gerais sobre a posição, de acordo"&amp;" com o ONET/OES e o Sistema de Classificação Industrial da América do Norte (NAICS). Consulte as Funções e a Ordem de Serviço para obter mais informações. Requisitos do Cargo Experiência Necessária: Sim Meses de Experiência Necessários: 12 Requisitos Espe"&amp;"ciais: O contratante considerará para emprego qualquer pessoa que possua pelo menos um (1) ano de experiência em um ambiente de alto volume em um restaurante, resort ou clube privado. Número de Horas por Semana: 35 Horário de Trabalho (Início/Término): 7h"&amp;" às 14h")</f>
        <v>Os Líderes de Cozinha serão responsáveis ​​por preparar, temperar e cozinhar sopas, carnes, legumes, sobremesas e outros itens alimentícios de acordo com as especificações do Chef Executivo, gerenciando um departamento ou estação específica dentro da cozinha ou restaurante, gerenciando a produção de alimentos em sua estação designada, coordenando-se com a equipe de cozinha em outras estações, supervisionando o preparo e a apresentação de todos os pratos, supervisionando e treinando a equipe de cozinha de nível inferior em práticas de manipulação de alimentos, incluindo rotação adequada, higienização das áreas de armazenamento e etiquetagem/datação para garantir a conformidade com os padrões de saúde e segurança, auxiliando na direção, treinamento e supervisão da equipe de cozinha, atribuindo tarefas à equipe de cozinha, elaborando a escala de trabalho da equipe de acordo com o volume de negócios e auxiliando nos pedidos de alimentos para manter os níveis de estoque e garantir a disponibilidade de ingredientes. Pode ser necessário levantar e carregar até 34 kg. Pode supervisionar até dez (10) funcionários, incluindo Lavadores de Louça, Cozinheiros: Iniciante, Cozinheiros: Intermediário e Cozinheiros: Avançado. Horário: 35 horas por semana. O horário de trabalho pode variar e incluir noites, fins de semana e feriados. O trabalho pode ser realizado em qualquer dia da semana, de segunda a domingo. Exemplos de turnos: 7h às 14h, 8h às 15h e 9h às 16h. Os horários dos turnos podem variar. Consulte a descrição do cargo em anexo para obter mais informações. Classificação do Cargo: 35-1012.00 - Supervisores de Primeira Linha de Preparadores e Atendentes de Alimentos. A classificação e a descrição do cargo/setor incluem informações gerais sobre a posição, de acordo com o ONET/OES e o Sistema de Classificação Industrial da América do Norte (NAICS). Consulte as Funções e a Ordem de Serviço para obter mais informações. Requisitos do Cargo Experiência Necessária: Sim Meses de Experiência Necessários: 12 Requisitos Especiais: O contratante considerará para emprego qualquer pessoa que possua pelo menos um (1) ano de experiência em um ambiente de alto volume em um restaurante, resort ou clube privado. Número de Horas por Semana: 35 Horário de Trabalho (Início/Término): 7h às 14h</v>
      </c>
    </row>
    <row r="1038" ht="20.25" customHeight="1">
      <c r="A1038" s="3" t="s">
        <v>4811</v>
      </c>
      <c r="B1038" s="3" t="s">
        <v>4812</v>
      </c>
      <c r="C1038" s="3" t="s">
        <v>1474</v>
      </c>
      <c r="D1038" s="3" t="s">
        <v>109</v>
      </c>
      <c r="E1038" s="4" t="s">
        <v>19</v>
      </c>
      <c r="F1038" s="4" t="s">
        <v>20</v>
      </c>
      <c r="G1038" s="4" t="s">
        <v>146</v>
      </c>
      <c r="H1038" s="3" t="s">
        <v>4813</v>
      </c>
      <c r="I1038" s="3" t="s">
        <v>4814</v>
      </c>
      <c r="J1038" s="4">
        <v>18.94</v>
      </c>
      <c r="K1038" s="4">
        <v>6.0</v>
      </c>
      <c r="L1038" s="3" t="s">
        <v>4815</v>
      </c>
      <c r="M1038" s="3" t="s">
        <v>4816</v>
      </c>
      <c r="N1038" s="7" t="str">
        <f>IFERROR(__xludf.DUMMYFUNCTION("GOOGLETRANSLATE(L1038, ""en"", ""pt"")"),"Ajudante de pintor e lavador de alta pressão")</f>
        <v>Ajudante de pintor e lavador de alta pressão</v>
      </c>
      <c r="O1038" s="7" t="str">
        <f>IFERROR(__xludf.DUMMYFUNCTION("IF(M1038="""","""",GOOGLETRANSLATE(M1038,""en"",""pt""))"),"Auxiliar pintores executando tarefas de menor complexidade. As tarefas incluem usar, fornecer ou segurar materiais ou ferramentas, pintar, lavar com jato de água, limpar a área de trabalho e os equipamentos, realizar atividades físicas como levantar, equi"&amp;"librar-se, caminhar, agachar-se, posicionar-se, mover e manipular materiais, usar força estática para exercer força muscular máxima para levantar, empurrar e executar o trabalho descrito. É necessário ter disponibilidade durante todo o período especificad"&amp;"o e trabalhar em todas as áreas do local de trabalho. O horário de trabalho é de segunda a sexta-feira. A escala pode variar. Trabalho aos fins de semana será necessário quando preciso. Horas extras variam. Classificação da Função: 47-3014.00 - Ajudantes "&amp;"- Pintores, Aplicadores de Papel de Parede, Gesseiros e Pedreiros de Estuque. A classificação e descrição da função/setor inclui informações gerais sobre o cargo, conforme o ONET/OES e o Sistema de Classificação Industrial da América do Norte. Consulte as"&amp;" Funções e a Ordem de Serviço para obter mais informações. Requisitos da Função Experiência Necessária: Sim Meses de Experiência Necessários: 3 Requisitos Especiais: DEVE COMPROVAR 3 MESES DE EXPERIÊNCIA COMO AJUDANTE DE PINTOR E LAVADOR DE ALTA PRESSÃO. "&amp;"Número de Horas por Semana: 40 Horário de Trabalho (Início/Término): 8h00 - 16h00")</f>
        <v>Auxiliar pintores executando tarefas de menor complexidade. As tarefas incluem usar, fornecer ou segurar materiais ou ferramentas, pintar, lavar com jato de água, limpar a área de trabalho e os equipamentos, realizar atividades físicas como levantar, equilibrar-se, caminhar, agachar-se, posicionar-se, mover e manipular materiais, usar força estática para exercer força muscular máxima para levantar, empurrar e executar o trabalho descrito. É necessário ter disponibilidade durante todo o período especificado e trabalhar em todas as áreas do local de trabalho. O horário de trabalho é de segunda a sexta-feira. A escala pode variar. Trabalho aos fins de semana será necessário quando preciso. Horas extras variam. Classificação da Função: 47-3014.00 - Ajudantes - Pintores, Aplicadores de Papel de Parede, Gesseiros e Pedreiros de Estuque. A classificação e descrição da função/setor inclui informações gerais sobre o cargo, conforme o ONET/OES e o Sistema de Classificação Industrial da América do Norte. Consulte as Funções e a Ordem de Serviço para obter mais informações. Requisitos da Função Experiência Necessária: Sim Meses de Experiência Necessários: 3 Requisitos Especiais: DEVE COMPROVAR 3 MESES DE EXPERIÊNCIA COMO AJUDANTE DE PINTOR E LAVADOR DE ALTA PRESSÃO. Número de Horas por Semana: 40 Horário de Trabalho (Início/Término): 8h00 - 16h00</v>
      </c>
    </row>
    <row r="1039" ht="20.25" customHeight="1">
      <c r="A1039" s="8" t="s">
        <v>4817</v>
      </c>
      <c r="B1039" s="8" t="s">
        <v>4818</v>
      </c>
      <c r="C1039" s="8" t="s">
        <v>3974</v>
      </c>
      <c r="D1039" s="8" t="s">
        <v>28</v>
      </c>
      <c r="E1039" s="9" t="s">
        <v>44</v>
      </c>
      <c r="F1039" s="9" t="s">
        <v>20</v>
      </c>
      <c r="G1039" s="9" t="s">
        <v>377</v>
      </c>
      <c r="H1039" s="8" t="s">
        <v>4819</v>
      </c>
      <c r="I1039" s="8" t="s">
        <v>4002</v>
      </c>
      <c r="J1039" s="9">
        <v>25.79</v>
      </c>
      <c r="K1039" s="9">
        <v>20.0</v>
      </c>
      <c r="L1039" s="8" t="s">
        <v>3490</v>
      </c>
      <c r="M1039" s="8" t="s">
        <v>4003</v>
      </c>
      <c r="N1039" s="7" t="str">
        <f>IFERROR(__xludf.DUMMYFUNCTION("GOOGLETRANSLATE(L1039, ""en"", ""pt"")"),"Marinheiro de convés, barco de pesca de ostras")</f>
        <v>Marinheiro de convés, barco de pesca de ostras</v>
      </c>
      <c r="O1039" s="7" t="str">
        <f>IFERROR(__xludf.DUMMYFUNCTION("IF(M1039="""","""",GOOGLETRANSLATE(M1039,""en"",""pt""))"),"Utilizar redes, armadilhas, dragas ou outros equipamentos para colher e coletar ostras do fundo do mar, içá-las para os barcos, ensacá-las e empilhá-las. Descarregar os sacos do barco para o cais. Limpar o barco. Classificação da função: 45-3031.00 - Trab"&amp;"alhadores da Pesca e Caça. A classificação e descrição da função/setor inclui informações gerais sobre o cargo, de acordo com o ONET/OES e o Sistema de Classificação Industrial da América do Norte. Consulte as Funções e a Ordem de Serviço para obter mais "&amp;"informações. Requisitos da função: Experiência necessária: Não. Número de horas por semana: 40. Horário de trabalho (início/término): 6h às 14h.")</f>
        <v>Utilizar redes, armadilhas, dragas ou outros equipamentos para colher e coletar ostras do fundo do mar, içá-las para os barcos, ensacá-las e empilhá-las. Descarregar os sacos do barco para o cais. Limpar o barco. Classificação da função: 45-3031.00 - Trabalhadores da Pesca e Caça. A classificação e descrição da função/setor inclui informações gerais sobre o cargo, de acordo com o ONET/OES e o Sistema de Classificação Industrial da América do Norte. Consulte as Funções e a Ordem de Serviço para obter mais informações. Requisitos da função: Experiência necessária: Não. Número de horas por semana: 40. Horário de trabalho (início/término): 6h às 14h.</v>
      </c>
    </row>
    <row r="1040" ht="20.25" customHeight="1">
      <c r="A1040" s="3" t="s">
        <v>4820</v>
      </c>
      <c r="B1040" s="3" t="s">
        <v>4821</v>
      </c>
      <c r="C1040" s="3" t="s">
        <v>444</v>
      </c>
      <c r="D1040" s="3" t="s">
        <v>4822</v>
      </c>
      <c r="E1040" s="4" t="s">
        <v>44</v>
      </c>
      <c r="F1040" s="4" t="s">
        <v>20</v>
      </c>
      <c r="G1040" s="4" t="s">
        <v>155</v>
      </c>
      <c r="H1040" s="10" t="s">
        <v>4823</v>
      </c>
      <c r="I1040" s="3" t="s">
        <v>4824</v>
      </c>
      <c r="J1040" s="4">
        <v>19.57</v>
      </c>
      <c r="K1040" s="4">
        <v>8.0</v>
      </c>
      <c r="L1040" s="3" t="s">
        <v>165</v>
      </c>
      <c r="M1040" s="3" t="s">
        <v>4825</v>
      </c>
      <c r="N1040" s="7" t="str">
        <f>IFERROR(__xludf.DUMMYFUNCTION("GOOGLETRANSLATE(L1040, ""en"", ""pt"")"),"Trabalhador de remoção de neve")</f>
        <v>Trabalhador de remoção de neve</v>
      </c>
      <c r="O1040" s="7" t="str">
        <f>IFERROR(__xludf.DUMMYFUNCTION("IF(M1040="""","""",GOOGLETRANSLATE(M1040,""en"",""pt""))"),"Os trabalhadores realizarão a remoção sazonal de neve em propriedades privadas, incluindo residências e estabelecimentos comerciais. As tarefas incluem remover neve de calçadas, escadas, entradas, áreas de carga e descarga e acessos para veículos; aplicar"&amp;" descongelante e espalhar sal manualmente; e operar ferramentas e equipamentos de baixa potência para remoção de neve, como pás manuais e pequenos sopradores de neve residenciais/comerciais (não acoplados a veículos). Os trabalhadores também se prepararão"&amp;" para a chegada e a saída de eventos climáticos de inverno, removendo a neve e o gelo acumulados e restaurando áreas seguras para pedestres e estacionamento. O trabalho é realizado apenas em propriedades privadas ou contratadas por empresas privadas e não"&amp;" inclui a manutenção de vias públicas, rodovias ou infraestrutura municipal. Salário: O salário base é de US$ 19,57 por hora. Será pago um adicional de horas extras no valor de US$ 29,36/hora, quando exigido por lei federal, estadual ou local, incluindo h"&amp;"ora e meia após 40 horas semanais de trabalho. O empregador poderá oferecer aumentos/bônus a funcionários temporários contratados sob esta ordem de serviço, a seu exclusivo critério, com base em fatores individuais como desempenho, habilidades e tempo de "&amp;"serviço. Os salários serão calculados com base em uma única semana de trabalho. Os funcionários receberão pagamento semanalmente. Horário: Os turnos variam, mas um dia de trabalho típico pode ser das 8h às 16h, de segunda a sexta-feira. A carga horária es"&amp;"perada é de aproximadamente 35 horas semanais. O empregador poderá oferecer mais horas do que o especificado, dependendo das necessidades da empresa e de outras condições. O trabalho é realizado em um período de 24 horas em vários turnos (das 21h às 5h, d"&amp;"as 3h às 11h e das 8h às 16h). O trabalho aos sábados e domingos poderá ser necessário, dependendo das condições climáticas e das necessidades da empresa. Poderá haver disponibilidade para horas extras. Classificação da vaga: 37-2011.00 - Zeladores e Faxi"&amp;"neiros, exceto empregadas domésticas e faxineiras. A classificação e descrição da vaga/setor incluem informações gerais sobre o cargo, de acordo com o ONET/OES e o Sistema de Classificação Industrial da América do Norte (NAICS). Consulte as Funções e a Or"&amp;"dem de Serviço para obter mais informações. Requisitos da vaga: Experiência exigida: Não. Requisitos especiais: Não há exigência de escolaridade ou experiência mínima. É necessário ter 18 anos devido ao uso de equipamentos. É necessário ser capaz de reali"&amp;"zar trabalho físico ao ar livre em todas as condições climáticas, incluindo frio, neve e granizo. É necessário ser capaz de levantar, carregar, empurrar e puxar objetos de até 45 kg (possivelmente com a ajuda de outra pessoa). Todos os candidatos devem se"&amp;"r capazes, estar dispostos e qualificados para realizar o trabalho descrito durante todo o período especificado. O candidato deve preencher uma ficha de emprego. Deve apresentar comprovante de autorização legal para trabalhar nos EUA. Ambiente de trabalho"&amp;" livre de drogas, álcool e tabaco. Número de horas por semana: 35. Horário de trabalho (início/término): 8h. - 16:00")</f>
        <v>Os trabalhadores realizarão a remoção sazonal de neve em propriedades privadas, incluindo residências e estabelecimentos comerciais. As tarefas incluem remover neve de calçadas, escadas, entradas, áreas de carga e descarga e acessos para veículos; aplicar descongelante e espalhar sal manualmente; e operar ferramentas e equipamentos de baixa potência para remoção de neve, como pás manuais e pequenos sopradores de neve residenciais/comerciais (não acoplados a veículos). Os trabalhadores também se prepararão para a chegada e a saída de eventos climáticos de inverno, removendo a neve e o gelo acumulados e restaurando áreas seguras para pedestres e estacionamento. O trabalho é realizado apenas em propriedades privadas ou contratadas por empresas privadas e não inclui a manutenção de vias públicas, rodovias ou infraestrutura municipal. Salário: O salário base é de US$ 19,57 por hora. Será pago um adicional de horas extras no valor de US$ 29,36/hora, quando exigido por lei federal, estadual ou local, incluindo hora e meia após 40 horas semanais de trabalho. O empregador poderá oferecer aumentos/bônus a funcionários temporários contratados sob esta ordem de serviço, a seu exclusivo critério, com base em fatores individuais como desempenho, habilidades e tempo de serviço. Os salários serão calculados com base em uma única semana de trabalho. Os funcionários receberão pagamento semanalmente. Horário: Os turnos variam, mas um dia de trabalho típico pode ser das 8h às 16h, de segunda a sexta-feira. A carga horária esperada é de aproximadamente 35 horas semanais. O empregador poderá oferecer mais horas do que o especificado, dependendo das necessidades da empresa e de outras condições. O trabalho é realizado em um período de 24 horas em vários turnos (das 21h às 5h, das 3h às 11h e das 8h às 16h). O trabalho aos sábados e domingos poderá ser necessário, dependendo das condições climáticas e das necessidades da empresa. Poderá haver disponibilidade para horas extras. Classificação da vaga: 37-2011.00 - Zeladores e Faxineiros, exceto empregadas domésticas e faxineiras. A classificação e descrição da vaga/setor incluem informações gerais sobre o cargo, de acordo com o ONET/OES e o Sistema de Classificação Industrial da América do Norte (NAICS). Consulte as Funções e a Ordem de Serviço para obter mais informações. Requisitos da vaga: Experiência exigida: Não. Requisitos especiais: Não há exigência de escolaridade ou experiência mínima. É necessário ter 18 anos devido ao uso de equipamentos. É necessário ser capaz de realizar trabalho físico ao ar livre em todas as condições climáticas, incluindo frio, neve e granizo. É necessário ser capaz de levantar, carregar, empurrar e puxar objetos de até 45 kg (possivelmente com a ajuda de outra pessoa). Todos os candidatos devem ser capazes, estar dispostos e qualificados para realizar o trabalho descrito durante todo o período especificado. O candidato deve preencher uma ficha de emprego. Deve apresentar comprovante de autorização legal para trabalhar nos EUA. Ambiente de trabalho livre de drogas, álcool e tabaco. Número de horas por semana: 35. Horário de trabalho (início/término): 8h. - 16:00</v>
      </c>
    </row>
    <row r="1041" ht="20.25" customHeight="1">
      <c r="A1041" s="3" t="s">
        <v>4826</v>
      </c>
      <c r="B1041" s="3" t="s">
        <v>4827</v>
      </c>
      <c r="C1041" s="3" t="s">
        <v>63</v>
      </c>
      <c r="D1041" s="3" t="s">
        <v>2494</v>
      </c>
      <c r="E1041" s="4" t="s">
        <v>19</v>
      </c>
      <c r="F1041" s="4" t="s">
        <v>20</v>
      </c>
      <c r="G1041" s="4" t="s">
        <v>229</v>
      </c>
      <c r="H1041" s="10" t="s">
        <v>4828</v>
      </c>
      <c r="I1041" s="3" t="s">
        <v>4829</v>
      </c>
      <c r="J1041" s="4">
        <v>14.89</v>
      </c>
      <c r="K1041" s="4">
        <v>5.0</v>
      </c>
      <c r="L1041" s="3" t="s">
        <v>4830</v>
      </c>
      <c r="M1041" s="3" t="s">
        <v>4831</v>
      </c>
      <c r="N1041" s="7" t="str">
        <f>IFERROR(__xludf.DUMMYFUNCTION("GOOGLETRANSLATE(L1041, ""en"", ""pt"")"),"Empacotadores e embaladores manuais.")</f>
        <v>Empacotadores e embaladores manuais.</v>
      </c>
      <c r="O1041" s="7" t="str">
        <f>IFERROR(__xludf.DUMMYFUNCTION("IF(M1041="""","""",GOOGLETRANSLATE(M1041,""en"",""pt""))"),"Embalar ou acondicionar manualmente uma ampla variedade de produtos e materiais. Classificação da função: 53-7064.00 - Embaladores e Acondicionadores Manuais. A classificação e descrição da função/setor inclui informações gerais sobre o cargo, de acordo c"&amp;"om o ONET/OES e o Sistema de Classificação Industrial da América do Norte (NAICS). Consulte as Funções e a Ordem de Serviço para obter mais informações. Requisitos da função: Experiência necessária: Não. Requisitos especiais: Deve ser capaz de levantar/ca"&amp;"rregar 27 kg, quando necessário. Trabalho aos sábados, quando necessário. Teste de drogas pago pelo empregador é obrigatório para trabalhadores estrangeiros e nacionais antes do início do trabalho e após a contratação, aleatoriamente, em caso de suspeita "&amp;"de uso e após acidente. Verificação de antecedentes e elegibilidade para emprego (e-Verify) após a contratação é obrigatória para trabalhadores estrangeiros e nacionais. O empregador pode oferecer mais horas de trabalho do que as indicadas, dependendo do "&amp;"clima, das necessidades da empresa e de outras condições. Calor extremo, frio, chuva ou seca podem afetar o horário de trabalho exato. Número de horas por semana: 40. Horário de trabalho (início/término): 7h30. - 16h30")</f>
        <v>Embalar ou acondicionar manualmente uma ampla variedade de produtos e materiais. Classificação da função: 53-7064.00 - Embaladores e Acondicionadores Manuais. A classificação e descrição da função/setor inclui informações gerais sobre o cargo, de acordo com o ONET/OES e o Sistema de Classificação Industrial da América do Norte (NAICS). Consulte as Funções e a Ordem de Serviço para obter mais informações. Requisitos da função: Experiência necessária: Não. Requisitos especiais: Deve ser capaz de levantar/carregar 27 kg, quando necessário. Trabalho aos sábados, quando necessário. Teste de drogas pago pelo empregador é obrigatório para trabalhadores estrangeiros e nacionais antes do início do trabalho e após a contratação, aleatoriamente, em caso de suspeita de uso e após acidente. Verificação de antecedentes e elegibilidade para emprego (e-Verify) após a contratação é obrigatória para trabalhadores estrangeiros e nacionais. O empregador pode oferecer mais horas de trabalho do que as indicadas, dependendo do clima, das necessidades da empresa e de outras condições. Calor extremo, frio, chuva ou seca podem afetar o horário de trabalho exato. Número de horas por semana: 40. Horário de trabalho (início/término): 7h30. - 16h30</v>
      </c>
    </row>
    <row r="1042" ht="20.25" customHeight="1">
      <c r="A1042" s="3" t="s">
        <v>4832</v>
      </c>
      <c r="B1042" s="3" t="s">
        <v>4833</v>
      </c>
      <c r="C1042" s="3"/>
      <c r="D1042" s="3" t="s">
        <v>109</v>
      </c>
      <c r="E1042" s="4" t="s">
        <v>19</v>
      </c>
      <c r="F1042" s="4" t="s">
        <v>20</v>
      </c>
      <c r="G1042" s="4" t="s">
        <v>1700</v>
      </c>
      <c r="H1042" s="3" t="s">
        <v>4740</v>
      </c>
      <c r="I1042" s="3" t="s">
        <v>4741</v>
      </c>
      <c r="J1042" s="4">
        <v>19.86</v>
      </c>
      <c r="K1042" s="4">
        <v>1.0</v>
      </c>
      <c r="L1042" s="3" t="s">
        <v>1477</v>
      </c>
      <c r="M1042" s="3" t="s">
        <v>4834</v>
      </c>
      <c r="N1042" s="7" t="str">
        <f>IFERROR(__xludf.DUMMYFUNCTION("GOOGLETRANSLATE(L1042, ""en"", ""pt"")"),"Trabalhador de paisagismo")</f>
        <v>Trabalhador de paisagismo</v>
      </c>
      <c r="O1042" s="7" t="str">
        <f>IFERROR(__xludf.DUMMYFUNCTION("IF(M1042="""","""",GOOGLETRANSLATE(M1042,""en"",""pt""))"),"Paisagismo ou manutenção de terrenos de propriedades utilizando ferramentas ou equipamentos manuais ou elétricos. O trabalho tipicamente envolve a execução de uma variedade de tarefas, que podem incluir qualquer combinação das seguintes: colocação de gram"&amp;"a, corte de grama, poda, plantio, rega, fertilização, escavação, rastelagem, instalação de sistema de irrigação, instalação de blocos de concreto pré-moldado sem argamassa e quaisquer outras tarefas relacionadas. Realizar atividades físicas como levantar,"&amp;" equilibrar-se, caminhar, agachar-se, posicionar-se, mover e manipular materiais, utilizando força estática para exercer força muscular máxima para levantar, empurrar, puxar e carregar objetos de até 34 kg (75 libras). TODOS OS CANDIDATOS DEVEM SER CAPAZE"&amp;"S, ESTIVEREM DISPOSTOS E QUALIFICADOS PARA EXECUTAR O TRABALHO DESCRITO E DEVEM ESTAR DISPONÍVEIS DURANTE TODO O PERÍODO ESPECIFICADO E TRABALHAR EM TODAS AS ÁREAS DE EMPREGO PRETENDIDO. DE SEGUNDA A SEXTA-FEIRA. TRABALHO AOS FINS DE SEMANA EXIGIDO QUANDO"&amp;" NECESSÁRIO. HORÁRIO VARIÁVEL. HORAS EXTRAS VARIÁVEIS. Classificação do Cargo: 37-3011.00 - Trabalhadores de Paisagismo e Manutenção de Jardins. A classificação e descrição do cargo/setor inclui informações gerais sobre a posição, de acordo com o ONET/OES"&amp;" e o Sistema de Classificação Industrial da América do Norte. Consulte as Funções e a Ordem de Serviço para obter mais informações. Requisitos do Cargo: Experiência Necessária: Sim. Meses de Experiência Necessários: 3. Requisitos Especiais: DEVE COMPROVAR"&amp;" TRÊS MESES DE EXPERIÊNCIA COMO AUXILIAR DE PAISAGISMO. O EMPREGADOR PAGA A VERIFICAÇÃO DE ANTECEDENTES CRIMINAIS E O TESTE DE DROGAS ANTES DA CONTRATAÇÃO. Número de horas por semana: 40. Horário de trabalho (início/término): 6h30 às 14h30.")</f>
        <v>Paisagismo ou manutenção de terrenos de propriedades utilizando ferramentas ou equipamentos manuais ou elétricos. O trabalho tipicamente envolve a execução de uma variedade de tarefas, que podem incluir qualquer combinação das seguintes: colocação de grama, corte de grama, poda, plantio, rega, fertilização, escavação, rastelagem, instalação de sistema de irrigação, instalação de blocos de concreto pré-moldado sem argamassa e quaisquer outras tarefas relacionadas. Realizar atividades físicas como levantar, equilibrar-se, caminhar, agachar-se, posicionar-se, mover e manipular materiais, utilizando força estática para exercer força muscular máxima para levantar, empurrar, puxar e carregar objetos de até 34 kg (75 libras). TODOS OS CANDIDATOS DEVEM SER CAPAZES, ESTIVEREM DISPOSTOS E QUALIFICADOS PARA EXECUTAR O TRABALHO DESCRITO E DEVEM ESTAR DISPONÍVEIS DURANTE TODO O PERÍODO ESPECIFICADO E TRABALHAR EM TODAS AS ÁREAS DE EMPREGO PRETENDIDO. DE SEGUNDA A SEXTA-FEIRA. TRABALHO AOS FINS DE SEMANA EXIGIDO QUANDO NECESSÁRIO. HORÁRIO VARIÁVEL. HORAS EXTRAS VARIÁVEIS. Classificação do Cargo: 37-3011.00 - Trabalhadores de Paisagismo e Manutenção de Jardins. A classificação e descrição do cargo/setor inclui informações gerais sobre a posição, de acordo com o ONET/OES e o Sistema de Classificação Industrial da América do Norte. Consulte as Funções e a Ordem de Serviço para obter mais informações. Requisitos do Cargo: Experiência Necessária: Sim. Meses de Experiência Necessários: 3. Requisitos Especiais: DEVE COMPROVAR TRÊS MESES DE EXPERIÊNCIA COMO AUXILIAR DE PAISAGISMO. O EMPREGADOR PAGA A VERIFICAÇÃO DE ANTECEDENTES CRIMINAIS E O TESTE DE DROGAS ANTES DA CONTRATAÇÃO. Número de horas por semana: 40. Horário de trabalho (início/término): 6h30 às 14h30.</v>
      </c>
    </row>
    <row r="1043" ht="20.25" customHeight="1">
      <c r="A1043" s="8" t="s">
        <v>4835</v>
      </c>
      <c r="B1043" s="8" t="s">
        <v>4651</v>
      </c>
      <c r="C1043" s="8" t="s">
        <v>4241</v>
      </c>
      <c r="D1043" s="8" t="s">
        <v>71</v>
      </c>
      <c r="E1043" s="9" t="s">
        <v>19</v>
      </c>
      <c r="F1043" s="9" t="s">
        <v>20</v>
      </c>
      <c r="G1043" s="9" t="s">
        <v>524</v>
      </c>
      <c r="H1043" s="8" t="s">
        <v>4652</v>
      </c>
      <c r="I1043" s="8" t="s">
        <v>4653</v>
      </c>
      <c r="J1043" s="9">
        <v>17.7</v>
      </c>
      <c r="K1043" s="9">
        <v>9.0</v>
      </c>
      <c r="L1043" s="8" t="s">
        <v>527</v>
      </c>
      <c r="M1043" s="8" t="s">
        <v>4836</v>
      </c>
      <c r="N1043" s="7" t="str">
        <f>IFERROR(__xludf.DUMMYFUNCTION("GOOGLETRANSLATE(L1043, ""en"", ""pt"")"),"máquina de lavar louça")</f>
        <v>máquina de lavar louça</v>
      </c>
      <c r="O1043" s="7" t="str">
        <f>IFERROR(__xludf.DUMMYFUNCTION("IF(M1043="""","""",GOOGLETRANSLATE(M1043,""en"",""pt""))"),"Os auxiliares de cozinha serão responsáveis ​​por lavar a louça e todos os utensílios de cozinha à mão ou na máquina, manter as áreas de trabalho e os equipamentos da cozinha limpos, varrer e esfregar o chão, preparar (sem cozinhar) diversos alimentos par"&amp;"a serem cozidos ou servidos e separar e descartar o lixo. Horário: 35 horas semanais. O horário de trabalho pode variar e incluir turnos noturnos, fins de semana e feriados. O trabalho pode ser realizado em qualquer dia da semana, de segunda a domingo. Ex"&amp;"emplos de turnos: 12h às 19h, 14h às 21h ou 9h às 16h. Os horários dos turnos podem variar. Consulte a descrição do cargo em anexo para obter mais informações. Classificação do Cargo: 35-2021.00 - Auxiliares de Cozinha. A classificação e a descrição do ca"&amp;"rgo/setor incluem informações gerais sobre a posição, de acordo com o ONET/OES e o Sistema de Classificação Industrial da América do Norte. Consulte as Funções e a Ordem de Serviço para obter mais informações. Requisitos da vaga Experiência exigida: Sim M"&amp;"eses de experiência exigidos: 3 Requisitos especiais: O contratante considerará para emprego qualquer pessoa que possua pelo menos três (3) meses de experiência em um restaurante de alto padrão, resort ou clube privado. O candidato deverá se submeter à ve"&amp;"rificação de antecedentes e ao exame toxicológico pré-admissional, às custas do empregador. Número de horas por semana: 35 Horário de trabalho (início/término): 12:00 - 19:00")</f>
        <v>Os auxiliares de cozinha serão responsáveis ​​por lavar a louça e todos os utensílios de cozinha à mão ou na máquina, manter as áreas de trabalho e os equipamentos da cozinha limpos, varrer e esfregar o chão, preparar (sem cozinhar) diversos alimentos para serem cozidos ou servidos e separar e descartar o lixo. Horário: 35 horas semanais. O horário de trabalho pode variar e incluir turnos noturnos, fins de semana e feriados. O trabalho pode ser realizado em qualquer dia da semana, de segunda a domingo. Exemplos de turnos: 12h às 19h, 14h às 21h ou 9h às 16h. Os horários dos turnos podem variar. Consulte a descrição do cargo em anexo para obter mais informações. Classificação do Cargo: 35-2021.00 - Auxiliares de Cozinha. A classificação e a descrição do cargo/setor incluem informações gerais sobre a posição, de acordo com o ONET/OES e o Sistema de Classificação Industrial da América do Norte. Consulte as Funções e a Ordem de Serviço para obter mais informações. Requisitos da vaga Experiência exigida: Sim Meses de experiência exigidos: 3 Requisitos especiais: O contratante considerará para emprego qualquer pessoa que possua pelo menos três (3) meses de experiência em um restaurante de alto padrão, resort ou clube privado. O candidato deverá se submeter à verificação de antecedentes e ao exame toxicológico pré-admissional, às custas do empregador. Número de horas por semana: 35 Horário de trabalho (início/término): 12:00 - 19:00</v>
      </c>
    </row>
    <row r="1044" ht="20.25" customHeight="1">
      <c r="A1044" s="3" t="s">
        <v>4837</v>
      </c>
      <c r="B1044" s="3" t="s">
        <v>4651</v>
      </c>
      <c r="C1044" s="3" t="s">
        <v>4241</v>
      </c>
      <c r="D1044" s="3" t="s">
        <v>71</v>
      </c>
      <c r="E1044" s="4" t="s">
        <v>19</v>
      </c>
      <c r="F1044" s="4" t="s">
        <v>20</v>
      </c>
      <c r="G1044" s="4" t="s">
        <v>524</v>
      </c>
      <c r="H1044" s="3" t="s">
        <v>4652</v>
      </c>
      <c r="I1044" s="3" t="s">
        <v>4653</v>
      </c>
      <c r="J1044" s="4">
        <v>16.35</v>
      </c>
      <c r="K1044" s="4">
        <v>5.0</v>
      </c>
      <c r="L1044" s="3" t="s">
        <v>1641</v>
      </c>
      <c r="M1044" s="3" t="s">
        <v>4838</v>
      </c>
      <c r="N1044" s="7" t="str">
        <f>IFERROR(__xludf.DUMMYFUNCTION("GOOGLETRANSLATE(L1044, ""en"", ""pt"")"),"Garçom/Garçonete")</f>
        <v>Garçom/Garçonete</v>
      </c>
      <c r="O1044" s="7" t="str">
        <f>IFERROR(__xludf.DUMMYFUNCTION("IF(M1044="""","""",GOOGLETRANSLATE(M1044,""en"",""pt""))"),"Os auxiliares de garçom serão responsáveis ​​por arrumar as mesas, transportar bandejas e pratos, limpar e retirar os pratos das mesas, servir bebidas, pão e café aos clientes, além de auxiliar na montagem e desmontagem de banquetes e buffets. Horário: 35"&amp;" horas semanais. A escala de trabalho pode variar e incluir turnos noturnos, fins de semana e feriados. O trabalho pode ser realizado em qualquer dia da semana, de segunda a domingo. Exemplos de turnos: 10h30 às 17h30, 11h às 18h ou 16h às 23h. Os horário"&amp;"s dos turnos podem variar. Consulte a descrição de cargo anexa para obter mais informações. Classificação do Cargo: 35-9011.00 - Auxiliares de Salão e Refeitório e Auxiliares de Bar. A classificação e descrição do cargo/setor incluem informações gerais so"&amp;"bre a posição, de acordo com o ONET/OES e o Sistema de Classificação Industrial da América do Norte (NAICS). Consulte as Funções e a Ordem de Serviço para obter mais informações. Requisitos da vaga Experiência exigida: Sim Meses de experiência exigidos: 3"&amp;" Requisitos especiais: O contratante considerará para emprego qualquer pessoa que possua pelo menos três (3) meses de experiência em um restaurante de alto padrão, resort ou clube privado. O candidato deverá se submeter à verificação de antecedentes e ao "&amp;"exame toxicológico pré-admissional, às custas do empregador. Número de horas por semana: 35 Horário de trabalho (início/término): 10h30 às 17h30")</f>
        <v>Os auxiliares de garçom serão responsáveis ​​por arrumar as mesas, transportar bandejas e pratos, limpar e retirar os pratos das mesas, servir bebidas, pão e café aos clientes, além de auxiliar na montagem e desmontagem de banquetes e buffets. Horário: 35 horas semanais. A escala de trabalho pode variar e incluir turnos noturnos, fins de semana e feriados. O trabalho pode ser realizado em qualquer dia da semana, de segunda a domingo. Exemplos de turnos: 10h30 às 17h30, 11h às 18h ou 16h às 23h. Os horários dos turnos podem variar. Consulte a descrição de cargo anexa para obter mais informações. Classificação do Cargo: 35-9011.00 - Auxiliares de Salão e Refeitório e Auxiliares de Bar. A classificação e descrição do cargo/setor incluem informações gerais sobre a posição, de acordo com o ONET/OES e o Sistema de Classificação Industrial da América do Norte (NAICS). Consulte as Funções e a Ordem de Serviço para obter mais informações. Requisitos da vaga Experiência exigida: Sim Meses de experiência exigidos: 3 Requisitos especiais: O contratante considerará para emprego qualquer pessoa que possua pelo menos três (3) meses de experiência em um restaurante de alto padrão, resort ou clube privado. O candidato deverá se submeter à verificação de antecedentes e ao exame toxicológico pré-admissional, às custas do empregador. Número de horas por semana: 35 Horário de trabalho (início/término): 10h30 às 17h30</v>
      </c>
    </row>
    <row r="1045" ht="20.25" customHeight="1">
      <c r="A1045" s="8" t="s">
        <v>4839</v>
      </c>
      <c r="B1045" s="8" t="s">
        <v>4840</v>
      </c>
      <c r="C1045" s="8" t="s">
        <v>4241</v>
      </c>
      <c r="D1045" s="8" t="s">
        <v>71</v>
      </c>
      <c r="E1045" s="9" t="s">
        <v>19</v>
      </c>
      <c r="F1045" s="9" t="s">
        <v>20</v>
      </c>
      <c r="G1045" s="9" t="s">
        <v>524</v>
      </c>
      <c r="H1045" s="8" t="s">
        <v>4841</v>
      </c>
      <c r="I1045" s="8" t="s">
        <v>4842</v>
      </c>
      <c r="J1045" s="9">
        <v>19.88</v>
      </c>
      <c r="K1045" s="9">
        <v>5.0</v>
      </c>
      <c r="L1045" s="8" t="s">
        <v>387</v>
      </c>
      <c r="M1045" s="8" t="s">
        <v>4843</v>
      </c>
      <c r="N1045" s="7" t="str">
        <f>IFERROR(__xludf.DUMMYFUNCTION("GOOGLETRANSLATE(L1045, ""en"", ""pt"")"),"Ordem de serviço não disponível")</f>
        <v>Ordem de serviço não disponível</v>
      </c>
      <c r="O1045" s="7" t="str">
        <f>IFERROR(__xludf.DUMMYFUNCTION("IF(M1045="""","""",GOOGLETRANSLATE(M1045,""en"",""pt""))"),"Os cozinheiros serão responsáveis ​​por seguir receitas, incluindo medir, pesar e misturar ingredientes, assar, grelhar, cozinhar no vapor e ferver carnes, legumes, peixes, aves e outros alimentos. Também serão responsáveis ​​por manter uma área de trabal"&amp;"ho limpa e segura, além de zelar pela segurança alimentar e higiene. Horário: 40 horas semanais. O horário de trabalho pode variar e incluir turnos noturnos, fins de semana e feriados. O trabalho pode ser realizado em qualquer dia da semana, de segunda a "&amp;"domingo. Exemplos de turnos: das 11h15 às 19h15, das 13h15 às 21h15 ou das 7h15 às 15h15. Os horários e dias dos turnos podem variar. Consulte a descrição da vaga para obter mais informações. Classificação da vaga: 35-2014.00 - Cozinheiros, Restaurante. A"&amp;" classificação e descrição da vaga/setor incluem informações gerais sobre o cargo, de acordo com o ONET/OES e o Sistema de Classificação Industrial da América do Norte (NAICS). Consulte as atribuições e a ordem de serviço para obter mais informações. Requ"&amp;"isitos da Vaga Experiência Necessária: Sim Meses de Experiência Necessários: 6 Requisitos Especiais: O contratante considerará para emprego qualquer pessoa que possua pelo menos seis (6) meses de experiência culinária em um ambiente de alta gastronomia ou"&amp;" de grande movimento em um restaurante sofisticado, resort ou clube privado. O candidato deverá se submeter à verificação de antecedentes, exame toxicológico e teste de tuberculina em duas etapas, às custas do empregador. Número de Horas por Semana: 40 Ho"&amp;"rário de Trabalho (Início/Término): 11h15 - 19h15")</f>
        <v>Os cozinheiros serão responsáveis ​​por seguir receitas, incluindo medir, pesar e misturar ingredientes, assar, grelhar, cozinhar no vapor e ferver carnes, legumes, peixes, aves e outros alimentos. Também serão responsáveis ​​por manter uma área de trabalho limpa e segura, além de zelar pela segurança alimentar e higiene. Horário: 40 horas semanais. O horário de trabalho pode variar e incluir turnos noturnos, fins de semana e feriados. O trabalho pode ser realizado em qualquer dia da semana, de segunda a domingo. Exemplos de turnos: das 11h15 às 19h15, das 13h15 às 21h15 ou das 7h15 às 15h15. Os horários e dias dos turnos podem variar. Consulte a descrição da vaga para obter mais informações. Classificação da vaga: 35-2014.00 - Cozinheiros, Restaurante. A classificação e descrição da vaga/setor incluem informações gerais sobre o cargo, de acordo com o ONET/OES e o Sistema de Classificação Industrial da América do Norte (NAICS). Consulte as atribuições e a ordem de serviço para obter mais informações. Requisitos da Vaga Experiência Necessária: Sim Meses de Experiência Necessários: 6 Requisitos Especiais: O contratante considerará para emprego qualquer pessoa que possua pelo menos seis (6) meses de experiência culinária em um ambiente de alta gastronomia ou de grande movimento em um restaurante sofisticado, resort ou clube privado. O candidato deverá se submeter à verificação de antecedentes, exame toxicológico e teste de tuberculina em duas etapas, às custas do empregador. Número de Horas por Semana: 40 Horário de Trabalho (Início/Término): 11h15 - 19h15</v>
      </c>
    </row>
    <row r="1046" ht="20.25" customHeight="1">
      <c r="A1046" s="3" t="s">
        <v>4844</v>
      </c>
      <c r="B1046" s="3" t="s">
        <v>4840</v>
      </c>
      <c r="C1046" s="3" t="s">
        <v>4241</v>
      </c>
      <c r="D1046" s="3" t="s">
        <v>71</v>
      </c>
      <c r="E1046" s="4" t="s">
        <v>19</v>
      </c>
      <c r="F1046" s="4" t="s">
        <v>20</v>
      </c>
      <c r="G1046" s="4" t="s">
        <v>524</v>
      </c>
      <c r="H1046" s="3" t="s">
        <v>4841</v>
      </c>
      <c r="I1046" s="3" t="s">
        <v>4842</v>
      </c>
      <c r="J1046" s="4">
        <v>20.13</v>
      </c>
      <c r="K1046" s="4">
        <v>20.0</v>
      </c>
      <c r="L1046" s="3" t="s">
        <v>4845</v>
      </c>
      <c r="M1046" s="3" t="s">
        <v>4846</v>
      </c>
      <c r="N1046" s="7" t="str">
        <f>IFERROR(__xludf.DUMMYFUNCTION("GOOGLETRANSLATE(L1046, ""en"", ""pt"")"),"Garçom/Garçonete")</f>
        <v>Garçom/Garçonete</v>
      </c>
      <c r="O1046" s="7" t="str">
        <f>IFERROR(__xludf.DUMMYFUNCTION("IF(M1046="""","""",GOOGLETRANSLATE(M1046,""en"",""pt""))"),"Os garçons serão responsáveis ​​por recepcionar os clientes de forma rápida e cordial no salão; anotar os pedidos de comida e bebida; conhecer os itens do cardápio e seus ingredientes para aconselhar os clientes sobre as opções; processar os pedidos utili"&amp;"zando o sistema eletrônico de pedidos; processar o pagamento; preparar e organizar a área de trabalho antes e depois do serviço, incluindo louças, talheres, copos e toalhas de mesa. Horário: 40 horas semanais. A escala de trabalho pode variar e incluir tu"&amp;"rnos noturnos, fins de semana e feriados. O trabalho pode ser realizado em qualquer dia da semana, de segunda a domingo. Exemplos de turnos: das 11h15 às 19h15, das 13h45 às 21h45 ou das 7h15 às 15h15. Os horários e dias dos turnos podem variar. Consulte "&amp;"a descrição da vaga para obter mais informações. Classificação da vaga: 35-3031.00 - Garçons e Garçonetes. A classificação e descrição da vaga/setor incluem informações gerais sobre o cargo, de acordo com o ONET/OES e o Sistema de Classificação Industrial"&amp;" da América do Norte. Consulte as Funções e a Ordem de Serviço para obter mais informações. Requisitos da vaga Experiência exigida: Sim Meses de experiência exigidos: 3 Requisitos especiais: O contratante considerará para emprego qualquer pessoa que possu"&amp;"a pelo menos três (3) meses de experiência em um ambiente de alta gastronomia ou de grande movimento em um restaurante sofisticado, resort ou clube privado. O candidato deverá se submeter à verificação de antecedentes, exame toxicológico e teste de tuberc"&amp;"ulina em duas etapas, às custas do empregador. Número de horas por semana: 40 Horário de trabalho (início/término): 11h15 - 19h15")</f>
        <v>Os garçons serão responsáveis ​​por recepcionar os clientes de forma rápida e cordial no salão; anotar os pedidos de comida e bebida; conhecer os itens do cardápio e seus ingredientes para aconselhar os clientes sobre as opções; processar os pedidos utilizando o sistema eletrônico de pedidos; processar o pagamento; preparar e organizar a área de trabalho antes e depois do serviço, incluindo louças, talheres, copos e toalhas de mesa. Horário: 40 horas semanais. A escala de trabalho pode variar e incluir turnos noturnos, fins de semana e feriados. O trabalho pode ser realizado em qualquer dia da semana, de segunda a domingo. Exemplos de turnos: das 11h15 às 19h15, das 13h45 às 21h45 ou das 7h15 às 15h15. Os horários e dias dos turnos podem variar. Consulte a descrição da vaga para obter mais informações. Classificação da vaga: 35-3031.00 - Garçons e Garçonetes. A classificação e descrição da vaga/setor incluem informações gerais sobre o cargo, de acordo com o ONET/OES e o Sistema de Classificação Industrial da América do Norte. Consulte as Funções e a Ordem de Serviço para obter mais informações. Requisitos da vaga Experiência exigida: Sim Meses de experiência exigidos: 3 Requisitos especiais: O contratante considerará para emprego qualquer pessoa que possua pelo menos três (3) meses de experiência em um ambiente de alta gastronomia ou de grande movimento em um restaurante sofisticado, resort ou clube privado. O candidato deverá se submeter à verificação de antecedentes, exame toxicológico e teste de tuberculina em duas etapas, às custas do empregador. Número de horas por semana: 40 Horário de trabalho (início/término): 11h15 - 19h15</v>
      </c>
    </row>
    <row r="1047" ht="20.25" customHeight="1">
      <c r="A1047" s="8" t="s">
        <v>4847</v>
      </c>
      <c r="B1047" s="8" t="s">
        <v>4848</v>
      </c>
      <c r="C1047" s="8" t="s">
        <v>4241</v>
      </c>
      <c r="D1047" s="8" t="s">
        <v>3015</v>
      </c>
      <c r="E1047" s="9" t="s">
        <v>19</v>
      </c>
      <c r="F1047" s="9" t="s">
        <v>20</v>
      </c>
      <c r="G1047" s="9" t="s">
        <v>80</v>
      </c>
      <c r="H1047" s="8" t="s">
        <v>4849</v>
      </c>
      <c r="I1047" s="8" t="s">
        <v>4850</v>
      </c>
      <c r="J1047" s="9">
        <v>20.45</v>
      </c>
      <c r="K1047" s="9">
        <v>12.0</v>
      </c>
      <c r="L1047" s="8" t="s">
        <v>4851</v>
      </c>
      <c r="M1047" s="8" t="s">
        <v>4852</v>
      </c>
      <c r="N1047" s="7" t="str">
        <f>IFERROR(__xludf.DUMMYFUNCTION("GOOGLETRANSLATE(L1047, ""en"", ""pt"")"),"Motorista de limpeza")</f>
        <v>Motorista de limpeza</v>
      </c>
      <c r="O1047" s="7" t="str">
        <f>IFERROR(__xludf.DUMMYFUNCTION("IF(M1047="""","""",GOOGLETRANSLATE(M1047,""en"",""pt""))"),"Os motoristas de limpeza serão responsáveis ​​por garantir que todos os membros da equipe de limpeza sejam transportados com segurança para suas áreas designadas, transportar funcionários e membros nas dependências do clube, seguir todas as precauções de "&amp;"segurança do motorista, garantir que os veículos estejam preparados para dirigir, verificando o exterior e o interior em busca de quaisquer problemas, relatar quaisquer danos ao veículo ou ao prédio, dirigir vans de e para as acomodações dos funcionários,"&amp;" o Clube e outros pontos designados, auxiliar as camareiras na limpeza e manutenção de casas e chalés de luxo, limpar residências, incluindo remover o lixo, retirar a roupa de cama e ligar as máquinas de lavar louça, abastecer os veículos com itens de hig"&amp;"iene pessoal, manter os suprimentos e equipamentos de limpeza de forma organizada e auxiliar na lavanderia (ocasionalmente usando máquinas de lavar roupa residenciais para lavar lençóis, toalhas e felpas dos proprietários durante o serviço de limpeza domi"&amp;"ciliar). Os motoristas de limpeza também serão responsáveis ​​pela coleta e entrega de roupas lavadas em Bozeman, Montana. Os motoristas de limpeza frequentemente precisam levantar de 11 a 23 kg. Horário: 35 horas por semana, com horas extras disponíveis "&amp;"durante os períodos de pico, incluindo horas extras. O horário de trabalho pode variar e incluir turnos da manhã, tarde, noite, fins de semana e feriados. O trabalho pode ser realizado em qualquer dia da semana, de segunda a domingo. O horário de trabalho"&amp;" varia de acordo com a localização, podendo ser de manhã cedo, tarde, noite ou madrugada. Exemplos de turnos: 8h às 15h, 9h às 16h ou 12h às 19h. Os horários dos turnos podem variar. Consulte a descrição da vaga para obter mais informações. Classificação "&amp;"da vaga: 53-3053.00 - Motoristas de Transporte e Choferes. A classificação e a descrição da vaga/setor incluem informações gerais sobre o cargo, de acordo com o ONET/OES e o Sistema de Classificação Industrial da América do Norte (NAICS). Consulte as Funç"&amp;"ões e a Ordem de Serviço para obter mais informações. Requisitos da vaga: Experiência exigida: Sim. Meses de experiência exigidos: 3. Requisitos especiais: O contratante considerará para emprego qualquer pessoa que possua pelo menos três (3) meses de expe"&amp;"riência em limpeza em um hotel de alto padrão, resort ou clube privado. O candidato deverá se submeter a uma verificação de antecedentes pré-emprego, custeada pelo empregador. O candidato deverá possuir carteira de habilitação válida, americana ou interna"&amp;"cional, antes de sua chegada aos Estados Unidos e ter um histórico de direção impecável. Número de horas semanais: 35. Horário de trabalho (início/término): 8h às 15h.")</f>
        <v>Os motoristas de limpeza serão responsáveis ​​por garantir que todos os membros da equipe de limpeza sejam transportados com segurança para suas áreas designadas, transportar funcionários e membros nas dependências do clube, seguir todas as precauções de segurança do motorista, garantir que os veículos estejam preparados para dirigir, verificando o exterior e o interior em busca de quaisquer problemas, relatar quaisquer danos ao veículo ou ao prédio, dirigir vans de e para as acomodações dos funcionários, o Clube e outros pontos designados, auxiliar as camareiras na limpeza e manutenção de casas e chalés de luxo, limpar residências, incluindo remover o lixo, retirar a roupa de cama e ligar as máquinas de lavar louça, abastecer os veículos com itens de higiene pessoal, manter os suprimentos e equipamentos de limpeza de forma organizada e auxiliar na lavanderia (ocasionalmente usando máquinas de lavar roupa residenciais para lavar lençóis, toalhas e felpas dos proprietários durante o serviço de limpeza domiciliar). Os motoristas de limpeza também serão responsáveis ​​pela coleta e entrega de roupas lavadas em Bozeman, Montana. Os motoristas de limpeza frequentemente precisam levantar de 11 a 23 kg. Horário: 35 horas por semana, com horas extras disponíveis durante os períodos de pico, incluindo horas extras. O horário de trabalho pode variar e incluir turnos da manhã, tarde, noite, fins de semana e feriados. O trabalho pode ser realizado em qualquer dia da semana, de segunda a domingo. O horário de trabalho varia de acordo com a localização, podendo ser de manhã cedo, tarde, noite ou madrugada. Exemplos de turnos: 8h às 15h, 9h às 16h ou 12h às 19h. Os horários dos turnos podem variar. Consulte a descrição da vaga para obter mais informações. Classificação da vaga: 53-3053.00 - Motoristas de Transporte e Choferes. A classificação e a descrição da vaga/setor incluem informações gerais sobre o cargo, de acordo com o ONET/OES e o Sistema de Classificação Industrial da América do Norte (NAICS). Consulte as Funções e a Ordem de Serviço para obter mais informações. Requisitos da vaga: Experiência exigida: Sim. Meses de experiência exigidos: 3. Requisitos especiais: O contratante considerará para emprego qualquer pessoa que possua pelo menos três (3) meses de experiência em limpeza em um hotel de alto padrão, resort ou clube privado. O candidato deverá se submeter a uma verificação de antecedentes pré-emprego, custeada pelo empregador. O candidato deverá possuir carteira de habilitação válida, americana ou internacional, antes de sua chegada aos Estados Unidos e ter um histórico de direção impecável. Número de horas semanais: 35. Horário de trabalho (início/término): 8h às 15h.</v>
      </c>
    </row>
    <row r="1048" ht="20.25" customHeight="1">
      <c r="A1048" s="3" t="s">
        <v>4853</v>
      </c>
      <c r="B1048" s="3" t="s">
        <v>4848</v>
      </c>
      <c r="C1048" s="3" t="s">
        <v>4241</v>
      </c>
      <c r="D1048" s="3" t="s">
        <v>3015</v>
      </c>
      <c r="E1048" s="4" t="s">
        <v>19</v>
      </c>
      <c r="F1048" s="4" t="s">
        <v>20</v>
      </c>
      <c r="G1048" s="4" t="s">
        <v>80</v>
      </c>
      <c r="H1048" s="3" t="s">
        <v>4849</v>
      </c>
      <c r="I1048" s="3" t="s">
        <v>4850</v>
      </c>
      <c r="J1048" s="4">
        <v>24.27</v>
      </c>
      <c r="K1048" s="4">
        <v>13.0</v>
      </c>
      <c r="L1048" s="3" t="s">
        <v>4854</v>
      </c>
      <c r="M1048" s="3" t="s">
        <v>4855</v>
      </c>
      <c r="N1048" s="7" t="str">
        <f>IFERROR(__xludf.DUMMYFUNCTION("GOOGLETRANSLATE(L1048, ""en"", ""pt"")"),"Supervisor de Limpeza")</f>
        <v>Supervisor de Limpeza</v>
      </c>
      <c r="O1048" s="7" t="str">
        <f>IFERROR(__xludf.DUMMYFUNCTION("IF(M1048="""","""",GOOGLETRANSLATE(M1048,""en"",""pt""))"),"Os Supervisores de Limpeza serão responsáveis ​​por supervisionar e coordenar as atividades da equipe de limpeza, limpando residências particulares de acordo com os mais altos padrões da indústria hoteleira, garantindo que cada membro e hóspede receba um "&amp;"serviço excepcional, recepcionando membros e hóspedes, mantendo um sólido conhecimento dos produtos, interagindo com membros e hóspedes de maneira hospitaleira e profissional, fornecendo treinamento, orientação e aconselhamento a todos os funcionários da "&amp;"limpeza, seguindo as políticas e práticas estabelecidas para o departamento de Limpeza e a divisão de Serviços Residenciais, supervisionando a equipe para garantir que as práticas do departamento sejam utilizadas de forma consistente, realizando inspeções"&amp;" regulares nas residências com um olhar crítico para garantir a adesão aos nossos padrões de limpeza e operação, mantendo as preferências dos proprietários. Os Supervisores de Limpeza também auxiliarão na lavanderia (ocasionalmente utilizando máquinas de "&amp;"lavar residenciais para lavar roupas de cama, toalhas e roupões dos proprietários durante o serviço de limpeza domiciliar). Os Supervisores de Limpeza também serão responsáveis ​​por auxiliar a equipe de Gerenciamento de Limpeza na supervisão das operaçõe"&amp;"s diárias do departamento, incluindo, às vezes, faturamento e agendamento, além de auxiliar no recrutamento, seleção e treinamento da equipe e na realização de avaliações de desempenho. Os supervisores de limpeza também serão responsáveis ​​pela coleta e "&amp;"entrega de roupas lavadas em Bozeman, Montana. Os supervisores de limpeza frequentemente precisam levantar até 11 kg. Podem supervisionar até vinte (20) funcionários de limpeza. Horário: 35 horas semanais, com horas extras disponíveis em períodos de pico,"&amp;" incluindo horas extras. O horário de trabalho pode variar e incluir turnos da manhã, tarde, noite, fins de semana e feriados. O trabalho pode ser realizado em qualquer dia da semana, de segunda a domingo. O horário de trabalho varia de acordo com a local"&amp;"ização, podendo ser de manhã cedo, tarde, noite ou noite. Exemplos de turnos: 8h às 15h, 9h às 16h ou 12h às 19h. Os horários dos turnos podem variar. Consulte a descrição da vaga para obter mais informações. Classificação da Função: 37-1011.00 - Supervis"&amp;"ores de Primeira Linha de Funcionários de Limpeza e Serviços Gerais. A classificação e descrição da função/setor inclui informações gerais sobre o cargo, de acordo com o ONET/OES e o Sistema de Classificação Industrial da América do Norte (NAICS). Consult"&amp;"e as Funções e a Ordem de Serviço para obter mais informações. Requisitos da Função Experiência Necessária: Sim Meses de Experiência Necessários: 3 Requisitos Especiais: O contratante considerará para emprego qualquer pessoa que possua pelo menos três (3)"&amp;" meses de experiência em limpeza em um hotel de alto padrão, resort ou clube privado. O candidato deverá se submeter a uma verificação de antecedentes pré-emprego, custeada pelo empregador. O candidato deverá possuir carteira de habilitação válida, americ"&amp;"ana ou internacional, antes de sua chegada aos Estados Unidos e ter um histórico de direção limpo. Número de Horas por Semana: 35 Horário de Trabalho (Início/Término): 8h00 - 15h00")</f>
        <v>Os Supervisores de Limpeza serão responsáveis ​​por supervisionar e coordenar as atividades da equipe de limpeza, limpando residências particulares de acordo com os mais altos padrões da indústria hoteleira, garantindo que cada membro e hóspede receba um serviço excepcional, recepcionando membros e hóspedes, mantendo um sólido conhecimento dos produtos, interagindo com membros e hóspedes de maneira hospitaleira e profissional, fornecendo treinamento, orientação e aconselhamento a todos os funcionários da limpeza, seguindo as políticas e práticas estabelecidas para o departamento de Limpeza e a divisão de Serviços Residenciais, supervisionando a equipe para garantir que as práticas do departamento sejam utilizadas de forma consistente, realizando inspeções regulares nas residências com um olhar crítico para garantir a adesão aos nossos padrões de limpeza e operação, mantendo as preferências dos proprietários. Os Supervisores de Limpeza também auxiliarão na lavanderia (ocasionalmente utilizando máquinas de lavar residenciais para lavar roupas de cama, toalhas e roupões dos proprietários durante o serviço de limpeza domiciliar). Os Supervisores de Limpeza também serão responsáveis ​​por auxiliar a equipe de Gerenciamento de Limpeza na supervisão das operações diárias do departamento, incluindo, às vezes, faturamento e agendamento, além de auxiliar no recrutamento, seleção e treinamento da equipe e na realização de avaliações de desempenho. Os supervisores de limpeza também serão responsáveis ​​pela coleta e entrega de roupas lavadas em Bozeman, Montana. Os supervisores de limpeza frequentemente precisam levantar até 11 kg. Podem supervisionar até vinte (20) funcionários de limpeza. Horário: 35 horas semanais, com horas extras disponíveis em períodos de pico, incluindo horas extras. O horário de trabalho pode variar e incluir turnos da manhã, tarde, noite, fins de semana e feriados. O trabalho pode ser realizado em qualquer dia da semana, de segunda a domingo. O horário de trabalho varia de acordo com a localização, podendo ser de manhã cedo, tarde, noite ou noite. Exemplos de turnos: 8h às 15h, 9h às 16h ou 12h às 19h. Os horários dos turnos podem variar. Consulte a descrição da vaga para obter mais informações. Classificação da Função: 37-1011.00 - Supervisores de Primeira Linha de Funcionários de Limpeza e Serviços Gerais. A classificação e descrição da função/setor inclui informações gerais sobre o cargo, de acordo com o ONET/OES e o Sistema de Classificação Industrial da América do Norte (NAICS). Consulte as Funções e a Ordem de Serviço para obter mais informações. Requisitos da Função Experiência Necessária: Sim Meses de Experiência Necessários: 3 Requisitos Especiais: O contratante considerará para emprego qualquer pessoa que possua pelo menos três (3) meses de experiência em limpeza em um hotel de alto padrão, resort ou clube privado. O candidato deverá se submeter a uma verificação de antecedentes pré-emprego, custeada pelo empregador. O candidato deverá possuir carteira de habilitação válida, americana ou internacional, antes de sua chegada aos Estados Unidos e ter um histórico de direção limpo. Número de Horas por Semana: 35 Horário de Trabalho (Início/Término): 8h00 - 15h00</v>
      </c>
    </row>
    <row r="1049" ht="20.25" customHeight="1">
      <c r="A1049" s="8" t="s">
        <v>4856</v>
      </c>
      <c r="B1049" s="8" t="s">
        <v>4848</v>
      </c>
      <c r="C1049" s="8" t="s">
        <v>4241</v>
      </c>
      <c r="D1049" s="8" t="s">
        <v>3015</v>
      </c>
      <c r="E1049" s="9" t="s">
        <v>44</v>
      </c>
      <c r="F1049" s="9" t="s">
        <v>20</v>
      </c>
      <c r="G1049" s="9" t="s">
        <v>80</v>
      </c>
      <c r="H1049" s="8" t="s">
        <v>4849</v>
      </c>
      <c r="I1049" s="8" t="s">
        <v>4850</v>
      </c>
      <c r="J1049" s="9">
        <v>20.45</v>
      </c>
      <c r="K1049" s="9">
        <v>2.0</v>
      </c>
      <c r="L1049" s="8" t="s">
        <v>4857</v>
      </c>
      <c r="M1049" s="8" t="s">
        <v>4858</v>
      </c>
      <c r="N1049" s="7" t="str">
        <f>IFERROR(__xludf.DUMMYFUNCTION("GOOGLETRANSLATE(L1049, ""en"", ""pt"")"),"Motorista de Hospedaria")</f>
        <v>Motorista de Hospedaria</v>
      </c>
      <c r="O1049" s="7" t="str">
        <f>IFERROR(__xludf.DUMMYFUNCTION("IF(M1049="""","""",GOOGLETRANSLATE(M1049,""en"",""pt""))"),"Os motoristas de serviço de hospedagem serão responsáveis ​​por garantir que todos os membros da equipe de hospedagem sejam transportados com segurança para suas áreas designadas, transportar funcionários e membros nas dependências do clube, seguindo toda"&amp;"s as precauções de segurança para motoristas, garantindo que os veículos estejam preparados para dirigir, verificando o exterior e o interior em busca de quaisquer problemas, relatando quaisquer danos ao veículo ou ao prédio, dirigindo vans de e para as a"&amp;"comodações dos funcionários, o Clube e outros pontos designados, auxiliando os funcionários da hospedagem na limpeza e manutenção de alojamentos, restaurantes, áreas de recreação, áreas públicas/comuns, vestiários, banheiros, escritórios departamentais e "&amp;"áreas de funcionários, incluindo a limpeza das residências, removendo o lixo, reabastecendo os veículos com itens de higiene, mantendo os suprimentos e equipamentos de limpeza de forma organizada e limpa, e auxiliando na lavanderia (ocasionalmente colocan"&amp;"do e retirando panos de limpeza de lavadoras e secadoras residenciais de carregamento frontal e, ocasionalmente, dobrando toalhas de mão de linho usadas nos banheiros da recepção). Os motoristas de serviço de hospedagem são frequentemente solicitados a le"&amp;"vantar de 11 a 23 kg. Horário: 35 horas por semana, com horas extras disponíveis durante os períodos de pico, incluindo horas extras. O horário de trabalho pode variar e incluir turnos da manhã, tarde, noite, fins de semana e feriados. O trabalho pode ser"&amp;" realizado em qualquer dia da semana, de segunda a domingo. O horário de trabalho varia de acordo com a localização, podendo ser de manhã cedo, tarde, noite ou madrugada. Exemplos de turnos: 8h às 15h, 9h às 16h ou 12h às 19h. Os horários dos turnos podem"&amp;" variar. Consulte a descrição da vaga para obter mais informações. Classificação da vaga: 53-3053.00 - Motoristas de Transporte e Choques. A classificação e a descrição da vaga/setor incluem informações gerais sobre o cargo, de acordo com o ONET/OES e o S"&amp;"istema de Classificação Industrial da América do Norte (NAICS). Consulte as Funções e a Ordem de Serviço para obter mais informações. Requisitos da vaga: Experiência exigida: Sim. Meses de experiência exigidos: 3. Requisitos especiais: O contratante consi"&amp;"derará para emprego qualquer pessoa que possua pelo menos três (3) meses de experiência em limpeza, serviços de zeladoria ou lavanderia comercial em um hotel de alto padrão, resort ou clube privado. O candidato deverá se submeter a uma verificação de ante"&amp;"cedentes pré-emprego, custeada pelo empregador. O candidato deverá possuir carteira de habilitação válida, americana ou internacional, antes de sua chegada aos Estados Unidos e ter um histórico de direção impecável. Número de horas semanais: 35. Horário d"&amp;"e trabalho (início/término): 8h às 15h.")</f>
        <v>Os motoristas de serviço de hospedagem serão responsáveis ​​por garantir que todos os membros da equipe de hospedagem sejam transportados com segurança para suas áreas designadas, transportar funcionários e membros nas dependências do clube, seguindo todas as precauções de segurança para motoristas, garantindo que os veículos estejam preparados para dirigir, verificando o exterior e o interior em busca de quaisquer problemas, relatando quaisquer danos ao veículo ou ao prédio, dirigindo vans de e para as acomodações dos funcionários, o Clube e outros pontos designados, auxiliando os funcionários da hospedagem na limpeza e manutenção de alojamentos, restaurantes, áreas de recreação, áreas públicas/comuns, vestiários, banheiros, escritórios departamentais e áreas de funcionários, incluindo a limpeza das residências, removendo o lixo, reabastecendo os veículos com itens de higiene, mantendo os suprimentos e equipamentos de limpeza de forma organizada e limpa, e auxiliando na lavanderia (ocasionalmente colocando e retirando panos de limpeza de lavadoras e secadoras residenciais de carregamento frontal e, ocasionalmente, dobrando toalhas de mão de linho usadas nos banheiros da recepção). Os motoristas de serviço de hospedagem são frequentemente solicitados a levantar de 11 a 23 kg. Horário: 35 horas por semana, com horas extras disponíveis durante os períodos de pico, incluindo horas extras. O horário de trabalho pode variar e incluir turnos da manhã, tarde, noite, fins de semana e feriados. O trabalho pode ser realizado em qualquer dia da semana, de segunda a domingo. O horário de trabalho varia de acordo com a localização, podendo ser de manhã cedo, tarde, noite ou madrugada. Exemplos de turnos: 8h às 15h, 9h às 16h ou 12h às 19h. Os horários dos turnos podem variar. Consulte a descrição da vaga para obter mais informações. Classificação da vaga: 53-3053.00 - Motoristas de Transporte e Choques. A classificação e a descrição da vaga/setor incluem informações gerais sobre o cargo, de acordo com o ONET/OES e o Sistema de Classificação Industrial da América do Norte (NAICS). Consulte as Funções e a Ordem de Serviço para obter mais informações. Requisitos da vaga: Experiência exigida: Sim. Meses de experiência exigidos: 3. Requisitos especiais: O contratante considerará para emprego qualquer pessoa que possua pelo menos três (3) meses de experiência em limpeza, serviços de zeladoria ou lavanderia comercial em um hotel de alto padrão, resort ou clube privado. O candidato deverá se submeter a uma verificação de antecedentes pré-emprego, custeada pelo empregador. O candidato deverá possuir carteira de habilitação válida, americana ou internacional, antes de sua chegada aos Estados Unidos e ter um histórico de direção impecável. Número de horas semanais: 35. Horário de trabalho (início/término): 8h às 15h.</v>
      </c>
    </row>
    <row r="1050" ht="20.25" customHeight="1">
      <c r="A1050" s="3" t="s">
        <v>4859</v>
      </c>
      <c r="B1050" s="3" t="s">
        <v>4848</v>
      </c>
      <c r="C1050" s="3" t="s">
        <v>4241</v>
      </c>
      <c r="D1050" s="3" t="s">
        <v>3015</v>
      </c>
      <c r="E1050" s="4" t="s">
        <v>44</v>
      </c>
      <c r="F1050" s="4" t="s">
        <v>20</v>
      </c>
      <c r="G1050" s="4" t="s">
        <v>80</v>
      </c>
      <c r="H1050" s="3" t="s">
        <v>4849</v>
      </c>
      <c r="I1050" s="3" t="s">
        <v>4850</v>
      </c>
      <c r="J1050" s="4">
        <v>24.27</v>
      </c>
      <c r="K1050" s="4">
        <v>4.0</v>
      </c>
      <c r="L1050" s="3" t="s">
        <v>4860</v>
      </c>
      <c r="M1050" s="3" t="s">
        <v>4861</v>
      </c>
      <c r="N1050" s="7" t="str">
        <f>IFERROR(__xludf.DUMMYFUNCTION("GOOGLETRANSLATE(L1050, ""en"", ""pt"")"),"Supervisor de Hospedagem")</f>
        <v>Supervisor de Hospedagem</v>
      </c>
      <c r="O1050" s="7" t="str">
        <f>IFERROR(__xludf.DUMMYFUNCTION("IF(M1050="""","""",GOOGLETRANSLATE(M1050,""en"",""pt""))"),"Os Supervisores de Hospedagem serão responsáveis ​​por supervisionar e coordenar as atividades da equipe de hospedagem, atribuindo tarefas aos funcionários, inspecionando o trabalho para garantir a conformidade com os padrões de limpeza, assegurando e sup"&amp;"ervisionando a limpeza, segurança, higiene e aparência de todas as áreas comuns e de hóspedes da propriedade do Yellowstone Club, incluindo escadas, escritórios, corredores, banheiros, restaurantes e lojas, auxiliando na lavagem de itens de Alimentos e Be"&amp;"bidas, Saúde e Bem-Estar e lavanderia dos membros, inspecionando equipamentos e mobiliário e preparando ordens de serviço para manutenção, garantindo que cada membro e convidado receba um serviço excepcional, incluindo recepcioná-los, manter um sólido con"&amp;"hecimento dos produtos e interagir com eles de maneira hospitaleira e profissional. Os Supervisores de Limpeza também serão responsáveis ​​por auxiliar os Camareiros e Motoristas de Limpeza na limpeza e manutenção de alojamentos, restaurantes, áreas de re"&amp;"creação, áreas públicas/comuns, vestiários, banheiros, escritórios do departamento e áreas de funcionários, incluindo a limpeza das residências, remoção de lixo, reposição de itens de higiene nos veículos, manutenção dos suprimentos e equipamentos de limp"&amp;"eza em ordem e auxílio na lavanderia (ocasionalmente, carregando e descarregando panos de limpeza em lavadoras e secadoras residenciais de carregamento frontal e, ocasionalmente, dobrando toalhas de mão de linho usadas nos banheiros da recepção). Os Super"&amp;"visores de Limpeza também serão responsáveis ​​por auxiliar a equipe de Gerenciamento de Limpeza na supervisão das operações diárias do departamento, incluindo, às vezes, faturamento e agendamento, além de auxiliar no recrutamento, seleção e treinamento d"&amp;"e pessoal do departamento, bem como realizar avaliações de desempenho. Os Supervisores de Limpeza frequentemente precisam levantar de 11 a 23 kg. Podem supervisionar até vinte (20) Camareiros. Horário: 35 horas por semana, com horas extras disponíveis dur"&amp;"ante os períodos de pico, incluindo horas extras. O horário de trabalho pode variar e incluir turnos da manhã, tarde, noite, fins de semana e feriados. O trabalho pode ser realizado em qualquer dia da semana, de segunda a domingo. O horário de trabalho va"&amp;"ria de acordo com a localização, podendo ser no início da manhã, manhã, tarde, noite ou final da noite. Exemplos de turnos: 8h às 15h, 9h às 16h ou 12h às 19h. Os horários dos turnos podem variar. Consulte a descrição da vaga para obter mais informações. "&amp;"Classificação da vaga: 37-1011.00 - Supervisores de Primeira Linha de Funcionários de Limpeza e Serviços Gerais. A classificação e descrição da vaga/setor incluem informações gerais sobre o cargo, de acordo com o ONET/OES e o Sistema de Classificação Indu"&amp;"strial da América do Norte (NAICS). Consulte as Funções e a Ordem de Serviço para obter mais informações. Requisitos da Vaga Experiência Necessária: Sim Meses de Experiência Necessários: 3 Requisitos Especiais: O contratante considerará para emprego qualq"&amp;"uer pessoa que possua pelo menos três (3) meses de experiência em limpeza, serviços gerais ou lavanderia comercial em um hotel de alto padrão, resort ou clube privado. O candidato deverá se submeter a uma verificação de antecedentes pré-emprego, custeada "&amp;"pelo empregador. O candidato deverá possuir carteira de habilitação válida, americana ou internacional, antes de sua chegada aos Estados Unidos e ter um histórico de direção limpo. Número de Horas por Semana: 35 Horário de Trabalho (Início/Término): 8h00 "&amp;"- 15h00")</f>
        <v>Os Supervisores de Hospedagem serão responsáveis ​​por supervisionar e coordenar as atividades da equipe de hospedagem, atribuindo tarefas aos funcionários, inspecionando o trabalho para garantir a conformidade com os padrões de limpeza, assegurando e supervisionando a limpeza, segurança, higiene e aparência de todas as áreas comuns e de hóspedes da propriedade do Yellowstone Club, incluindo escadas, escritórios, corredores, banheiros, restaurantes e lojas, auxiliando na lavagem de itens de Alimentos e Bebidas, Saúde e Bem-Estar e lavanderia dos membros, inspecionando equipamentos e mobiliário e preparando ordens de serviço para manutenção, garantindo que cada membro e convidado receba um serviço excepcional, incluindo recepcioná-los, manter um sólido conhecimento dos produtos e interagir com eles de maneira hospitaleira e profissional. Os Supervisores de Limpeza também serão responsáveis ​​por auxiliar os Camareiros e Motoristas de Limpeza na limpeza e manutenção de alojamentos, restaurantes, áreas de recreação, áreas públicas/comuns, vestiários, banheiros, escritórios do departamento e áreas de funcionários, incluindo a limpeza das residências, remoção de lixo, reposição de itens de higiene nos veículos, manutenção dos suprimentos e equipamentos de limpeza em ordem e auxílio na lavanderia (ocasionalmente, carregando e descarregando panos de limpeza em lavadoras e secadoras residenciais de carregamento frontal e, ocasionalmente, dobrando toalhas de mão de linho usadas nos banheiros da recepção). Os Supervisores de Limpeza também serão responsáveis ​​por auxiliar a equipe de Gerenciamento de Limpeza na supervisão das operações diárias do departamento, incluindo, às vezes, faturamento e agendamento, além de auxiliar no recrutamento, seleção e treinamento de pessoal do departamento, bem como realizar avaliações de desempenho. Os Supervisores de Limpeza frequentemente precisam levantar de 11 a 23 kg. Podem supervisionar até vinte (20) Camareiros. Horário: 35 horas por semana, com horas extras disponíveis durante os períodos de pico, incluindo horas extras. O horário de trabalho pode variar e incluir turnos da manhã, tarde, noite, fins de semana e feriados. O trabalho pode ser realizado em qualquer dia da semana, de segunda a domingo. O horário de trabalho varia de acordo com a localização, podendo ser no início da manhã, manhã, tarde, noite ou final da noite. Exemplos de turnos: 8h às 15h, 9h às 16h ou 12h às 19h. Os horários dos turnos podem variar. Consulte a descrição da vaga para obter mais informações. Classificação da vaga: 37-1011.00 - Supervisores de Primeira Linha de Funcionários de Limpeza e Serviços Gerais. A classificação e descrição da vaga/setor incluem informações gerais sobre o cargo, de acordo com o ONET/OES e o Sistema de Classificação Industrial da América do Norte (NAICS). Consulte as Funções e a Ordem de Serviço para obter mais informações. Requisitos da Vaga Experiência Necessária: Sim Meses de Experiência Necessários: 3 Requisitos Especiais: O contratante considerará para emprego qualquer pessoa que possua pelo menos três (3) meses de experiência em limpeza, serviços gerais ou lavanderia comercial em um hotel de alto padrão, resort ou clube privado. O candidato deverá se submeter a uma verificação de antecedentes pré-emprego, custeada pelo empregador. O candidato deverá possuir carteira de habilitação válida, americana ou internacional, antes de sua chegada aos Estados Unidos e ter um histórico de direção limpo. Número de Horas por Semana: 35 Horário de Trabalho (Início/Término): 8h00 - 15h00</v>
      </c>
    </row>
    <row r="1051" ht="20.25" customHeight="1">
      <c r="A1051" s="8" t="s">
        <v>4862</v>
      </c>
      <c r="B1051" s="8" t="s">
        <v>4678</v>
      </c>
      <c r="C1051" s="8" t="s">
        <v>4452</v>
      </c>
      <c r="D1051" s="8" t="s">
        <v>109</v>
      </c>
      <c r="E1051" s="9" t="s">
        <v>44</v>
      </c>
      <c r="F1051" s="9" t="s">
        <v>20</v>
      </c>
      <c r="G1051" s="9" t="s">
        <v>80</v>
      </c>
      <c r="H1051" s="8" t="s">
        <v>4453</v>
      </c>
      <c r="I1051" s="8" t="s">
        <v>4454</v>
      </c>
      <c r="J1051" s="9">
        <v>25.51</v>
      </c>
      <c r="K1051" s="9">
        <v>10.0</v>
      </c>
      <c r="L1051" s="8" t="s">
        <v>4863</v>
      </c>
      <c r="M1051" s="8" t="s">
        <v>4864</v>
      </c>
      <c r="N1051" s="7" t="str">
        <f>IFERROR(__xludf.DUMMYFUNCTION("GOOGLETRANSLATE(L1051, ""en"", ""pt"")"),"Assentador de Azulejos")</f>
        <v>Assentador de Azulejos</v>
      </c>
      <c r="O1051" s="7" t="str">
        <f>IFERROR(__xludf.DUMMYFUNCTION("IF(M1051="""","""",GOOGLETRANSLATE(M1051,""en"",""pt""))"),"Alinhar e endireitar azulejos usando níveis, esquadros e réguas. Finalizar e nivelar as juntas e limpar o excesso de rejunte entre os azulejos com uma esponja úmida. Cortar e moldar azulejos para encaixá-los em torno de obstáculos e em espaços e cantos ir"&amp;"regulares, usando ferramentas de corte manuais e elétricas. Determinar e implementar o melhor layout para obter o padrão desejado. Misturar, aplicar e espalhar gesso, concreto, argamassa, cimento, mástique, cola ou outros adesivos para formar uma base par"&amp;"a os azulejos, usando pincel, desempenadeira e régua de nivelamento. Classificação da Função: 47-2044.00 - Assentador de Azulejos e Pedras. A classificação e descrição da função/setor inclui informações gerais sobre o cargo, de acordo com o ONET/OES e o S"&amp;"istema de Classificação Industrial da América do Norte. Consulte as Funções e a Ordem de Serviço para obter mais informações. Requisitos da Função: Experiência Necessária: Sim. Meses de Experiência Necessária: 12. Número de Horas por Semana: 35. Horário d"&amp;"e Trabalho (Início/Término): 8h às 16h.")</f>
        <v>Alinhar e endireitar azulejos usando níveis, esquadros e réguas. Finalizar e nivelar as juntas e limpar o excesso de rejunte entre os azulejos com uma esponja úmida. Cortar e moldar azulejos para encaixá-los em torno de obstáculos e em espaços e cantos irregulares, usando ferramentas de corte manuais e elétricas. Determinar e implementar o melhor layout para obter o padrão desejado. Misturar, aplicar e espalhar gesso, concreto, argamassa, cimento, mástique, cola ou outros adesivos para formar uma base para os azulejos, usando pincel, desempenadeira e régua de nivelamento. Classificação da Função: 47-2044.00 - Assentador de Azulejos e Pedras. A classificação e descrição da função/setor inclui informações gerais sobre o cargo, de acordo com o ONET/OES e o Sistema de Classificação Industrial da América do Norte. Consulte as Funções e a Ordem de Serviço para obter mais informações. Requisitos da Função: Experiência Necessária: Sim. Meses de Experiência Necessária: 12. Número de Horas por Semana: 35. Horário de Trabalho (Início/Término): 8h às 16h.</v>
      </c>
    </row>
    <row r="1052" ht="20.25" customHeight="1">
      <c r="A1052" s="3" t="s">
        <v>4865</v>
      </c>
      <c r="B1052" s="3" t="s">
        <v>4866</v>
      </c>
      <c r="C1052" s="3" t="s">
        <v>4241</v>
      </c>
      <c r="D1052" s="3" t="s">
        <v>1978</v>
      </c>
      <c r="E1052" s="4" t="s">
        <v>19</v>
      </c>
      <c r="F1052" s="4" t="s">
        <v>20</v>
      </c>
      <c r="G1052" s="4" t="s">
        <v>1650</v>
      </c>
      <c r="H1052" s="3" t="s">
        <v>4867</v>
      </c>
      <c r="I1052" s="3" t="s">
        <v>4868</v>
      </c>
      <c r="J1052" s="4">
        <v>23.83</v>
      </c>
      <c r="K1052" s="4">
        <v>6.0</v>
      </c>
      <c r="L1052" s="3" t="s">
        <v>4869</v>
      </c>
      <c r="M1052" s="3" t="s">
        <v>4870</v>
      </c>
      <c r="N1052" s="7" t="str">
        <f>IFERROR(__xludf.DUMMYFUNCTION("GOOGLETRANSLATE(L1052, ""en"", ""pt"")"),"Instrutor de esqui/snowboard certificado nível 1")</f>
        <v>Instrutor de esqui/snowboard certificado nível 1</v>
      </c>
      <c r="O1052" s="7" t="str">
        <f>IFERROR(__xludf.DUMMYFUNCTION("IF(M1052="""","""",GOOGLETRANSLATE(M1052,""en"",""pt""))"),"Os instrutores de esqui/snowboard certificados de Nível 1 serão responsáveis ​​por ministrar aulas, demonstrações e cuidar de alunos de todas as idades e níveis de habilidade em aulas de esqui e snowboard. As aulas podem ser em grupo ou particulares. Quan"&amp;"do houver crianças envolvidas, o instrutor será responsável por supervisioná-las, incluindo vesti-las, treiná-las e auxiliá-las no uso dos teleféricos, ajudá-las com seus equipamentos e ensinar o Código de Responsabilidade e as normas gerais de segurança "&amp;"para esqui/snowboard a todos os alunos. Eles também instruem sobre equipamentos e teleféricos de esqui e snowboard. As funções específicas de instrução incluem explicar e demonstrar conceitos técnicos de esqui usando uma variedade de métodos de ensino, co"&amp;"m base na idade, estilo de aprendizagem e habilidade dos alunos, zelando pela segurança dos alunos e garantindo que os alunos sejam alocados em turmas com o nível de habilidade apropriado. Os instrutores de Nível 1 estão autorizados a ministrar aulas até "&amp;"o nível iniciante/novato. Ocasionalmente, poderão ser solicitados a auxiliar os supervisores nos processos de check-in e check-out dos alunos, assistir a aulas de instrutores menos experientes, trabalhar individualmente com alunos que possam precisar de a"&amp;"ssistência adicional e ministrar aulas prioritárias. Também realizará algumas tarefas administrativas e de preparação para garantir que a Escola de Esqui esteja pronta para as operações de inverno, incluindo a organização e montagem das instalações da Esc"&amp;"ola de Esqui, movendo equipamentos e móveis, testando e inspecionando todos os equipamentos de esqui que compõem a frota de esquis, pranchas de snowboard, botas e capacetes utilizados pelo programa da Escola de Esqui, recebendo ou organizando o novo estoq"&amp;"ue de equipamentos de esqui, preparando a cozinha da Escola de Esqui, instalando a sinalização, preparando o vestiário, auxiliando os clientes na reserva de produtos da Escola de Esqui para a próxima temporada de inverno e preparando os pacotes de informa"&amp;"ções para os clientes para atender às suas reservas futuras. Horário: 35 horas por semana. O horário de trabalho pode variar e incluir noites, fins de semana e feriados. O trabalho pode ser realizado em qualquer dia da semana, de segunda a domingo. Exempl"&amp;"os de turnos: 7h às 14h, 8h às 15h ou 9h às 16h. Os horários dos turnos podem variar. Consulte a descrição das funções anexa para obter mais informações. Classificação da Função: 25-3021.00 - Professores de Desenvolvimento Pessoal. A classificação e descr"&amp;"ição da função/setor inclui informações gerais sobre o cargo, de acordo com o ONET/OES e o Sistema de Classificação Industrial da América do Norte. Consulte as Funções e a Ordem de Serviço para obter mais informações. Requisitos da Função Experiência Nece"&amp;"ssária: Não. Requisitos Especiais: É necessário possuir Certificado PSIA/AASI Nível 1 ou certificação estrangeira equivalente. É necessário ter habilidade para esquiar ou praticar snowboard em nível intermediário e utilizar todos os teleféricos. O candida"&amp;"to deve ter capacidade de se comunicar verbalmente, demonstrar e explicar conceitos com clareza para pessoas de todas as idades; deve ser paciente e atencioso com os alunos; ter capacidade (em inglês) de ler, compreender e escrever memorandos, correspondê"&amp;"ncias e relatórios; ter capacidade de manter registros escritos, relatórios e listas de verificação; ter capacidade de apresentar informações de forma eficaz em situações individuais e em pequenos grupos para clientes, alunos, participantes e outros funci"&amp;"onários; deve ser capaz de levantar ou mover regularmente até 23 kg e ocasionalmente levantar ou mover mais de 45 kg, além de executar outras atividades fisicamente exigentes, incluindo permanecer em pé por longos períodos. Deve ter disponibilidade para t"&amp;"rabalhar aos fins de semana e feriados, trabalhar com eficiência em grandes altitudes e em condições climáticas extremas, como frio intenso e outras intempéries. Número de horas por semana: 35. Horário de trabalho (início/término): 7h às 14h.")</f>
        <v>Os instrutores de esqui/snowboard certificados de Nível 1 serão responsáveis ​​por ministrar aulas, demonstrações e cuidar de alunos de todas as idades e níveis de habilidade em aulas de esqui e snowboard. As aulas podem ser em grupo ou particulares. Quando houver crianças envolvidas, o instrutor será responsável por supervisioná-las, incluindo vesti-las, treiná-las e auxiliá-las no uso dos teleféricos, ajudá-las com seus equipamentos e ensinar o Código de Responsabilidade e as normas gerais de segurança para esqui/snowboard a todos os alunos. Eles também instruem sobre equipamentos e teleféricos de esqui e snowboard. As funções específicas de instrução incluem explicar e demonstrar conceitos técnicos de esqui usando uma variedade de métodos de ensino, com base na idade, estilo de aprendizagem e habilidade dos alunos, zelando pela segurança dos alunos e garantindo que os alunos sejam alocados em turmas com o nível de habilidade apropriado. Os instrutores de Nível 1 estão autorizados a ministrar aulas até o nível iniciante/novato. Ocasionalmente, poderão ser solicitados a auxiliar os supervisores nos processos de check-in e check-out dos alunos, assistir a aulas de instrutores menos experientes, trabalhar individualmente com alunos que possam precisar de assistência adicional e ministrar aulas prioritárias. Também realizará algumas tarefas administrativas e de preparação para garantir que a Escola de Esqui esteja pronta para as operações de inverno, incluindo a organização e montagem das instalações da Escola de Esqui, movendo equipamentos e móveis, testando e inspecionando todos os equipamentos de esqui que compõem a frota de esquis, pranchas de snowboard, botas e capacetes utilizados pelo programa da Escola de Esqui, recebendo ou organizando o novo estoque de equipamentos de esqui, preparando a cozinha da Escola de Esqui, instalando a sinalização, preparando o vestiário, auxiliando os clientes na reserva de produtos da Escola de Esqui para a próxima temporada de inverno e preparando os pacotes de informações para os clientes para atender às suas reservas futuras. Horário: 35 horas por semana. O horário de trabalho pode variar e incluir noites, fins de semana e feriados. O trabalho pode ser realizado em qualquer dia da semana, de segunda a domingo. Exemplos de turnos: 7h às 14h, 8h às 15h ou 9h às 16h. Os horários dos turnos podem variar. Consulte a descrição das funções anexa para obter mais informações. Classificação da Função: 25-3021.00 - Professores de Desenvolvimento Pessoal. A classificação e descrição da função/setor inclui informações gerais sobre o cargo, de acordo com o ONET/OES e o Sistema de Classificação Industrial da América do Norte. Consulte as Funções e a Ordem de Serviço para obter mais informações. Requisitos da Função Experiência Necessária: Não. Requisitos Especiais: É necessário possuir Certificado PSIA/AASI Nível 1 ou certificação estrangeira equivalente. É necessário ter habilidade para esquiar ou praticar snowboard em nível intermediário e utilizar todos os teleféricos. O candidato deve ter capacidade de se comunicar verbalmente, demonstrar e explicar conceitos com clareza para pessoas de todas as idades; deve ser paciente e atencioso com os alunos; ter capacidade (em inglês) de ler, compreender e escrever memorandos, correspondências e relatórios; ter capacidade de manter registros escritos, relatórios e listas de verificação; ter capacidade de apresentar informações de forma eficaz em situações individuais e em pequenos grupos para clientes, alunos, participantes e outros funcionários; deve ser capaz de levantar ou mover regularmente até 23 kg e ocasionalmente levantar ou mover mais de 45 kg, além de executar outras atividades fisicamente exigentes, incluindo permanecer em pé por longos períodos. Deve ter disponibilidade para trabalhar aos fins de semana e feriados, trabalhar com eficiência em grandes altitudes e em condições climáticas extremas, como frio intenso e outras intempéries. Número de horas por semana: 35. Horário de trabalho (início/término): 7h às 14h.</v>
      </c>
    </row>
    <row r="1053" ht="20.25" customHeight="1">
      <c r="A1053" s="8" t="s">
        <v>4871</v>
      </c>
      <c r="B1053" s="8" t="s">
        <v>4872</v>
      </c>
      <c r="C1053" s="8" t="s">
        <v>4247</v>
      </c>
      <c r="D1053" s="8" t="s">
        <v>64</v>
      </c>
      <c r="E1053" s="9" t="s">
        <v>19</v>
      </c>
      <c r="F1053" s="9" t="s">
        <v>20</v>
      </c>
      <c r="G1053" s="9" t="s">
        <v>2356</v>
      </c>
      <c r="H1053" s="8" t="s">
        <v>4873</v>
      </c>
      <c r="I1053" s="8" t="s">
        <v>4874</v>
      </c>
      <c r="J1053" s="9">
        <v>16.35</v>
      </c>
      <c r="K1053" s="9">
        <v>12.0</v>
      </c>
      <c r="L1053" s="8" t="s">
        <v>4250</v>
      </c>
      <c r="M1053" s="8" t="s">
        <v>4251</v>
      </c>
      <c r="N1053" s="7" t="str">
        <f>IFERROR(__xludf.DUMMYFUNCTION("GOOGLETRANSLATE(L1053, ""en"", ""pt"")"),"49-9098: Ajudantes — Trabalhos de instalação, manutenção e reparo")</f>
        <v>49-9098: Ajudantes — Trabalhos de instalação, manutenção e reparo</v>
      </c>
      <c r="O1053" s="7" t="str">
        <f>IFERROR(__xludf.DUMMYFUNCTION("IF(M1053="""","""",GOOGLETRANSLATE(M1053,""en"",""pt""))"),"Auxiliar os trabalhadores de instalação, manutenção e reparo na manutenção, substituição de peças e reparo de veículos, máquinas industriais e equipamentos elétricos e eletrônicos. Executar tarefas como fornecer ferramentas, materiais e suprimentos para o"&amp;"utros trabalhadores; limpar a área de trabalho, máquinas e ferramentas; e segurar materiais ou ferramentas para outros trabalhadores. Classificação da vaga: 49-9098.00 - Auxiliares - Trabalhadores de Instalação, Manutenção e Reparo. A classificação e desc"&amp;"rição da vaga/setor inclui informações gerais sobre a posição, de acordo com o ONET/OES e o Sistema de Classificação Industrial da América do Norte (NAICS). Consulte as Funções e a Ordem de Serviço para obter mais informações. Requisitos da vaga: Experiên"&amp;"cia exigida: Não. Requisitos especiais: Testes aleatórios de drogas e verificação de antecedentes criminais após a contratação podem ser exigidos, sem custo para o trabalhador. A vaga exige que o candidato seja qualificado, esteja pronto, disposto, apto e"&amp;" disponível para trabalhar durante todo o período de emprego no local de trabalho designado; para firmar e cumprir o contrato de trabalho; e para seguir as normas do local de trabalho. Número de horas por semana: 35. Horário de trabalho (início/término): "&amp;"8h. - 16:00")</f>
        <v>Auxiliar os trabalhadores de instalação, manutenção e reparo na manutenção, substituição de peças e reparo de veículos, máquinas industriais e equipamentos elétricos e eletrônicos. Executar tarefas como fornecer ferramentas, materiais e suprimentos para outros trabalhadores; limpar a área de trabalho, máquinas e ferramentas; e segurar materiais ou ferramentas para outros trabalhadores. Classificação da vaga: 49-9098.00 - Auxiliares - Trabalhadores de Instalação, Manutenção e Reparo. A classificação e descrição da vaga/setor inclui informações gerais sobre a posição, de acordo com o ONET/OES e o Sistema de Classificação Industrial da América do Norte (NAICS). Consulte as Funções e a Ordem de Serviço para obter mais informações. Requisitos da vaga: Experiência exigida: Não. Requisitos especiais: Testes aleatórios de drogas e verificação de antecedentes criminais após a contratação podem ser exigidos, sem custo para o trabalhador. A vaga exige que o candidato seja qualificado, esteja pronto, disposto, apto e disponível para trabalhar durante todo o período de emprego no local de trabalho designado; para firmar e cumprir o contrato de trabalho; e para seguir as normas do local de trabalho. Número de horas por semana: 35. Horário de trabalho (início/término): 8h. - 16:00</v>
      </c>
    </row>
    <row r="1054" ht="20.25" customHeight="1">
      <c r="A1054" s="3" t="s">
        <v>4875</v>
      </c>
      <c r="B1054" s="3" t="s">
        <v>4876</v>
      </c>
      <c r="C1054" s="3" t="s">
        <v>4241</v>
      </c>
      <c r="D1054" s="3" t="s">
        <v>2222</v>
      </c>
      <c r="E1054" s="4" t="s">
        <v>19</v>
      </c>
      <c r="F1054" s="4" t="s">
        <v>20</v>
      </c>
      <c r="G1054" s="4" t="s">
        <v>80</v>
      </c>
      <c r="H1054" s="3" t="s">
        <v>4877</v>
      </c>
      <c r="I1054" s="3" t="s">
        <v>4878</v>
      </c>
      <c r="J1054" s="4">
        <v>22.96</v>
      </c>
      <c r="K1054" s="4">
        <v>2.0</v>
      </c>
      <c r="L1054" s="3" t="s">
        <v>1636</v>
      </c>
      <c r="M1054" s="3" t="s">
        <v>4879</v>
      </c>
      <c r="N1054" s="7" t="str">
        <f>IFERROR(__xludf.DUMMYFUNCTION("GOOGLETRANSLATE(L1054, ""en"", ""pt"")"),"Mordomo")</f>
        <v>Mordomo</v>
      </c>
      <c r="O1054" s="7" t="str">
        <f>IFERROR(__xludf.DUMMYFUNCTION("IF(M1054="""","""",GOOGLETRANSLATE(M1054,""en"",""pt""))"),"Os auxiliares de cozinha serão responsáveis ​​por operar máquinas de lavar louça, polidoras e enceradeiras, garantindo que todos os equipamentos de cozinha sejam limpos de acordo com os padrões do hotel, incluindo porcelana, copos, talheres, panelas e fri"&amp;"gideiras, polindo utensílios de aço inoxidável, prata e cobre, removendo todo o lixo e materiais recicláveis ​​e reabastecendo a cozinha com panelas, frigideiras, porcelana, copos e talheres limpos. Horário: 40 horas semanais. O horário de trabalho pode v"&amp;"ariar e incluir turnos noturnos, fins de semana e feriados. O trabalho pode ser realizado em qualquer dia da semana, de segunda a domingo. Exemplos de turnos: 6h às 14h, 8h às 16h ou 13h às 21h. Os horários dos turnos podem variar. Consulte a descrição do"&amp;" cargo em anexo para obter mais informações. Classificação do cargo: 35-9021.00 - Auxiliares de Cozinha. A classificação e descrição do cargo/setor incluem informações gerais sobre a posição, de acordo com o ONET/OES e o Sistema de Classificação Industria"&amp;"l da América do Norte. Consulte a descrição das funções e a ordem de serviço para obter mais informações. Requisitos da vaga: Experiência necessária: Não. Número de horas por semana: 40. Horário de trabalho (início/término): 6h às 14h.")</f>
        <v>Os auxiliares de cozinha serão responsáveis ​​por operar máquinas de lavar louça, polidoras e enceradeiras, garantindo que todos os equipamentos de cozinha sejam limpos de acordo com os padrões do hotel, incluindo porcelana, copos, talheres, panelas e frigideiras, polindo utensílios de aço inoxidável, prata e cobre, removendo todo o lixo e materiais recicláveis ​​e reabastecendo a cozinha com panelas, frigideiras, porcelana, copos e talheres limpos. Horário: 40 horas semanais. O horário de trabalho pode variar e incluir turnos noturnos, fins de semana e feriados. O trabalho pode ser realizado em qualquer dia da semana, de segunda a domingo. Exemplos de turnos: 6h às 14h, 8h às 16h ou 13h às 21h. Os horários dos turnos podem variar. Consulte a descrição do cargo em anexo para obter mais informações. Classificação do cargo: 35-9021.00 - Auxiliares de Cozinha. A classificação e descrição do cargo/setor incluem informações gerais sobre a posição, de acordo com o ONET/OES e o Sistema de Classificação Industrial da América do Norte. Consulte a descrição das funções e a ordem de serviço para obter mais informações. Requisitos da vaga: Experiência necessária: Não. Número de horas por semana: 40. Horário de trabalho (início/término): 6h às 14h.</v>
      </c>
    </row>
    <row r="1055" ht="20.25" customHeight="1">
      <c r="A1055" s="8" t="s">
        <v>4880</v>
      </c>
      <c r="B1055" s="8" t="s">
        <v>4881</v>
      </c>
      <c r="C1055" s="8" t="s">
        <v>4241</v>
      </c>
      <c r="D1055" s="8" t="s">
        <v>133</v>
      </c>
      <c r="E1055" s="9" t="s">
        <v>44</v>
      </c>
      <c r="F1055" s="9" t="s">
        <v>20</v>
      </c>
      <c r="G1055" s="9" t="s">
        <v>345</v>
      </c>
      <c r="H1055" s="8" t="s">
        <v>4882</v>
      </c>
      <c r="I1055" s="8" t="s">
        <v>4883</v>
      </c>
      <c r="J1055" s="9">
        <v>14.75</v>
      </c>
      <c r="K1055" s="9">
        <v>13.0</v>
      </c>
      <c r="L1055" s="8" t="s">
        <v>4884</v>
      </c>
      <c r="M1055" s="8" t="s">
        <v>4885</v>
      </c>
      <c r="N1055" s="7" t="str">
        <f>IFERROR(__xludf.DUMMYFUNCTION("GOOGLETRANSLATE(L1055, ""en"", ""pt"")"),"Salva-vidas")</f>
        <v>Salva-vidas</v>
      </c>
      <c r="O1055" s="7" t="str">
        <f>IFERROR(__xludf.DUMMYFUNCTION("IF(M1055="""","""",GOOGLETRANSLATE(M1055,""en"",""pt""))"),"O salva-vidas será responsável por monitorar áreas recreativas, como piscinas, para prestar assistência e proteção aos participantes. O salva-vidas poderá precisar levantar e carregar até 45 kg (100 libras) ou mais. O salva-vidas deve saber nadar. Horário"&amp;": 35 horas semanais. O horário de trabalho pode variar e incluir turnos noturnos, fins de semana e feriados. O trabalho pode ser realizado em qualquer dia da semana, de segunda a domingo. Exemplos de turnos: 8h30 às 15h30, 14h45 às 21h45 ou 9h30 às 16h30."&amp;" Os horários dos turnos podem variar. Consulte a descrição do cargo em anexo para obter mais informações. Classificação do Cargo: 33-9092.00 - Salva-vidas, Patrulheiros de Esqui e Outros Trabalhadores de Serviços de Proteção Recreativa. A classificação e "&amp;"descrição do cargo/setor incluem informações gerais sobre a posição, de acordo com o ONET/OES e o Sistema de Classificação Industrial da América do Norte. Consulte as Funções e a Ordem de Serviço para obter mais informações. Requisitos da vaga Experiência"&amp;" exigida: Não Requisitos especiais: O candidato deve possuir certificação de salva-vidas da Cruz Vermelha Americana ou obter o treinamento adequado para receber tal certificação em até três semanas após a contratação. O candidato deverá se submeter à veri"&amp;"ficação de antecedentes pré-admissional, custeada pelo empregador. Número de horas semanais: 35 Horário de trabalho (início/término): 8h30 às 15h30")</f>
        <v>O salva-vidas será responsável por monitorar áreas recreativas, como piscinas, para prestar assistência e proteção aos participantes. O salva-vidas poderá precisar levantar e carregar até 45 kg (100 libras) ou mais. O salva-vidas deve saber nadar. Horário: 35 horas semanais. O horário de trabalho pode variar e incluir turnos noturnos, fins de semana e feriados. O trabalho pode ser realizado em qualquer dia da semana, de segunda a domingo. Exemplos de turnos: 8h30 às 15h30, 14h45 às 21h45 ou 9h30 às 16h30. Os horários dos turnos podem variar. Consulte a descrição do cargo em anexo para obter mais informações. Classificação do Cargo: 33-9092.00 - Salva-vidas, Patrulheiros de Esqui e Outros Trabalhadores de Serviços de Proteção Recreativa. A classificação e descrição do cargo/setor incluem informações gerais sobre a posição, de acordo com o ONET/OES e o Sistema de Classificação Industrial da América do Norte. Consulte as Funções e a Ordem de Serviço para obter mais informações. Requisitos da vaga Experiência exigida: Não Requisitos especiais: O candidato deve possuir certificação de salva-vidas da Cruz Vermelha Americana ou obter o treinamento adequado para receber tal certificação em até três semanas após a contratação. O candidato deverá se submeter à verificação de antecedentes pré-admissional, custeada pelo empregador. Número de horas semanais: 35 Horário de trabalho (início/término): 8h30 às 15h30</v>
      </c>
    </row>
    <row r="1056" ht="20.25" customHeight="1">
      <c r="A1056" s="3" t="s">
        <v>4886</v>
      </c>
      <c r="B1056" s="3" t="s">
        <v>4745</v>
      </c>
      <c r="C1056" s="3" t="s">
        <v>4241</v>
      </c>
      <c r="D1056" s="3" t="s">
        <v>71</v>
      </c>
      <c r="E1056" s="4" t="s">
        <v>19</v>
      </c>
      <c r="F1056" s="4" t="s">
        <v>20</v>
      </c>
      <c r="G1056" s="4" t="s">
        <v>384</v>
      </c>
      <c r="H1056" s="3" t="s">
        <v>4746</v>
      </c>
      <c r="I1056" s="3" t="s">
        <v>4747</v>
      </c>
      <c r="J1056" s="4">
        <v>16.95</v>
      </c>
      <c r="K1056" s="4">
        <v>3.0</v>
      </c>
      <c r="L1056" s="3" t="s">
        <v>527</v>
      </c>
      <c r="M1056" s="3" t="s">
        <v>4887</v>
      </c>
      <c r="N1056" s="7" t="str">
        <f>IFERROR(__xludf.DUMMYFUNCTION("GOOGLETRANSLATE(L1056, ""en"", ""pt"")"),"máquina de lavar louça")</f>
        <v>máquina de lavar louça</v>
      </c>
      <c r="O1056" s="7" t="str">
        <f>IFERROR(__xludf.DUMMYFUNCTION("IF(M1056="""","""",GOOGLETRANSLATE(M1056,""en"",""pt""))"),"Os auxiliares de cozinha serão responsáveis ​​por lavar a louça e todos os utensílios de cozinha, manualmente ou na máquina, manter as áreas de trabalho e os equipamentos da cozinha limpos, monitorar a temperatura da máquina de lavar louça, colocar a louç"&amp;"a limpa no local apropriado da cozinha, varrer e esfregar o chão, preparar (sem cozinhar) diversos alimentos para serem cozidos ou servidos e separar e descartar o lixo. Os auxiliares de cozinha também serão responsáveis ​​por preparar as pias de três com"&amp;"partimentos, fazer o inventário da louça e dos talheres e relatar quaisquer condições inseguras na cozinha ao supervisor. É necessário ter capacidade para levantar e/ou mover regularmente até 11 kg e ocasionalmente até 45 kg. Horário: 40 horas semanais. O"&amp;" horário de trabalho pode variar e incluir turnos noturnos, fins de semana e feriados. O trabalho pode ser realizado em qualquer dia da semana, de segunda a domingo. Exemplos de turnos: 8h às 16h ou 13h às 21h. Os horários dos turnos podem variar. Consult"&amp;"e a descrição do cargo em anexo para obter mais informações. Classificação da Função: 35-2021.00 - Auxiliares de Cozinha. A classificação e descrição da função/setor inclui informações gerais sobre o cargo, de acordo com o ONET/OES e o Sistema de Classifi"&amp;"cação Industrial da América do Norte (NAICS). Consulte as Funções e a Ordem de Serviço para obter mais informações. Requisitos da Função Experiência Necessária: Sim Meses de Experiência Necessários: 3 Requisitos Especiais: O contratante considerará para e"&amp;"mprego qualquer pessoa que possua pelo menos três (3) meses de experiência em um restaurante de alto padrão, resort ou clube privado. O candidato deverá se submeter à verificação de antecedentes e ao exame toxicológico pré-admissional, às custas do empreg"&amp;"ador. Número de Horas por Semana: 40 Horário de Trabalho (Início/Término): 8h00 - 16h00")</f>
        <v>Os auxiliares de cozinha serão responsáveis ​​por lavar a louça e todos os utensílios de cozinha, manualmente ou na máquina, manter as áreas de trabalho e os equipamentos da cozinha limpos, monitorar a temperatura da máquina de lavar louça, colocar a louça limpa no local apropriado da cozinha, varrer e esfregar o chão, preparar (sem cozinhar) diversos alimentos para serem cozidos ou servidos e separar e descartar o lixo. Os auxiliares de cozinha também serão responsáveis ​​por preparar as pias de três compartimentos, fazer o inventário da louça e dos talheres e relatar quaisquer condições inseguras na cozinha ao supervisor. É necessário ter capacidade para levantar e/ou mover regularmente até 11 kg e ocasionalmente até 45 kg. Horário: 40 horas semanais. O horário de trabalho pode variar e incluir turnos noturnos, fins de semana e feriados. O trabalho pode ser realizado em qualquer dia da semana, de segunda a domingo. Exemplos de turnos: 8h às 16h ou 13h às 21h. Os horários dos turnos podem variar. Consulte a descrição do cargo em anexo para obter mais informações. Classificação da Função: 35-2021.00 - Auxiliares de Cozinha. A classificação e descrição da função/setor inclui informações gerais sobre o cargo, de acordo com o ONET/OES e o Sistema de Classificação Industrial da América do Norte (NAICS). Consulte as Funções e a Ordem de Serviço para obter mais informações. Requisitos da Função Experiência Necessária: Sim Meses de Experiência Necessários: 3 Requisitos Especiais: O contratante considerará para emprego qualquer pessoa que possua pelo menos três (3) meses de experiência em um restaurante de alto padrão, resort ou clube privado. O candidato deverá se submeter à verificação de antecedentes e ao exame toxicológico pré-admissional, às custas do empregador. Número de Horas por Semana: 40 Horário de Trabalho (Início/Término): 8h00 - 16h00</v>
      </c>
    </row>
    <row r="1057" ht="20.25" customHeight="1">
      <c r="A1057" s="8" t="s">
        <v>4888</v>
      </c>
      <c r="B1057" s="8" t="s">
        <v>4745</v>
      </c>
      <c r="C1057" s="8" t="s">
        <v>4241</v>
      </c>
      <c r="D1057" s="8" t="s">
        <v>71</v>
      </c>
      <c r="E1057" s="9" t="s">
        <v>19</v>
      </c>
      <c r="F1057" s="9" t="s">
        <v>20</v>
      </c>
      <c r="G1057" s="9" t="s">
        <v>384</v>
      </c>
      <c r="H1057" s="8" t="s">
        <v>4746</v>
      </c>
      <c r="I1057" s="8" t="s">
        <v>4747</v>
      </c>
      <c r="J1057" s="9">
        <v>17.0</v>
      </c>
      <c r="K1057" s="9">
        <v>1.0</v>
      </c>
      <c r="L1057" s="8" t="s">
        <v>4889</v>
      </c>
      <c r="M1057" s="8" t="s">
        <v>4890</v>
      </c>
      <c r="N1057" s="7" t="str">
        <f>IFERROR(__xludf.DUMMYFUNCTION("GOOGLETRANSLATE(L1057, ""en"", ""pt"")"),"Atendente de Recepção")</f>
        <v>Atendente de Recepção</v>
      </c>
      <c r="O1057" s="7" t="str">
        <f>IFERROR(__xludf.DUMMYFUNCTION("IF(M1057="""","""",GOOGLETRANSLATE(M1057,""en"",""pt""))"),"Os recepcionistas são o principal ponto de contato para os membros e seus convidados, proporcionando uma experiência acolhedora e personalizada no Lakeside Lifestyle Center. Suas responsabilidades incluem atender o telefone de forma educada e cordial, seg"&amp;"uindo a etiqueta telefônica adequada, recepcionar membros e convidados, fazer reservas e agendar compromissos. Os recepcionistas também dão suporte às operações diárias do Spa, da Academia e das Quadras de Tênis, garantindo que os membros recebam atendime"&amp;"nto atencioso e auxílio com a programação, compras na loja e informações sobre as instalações. Horário: 40 horas semanais. A escala de trabalho pode variar e incluir turnos noturnos, fins de semana e feriados. O trabalho pode ser realizado em qualquer dia"&amp;" da semana, de segunda a domingo. Exemplos de turnos: 6h30 às 14h30, 8h às 16h ou 10h às 18h. Os horários dos turnos podem variar. Consulte a descrição da vaga em anexo para mais informações. Classificação da Função: 39-3091.00 - Atendentes de Parques de "&amp;"Diversões e Recreação. A classificação e descrição da função/setor inclui informações gerais sobre o cargo, de acordo com o ONET/OES e o Sistema de Classificação Industrial da América do Norte (NAICS). Consulte as Funções e a Ordem de Serviço para obter m"&amp;"ais informações. Requisitos da Função Experiência Necessária: Sim Meses de Experiência Necessários: 3 Requisitos Especiais: O contratante considerará para emprego qualquer pessoa que possua pelo menos três (3) meses de experiência em um hotel de alto padr"&amp;"ão, resort ou clube privado. O candidato deverá se submeter à verificação de antecedentes e ao exame toxicológico pré-admissional, às custas do empregador. Número de Horas por Semana: 40 Horário de Trabalho (Início/Término): 6h30 - 14h30")</f>
        <v>Os recepcionistas são o principal ponto de contato para os membros e seus convidados, proporcionando uma experiência acolhedora e personalizada no Lakeside Lifestyle Center. Suas responsabilidades incluem atender o telefone de forma educada e cordial, seguindo a etiqueta telefônica adequada, recepcionar membros e convidados, fazer reservas e agendar compromissos. Os recepcionistas também dão suporte às operações diárias do Spa, da Academia e das Quadras de Tênis, garantindo que os membros recebam atendimento atencioso e auxílio com a programação, compras na loja e informações sobre as instalações. Horário: 40 horas semanais. A escala de trabalho pode variar e incluir turnos noturnos, fins de semana e feriados. O trabalho pode ser realizado em qualquer dia da semana, de segunda a domingo. Exemplos de turnos: 6h30 às 14h30, 8h às 16h ou 10h às 18h. Os horários dos turnos podem variar. Consulte a descrição da vaga em anexo para mais informações. Classificação da Função: 39-3091.00 - Atendentes de Parques de Diversões e Recreação. A classificação e descrição da função/setor inclui informações gerais sobre o cargo, de acordo com o ONET/OES e o Sistema de Classificação Industrial da América do Norte (NAICS). Consulte as Funções e a Ordem de Serviço para obter mais informações. Requisitos da Função Experiência Necessária: Sim Meses de Experiência Necessários: 3 Requisitos Especiais: O contratante considerará para emprego qualquer pessoa que possua pelo menos três (3) meses de experiência em um hotel de alto padrão, resort ou clube privado. O candidato deverá se submeter à verificação de antecedentes e ao exame toxicológico pré-admissional, às custas do empregador. Número de Horas por Semana: 40 Horário de Trabalho (Início/Término): 6h30 - 14h30</v>
      </c>
    </row>
    <row r="1058" ht="20.25" customHeight="1">
      <c r="A1058" s="3" t="s">
        <v>4891</v>
      </c>
      <c r="B1058" s="3" t="s">
        <v>4745</v>
      </c>
      <c r="C1058" s="3" t="s">
        <v>4241</v>
      </c>
      <c r="D1058" s="3" t="s">
        <v>71</v>
      </c>
      <c r="E1058" s="4" t="s">
        <v>19</v>
      </c>
      <c r="F1058" s="4" t="s">
        <v>20</v>
      </c>
      <c r="G1058" s="4" t="s">
        <v>384</v>
      </c>
      <c r="H1058" s="3" t="s">
        <v>4746</v>
      </c>
      <c r="I1058" s="3" t="s">
        <v>4747</v>
      </c>
      <c r="J1058" s="4">
        <v>18.0</v>
      </c>
      <c r="K1058" s="4">
        <v>2.0</v>
      </c>
      <c r="L1058" s="3" t="s">
        <v>4892</v>
      </c>
      <c r="M1058" s="3" t="s">
        <v>4893</v>
      </c>
      <c r="N1058" s="7" t="str">
        <f>IFERROR(__xludf.DUMMYFUNCTION("GOOGLETRANSLATE(L1058, ""en"", ""pt"")"),"Atendente de lavanderia")</f>
        <v>Atendente de lavanderia</v>
      </c>
      <c r="O1058" s="7" t="str">
        <f>IFERROR(__xludf.DUMMYFUNCTION("IF(M1058="""","""",GOOGLETRANSLATE(M1058,""en"",""pt""))"),"Os Auxiliares de Lavanderia serão responsáveis ​​por receber e documentar todas as roupas lavadas para fins de faturamento, carregar e operar lavadoras e secadoras, passar roupas de cama limpas, lavar lençóis na máquina conforme solicitado, recolher roupa"&amp;"s de cama sujas e entregar roupas de cama limpas nos departamentos designados nas instalações do Harbour Ridge Yacht &amp; Country Club. Os Auxiliares de Lavanderia lavarão os uniformes dos funcionários na máquina quando o contrato de trabalho de um funcionár"&amp;"io terminar, para garantir que estejam limpos para o próximo funcionário a usar o uniforme. Além disso, os Auxiliares de Lavanderia são responsáveis ​​por garantir que todas as instalações da lavanderia, incluindo estações de trabalho, máquinas e espaços "&amp;"de armazenamento, sejam mantidas limpas, removendo qualquer lixo ou detritos, limpando superfícies duras com spray de limpeza, bem como varrendo e lavando o chão. Os Auxiliares de Lavanderia também serão responsáveis ​​por relatar problemas de manutenção "&amp;"ou riscos à segurança imediatamente. É necessário ter capacidade para levantar e/ou mover regularmente até 4,5 kg e ocasionalmente levantar e/ou mover até 11 kg. Horário: 40 horas por semana. O horário de trabalho pode variar e incluir noites, fins de sem"&amp;"ana e feriados. O trabalho pode ser realizado em qualquer dia da semana, de segunda a domingo. Exemplos de turnos: 6h às 14h ou 8h às 16h. Os horários dos turnos podem variar. Consulte a descrição do cargo em anexo para obter mais informações. Classificaç"&amp;"ão do Cargo: 51-6011.00 - Trabalhadores de Lavanderia e Limpeza a Seco. A classificação e descrição do cargo/setor incluem informações gerais sobre a posição, de acordo com o ONET/OES e o Sistema de Classificação Industrial da América do Norte (NAICS). Co"&amp;"nsulte as Funções e a Ordem de Serviço para obter mais informações. Requisitos do Cargo Experiência Necessária: Sim Meses de Experiência Necessários: 3 Requisitos Especiais: O contratante considerará para emprego qualquer pessoa que possua pelo menos três"&amp;" (3) meses de experiência em um hotel de alto padrão, resort ou clube privado. O candidato deverá se submeter à verificação de antecedentes e ao exame toxicológico pré-admissional, às custas do empregador. Número de Horas por Semana: 40 Horário de Trabalh"&amp;"o (Início/Término): 6h às 14h")</f>
        <v>Os Auxiliares de Lavanderia serão responsáveis ​​por receber e documentar todas as roupas lavadas para fins de faturamento, carregar e operar lavadoras e secadoras, passar roupas de cama limpas, lavar lençóis na máquina conforme solicitado, recolher roupas de cama sujas e entregar roupas de cama limpas nos departamentos designados nas instalações do Harbour Ridge Yacht &amp; Country Club. Os Auxiliares de Lavanderia lavarão os uniformes dos funcionários na máquina quando o contrato de trabalho de um funcionário terminar, para garantir que estejam limpos para o próximo funcionário a usar o uniforme. Além disso, os Auxiliares de Lavanderia são responsáveis ​​por garantir que todas as instalações da lavanderia, incluindo estações de trabalho, máquinas e espaços de armazenamento, sejam mantidas limpas, removendo qualquer lixo ou detritos, limpando superfícies duras com spray de limpeza, bem como varrendo e lavando o chão. Os Auxiliares de Lavanderia também serão responsáveis ​​por relatar problemas de manutenção ou riscos à segurança imediatamente. É necessário ter capacidade para levantar e/ou mover regularmente até 4,5 kg e ocasionalmente levantar e/ou mover até 11 kg. Horário: 40 horas por semana. O horário de trabalho pode variar e incluir noites, fins de semana e feriados. O trabalho pode ser realizado em qualquer dia da semana, de segunda a domingo. Exemplos de turnos: 6h às 14h ou 8h às 16h. Os horários dos turnos podem variar. Consulte a descrição do cargo em anexo para obter mais informações. Classificação do Cargo: 51-6011.00 - Trabalhadores de Lavanderia e Limpeza a Seco. A classificação e descrição do cargo/setor incluem informações gerais sobre a posição, de acordo com o ONET/OES e o Sistema de Classificação Industrial da América do Norte (NAICS). Consulte as Funções e a Ordem de Serviço para obter mais informações. Requisitos do Cargo Experiência Necessária: Sim Meses de Experiência Necessários: 3 Requisitos Especiais: O contratante considerará para emprego qualquer pessoa que possua pelo menos três (3) meses de experiência em um hotel de alto padrão, resort ou clube privado. O candidato deverá se submeter à verificação de antecedentes e ao exame toxicológico pré-admissional, às custas do empregador. Número de Horas por Semana: 40 Horário de Trabalho (Início/Término): 6h às 14h</v>
      </c>
    </row>
    <row r="1059" ht="20.25" customHeight="1">
      <c r="A1059" s="8" t="s">
        <v>4894</v>
      </c>
      <c r="B1059" s="8" t="s">
        <v>4745</v>
      </c>
      <c r="C1059" s="8" t="s">
        <v>4241</v>
      </c>
      <c r="D1059" s="8" t="s">
        <v>71</v>
      </c>
      <c r="E1059" s="9" t="s">
        <v>19</v>
      </c>
      <c r="F1059" s="9" t="s">
        <v>20</v>
      </c>
      <c r="G1059" s="9" t="s">
        <v>384</v>
      </c>
      <c r="H1059" s="8" t="s">
        <v>4895</v>
      </c>
      <c r="I1059" s="8" t="s">
        <v>4747</v>
      </c>
      <c r="J1059" s="9">
        <v>16.5</v>
      </c>
      <c r="K1059" s="9">
        <v>1.0</v>
      </c>
      <c r="L1059" s="8" t="s">
        <v>4896</v>
      </c>
      <c r="M1059" s="8" t="s">
        <v>4897</v>
      </c>
      <c r="N1059" s="7" t="str">
        <f>IFERROR(__xludf.DUMMYFUNCTION("GOOGLETRANSLATE(L1059, ""en"", ""pt"")"),"Atendente à beira do lago")</f>
        <v>Atendente à beira do lago</v>
      </c>
      <c r="O1059" s="7" t="str">
        <f>IFERROR(__xludf.DUMMYFUNCTION("IF(M1059="""","""",GOOGLETRANSLATE(M1059,""en"",""pt""))"),"Os funcionários do Lakeside serão responsáveis ​​por manter a limpeza do Lakeside Lifestyle Center, incluindo a limpeza de todos os equipamentos de ginástica, banheiros, salas de exercícios, áreas de massagem e spa. Os funcionários do Lakeside deverão obs"&amp;"ervar as precauções necessárias para proteger os bens dos clientes e da empresa, relatando danos aos equipamentos, furtos de equipamentos ou suprimentos, ou problemas de segurança ao supervisor. Os funcionários do Lakeside monitorarão e manterão a área da"&amp;" piscina, organizando espreguiçadeiras e guarda-sóis, recolhendo toalhas usadas e garantindo que a área permaneça limpa e apresentável. Além disso, os funcionários do Lakeside auxiliarão na lavagem de toalhas/roupas de cama quando necessário e entregarão "&amp;"uma lista de verificação de tarefas preenchida ao supervisor ao final de cada turno. Horário: 40 horas semanais. O horário de trabalho pode variar e incluir turnos noturnos, fins de semana e feriados. O trabalho pode ser realizado em qualquer dia da seman"&amp;"a, de segunda a domingo. Exemplos de turnos: 7h às 15h ou 10h às 18h. Os horários dos turnos podem variar. Consulte a descrição do cargo em anexo para obter mais informações. Classificação da Função: 37-2011.00 - Zeladores e Faxineiros, exceto Empregadas "&amp;"Domésticas e Faxineiros. A classificação e descrição da função/setor inclui informações gerais sobre o cargo, de acordo com o ONET/OES e o Sistema de Classificação Industrial da América do Norte. Consulte as Funções e a Ordem de Serviço para obter mais in"&amp;"formações. Requisitos da Função Experiência Necessária: Sim Meses de Experiência Necessários: 3 Requisitos Especiais: O Requerente considerará para emprego qualquer pessoa que possua pelo menos três (3) meses de experiência em um resort de alto padrão ou "&amp;"clube privado. O candidato deverá se submeter à verificação de antecedentes e ao exame toxicológico pré-admissional, às custas do empregador. Número de Horas por Semana: 40 Horário de Trabalho (Início/Término): 7h00 - 15h00")</f>
        <v>Os funcionários do Lakeside serão responsáveis ​​por manter a limpeza do Lakeside Lifestyle Center, incluindo a limpeza de todos os equipamentos de ginástica, banheiros, salas de exercícios, áreas de massagem e spa. Os funcionários do Lakeside deverão observar as precauções necessárias para proteger os bens dos clientes e da empresa, relatando danos aos equipamentos, furtos de equipamentos ou suprimentos, ou problemas de segurança ao supervisor. Os funcionários do Lakeside monitorarão e manterão a área da piscina, organizando espreguiçadeiras e guarda-sóis, recolhendo toalhas usadas e garantindo que a área permaneça limpa e apresentável. Além disso, os funcionários do Lakeside auxiliarão na lavagem de toalhas/roupas de cama quando necessário e entregarão uma lista de verificação de tarefas preenchida ao supervisor ao final de cada turno. Horário: 40 horas semanais. O horário de trabalho pode variar e incluir turnos noturnos, fins de semana e feriados. O trabalho pode ser realizado em qualquer dia da semana, de segunda a domingo. Exemplos de turnos: 7h às 15h ou 10h às 18h. Os horários dos turnos podem variar. Consulte a descrição do cargo em anexo para obter mais informações. Classificação da Função: 37-2011.00 - Zeladores e Faxineiros, exceto Empregadas Domésticas e Faxineiros. A classificação e descrição da função/setor inclui informações gerais sobre o cargo, de acordo com o ONET/OES e o Sistema de Classificação Industrial da América do Norte. Consulte as Funções e a Ordem de Serviço para obter mais informações. Requisitos da Função Experiência Necessária: Sim Meses de Experiência Necessários: 3 Requisitos Especiais: O Requerente considerará para emprego qualquer pessoa que possua pelo menos três (3) meses de experiência em um resort de alto padrão ou clube privado. O candidato deverá se submeter à verificação de antecedentes e ao exame toxicológico pré-admissional, às custas do empregador. Número de Horas por Semana: 40 Horário de Trabalho (Início/Término): 7h00 - 15h00</v>
      </c>
    </row>
    <row r="1060" ht="20.25" customHeight="1">
      <c r="A1060" s="3" t="s">
        <v>4898</v>
      </c>
      <c r="B1060" s="3" t="s">
        <v>4745</v>
      </c>
      <c r="C1060" s="3" t="s">
        <v>4241</v>
      </c>
      <c r="D1060" s="3" t="s">
        <v>71</v>
      </c>
      <c r="E1060" s="4" t="s">
        <v>19</v>
      </c>
      <c r="F1060" s="4" t="s">
        <v>20</v>
      </c>
      <c r="G1060" s="4" t="s">
        <v>384</v>
      </c>
      <c r="H1060" s="3" t="s">
        <v>4746</v>
      </c>
      <c r="I1060" s="3" t="s">
        <v>4747</v>
      </c>
      <c r="J1060" s="4">
        <v>18.74</v>
      </c>
      <c r="K1060" s="4">
        <v>2.0</v>
      </c>
      <c r="L1060" s="3" t="s">
        <v>387</v>
      </c>
      <c r="M1060" s="3" t="s">
        <v>4899</v>
      </c>
      <c r="N1060" s="7" t="str">
        <f>IFERROR(__xludf.DUMMYFUNCTION("GOOGLETRANSLATE(L1060, ""en"", ""pt"")"),"Ordem de serviço não disponível")</f>
        <v>Ordem de serviço não disponível</v>
      </c>
      <c r="O1060" s="7" t="str">
        <f>IFERROR(__xludf.DUMMYFUNCTION("IF(M1060="""","""",GOOGLETRANSLATE(M1060,""en"",""pt""))"),"Os anfitriões serão responsáveis ​​por recepcionar e acompanhar os membros até suas mesas de maneira educada e profissional. Eles garantirão a satisfação dos membros durante o jantar, perguntando sobre a experiência gastronômica e certificando-se de que s"&amp;"aiam satisfeitos com o nosso serviço. Os anfitriões também serão responsáveis ​​por coordenar com a equipe da cozinha e do salão para garantir a preparação e a retirada dos pedidos para viagem em tempo hábil. Além disso, esta função pode incluir responsab"&amp;"ilidades de serviço, como anotar e anotar pedidos, transportar bandejas e pratos, servir alimentos e bebidas e limpar e desocupar as mesas. Esta função também pode incluir responsabilidades de barman, como preparar e servir bebidas, incluindo coquetéis, v"&amp;"inhos, cervejas e bebidas não alcoólicas para membros e convidados, limpar copos e equipamentos de bar e garantir que o bar e as áreas de serviço permaneçam limpos, organizados e bem abastecidos. Os anfitriões também podem auxiliar na preparação dos salõe"&amp;"s de jantar e buffets para reuniões e eventos. As tarefas de preparação incluem organizar os aquecedores de buffet, dispondo os alimentos preparados pela cozinha; ligar as chaleiras de sopa; ligar os aquecedores de pratos; preparar as máquinas de café; or"&amp;"ganizar mesas e cadeiras; e organizar manteiga, copos, pratos e roupas de mesa. As tarefas de organização serão realizadas em um restaurante no local, salões de banquetes, áreas de eventos nas casas dos membros e uma área de refeições ao ar livre perto do"&amp;" food truck. Horário: 40 horas por semana. O horário de trabalho pode variar e incluir noites, fins de semana e feriados. O trabalho pode ser realizado em qualquer dia da semana, de segunda a domingo. Exemplos de turnos: 10h às 18h ou 11h às 19h. Os horár"&amp;"ios dos turnos podem variar. Consulte a descrição do cargo em anexo para obter mais informações. Classificação do Cargo: 35-3011.00 - Bartenders. A classificação e a descrição do cargo/setor incluem informações gerais sobre a posição, de acordo com o ONET"&amp;"/OES e o Sistema de Classificação Industrial da América do Norte. Consulte as Funções e a Ordem de Serviço para obter mais informações. Requisitos da vaga Experiência necessária: Sim Meses de experiência necessários: 6 Requisitos especiais: O contratante "&amp;"considerará para emprego qualquer pessoa que possua pelo menos seis (6) meses de experiência em um ambiente de alta gastronomia ou de grande movimento em um restaurante sofisticado, resort ou clube privado. O candidato deverá se submeter à verificação de "&amp;"antecedentes e ao exame toxicológico pré-admissional, às custas do empregador. Número de horas por semana: 40 Horário de trabalho (início/término): 10h às 18h")</f>
        <v>Os anfitriões serão responsáveis ​​por recepcionar e acompanhar os membros até suas mesas de maneira educada e profissional. Eles garantirão a satisfação dos membros durante o jantar, perguntando sobre a experiência gastronômica e certificando-se de que saiam satisfeitos com o nosso serviço. Os anfitriões também serão responsáveis ​​por coordenar com a equipe da cozinha e do salão para garantir a preparação e a retirada dos pedidos para viagem em tempo hábil. Além disso, esta função pode incluir responsabilidades de serviço, como anotar e anotar pedidos, transportar bandejas e pratos, servir alimentos e bebidas e limpar e desocupar as mesas. Esta função também pode incluir responsabilidades de barman, como preparar e servir bebidas, incluindo coquetéis, vinhos, cervejas e bebidas não alcoólicas para membros e convidados, limpar copos e equipamentos de bar e garantir que o bar e as áreas de serviço permaneçam limpos, organizados e bem abastecidos. Os anfitriões também podem auxiliar na preparação dos salões de jantar e buffets para reuniões e eventos. As tarefas de preparação incluem organizar os aquecedores de buffet, dispondo os alimentos preparados pela cozinha; ligar as chaleiras de sopa; ligar os aquecedores de pratos; preparar as máquinas de café; organizar mesas e cadeiras; e organizar manteiga, copos, pratos e roupas de mesa. As tarefas de organização serão realizadas em um restaurante no local, salões de banquetes, áreas de eventos nas casas dos membros e uma área de refeições ao ar livre perto do food truck. Horário: 40 horas por semana. O horário de trabalho pode variar e incluir noites, fins de semana e feriados. O trabalho pode ser realizado em qualquer dia da semana, de segunda a domingo. Exemplos de turnos: 10h às 18h ou 11h às 19h. Os horários dos turnos podem variar. Consulte a descrição do cargo em anexo para obter mais informações. Classificação do Cargo: 35-3011.00 - Bartenders. A classificação e a descrição do cargo/setor incluem informações gerais sobre a posição, de acordo com o ONET/OES e o Sistema de Classificação Industrial da América do Norte. Consulte as Funções e a Ordem de Serviço para obter mais informações. Requisitos da vaga Experiência necessária: Sim Meses de experiência necessários: 6 Requisitos especiais: O contratante considerará para emprego qualquer pessoa que possua pelo menos seis (6) meses de experiência em um ambiente de alta gastronomia ou de grande movimento em um restaurante sofisticado, resort ou clube privado. O candidato deverá se submeter à verificação de antecedentes e ao exame toxicológico pré-admissional, às custas do empregador. Número de horas por semana: 40 Horário de trabalho (início/término): 10h às 18h</v>
      </c>
    </row>
    <row r="1061" ht="20.25" customHeight="1">
      <c r="A1061" s="8" t="s">
        <v>4900</v>
      </c>
      <c r="B1061" s="8" t="s">
        <v>4745</v>
      </c>
      <c r="C1061" s="8" t="s">
        <v>4241</v>
      </c>
      <c r="D1061" s="8" t="s">
        <v>71</v>
      </c>
      <c r="E1061" s="9" t="s">
        <v>19</v>
      </c>
      <c r="F1061" s="9" t="s">
        <v>20</v>
      </c>
      <c r="G1061" s="9" t="s">
        <v>384</v>
      </c>
      <c r="H1061" s="8" t="s">
        <v>4895</v>
      </c>
      <c r="I1061" s="8" t="s">
        <v>4747</v>
      </c>
      <c r="J1061" s="9">
        <v>17.5</v>
      </c>
      <c r="K1061" s="9">
        <v>4.0</v>
      </c>
      <c r="L1061" s="8" t="s">
        <v>586</v>
      </c>
      <c r="M1061" s="8" t="s">
        <v>4901</v>
      </c>
      <c r="N1061" s="7" t="str">
        <f>IFERROR(__xludf.DUMMYFUNCTION("GOOGLETRANSLATE(L1061, ""en"", ""pt"")"),"Cozinheiro de linha")</f>
        <v>Cozinheiro de linha</v>
      </c>
      <c r="O1061" s="7" t="str">
        <f>IFERROR(__xludf.DUMMYFUNCTION("IF(M1061="""","""",GOOGLETRANSLATE(M1061,""en"",""pt""))"),"Os cozinheiros de linha serão responsáveis ​​por preparar, temperar e cozinhar sopas, carnes, legumes, sobremesas e outros itens alimentícios em um restaurante. Os cozinheiros de linha garantirão que todos os alimentos sejam armazenados em recipientes ade"&amp;"quados, prepararão os itens do cardápio à la carte e do buffet, manterão as áreas de trabalho da cozinha limpas e seguras e relatarão quaisquer condições inseguras ao supervisor. É necessário ter capacidade para levantar e/ou mover regularmente até 11 kg "&amp;"e ocasionalmente até 45 kg. Horário: 40 horas por semana. O horário de trabalho pode variar e incluir turnos noturnos, fins de semana e feriados. O trabalho pode ser realizado em qualquer dia da semana, de segunda a domingo. Exemplos de turnos: 6h às 14h "&amp;"ou 8h às 16h. Os horários dos turnos podem variar. Consulte a descrição do cargo em anexo para obter mais informações. Classificação do cargo: 35-2014.00 - Cozinheiros, Restaurante. A classificação e descrição do cargo/setor incluem informações gerais sob"&amp;"re a posição, de acordo com o ONET/OES e o Sistema de Classificação Industrial da América do Norte. Consulte a Descrição das Funções e a Ordem de Serviço para obter mais informações. Requisitos da Vaga Experiência Necessária: Sim Meses de Experiência Nece"&amp;"ssários: 6 Requisitos Especiais: O contratante considerará para emprego qualquer pessoa que possua pelo menos seis (6) meses de experiência culinária em um ambiente de alta gastronomia ou de grande movimento em um restaurante sofisticado, resort ou clube "&amp;"privado. O candidato deverá se submeter à verificação de antecedentes e ao exame toxicológico pré-admissional, às custas do empregador. Número de Horas por Semana: 40 Horário de Trabalho (Início/Término): 6h00 - 14h00")</f>
        <v>Os cozinheiros de linha serão responsáveis ​​por preparar, temperar e cozinhar sopas, carnes, legumes, sobremesas e outros itens alimentícios em um restaurante. Os cozinheiros de linha garantirão que todos os alimentos sejam armazenados em recipientes adequados, prepararão os itens do cardápio à la carte e do buffet, manterão as áreas de trabalho da cozinha limpas e seguras e relatarão quaisquer condições inseguras ao supervisor. É necessário ter capacidade para levantar e/ou mover regularmente até 11 kg e ocasionalmente até 45 kg. Horário: 40 horas por semana. O horário de trabalho pode variar e incluir turnos noturnos, fins de semana e feriados. O trabalho pode ser realizado em qualquer dia da semana, de segunda a domingo. Exemplos de turnos: 6h às 14h ou 8h às 16h. Os horários dos turnos podem variar. Consulte a descrição do cargo em anexo para obter mais informações. Classificação do cargo: 35-2014.00 - Cozinheiros, Restaurante. A classificação e descrição do cargo/setor incluem informações gerais sobre a posição, de acordo com o ONET/OES e o Sistema de Classificação Industrial da América do Norte. Consulte a Descrição das Funções e a Ordem de Serviço para obter mais informações. Requisitos da Vaga Experiência Necessária: Sim Meses de Experiência Necessários: 6 Requisitos Especiais: O contratante considerará para emprego qualquer pessoa que possua pelo menos seis (6) meses de experiência culinária em um ambiente de alta gastronomia ou de grande movimento em um restaurante sofisticado, resort ou clube privado. O candidato deverá se submeter à verificação de antecedentes e ao exame toxicológico pré-admissional, às custas do empregador. Número de Horas por Semana: 40 Horário de Trabalho (Início/Término): 6h00 - 14h00</v>
      </c>
    </row>
    <row r="1062" ht="20.25" customHeight="1">
      <c r="A1062" s="3" t="s">
        <v>4902</v>
      </c>
      <c r="B1062" s="3" t="s">
        <v>4903</v>
      </c>
      <c r="C1062" s="3" t="s">
        <v>4241</v>
      </c>
      <c r="D1062" s="3" t="s">
        <v>4521</v>
      </c>
      <c r="E1062" s="4" t="s">
        <v>19</v>
      </c>
      <c r="F1062" s="4" t="s">
        <v>20</v>
      </c>
      <c r="G1062" s="4" t="s">
        <v>118</v>
      </c>
      <c r="H1062" s="3" t="s">
        <v>4904</v>
      </c>
      <c r="I1062" s="3" t="s">
        <v>4905</v>
      </c>
      <c r="J1062" s="4">
        <v>24.52</v>
      </c>
      <c r="K1062" s="4">
        <v>15.0</v>
      </c>
      <c r="L1062" s="3" t="s">
        <v>4906</v>
      </c>
      <c r="M1062" s="3" t="s">
        <v>4907</v>
      </c>
      <c r="N1062" s="7" t="str">
        <f>IFERROR(__xludf.DUMMYFUNCTION("GOOGLETRANSLATE(L1062, ""en"", ""pt"")"),"Líder da Equipe de Alimentos e Bebidas")</f>
        <v>Líder da Equipe de Alimentos e Bebidas</v>
      </c>
      <c r="O1062" s="7" t="str">
        <f>IFERROR(__xludf.DUMMYFUNCTION("IF(M1062="""","""",GOOGLETRANSLATE(M1062,""en"",""pt""))"),"Os Líderes de Equipe de Alimentos e Bebidas serão responsáveis ​​por treinar os funcionários na preparação e no serviço de alimentos, nos procedimentos de higiene e segurança, supervisionar e participar das atividades de limpeza da cozinha e do salão, atr"&amp;"ibuir tarefas, responsabilidades e postos de trabalho aos funcionários de acordo com as necessidades do trabalho, monitorar as operações de serviço de alimentação para garantir que os procedimentos sejam seguidos e se comunicar com os clientes para garant"&amp;"ir a satisfação. Podem supervisionar até dez (10) recepcionistas/caixas e auxiliares de mesa. Horário: 40 horas semanais. O horário de trabalho pode variar e incluir turnos noturnos, fins de semana e feriados, podendo incluir turnos de até 12 horas para e"&amp;"ventos especiais. O trabalho pode ser realizado em qualquer dia da semana, de segunda a domingo. Exemplos de turnos: das 6h às 14h, das 10h às 18h ou das 14h às 22h. Os horários dos turnos podem variar. Consulte a descrição do cargo em anexo para obter ma"&amp;"is detalhes. Classificação da Função: 35-1012.00 - Supervisores de Primeira Linha de Preparadores e Servidores de Alimentos. A classificação e descrição da função/setor inclui informações gerais sobre o cargo, de acordo com o ONET/OES e o Sistema de Class"&amp;"ificação Industrial da América do Norte (NAICS). Consulte as Funções e a Ordem de Serviço para obter mais informações. Requisitos da Função Experiência Necessária: Sim Meses de Experiência Necessários: 12 Requisitos Especiais: O contratante considerará pa"&amp;"ra emprego qualquer pessoa que possua pelo menos doze (12) meses de experiência em um ambiente de alta gastronomia ou de grande movimento em um restaurante sofisticado, resort ou clube privado. Número de Horas por Semana: 40 Horário de Trabalho (Início/Té"&amp;"rmino): 6h00 - 14h00")</f>
        <v>Os Líderes de Equipe de Alimentos e Bebidas serão responsáveis ​​por treinar os funcionários na preparação e no serviço de alimentos, nos procedimentos de higiene e segurança, supervisionar e participar das atividades de limpeza da cozinha e do salão, atribuir tarefas, responsabilidades e postos de trabalho aos funcionários de acordo com as necessidades do trabalho, monitorar as operações de serviço de alimentação para garantir que os procedimentos sejam seguidos e se comunicar com os clientes para garantir a satisfação. Podem supervisionar até dez (10) recepcionistas/caixas e auxiliares de mesa. Horário: 40 horas semanais. O horário de trabalho pode variar e incluir turnos noturnos, fins de semana e feriados, podendo incluir turnos de até 12 horas para eventos especiais. O trabalho pode ser realizado em qualquer dia da semana, de segunda a domingo. Exemplos de turnos: das 6h às 14h, das 10h às 18h ou das 14h às 22h. Os horários dos turnos podem variar. Consulte a descrição do cargo em anexo para obter mais detalhes. Classificação da Função: 35-1012.00 - Supervisores de Primeira Linha de Preparadores e Servidores de Alimentos. A classificação e descrição da função/setor inclui informações gerais sobre o cargo, de acordo com o ONET/OES e o Sistema de Classificação Industrial da América do Norte (NAICS). Consulte as Funções e a Ordem de Serviço para obter mais informações. Requisitos da Função Experiência Necessária: Sim Meses de Experiência Necessários: 12 Requisitos Especiais: O contratante considerará para emprego qualquer pessoa que possua pelo menos doze (12) meses de experiência em um ambiente de alta gastronomia ou de grande movimento em um restaurante sofisticado, resort ou clube privado. Número de Horas por Semana: 40 Horário de Trabalho (Início/Término): 6h00 - 14h00</v>
      </c>
    </row>
    <row r="1063" ht="20.25" customHeight="1">
      <c r="A1063" s="8" t="s">
        <v>4908</v>
      </c>
      <c r="B1063" s="8" t="s">
        <v>4903</v>
      </c>
      <c r="C1063" s="8" t="s">
        <v>4241</v>
      </c>
      <c r="D1063" s="8" t="s">
        <v>4521</v>
      </c>
      <c r="E1063" s="9" t="s">
        <v>44</v>
      </c>
      <c r="F1063" s="9" t="s">
        <v>20</v>
      </c>
      <c r="G1063" s="9" t="s">
        <v>292</v>
      </c>
      <c r="H1063" s="8" t="s">
        <v>4904</v>
      </c>
      <c r="I1063" s="8" t="s">
        <v>4905</v>
      </c>
      <c r="J1063" s="9">
        <v>21.29</v>
      </c>
      <c r="K1063" s="9">
        <v>6.0</v>
      </c>
      <c r="L1063" s="8" t="s">
        <v>4909</v>
      </c>
      <c r="M1063" s="8" t="s">
        <v>4910</v>
      </c>
      <c r="N1063" s="7" t="str">
        <f>IFERROR(__xludf.DUMMYFUNCTION("GOOGLETRANSLATE(L1063, ""en"", ""pt"")"),"Máquina de neve")</f>
        <v>Máquina de neve</v>
      </c>
      <c r="O1063" s="7" t="str">
        <f>IFERROR(__xludf.DUMMYFUNCTION("IF(M1063="""","""",GOOGLETRANSLATE(M1063,""en"",""pt""))"),"Os operadores de máquinas de neve serão responsáveis ​​pela operação básica de equipamentos que forçam ar e água pressurizados através de um bocal. As funções do funcionário incluem conectar mangueiras a fontes de água, movimentar equipamentos e raspar, d"&amp;"esalojar ou quebrar o excesso de gelo, geada ou material congelado dos equipamentos para evitar o acúmulo, utilizando as mãos e ferramentas manuais; ajustar a entrada de ar para obter a consistência e a quantidade de neve desejadas; conectar tubos, conexõ"&amp;"es ou válvulas, utilizando ferramentas manuais, e fechar válvulas e limpar as linhas de água. Os operadores de máquinas de neve devem ser capazes de caminhar e trabalhar em condições climáticas extremamente frias e adversas; também devem ser capazes de mo"&amp;"vimentar equipamentos para cima e para baixo em pistas de esqui cobertas de neve/gelo. Os operadores de máquinas de neve também auxiliarão durante a pré-temporada com todos os departamentos de operação da montanha, como a operação dos teleféricos, instala"&amp;"ndo cadeiras e assentando tubos de produção de neve para um início de operação tranquilo. Os operadores de máquinas de neve também auxiliarão durante a pós-temporada com a equipe de operações da montanha para fechar a montanha e recolher as mangueiras par"&amp;"a armazenamento de verão. Horário: 40 horas por semana. O trabalho pode ser realizado em qualquer dia da semana, de segunda a domingo. O horário de trabalho incluirá turnos de até 12 horas, podendo incluir turnos noturnos, de madrugada, de fim de semana e"&amp;"/ou feriados. Exemplos de turnos: das 19h às 3h e das 0h às 8h. Os horários dos turnos podem variar. Consulte a descrição da vaga em anexo para obter mais detalhes. Classificação da vaga: 51-9193.00 - Operadores e Auxiliares de Equipamentos de Resfriament"&amp;"o e Congelamento. A classificação e a descrição da vaga/setor incluem informações gerais sobre o cargo, de acordo com o ONET/OES e o Sistema de Classificação Industrial da América do Norte (NAICS). Consulte as Funções e a Ordem de Serviço para obter mais "&amp;"informações. Requisitos da vaga: Experiência exigida: Sim. Meses de experiência exigidos: 3. Requisitos especiais: O contratante considerará para emprego qualquer pessoa que possua pelo menos três (3) meses de experiência em trabalho braçal em um ambiente"&amp;" profissional. Número de horas por semana: 40. Horário de trabalho (início/término): 19h às 3h.")</f>
        <v>Os operadores de máquinas de neve serão responsáveis ​​pela operação básica de equipamentos que forçam ar e água pressurizados através de um bocal. As funções do funcionário incluem conectar mangueiras a fontes de água, movimentar equipamentos e raspar, desalojar ou quebrar o excesso de gelo, geada ou material congelado dos equipamentos para evitar o acúmulo, utilizando as mãos e ferramentas manuais; ajustar a entrada de ar para obter a consistência e a quantidade de neve desejadas; conectar tubos, conexões ou válvulas, utilizando ferramentas manuais, e fechar válvulas e limpar as linhas de água. Os operadores de máquinas de neve devem ser capazes de caminhar e trabalhar em condições climáticas extremamente frias e adversas; também devem ser capazes de movimentar equipamentos para cima e para baixo em pistas de esqui cobertas de neve/gelo. Os operadores de máquinas de neve também auxiliarão durante a pré-temporada com todos os departamentos de operação da montanha, como a operação dos teleféricos, instalando cadeiras e assentando tubos de produção de neve para um início de operação tranquilo. Os operadores de máquinas de neve também auxiliarão durante a pós-temporada com a equipe de operações da montanha para fechar a montanha e recolher as mangueiras para armazenamento de verão. Horário: 40 horas por semana. O trabalho pode ser realizado em qualquer dia da semana, de segunda a domingo. O horário de trabalho incluirá turnos de até 12 horas, podendo incluir turnos noturnos, de madrugada, de fim de semana e/ou feriados. Exemplos de turnos: das 19h às 3h e das 0h às 8h. Os horários dos turnos podem variar. Consulte a descrição da vaga em anexo para obter mais detalhes. Classificação da vaga: 51-9193.00 - Operadores e Auxiliares de Equipamentos de Resfriamento e Congelamento. A classificação e a descrição da vaga/setor incluem informações gerais sobre o cargo, de acordo com o ONET/OES e o Sistema de Classificação Industrial da América do Norte (NAICS). Consulte as Funções e a Ordem de Serviço para obter mais informações. Requisitos da vaga: Experiência exigida: Sim. Meses de experiência exigidos: 3. Requisitos especiais: O contratante considerará para emprego qualquer pessoa que possua pelo menos três (3) meses de experiência em trabalho braçal em um ambiente profissional. Número de horas por semana: 40. Horário de trabalho (início/término): 19h às 3h.</v>
      </c>
    </row>
    <row r="1064" ht="20.25" customHeight="1">
      <c r="A1064" s="3" t="s">
        <v>4911</v>
      </c>
      <c r="B1064" s="3" t="s">
        <v>4912</v>
      </c>
      <c r="C1064" s="3" t="s">
        <v>4241</v>
      </c>
      <c r="D1064" s="3" t="s">
        <v>71</v>
      </c>
      <c r="E1064" s="4" t="s">
        <v>19</v>
      </c>
      <c r="F1064" s="4" t="s">
        <v>20</v>
      </c>
      <c r="G1064" s="4" t="s">
        <v>384</v>
      </c>
      <c r="H1064" s="3" t="s">
        <v>4913</v>
      </c>
      <c r="I1064" s="3" t="s">
        <v>4914</v>
      </c>
      <c r="J1064" s="4">
        <v>20.13</v>
      </c>
      <c r="K1064" s="4">
        <v>7.0</v>
      </c>
      <c r="L1064" s="3" t="s">
        <v>1206</v>
      </c>
      <c r="M1064" s="3" t="s">
        <v>4915</v>
      </c>
      <c r="N1064" s="7" t="str">
        <f>IFERROR(__xludf.DUMMYFUNCTION("GOOGLETRANSLATE(L1064, ""en"", ""pt"")"),"Servidor")</f>
        <v>Servidor</v>
      </c>
      <c r="O1064" s="7" t="str">
        <f>IFERROR(__xludf.DUMMYFUNCTION("IF(M1064="""","""",GOOGLETRANSLATE(M1064,""en"",""pt""))"),"Os garçons serão responsáveis ​​por preparar o salão, anotar e registrar os pedidos dos clientes em um sistema informatizado, transportar bandejas, servir comidas e bebidas, cumprimentar os clientes pelo sobrenome e limpar e retirar os pratos das mesas. H"&amp;"orário: 35 horas semanais. A escala de trabalho pode variar e incluir turnos noturnos, fins de semana e feriados. O trabalho pode ser realizado em qualquer dia da semana, de segunda a domingo. Exemplos de turnos: 9h às 16h, 10h às 17h ou 16h às 23h. Os ho"&amp;"rários dos turnos podem variar. Consulte a descrição da vaga em anexo para obter mais informações. Classificação da vaga: 35-3031.00 - Garçons e Garçonetes. A classificação e descrição da vaga/setor incluem informações gerais sobre o cargo, de acordo com "&amp;"o ONET/OES e o Sistema de Classificação Industrial da América do Norte (NAICS). Consulte as Funções e a Ordem de Serviço para obter mais informações. Requisitos da Vaga Experiência Necessária: Sim Meses de Experiência Necessários: 6 Requisitos Especiais: "&amp;"O Requerente considerará para emprego qualquer pessoa que possua pelo menos seis (6) meses de experiência em atendimento ao público em um ambiente de alta gastronomia ou de grande movimento em um restaurante sofisticado, resort ou clube privado. O candida"&amp;"to deverá se submeter à verificação de antecedentes e ao exame toxicológico pré-admissional, às custas do empregador. Ex-funcionários estão isentos da verificação de antecedentes e do exame toxicológico se forem recontratados dentro de seis (6) meses após"&amp;" o desligamento. Número de Horas por Semana: 35 Horário de Trabalho (Início/Término): 9h00 - 16h00")</f>
        <v>Os garçons serão responsáveis ​​por preparar o salão, anotar e registrar os pedidos dos clientes em um sistema informatizado, transportar bandejas, servir comidas e bebidas, cumprimentar os clientes pelo sobrenome e limpar e retirar os pratos das mesas. Horário: 35 horas semanais. A escala de trabalho pode variar e incluir turnos noturnos, fins de semana e feriados. O trabalho pode ser realizado em qualquer dia da semana, de segunda a domingo. Exemplos de turnos: 9h às 16h, 10h às 17h ou 16h às 23h. Os horários dos turnos podem variar. Consulte a descrição da vaga em anexo para obter mais informações. Classificação da vaga: 35-3031.00 - Garçons e Garçonetes. A classificação e descrição da vaga/setor incluem informações gerais sobre o cargo, de acordo com o ONET/OES e o Sistema de Classificação Industrial da América do Norte (NAICS). Consulte as Funções e a Ordem de Serviço para obter mais informações. Requisitos da Vaga Experiência Necessária: Sim Meses de Experiência Necessários: 6 Requisitos Especiais: O Requerente considerará para emprego qualquer pessoa que possua pelo menos seis (6) meses de experiência em atendimento ao público em um ambiente de alta gastronomia ou de grande movimento em um restaurante sofisticado, resort ou clube privado. O candidato deverá se submeter à verificação de antecedentes e ao exame toxicológico pré-admissional, às custas do empregador. Ex-funcionários estão isentos da verificação de antecedentes e do exame toxicológico se forem recontratados dentro de seis (6) meses após o desligamento. Número de Horas por Semana: 35 Horário de Trabalho (Início/Término): 9h00 - 16h00</v>
      </c>
    </row>
    <row r="1065" ht="20.25" customHeight="1">
      <c r="A1065" s="8" t="s">
        <v>4916</v>
      </c>
      <c r="B1065" s="8" t="s">
        <v>4912</v>
      </c>
      <c r="C1065" s="8" t="s">
        <v>4241</v>
      </c>
      <c r="D1065" s="8" t="s">
        <v>71</v>
      </c>
      <c r="E1065" s="9" t="s">
        <v>19</v>
      </c>
      <c r="F1065" s="9" t="s">
        <v>20</v>
      </c>
      <c r="G1065" s="9" t="s">
        <v>384</v>
      </c>
      <c r="H1065" s="8" t="s">
        <v>4913</v>
      </c>
      <c r="I1065" s="8" t="s">
        <v>4914</v>
      </c>
      <c r="J1065" s="9">
        <v>19.88</v>
      </c>
      <c r="K1065" s="9">
        <v>6.0</v>
      </c>
      <c r="L1065" s="8" t="s">
        <v>387</v>
      </c>
      <c r="M1065" s="8" t="s">
        <v>4917</v>
      </c>
      <c r="N1065" s="7" t="str">
        <f>IFERROR(__xludf.DUMMYFUNCTION("GOOGLETRANSLATE(L1065, ""en"", ""pt"")"),"Ordem de serviço não disponível")</f>
        <v>Ordem de serviço não disponível</v>
      </c>
      <c r="O1065" s="7" t="str">
        <f>IFERROR(__xludf.DUMMYFUNCTION("IF(M1065="""","""",GOOGLETRANSLATE(M1065,""en"",""pt""))"),"Os cozinheiros serão responsáveis ​​por preparar, temperar e cozinhar sopas, carnes, legumes, sobremesas e outros itens alimentícios em um restaurante e outros pontos de venda de alimentos e bebidas, incluindo refeições para funcionários. Horário: 35 hora"&amp;"s semanais. O horário de trabalho pode variar e incluir turnos noturnos, fins de semana e feriados. O trabalho pode ser realizado em qualquer dia da semana, de segunda a domingo. Exemplos de turnos: 7h às 14h, 9h às 16h ou 11h às 18h. Os horários dos turn"&amp;"os podem variar. Consulte a descrição do cargo em anexo para obter mais informações. Classificação do Cargo: 35-2014.00 - Cozinheiros, Restaurante. A classificação e descrição do cargo/setor incluem informações gerais sobre a posição, de acordo com o ONET"&amp;"/OES e o Sistema de Classificação Industrial da América do Norte (NAICS). Consulte as Funções e a Ordem de Serviço para obter mais informações. Requisitos da Vaga Experiência Necessária: Sim Meses de Experiência Necessários: 12 Requisitos Especiais: O Req"&amp;"uerente considerará para emprego qualquer pessoa que possua pelo menos um (1) ano de experiência culinária em um ambiente de alta gastronomia ou de grande movimento em um restaurante sofisticado, resort ou clube privado. O candidato deverá se submeter à v"&amp;"erificação de antecedentes e ao exame toxicológico pré-admissional, às custas do empregador. Ex-funcionários estão isentos da verificação de antecedentes e do exame toxicológico se forem recontratados dentro de seis (6) meses após o desligamento. Número d"&amp;"e Horas por Semana: 35 Horário de Trabalho (Início/Término): 7h00 - 14h00")</f>
        <v>Os cozinheiros serão responsáveis ​​por preparar, temperar e cozinhar sopas, carnes, legumes, sobremesas e outros itens alimentícios em um restaurante e outros pontos de venda de alimentos e bebidas, incluindo refeições para funcionários. Horário: 35 horas semanais. O horário de trabalho pode variar e incluir turnos noturnos, fins de semana e feriados. O trabalho pode ser realizado em qualquer dia da semana, de segunda a domingo. Exemplos de turnos: 7h às 14h, 9h às 16h ou 11h às 18h. Os horários dos turnos podem variar. Consulte a descrição do cargo em anexo para obter mais informações. Classificação do Cargo: 35-2014.00 - Cozinheiros, Restaurante. A classificação e descrição do cargo/setor incluem informações gerais sobre a posição, de acordo com o ONET/OES e o Sistema de Classificação Industrial da América do Norte (NAICS). Consulte as Funções e a Ordem de Serviço para obter mais informações. Requisitos da Vaga Experiência Necessária: Sim Meses de Experiência Necessários: 12 Requisitos Especiais: O Requerente considerará para emprego qualquer pessoa que possua pelo menos um (1) ano de experiência culinária em um ambiente de alta gastronomia ou de grande movimento em um restaurante sofisticado, resort ou clube privado. O candidato deverá se submeter à verificação de antecedentes e ao exame toxicológico pré-admissional, às custas do empregador. Ex-funcionários estão isentos da verificação de antecedentes e do exame toxicológico se forem recontratados dentro de seis (6) meses após o desligamento. Número de Horas por Semana: 35 Horário de Trabalho (Início/Término): 7h00 - 14h00</v>
      </c>
    </row>
    <row r="1066" ht="20.25" customHeight="1">
      <c r="A1066" s="3" t="s">
        <v>4918</v>
      </c>
      <c r="B1066" s="3" t="s">
        <v>4912</v>
      </c>
      <c r="C1066" s="3" t="s">
        <v>4241</v>
      </c>
      <c r="D1066" s="3" t="s">
        <v>71</v>
      </c>
      <c r="E1066" s="4" t="s">
        <v>19</v>
      </c>
      <c r="F1066" s="4" t="s">
        <v>20</v>
      </c>
      <c r="G1066" s="4" t="s">
        <v>384</v>
      </c>
      <c r="H1066" s="3" t="s">
        <v>4913</v>
      </c>
      <c r="I1066" s="3" t="s">
        <v>4914</v>
      </c>
      <c r="J1066" s="4">
        <v>16.35</v>
      </c>
      <c r="K1066" s="4">
        <v>2.0</v>
      </c>
      <c r="L1066" s="3" t="s">
        <v>1641</v>
      </c>
      <c r="M1066" s="3" t="s">
        <v>4919</v>
      </c>
      <c r="N1066" s="7" t="str">
        <f>IFERROR(__xludf.DUMMYFUNCTION("GOOGLETRANSLATE(L1066, ""en"", ""pt"")"),"Garçom/Garçonete")</f>
        <v>Garçom/Garçonete</v>
      </c>
      <c r="O1066" s="7" t="str">
        <f>IFERROR(__xludf.DUMMYFUNCTION("IF(M1066="""","""",GOOGLETRANSLATE(M1066,""en"",""pt""))"),"Os auxiliares de garçom serão responsáveis ​​por auxiliar os garçons no serviço de alimentação, agilizando e garantindo um fluxo eficiente dos pedidos da cozinha para as mesas, carregando bandejas e pratos, limpando e arrumando as mesas, limpando e higien"&amp;"izando as estações de trabalho, repondo toalhas de mesa, utensílios, guardanapos e condimentos, e servindo bebidas não alcoólicas. É necessário ser capaz de levantar e carregar até 11 kg sem ajuda e até 23 kg com ajuda. Horário: 35 horas semanais. A escal"&amp;"a de trabalho pode variar e incluir turnos noturnos, fins de semana e feriados. O trabalho pode ser realizado em qualquer dia da semana, de segunda a domingo. Exemplos de turnos: 7h às 14h, 9h às 16h ou 11h às 18h. Os horários dos turnos podem variar. Con"&amp;"sulte a descrição da vaga em anexo para obter mais informações. Classificação da Função: 35-9011.00 - Atendentes de Salão e Cafeteria e Auxiliares de Barman. A classificação e descrição da função/setor inclui informações gerais sobre o cargo, de acordo co"&amp;"m o ONET/OES e o Sistema de Classificação Industrial da América do Norte. Consulte as Funções e a Ordem de Serviço para obter mais informações. Requisitos da Função Experiência Necessária: Sim Meses de Experiência Necessários: 3 Requisitos Especiais: O co"&amp;"ntratante considerará para emprego qualquer pessoa que possua pelo menos três (3) meses de experiência em um ambiente de alta gastronomia ou de grande movimento em um restaurante de alto padrão, resort ou clube privado. O candidato deverá se submeter à ve"&amp;"rificação de antecedentes e ao exame toxicológico pré-admissional, às custas do empregador. Ex-funcionários estão isentos da verificação de antecedentes e do exame toxicológico se forem recontratados dentro de seis (6) meses após o desligamento. Número de"&amp;" Horas por Semana: 35 Horário de Trabalho (Início/Término): 7h00 - 14h00")</f>
        <v>Os auxiliares de garçom serão responsáveis ​​por auxiliar os garçons no serviço de alimentação, agilizando e garantindo um fluxo eficiente dos pedidos da cozinha para as mesas, carregando bandejas e pratos, limpando e arrumando as mesas, limpando e higienizando as estações de trabalho, repondo toalhas de mesa, utensílios, guardanapos e condimentos, e servindo bebidas não alcoólicas. É necessário ser capaz de levantar e carregar até 11 kg sem ajuda e até 23 kg com ajuda. Horário: 35 horas semanais. A escala de trabalho pode variar e incluir turnos noturnos, fins de semana e feriados. O trabalho pode ser realizado em qualquer dia da semana, de segunda a domingo. Exemplos de turnos: 7h às 14h, 9h às 16h ou 11h às 18h. Os horários dos turnos podem variar. Consulte a descrição da vaga em anexo para obter mais informações. Classificação da Função: 35-9011.00 - Atendentes de Salão e Cafeteria e Auxiliares de Barman. A classificação e descrição da função/setor inclui informações gerais sobre o cargo, de acordo com o ONET/OES e o Sistema de Classificação Industrial da América do Norte. Consulte as Funções e a Ordem de Serviço para obter mais informações. Requisitos da Função Experiência Necessária: Sim Meses de Experiência Necessários: 3 Requisitos Especiais: O contratante considerará para emprego qualquer pessoa que possua pelo menos três (3) meses de experiência em um ambiente de alta gastronomia ou de grande movimento em um restaurante de alto padrão, resort ou clube privado. O candidato deverá se submeter à verificação de antecedentes e ao exame toxicológico pré-admissional, às custas do empregador. Ex-funcionários estão isentos da verificação de antecedentes e do exame toxicológico se forem recontratados dentro de seis (6) meses após o desligamento. Número de Horas por Semana: 35 Horário de Trabalho (Início/Término): 7h00 - 14h00</v>
      </c>
    </row>
    <row r="1067" ht="20.25" customHeight="1">
      <c r="A1067" s="8" t="s">
        <v>4920</v>
      </c>
      <c r="B1067" s="8" t="s">
        <v>4912</v>
      </c>
      <c r="C1067" s="8" t="s">
        <v>4241</v>
      </c>
      <c r="D1067" s="8" t="s">
        <v>71</v>
      </c>
      <c r="E1067" s="9" t="s">
        <v>44</v>
      </c>
      <c r="F1067" s="9" t="s">
        <v>20</v>
      </c>
      <c r="G1067" s="9" t="s">
        <v>384</v>
      </c>
      <c r="H1067" s="8" t="s">
        <v>4913</v>
      </c>
      <c r="I1067" s="8" t="s">
        <v>4914</v>
      </c>
      <c r="J1067" s="9">
        <v>21.48</v>
      </c>
      <c r="K1067" s="9">
        <v>2.0</v>
      </c>
      <c r="L1067" s="8" t="s">
        <v>4921</v>
      </c>
      <c r="M1067" s="8" t="s">
        <v>4922</v>
      </c>
      <c r="N1067" s="7" t="str">
        <f>IFERROR(__xludf.DUMMYFUNCTION("GOOGLETRANSLATE(L1067, ""en"", ""pt"")"),"Atendente de Casa de Recuperação")</f>
        <v>Atendente de Casa de Recuperação</v>
      </c>
      <c r="O1067" s="7" t="str">
        <f>IFERROR(__xludf.DUMMYFUNCTION("IF(M1067="""","""",GOOGLETRANSLATE(M1067,""en"",""pt""))"),"Os atendentes do Halfway House fornecerão alimentos e bebidas aos jogadores no campo, mantendo o local limpo, organizado e abastecido. A função inclui a responsabilidade pela preparação diária, atendimento ao cliente, segurança alimentar, limpeza e proced"&amp;"imentos de fechamento do expediente. Especificamente, os atendentes do Halfway House recepcionarão os sócios e convidados, fornecerão informações sobre os serviços de conveniência e carrinhos de bebidas no campo de golfe, prepararão o bar de lanches pela "&amp;"manhã (incluindo destrancar o prédio, ligar todos os equipamentos, abastecer aquecedores, refrigeradores, carrinhos de bebidas e prateleiras de lanches, e verificar as temperaturas seguras de armazenamento de alimentos), reporão e rotacionarão sanduíches,"&amp;" lanches, bebidas, condimentos e suprimentos ao longo do dia, mantendo a segurança alimentar e a higiene da propriedade, prepararão e servirão bebidas, realizarão tarefas de fechamento do turno (como reabastecer e limpar o local, garantir que os recibos e"&amp;" registros comerciais estejam completos e fechar o bar de lanches), manterão os carrinhos de bebidas limpos e em funcionamento, dirigirão os carrinhos de golfe de e para as áreas de armazenamento designadas e lidarão com transações em dinheiro e cartão de"&amp;" crédito. Horário: 35 horas por semana. O horário de trabalho pode variar e incluir noites, fins de semana e feriados. O trabalho pode ser realizado em qualquer dia da semana, de segunda a domingo. Exemplos de turnos: 8h às 15h ou 10h às 17h. Os horários "&amp;"dos turnos podem variar. Consulte a descrição do cargo em anexo para obter mais informações. Classificação do Cargo: 35-3011.00 - Bartenders. A classificação e descrição do cargo/setor incluem informações gerais sobre a posição, de acordo com o ONET/OES e"&amp;" o Sistema de Classificação Industrial da América do Norte. Consulte as Funções e a Ordem de Serviço para obter mais informações. Requisitos do Cargo Experiência Necessária: Sim Meses de Experiência Necessários: 6 Requisitos Especiais: O Requerente consid"&amp;"erará para emprego qualquer pessoa que possua pelo menos seis (6) meses de experiência em um ambiente de alta gastronomia ou de alimentos e bebidas de alto padrão. O candidato deve se submeter à verificação de antecedentes e ao exame toxicológico pré-empr"&amp;"ego, às custas do empregador. Ex-funcionários estão isentos da verificação de antecedentes e do exame toxicológico se forem recontratados dentro de seis (6) meses após o desligamento. Número de horas por semana: 35 Horário de trabalho (início/término): 8h"&amp;"00 - 15h00")</f>
        <v>Os atendentes do Halfway House fornecerão alimentos e bebidas aos jogadores no campo, mantendo o local limpo, organizado e abastecido. A função inclui a responsabilidade pela preparação diária, atendimento ao cliente, segurança alimentar, limpeza e procedimentos de fechamento do expediente. Especificamente, os atendentes do Halfway House recepcionarão os sócios e convidados, fornecerão informações sobre os serviços de conveniência e carrinhos de bebidas no campo de golfe, prepararão o bar de lanches pela manhã (incluindo destrancar o prédio, ligar todos os equipamentos, abastecer aquecedores, refrigeradores, carrinhos de bebidas e prateleiras de lanches, e verificar as temperaturas seguras de armazenamento de alimentos), reporão e rotacionarão sanduíches, lanches, bebidas, condimentos e suprimentos ao longo do dia, mantendo a segurança alimentar e a higiene da propriedade, prepararão e servirão bebidas, realizarão tarefas de fechamento do turno (como reabastecer e limpar o local, garantir que os recibos e registros comerciais estejam completos e fechar o bar de lanches), manterão os carrinhos de bebidas limpos e em funcionamento, dirigirão os carrinhos de golfe de e para as áreas de armazenamento designadas e lidarão com transações em dinheiro e cartão de crédito. Horário: 35 horas por semana. O horário de trabalho pode variar e incluir noites, fins de semana e feriados. O trabalho pode ser realizado em qualquer dia da semana, de segunda a domingo. Exemplos de turnos: 8h às 15h ou 10h às 17h. Os horários dos turnos podem variar. Consulte a descrição do cargo em anexo para obter mais informações. Classificação do Cargo: 35-3011.00 - Bartenders. A classificação e descrição do cargo/setor incluem informações gerais sobre a posição, de acordo com o ONET/OES e o Sistema de Classificação Industrial da América do Norte. Consulte as Funções e a Ordem de Serviço para obter mais informações. Requisitos do Cargo Experiência Necessária: Sim Meses de Experiência Necessários: 6 Requisitos Especiais: O Requerente considerará para emprego qualquer pessoa que possua pelo menos seis (6) meses de experiência em um ambiente de alta gastronomia ou de alimentos e bebidas de alto padrão. O candidato deve se submeter à verificação de antecedentes e ao exame toxicológico pré-emprego, às custas do empregador. Ex-funcionários estão isentos da verificação de antecedentes e do exame toxicológico se forem recontratados dentro de seis (6) meses após o desligamento. Número de horas por semana: 35 Horário de trabalho (início/término): 8h00 - 15h00</v>
      </c>
    </row>
    <row r="1068" ht="20.25" customHeight="1">
      <c r="A1068" s="3" t="s">
        <v>4923</v>
      </c>
      <c r="B1068" s="3" t="s">
        <v>4924</v>
      </c>
      <c r="C1068" s="3" t="s">
        <v>4241</v>
      </c>
      <c r="D1068" s="3" t="s">
        <v>71</v>
      </c>
      <c r="E1068" s="4" t="s">
        <v>19</v>
      </c>
      <c r="F1068" s="4" t="s">
        <v>20</v>
      </c>
      <c r="G1068" s="4" t="s">
        <v>384</v>
      </c>
      <c r="H1068" s="3" t="s">
        <v>4913</v>
      </c>
      <c r="I1068" s="3" t="s">
        <v>4914</v>
      </c>
      <c r="J1068" s="4">
        <v>21.48</v>
      </c>
      <c r="K1068" s="4">
        <v>2.0</v>
      </c>
      <c r="L1068" s="3" t="s">
        <v>1684</v>
      </c>
      <c r="M1068" s="3" t="s">
        <v>4925</v>
      </c>
      <c r="N1068" s="7" t="str">
        <f>IFERROR(__xludf.DUMMYFUNCTION("GOOGLETRANSLATE(L1068, ""en"", ""pt"")"),"Barman")</f>
        <v>Barman</v>
      </c>
      <c r="O1068" s="7" t="str">
        <f>IFERROR(__xludf.DUMMYFUNCTION("IF(M1068="""","""",GOOGLETRANSLATE(M1068,""en"",""pt""))"),"Os bartenders serão responsáveis ​​por preparar e servir bebidas para sócios e convidados, servir alimentos e bebidas, limpar copos e equipamentos do bar e garantir que o bar e as áreas de trabalho estejam limpos e bem abastecidos. Horário: 35 horas seman"&amp;"ais. O horário de trabalho pode variar e incluir turnos noturnos, fins de semana e feriados. O trabalho pode ser realizado em qualquer dia da semana, de segunda a domingo. Exemplos de turnos: 10h30 às 17h30 ou 14h30 às 21h30. Os horários dos turnos podem "&amp;"variar. Consulte a descrição do cargo em anexo para obter mais informações. Classificação do Cargo: 35-3011.00 - Bartenders. A classificação e descrição do cargo/setor incluem informações gerais sobre a posição, de acordo com o ONET/OES e o Sistema de Cla"&amp;"ssificação Industrial da América do Norte. Consulte as Funções e a Ordem de Serviço para obter mais informações. Requisitos da Vaga Experiência Necessária: Sim Meses de Experiência Necessários: 3 Requisitos Especiais: O Requerente considerará para emprego"&amp;" qualquer pessoa que possua pelo menos três (3) meses de experiência em um ambiente de alta gastronomia ou de grande movimento em um restaurante de luxo, resort ou clube privado. O candidato deverá se submeter à verificação de antecedentes e ao exame toxi"&amp;"cológico pré-admissional, às custas do empregador. Ex-funcionários estão isentos da verificação de antecedentes e do exame toxicológico se forem recontratados dentro de seis (6) meses após o desligamento. Número de Horas por Semana: 35 Horário de Trabalho"&amp;" (Início/Término): 10h30 - 17h30")</f>
        <v>Os bartenders serão responsáveis ​​por preparar e servir bebidas para sócios e convidados, servir alimentos e bebidas, limpar copos e equipamentos do bar e garantir que o bar e as áreas de trabalho estejam limpos e bem abastecidos. Horário: 35 horas semanais. O horário de trabalho pode variar e incluir turnos noturnos, fins de semana e feriados. O trabalho pode ser realizado em qualquer dia da semana, de segunda a domingo. Exemplos de turnos: 10h30 às 17h30 ou 14h30 às 21h30. Os horários dos turnos podem variar. Consulte a descrição do cargo em anexo para obter mais informações. Classificação do Cargo: 35-3011.00 - Bartenders. A classificação e descrição do cargo/setor incluem informações gerais sobre a posição, de acordo com o ONET/OES e o Sistema de Classificação Industrial da América do Norte. Consulte as Funções e a Ordem de Serviço para obter mais informações. Requisitos da Vaga Experiência Necessária: Sim Meses de Experiência Necessários: 3 Requisitos Especiais: O Requerente considerará para emprego qualquer pessoa que possua pelo menos três (3) meses de experiência em um ambiente de alta gastronomia ou de grande movimento em um restaurante de luxo, resort ou clube privado. O candidato deverá se submeter à verificação de antecedentes e ao exame toxicológico pré-admissional, às custas do empregador. Ex-funcionários estão isentos da verificação de antecedentes e do exame toxicológico se forem recontratados dentro de seis (6) meses após o desligamento. Número de Horas por Semana: 35 Horário de Trabalho (Início/Término): 10h30 - 17h30</v>
      </c>
    </row>
    <row r="1069" ht="20.25" customHeight="1">
      <c r="A1069" s="8" t="s">
        <v>4926</v>
      </c>
      <c r="B1069" s="8" t="s">
        <v>4927</v>
      </c>
      <c r="C1069" s="8" t="s">
        <v>920</v>
      </c>
      <c r="D1069" s="8" t="s">
        <v>64</v>
      </c>
      <c r="E1069" s="9" t="s">
        <v>44</v>
      </c>
      <c r="F1069" s="9" t="s">
        <v>20</v>
      </c>
      <c r="G1069" s="9" t="s">
        <v>110</v>
      </c>
      <c r="H1069" s="14" t="s">
        <v>4928</v>
      </c>
      <c r="I1069" s="8" t="s">
        <v>4929</v>
      </c>
      <c r="J1069" s="9">
        <v>23.31</v>
      </c>
      <c r="K1069" s="9">
        <v>32.0</v>
      </c>
      <c r="L1069" s="8" t="s">
        <v>923</v>
      </c>
      <c r="M1069" s="8" t="s">
        <v>924</v>
      </c>
      <c r="N1069" s="7" t="str">
        <f>IFERROR(__xludf.DUMMYFUNCTION("GOOGLETRANSLATE(L1069, ""en"", ""pt"")"),"Iluminação de Natal")</f>
        <v>Iluminação de Natal</v>
      </c>
      <c r="O1069" s="7" t="str">
        <f>IFERROR(__xludf.DUMMYFUNCTION("IF(M1069="""","""",GOOGLETRANSLATE(M1069,""en"",""pt""))"),"Organizar e preparar o estoque de materiais de decoração natalina. Instalar luzes de Natal. Carregar e descarregar materiais e prepará-los para armazenamento. Necessário levantar até 23 kg. Classificação da vaga: 49-9099.00 - Trabalhadores de Instalação, "&amp;"Manutenção e Reparo, Outros. A classificação e descrição da vaga/setor incluem informações gerais sobre o cargo, conforme ONET/OES e o Sistema de Classificação Industrial da América do Norte (NAICS). Consulte as atribuições e a ordem de serviço para obter"&amp;" mais informações. Requisitos da vaga: Experiência necessária: Não. Número de horas por semana: 40. Horário de trabalho (início/término): 7h às 16h.")</f>
        <v>Organizar e preparar o estoque de materiais de decoração natalina. Instalar luzes de Natal. Carregar e descarregar materiais e prepará-los para armazenamento. Necessário levantar até 23 kg. Classificação da vaga: 49-9099.00 - Trabalhadores de Instalação, Manutenção e Reparo, Outros. A classificação e descrição da vaga/setor incluem informações gerais sobre o cargo, conforme ONET/OES e o Sistema de Classificação Industrial da América do Norte (NAICS). Consulte as atribuições e a ordem de serviço para obter mais informações. Requisitos da vaga: Experiência necessária: Não. Número de horas por semana: 40. Horário de trabalho (início/término): 7h às 16h.</v>
      </c>
    </row>
    <row r="1070" ht="20.25" customHeight="1">
      <c r="A1070" s="3" t="s">
        <v>4930</v>
      </c>
      <c r="B1070" s="3" t="s">
        <v>4931</v>
      </c>
      <c r="C1070" s="3" t="s">
        <v>4241</v>
      </c>
      <c r="D1070" s="3" t="s">
        <v>71</v>
      </c>
      <c r="E1070" s="4" t="s">
        <v>19</v>
      </c>
      <c r="F1070" s="4" t="s">
        <v>20</v>
      </c>
      <c r="G1070" s="4" t="s">
        <v>524</v>
      </c>
      <c r="H1070" s="3" t="s">
        <v>4932</v>
      </c>
      <c r="I1070" s="3" t="s">
        <v>4933</v>
      </c>
      <c r="J1070" s="4">
        <v>17.49</v>
      </c>
      <c r="K1070" s="4">
        <v>21.0</v>
      </c>
      <c r="L1070" s="3" t="s">
        <v>4934</v>
      </c>
      <c r="M1070" s="3" t="s">
        <v>4935</v>
      </c>
      <c r="N1070" s="7" t="str">
        <f>IFERROR(__xludf.DUMMYFUNCTION("GOOGLETRANSLATE(L1070, ""en"", ""pt"")"),"Cozinheiro I")</f>
        <v>Cozinheiro I</v>
      </c>
      <c r="O1070" s="7" t="str">
        <f>IFERROR(__xludf.DUMMYFUNCTION("IF(M1070="""","""",GOOGLETRANSLATE(M1070,""en"",""pt""))"),"Cozinheiros I serão responsáveis ​​por preparar, temperar e cozinhar sopas, carnes, legumes, sobremesas e outros itens alimentícios em um restaurante. Os Cozinheiros I também serão responsáveis ​​por manter o local de trabalho limpo, varrendo, passando pa"&amp;"no, limpando superfícies e lavando pratos e utensílios. Os Cozinheiros I podem precisar levantar e/ou mover regularmente até 23 kg e ocasionalmente até 45 kg com auxílio. Horário: 40 horas por semana. O horário de trabalho pode variar e incluir turnos not"&amp;"urnos, fins de semana e feriados. O trabalho pode ser realizado em qualquer dia da semana, de segunda a domingo. Exemplos de turnos: 6h às 14h e 15h às 23h. Os horários dos turnos podem variar. Consulte a Descrição da Vaga para obter mais informações. Cla"&amp;"ssificação da Vaga: 35-2014.00 - Cozinheiros, Restaurante. A classificação e descrição da vaga/setor incluem informações gerais sobre o cargo, de acordo com o ONET/OES e o Sistema de Classificação Industrial da América do Norte. Consulte as Funções e a Or"&amp;"dem de Serviço para obter mais informações. Requisitos da vaga Experiência exigida: Sim Meses de experiência exigidos: 5 Requisitos especiais: O contratante considerará para emprego qualquer pessoa que possua pelo menos cinco (5) meses de experiência culi"&amp;"nária em um restaurante de alto padrão, resort ou clube privado. O candidato deverá se submeter a uma verificação de antecedentes pré-emprego, às custas do empregador. Número de horas por semana: 40 Horário de trabalho (início/término): 6h às 14h")</f>
        <v>Cozinheiros I serão responsáveis ​​por preparar, temperar e cozinhar sopas, carnes, legumes, sobremesas e outros itens alimentícios em um restaurante. Os Cozinheiros I também serão responsáveis ​​por manter o local de trabalho limpo, varrendo, passando pano, limpando superfícies e lavando pratos e utensílios. Os Cozinheiros I podem precisar levantar e/ou mover regularmente até 23 kg e ocasionalmente até 45 kg com auxílio. Horário: 40 horas por semana. O horário de trabalho pode variar e incluir turnos noturnos, fins de semana e feriados. O trabalho pode ser realizado em qualquer dia da semana, de segunda a domingo. Exemplos de turnos: 6h às 14h e 15h às 23h. Os horários dos turnos podem variar. Consulte a Descrição da Vaga para obter mais informações. Classificação da Vaga: 35-2014.00 - Cozinheiros, Restaurante. A classificação e descrição da vaga/setor incluem informações gerais sobre o cargo, de acordo com o ONET/OES e o Sistema de Classificação Industrial da América do Norte. Consulte as Funções e a Ordem de Serviço para obter mais informações. Requisitos da vaga Experiência exigida: Sim Meses de experiência exigidos: 5 Requisitos especiais: O contratante considerará para emprego qualquer pessoa que possua pelo menos cinco (5) meses de experiência culinária em um restaurante de alto padrão, resort ou clube privado. O candidato deverá se submeter a uma verificação de antecedentes pré-emprego, às custas do empregador. Número de horas por semana: 40 Horário de trabalho (início/término): 6h às 14h</v>
      </c>
    </row>
    <row r="1071" ht="20.25" customHeight="1">
      <c r="A1071" s="8" t="s">
        <v>4936</v>
      </c>
      <c r="B1071" s="8" t="s">
        <v>4931</v>
      </c>
      <c r="C1071" s="8" t="s">
        <v>4241</v>
      </c>
      <c r="D1071" s="8" t="s">
        <v>71</v>
      </c>
      <c r="E1071" s="9" t="s">
        <v>19</v>
      </c>
      <c r="F1071" s="9" t="s">
        <v>20</v>
      </c>
      <c r="G1071" s="9" t="s">
        <v>524</v>
      </c>
      <c r="H1071" s="8" t="s">
        <v>4932</v>
      </c>
      <c r="I1071" s="8" t="s">
        <v>4933</v>
      </c>
      <c r="J1071" s="9">
        <v>18.74</v>
      </c>
      <c r="K1071" s="9">
        <v>6.0</v>
      </c>
      <c r="L1071" s="8" t="s">
        <v>1684</v>
      </c>
      <c r="M1071" s="8" t="s">
        <v>4937</v>
      </c>
      <c r="N1071" s="7" t="str">
        <f>IFERROR(__xludf.DUMMYFUNCTION("GOOGLETRANSLATE(L1071, ""en"", ""pt"")"),"Barman")</f>
        <v>Barman</v>
      </c>
      <c r="O1071" s="7" t="str">
        <f>IFERROR(__xludf.DUMMYFUNCTION("IF(M1071="""","""",GOOGLETRANSLATE(M1071,""en"",""pt""))"),"Os bartenders serão responsáveis ​​por preparar e servir bebidas para sócios e convidados, limpar copos e equipamentos do bar, garantir que o bar e as áreas de trabalho estejam limpos e bem abastecidos, além de anotar pedidos e servir comida aos clientes."&amp;" Os bartenders podem precisar mover e/ou levantar regularmente até 23 kg e, ocasionalmente, até 45 kg com auxílio. Horário: 40 horas semanais. A escala de trabalho pode variar e incluir turnos noturnos, fins de semana e feriados. O trabalho pode ser reali"&amp;"zado em qualquer dia da semana, de segunda a domingo. Exemplos de turnos: 6h às 14h e 15h às 23h. Os horários dos turnos podem variar. Consulte a Descrição da Vaga para obter mais informações. Classificação da Vaga: 35-3011.00 - Bartenders. A classificaçã"&amp;"o e descrição da vaga/setor incluem informações gerais sobre o cargo, de acordo com o ONET/OES e o Sistema de Classificação Industrial da América do Norte. Consulte as Funções e a Ordem de Serviço para obter mais informações. Requisitos da vaga Experiênci"&amp;"a necessária: Sim Meses de experiência necessários: 5 Requisitos especiais: O contratante considerará para emprego qualquer pessoa que possua pelo menos cinco (5) meses de experiência em um ambiente de alta gastronomia ou de grande movimento em um restaur"&amp;"ante sofisticado, resort ou clube privado. O candidato deverá se submeter a uma verificação de antecedentes pré-emprego, às custas do empregador. Número de horas por semana: 40 Horário de trabalho (início/término): 6h às 14h")</f>
        <v>Os bartenders serão responsáveis ​​por preparar e servir bebidas para sócios e convidados, limpar copos e equipamentos do bar, garantir que o bar e as áreas de trabalho estejam limpos e bem abastecidos, além de anotar pedidos e servir comida aos clientes. Os bartenders podem precisar mover e/ou levantar regularmente até 23 kg e, ocasionalmente, até 45 kg com auxílio. Horário: 40 horas semanais. A escala de trabalho pode variar e incluir turnos noturnos, fins de semana e feriados. O trabalho pode ser realizado em qualquer dia da semana, de segunda a domingo. Exemplos de turnos: 6h às 14h e 15h às 23h. Os horários dos turnos podem variar. Consulte a Descrição da Vaga para obter mais informações. Classificação da Vaga: 35-3011.00 - Bartenders. A classificação e descrição da vaga/setor incluem informações gerais sobre o cargo, de acordo com o ONET/OES e o Sistema de Classificação Industrial da América do Norte. Consulte as Funções e a Ordem de Serviço para obter mais informações. Requisitos da vaga Experiência necessária: Sim Meses de experiência necessários: 5 Requisitos especiais: O contratante considerará para emprego qualquer pessoa que possua pelo menos cinco (5) meses de experiência em um ambiente de alta gastronomia ou de grande movimento em um restaurante sofisticado, resort ou clube privado. O candidato deverá se submeter a uma verificação de antecedentes pré-emprego, às custas do empregador. Número de horas por semana: 40 Horário de trabalho (início/término): 6h às 14h</v>
      </c>
    </row>
    <row r="1072" ht="20.25" customHeight="1">
      <c r="A1072" s="3" t="s">
        <v>4938</v>
      </c>
      <c r="B1072" s="3" t="s">
        <v>4931</v>
      </c>
      <c r="C1072" s="3" t="s">
        <v>4241</v>
      </c>
      <c r="D1072" s="3" t="s">
        <v>71</v>
      </c>
      <c r="E1072" s="4" t="s">
        <v>19</v>
      </c>
      <c r="F1072" s="4" t="s">
        <v>20</v>
      </c>
      <c r="G1072" s="4" t="s">
        <v>524</v>
      </c>
      <c r="H1072" s="3" t="s">
        <v>4932</v>
      </c>
      <c r="I1072" s="3" t="s">
        <v>4933</v>
      </c>
      <c r="J1072" s="4">
        <v>21.05</v>
      </c>
      <c r="K1072" s="4">
        <v>6.0</v>
      </c>
      <c r="L1072" s="3" t="s">
        <v>3315</v>
      </c>
      <c r="M1072" s="3" t="s">
        <v>4939</v>
      </c>
      <c r="N1072" s="7" t="str">
        <f>IFERROR(__xludf.DUMMYFUNCTION("GOOGLETRANSLATE(L1072, ""en"", ""pt"")"),"Supervisor do refeitório")</f>
        <v>Supervisor do refeitório</v>
      </c>
      <c r="O1072" s="7" t="str">
        <f>IFERROR(__xludf.DUMMYFUNCTION("IF(M1072="""","""",GOOGLETRANSLATE(M1072,""en"",""pt""))"),"Os Supervisores de Salão serão responsáveis ​​por apoiar os Gerentes de Alimentos e Bebidas, garantindo que todos os aspectos relacionados a alimentos e bebidas sejam executados e que todas as necessidades dos hóspedes e membros sejam atendidas no salão, "&amp;"preparando escalas e atribuições para a equipe do salão, monitorando e orientando a equipe durante o horário de serviço e avaliando o desempenho dos funcionários durante o expediente. Os Supervisores de Salão podem auxiliar na recepção, cumprimentando mem"&amp;"bros e hóspedes, acompanhando-os até as mesas, agendando reservas e atendendo telefonemas e respondendo a perguntas. Os Supervisores de Salão podem precisar levantar e/ou mover regularmente até 11 kg e ocasionalmente até 45 kg com auxílio. Os Supervisores"&amp;" de Salão podem supervisionar até dez (10) Garçons, Bartenders e Auxiliares de Garçom. Horário: 40 horas semanais. O horário de trabalho pode variar e incluir noites, fins de semana e feriados. O trabalho pode ser realizado em qualquer dia da semana, de s"&amp;"egunda a domingo. Exemplos de turnos: 6h às 14h e 15h às 23h. Os horários dos turnos podem variar. Consulte a Descrição da Vaga para obter mais informações. Classificação da Vaga: 35-1012.00 - Supervisores de Primeira Linha de Preparadores e Servidores de"&amp;" Alimentos. A classificação e descrição da vaga/setor inclui informações gerais sobre o cargo, de acordo com o ONET/OES e o Sistema de Classificação Industrial da América do Norte (NAICS). Consulte as Funções e a Ordem de Serviço para obter mais informaçõ"&amp;"es. Requisitos da Vaga Experiência Necessária: Sim Meses de Experiência Necessários: 5 Requisitos Especiais: O contratante considerará para emprego qualquer pessoa que possua pelo menos cinco (5) meses de experiência em um hotel, restaurante, resort ou cl"&amp;"ube privado de alto padrão. O candidato deverá se submeter a uma verificação de antecedentes pré-emprego, custeada pelo empregador. Número de Horas por Semana: 40 Horário de Trabalho (Início/Término): 6h às 14h.")</f>
        <v>Os Supervisores de Salão serão responsáveis ​​por apoiar os Gerentes de Alimentos e Bebidas, garantindo que todos os aspectos relacionados a alimentos e bebidas sejam executados e que todas as necessidades dos hóspedes e membros sejam atendidas no salão, preparando escalas e atribuições para a equipe do salão, monitorando e orientando a equipe durante o horário de serviço e avaliando o desempenho dos funcionários durante o expediente. Os Supervisores de Salão podem auxiliar na recepção, cumprimentando membros e hóspedes, acompanhando-os até as mesas, agendando reservas e atendendo telefonemas e respondendo a perguntas. Os Supervisores de Salão podem precisar levantar e/ou mover regularmente até 11 kg e ocasionalmente até 45 kg com auxílio. Os Supervisores de Salão podem supervisionar até dez (10) Garçons, Bartenders e Auxiliares de Garçom. Horário: 40 horas semanais. O horário de trabalho pode variar e incluir noites, fins de semana e feriados. O trabalho pode ser realizado em qualquer dia da semana, de segunda a domingo. Exemplos de turnos: 6h às 14h e 15h às 23h. Os horários dos turnos podem variar. Consulte a Descrição da Vaga para obter mais informações. Classificação da Vaga: 35-1012.00 - Supervisores de Primeira Linha de Preparadores e Servidores de Alimentos. A classificação e descrição da vaga/setor inclui informações gerais sobre o cargo, de acordo com o ONET/OES e o Sistema de Classificação Industrial da América do Norte (NAICS). Consulte as Funções e a Ordem de Serviço para obter mais informações. Requisitos da Vaga Experiência Necessária: Sim Meses de Experiência Necessários: 5 Requisitos Especiais: O contratante considerará para emprego qualquer pessoa que possua pelo menos cinco (5) meses de experiência em um hotel, restaurante, resort ou clube privado de alto padrão. O candidato deverá se submeter a uma verificação de antecedentes pré-emprego, custeada pelo empregador. Número de Horas por Semana: 40 Horário de Trabalho (Início/Término): 6h às 14h.</v>
      </c>
    </row>
    <row r="1073" ht="20.25" customHeight="1">
      <c r="A1073" s="8" t="s">
        <v>4940</v>
      </c>
      <c r="B1073" s="8" t="s">
        <v>4931</v>
      </c>
      <c r="C1073" s="8" t="s">
        <v>4241</v>
      </c>
      <c r="D1073" s="8" t="s">
        <v>71</v>
      </c>
      <c r="E1073" s="9" t="s">
        <v>19</v>
      </c>
      <c r="F1073" s="9" t="s">
        <v>20</v>
      </c>
      <c r="G1073" s="9" t="s">
        <v>524</v>
      </c>
      <c r="H1073" s="8" t="s">
        <v>4932</v>
      </c>
      <c r="I1073" s="8" t="s">
        <v>4933</v>
      </c>
      <c r="J1073" s="9">
        <v>21.12</v>
      </c>
      <c r="K1073" s="9">
        <v>4.0</v>
      </c>
      <c r="L1073" s="8" t="s">
        <v>4941</v>
      </c>
      <c r="M1073" s="8" t="s">
        <v>4942</v>
      </c>
      <c r="N1073" s="7" t="str">
        <f>IFERROR(__xludf.DUMMYFUNCTION("GOOGLETRANSLATE(L1073, ""en"", ""pt"")"),"Assistente Administrativo de Alimentos e Bebidas")</f>
        <v>Assistente Administrativo de Alimentos e Bebidas</v>
      </c>
      <c r="O1073" s="7" t="str">
        <f>IFERROR(__xludf.DUMMYFUNCTION("IF(M1073="""","""",GOOGLETRANSLATE(M1073,""en"",""pt""))"),"Os Assistentes Administrativos de Alimentos e Bebidas serão responsáveis ​​por tarefas administrativas no departamento de Alimentos e Bebidas, como reservas de mesas, preparação de listas de reservas e plantas do salão, atualização dos supervisores de Ali"&amp;"mentos e Bebidas sobre o número de clientes atendidos ao longo do dia, redação ou digitação de instruções ditadas e transmissão das mesmas aos membros e funcionários, digitação e distribuição de correspondências, distribuição de folhetos informativos e ca"&amp;"rdápios, arquivamento, revisão de informações e realização das correções necessárias antes da distribuição. Os Assistentes Administrativos de Alimentos e Bebidas podem precisar mover e/ou levantar regularmente até 11 kg e ocasionalmente até 45 kg com auxí"&amp;"lio. Horário: 40 horas semanais. O horário de trabalho pode variar e incluir turnos noturnos, fins de semana e feriados. O trabalho pode ser realizado em qualquer dia da semana, de segunda a domingo. Exemplos de turnos: 7h30 às 15h30, 9h às 17h e 11h às 1"&amp;"9h. Os horários dos turnos podem variar. Consulte a Descrição da Vaga para obter mais informações. Classificação da Função: 43-9061.00 - Auxiliar Administrativo Geral. A classificação e descrição da função/setor inclui informações gerais sobre o cargo, de"&amp;" acordo com o ONET/OES e o Sistema de Classificação Industrial da América do Norte (NAICS). Consulte as Funções e a Ordem de Serviço para obter mais informações. Requisitos da Função Experiência Necessária: Sim Meses de Experiência Necessários: 4 Requisit"&amp;"os Especiais: O contratante considerará para emprego qualquer pessoa que possua pelo menos quatro (4) meses de experiência em um restaurante de alto padrão, resort ou clube privado. O candidato deverá se submeter a uma verificação de antecedentes pré-empr"&amp;"ego, custeada pelo empregador. Número de Horas por Semana: 40 Horário de Trabalho (Início/Término): 7h30 - 15h30")</f>
        <v>Os Assistentes Administrativos de Alimentos e Bebidas serão responsáveis ​​por tarefas administrativas no departamento de Alimentos e Bebidas, como reservas de mesas, preparação de listas de reservas e plantas do salão, atualização dos supervisores de Alimentos e Bebidas sobre o número de clientes atendidos ao longo do dia, redação ou digitação de instruções ditadas e transmissão das mesmas aos membros e funcionários, digitação e distribuição de correspondências, distribuição de folhetos informativos e cardápios, arquivamento, revisão de informações e realização das correções necessárias antes da distribuição. Os Assistentes Administrativos de Alimentos e Bebidas podem precisar mover e/ou levantar regularmente até 11 kg e ocasionalmente até 45 kg com auxílio. Horário: 40 horas semanais. O horário de trabalho pode variar e incluir turnos noturnos, fins de semana e feriados. O trabalho pode ser realizado em qualquer dia da semana, de segunda a domingo. Exemplos de turnos: 7h30 às 15h30, 9h às 17h e 11h às 19h. Os horários dos turnos podem variar. Consulte a Descrição da Vaga para obter mais informações. Classificação da Função: 43-9061.00 - Auxiliar Administrativo Geral. A classificação e descrição da função/setor inclui informações gerais sobre o cargo, de acordo com o ONET/OES e o Sistema de Classificação Industrial da América do Norte (NAICS). Consulte as Funções e a Ordem de Serviço para obter mais informações. Requisitos da Função Experiência Necessária: Sim Meses de Experiência Necessários: 4 Requisitos Especiais: O contratante considerará para emprego qualquer pessoa que possua pelo menos quatro (4) meses de experiência em um restaurante de alto padrão, resort ou clube privado. O candidato deverá se submeter a uma verificação de antecedentes pré-emprego, custeada pelo empregador. Número de Horas por Semana: 40 Horário de Trabalho (Início/Término): 7h30 - 15h30</v>
      </c>
    </row>
    <row r="1074" ht="20.25" customHeight="1">
      <c r="A1074" s="3" t="s">
        <v>4943</v>
      </c>
      <c r="B1074" s="3" t="s">
        <v>4931</v>
      </c>
      <c r="C1074" s="3" t="s">
        <v>4241</v>
      </c>
      <c r="D1074" s="3" t="s">
        <v>71</v>
      </c>
      <c r="E1074" s="4" t="s">
        <v>19</v>
      </c>
      <c r="F1074" s="4" t="s">
        <v>20</v>
      </c>
      <c r="G1074" s="4" t="s">
        <v>524</v>
      </c>
      <c r="H1074" s="3" t="s">
        <v>4932</v>
      </c>
      <c r="I1074" s="3" t="s">
        <v>4933</v>
      </c>
      <c r="J1074" s="4">
        <v>15.23</v>
      </c>
      <c r="K1074" s="4">
        <v>3.0</v>
      </c>
      <c r="L1074" s="3" t="s">
        <v>4944</v>
      </c>
      <c r="M1074" s="3" t="s">
        <v>4945</v>
      </c>
      <c r="N1074" s="7" t="str">
        <f>IFERROR(__xludf.DUMMYFUNCTION("GOOGLETRANSLATE(L1074, ""en"", ""pt"")"),"Auxiliar de limpeza")</f>
        <v>Auxiliar de limpeza</v>
      </c>
      <c r="O1074" s="7" t="str">
        <f>IFERROR(__xludf.DUMMYFUNCTION("IF(M1074="""","""",GOOGLETRANSLATE(M1074,""en"",""pt""))"),"Os Auxiliares de Limpeza serão responsáveis ​​pela limpeza e manutenção de todos os quartos, suítes e áreas comuns internas do Jupiter Island Club, incluindo aspirar pisos, tirar o pó, repor roupas de cama e toalhas, desinfetar banheiros e vestiários e la"&amp;"var janelas. Os Auxiliares de Limpeza podem precisar levantar e/ou mover regularmente até 11 kg e ocasionalmente até 23 kg com auxílio. Horário: 40 horas semanais. O horário de trabalho pode variar e incluir turnos noturnos, fins de semana e feriados. O t"&amp;"rabalho pode ser realizado em qualquer dia da semana, de segunda a domingo. Exemplos de turnos: 7h às 15h e 15h às 23h. Os horários dos turnos podem variar. Consulte a Descrição da Vaga para obter mais informações. Classificação da Vaga: 37-2012.00 - Cama"&amp;"reiras e Auxiliares de Limpeza. A classificação e descrição da vaga/setor inclui informações gerais sobre o cargo, de acordo com o ONET/OES e o Sistema de Classificação Industrial da América do Norte. Consulte as Funções e a Ordem de Serviço para obter ma"&amp;"is informações. Requisitos da vaga Experiência exigida: Sim Meses de experiência exigidos: 3 Requisitos especiais: O contratante considerará para emprego qualquer pessoa que possua pelo menos três (3) meses de experiência em limpeza em um hotel de alto pa"&amp;"drão, resort ou clube privado. O candidato deverá se submeter a uma verificação de antecedentes pré-emprego, custeada pelo empregador. Número de horas por semana: 40 Horário de trabalho (início/término): 7h às 15h")</f>
        <v>Os Auxiliares de Limpeza serão responsáveis ​​pela limpeza e manutenção de todos os quartos, suítes e áreas comuns internas do Jupiter Island Club, incluindo aspirar pisos, tirar o pó, repor roupas de cama e toalhas, desinfetar banheiros e vestiários e lavar janelas. Os Auxiliares de Limpeza podem precisar levantar e/ou mover regularmente até 11 kg e ocasionalmente até 23 kg com auxílio. Horário: 40 horas semanais. O horário de trabalho pode variar e incluir turnos noturnos, fins de semana e feriados. O trabalho pode ser realizado em qualquer dia da semana, de segunda a domingo. Exemplos de turnos: 7h às 15h e 15h às 23h. Os horários dos turnos podem variar. Consulte a Descrição da Vaga para obter mais informações. Classificação da Vaga: 37-2012.00 - Camareiras e Auxiliares de Limpeza. A classificação e descrição da vaga/setor inclui informações gerais sobre o cargo, de acordo com o ONET/OES e o Sistema de Classificação Industrial da América do Norte. Consulte as Funções e a Ordem de Serviço para obter mais informações. Requisitos da vaga Experiência exigida: Sim Meses de experiência exigidos: 3 Requisitos especiais: O contratante considerará para emprego qualquer pessoa que possua pelo menos três (3) meses de experiência em limpeza em um hotel de alto padrão, resort ou clube privado. O candidato deverá se submeter a uma verificação de antecedentes pré-emprego, custeada pelo empregador. Número de horas por semana: 40 Horário de trabalho (início/término): 7h às 15h</v>
      </c>
    </row>
    <row r="1075" ht="20.25" customHeight="1">
      <c r="A1075" s="8" t="s">
        <v>4946</v>
      </c>
      <c r="B1075" s="8" t="s">
        <v>4546</v>
      </c>
      <c r="C1075" s="8" t="s">
        <v>4241</v>
      </c>
      <c r="D1075" s="8" t="s">
        <v>4521</v>
      </c>
      <c r="E1075" s="9" t="s">
        <v>19</v>
      </c>
      <c r="F1075" s="9" t="s">
        <v>20</v>
      </c>
      <c r="G1075" s="9" t="s">
        <v>404</v>
      </c>
      <c r="H1075" s="8" t="s">
        <v>4547</v>
      </c>
      <c r="I1075" s="8" t="s">
        <v>4548</v>
      </c>
      <c r="J1075" s="9">
        <v>24.34</v>
      </c>
      <c r="K1075" s="9">
        <v>1.0</v>
      </c>
      <c r="L1075" s="8" t="s">
        <v>4947</v>
      </c>
      <c r="M1075" s="8" t="s">
        <v>4948</v>
      </c>
      <c r="N1075" s="7" t="str">
        <f>IFERROR(__xludf.DUMMYFUNCTION("GOOGLETRANSLATE(L1075, ""en"", ""pt"")"),"Líder da Equipe de Operações de Elevadores")</f>
        <v>Líder da Equipe de Operações de Elevadores</v>
      </c>
      <c r="O1075" s="7" t="str">
        <f>IFERROR(__xludf.DUMMYFUNCTION("IF(M1075="""","""",GOOGLETRANSLATE(M1075,""en"",""pt""))"),"O(A) Líder da Equipe de Operações de Teleférico será responsável pela operação diária dos teleféricos em sua área designada e fornecerá direção, instruções e orientação aos operadores de teleférico nessa área. Os(As) Líderes da Equipe de Operações de Tele"&amp;"férico treinarão os membros da equipe, providenciarão o transporte da equipe, preencherão e coletarão relatórios diários e conduzirão reuniões semanais de segurança e treinamento. Pode supervisionar até vinte (20) Operadores(as) de Teleférico e Conferente"&amp;"s de Bilhetes. Horário: 35 horas por semana. O horário de trabalho pode variar e incluir turnos noturnos, fins de semana e feriados. O trabalho pode ser realizado em qualquer dia da semana, de segunda a domingo. Exemplos de turnos: 6h às 13h, 9h às 16h e "&amp;"11h às 18h. Os horários dos turnos podem variar. Consulte a descrição do cargo em anexo para obter informações adicionais. Classificação do Cargo: 39-1014.00 - Supervisores de Primeira Linha de Trabalhadores de Entretenimento e Recreação, Exceto Serviços "&amp;"de Jogos de Azar. A classificação e descrição do cargo/setor inclui informações gerais sobre a posição, de acordo com o ONET/OES e o Sistema de Classificação Industrial da América do Norte. Consulte a Descrição das Funções e a Ordem de Serviço para obter "&amp;"mais informações. Requisitos da Vaga Experiência Necessária: Sim Meses de Experiência Necessários: 12 Requisitos Especiais: O contratante considerará para emprego qualquer pessoa que possua pelo menos um (1) ano de experiência como operador de teleférico "&amp;"em um hotel de luxo, resort ou clube privado. O candidato poderá ser obrigado a realizar um teste de COVID-19 pré-admissional, cumprir um período de quarentena e/ou apresentar comprovante de vacinação contra COVID-19, se exigido pelas diretrizes estaduais"&amp;", federais ou da empresa no momento da contratação. Número de Horas por Semana: 35 Horário de Trabalho (Início/Término): 6h00 - 13h00")</f>
        <v>O(A) Líder da Equipe de Operações de Teleférico será responsável pela operação diária dos teleféricos em sua área designada e fornecerá direção, instruções e orientação aos operadores de teleférico nessa área. Os(As) Líderes da Equipe de Operações de Teleférico treinarão os membros da equipe, providenciarão o transporte da equipe, preencherão e coletarão relatórios diários e conduzirão reuniões semanais de segurança e treinamento. Pode supervisionar até vinte (20) Operadores(as) de Teleférico e Conferentes de Bilhetes. Horário: 35 horas por semana. O horário de trabalho pode variar e incluir turnos noturnos, fins de semana e feriados. O trabalho pode ser realizado em qualquer dia da semana, de segunda a domingo. Exemplos de turnos: 6h às 13h, 9h às 16h e 11h às 18h. Os horários dos turnos podem variar. Consulte a descrição do cargo em anexo para obter informações adicionais. Classificação do Cargo: 39-1014.00 - Supervisores de Primeira Linha de Trabalhadores de Entretenimento e Recreação, Exceto Serviços de Jogos de Azar. A classificação e descrição do cargo/setor inclui informações gerais sobre a posição, de acordo com o ONET/OES e o Sistema de Classificação Industrial da América do Norte. Consulte a Descrição das Funções e a Ordem de Serviço para obter mais informações. Requisitos da Vaga Experiência Necessária: Sim Meses de Experiência Necessários: 12 Requisitos Especiais: O contratante considerará para emprego qualquer pessoa que possua pelo menos um (1) ano de experiência como operador de teleférico em um hotel de luxo, resort ou clube privado. O candidato poderá ser obrigado a realizar um teste de COVID-19 pré-admissional, cumprir um período de quarentena e/ou apresentar comprovante de vacinação contra COVID-19, se exigido pelas diretrizes estaduais, federais ou da empresa no momento da contratação. Número de Horas por Semana: 35 Horário de Trabalho (Início/Término): 6h00 - 13h00</v>
      </c>
    </row>
    <row r="1076" ht="20.25" customHeight="1">
      <c r="A1076" s="3" t="s">
        <v>4949</v>
      </c>
      <c r="B1076" s="3" t="s">
        <v>4950</v>
      </c>
      <c r="C1076" s="3" t="s">
        <v>4241</v>
      </c>
      <c r="D1076" s="3" t="s">
        <v>71</v>
      </c>
      <c r="E1076" s="4" t="s">
        <v>19</v>
      </c>
      <c r="F1076" s="4" t="s">
        <v>20</v>
      </c>
      <c r="G1076" s="4" t="s">
        <v>384</v>
      </c>
      <c r="H1076" s="3" t="s">
        <v>4951</v>
      </c>
      <c r="I1076" s="3" t="s">
        <v>4952</v>
      </c>
      <c r="J1076" s="4">
        <v>19.39</v>
      </c>
      <c r="K1076" s="4">
        <v>5.0</v>
      </c>
      <c r="L1076" s="3" t="s">
        <v>1684</v>
      </c>
      <c r="M1076" s="3" t="s">
        <v>4953</v>
      </c>
      <c r="N1076" s="7" t="str">
        <f>IFERROR(__xludf.DUMMYFUNCTION("GOOGLETRANSLATE(L1076, ""en"", ""pt"")"),"Barman")</f>
        <v>Barman</v>
      </c>
      <c r="O1076" s="7" t="str">
        <f>IFERROR(__xludf.DUMMYFUNCTION("IF(M1076="""","""",GOOGLETRANSLATE(M1076,""en"",""pt""))"),"Os bartenders serão responsáveis ​​por preparar e servir bebidas para sócios e convidados, limpar copos e equipamentos do bar, garantir que o bar e as áreas de trabalho estejam limpos e bem abastecidos, anotar e registrar pedidos de comida e servir comida"&amp;" aos sócios e convidados. Horário: 35 horas semanais. O horário de trabalho pode variar e incluir turnos noturnos, fins de semana e feriados. O trabalho pode ser realizado em qualquer dia da semana, de segunda a domingo. Exemplos de turnos: das 10h às 17h"&amp;" ou das 16h às 23h. Os horários dos turnos podem variar. Consulte a descrição do cargo em anexo para obter mais informações. Classificação do Cargo: 35-3011.00 - Bartenders. A classificação e descrição do cargo/setor incluem informações gerais sobre a pos"&amp;"ição, de acordo com o ONET/OES e o Sistema de Classificação Industrial da América do Norte. Consulte as Funções e a Ordem de Serviço para obter mais informações. Requisitos da vaga Experiência exigida: Sim Meses de experiência exigidos: 6 Requisitos espec"&amp;"iais: O contratante considerará para emprego qualquer pessoa que possua pelo menos seis (6) meses de experiência em atendimento em um ambiente de alta gastronomia ou de grande movimento em um restaurante sofisticado, resort ou clube privado. O candidato d"&amp;"everá se submeter a um exame toxicológico pré-admissional, custeado pelo empregador. Número de horas por semana: 35 Horário de trabalho (início/término): 10h às 17h")</f>
        <v>Os bartenders serão responsáveis ​​por preparar e servir bebidas para sócios e convidados, limpar copos e equipamentos do bar, garantir que o bar e as áreas de trabalho estejam limpos e bem abastecidos, anotar e registrar pedidos de comida e servir comida aos sócios e convidados. Horário: 35 horas semanais. O horário de trabalho pode variar e incluir turnos noturnos, fins de semana e feriados. O trabalho pode ser realizado em qualquer dia da semana, de segunda a domingo. Exemplos de turnos: das 10h às 17h ou das 16h às 23h. Os horários dos turnos podem variar. Consulte a descrição do cargo em anexo para obter mais informações. Classificação do Cargo: 35-3011.00 - Bartenders. A classificação e descrição do cargo/setor incluem informações gerais sobre a posição, de acordo com o ONET/OES e o Sistema de Classificação Industrial da América do Norte. Consulte as Funções e a Ordem de Serviço para obter mais informações. Requisitos da vaga Experiência exigida: Sim Meses de experiência exigidos: 6 Requisitos especiais: O contratante considerará para emprego qualquer pessoa que possua pelo menos seis (6) meses de experiência em atendimento em um ambiente de alta gastronomia ou de grande movimento em um restaurante sofisticado, resort ou clube privado. O candidato deverá se submeter a um exame toxicológico pré-admissional, custeado pelo empregador. Número de horas por semana: 35 Horário de trabalho (início/término): 10h às 17h</v>
      </c>
    </row>
    <row r="1077" ht="20.25" customHeight="1">
      <c r="A1077" s="8" t="s">
        <v>4954</v>
      </c>
      <c r="B1077" s="8" t="s">
        <v>4950</v>
      </c>
      <c r="C1077" s="8" t="s">
        <v>4241</v>
      </c>
      <c r="D1077" s="8" t="s">
        <v>71</v>
      </c>
      <c r="E1077" s="9" t="s">
        <v>19</v>
      </c>
      <c r="F1077" s="9" t="s">
        <v>20</v>
      </c>
      <c r="G1077" s="9" t="s">
        <v>384</v>
      </c>
      <c r="H1077" s="8" t="s">
        <v>4951</v>
      </c>
      <c r="I1077" s="8" t="s">
        <v>4952</v>
      </c>
      <c r="J1077" s="9">
        <v>16.72</v>
      </c>
      <c r="K1077" s="9">
        <v>3.0</v>
      </c>
      <c r="L1077" s="8" t="s">
        <v>4955</v>
      </c>
      <c r="M1077" s="8" t="s">
        <v>4956</v>
      </c>
      <c r="N1077" s="7" t="str">
        <f>IFERROR(__xludf.DUMMYFUNCTION("GOOGLETRANSLATE(L1077, ""en"", ""pt"")"),"Porteiro")</f>
        <v>Porteiro</v>
      </c>
      <c r="O1077" s="7" t="str">
        <f>IFERROR(__xludf.DUMMYFUNCTION("IF(M1077="""","""",GOOGLETRANSLATE(M1077,""en"",""pt""))"),"Os auxiliares de cozinha serão responsáveis ​​por lavar a louça e todos os utensílios de cozinha à mão ou à máquina, manter as áreas de trabalho e os equipamentos da cozinha limpos, varrer e esfregar o chão, preparar (sem cozinhar) diversos alimentos para"&amp;" serem cozidos ou servidos, e separar e descartar o lixo. Os auxiliares de cozinha podem precisar ocasionalmente levantar e/ou mover até 23 kg. Horário: 40 horas semanais. O horário de trabalho pode variar e incluir turnos noturnos, fins de semana e feria"&amp;"dos. O trabalho pode ser realizado em qualquer dia da semana, de segunda a domingo. Exemplos de turnos: das 10h às 18h ou das 13h às 21h. Os horários dos turnos podem variar. Consulte a descrição do cargo em anexo para obter mais informações. Classificaçã"&amp;"o do Cargo: 35-2021.00 - Auxiliares de Cozinha. A classificação e a descrição do cargo/setor incluem informações gerais sobre a posição, de acordo com o ONET/OES e o Sistema de Classificação Industrial da América do Norte. Consulte as Funções e a Ordem de"&amp;" Serviço para obter mais informações. Requisitos da vaga Experiência exigida: Sim Meses de experiência exigidos: 3 Requisitos especiais: O contratante considerará para emprego qualquer pessoa que possua pelo menos três (3) meses de experiência em um resta"&amp;"urante de alto padrão, resort ou clube privado. O candidato deverá se submeter a um exame toxicológico pré-admissional, custeado pelo empregador. Número de horas por semana: 40 Horário de trabalho (início/término): 10h às 18h")</f>
        <v>Os auxiliares de cozinha serão responsáveis ​​por lavar a louça e todos os utensílios de cozinha à mão ou à máquina, manter as áreas de trabalho e os equipamentos da cozinha limpos, varrer e esfregar o chão, preparar (sem cozinhar) diversos alimentos para serem cozidos ou servidos, e separar e descartar o lixo. Os auxiliares de cozinha podem precisar ocasionalmente levantar e/ou mover até 23 kg. Horário: 40 horas semanais. O horário de trabalho pode variar e incluir turnos noturnos, fins de semana e feriados. O trabalho pode ser realizado em qualquer dia da semana, de segunda a domingo. Exemplos de turnos: das 10h às 18h ou das 13h às 21h. Os horários dos turnos podem variar. Consulte a descrição do cargo em anexo para obter mais informações. Classificação do Cargo: 35-2021.00 - Auxiliares de Cozinha. A classificação e a descrição do cargo/setor incluem informações gerais sobre a posição, de acordo com o ONET/OES e o Sistema de Classificação Industrial da América do Norte. Consulte as Funções e a Ordem de Serviço para obter mais informações. Requisitos da vaga Experiência exigida: Sim Meses de experiência exigidos: 3 Requisitos especiais: O contratante considerará para emprego qualquer pessoa que possua pelo menos três (3) meses de experiência em um restaurante de alto padrão, resort ou clube privado. O candidato deverá se submeter a um exame toxicológico pré-admissional, custeado pelo empregador. Número de horas por semana: 40 Horário de trabalho (início/término): 10h às 18h</v>
      </c>
    </row>
    <row r="1078" ht="20.25" customHeight="1">
      <c r="A1078" s="3" t="s">
        <v>4957</v>
      </c>
      <c r="B1078" s="3" t="s">
        <v>4950</v>
      </c>
      <c r="C1078" s="3" t="s">
        <v>4241</v>
      </c>
      <c r="D1078" s="3" t="s">
        <v>71</v>
      </c>
      <c r="E1078" s="4" t="s">
        <v>44</v>
      </c>
      <c r="F1078" s="4" t="s">
        <v>20</v>
      </c>
      <c r="G1078" s="4" t="s">
        <v>384</v>
      </c>
      <c r="H1078" s="3" t="s">
        <v>4951</v>
      </c>
      <c r="I1078" s="3" t="s">
        <v>4952</v>
      </c>
      <c r="J1078" s="4">
        <v>18.95</v>
      </c>
      <c r="K1078" s="4">
        <v>22.0</v>
      </c>
      <c r="L1078" s="3" t="s">
        <v>1206</v>
      </c>
      <c r="M1078" s="3" t="s">
        <v>4958</v>
      </c>
      <c r="N1078" s="7" t="str">
        <f>IFERROR(__xludf.DUMMYFUNCTION("GOOGLETRANSLATE(L1078, ""en"", ""pt"")"),"Servidor")</f>
        <v>Servidor</v>
      </c>
      <c r="O1078" s="7" t="str">
        <f>IFERROR(__xludf.DUMMYFUNCTION("IF(M1078="""","""",GOOGLETRANSLATE(M1078,""en"",""pt""))"),"Os garçons serão responsáveis ​​por recepcionar os clientes, preparar as áreas de refeição, anotar e registrar os pedidos, transportar bandejas e pratos, servir alimentos e bebidas, e limpar e retirar os pratos das mesas. Horário: 35 horas semanais. A esc"&amp;"ala de trabalho pode variar e incluir turnos noturnos, fins de semana e feriados. O trabalho pode ser realizado em qualquer dia da semana, de segunda a domingo. Exemplos de turnos: das 10h às 17h e das 16h às 23h. Os horários dos turnos podem variar. Cons"&amp;"ulte a descrição da vaga em anexo para obter mais informações. Classificação da vaga: 35-3031.00 - Garçons e Garçonetes. A classificação e descrição da vaga/setor incluem informações gerais sobre o cargo, de acordo com o ONET/OES e o Sistema de Classifica"&amp;"ção Industrial da América do Norte (NAICS). Consulte as Funções e a Ordem de Serviço para obter mais informações. Requisitos da vaga Experiência exigida: Sim Meses de experiência exigidos: 6 Requisitos especiais: O contratante considerará para emprego qua"&amp;"lquer pessoa que possua pelo menos seis (6) meses de experiência em atendimento em um ambiente de alta gastronomia ou de grande movimento em um restaurante sofisticado, resort ou clube privado. O candidato deverá se submeter a um exame toxicológico pré-ad"&amp;"missional, custeado pelo empregador. Número de horas por semana: 35 Horário de trabalho (início/término): 10h às 17h")</f>
        <v>Os garçons serão responsáveis ​​por recepcionar os clientes, preparar as áreas de refeição, anotar e registrar os pedidos, transportar bandejas e pratos, servir alimentos e bebidas, e limpar e retirar os pratos das mesas. Horário: 35 horas semanais. A escala de trabalho pode variar e incluir turnos noturnos, fins de semana e feriados. O trabalho pode ser realizado em qualquer dia da semana, de segunda a domingo. Exemplos de turnos: das 10h às 17h e das 16h às 23h. Os horários dos turnos podem variar. Consulte a descrição da vaga em anexo para obter mais informações. Classificação da vaga: 35-3031.00 - Garçons e Garçonetes. A classificação e descrição da vaga/setor incluem informações gerais sobre o cargo, de acordo com o ONET/OES e o Sistema de Classificação Industrial da América do Norte (NAICS). Consulte as Funções e a Ordem de Serviço para obter mais informações. Requisitos da vaga Experiência exigida: Sim Meses de experiência exigidos: 6 Requisitos especiais: O contratante considerará para emprego qualquer pessoa que possua pelo menos seis (6) meses de experiência em atendimento em um ambiente de alta gastronomia ou de grande movimento em um restaurante sofisticado, resort ou clube privado. O candidato deverá se submeter a um exame toxicológico pré-admissional, custeado pelo empregador. Número de horas por semana: 35 Horário de trabalho (início/término): 10h às 17h</v>
      </c>
    </row>
    <row r="1079" ht="20.25" customHeight="1">
      <c r="A1079" s="8" t="s">
        <v>4959</v>
      </c>
      <c r="B1079" s="8" t="s">
        <v>4950</v>
      </c>
      <c r="C1079" s="8" t="s">
        <v>4241</v>
      </c>
      <c r="D1079" s="8" t="s">
        <v>71</v>
      </c>
      <c r="E1079" s="9" t="s">
        <v>44</v>
      </c>
      <c r="F1079" s="9" t="s">
        <v>20</v>
      </c>
      <c r="G1079" s="9" t="s">
        <v>384</v>
      </c>
      <c r="H1079" s="8" t="s">
        <v>4951</v>
      </c>
      <c r="I1079" s="8" t="s">
        <v>4952</v>
      </c>
      <c r="J1079" s="9">
        <v>20.0</v>
      </c>
      <c r="K1079" s="9">
        <v>8.0</v>
      </c>
      <c r="L1079" s="8" t="s">
        <v>387</v>
      </c>
      <c r="M1079" s="8" t="s">
        <v>4960</v>
      </c>
      <c r="N1079" s="7" t="str">
        <f>IFERROR(__xludf.DUMMYFUNCTION("GOOGLETRANSLATE(L1079, ""en"", ""pt"")"),"Ordem de serviço não disponível")</f>
        <v>Ordem de serviço não disponível</v>
      </c>
      <c r="O1079" s="7" t="str">
        <f>IFERROR(__xludf.DUMMYFUNCTION("IF(M1079="""","""",GOOGLETRANSLATE(M1079,""en"",""pt""))"),"Os cozinheiros serão responsáveis ​​por preparar, temperar e cozinhar sopas, carnes, legumes, sobremesas e outros pratos em um restaurante. Horário: 35 horas semanais. O horário de trabalho pode variar e incluir turnos noturnos, fins de semana e feriados."&amp;" O trabalho pode ser realizado em qualquer dia da semana, de segunda a domingo. Exemplos de turnos: das 9h às 16h e das 14h às 21h. Os horários dos turnos podem variar. Consulte a descrição do cargo em anexo para obter mais informações. Classificação do C"&amp;"argo: 35-2014.00 - Cozinheiros, Restaurante. A classificação e a descrição do cargo/setor incluem informações gerais sobre a posição, de acordo com o ONET/OES e o Sistema de Classificação Industrial da América do Norte. Consulte as Funções e a Ordem de Se"&amp;"rviço para obter mais informações. Requisitos do Cargo Experiência Necessária: Sim Meses de Experiência Necessários: 6 Requisitos Especiais: O contratante considerará para emprego qualquer pessoa que possua pelo menos seis (6) meses de experiência culinár"&amp;"ia em um ambiente de alta gastronomia ou de grande movimento, em um restaurante sofisticado, resort ou clube privado. O candidato deverá se submeter a um exame toxicológico pré-admissional, custeado pelo empregador. Número de horas semanais: 35. Horário d"&amp;"e trabalho (início/término): 9h às 16h.")</f>
        <v>Os cozinheiros serão responsáveis ​​por preparar, temperar e cozinhar sopas, carnes, legumes, sobremesas e outros pratos em um restaurante. Horário: 35 horas semanais. O horário de trabalho pode variar e incluir turnos noturnos, fins de semana e feriados. O trabalho pode ser realizado em qualquer dia da semana, de segunda a domingo. Exemplos de turnos: das 9h às 16h e das 14h às 21h. Os horários dos turnos podem variar. Consulte a descrição do cargo em anexo para obter mais informações. Classificação do Cargo: 35-2014.00 - Cozinheiros, Restaurante. A classificação e a descrição do cargo/setor incluem informações gerais sobre a posição, de acordo com o ONET/OES e o Sistema de Classificação Industrial da América do Norte. Consulte as Funções e a Ordem de Serviço para obter mais informações. Requisitos do Cargo Experiência Necessária: Sim Meses de Experiência Necessários: 6 Requisitos Especiais: O contratante considerará para emprego qualquer pessoa que possua pelo menos seis (6) meses de experiência culinária em um ambiente de alta gastronomia ou de grande movimento, em um restaurante sofisticado, resort ou clube privado. O candidato deverá se submeter a um exame toxicológico pré-admissional, custeado pelo empregador. Número de horas semanais: 35. Horário de trabalho (início/término): 9h às 16h.</v>
      </c>
    </row>
    <row r="1080" ht="20.25" customHeight="1">
      <c r="A1080" s="3" t="s">
        <v>4961</v>
      </c>
      <c r="B1080" s="3" t="s">
        <v>4962</v>
      </c>
      <c r="C1080" s="3" t="s">
        <v>4241</v>
      </c>
      <c r="D1080" s="3" t="s">
        <v>4521</v>
      </c>
      <c r="E1080" s="4" t="s">
        <v>44</v>
      </c>
      <c r="F1080" s="4" t="s">
        <v>20</v>
      </c>
      <c r="G1080" s="4" t="s">
        <v>118</v>
      </c>
      <c r="H1080" s="3" t="s">
        <v>4963</v>
      </c>
      <c r="I1080" s="3" t="s">
        <v>4964</v>
      </c>
      <c r="J1080" s="4">
        <v>19.46</v>
      </c>
      <c r="K1080" s="4">
        <v>8.0</v>
      </c>
      <c r="L1080" s="3" t="s">
        <v>4965</v>
      </c>
      <c r="M1080" s="3" t="s">
        <v>4966</v>
      </c>
      <c r="N1080" s="7" t="str">
        <f>IFERROR(__xludf.DUMMYFUNCTION("GOOGLETRANSLATE(L1080, ""en"", ""pt"")"),"Operário de Armazém")</f>
        <v>Operário de Armazém</v>
      </c>
      <c r="O1080" s="7" t="str">
        <f>IFERROR(__xludf.DUMMYFUNCTION("IF(M1080="""","""",GOOGLETRANSLATE(M1080,""en"",""pt""))"),"Os funcionários do armazém serão responsáveis ​​por retirar os ingredientes, pesá-los, adicioná-los à batedeira para preparar a massa, pesar a massa novamente, cortar a massa em pães, colocar as bandejas de massa no congelador rápido, embalar e encaixotar"&amp;" a massa e os waffles assados, paletizar a massa, colocar a massa nos fornos para assar, varrer e lavar a área de produção e limpar as mesas de preparação e os equipamentos. Horário: 35 horas por semana. O horário de trabalho pode variar e incluir noites,"&amp;" fins de semana e feriados. O trabalho pode ser realizado em qualquer dia da semana, de segunda a domingo. Exemplos de turnos: das 8h30 às 15h30 ou das 9h às 16h. Os horários dos turnos podem variar. Consulte a descrição da vaga para obter mais informaçõe"&amp;"s. Classificação da vaga: 51-3011.00 - Padeiros. A classificação e a descrição da vaga/setor incluem informações gerais sobre o cargo, de acordo com o ONET/OES e o Sistema de Classificação Industrial da América do Norte. Consulte as Funções e a Ordem de S"&amp;"erviço para obter mais informações. Requisitos da vaga Experiência necessária: Sim Meses de experiência necessários: 3 Requisitos especiais: O contratante considerará para emprego qualquer pessoa que possua pelo menos três (3) meses de experiência em um a"&amp;"mbiente de alto volume. Número de horas por semana: 35 Horário de trabalho (início/término): 8h30 - 15h30")</f>
        <v>Os funcionários do armazém serão responsáveis ​​por retirar os ingredientes, pesá-los, adicioná-los à batedeira para preparar a massa, pesar a massa novamente, cortar a massa em pães, colocar as bandejas de massa no congelador rápido, embalar e encaixotar a massa e os waffles assados, paletizar a massa, colocar a massa nos fornos para assar, varrer e lavar a área de produção e limpar as mesas de preparação e os equipamentos. Horário: 35 horas por semana. O horário de trabalho pode variar e incluir noites, fins de semana e feriados. O trabalho pode ser realizado em qualquer dia da semana, de segunda a domingo. Exemplos de turnos: das 8h30 às 15h30 ou das 9h às 16h. Os horários dos turnos podem variar. Consulte a descrição da vaga para obter mais informações. Classificação da vaga: 51-3011.00 - Padeiros. A classificação e a descrição da vaga/setor incluem informações gerais sobre o cargo, de acordo com o ONET/OES e o Sistema de Classificação Industrial da América do Norte. Consulte as Funções e a Ordem de Serviço para obter mais informações. Requisitos da vaga Experiência necessária: Sim Meses de experiência necessários: 3 Requisitos especiais: O contratante considerará para emprego qualquer pessoa que possua pelo menos três (3) meses de experiência em um ambiente de alto volume. Número de horas por semana: 35 Horário de trabalho (início/término): 8h30 - 15h30</v>
      </c>
    </row>
    <row r="1081" ht="20.25" customHeight="1">
      <c r="A1081" s="8" t="s">
        <v>4967</v>
      </c>
      <c r="B1081" s="8" t="s">
        <v>4968</v>
      </c>
      <c r="C1081" s="8" t="s">
        <v>4969</v>
      </c>
      <c r="D1081" s="8" t="s">
        <v>249</v>
      </c>
      <c r="E1081" s="9" t="s">
        <v>19</v>
      </c>
      <c r="F1081" s="9" t="s">
        <v>20</v>
      </c>
      <c r="G1081" s="9" t="s">
        <v>229</v>
      </c>
      <c r="H1081" s="8" t="s">
        <v>4970</v>
      </c>
      <c r="I1081" s="8" t="s">
        <v>4971</v>
      </c>
      <c r="J1081" s="9">
        <v>18.05</v>
      </c>
      <c r="K1081" s="9">
        <v>4.0</v>
      </c>
      <c r="L1081" s="8" t="s">
        <v>59</v>
      </c>
      <c r="M1081" s="8" t="s">
        <v>4972</v>
      </c>
      <c r="N1081" s="7" t="str">
        <f>IFERROR(__xludf.DUMMYFUNCTION("GOOGLETRANSLATE(L1081, ""en"", ""pt"")"),"Trabalhador de paisagismo")</f>
        <v>Trabalhador de paisagismo</v>
      </c>
      <c r="O1081" s="7" t="str">
        <f>IFERROR(__xludf.DUMMYFUNCTION("IF(M1081="""","""",GOOGLETRANSLATE(M1081,""en"",""pt""))"),"Paisagismo e manutenção de terrenos utilizando ferramentas manuais ou elétricas. Os trabalhadores geralmente executam uma variedade de tarefas, que podem incluir qualquer combinação das seguintes: colocação de grama, corte de grama, poda, plantio, irrigaç"&amp;"ão, fertilização, escavação, rastelagem, instalação de aspersores e instalação de blocos de concreto pré-moldados sem argamassa. Classificação da função: 37-3011.00 - Trabalhadores de Paisagismo e Manutenção de Terrenos. A classificação e descrição da fun"&amp;"ção/setor incluem informações gerais sobre o cargo, de acordo com o ONET/OES e o Sistema de Classificação Industrial da América do Norte (NAICS). Consulte as Funções e a Ordem de Serviço para obter mais informações. Requisitos da função: Experiência neces"&amp;"sária: Não. Requisitos especiais: Capacidade de levantar e carregar 23 kg. Disponibilidade para horas extras e trabalho aos fins de semana. Número de horas por semana: 40. Horário de trabalho (início/término): 7h às 16h.")</f>
        <v>Paisagismo e manutenção de terrenos utilizando ferramentas manuais ou elétricas. Os trabalhadores geralmente executam uma variedade de tarefas, que podem incluir qualquer combinação das seguintes: colocação de grama, corte de grama, poda, plantio, irrigação, fertilização, escavação, rastelagem, instalação de aspersores e instalação de blocos de concreto pré-moldados sem argamassa. Classificação da função: 37-3011.00 - Trabalhadores de Paisagismo e Manutenção de Terrenos. A classificação e descrição da função/setor incluem informações gerais sobre o cargo, de acordo com o ONET/OES e o Sistema de Classificação Industrial da América do Norte (NAICS). Consulte as Funções e a Ordem de Serviço para obter mais informações. Requisitos da função: Experiência necessária: Não. Requisitos especiais: Capacidade de levantar e carregar 23 kg. Disponibilidade para horas extras e trabalho aos fins de semana. Número de horas por semana: 40. Horário de trabalho (início/término): 7h às 16h.</v>
      </c>
    </row>
    <row r="1082" ht="20.25" customHeight="1">
      <c r="A1082" s="3" t="s">
        <v>4973</v>
      </c>
      <c r="B1082" s="3" t="s">
        <v>4974</v>
      </c>
      <c r="C1082" s="3" t="s">
        <v>4975</v>
      </c>
      <c r="D1082" s="3" t="s">
        <v>64</v>
      </c>
      <c r="E1082" s="4" t="s">
        <v>19</v>
      </c>
      <c r="F1082" s="4" t="s">
        <v>20</v>
      </c>
      <c r="G1082" s="4" t="s">
        <v>155</v>
      </c>
      <c r="H1082" s="3" t="s">
        <v>4976</v>
      </c>
      <c r="I1082" s="3" t="s">
        <v>4977</v>
      </c>
      <c r="J1082" s="4">
        <v>18.93</v>
      </c>
      <c r="K1082" s="4">
        <v>11.0</v>
      </c>
      <c r="L1082" s="3" t="s">
        <v>4978</v>
      </c>
      <c r="M1082" s="3" t="s">
        <v>4979</v>
      </c>
      <c r="N1082" s="7" t="str">
        <f>IFERROR(__xludf.DUMMYFUNCTION("GOOGLETRANSLATE(L1082, ""en"", ""pt"")"),"Processadores de carne")</f>
        <v>Processadores de carne</v>
      </c>
      <c r="O1082" s="7" t="str">
        <f>IFERROR(__xludf.DUMMYFUNCTION("IF(M1082="""","""",GOOGLETRANSLATE(M1082,""en"",""pt""))"),"Desossar veados, bem como alces, cervos, javalis e caça sazonal abatidos durante a temporada para um frigorífico particular. Limpar e cortar os animais para embalar, defumar, congelar e salgar de acordo com as especificações do cliente, utilizando serra, "&amp;"facas de desossar e cutelos. Embalar a carne ou moê-la. Preparar e embalar linguiça. Classificação da função: 51-3021.00 - Açougueiros e Cortadores de Carne. A classificação e descrição da função/indústria inclui informações gerais sobre o cargo, de acord"&amp;"o com o ONET/OES e o Sistema de Classificação Industrial da América do Norte. Consulte as Funções e a Ordem de Serviço para obter mais informações. Requisitos da vaga: Experiência necessária: Sim. Meses de experiência necessários: 6. Requisitos especiais:"&amp;" Seis meses de experiência na função oferecida ou seis meses de experiência como açougueiro. Número de horas por semana: 40. Horário de trabalho (início/término): 8h às 17h.")</f>
        <v>Desossar veados, bem como alces, cervos, javalis e caça sazonal abatidos durante a temporada para um frigorífico particular. Limpar e cortar os animais para embalar, defumar, congelar e salgar de acordo com as especificações do cliente, utilizando serra, facas de desossar e cutelos. Embalar a carne ou moê-la. Preparar e embalar linguiça. Classificação da função: 51-3021.00 - Açougueiros e Cortadores de Carne. A classificação e descrição da função/indústria inclui informações gerais sobre o cargo, de acordo com o ONET/OES e o Sistema de Classificação Industrial da América do Norte. Consulte as Funções e a Ordem de Serviço para obter mais informações. Requisitos da vaga: Experiência necessária: Sim. Meses de experiência necessários: 6. Requisitos especiais: Seis meses de experiência na função oferecida ou seis meses de experiência como açougueiro. Número de horas por semana: 40. Horário de trabalho (início/término): 8h às 17h.</v>
      </c>
    </row>
    <row r="1083" ht="20.25" customHeight="1">
      <c r="A1083" s="8" t="s">
        <v>4980</v>
      </c>
      <c r="B1083" s="8" t="s">
        <v>4974</v>
      </c>
      <c r="C1083" s="8" t="s">
        <v>4975</v>
      </c>
      <c r="D1083" s="8" t="s">
        <v>64</v>
      </c>
      <c r="E1083" s="9" t="s">
        <v>19</v>
      </c>
      <c r="F1083" s="9" t="s">
        <v>20</v>
      </c>
      <c r="G1083" s="9" t="s">
        <v>94</v>
      </c>
      <c r="H1083" s="8" t="s">
        <v>4976</v>
      </c>
      <c r="I1083" s="8" t="s">
        <v>4977</v>
      </c>
      <c r="J1083" s="9">
        <v>18.93</v>
      </c>
      <c r="K1083" s="9">
        <v>16.0</v>
      </c>
      <c r="L1083" s="8" t="s">
        <v>4978</v>
      </c>
      <c r="M1083" s="8" t="s">
        <v>4979</v>
      </c>
      <c r="N1083" s="7" t="str">
        <f>IFERROR(__xludf.DUMMYFUNCTION("GOOGLETRANSLATE(L1083, ""en"", ""pt"")"),"Processadores de carne")</f>
        <v>Processadores de carne</v>
      </c>
      <c r="O1083" s="7" t="str">
        <f>IFERROR(__xludf.DUMMYFUNCTION("IF(M1083="""","""",GOOGLETRANSLATE(M1083,""en"",""pt""))"),"Desossar veados, bem como alces, cervos, javalis e caça sazonal abatidos durante a temporada para um frigorífico particular. Limpar e cortar os animais para embalar, defumar, congelar e salgar de acordo com as especificações do cliente, utilizando serra, "&amp;"facas de desossar e cutelos. Embalar a carne ou moê-la. Preparar e embalar linguiça. Classificação da função: 51-3021.00 - Açougueiros e Cortadores de Carne. A classificação e descrição da função/indústria inclui informações gerais sobre o cargo, de acord"&amp;"o com o ONET/OES e o Sistema de Classificação Industrial da América do Norte. Consulte as Funções e a Ordem de Serviço para obter mais informações. Requisitos da vaga: Experiência necessária: Sim. Meses de experiência necessários: 6. Requisitos especiais:"&amp;" Seis meses de experiência na função oferecida ou seis meses de experiência como açougueiro. Número de horas por semana: 40. Horário de trabalho (início/término): 8h às 17h.")</f>
        <v>Desossar veados, bem como alces, cervos, javalis e caça sazonal abatidos durante a temporada para um frigorífico particular. Limpar e cortar os animais para embalar, defumar, congelar e salgar de acordo com as especificações do cliente, utilizando serra, facas de desossar e cutelos. Embalar a carne ou moê-la. Preparar e embalar linguiça. Classificação da função: 51-3021.00 - Açougueiros e Cortadores de Carne. A classificação e descrição da função/indústria inclui informações gerais sobre o cargo, de acordo com o ONET/OES e o Sistema de Classificação Industrial da América do Norte. Consulte as Funções e a Ordem de Serviço para obter mais informações. Requisitos da vaga: Experiência necessária: Sim. Meses de experiência necessários: 6. Requisitos especiais: Seis meses de experiência na função oferecida ou seis meses de experiência como açougueiro. Número de horas por semana: 40. Horário de trabalho (início/término): 8h às 17h.</v>
      </c>
    </row>
    <row r="1084" ht="20.25" customHeight="1">
      <c r="A1084" s="3" t="s">
        <v>4981</v>
      </c>
      <c r="B1084" s="3" t="s">
        <v>4982</v>
      </c>
      <c r="C1084" s="3" t="s">
        <v>3937</v>
      </c>
      <c r="D1084" s="3" t="s">
        <v>249</v>
      </c>
      <c r="E1084" s="4" t="s">
        <v>19</v>
      </c>
      <c r="F1084" s="4" t="s">
        <v>20</v>
      </c>
      <c r="G1084" s="4" t="s">
        <v>307</v>
      </c>
      <c r="H1084" s="3" t="s">
        <v>4983</v>
      </c>
      <c r="I1084" s="3" t="s">
        <v>4984</v>
      </c>
      <c r="J1084" s="4">
        <v>26.55</v>
      </c>
      <c r="K1084" s="4">
        <v>3.0</v>
      </c>
      <c r="L1084" s="3" t="s">
        <v>4985</v>
      </c>
      <c r="M1084" s="3" t="s">
        <v>4986</v>
      </c>
      <c r="N1084" s="7" t="str">
        <f>IFERROR(__xludf.DUMMYFUNCTION("GOOGLETRANSLATE(L1084, ""en"", ""pt"")"),"Instalador de Azulejos")</f>
        <v>Instalador de Azulejos</v>
      </c>
      <c r="O1084" s="7" t="str">
        <f>IFERROR(__xludf.DUMMYFUNCTION("IF(M1084="""","""",GOOGLETRANSLATE(M1084,""en"",""pt""))"),"Aplicar azulejos, pedras e materiais similares em paredes, pisos, tetos, bancadas e terraços. Classificação da função: 47-2044.00 - Assentador de Azulejos e Pedras. A classificação e descrição da função/setor inclui informações gerais sobre o cargo, de ac"&amp;"ordo com o ONET/OES e o Sistema de Classificação Industrial da América do Norte (NAICS). Consulte as Funções e a Ordem de Serviço para obter mais informações. Requisitos da função: Experiência necessária: Não. Requisitos especiais: Capacidade de levantar "&amp;"e carregar 23 kg (50 libras), disponibilidade para horas extras e trabalho aos fins de semana. Turno de 8 horas. Número de horas por semana: 40. Horário de trabalho (início/término): 9h às 18h.")</f>
        <v>Aplicar azulejos, pedras e materiais similares em paredes, pisos, tetos, bancadas e terraços. Classificação da função: 47-2044.00 - Assentador de Azulejos e Pedras. A classificação e descrição da função/setor inclui informações gerais sobre o cargo, de acordo com o ONET/OES e o Sistema de Classificação Industrial da América do Norte (NAICS). Consulte as Funções e a Ordem de Serviço para obter mais informações. Requisitos da função: Experiência necessária: Não. Requisitos especiais: Capacidade de levantar e carregar 23 kg (50 libras), disponibilidade para horas extras e trabalho aos fins de semana. Turno de 8 horas. Número de horas por semana: 40. Horário de trabalho (início/término): 9h às 18h.</v>
      </c>
    </row>
    <row r="1085" ht="20.25" customHeight="1">
      <c r="A1085" s="8" t="s">
        <v>4987</v>
      </c>
      <c r="B1085" s="8" t="s">
        <v>4988</v>
      </c>
      <c r="C1085" s="8" t="s">
        <v>4241</v>
      </c>
      <c r="D1085" s="8" t="s">
        <v>71</v>
      </c>
      <c r="E1085" s="9" t="s">
        <v>19</v>
      </c>
      <c r="F1085" s="9" t="s">
        <v>20</v>
      </c>
      <c r="G1085" s="9" t="s">
        <v>345</v>
      </c>
      <c r="H1085" s="8" t="s">
        <v>4989</v>
      </c>
      <c r="I1085" s="8" t="s">
        <v>4990</v>
      </c>
      <c r="J1085" s="9">
        <v>20.0</v>
      </c>
      <c r="K1085" s="9">
        <v>3.0</v>
      </c>
      <c r="L1085" s="8" t="s">
        <v>387</v>
      </c>
      <c r="M1085" s="8" t="s">
        <v>4991</v>
      </c>
      <c r="N1085" s="7" t="str">
        <f>IFERROR(__xludf.DUMMYFUNCTION("GOOGLETRANSLATE(L1085, ""en"", ""pt"")"),"Ordem de serviço não disponível")</f>
        <v>Ordem de serviço não disponível</v>
      </c>
      <c r="O1085" s="7" t="str">
        <f>IFERROR(__xludf.DUMMYFUNCTION("IF(M1085="""","""",GOOGLETRANSLATE(M1085,""en"",""pt""))"),"Os cozinheiros serão responsáveis ​​por preparar, temperar e cozinhar sopas, carnes, legumes, sobremesas e outros pratos em um restaurante. Horário: 40 horas semanais. O horário de trabalho pode variar e incluir turnos noturnos, fins de semana e feriados."&amp;" O trabalho pode ser realizado em qualquer dia da semana, de segunda a domingo. Exemplos de turnos: 8h às 16h, 12h às 20h ou 14h às 22h. Os horários dos turnos podem variar. Consulte a descrição do cargo em anexo para obter mais informações. Classificação"&amp;" do Cargo: 35-2014.00 - Cozinheiros, Restaurante. A classificação e a descrição do cargo/setor incluem informações gerais sobre a posição, de acordo com o ONET/OES e o Sistema de Classificação Industrial da América do Norte (NAICS). Consulte as Funções e "&amp;"a Ordem de Serviço para obter mais informações. Requisitos da vaga Experiência exigida: Sim Meses de experiência exigidos: 6 Requisitos especiais: O contratante considerará para emprego qualquer pessoa que possua pelo menos seis (6) meses de experiência c"&amp;"ulinária em um ambiente de alta gastronomia ou de grande movimento em um restaurante sofisticado, resort ou clube privado. O candidato deverá se submeter a um exame toxicológico pré-admissional, custeado pelo empregador. Número de horas por semana: 40 Hor"&amp;"ário de trabalho (início/término): 8h às 16h")</f>
        <v>Os cozinheiros serão responsáveis ​​por preparar, temperar e cozinhar sopas, carnes, legumes, sobremesas e outros pratos em um restaurante. Horário: 40 horas semanais. O horário de trabalho pode variar e incluir turnos noturnos, fins de semana e feriados. O trabalho pode ser realizado em qualquer dia da semana, de segunda a domingo. Exemplos de turnos: 8h às 16h, 12h às 20h ou 14h às 22h. Os horários dos turnos podem variar. Consulte a descrição do cargo em anexo para obter mais informações. Classificação do Cargo: 35-2014.00 - Cozinheiros, Restaurante. A classificação e a descrição do cargo/setor incluem informações gerais sobre a posição, de acordo com o ONET/OES e o Sistema de Classificação Industrial da América do Norte (NAICS). Consulte as Funções e a Ordem de Serviço para obter mais informações. Requisitos da vaga Experiência exigida: Sim Meses de experiência exigidos: 6 Requisitos especiais: O contratante considerará para emprego qualquer pessoa que possua pelo menos seis (6) meses de experiência culinária em um ambiente de alta gastronomia ou de grande movimento em um restaurante sofisticado, resort ou clube privado. O candidato deverá se submeter a um exame toxicológico pré-admissional, custeado pelo empregador. Número de horas por semana: 40 Horário de trabalho (início/término): 8h às 16h</v>
      </c>
    </row>
    <row r="1086" ht="20.25" customHeight="1">
      <c r="A1086" s="3" t="s">
        <v>4992</v>
      </c>
      <c r="B1086" s="3" t="s">
        <v>4988</v>
      </c>
      <c r="C1086" s="3" t="s">
        <v>4241</v>
      </c>
      <c r="D1086" s="3" t="s">
        <v>71</v>
      </c>
      <c r="E1086" s="4" t="s">
        <v>19</v>
      </c>
      <c r="F1086" s="4" t="s">
        <v>20</v>
      </c>
      <c r="G1086" s="4" t="s">
        <v>345</v>
      </c>
      <c r="H1086" s="3" t="s">
        <v>4989</v>
      </c>
      <c r="I1086" s="3" t="s">
        <v>4990</v>
      </c>
      <c r="J1086" s="4">
        <v>20.0</v>
      </c>
      <c r="K1086" s="4">
        <v>5.0</v>
      </c>
      <c r="L1086" s="3" t="s">
        <v>1206</v>
      </c>
      <c r="M1086" s="3" t="s">
        <v>4993</v>
      </c>
      <c r="N1086" s="7" t="str">
        <f>IFERROR(__xludf.DUMMYFUNCTION("GOOGLETRANSLATE(L1086, ""en"", ""pt"")"),"Servidor")</f>
        <v>Servidor</v>
      </c>
      <c r="O1086" s="7" t="str">
        <f>IFERROR(__xludf.DUMMYFUNCTION("IF(M1086="""","""",GOOGLETRANSLATE(M1086,""en"",""pt""))"),"Os garçons serão responsáveis ​​por preparar as áreas de refeição, anotar e registrar pedidos, transportar bandejas e pratos, servir alimentos e bebidas, e limpar e retirar os pratos das mesas. Horário: 40 horas semanais. A escala de trabalho pode variar "&amp;"e incluir turnos noturnos, fins de semana e feriados. O trabalho pode ser realizado em qualquer dia da semana, de segunda a domingo. Exemplos de turnos: 8h às 16h, 10h às 18h ou 14h às 22h. Os horários dos turnos podem variar. Consulte a descrição da vaga"&amp;" em anexo para obter mais informações. Classificação da vaga: 35-3031.00 - Garçons e Garçonetes. A classificação e descrição da vaga/setor incluem informações gerais sobre o cargo, de acordo com o ONET/OES e o Sistema de Classificação Industrial da Améric"&amp;"a do Norte (NAICS). Consulte as Funções e a Ordem de Serviço para obter mais informações. Requisitos da vaga Experiência exigida: Sim Meses de experiência exigidos: 3 Requisitos especiais: O contratante considerará para emprego qualquer pessoa que possua "&amp;"pelo menos três (3) meses de experiência em um ambiente de alta gastronomia ou de grande movimento em um restaurante de luxo, resort ou clube privado. O candidato deverá se submeter a um exame toxicológico pré-admissional, custeado pelo empregador. Número"&amp;" de horas por semana: 40 Horário de trabalho (início/término): 8h às 16h")</f>
        <v>Os garçons serão responsáveis ​​por preparar as áreas de refeição, anotar e registrar pedidos, transportar bandejas e pratos, servir alimentos e bebidas, e limpar e retirar os pratos das mesas. Horário: 40 horas semanais. A escala de trabalho pode variar e incluir turnos noturnos, fins de semana e feriados. O trabalho pode ser realizado em qualquer dia da semana, de segunda a domingo. Exemplos de turnos: 8h às 16h, 10h às 18h ou 14h às 22h. Os horários dos turnos podem variar. Consulte a descrição da vaga em anexo para obter mais informações. Classificação da vaga: 35-3031.00 - Garçons e Garçonetes. A classificação e descrição da vaga/setor incluem informações gerais sobre o cargo, de acordo com o ONET/OES e o Sistema de Classificação Industrial da América do Norte (NAICS). Consulte as Funções e a Ordem de Serviço para obter mais informações. Requisitos da vaga Experiência exigida: Sim Meses de experiência exigidos: 3 Requisitos especiais: O contratante considerará para emprego qualquer pessoa que possua pelo menos três (3) meses de experiência em um ambiente de alta gastronomia ou de grande movimento em um restaurante de luxo, resort ou clube privado. O candidato deverá se submeter a um exame toxicológico pré-admissional, custeado pelo empregador. Número de horas por semana: 40 Horário de trabalho (início/término): 8h às 16h</v>
      </c>
    </row>
    <row r="1087" ht="20.25" customHeight="1">
      <c r="A1087" s="8" t="s">
        <v>4994</v>
      </c>
      <c r="B1087" s="8" t="s">
        <v>4803</v>
      </c>
      <c r="C1087" s="8" t="s">
        <v>4241</v>
      </c>
      <c r="D1087" s="8" t="s">
        <v>126</v>
      </c>
      <c r="E1087" s="9" t="s">
        <v>19</v>
      </c>
      <c r="F1087" s="9" t="s">
        <v>20</v>
      </c>
      <c r="G1087" s="9" t="s">
        <v>4804</v>
      </c>
      <c r="H1087" s="8" t="s">
        <v>4805</v>
      </c>
      <c r="I1087" s="8" t="s">
        <v>4806</v>
      </c>
      <c r="J1087" s="9">
        <v>20.7</v>
      </c>
      <c r="K1087" s="9">
        <v>36.0</v>
      </c>
      <c r="L1087" s="8" t="s">
        <v>4995</v>
      </c>
      <c r="M1087" s="8" t="s">
        <v>4996</v>
      </c>
      <c r="N1087" s="7" t="str">
        <f>IFERROR(__xludf.DUMMYFUNCTION("GOOGLETRANSLATE(L1087, ""en"", ""pt"")"),"Cozinheiro: Avançado")</f>
        <v>Cozinheiro: Avançado</v>
      </c>
      <c r="O1087" s="7" t="str">
        <f>IFERROR(__xludf.DUMMYFUNCTION("IF(M1087="""","""",GOOGLETRANSLATE(M1087,""en"",""pt""))"),"Cozinheiros: O nível Avançado será responsável pelo preparo, tempero e cozimento de sopas, carnes, legumes, sobremesas e outros itens alimentícios em um restaurante. Horário: 35 horas semanais. O horário de trabalho pode variar e incluir turnos noturnos, "&amp;"fins de semana e feriados. O trabalho pode ser realizado em qualquer dia da semana, de segunda a domingo. Exemplos de turnos: 7h às 14h, 8h às 15h e 9h às 16h. Os horários dos turnos podem variar. Consulte a descrição do cargo em anexo para obter mais inf"&amp;"ormações. Classificação do Cargo: 35-2014.00 - Cozinheiros, Restaurante. A classificação e descrição do cargo/setor incluem informações gerais sobre a posição, de acordo com o ONET/OES e o Sistema de Classificação Industrial da América do Norte (NAICS). C"&amp;"onsulte as Funções e a Ordem de Serviço para obter mais informações. Requisitos da vaga Experiência necessária: Sim Meses de experiência necessários: 12 Requisitos especiais: O contratante considerará para emprego qualquer pessoa que possua pelo menos um "&amp;"(1) ano de experiência culinária em um ambiente de alto volume em um restaurante, resort ou clube privado. Número de horas por semana: 35 Horário de trabalho (início/término): 7h00 - 14h00")</f>
        <v>Cozinheiros: O nível Avançado será responsável pelo preparo, tempero e cozimento de sopas, carnes, legumes, sobremesas e outros itens alimentícios em um restaurante. Horário: 35 horas semanais. O horário de trabalho pode variar e incluir turnos noturnos, fins de semana e feriados. O trabalho pode ser realizado em qualquer dia da semana, de segunda a domingo. Exemplos de turnos: 7h às 14h, 8h às 15h e 9h às 16h. Os horários dos turnos podem variar. Consulte a descrição do cargo em anexo para obter mais informações. Classificação do Cargo: 35-2014.00 - Cozinheiros, Restaurante. A classificação e descrição do cargo/setor incluem informações gerais sobre a posição, de acordo com o ONET/OES e o Sistema de Classificação Industrial da América do Norte (NAICS). Consulte as Funções e a Ordem de Serviço para obter mais informações. Requisitos da vaga Experiência necessária: Sim Meses de experiência necessários: 12 Requisitos especiais: O contratante considerará para emprego qualquer pessoa que possua pelo menos um (1) ano de experiência culinária em um ambiente de alto volume em um restaurante, resort ou clube privado. Número de horas por semana: 35 Horário de trabalho (início/término): 7h00 - 14h00</v>
      </c>
    </row>
    <row r="1088" ht="20.25" customHeight="1">
      <c r="A1088" s="3" t="s">
        <v>4997</v>
      </c>
      <c r="B1088" s="3" t="s">
        <v>4998</v>
      </c>
      <c r="C1088" s="3" t="s">
        <v>391</v>
      </c>
      <c r="D1088" s="3" t="s">
        <v>55</v>
      </c>
      <c r="E1088" s="4" t="s">
        <v>44</v>
      </c>
      <c r="F1088" s="4" t="s">
        <v>20</v>
      </c>
      <c r="G1088" s="4" t="s">
        <v>236</v>
      </c>
      <c r="H1088" s="3" t="s">
        <v>4999</v>
      </c>
      <c r="I1088" s="3" t="s">
        <v>5000</v>
      </c>
      <c r="J1088" s="4">
        <v>19.8</v>
      </c>
      <c r="K1088" s="4">
        <v>5.0</v>
      </c>
      <c r="L1088" s="3" t="s">
        <v>59</v>
      </c>
      <c r="M1088" s="3" t="s">
        <v>5001</v>
      </c>
      <c r="N1088" s="7" t="str">
        <f>IFERROR(__xludf.DUMMYFUNCTION("GOOGLETRANSLATE(L1088, ""en"", ""pt"")"),"Trabalhador de paisagismo")</f>
        <v>Trabalhador de paisagismo</v>
      </c>
      <c r="O1088" s="7" t="str">
        <f>IFERROR(__xludf.DUMMYFUNCTION("IF(M1088="""","""",GOOGLETRANSLATE(M1088,""en"",""pt""))"),"Paisagismo ou manutenção de terrenos utilizando ferramentas manuais ou elétricas. Colocação de grama, corte de grama, aparo/acabamento de bordas, plantio, capina, rega, rastelamento, varrição de folhas; uso de pá manual para cavar buracos para instalação "&amp;"de plantas, árvores, arbustos ou sistemas de irrigação, com até 60 cm de profundidade e 90 cm de largura. Espalhamento de sementes, fertilizantes e cobertura morta; trabalho no solo para podar ou aparar árvores, arbustos ou sebes utilizando tesouras de po"&amp;"da, podadores ou motosserras; aeração do solo; instalação/reparo de sprinklers, instalação de blocos de concreto pré-moldados sem argamassa. Manutenção dos equipamentos para garantir o funcionamento adequado. Atividades auxiliares: Pode dirigir caminhão o"&amp;"u outro veículo para transportar plantas, materiais e ferramentas de/para os locais de trabalho. Mínimo de 35 horas semanais, podendo chegar a 40 horas semanais. Dias normais de trabalho: segunda a sexta-feira, das 6h às 15h, com uma hora de almoço não re"&amp;"munerada. Os dias e horários de trabalho podem variar conforme as condições climáticas. Trabalho aos sábados conforme necessário. $19,80/hora. O empregador poderá aumentar o salário com base na experiência, nas mudanças nas condições de mercado e/ou ofere"&amp;"cer remuneração adicional por desempenho e tempo de serviço. Será pago adicional por horas extras quando exigido por lei federal, estadual ou local, incluindo hora e meia após 40 horas semanais. Geralmente, quando houver horas extras disponíveis, o pagame"&amp;"nto será de $29,70/hora, com base na localidade onde o trabalho é realizado e na taxa horária base oferecida. O cálculo dos salários devidos será feito com base em uma única semana de trabalho. Pagamento semanal. Programa de bônus baseado em produtividade"&amp;" e assiduidade disponível. O empregador fornecerá ao trabalhador, sem custo, todas as ferramentas, suprimentos, equipamentos e uniforme necessários para a execução do trabalho. Transporte diário fornecido do local de trabalho principal no Condado de St. C"&amp;"harles para vários locais de trabalho nos Condados de St. Charles, St. Louis, St. Louis City, Lincoln, Warren, Jefferson e Montgomery, Missouri. Classificação da vaga: 37-3011.00 - Trabalhadores de Paisagismo e Manutenção de Jardins. A classificação e des"&amp;"crição da vaga/setor inclui informações gerais sobre o cargo, conforme o ONET/OES e o Sistema de Classificação Industrial da América do Norte (NAICS). Consulte as Funções e a Ordem de Serviço para obter mais informações. Requisitos da vaga: Experiência ex"&amp;"igida: Não. Requisitos especiais: É necessário passar por verificação de antecedentes criminais e exame toxicológico após a contratação. Os custos são pagos pelo empregador e aplicados igualmente a todos os trabalhadores, americanos e estrangeiros/H-2B. É"&amp;" necessário ser capaz de levantar 23 kg. É necessário ter disponibilidade para trabalhar 5 dias por semana, incluindo fins de semana e feriados, conforme necessário. Os candidatos devem preencher uma ficha de inscrição. Número de horas por semana: 40. Hor"&amp;"ário de trabalho (início/término): 6h às 15h.")</f>
        <v>Paisagismo ou manutenção de terrenos utilizando ferramentas manuais ou elétricas. Colocação de grama, corte de grama, aparo/acabamento de bordas, plantio, capina, rega, rastelamento, varrição de folhas; uso de pá manual para cavar buracos para instalação de plantas, árvores, arbustos ou sistemas de irrigação, com até 60 cm de profundidade e 90 cm de largura. Espalhamento de sementes, fertilizantes e cobertura morta; trabalho no solo para podar ou aparar árvores, arbustos ou sebes utilizando tesouras de poda, podadores ou motosserras; aeração do solo; instalação/reparo de sprinklers, instalação de blocos de concreto pré-moldados sem argamassa. Manutenção dos equipamentos para garantir o funcionamento adequado. Atividades auxiliares: Pode dirigir caminhão ou outro veículo para transportar plantas, materiais e ferramentas de/para os locais de trabalho. Mínimo de 35 horas semanais, podendo chegar a 40 horas semanais. Dias normais de trabalho: segunda a sexta-feira, das 6h às 15h, com uma hora de almoço não remunerada. Os dias e horários de trabalho podem variar conforme as condições climáticas. Trabalho aos sábados conforme necessário. $19,80/hora. O empregador poderá aumentar o salário com base na experiência, nas mudanças nas condições de mercado e/ou oferecer remuneração adicional por desempenho e tempo de serviço. Será pago adicional por horas extras quando exigido por lei federal, estadual ou local, incluindo hora e meia após 40 horas semanais. Geralmente, quando houver horas extras disponíveis, o pagamento será de $29,70/hora, com base na localidade onde o trabalho é realizado e na taxa horária base oferecida. O cálculo dos salários devidos será feito com base em uma única semana de trabalho. Pagamento semanal. Programa de bônus baseado em produtividade e assiduidade disponível. O empregador fornecerá ao trabalhador, sem custo, todas as ferramentas, suprimentos, equipamentos e uniforme necessários para a execução do trabalho. Transporte diário fornecido do local de trabalho principal no Condado de St. Charles para vários locais de trabalho nos Condados de St. Charles, St. Louis, St. Louis City, Lincoln, Warren, Jefferson e Montgomery, Missouri. Classificação da vaga: 37-3011.00 - Trabalhadores de Paisagismo e Manutenção de Jardins. A classificação e descrição da vaga/setor inclui informações gerais sobre o cargo, conforme o ONET/OES e o Sistema de Classificação Industrial da América do Norte (NAICS). Consulte as Funções e a Ordem de Serviço para obter mais informações. Requisitos da vaga: Experiência exigida: Não. Requisitos especiais: É necessário passar por verificação de antecedentes criminais e exame toxicológico após a contratação. Os custos são pagos pelo empregador e aplicados igualmente a todos os trabalhadores, americanos e estrangeiros/H-2B. É necessário ser capaz de levantar 23 kg. É necessário ter disponibilidade para trabalhar 5 dias por semana, incluindo fins de semana e feriados, conforme necessário. Os candidatos devem preencher uma ficha de inscrição. Número de horas por semana: 40. Horário de trabalho (início/término): 6h às 15h.</v>
      </c>
    </row>
    <row r="1089" ht="20.25" customHeight="1">
      <c r="A1089" s="8" t="s">
        <v>5002</v>
      </c>
      <c r="B1089" s="8" t="s">
        <v>5003</v>
      </c>
      <c r="C1089" s="8" t="s">
        <v>4241</v>
      </c>
      <c r="D1089" s="8" t="s">
        <v>532</v>
      </c>
      <c r="E1089" s="9" t="s">
        <v>19</v>
      </c>
      <c r="F1089" s="9" t="s">
        <v>20</v>
      </c>
      <c r="G1089" s="9" t="s">
        <v>524</v>
      </c>
      <c r="H1089" s="8" t="s">
        <v>5004</v>
      </c>
      <c r="I1089" s="8" t="s">
        <v>5005</v>
      </c>
      <c r="J1089" s="9">
        <v>18.67</v>
      </c>
      <c r="K1089" s="9">
        <v>20.0</v>
      </c>
      <c r="L1089" s="8" t="s">
        <v>1636</v>
      </c>
      <c r="M1089" s="8" t="s">
        <v>5006</v>
      </c>
      <c r="N1089" s="7" t="str">
        <f>IFERROR(__xludf.DUMMYFUNCTION("GOOGLETRANSLATE(L1089, ""en"", ""pt"")"),"Mordomo")</f>
        <v>Mordomo</v>
      </c>
      <c r="O1089" s="7" t="str">
        <f>IFERROR(__xludf.DUMMYFUNCTION("IF(M1089="""","""",GOOGLETRANSLATE(M1089,""en"",""pt""))"),"***Resposta à Solicitação de Informações*** “Preparar (sem cozinhar) diversos alimentos para cozinhar ou servir” – isso consiste em retirar alimentos de estufas/refrigeradores (armários refrigerados/aquecidos) e fornecê-los aos garçons para servir, além d"&amp;"e reunir os ingredientes para fornecer aos cozinheiros. “Auxiliar na montagem e desmontagem de eventos” – isso consiste em montar as estações de buffet em eventos com pratos e utensílios antes do evento e limpar as mesas e levar a louça de volta para a ár"&amp;"ea de lavagem para triagem e limpeza após o evento. Também verificará as estufas em relação à lista de pedidos de alimentos do evento para garantir que o alimento correto esteja dentro da estufa. As ferramentas/equipamentos usados ​​para realizar as taref"&amp;"as acima são estufas, refrigeradores, latas de lixo e carrinhos de louça com rodas. ***Original*** Os auxiliares de cozinha serão responsáveis ​​por lavar a louça e todos os utensílios de cozinha à máquina ou à mão, manter e limpar as áreas de trabalho e "&amp;"equipamentos da cozinha, auxiliar na montagem e desmontagem de eventos, varrer e esfregar pisos e tapetes, aspirar, preparar (sem cozinhar) diversos alimentos para cozinhar ou servir e separar e remover o lixo. Os auxiliares de cozinha entregarão a comida"&amp;" e os utensílios do banquete no salão de banquetes e levarão os itens de volta à cozinha para lavagem. Horário: 35 horas por semana. O horário de trabalho pode variar e incluir turnos noturnos, fins de semana e feriados. O trabalho pode ser realizado em q"&amp;"ualquer dia da semana, de segunda a domingo. Exemplos de turnos: 5h às 12h ou 16h às 23h. Os horários dos turnos podem variar. Consulte a descrição do cargo em anexo para obter mais informações. Classificação do cargo: 35-9011.00 - Auxiliares de Salão de "&amp;"Jantar e Cafeteria e Auxiliares de Bar. A classificação e a descrição do cargo/setor incluem informações gerais sobre a posição, de acordo com o ONET/OES e o Sistema de Classificação Industrial da América do Norte. Consulte as Funções e a Ordem de Serviço"&amp;" para obter mais informações. Requisitos da vaga Experiência necessária: Sim Meses de experiência necessários: 3 Requisitos especiais: O contratante considerará para emprego qualquer pessoa que possua pelo menos três (3) meses de experiência em um ambient"&amp;"e de alta gastronomia ou de grande movimento em um restaurante sofisticado, resort ou clube privado. Número de horas por semana: 35 Horário de trabalho (início/término): 5h00 - 12h00")</f>
        <v>***Resposta à Solicitação de Informações*** “Preparar (sem cozinhar) diversos alimentos para cozinhar ou servir” – isso consiste em retirar alimentos de estufas/refrigeradores (armários refrigerados/aquecidos) e fornecê-los aos garçons para servir, além de reunir os ingredientes para fornecer aos cozinheiros. “Auxiliar na montagem e desmontagem de eventos” – isso consiste em montar as estações de buffet em eventos com pratos e utensílios antes do evento e limpar as mesas e levar a louça de volta para a área de lavagem para triagem e limpeza após o evento. Também verificará as estufas em relação à lista de pedidos de alimentos do evento para garantir que o alimento correto esteja dentro da estufa. As ferramentas/equipamentos usados ​​para realizar as tarefas acima são estufas, refrigeradores, latas de lixo e carrinhos de louça com rodas. ***Original*** Os auxiliares de cozinha serão responsáveis ​​por lavar a louça e todos os utensílios de cozinha à máquina ou à mão, manter e limpar as áreas de trabalho e equipamentos da cozinha, auxiliar na montagem e desmontagem de eventos, varrer e esfregar pisos e tapetes, aspirar, preparar (sem cozinhar) diversos alimentos para cozinhar ou servir e separar e remover o lixo. Os auxiliares de cozinha entregarão a comida e os utensílios do banquete no salão de banquetes e levarão os itens de volta à cozinha para lavagem. Horário: 35 horas por semana. O horário de trabalho pode variar e incluir turnos noturnos, fins de semana e feriados. O trabalho pode ser realizado em qualquer dia da semana, de segunda a domingo. Exemplos de turnos: 5h às 12h ou 16h às 23h. Os horários dos turnos podem variar. Consulte a descrição do cargo em anexo para obter mais informações. Classificação do cargo: 35-9011.00 - Auxiliares de Salão de Jantar e Cafeteria e Auxiliares de Bar. A classificação e a descrição do cargo/setor incluem informações gerais sobre a posição, de acordo com o ONET/OES e o Sistema de Classificação Industrial da América do Norte. Consulte as Funções e a Ordem de Serviço para obter mais informações. Requisitos da vaga Experiência necessária: Sim Meses de experiência necessários: 3 Requisitos especiais: O contratante considerará para emprego qualquer pessoa que possua pelo menos três (3) meses de experiência em um ambiente de alta gastronomia ou de grande movimento em um restaurante sofisticado, resort ou clube privado. Número de horas por semana: 35 Horário de trabalho (início/término): 5h00 - 12h00</v>
      </c>
    </row>
    <row r="1090" ht="20.25" customHeight="1">
      <c r="A1090" s="3" t="s">
        <v>5007</v>
      </c>
      <c r="B1090" s="3" t="s">
        <v>5003</v>
      </c>
      <c r="C1090" s="3" t="s">
        <v>4241</v>
      </c>
      <c r="D1090" s="3" t="s">
        <v>532</v>
      </c>
      <c r="E1090" s="4" t="s">
        <v>19</v>
      </c>
      <c r="F1090" s="4" t="s">
        <v>20</v>
      </c>
      <c r="G1090" s="4" t="s">
        <v>524</v>
      </c>
      <c r="H1090" s="3" t="s">
        <v>5004</v>
      </c>
      <c r="I1090" s="3" t="s">
        <v>5005</v>
      </c>
      <c r="J1090" s="4">
        <v>19.81</v>
      </c>
      <c r="K1090" s="4">
        <v>40.0</v>
      </c>
      <c r="L1090" s="3" t="s">
        <v>4724</v>
      </c>
      <c r="M1090" s="3" t="s">
        <v>5008</v>
      </c>
      <c r="N1090" s="7" t="str">
        <f>IFERROR(__xludf.DUMMYFUNCTION("GOOGLETRANSLATE(L1090, ""en"", ""pt"")"),"Camareira")</f>
        <v>Camareira</v>
      </c>
      <c r="O1090" s="7" t="str">
        <f>IFERROR(__xludf.DUMMYFUNCTION("IF(M1090="""","""",GOOGLETRANSLATE(M1090,""en"",""pt""))"),"Os camareiros serão responsáveis ​​pela limpeza e manutenção de todos os quartos, suítes e áreas comuns internas do La Quinta Resort and Club, incluindo aspirar pisos, tirar o pó, repor roupas de cama e toalhas, desinfetar banheiros e limpar janelas usand"&amp;"o produtos químicos e panos de limpeza. Horário: 35 horas semanais. A escala de trabalho pode variar e incluir turnos noturnos, fins de semana e feriados. O trabalho pode ser realizado em qualquer dia da semana, de segunda a domingo. Exemplos de turnos: 8"&amp;"h às 15h ou 10h às 17h. Os horários dos turnos podem variar. Consulte a descrição da vaga em anexo para obter mais informações. Classificação da vaga: 37-2012.00 - Camareiros e Auxiliares de Limpeza. A classificação e descrição da vaga/setor incluem infor"&amp;"mações gerais sobre o cargo, de acordo com o ONET/OES e o Sistema de Classificação Industrial da América do Norte (NAICS). Consulte as Funções e a Ordem de Serviço para obter mais informações. Requisitos da vaga Experiência exigida: Sim Meses de experiênc"&amp;"ia exigidos: 3 Requisitos especiais: O empregador considerará para emprego qualquer pessoa que possua pelo menos três (3) meses de experiência em um hotel de luxo, resort ou clube privado. Número de horas por semana: 35 Horário de trabalho (início/término"&amp;"): 8h00 - 15h00")</f>
        <v>Os camareiros serão responsáveis ​​pela limpeza e manutenção de todos os quartos, suítes e áreas comuns internas do La Quinta Resort and Club, incluindo aspirar pisos, tirar o pó, repor roupas de cama e toalhas, desinfetar banheiros e limpar janelas usando produtos químicos e panos de limpeza. Horário: 35 horas semanais. A escala de trabalho pode variar e incluir turnos noturnos, fins de semana e feriados. O trabalho pode ser realizado em qualquer dia da semana, de segunda a domingo. Exemplos de turnos: 8h às 15h ou 10h às 17h. Os horários dos turnos podem variar. Consulte a descrição da vaga em anexo para obter mais informações. Classificação da vaga: 37-2012.00 - Camareiros e Auxiliares de Limpeza. A classificação e descrição da vaga/setor incluem informações gerais sobre o cargo, de acordo com o ONET/OES e o Sistema de Classificação Industrial da América do Norte (NAICS). Consulte as Funções e a Ordem de Serviço para obter mais informações. Requisitos da vaga Experiência exigida: Sim Meses de experiência exigidos: 3 Requisitos especiais: O empregador considerará para emprego qualquer pessoa que possua pelo menos três (3) meses de experiência em um hotel de luxo, resort ou clube privado. Número de horas por semana: 35 Horário de trabalho (início/término): 8h00 - 15h00</v>
      </c>
    </row>
    <row r="1091" ht="20.25" customHeight="1">
      <c r="A1091" s="8" t="s">
        <v>5009</v>
      </c>
      <c r="B1091" s="8" t="s">
        <v>5003</v>
      </c>
      <c r="C1091" s="8" t="s">
        <v>4241</v>
      </c>
      <c r="D1091" s="8" t="s">
        <v>532</v>
      </c>
      <c r="E1091" s="9" t="s">
        <v>44</v>
      </c>
      <c r="F1091" s="9" t="s">
        <v>20</v>
      </c>
      <c r="G1091" s="9" t="s">
        <v>524</v>
      </c>
      <c r="H1091" s="8" t="s">
        <v>5004</v>
      </c>
      <c r="I1091" s="8" t="s">
        <v>5005</v>
      </c>
      <c r="J1091" s="9">
        <v>19.73</v>
      </c>
      <c r="K1091" s="9">
        <v>20.0</v>
      </c>
      <c r="L1091" s="8" t="s">
        <v>387</v>
      </c>
      <c r="M1091" s="8" t="s">
        <v>5010</v>
      </c>
      <c r="N1091" s="7" t="str">
        <f>IFERROR(__xludf.DUMMYFUNCTION("GOOGLETRANSLATE(L1091, ""en"", ""pt"")"),"Ordem de serviço não disponível")</f>
        <v>Ordem de serviço não disponível</v>
      </c>
      <c r="O1091" s="7" t="str">
        <f>IFERROR(__xludf.DUMMYFUNCTION("IF(M1091="""","""",GOOGLETRANSLATE(M1091,""en"",""pt""))"),"Os cozinheiros serão responsáveis ​​por preparar, temperar e cozinhar sopas, carnes, legumes, sobremesas e outros pratos em um restaurante. Horário: 35 horas semanais. O horário de trabalho pode variar e incluir turnos noturnos, fins de semana e feriados."&amp;" O trabalho pode ser realizado em qualquer dia da semana, de segunda a domingo. Exemplos de turnos: 4h às 11h ou 12h às 19h. Os horários dos turnos podem variar. Consulte a descrição do cargo em anexo para obter mais informações. Classificação do Cargo: 3"&amp;"5-2014.00 - Cozinheiros, Restaurante. A classificação e a descrição do cargo/setor incluem informações gerais sobre a posição, de acordo com o ONET/OES e o Sistema de Classificação Industrial da América do Norte (NAICS). Consulte as Funções e a Ordem de S"&amp;"erviço para obter mais informações. Requisitos da vaga Experiência necessária: Sim Meses de experiência necessários: 6 Requisitos especiais: O contratante considerará para emprego qualquer pessoa que possua pelo menos seis (6) meses de experiência culinár"&amp;"ia em um ambiente de alta gastronomia ou de grande movimento em um restaurante sofisticado, resort ou clube privado. Número de horas por semana: 35 Horário de trabalho (início/término): 4h00 - 11h00")</f>
        <v>Os cozinheiros serão responsáveis ​​por preparar, temperar e cozinhar sopas, carnes, legumes, sobremesas e outros pratos em um restaurante. Horário: 35 horas semanais. O horário de trabalho pode variar e incluir turnos noturnos, fins de semana e feriados. O trabalho pode ser realizado em qualquer dia da semana, de segunda a domingo. Exemplos de turnos: 4h às 11h ou 12h às 19h. Os horários dos turnos podem variar. Consulte a descrição do cargo em anexo para obter mais informações. Classificação do Cargo: 35-2014.00 - Cozinheiros, Restaurante. A classificação e a descrição do cargo/setor incluem informações gerais sobre a posição, de acordo com o ONET/OES e o Sistema de Classificação Industrial da América do Norte (NAICS). Consulte as Funções e a Ordem de Serviço para obter mais informações. Requisitos da vaga Experiência necessária: Sim Meses de experiência necessários: 6 Requisitos especiais: O contratante considerará para emprego qualquer pessoa que possua pelo menos seis (6) meses de experiência culinária em um ambiente de alta gastronomia ou de grande movimento em um restaurante sofisticado, resort ou clube privado. Número de horas por semana: 35 Horário de trabalho (início/término): 4h00 - 11h00</v>
      </c>
    </row>
    <row r="1092" ht="20.25" customHeight="1">
      <c r="A1092" s="3" t="s">
        <v>5011</v>
      </c>
      <c r="B1092" s="3" t="s">
        <v>5012</v>
      </c>
      <c r="C1092" s="3" t="s">
        <v>391</v>
      </c>
      <c r="D1092" s="3" t="s">
        <v>64</v>
      </c>
      <c r="E1092" s="4" t="s">
        <v>19</v>
      </c>
      <c r="F1092" s="4" t="s">
        <v>20</v>
      </c>
      <c r="G1092" s="4" t="s">
        <v>80</v>
      </c>
      <c r="H1092" s="3" t="s">
        <v>5013</v>
      </c>
      <c r="I1092" s="3" t="s">
        <v>5014</v>
      </c>
      <c r="J1092" s="4">
        <v>17.42</v>
      </c>
      <c r="K1092" s="4">
        <v>60.0</v>
      </c>
      <c r="L1092" s="3" t="s">
        <v>5015</v>
      </c>
      <c r="M1092" s="3" t="s">
        <v>5016</v>
      </c>
      <c r="N1092" s="7" t="str">
        <f>IFERROR(__xludf.DUMMYFUNCTION("GOOGLETRANSLATE(L1092, ""en"", ""pt"")"),"Operário de Instalação Paisagística")</f>
        <v>Operário de Instalação Paisagística</v>
      </c>
      <c r="O1092" s="7" t="str">
        <f>IFERROR(__xludf.DUMMYFUNCTION("IF(M1092="""","""",GOOGLETRANSLATE(M1092,""en"",""pt""))"),"Preparar o terreno para instalação de paisagismo, instalar novos elementos paisagísticos, movimentar terra, demarcar canteiros, misturar solo, usar ferramentas manuais/elétricas ou equipamentos como pá, ancinho, roda de marcação, espalhar sementes de gram"&amp;"a, colocar grama em placas, instalar sistemas de irrigação e instalar blocos de concreto pré-moldado sem argamassa. Cortar grama, aparar, plantar, regar e fertilizar. Pode ser necessário dirigir caminhão ou outro veículo para transportar a equipe de traba"&amp;"lho, plantas, materiais e ferramentas de/para os locais de trabalho. Mínimo de 35 horas por semana, podendo chegar a 48 horas por semana. Dias normais de trabalho: segunda a sábado, das 7h às 16h, com uma hora de almoço não remunerada. Os dias e horários "&amp;"de trabalho podem variar de acordo com as condições climáticas. Salário: US$ 17,42/hora. O empregador poderá aumentar o salário com base na experiência, nas mudanças nas condições de mercado e/ou oferecer remuneração adicional por desempenho e tempo de se"&amp;"rviço. Será pago adicional por horas extras quando exigido por lei federal, estadual ou municipal, incluindo hora e meia após 40 horas semanais. Geralmente, quando houver horas extras disponíveis, elas serão pagas a US$ 26,13/hora, com base na localidade "&amp;"onde o trabalho é realizado e na taxa horária base oferecida. Uma única semana de trabalho será usada para calcular os salários devidos. O pagamento é semanal. Bônus discricionário disponível. Transporte diário fornecido do local de trabalho principal no "&amp;"Condado de Harris para vários locais de trabalho em Austin, Brazoria, Chambers, Fort Bend, Galveston, Harris, Liberty, Montgomery, Waller e San Jacinto, no Texas. O empregador fornecerá ao trabalhador, sem custo, todas as ferramentas, suprimentos e equipa"&amp;"mentos necessários para a execução do trabalho. Classificação do Cargo: 37-3011.00 - Trabalhadores de Paisagismo e Manutenção de Jardins. A classificação e descrição do cargo/setor inclui informações gerais sobre a posição, de acordo com o ONET/OES e o Si"&amp;"stema de Classificação Industrial da América do Norte (NAICS). Consulte as Funções e a Ordem de Serviço para obter mais informações. Requisitos do Cargo: Experiência Necessária: Não. Requisitos Especiais: Deve ser capaz de se curvar, agachar e levantar 23"&amp;" kg continuamente. É necessário ter disponibilidade para trabalhar 6 dias por semana, incluindo fins de semana e feriados. Os candidatos devem preencher uma ficha de emprego. Número de horas semanais: 48. Horário de trabalho (início/término): 7h às 16h.")</f>
        <v>Preparar o terreno para instalação de paisagismo, instalar novos elementos paisagísticos, movimentar terra, demarcar canteiros, misturar solo, usar ferramentas manuais/elétricas ou equipamentos como pá, ancinho, roda de marcação, espalhar sementes de grama, colocar grama em placas, instalar sistemas de irrigação e instalar blocos de concreto pré-moldado sem argamassa. Cortar grama, aparar, plantar, regar e fertilizar. Pode ser necessário dirigir caminhão ou outro veículo para transportar a equipe de trabalho, plantas, materiais e ferramentas de/para os locais de trabalho. Mínimo de 35 horas por semana, podendo chegar a 48 horas por semana. Dias normais de trabalho: segunda a sábado, das 7h às 16h, com uma hora de almoço não remunerada. Os dias e horários de trabalho podem variar de acordo com as condições climáticas. Salário: US$ 17,42/hora. O empregador poderá aumentar o salário com base na experiência, nas mudanças nas condições de mercado e/ou oferecer remuneração adicional por desempenho e tempo de serviço. Será pago adicional por horas extras quando exigido por lei federal, estadual ou municipal, incluindo hora e meia após 40 horas semanais. Geralmente, quando houver horas extras disponíveis, elas serão pagas a US$ 26,13/hora, com base na localidade onde o trabalho é realizado e na taxa horária base oferecida. Uma única semana de trabalho será usada para calcular os salários devidos. O pagamento é semanal. Bônus discricionário disponível. Transporte diário fornecido do local de trabalho principal no Condado de Harris para vários locais de trabalho em Austin, Brazoria, Chambers, Fort Bend, Galveston, Harris, Liberty, Montgomery, Waller e San Jacinto, no Texas. O empregador fornecerá ao trabalhador, sem custo, todas as ferramentas, suprimentos e equipamentos necessários para a execução do trabalho. Classificação do Cargo: 37-3011.00 - Trabalhadores de Paisagismo e Manutenção de Jardins. A classificação e descrição do cargo/setor inclui informações gerais sobre a posição, de acordo com o ONET/OES e o Sistema de Classificação Industrial da América do Norte (NAICS). Consulte as Funções e a Ordem de Serviço para obter mais informações. Requisitos do Cargo: Experiência Necessária: Não. Requisitos Especiais: Deve ser capaz de se curvar, agachar e levantar 23 kg continuamente. É necessário ter disponibilidade para trabalhar 6 dias por semana, incluindo fins de semana e feriados. Os candidatos devem preencher uma ficha de emprego. Número de horas semanais: 48. Horário de trabalho (início/término): 7h às 16h.</v>
      </c>
    </row>
    <row r="1093" ht="20.25" customHeight="1">
      <c r="A1093" s="8" t="s">
        <v>5017</v>
      </c>
      <c r="B1093" s="8" t="s">
        <v>5012</v>
      </c>
      <c r="C1093" s="8" t="s">
        <v>391</v>
      </c>
      <c r="D1093" s="8" t="s">
        <v>64</v>
      </c>
      <c r="E1093" s="9" t="s">
        <v>19</v>
      </c>
      <c r="F1093" s="9" t="s">
        <v>20</v>
      </c>
      <c r="G1093" s="9" t="s">
        <v>80</v>
      </c>
      <c r="H1093" s="8" t="s">
        <v>5013</v>
      </c>
      <c r="I1093" s="8" t="s">
        <v>5014</v>
      </c>
      <c r="J1093" s="9">
        <v>18.42</v>
      </c>
      <c r="K1093" s="9">
        <v>60.0</v>
      </c>
      <c r="L1093" s="8" t="s">
        <v>5015</v>
      </c>
      <c r="M1093" s="8" t="s">
        <v>5018</v>
      </c>
      <c r="N1093" s="7" t="str">
        <f>IFERROR(__xludf.DUMMYFUNCTION("GOOGLETRANSLATE(L1093, ""en"", ""pt"")"),"Operário de Instalação Paisagística")</f>
        <v>Operário de Instalação Paisagística</v>
      </c>
      <c r="O1093" s="7" t="str">
        <f>IFERROR(__xludf.DUMMYFUNCTION("IF(M1093="""","""",GOOGLETRANSLATE(M1093,""en"",""pt""))"),"Preparar o terreno para instalação de paisagismo, instalar novos elementos paisagísticos, movimentar terra, demarcar canteiros, misturar solo, usar ferramentas manuais/elétricas ou equipamentos como pá, ancinho, roda de marcação, espalhar sementes de gram"&amp;"a, colocar grama em placas, instalar sistemas de irrigação e instalar blocos de concreto pré-moldado sem argamassa. Cortar grama, aparar, plantar, regar e fertilizar. Pode ser necessário dirigir caminhão ou outro veículo para transportar a equipe de traba"&amp;"lho, plantas, materiais e ferramentas de/para os locais de trabalho. Mínimo de 35 horas por semana, podendo chegar a 48 horas por semana. Dias normais de trabalho: segunda a sábado, das 7h às 16h, com uma hora de almoço não remunerada. Os dias e horários "&amp;"de trabalho podem variar de acordo com as condições climáticas. Salário: US$ 18,42/hora. O empregador poderá aumentar o salário com base na experiência, nas mudanças nas condições de mercado e/ou oferecer remuneração adicional por desempenho e tempo de se"&amp;"rviço. Será pago adicional por horas extras quando exigido por lei federal, estadual ou municipal, incluindo hora e meia após 40 horas semanais. Geralmente, quando houver horas extras disponíveis, elas serão pagas a US$ 27,63/hora, com base na localidade "&amp;"onde o trabalho é realizado e na taxa horária base oferecida. Uma única semana de trabalho será usada para calcular os salários devidos. O pagamento é semanal. Bônus discricionário disponível. Transporte diário fornecido do local de trabalho principal no "&amp;"Condado de Denton para os locais de trabalho nos Condados de Collin, Dallas, Denton, Ellis, Hunt, Johnson, Kaufman, Parker, Rockwall, Tarrant e Wise, no Texas. O empregador fornecerá ao trabalhador, sem custo, todas as ferramentas, suprimentos e equipamen"&amp;"tos necessários para a execução do trabalho. Classificação do Cargo: 37-3011.00 - Trabalhadores de Paisagismo e Manutenção de Jardins. A classificação e descrição do cargo/setor incluem informações gerais sobre a posição, de acordo com o ONET/OES e o Sist"&amp;"ema de Classificação Industrial da América do Norte. Consulte as Funções e a Ordem de Serviço para obter mais informações. Requisitos do Cargo: Experiência Necessária: Não. Requisitos Especiais: Deve ser capaz de se curvar, agachar e levantar 23 kg contin"&amp;"uamente. É necessário ter disponibilidade para trabalhar 6 dias por semana, incluindo fins de semana e feriados. Os candidatos devem preencher uma ficha de emprego. Número de horas por semana: 48. Horário de trabalho (início/término): 7h às 16h.")</f>
        <v>Preparar o terreno para instalação de paisagismo, instalar novos elementos paisagísticos, movimentar terra, demarcar canteiros, misturar solo, usar ferramentas manuais/elétricas ou equipamentos como pá, ancinho, roda de marcação, espalhar sementes de grama, colocar grama em placas, instalar sistemas de irrigação e instalar blocos de concreto pré-moldado sem argamassa. Cortar grama, aparar, plantar, regar e fertilizar. Pode ser necessário dirigir caminhão ou outro veículo para transportar a equipe de trabalho, plantas, materiais e ferramentas de/para os locais de trabalho. Mínimo de 35 horas por semana, podendo chegar a 48 horas por semana. Dias normais de trabalho: segunda a sábado, das 7h às 16h, com uma hora de almoço não remunerada. Os dias e horários de trabalho podem variar de acordo com as condições climáticas. Salário: US$ 18,42/hora. O empregador poderá aumentar o salário com base na experiência, nas mudanças nas condições de mercado e/ou oferecer remuneração adicional por desempenho e tempo de serviço. Será pago adicional por horas extras quando exigido por lei federal, estadual ou municipal, incluindo hora e meia após 40 horas semanais. Geralmente, quando houver horas extras disponíveis, elas serão pagas a US$ 27,63/hora, com base na localidade onde o trabalho é realizado e na taxa horária base oferecida. Uma única semana de trabalho será usada para calcular os salários devidos. O pagamento é semanal. Bônus discricionário disponível. Transporte diário fornecido do local de trabalho principal no Condado de Denton para os locais de trabalho nos Condados de Collin, Dallas, Denton, Ellis, Hunt, Johnson, Kaufman, Parker, Rockwall, Tarrant e Wise, no Texas. O empregador fornecerá ao trabalhador, sem custo, todas as ferramentas, suprimentos e equipamentos necessários para a execução do trabalho. Classificação do Cargo: 37-3011.00 - Trabalhadores de Paisagismo e Manutenção de Jardins. A classificação e descrição do cargo/setor incluem informações gerais sobre a posição, de acordo com o ONET/OES e o Sistema de Classificação Industrial da América do Norte. Consulte as Funções e a Ordem de Serviço para obter mais informações. Requisitos do Cargo: Experiência Necessária: Não. Requisitos Especiais: Deve ser capaz de se curvar, agachar e levantar 23 kg continuamente. É necessário ter disponibilidade para trabalhar 6 dias por semana, incluindo fins de semana e feriados. Os candidatos devem preencher uma ficha de emprego. Número de horas por semana: 48. Horário de trabalho (início/término): 7h às 16h.</v>
      </c>
    </row>
    <row r="1094" ht="20.25" customHeight="1">
      <c r="A1094" s="3" t="s">
        <v>5019</v>
      </c>
      <c r="B1094" s="3" t="s">
        <v>5012</v>
      </c>
      <c r="C1094" s="3" t="s">
        <v>391</v>
      </c>
      <c r="D1094" s="3" t="s">
        <v>64</v>
      </c>
      <c r="E1094" s="4" t="s">
        <v>44</v>
      </c>
      <c r="F1094" s="4" t="s">
        <v>20</v>
      </c>
      <c r="G1094" s="4" t="s">
        <v>80</v>
      </c>
      <c r="H1094" s="3" t="s">
        <v>5013</v>
      </c>
      <c r="I1094" s="3" t="s">
        <v>5014</v>
      </c>
      <c r="J1094" s="4">
        <v>17.39</v>
      </c>
      <c r="K1094" s="4">
        <v>60.0</v>
      </c>
      <c r="L1094" s="3" t="s">
        <v>5015</v>
      </c>
      <c r="M1094" s="3" t="s">
        <v>5020</v>
      </c>
      <c r="N1094" s="7" t="str">
        <f>IFERROR(__xludf.DUMMYFUNCTION("GOOGLETRANSLATE(L1094, ""en"", ""pt"")"),"Operário de Instalação Paisagística")</f>
        <v>Operário de Instalação Paisagística</v>
      </c>
      <c r="O1094" s="7" t="str">
        <f>IFERROR(__xludf.DUMMYFUNCTION("IF(M1094="""","""",GOOGLETRANSLATE(M1094,""en"",""pt""))"),"Preparar o terreno para instalação de paisagismo, instalar novos elementos paisagísticos, movimentar terra, demarcar canteiros, misturar solo, usar ferramentas manuais/elétricas ou equipamentos como pá, ancinho, roda de marcação, espalhar sementes de gram"&amp;"a, colocar grama em placas, instalar sistemas de irrigação e instalar blocos de concreto pré-moldado sem argamassa. Cortar grama, aparar, plantar, regar e fertilizar. Pode ser necessário dirigir caminhão ou outro veículo para transportar a equipe de traba"&amp;"lho, plantas, materiais e ferramentas de/para os locais de trabalho. Mínimo de 35 horas por semana, podendo chegar a 48 horas por semana. Dias normais de trabalho: segunda a sábado, das 7h às 16h, com uma hora de almoço não remunerada. Os dias e horários "&amp;"de trabalho podem variar de acordo com as condições climáticas. Salário: US$ 17,39/hora. O empregador poderá aumentar o salário com base na experiência, nas mudanças nas condições de mercado e/ou oferecer remuneração adicional por desempenho e tempo de se"&amp;"rviço. Será pago adicional por horas extras quando exigido por lei federal, estadual ou municipal, incluindo hora e meia após 40 horas semanais. Geralmente, quando houver horas extras disponíveis, elas serão pagas a US$ 26,09/hora, com base na localidade "&amp;"onde o trabalho é realizado e na taxa horária base oferecida. Uma única semana de trabalho será usada para calcular os salários devidos. O pagamento é semanal. Bônus discricionário disponível. Transporte diário fornecido do local de trabalho principal no "&amp;"Condado de Bexar para vários locais de trabalho nos Condados de Atascosa, Bandera, Bexar, Comal, Guadalupe, Kendall, Medina e Wilson, TX. O empregador fornecerá ao trabalhador, sem custo, todas as ferramentas, suprimentos e equipamentos necessários para a"&amp;" execução do trabalho. Classificação do Cargo: 37-3011.00 - Trabalhadores de Paisagismo e Manutenção de Jardins. A classificação e descrição do cargo/setor incluem informações gerais sobre a posição, de acordo com o ONET/OES e o Sistema de Classificação I"&amp;"ndustrial da América do Norte. Consulte as Funções e a Ordem de Serviço para obter mais informações. Requisitos do Cargo: Experiência Necessária: Não. Requisitos Especiais: Deve ser capaz de se curvar, agachar e levantar 23 kg continuamente. É necessário "&amp;"ter disponibilidade para trabalhar 6 dias por semana, incluindo fins de semana e feriados. Os candidatos devem preencher uma ficha de emprego. Número de horas semanais: 48. Horário de trabalho (início/término): 7h às 16h.")</f>
        <v>Preparar o terreno para instalação de paisagismo, instalar novos elementos paisagísticos, movimentar terra, demarcar canteiros, misturar solo, usar ferramentas manuais/elétricas ou equipamentos como pá, ancinho, roda de marcação, espalhar sementes de grama, colocar grama em placas, instalar sistemas de irrigação e instalar blocos de concreto pré-moldado sem argamassa. Cortar grama, aparar, plantar, regar e fertilizar. Pode ser necessário dirigir caminhão ou outro veículo para transportar a equipe de trabalho, plantas, materiais e ferramentas de/para os locais de trabalho. Mínimo de 35 horas por semana, podendo chegar a 48 horas por semana. Dias normais de trabalho: segunda a sábado, das 7h às 16h, com uma hora de almoço não remunerada. Os dias e horários de trabalho podem variar de acordo com as condições climáticas. Salário: US$ 17,39/hora. O empregador poderá aumentar o salário com base na experiência, nas mudanças nas condições de mercado e/ou oferecer remuneração adicional por desempenho e tempo de serviço. Será pago adicional por horas extras quando exigido por lei federal, estadual ou municipal, incluindo hora e meia após 40 horas semanais. Geralmente, quando houver horas extras disponíveis, elas serão pagas a US$ 26,09/hora, com base na localidade onde o trabalho é realizado e na taxa horária base oferecida. Uma única semana de trabalho será usada para calcular os salários devidos. O pagamento é semanal. Bônus discricionário disponível. Transporte diário fornecido do local de trabalho principal no Condado de Bexar para vários locais de trabalho nos Condados de Atascosa, Bandera, Bexar, Comal, Guadalupe, Kendall, Medina e Wilson, TX. O empregador fornecerá ao trabalhador, sem custo, todas as ferramentas, suprimentos e equipamentos necessários para a execução do trabalho. Classificação do Cargo: 37-3011.00 - Trabalhadores de Paisagismo e Manutenção de Jardins. A classificação e descrição do cargo/setor incluem informações gerais sobre a posição, de acordo com o ONET/OES e o Sistema de Classificação Industrial da América do Norte. Consulte as Funções e a Ordem de Serviço para obter mais informações. Requisitos do Cargo: Experiência Necessária: Não. Requisitos Especiais: Deve ser capaz de se curvar, agachar e levantar 23 kg continuamente. É necessário ter disponibilidade para trabalhar 6 dias por semana, incluindo fins de semana e feriados. Os candidatos devem preencher uma ficha de emprego. Número de horas semanais: 48. Horário de trabalho (início/término): 7h às 16h.</v>
      </c>
    </row>
    <row r="1095" ht="20.25" customHeight="1">
      <c r="A1095" s="8" t="s">
        <v>5021</v>
      </c>
      <c r="B1095" s="8" t="s">
        <v>5022</v>
      </c>
      <c r="C1095" s="8" t="s">
        <v>4241</v>
      </c>
      <c r="D1095" s="8" t="s">
        <v>71</v>
      </c>
      <c r="E1095" s="9" t="s">
        <v>19</v>
      </c>
      <c r="F1095" s="9" t="s">
        <v>20</v>
      </c>
      <c r="G1095" s="9" t="s">
        <v>345</v>
      </c>
      <c r="H1095" s="8" t="s">
        <v>5023</v>
      </c>
      <c r="I1095" s="8" t="s">
        <v>5024</v>
      </c>
      <c r="J1095" s="9">
        <v>17.88</v>
      </c>
      <c r="K1095" s="9">
        <v>5.0</v>
      </c>
      <c r="L1095" s="8" t="s">
        <v>387</v>
      </c>
      <c r="M1095" s="8" t="s">
        <v>5025</v>
      </c>
      <c r="N1095" s="7" t="str">
        <f>IFERROR(__xludf.DUMMYFUNCTION("GOOGLETRANSLATE(L1095, ""en"", ""pt"")"),"Ordem de serviço não disponível")</f>
        <v>Ordem de serviço não disponível</v>
      </c>
      <c r="O1095" s="7" t="str">
        <f>IFERROR(__xludf.DUMMYFUNCTION("IF(M1095="""","""",GOOGLETRANSLATE(M1095,""en"",""pt""))"),"Os cozinheiros serão responsáveis ​​por preparar, temperar e cozinhar sopas, carnes, legumes, sobremesas e outros pratos em um restaurante, limpar a área da cozinha e o chão ao final do dia e, ocasionalmente, lavar a louça. Horário: 35 horas semanais. O h"&amp;"orário de trabalho pode variar e incluir turnos noturnos, fins de semana e feriados. O trabalho pode ser realizado em qualquer dia da semana, de segunda a domingo. Exemplos de turnos: 9h às 16h, 10h às 17h, 12h às 19h, 14h às 21h. Os horários dos turnos p"&amp;"odem variar. Consulte a descrição do cargo em anexo para obter mais informações. Classificação do Cargo: 35-2014.00 - Cozinheiros, Restaurante. A classificação e descrição do cargo/setor incluem informações gerais sobre a posição, de acordo com o ONET/OES"&amp;" e o Sistema de Classificação Industrial da América do Norte (NAICS). Consulte as Funções e a Ordem de Serviço para obter mais informações. Requisitos da vaga Experiência necessária: Sim Meses de experiência necessários: 6 Requisitos especiais: O contrata"&amp;"nte considerará para emprego qualquer pessoa que possua pelo menos seis (6) meses de experiência culinária em um ambiente de alta gastronomia ou de grande movimento em um restaurante sofisticado, resort ou clube privado. Número de horas por semana: 35 Hor"&amp;"ário de trabalho (início/término): 9h às 16h")</f>
        <v>Os cozinheiros serão responsáveis ​​por preparar, temperar e cozinhar sopas, carnes, legumes, sobremesas e outros pratos em um restaurante, limpar a área da cozinha e o chão ao final do dia e, ocasionalmente, lavar a louça. Horário: 35 horas semanais. O horário de trabalho pode variar e incluir turnos noturnos, fins de semana e feriados. O trabalho pode ser realizado em qualquer dia da semana, de segunda a domingo. Exemplos de turnos: 9h às 16h, 10h às 17h, 12h às 19h, 14h às 21h. Os horários dos turnos podem variar. Consulte a descrição do cargo em anexo para obter mais informações. Classificação do Cargo: 35-2014.00 - Cozinheiros, Restaurante. A classificação e descrição do cargo/setor incluem informações gerais sobre a posição, de acordo com o ONET/OES e o Sistema de Classificação Industrial da América do Norte (NAICS). Consulte as Funções e a Ordem de Serviço para obter mais informações. Requisitos da vaga Experiência necessária: Sim Meses de experiência necessários: 6 Requisitos especiais: O contratante considerará para emprego qualquer pessoa que possua pelo menos seis (6) meses de experiência culinária em um ambiente de alta gastronomia ou de grande movimento em um restaurante sofisticado, resort ou clube privado. Número de horas por semana: 35 Horário de trabalho (início/término): 9h às 16h</v>
      </c>
    </row>
    <row r="1096" ht="20.25" customHeight="1">
      <c r="A1096" s="3" t="s">
        <v>5026</v>
      </c>
      <c r="B1096" s="3" t="s">
        <v>5022</v>
      </c>
      <c r="C1096" s="3" t="s">
        <v>4241</v>
      </c>
      <c r="D1096" s="3" t="s">
        <v>71</v>
      </c>
      <c r="E1096" s="4" t="s">
        <v>19</v>
      </c>
      <c r="F1096" s="4" t="s">
        <v>20</v>
      </c>
      <c r="G1096" s="4" t="s">
        <v>345</v>
      </c>
      <c r="H1096" s="3" t="s">
        <v>5023</v>
      </c>
      <c r="I1096" s="3" t="s">
        <v>5024</v>
      </c>
      <c r="J1096" s="4">
        <v>20.0</v>
      </c>
      <c r="K1096" s="4">
        <v>5.0</v>
      </c>
      <c r="L1096" s="3" t="s">
        <v>1206</v>
      </c>
      <c r="M1096" s="3" t="s">
        <v>5027</v>
      </c>
      <c r="N1096" s="7" t="str">
        <f>IFERROR(__xludf.DUMMYFUNCTION("GOOGLETRANSLATE(L1096, ""en"", ""pt"")"),"Servidor")</f>
        <v>Servidor</v>
      </c>
      <c r="O1096" s="7" t="str">
        <f>IFERROR(__xludf.DUMMYFUNCTION("IF(M1096="""","""",GOOGLETRANSLATE(M1096,""en"",""pt""))"),"***Resposta à Solicitação de Informações*** Auxiliar na montagem e desmontagem de banquetes inclui arrumar as mesas com pratos, talheres e outros utensílios, e limpar as mesas após o serviço. Nenhuma ferramenta ou equipamento é utilizado para realizar as "&amp;"tarefas. ***Original*** Os garçons serão responsáveis ​​por recepcionar os clientes, preparar as áreas de refeição, anotar e registrar pedidos, transportar bandejas e pratos, servir alimentos e bebidas, limpar e desmontar as mesas, servir água e café aos "&amp;"clientes e auxiliar na montagem e desmontagem de banquetes. Horário: 35 horas semanais. O horário de trabalho pode variar e incluir turnos noturnos, fins de semana e feriados. O trabalho pode ser realizado em qualquer dia da semana, de segunda a domingo. "&amp;"Exemplos de turnos: 9h às 16h, 10h às 17h, 12h às 19h, 14h às 21h. Os horários dos turnos podem variar. Consulte a descrição de cargo anexa para obter mais informações. Classificação da Função: 35-3031.00 - Garçons e Garçonetes. A classificação e descriçã"&amp;"o da função/setor inclui informações gerais sobre o cargo, de acordo com o ONET/OES e o Sistema de Classificação Industrial da América do Norte. Consulte as Funções e a Ordem de Serviço para obter mais informações. Requisitos da Função Experiência Necessá"&amp;"ria: Sim Meses de Experiência Necessários: 3 Requisitos Especiais: O contratante considerará para emprego qualquer pessoa que possua pelo menos três (3) meses de experiência em um ambiente de alta gastronomia ou de grande movimento em um restaurante sofis"&amp;"ticado, resort ou clube privado. Número de Horas por Semana: 35 Horário de Trabalho (Início/Término): 9h00 - 16h00")</f>
        <v>***Resposta à Solicitação de Informações*** Auxiliar na montagem e desmontagem de banquetes inclui arrumar as mesas com pratos, talheres e outros utensílios, e limpar as mesas após o serviço. Nenhuma ferramenta ou equipamento é utilizado para realizar as tarefas. ***Original*** Os garçons serão responsáveis ​​por recepcionar os clientes, preparar as áreas de refeição, anotar e registrar pedidos, transportar bandejas e pratos, servir alimentos e bebidas, limpar e desmontar as mesas, servir água e café aos clientes e auxiliar na montagem e desmontagem de banquetes. Horário: 35 horas semanais. O horário de trabalho pode variar e incluir turnos noturnos, fins de semana e feriados. O trabalho pode ser realizado em qualquer dia da semana, de segunda a domingo. Exemplos de turnos: 9h às 16h, 10h às 17h, 12h às 19h, 14h às 21h. Os horários dos turnos podem variar. Consulte a descrição de cargo anexa para obter mais informações. Classificação da Função: 35-3031.00 - Garçons e Garçonetes. A classificação e descrição da função/setor inclui informações gerais sobre o cargo, de acordo com o ONET/OES e o Sistema de Classificação Industrial da América do Norte. Consulte as Funções e a Ordem de Serviço para obter mais informações. Requisitos da Função Experiência Necessária: Sim Meses de Experiência Necessários: 3 Requisitos Especiais: O contratante considerará para emprego qualquer pessoa que possua pelo menos três (3) meses de experiência em um ambiente de alta gastronomia ou de grande movimento em um restaurante sofisticado, resort ou clube privado. Número de Horas por Semana: 35 Horário de Trabalho (Início/Término): 9h00 - 16h00</v>
      </c>
    </row>
    <row r="1097" ht="20.25" customHeight="1">
      <c r="A1097" s="8" t="s">
        <v>5028</v>
      </c>
      <c r="B1097" s="8" t="s">
        <v>5029</v>
      </c>
      <c r="C1097" s="8" t="s">
        <v>4241</v>
      </c>
      <c r="D1097" s="8" t="s">
        <v>71</v>
      </c>
      <c r="E1097" s="9" t="s">
        <v>19</v>
      </c>
      <c r="F1097" s="9" t="s">
        <v>20</v>
      </c>
      <c r="G1097" s="9" t="s">
        <v>467</v>
      </c>
      <c r="H1097" s="8" t="s">
        <v>5030</v>
      </c>
      <c r="I1097" s="8" t="s">
        <v>5031</v>
      </c>
      <c r="J1097" s="9">
        <v>19.0</v>
      </c>
      <c r="K1097" s="9">
        <v>12.0</v>
      </c>
      <c r="L1097" s="8" t="s">
        <v>1206</v>
      </c>
      <c r="M1097" s="8" t="s">
        <v>5032</v>
      </c>
      <c r="N1097" s="7" t="str">
        <f>IFERROR(__xludf.DUMMYFUNCTION("GOOGLETRANSLATE(L1097, ""en"", ""pt"")"),"Servidor")</f>
        <v>Servidor</v>
      </c>
      <c r="O1097" s="7" t="str">
        <f>IFERROR(__xludf.DUMMYFUNCTION("IF(M1097="""","""",GOOGLETRANSLATE(M1097,""en"",""pt""))"),"Os garçons serão responsáveis ​​por recepcionar os clientes, preparar as áreas de refeição, anotar e registrar pedidos, transportar bandejas e pratos, servir alimentos e bebidas, e limpar e retirar os pratos das mesas. Horário: 40 horas semanais. A escala"&amp;" de trabalho pode variar e incluir turnos noturnos, fins de semana e feriados. O trabalho pode ser realizado em qualquer dia da semana, de segunda a domingo. Exemplos de turnos: das 10h às 18h e das 14h às 22h. Os horários dos turnos podem variar. Consult"&amp;"e a descrição da vaga em anexo para obter mais detalhes. Classificação da vaga: 35-3031.00 - Garçons e Garçonetes. A classificação e descrição da vaga/setor inclui informações gerais sobre o cargo, de acordo com o ONET/OES e o Sistema de Classificação Ind"&amp;"ustrial da América do Norte (NAICS). Consulte as Funções e a Ordem de Serviço para obter mais informações. Requisitos da vaga Experiência exigida: Sim Meses de experiência exigidos: 6 Requisitos especiais: O contratante considerará para emprego qualquer p"&amp;"essoa que possua pelo menos seis (6) meses de experiência em atendimento ao público em um ambiente de alta gastronomia ou de grande movimento, em um restaurante sofisticado, resort ou clube privado. O candidato deverá se submeter a um exame toxicológico p"&amp;"ré-admissional, custeado pelo empregador. Número de horas por semana: 40 Horário de trabalho (início/término): 10h às 18h")</f>
        <v>Os garçons serão responsáveis ​​por recepcionar os clientes, preparar as áreas de refeição, anotar e registrar pedidos, transportar bandejas e pratos, servir alimentos e bebidas, e limpar e retirar os pratos das mesas. Horário: 40 horas semanais. A escala de trabalho pode variar e incluir turnos noturnos, fins de semana e feriados. O trabalho pode ser realizado em qualquer dia da semana, de segunda a domingo. Exemplos de turnos: das 10h às 18h e das 14h às 22h. Os horários dos turnos podem variar. Consulte a descrição da vaga em anexo para obter mais detalhes. Classificação da vaga: 35-3031.00 - Garçons e Garçonetes. A classificação e descrição da vaga/setor inclui informações gerais sobre o cargo, de acordo com o ONET/OES e o Sistema de Classificação Industrial da América do Norte (NAICS). Consulte as Funções e a Ordem de Serviço para obter mais informações. Requisitos da vaga Experiência exigida: Sim Meses de experiência exigidos: 6 Requisitos especiais: O contratante considerará para emprego qualquer pessoa que possua pelo menos seis (6) meses de experiência em atendimento ao público em um ambiente de alta gastronomia ou de grande movimento, em um restaurante sofisticado, resort ou clube privado. O candidato deverá se submeter a um exame toxicológico pré-admissional, custeado pelo empregador. Número de horas por semana: 40 Horário de trabalho (início/término): 10h às 18h</v>
      </c>
    </row>
    <row r="1098" ht="20.25" customHeight="1">
      <c r="A1098" s="3" t="s">
        <v>5033</v>
      </c>
      <c r="B1098" s="3" t="s">
        <v>5034</v>
      </c>
      <c r="C1098" s="3" t="s">
        <v>4241</v>
      </c>
      <c r="D1098" s="3" t="s">
        <v>71</v>
      </c>
      <c r="E1098" s="4" t="s">
        <v>19</v>
      </c>
      <c r="F1098" s="4" t="s">
        <v>20</v>
      </c>
      <c r="G1098" s="4" t="s">
        <v>384</v>
      </c>
      <c r="H1098" s="3" t="s">
        <v>5035</v>
      </c>
      <c r="I1098" s="3" t="s">
        <v>5036</v>
      </c>
      <c r="J1098" s="4">
        <v>20.13</v>
      </c>
      <c r="K1098" s="4">
        <v>12.0</v>
      </c>
      <c r="L1098" s="3" t="s">
        <v>1206</v>
      </c>
      <c r="M1098" s="3" t="s">
        <v>5037</v>
      </c>
      <c r="N1098" s="7" t="str">
        <f>IFERROR(__xludf.DUMMYFUNCTION("GOOGLETRANSLATE(L1098, ""en"", ""pt"")"),"Servidor")</f>
        <v>Servidor</v>
      </c>
      <c r="O1098" s="7" t="str">
        <f>IFERROR(__xludf.DUMMYFUNCTION("IF(M1098="""","""",GOOGLETRANSLATE(M1098,""en"",""pt""))"),"Os garçons serão responsáveis ​​por recepcionar os clientes, preparar as áreas de refeição, anotar e registrar pedidos, transportar bandejas e pratos, servir alimentos e bebidas, e limpar e retirar as mesas. Horário: 35 horas semanais. A escala de trabalh"&amp;"o pode variar e incluir turnos noturnos, fins de semana e feriados. O trabalho pode ser realizado em qualquer dia da semana, de segunda a domingo. Exemplos de possíveis horários de turno são: 7h às 14h, 9h às 16h, 10h às 17h e 15h às 22h. Os horários de t"&amp;"urno podem variar. Consulte a descrição de cargo anexa para obter mais informações. Classificação do Cargo: 35-3031.00 - Garçons e Garçonetes. A classificação e descrição do cargo/setor inclui informações gerais sobre a posição, de acordo com o ONET/OES e"&amp;" o Sistema de Classificação Industrial da América do Norte (NAICS). Consulte as Funções e a Ordem de Serviço para obter mais informações. Requisitos da vaga Experiência necessária: Sim Meses de experiência necessários: 12 Requisitos especiais: O contratan"&amp;"te considerará para emprego qualquer pessoa que possua pelo menos um (1) ano de experiência em atendimento em um ambiente de alta gastronomia ou de grande movimento em um restaurante sofisticado, resort ou clube privado. O candidato deverá se submeter a e"&amp;"xame toxicológico e verificação de antecedentes criminais antes da contratação, às custas do empregador. Número de horas por semana: 35 Horário de trabalho (início/término): 7h às 14h")</f>
        <v>Os garçons serão responsáveis ​​por recepcionar os clientes, preparar as áreas de refeição, anotar e registrar pedidos, transportar bandejas e pratos, servir alimentos e bebidas, e limpar e retirar as mesas. Horário: 35 horas semanais. A escala de trabalho pode variar e incluir turnos noturnos, fins de semana e feriados. O trabalho pode ser realizado em qualquer dia da semana, de segunda a domingo. Exemplos de possíveis horários de turno são: 7h às 14h, 9h às 16h, 10h às 17h e 15h às 22h. Os horários de turno podem variar. Consulte a descrição de cargo anexa para obter mais informações. Classificação do Cargo: 35-3031.00 - Garçons e Garçonetes. A classificação e descrição do cargo/setor inclui informações gerais sobre a posição, de acordo com o ONET/OES e o Sistema de Classificação Industrial da América do Norte (NAICS). Consulte as Funções e a Ordem de Serviço para obter mais informações. Requisitos da vaga Experiência necessária: Sim Meses de experiência necessários: 12 Requisitos especiais: O contratante considerará para emprego qualquer pessoa que possua pelo menos um (1) ano de experiência em atendimento em um ambiente de alta gastronomia ou de grande movimento em um restaurante sofisticado, resort ou clube privado. O candidato deverá se submeter a exame toxicológico e verificação de antecedentes criminais antes da contratação, às custas do empregador. Número de horas por semana: 35 Horário de trabalho (início/término): 7h às 14h</v>
      </c>
    </row>
    <row r="1099" ht="20.25" customHeight="1">
      <c r="A1099" s="8" t="s">
        <v>5038</v>
      </c>
      <c r="B1099" s="8" t="s">
        <v>4458</v>
      </c>
      <c r="C1099" s="8" t="s">
        <v>4241</v>
      </c>
      <c r="D1099" s="8" t="s">
        <v>71</v>
      </c>
      <c r="E1099" s="9" t="s">
        <v>19</v>
      </c>
      <c r="F1099" s="9" t="s">
        <v>20</v>
      </c>
      <c r="G1099" s="9" t="s">
        <v>384</v>
      </c>
      <c r="H1099" s="8" t="s">
        <v>4459</v>
      </c>
      <c r="I1099" s="8" t="s">
        <v>4460</v>
      </c>
      <c r="J1099" s="9">
        <v>22.0</v>
      </c>
      <c r="K1099" s="9">
        <v>11.0</v>
      </c>
      <c r="L1099" s="8" t="s">
        <v>387</v>
      </c>
      <c r="M1099" s="8" t="s">
        <v>5039</v>
      </c>
      <c r="N1099" s="7" t="str">
        <f>IFERROR(__xludf.DUMMYFUNCTION("GOOGLETRANSLATE(L1099, ""en"", ""pt"")"),"Ordem de serviço não disponível")</f>
        <v>Ordem de serviço não disponível</v>
      </c>
      <c r="O1099" s="7" t="str">
        <f>IFERROR(__xludf.DUMMYFUNCTION("IF(M1099="""","""",GOOGLETRANSLATE(M1099,""en"",""pt""))"),"Os cozinheiros serão responsáveis ​​por preparar, temperar e cozinhar sopas, carnes, legumes, sobremesas e outros alimentos para consumo, além de medir e misturar ingredientes de acordo com a receita, utilizando diversos utensílios e equipamentos de cozin"&amp;"ha, como liquidificadores, batedeiras, moedores, fatiadores e amaciadores de carne. Os cozinheiros realizarão as tarefas diárias de abertura e fechamento e serão responsáveis ​​por garantir que o serviço à la carte e/ou eventos estejam prontos para os cli"&amp;"entes em tempo hábil. Devem assegurar altos padrões de limpeza, sanitização e higiene na área de trabalho, incluindo a limpeza detalhada da estação de trabalho diariamente e a limpeza profunda da estação de trabalho e da área de trabalho quinzenalmente, u"&amp;"tilizando escovas, esponjas e desengordurantes em geral. Os cozinheiros devem ser capazes de carregar itens pesados ​​diariamente, seguindo os procedimentos de segurança, e devem ser capazes de permanecer em pé por longos períodos, de até 10 horas. Horári"&amp;"o: 35 horas por semana. Aberto 7 dias por semana. O horário de trabalho pode variar e incluir turnos noturnos e de fim de semana. O trabalho pode ser realizado em qualquer dia da semana, de segunda a domingo. Exemplos de turnos: 6h às 13h, 10h às 17h ou 1"&amp;"6h às 23h. Os horários dos turnos podem variar. Consulte a descrição do cargo em anexo para obter mais informações. Classificação do Cargo: 35-2014.00 - Cozinheiros, Restaurante. A classificação e a descrição do cargo/setor incluem informações gerais sobr"&amp;"e a posição, de acordo com o ONET/OES e o Sistema de Classificação Industrial da América do Norte (NAICS). Consulte as Funções e a Ordem de Serviço para obter mais informações. Requisitos do Cargo Experiência Necessária: Sim Meses de Experiência Necessári"&amp;"os: 6 Requisitos Especiais: O contratante considerará para emprego qualquer pessoa que possua pelo menos seis (6) meses de experiência culinária em um ambiente de alta gastronomia ou de grande movimento, em um restaurante sofisticado, resort ou clube priv"&amp;"ado. O candidato deverá se submeter à verificação de antecedentes e ao exame toxicológico pré-admissional, às custas do empregador. Número de Horas por Semana: 35 Horário de Trabalho (Início/Término): 6h - 13h00")</f>
        <v>Os cozinheiros serão responsáveis ​​por preparar, temperar e cozinhar sopas, carnes, legumes, sobremesas e outros alimentos para consumo, além de medir e misturar ingredientes de acordo com a receita, utilizando diversos utensílios e equipamentos de cozinha, como liquidificadores, batedeiras, moedores, fatiadores e amaciadores de carne. Os cozinheiros realizarão as tarefas diárias de abertura e fechamento e serão responsáveis ​​por garantir que o serviço à la carte e/ou eventos estejam prontos para os clientes em tempo hábil. Devem assegurar altos padrões de limpeza, sanitização e higiene na área de trabalho, incluindo a limpeza detalhada da estação de trabalho diariamente e a limpeza profunda da estação de trabalho e da área de trabalho quinzenalmente, utilizando escovas, esponjas e desengordurantes em geral. Os cozinheiros devem ser capazes de carregar itens pesados ​​diariamente, seguindo os procedimentos de segurança, e devem ser capazes de permanecer em pé por longos períodos, de até 10 horas. Horário: 35 horas por semana. Aberto 7 dias por semana. O horário de trabalho pode variar e incluir turnos noturnos e de fim de semana. O trabalho pode ser realizado em qualquer dia da semana, de segunda a domingo. Exemplos de turnos: 6h às 13h, 10h às 17h ou 16h às 23h. Os horários dos turnos podem variar. Consulte a descrição do cargo em anexo para obter mais informações. Classificação do Cargo: 35-2014.00 - Cozinheiros, Restaurante. A classificação e a descrição do cargo/setor incluem informações gerais sobre a posição, de acordo com o ONET/OES e o Sistema de Classificação Industrial da América do Norte (NAICS). Consulte as Funções e a Ordem de Serviço para obter mais informações. Requisitos do Cargo Experiência Necessária: Sim Meses de Experiência Necessários: 6 Requisitos Especiais: O contratante considerará para emprego qualquer pessoa que possua pelo menos seis (6) meses de experiência culinária em um ambiente de alta gastronomia ou de grande movimento, em um restaurante sofisticado, resort ou clube privado. O candidato deverá se submeter à verificação de antecedentes e ao exame toxicológico pré-admissional, às custas do empregador. Número de Horas por Semana: 35 Horário de Trabalho (Início/Término): 6h - 13h00</v>
      </c>
    </row>
    <row r="1100" ht="20.25" customHeight="1">
      <c r="A1100" s="3" t="s">
        <v>5040</v>
      </c>
      <c r="B1100" s="3" t="s">
        <v>5041</v>
      </c>
      <c r="C1100" s="3" t="s">
        <v>4241</v>
      </c>
      <c r="D1100" s="3" t="s">
        <v>71</v>
      </c>
      <c r="E1100" s="4" t="s">
        <v>19</v>
      </c>
      <c r="F1100" s="4" t="s">
        <v>20</v>
      </c>
      <c r="G1100" s="4" t="s">
        <v>524</v>
      </c>
      <c r="H1100" s="3" t="s">
        <v>5042</v>
      </c>
      <c r="I1100" s="3" t="s">
        <v>5043</v>
      </c>
      <c r="J1100" s="4">
        <v>18.23</v>
      </c>
      <c r="K1100" s="4">
        <v>20.0</v>
      </c>
      <c r="L1100" s="3" t="s">
        <v>387</v>
      </c>
      <c r="M1100" s="3" t="s">
        <v>5044</v>
      </c>
      <c r="N1100" s="7" t="str">
        <f>IFERROR(__xludf.DUMMYFUNCTION("GOOGLETRANSLATE(L1100, ""en"", ""pt"")"),"Ordem de serviço não disponível")</f>
        <v>Ordem de serviço não disponível</v>
      </c>
      <c r="O1100" s="7" t="str">
        <f>IFERROR(__xludf.DUMMYFUNCTION("IF(M1100="""","""",GOOGLETRANSLATE(M1100,""en"",""pt""))"),"Os cozinheiros serão responsáveis ​​por preparar, temperar e cozinhar sopas, carnes, legumes, sobremesas e outros alimentos em um restaurante, inspecionar e limpar as áreas de preparação de alimentos, como equipamentos e superfícies de trabalho, para gara"&amp;"ntir práticas seguras e higiênicas de manipulação de alimentos, lavar pratos, copos, talheres, panelas e frigideiras, utilizando lava-louças ou manualmente. Horário: 35 horas por semana. O horário de trabalho pode variar e incluir turnos noturnos, fins de"&amp;" semana e feriados. O trabalho pode ser realizado em qualquer dia da semana, de segunda a domingo. Exemplos de turnos: 7h às 14h, 12h às 19h ou 16h às 23h. Os horários dos turnos podem variar. Consulte a descrição do cargo em anexo para obter mais informa"&amp;"ções. Classificação do Cargo: 35-2014.00 - Cozinheiros, Restaurante. A classificação e descrição do cargo/setor incluem informações gerais sobre a posição, de acordo com o ONET/OES e o Sistema de Classificação Industrial da América do Norte. Consulte as F"&amp;"unções e a Ordem de Serviço para obter mais informações. Requisitos da vaga Experiência necessária: Sim Meses de experiência necessários: 6 Requisitos especiais: O contratante considerará para emprego qualquer pessoa que possua pelo menos seis (6) meses d"&amp;"e experiência culinária em um ambiente de alta gastronomia ou de grande movimento em um restaurante sofisticado, resort ou clube privado. Número de horas por semana: 35 Horário de trabalho (início/término): 7h00 - 14h00")</f>
        <v>Os cozinheiros serão responsáveis ​​por preparar, temperar e cozinhar sopas, carnes, legumes, sobremesas e outros alimentos em um restaurante, inspecionar e limpar as áreas de preparação de alimentos, como equipamentos e superfícies de trabalho, para garantir práticas seguras e higiênicas de manipulação de alimentos, lavar pratos, copos, talheres, panelas e frigideiras, utilizando lava-louças ou manualmente. Horário: 35 horas por semana. O horário de trabalho pode variar e incluir turnos noturnos, fins de semana e feriados. O trabalho pode ser realizado em qualquer dia da semana, de segunda a domingo. Exemplos de turnos: 7h às 14h, 12h às 19h ou 16h às 23h. Os horários dos turnos podem variar. Consulte a descrição do cargo em anexo para obter mais informações. Classificação do Cargo: 35-2014.00 - Cozinheiros, Restaurante. A classificação e descrição do cargo/setor incluem informações gerais sobre a posição, de acordo com o ONET/OES e o Sistema de Classificação Industrial da América do Norte. Consulte as Funções e a Ordem de Serviço para obter mais informações. Requisitos da vaga Experiência necessária: Sim Meses de experiência necessários: 6 Requisitos especiais: O contratante considerará para emprego qualquer pessoa que possua pelo menos seis (6) meses de experiência culinária em um ambiente de alta gastronomia ou de grande movimento em um restaurante sofisticado, resort ou clube privado. Número de horas por semana: 35 Horário de trabalho (início/término): 7h00 - 14h00</v>
      </c>
    </row>
    <row r="1101" ht="20.25" customHeight="1">
      <c r="A1101" s="8" t="s">
        <v>5045</v>
      </c>
      <c r="B1101" s="8" t="s">
        <v>5046</v>
      </c>
      <c r="C1101" s="8" t="s">
        <v>4241</v>
      </c>
      <c r="D1101" s="8" t="s">
        <v>271</v>
      </c>
      <c r="E1101" s="9" t="s">
        <v>19</v>
      </c>
      <c r="F1101" s="9" t="s">
        <v>20</v>
      </c>
      <c r="G1101" s="9" t="s">
        <v>198</v>
      </c>
      <c r="H1101" s="8" t="s">
        <v>5047</v>
      </c>
      <c r="I1101" s="8" t="s">
        <v>5048</v>
      </c>
      <c r="J1101" s="9">
        <v>18.5</v>
      </c>
      <c r="K1101" s="9">
        <v>20.0</v>
      </c>
      <c r="L1101" s="8" t="s">
        <v>354</v>
      </c>
      <c r="M1101" s="8" t="s">
        <v>5049</v>
      </c>
      <c r="N1101" s="7" t="str">
        <f>IFERROR(__xludf.DUMMYFUNCTION("GOOGLETRANSLATE(L1101, ""en"", ""pt"")"),"Governanta")</f>
        <v>Governanta</v>
      </c>
      <c r="O1101" s="7" t="str">
        <f>IFERROR(__xludf.DUMMYFUNCTION("IF(M1101="""","""",GOOGLETRANSLATE(M1101,""en"",""pt""))"),"Os(As) camareiros(as) serão responsáveis ​​pela limpeza e manutenção de todos os quartos, suítes e áreas comuns internas da propriedade, incluindo aspirar pisos, tirar o pó, repor roupas de cama e toalhas, desinfetar banheiros, lavar janelas e dirigir car"&amp;"rinhos de golfe na propriedade para transporte pessoal entre as áreas de trabalho. Horário: 40 horas semanais. O horário de trabalho pode variar e incluir turnos noturnos, fins de semana e feriados. O trabalho pode ser realizado em qualquer dia da semana,"&amp;" de segunda a domingo. Exemplos de turnos: das 8h às 16h ou das 12h às 20h. Os horários dos turnos podem variar. Consulte a descrição do cargo em anexo para obter mais informações. Classificação do Cargo: 37-2012.00 - Camareiros(as) e Auxiliares de Limpez"&amp;"a. A classificação e descrição do cargo/setor inclui informações gerais sobre a posição, de acordo com o ONET/OES e o Sistema de Classificação Industrial da América do Norte. Consulte as Funções e a Ordem de Serviço para obter mais informações. Requisitos"&amp;" da vaga Experiência exigida: Sim Meses de experiência exigidos: 3 Requisitos especiais: O contratante considerará para emprego qualquer pessoa que possua pelo menos três (3) meses de experiência em um hotel de luxo, resort ou clube privado. Número de hor"&amp;"as por semana: 40 Horário de trabalho (início/término): 8h00 - 16h00")</f>
        <v>Os(As) camareiros(as) serão responsáveis ​​pela limpeza e manutenção de todos os quartos, suítes e áreas comuns internas da propriedade, incluindo aspirar pisos, tirar o pó, repor roupas de cama e toalhas, desinfetar banheiros, lavar janelas e dirigir carrinhos de golfe na propriedade para transporte pessoal entre as áreas de trabalho. Horário: 40 horas semanais. O horário de trabalho pode variar e incluir turnos noturnos, fins de semana e feriados. O trabalho pode ser realizado em qualquer dia da semana, de segunda a domingo. Exemplos de turnos: das 8h às 16h ou das 12h às 20h. Os horários dos turnos podem variar. Consulte a descrição do cargo em anexo para obter mais informações. Classificação do Cargo: 37-2012.00 - Camareiros(as) e Auxiliares de Limpeza. A classificação e descrição do cargo/setor inclui informações gerais sobre a posição, de acordo com o ONET/OES e o Sistema de Classificação Industrial da América do Norte. Consulte as Funções e a Ordem de Serviço para obter mais informações. Requisitos da vaga Experiência exigida: Sim Meses de experiência exigidos: 3 Requisitos especiais: O contratante considerará para emprego qualquer pessoa que possua pelo menos três (3) meses de experiência em um hotel de luxo, resort ou clube privado. Número de horas por semana: 40 Horário de trabalho (início/término): 8h00 - 16h00</v>
      </c>
    </row>
    <row r="1102" ht="20.25" customHeight="1">
      <c r="A1102" s="3" t="s">
        <v>5050</v>
      </c>
      <c r="B1102" s="3" t="s">
        <v>5046</v>
      </c>
      <c r="C1102" s="3" t="s">
        <v>4241</v>
      </c>
      <c r="D1102" s="3" t="s">
        <v>271</v>
      </c>
      <c r="E1102" s="4" t="s">
        <v>19</v>
      </c>
      <c r="F1102" s="4" t="s">
        <v>20</v>
      </c>
      <c r="G1102" s="4" t="s">
        <v>198</v>
      </c>
      <c r="H1102" s="3" t="s">
        <v>5047</v>
      </c>
      <c r="I1102" s="3" t="s">
        <v>5048</v>
      </c>
      <c r="J1102" s="4">
        <v>17.5</v>
      </c>
      <c r="K1102" s="4">
        <v>5.0</v>
      </c>
      <c r="L1102" s="3" t="s">
        <v>527</v>
      </c>
      <c r="M1102" s="3" t="s">
        <v>5051</v>
      </c>
      <c r="N1102" s="7" t="str">
        <f>IFERROR(__xludf.DUMMYFUNCTION("GOOGLETRANSLATE(L1102, ""en"", ""pt"")"),"máquina de lavar louça")</f>
        <v>máquina de lavar louça</v>
      </c>
      <c r="O1102" s="7" t="str">
        <f>IFERROR(__xludf.DUMMYFUNCTION("IF(M1102="""","""",GOOGLETRANSLATE(M1102,""en"",""pt""))"),"Os auxiliares de cozinha serão responsáveis ​​por lavar pratos e todos os utensílios de cozinha à máquina ou manualmente, manter as áreas de trabalho e equipamentos da cozinha limpos, varrer e esfregar o chão, preparar (sem cozinhar) diversos alimentos pa"&amp;"ra serem cozidos ou servidos e separar e descartar o lixo. O candidato deve ser capaz de levantar até 23 kg e permanecer em pé por longos períodos. Horário: 40 horas semanais. O horário de trabalho pode variar e incluir turnos noturnos, fins de semana e f"&amp;"eriados. O trabalho pode ser realizado em qualquer dia da semana, de segunda a domingo. Exemplos de turnos: das 8h às 16h ou das 12h às 20h. Os horários dos turnos podem variar. Consulte a descrição do cargo em anexo para obter mais informações. Classific"&amp;"ação do Cargo: 35-2021.00 - Auxiliares de Cozinha. A classificação e descrição do cargo/setor incluem informações gerais sobre a posição, de acordo com o ONET/OES e o Sistema de Classificação Industrial da América do Norte. Consulte as Funções e a Ordem d"&amp;"e Serviço para obter mais informações. Requisitos da vaga Experiência exigida: Sim Meses de experiência exigidos: 3 Requisitos especiais: O contratante considerará para emprego qualquer pessoa que possua pelo menos três (3) meses de experiência em um hote"&amp;"l de luxo, resort ou clube privado. Número de horas por semana: 40 Horário de trabalho (início/término): 8h00 - 16h00")</f>
        <v>Os auxiliares de cozinha serão responsáveis ​​por lavar pratos e todos os utensílios de cozinha à máquina ou manualmente, manter as áreas de trabalho e equipamentos da cozinha limpos, varrer e esfregar o chão, preparar (sem cozinhar) diversos alimentos para serem cozidos ou servidos e separar e descartar o lixo. O candidato deve ser capaz de levantar até 23 kg e permanecer em pé por longos períodos. Horário: 40 horas semanais. O horário de trabalho pode variar e incluir turnos noturnos, fins de semana e feriados. O trabalho pode ser realizado em qualquer dia da semana, de segunda a domingo. Exemplos de turnos: das 8h às 16h ou das 12h às 20h. Os horários dos turnos podem variar. Consulte a descrição do cargo em anexo para obter mais informações. Classificação do Cargo: 35-2021.00 - Auxiliares de Cozinha. A classificação e descrição do cargo/setor incluem informações gerais sobre a posição, de acordo com o ONET/OES e o Sistema de Classificação Industrial da América do Norte. Consulte as Funções e a Ordem de Serviço para obter mais informações. Requisitos da vaga Experiência exigida: Sim Meses de experiência exigidos: 3 Requisitos especiais: O contratante considerará para emprego qualquer pessoa que possua pelo menos três (3) meses de experiência em um hotel de luxo, resort ou clube privado. Número de horas por semana: 40 Horário de trabalho (início/término): 8h00 - 16h00</v>
      </c>
    </row>
    <row r="1103" ht="20.25" customHeight="1">
      <c r="A1103" s="8" t="s">
        <v>5052</v>
      </c>
      <c r="B1103" s="8" t="s">
        <v>5053</v>
      </c>
      <c r="C1103" s="8" t="s">
        <v>4241</v>
      </c>
      <c r="D1103" s="8" t="s">
        <v>271</v>
      </c>
      <c r="E1103" s="9" t="s">
        <v>19</v>
      </c>
      <c r="F1103" s="9" t="s">
        <v>20</v>
      </c>
      <c r="G1103" s="9" t="s">
        <v>377</v>
      </c>
      <c r="H1103" s="8" t="s">
        <v>5054</v>
      </c>
      <c r="I1103" s="8" t="s">
        <v>5055</v>
      </c>
      <c r="J1103" s="9">
        <v>16.21</v>
      </c>
      <c r="K1103" s="9">
        <v>8.0</v>
      </c>
      <c r="L1103" s="8" t="s">
        <v>354</v>
      </c>
      <c r="M1103" s="8" t="s">
        <v>5056</v>
      </c>
      <c r="N1103" s="7" t="str">
        <f>IFERROR(__xludf.DUMMYFUNCTION("GOOGLETRANSLATE(L1103, ""en"", ""pt"")"),"Governanta")</f>
        <v>Governanta</v>
      </c>
      <c r="O1103" s="7" t="str">
        <f>IFERROR(__xludf.DUMMYFUNCTION("IF(M1103="""","""",GOOGLETRANSLATE(M1103,""en"",""pt""))"),"Os(As) camareiros(as) serão responsáveis ​​pela limpeza e manutenção de todos os quartos, suítes e áreas comuns internas e externas da propriedade Castle Hot Springs. Isso inclui aspirar pisos, tirar o pó, lavar e repor roupas de cama e toalhas, desinfeta"&amp;"r banheiros, limpar janelas internas com pano e spray de limpeza, retirar o lixo, varrer e passar pano nas escadas e entregar itens solicitados pelos hóspedes nos quartos. Horário: 35 horas semanais. O horário de trabalho pode variar e incluir turnos notu"&amp;"rnos, fins de semana e feriados. O trabalho pode ser realizado em qualquer dia da semana, de segunda a domingo. Exemplo de turno: das 9h às 16h. Os horários dos turnos podem variar. Consulte a descrição da vaga para obter mais informações. Classificação d"&amp;"a vaga: 37-2012.00 - Camareiros(as) e Auxiliares de Limpeza. A classificação e descrição da vaga/setor incluem informações gerais sobre o cargo, de acordo com o ONET/OES e o Sistema de Classificação Industrial da América do Norte. Consulte as Funções e a "&amp;"Ordem de Serviço para obter mais informações. Requisitos da vaga Experiência necessária: Sim Meses de experiência necessários: 3 Requisitos especiais: O contratante considerará para emprego qualquer candidato que possua pelo menos três (3) meses de experi"&amp;"ência em limpeza em um hotel de luxo, resort ou clube privado. Número de horas por semana: 35 Horário de trabalho (início/término): 9h às 16h")</f>
        <v>Os(As) camareiros(as) serão responsáveis ​​pela limpeza e manutenção de todos os quartos, suítes e áreas comuns internas e externas da propriedade Castle Hot Springs. Isso inclui aspirar pisos, tirar o pó, lavar e repor roupas de cama e toalhas, desinfetar banheiros, limpar janelas internas com pano e spray de limpeza, retirar o lixo, varrer e passar pano nas escadas e entregar itens solicitados pelos hóspedes nos quartos. Horário: 35 horas semanais. O horário de trabalho pode variar e incluir turnos noturnos, fins de semana e feriados. O trabalho pode ser realizado em qualquer dia da semana, de segunda a domingo. Exemplo de turno: das 9h às 16h. Os horários dos turnos podem variar. Consulte a descrição da vaga para obter mais informações. Classificação da vaga: 37-2012.00 - Camareiros(as) e Auxiliares de Limpeza. A classificação e descrição da vaga/setor incluem informações gerais sobre o cargo, de acordo com o ONET/OES e o Sistema de Classificação Industrial da América do Norte. Consulte as Funções e a Ordem de Serviço para obter mais informações. Requisitos da vaga Experiência necessária: Sim Meses de experiência necessários: 3 Requisitos especiais: O contratante considerará para emprego qualquer candidato que possua pelo menos três (3) meses de experiência em limpeza em um hotel de luxo, resort ou clube privado. Número de horas por semana: 35 Horário de trabalho (início/término): 9h às 16h</v>
      </c>
    </row>
    <row r="1104" ht="20.25" customHeight="1">
      <c r="A1104" s="3" t="s">
        <v>5057</v>
      </c>
      <c r="B1104" s="3" t="s">
        <v>5053</v>
      </c>
      <c r="C1104" s="3" t="s">
        <v>4241</v>
      </c>
      <c r="D1104" s="3" t="s">
        <v>271</v>
      </c>
      <c r="E1104" s="4" t="s">
        <v>19</v>
      </c>
      <c r="F1104" s="4" t="s">
        <v>20</v>
      </c>
      <c r="G1104" s="4" t="s">
        <v>377</v>
      </c>
      <c r="H1104" s="3" t="s">
        <v>5054</v>
      </c>
      <c r="I1104" s="3" t="s">
        <v>5055</v>
      </c>
      <c r="J1104" s="4">
        <v>18.51</v>
      </c>
      <c r="K1104" s="4">
        <v>6.0</v>
      </c>
      <c r="L1104" s="3" t="s">
        <v>3692</v>
      </c>
      <c r="M1104" s="3" t="s">
        <v>5058</v>
      </c>
      <c r="N1104" s="7" t="str">
        <f>IFERROR(__xludf.DUMMYFUNCTION("GOOGLETRANSLATE(L1104, ""en"", ""pt"")"),"Cozinheiro II")</f>
        <v>Cozinheiro II</v>
      </c>
      <c r="O1104" s="7" t="str">
        <f>IFERROR(__xludf.DUMMYFUNCTION("IF(M1104="""","""",GOOGLETRANSLATE(M1104,""en"",""pt""))"),"O Cozinheiro II será responsável por preparar, temperar e cozinhar sopas, carnes, legumes, sobremesas e outros pratos em um restaurante. Horário: 35 horas semanais. O horário de trabalho pode variar e incluir turnos noturnos, fins de semana e feriados. O "&amp;"trabalho pode ser realizado em qualquer dia da semana, de segunda a domingo. Exemplos de turnos: das 6h às 13h, das 11h às 18h ou das 15h às 22h. Os horários dos turnos podem variar. Consulte a descrição da vaga para obter mais informações. Classificação "&amp;"da vaga: 35-2014.00 - Cozinheiros, Restaurante. A classificação e a descrição da vaga/setor incluem informações gerais sobre o cargo, de acordo com o ONET/OES e o Sistema de Classificação Industrial da América do Norte (NAICS). Consulte as Funções e a Ord"&amp;"em de Serviço para obter mais informações. Requisitos da vaga Experiência necessária: Sim Meses de experiência necessários: 6 Requisitos especiais: O contratante considerará para emprego qualquer candidato que possua pelo menos seis (6) meses de experiênc"&amp;"ia culinária em um ambiente de alta gastronomia ou de grande movimento em um restaurante sofisticado, resort ou clube privado. Número de horas por semana: 35 Horário de trabalho (início/término): 15h00 - 22h00")</f>
        <v>O Cozinheiro II será responsável por preparar, temperar e cozinhar sopas, carnes, legumes, sobremesas e outros pratos em um restaurante. Horário: 35 horas semanais. O horário de trabalho pode variar e incluir turnos noturnos, fins de semana e feriados. O trabalho pode ser realizado em qualquer dia da semana, de segunda a domingo. Exemplos de turnos: das 6h às 13h, das 11h às 18h ou das 15h às 22h. Os horários dos turnos podem variar. Consulte a descrição da vaga para obter mais informações. Classificação da vaga: 35-2014.00 - Cozinheiros, Restaurante. A classificação e a descrição da vaga/setor incluem informações gerais sobre o cargo, de acordo com o ONET/OES e o Sistema de Classificação Industrial da América do Norte (NAICS). Consulte as Funções e a Ordem de Serviço para obter mais informações. Requisitos da vaga Experiência necessária: Sim Meses de experiência necessários: 6 Requisitos especiais: O contratante considerará para emprego qualquer candidato que possua pelo menos seis (6) meses de experiência culinária em um ambiente de alta gastronomia ou de grande movimento em um restaurante sofisticado, resort ou clube privado. Número de horas por semana: 35 Horário de trabalho (início/término): 15h00 - 22h00</v>
      </c>
    </row>
    <row r="1105" ht="20.25" customHeight="1">
      <c r="A1105" s="8" t="s">
        <v>5059</v>
      </c>
      <c r="B1105" s="8" t="s">
        <v>5053</v>
      </c>
      <c r="C1105" s="8" t="s">
        <v>4241</v>
      </c>
      <c r="D1105" s="8" t="s">
        <v>271</v>
      </c>
      <c r="E1105" s="9" t="s">
        <v>19</v>
      </c>
      <c r="F1105" s="9" t="s">
        <v>20</v>
      </c>
      <c r="G1105" s="9" t="s">
        <v>377</v>
      </c>
      <c r="H1105" s="8" t="s">
        <v>5054</v>
      </c>
      <c r="I1105" s="8" t="s">
        <v>5055</v>
      </c>
      <c r="J1105" s="9">
        <v>21.22</v>
      </c>
      <c r="K1105" s="9">
        <v>1.0</v>
      </c>
      <c r="L1105" s="8" t="s">
        <v>1206</v>
      </c>
      <c r="M1105" s="8" t="s">
        <v>5060</v>
      </c>
      <c r="N1105" s="7" t="str">
        <f>IFERROR(__xludf.DUMMYFUNCTION("GOOGLETRANSLATE(L1105, ""en"", ""pt"")"),"Servidor")</f>
        <v>Servidor</v>
      </c>
      <c r="O1105" s="7" t="str">
        <f>IFERROR(__xludf.DUMMYFUNCTION("IF(M1105="""","""",GOOGLETRANSLATE(M1105,""en"",""pt""))"),"Os garçons serão responsáveis ​​por recepcionar os clientes, preparar as áreas de refeição, anotar e registrar pedidos, transportar bandejas e pratos, servir alimentos e bebidas e limpar e retirar as mesas. Horário: 35 horas semanais. O horário de trabalh"&amp;"o pode variar e incluir turnos noturnos, fins de semana e feriados. O trabalho pode ser realizado em qualquer dia da semana, de segunda a domingo. Exemplo de turno: das 9h às 16h. Os horários dos turnos podem variar. Consulte a descrição da vaga para obte"&amp;"r mais informações. Classificação da vaga: 35-3031.00 - Garçons e Garçonetes. A classificação e a descrição da vaga/setor incluem informações gerais sobre o cargo, de acordo com o ONET/OES e o Sistema de Classificação Industrial da América do Norte. Consu"&amp;"lte as Funções e a Ordem de Serviço para obter mais informações. Requisitos da vaga: Experiência exigida: Sim. Meses de experiência exigidos: 6. Requisitos especiais: O contratante considerará para emprego qualquer candidato que possua pelo menos seis (6)"&amp;" meses de experiência em atendimento em um ambiente de alta gastronomia ou de grande movimento, em um restaurante sofisticado, resort ou clube privado. Número de horas por semana: 35 Horário de trabalho (início/término): 9h00 - 16h00")</f>
        <v>Os garçons serão responsáveis ​​por recepcionar os clientes, preparar as áreas de refeição, anotar e registrar pedidos, transportar bandejas e pratos, servir alimentos e bebidas e limpar e retirar as mesas. Horário: 35 horas semanais. O horário de trabalho pode variar e incluir turnos noturnos, fins de semana e feriados. O trabalho pode ser realizado em qualquer dia da semana, de segunda a domingo. Exemplo de turno: das 9h às 16h. Os horários dos turnos podem variar. Consulte a descrição da vaga para obter mais informações. Classificação da vaga: 35-3031.00 - Garçons e Garçonetes. A classificação e a descrição da vaga/setor incluem informações gerais sobre o cargo, de acordo com o ONET/OES e o Sistema de Classificação Industrial da América do Norte. Consulte as Funções e a Ordem de Serviço para obter mais informações. Requisitos da vaga: Experiência exigida: Sim. Meses de experiência exigidos: 6. Requisitos especiais: O contratante considerará para emprego qualquer candidato que possua pelo menos seis (6) meses de experiência em atendimento em um ambiente de alta gastronomia ou de grande movimento, em um restaurante sofisticado, resort ou clube privado. Número de horas por semana: 35 Horário de trabalho (início/término): 9h00 - 16h00</v>
      </c>
    </row>
    <row r="1106" ht="20.25" customHeight="1">
      <c r="A1106" s="3" t="s">
        <v>5061</v>
      </c>
      <c r="B1106" s="3" t="s">
        <v>5053</v>
      </c>
      <c r="C1106" s="3" t="s">
        <v>4241</v>
      </c>
      <c r="D1106" s="3" t="s">
        <v>271</v>
      </c>
      <c r="E1106" s="4" t="s">
        <v>19</v>
      </c>
      <c r="F1106" s="4" t="s">
        <v>20</v>
      </c>
      <c r="G1106" s="4" t="s">
        <v>377</v>
      </c>
      <c r="H1106" s="3" t="s">
        <v>5054</v>
      </c>
      <c r="I1106" s="3" t="s">
        <v>5055</v>
      </c>
      <c r="J1106" s="4">
        <v>16.83</v>
      </c>
      <c r="K1106" s="4">
        <v>3.0</v>
      </c>
      <c r="L1106" s="3" t="s">
        <v>1636</v>
      </c>
      <c r="M1106" s="3" t="s">
        <v>5062</v>
      </c>
      <c r="N1106" s="7" t="str">
        <f>IFERROR(__xludf.DUMMYFUNCTION("GOOGLETRANSLATE(L1106, ""en"", ""pt"")"),"Mordomo")</f>
        <v>Mordomo</v>
      </c>
      <c r="O1106" s="7" t="str">
        <f>IFERROR(__xludf.DUMMYFUNCTION("IF(M1106="""","""",GOOGLETRANSLATE(M1106,""en"",""pt""))"),"***Resposta à Solicitação de Informações*** “Preparação básica de alimentos” – consiste em lavar frutas e verduras, buscar ingredientes no estoque e porcioná-los, e descascar frutas e verduras. Os utensílios/equipamentos utilizados para realizar essas tar"&amp;"efas são peneiras, descascadores, copos medidores, colheres medidoras, balanças, facas, garfos, colheres e tigelas. ***Original*** Os auxiliares de cozinha serão responsáveis ​​por lavar a louça e todos os utensílios de cozinha à mão ou na máquina, manter"&amp;" as áreas de trabalho e os equipamentos da cozinha limpos, varrer e esfregar o chão, e separar e descartar o lixo. Os auxiliares de cozinha também auxiliarão na preparação básica de alimentos, conforme orientação do chef do departamento. Horário: 35 horas"&amp;" semanais. O horário de trabalho pode variar e incluir turnos noturnos, fins de semana e feriados. O trabalho pode ser realizado em qualquer dia da semana, de segunda a domingo. Exemplo de turno: das 9h às 16h. Os horários dos turnos podem variar. Consult"&amp;"e a descrição da vaga para obter mais informações. Classificação da vaga: 35-9021.00 - Lavadores de Louça. A classificação e descrição da vaga/setor inclui informações gerais sobre o cargo, de acordo com o ONET/OES e o Sistema de Classificação Industrial "&amp;"da América do Norte (NAICS). Consulte as Funções e a Ordem de Serviço para obter mais informações. Requisitos da vaga: Experiência exigida: Sim. Meses de experiência exigidos: 3. Requisitos especiais: O contratante considerará para emprego qualquer candid"&amp;"ato que possua pelo menos três (3) meses de experiência em um restaurante de alto padrão, resort ou clube privado. Número de horas por semana: 35. Horário de trabalho (início/término): 9h às 16h.")</f>
        <v>***Resposta à Solicitação de Informações*** “Preparação básica de alimentos” – consiste em lavar frutas e verduras, buscar ingredientes no estoque e porcioná-los, e descascar frutas e verduras. Os utensílios/equipamentos utilizados para realizar essas tarefas são peneiras, descascadores, copos medidores, colheres medidoras, balanças, facas, garfos, colheres e tigelas. ***Original*** Os auxiliares de cozinha serão responsáveis ​​por lavar a louça e todos os utensílios de cozinha à mão ou na máquina, manter as áreas de trabalho e os equipamentos da cozinha limpos, varrer e esfregar o chão, e separar e descartar o lixo. Os auxiliares de cozinha também auxiliarão na preparação básica de alimentos, conforme orientação do chef do departamento. Horário: 35 horas semanais. O horário de trabalho pode variar e incluir turnos noturnos, fins de semana e feriados. O trabalho pode ser realizado em qualquer dia da semana, de segunda a domingo. Exemplo de turno: das 9h às 16h. Os horários dos turnos podem variar. Consulte a descrição da vaga para obter mais informações. Classificação da vaga: 35-9021.00 - Lavadores de Louça. A classificação e descrição da vaga/setor inclui informações gerais sobre o cargo, de acordo com o ONET/OES e o Sistema de Classificação Industrial da América do Norte (NAICS). Consulte as Funções e a Ordem de Serviço para obter mais informações. Requisitos da vaga: Experiência exigida: Sim. Meses de experiência exigidos: 3. Requisitos especiais: O contratante considerará para emprego qualquer candidato que possua pelo menos três (3) meses de experiência em um restaurante de alto padrão, resort ou clube privado. Número de horas por semana: 35. Horário de trabalho (início/término): 9h às 16h.</v>
      </c>
    </row>
    <row r="1107" ht="20.25" customHeight="1">
      <c r="A1107" s="8" t="s">
        <v>5063</v>
      </c>
      <c r="B1107" s="8" t="s">
        <v>5064</v>
      </c>
      <c r="C1107" s="8" t="s">
        <v>4241</v>
      </c>
      <c r="D1107" s="8" t="s">
        <v>71</v>
      </c>
      <c r="E1107" s="9" t="s">
        <v>19</v>
      </c>
      <c r="F1107" s="9" t="s">
        <v>20</v>
      </c>
      <c r="G1107" s="9" t="s">
        <v>5065</v>
      </c>
      <c r="H1107" s="8" t="s">
        <v>5066</v>
      </c>
      <c r="I1107" s="8" t="s">
        <v>5067</v>
      </c>
      <c r="J1107" s="9">
        <v>19.4</v>
      </c>
      <c r="K1107" s="9">
        <v>10.0</v>
      </c>
      <c r="L1107" s="8" t="s">
        <v>586</v>
      </c>
      <c r="M1107" s="8" t="s">
        <v>5068</v>
      </c>
      <c r="N1107" s="7" t="str">
        <f>IFERROR(__xludf.DUMMYFUNCTION("GOOGLETRANSLATE(L1107, ""en"", ""pt"")"),"Cozinheiro de linha")</f>
        <v>Cozinheiro de linha</v>
      </c>
      <c r="O1107" s="7" t="str">
        <f>IFERROR(__xludf.DUMMYFUNCTION("IF(M1107="""","""",GOOGLETRANSLATE(M1107,""en"",""pt""))"),"Os cozinheiros de linha serão responsáveis ​​por preparar, temperar e cozinhar sopas, carnes, legumes, sobremesas e outros itens alimentícios em um restaurante. Horário: 40 horas semanais. O horário de trabalho pode variar e incluir turnos noturnos, fins "&amp;"de semana e feriados. O trabalho pode ser realizado em qualquer dia da semana, de segunda a domingo. Exemplos de turnos: 9h às 17h, 14h às 22h ou 11h às 19h. Os horários dos turnos podem variar. Consulte a descrição da vaga para obter mais informações. Cl"&amp;"assificação da vaga: 35-2014.00 - Cozinheiros, Restaurante. A classificação e a descrição da vaga/setor incluem informações gerais sobre o cargo, de acordo com o ONET/OES e o Sistema de Classificação Industrial da América do Norte (NAICS). Consulte as atr"&amp;"ibuições e a ordem de serviço para obter mais informações. Requisitos da Vaga Experiência Necessária: Sim Meses de Experiência Necessários: 6 Requisitos Especiais: O contratante considerará para emprego qualquer pessoa que possua pelo menos seis (6) meses"&amp;" de experiência culinária em um ambiente de alta gastronomia ou de grande movimento em um restaurante sofisticado, resort ou clube privado. O candidato deverá se submeter à verificação de antecedentes e ao exame toxicológico pré-admissional, às custas do "&amp;"empregador. Número de Horas por Semana: 40 Horário de Trabalho (Início/Término): 9h00 - 17h00")</f>
        <v>Os cozinheiros de linha serão responsáveis ​​por preparar, temperar e cozinhar sopas, carnes, legumes, sobremesas e outros itens alimentícios em um restaurante. Horário: 40 horas semanais. O horário de trabalho pode variar e incluir turnos noturnos, fins de semana e feriados. O trabalho pode ser realizado em qualquer dia da semana, de segunda a domingo. Exemplos de turnos: 9h às 17h, 14h às 22h ou 11h às 19h. Os horários dos turnos podem variar. Consulte a descrição da vaga para obter mais informações. Classificação da vaga: 35-2014.00 - Cozinheiros, Restaurante. A classificação e a descrição da vaga/setor incluem informações gerais sobre o cargo, de acordo com o ONET/OES e o Sistema de Classificação Industrial da América do Norte (NAICS). Consulte as atribuições e a ordem de serviço para obter mais informações. Requisitos da Vaga Experiência Necessária: Sim Meses de Experiência Necessários: 6 Requisitos Especiais: O contratante considerará para emprego qualquer pessoa que possua pelo menos seis (6) meses de experiência culinária em um ambiente de alta gastronomia ou de grande movimento em um restaurante sofisticado, resort ou clube privado. O candidato deverá se submeter à verificação de antecedentes e ao exame toxicológico pré-admissional, às custas do empregador. Número de Horas por Semana: 40 Horário de Trabalho (Início/Término): 9h00 - 17h00</v>
      </c>
    </row>
    <row r="1108" ht="20.25" customHeight="1">
      <c r="A1108" s="3" t="s">
        <v>5069</v>
      </c>
      <c r="B1108" s="3" t="s">
        <v>5064</v>
      </c>
      <c r="C1108" s="3" t="s">
        <v>4241</v>
      </c>
      <c r="D1108" s="3" t="s">
        <v>71</v>
      </c>
      <c r="E1108" s="4" t="s">
        <v>19</v>
      </c>
      <c r="F1108" s="4" t="s">
        <v>20</v>
      </c>
      <c r="G1108" s="4" t="s">
        <v>5065</v>
      </c>
      <c r="H1108" s="3" t="s">
        <v>5066</v>
      </c>
      <c r="I1108" s="3" t="s">
        <v>5067</v>
      </c>
      <c r="J1108" s="4">
        <v>25.0</v>
      </c>
      <c r="K1108" s="4">
        <v>2.0</v>
      </c>
      <c r="L1108" s="3" t="s">
        <v>5070</v>
      </c>
      <c r="M1108" s="3" t="s">
        <v>5071</v>
      </c>
      <c r="N1108" s="7" t="str">
        <f>IFERROR(__xludf.DUMMYFUNCTION("GOOGLETRANSLATE(L1108, ""en"", ""pt"")"),"Gerente de Recepção")</f>
        <v>Gerente de Recepção</v>
      </c>
      <c r="O1108" s="7" t="str">
        <f>IFERROR(__xludf.DUMMYFUNCTION("IF(M1108="""","""",GOOGLETRANSLATE(M1108,""en"",""pt""))"),"O(A) Gerente de Salão será responsável por gerenciar a equipe do salão, incluindo contratação, treinamento, avaliação de desempenho, elaboração de escalas de trabalho, garantia de que todos estejam uniformizados, aprovação da folha de pagamento semanal e "&amp;"orientação na prestação de diferentes serviços de alimentos e bebidas. O(A) Gerente de Salão também será responsável por receber reservas, verificar a disponibilidade de mesas e manter o registro de reservas, planejar a disposição do salão com base nas re"&amp;"servas e necessidades dos clientes, recepcionar e acomodar os clientes, servir de elo entre a equipe do salão e a cozinha e resolver reclamações de clientes relacionadas ao serviço de salão. Além disso, será responsável por gerar relatórios de receita uti"&amp;"lizando o sistema de Ponto de Venda (PDV), fornecer relatórios sobre horas trabalhadas, escalas, salários, mudanças de função e gorjetas dos funcionários, sugerir melhorias nos procedimentos e na disposição do salão, garantir a conclusão das tarefas auxil"&amp;"iares, incluindo a limpeza de equipamentos e áreas de armazenamento conforme o cronograma, e relatar problemas de manutenção e segurança. Eles serão responsáveis ​​por manter o inventário dos itens do salão de jantar, incluindo talheres, cafeteiras, jarra"&amp;"s de água, louças e roupas de mesa, além de monitorar o orçamento de mão de obra e suprimentos do salão, criar previsões e relatórios de receita, desenvolver e atualizar políticas e procedimentos para a equipe de serviço e garantir a segurança do salão ao"&amp;" final do expediente. Também trabalharão com o Chef Executivo para revisar as alterações semanais do cardápio e repassá-las à equipe do salão, auxiliar no serviço de culinária à mesa, desenvolver promoções de bebidas, acompanhar as vendas de vinho e garan"&amp;"tir o cumprimento das leis locais e estaduais, bem como das políticas e procedimentos do clube para o serviço de bebidas alcoólicas. Poderão ainda atuar como gerente de plantão do clube, o que inclui processar os relatórios noturnos, trancar e fechar as p"&amp;"ortas ao final do expediente e fechar o dia no sistema de ponto de venda. Poderão supervisionar até onze (11) garçons, quatro (4) membros da equipe de apoio e um (1) recepcionista. Poderá ser necessário empurrar, puxar ou levantar até 23 kg. Horário: 40 h"&amp;"oras semanais. A escala de trabalho pode variar e incluir turnos noturnos, fins de semana e feriados. O trabalho pode ser realizado em qualquer dia da semana, de segunda a domingo. Exemplos de turnos: 9h às 17h, 16h às 00h. Os horários dos turnos podem va"&amp;"riar. Consulte a descrição da vaga para obter mais detalhes. Classificação da vaga: 35-1012.00 - Supervisores de Primeira Linha de Preparadores e Atendentes de Alimentos. A classificação e a descrição da vaga/setor incluem informações gerais sobre o cargo"&amp;", de acordo com o ONET/OES e o Sistema de Classificação Industrial da América do Norte (NAICS). Consulte as Funções e a Ordem de Serviço para obter mais informações. Requisitos da vaga: Experiência exigida: Sim. Meses de experiência exigidos: 12. Requisit"&amp;"os especiais: O contratante considerará para emprego qualquer pessoa que possua pelo menos um (1) ano de experiência em supervisão em um ambiente de alta gastronomia ou de grande movimento, em um restaurante sofisticado, resort ou clube privado. O candida"&amp;"to deverá se submeter à verificação de antecedentes e ao exame toxicológico pré-admissional, às custas do empregador. Número de horas por semana: 40 Horário de trabalho (início/término): 9h00 - 17h00")</f>
        <v>O(A) Gerente de Salão será responsável por gerenciar a equipe do salão, incluindo contratação, treinamento, avaliação de desempenho, elaboração de escalas de trabalho, garantia de que todos estejam uniformizados, aprovação da folha de pagamento semanal e orientação na prestação de diferentes serviços de alimentos e bebidas. O(A) Gerente de Salão também será responsável por receber reservas, verificar a disponibilidade de mesas e manter o registro de reservas, planejar a disposição do salão com base nas reservas e necessidades dos clientes, recepcionar e acomodar os clientes, servir de elo entre a equipe do salão e a cozinha e resolver reclamações de clientes relacionadas ao serviço de salão. Além disso, será responsável por gerar relatórios de receita utilizando o sistema de Ponto de Venda (PDV), fornecer relatórios sobre horas trabalhadas, escalas, salários, mudanças de função e gorjetas dos funcionários, sugerir melhorias nos procedimentos e na disposição do salão, garantir a conclusão das tarefas auxiliares, incluindo a limpeza de equipamentos e áreas de armazenamento conforme o cronograma, e relatar problemas de manutenção e segurança. Eles serão responsáveis ​​por manter o inventário dos itens do salão de jantar, incluindo talheres, cafeteiras, jarras de água, louças e roupas de mesa, além de monitorar o orçamento de mão de obra e suprimentos do salão, criar previsões e relatórios de receita, desenvolver e atualizar políticas e procedimentos para a equipe de serviço e garantir a segurança do salão ao final do expediente. Também trabalharão com o Chef Executivo para revisar as alterações semanais do cardápio e repassá-las à equipe do salão, auxiliar no serviço de culinária à mesa, desenvolver promoções de bebidas, acompanhar as vendas de vinho e garantir o cumprimento das leis locais e estaduais, bem como das políticas e procedimentos do clube para o serviço de bebidas alcoólicas. Poderão ainda atuar como gerente de plantão do clube, o que inclui processar os relatórios noturnos, trancar e fechar as portas ao final do expediente e fechar o dia no sistema de ponto de venda. Poderão supervisionar até onze (11) garçons, quatro (4) membros da equipe de apoio e um (1) recepcionista. Poderá ser necessário empurrar, puxar ou levantar até 23 kg. Horário: 40 horas semanais. A escala de trabalho pode variar e incluir turnos noturnos, fins de semana e feriados. O trabalho pode ser realizado em qualquer dia da semana, de segunda a domingo. Exemplos de turnos: 9h às 17h, 16h às 00h. Os horários dos turnos podem variar. Consulte a descrição da vaga para obter mais detalhes. Classificação da vaga: 35-1012.00 - Supervisores de Primeira Linha de Preparadores e Atendentes de Alimentos. A classificação e a descrição da vaga/setor incluem informações gerais sobre o cargo, de acordo com o ONET/OES e o Sistema de Classificação Industrial da América do Norte (NAICS). Consulte as Funções e a Ordem de Serviço para obter mais informações. Requisitos da vaga: Experiência exigida: Sim. Meses de experiência exigidos: 12. Requisitos especiais: O contratante considerará para emprego qualquer pessoa que possua pelo menos um (1) ano de experiência em supervisão em um ambiente de alta gastronomia ou de grande movimento, em um restaurante sofisticado, resort ou clube privado. O candidato deverá se submeter à verificação de antecedentes e ao exame toxicológico pré-admissional, às custas do empregador. Número de horas por semana: 40 Horário de trabalho (início/término): 9h00 - 17h00</v>
      </c>
    </row>
    <row r="1109" ht="20.25" customHeight="1">
      <c r="A1109" s="8" t="s">
        <v>5072</v>
      </c>
      <c r="B1109" s="8" t="s">
        <v>5064</v>
      </c>
      <c r="C1109" s="8" t="s">
        <v>4241</v>
      </c>
      <c r="D1109" s="8" t="s">
        <v>71</v>
      </c>
      <c r="E1109" s="9" t="s">
        <v>44</v>
      </c>
      <c r="F1109" s="9" t="s">
        <v>20</v>
      </c>
      <c r="G1109" s="9" t="s">
        <v>5065</v>
      </c>
      <c r="H1109" s="8" t="s">
        <v>5066</v>
      </c>
      <c r="I1109" s="8" t="s">
        <v>5067</v>
      </c>
      <c r="J1109" s="9">
        <v>16.35</v>
      </c>
      <c r="K1109" s="9">
        <v>1.0</v>
      </c>
      <c r="L1109" s="8" t="s">
        <v>387</v>
      </c>
      <c r="M1109" s="8" t="s">
        <v>5073</v>
      </c>
      <c r="N1109" s="7" t="str">
        <f>IFERROR(__xludf.DUMMYFUNCTION("GOOGLETRANSLATE(L1109, ""en"", ""pt"")"),"Ordem de serviço não disponível")</f>
        <v>Ordem de serviço não disponível</v>
      </c>
      <c r="O1109" s="7" t="str">
        <f>IFERROR(__xludf.DUMMYFUNCTION("IF(M1109="""","""",GOOGLETRANSLATE(M1109,""en"",""pt""))"),"Os recepcionistas serão responsáveis ​​por receber reservas e manter o registro de reservas, recepcionar os clientes e acomodá-los às mesas, garantir a pontualidade do serviço de alimentação, sugerir à gerência melhorias nos procedimentos e layout do salã"&amp;"o, assegurar que a disposição dos móveis esteja de acordo com as reservas e necessidades dos clientes, inspecionar o clube para garantir a limpeza e a organização adequada das áreas de refeição, auxiliar os garçons quando necessário, incluindo servir comi"&amp;"das e bebidas, recolher pratos e copos das mesas e/ou servir sorvete aos clientes. Os recepcionistas também serão responsáveis ​​por auxiliar na revisão e impressão das alterações semanais do cardápio com o Chef Executivo, utilizar o sistema informatizado"&amp;" para cobrar os clientes corretamente, receber pedidos para viagem por telefone e auxiliar na organização de eventos especiais, imprimindo cardápios, escrevendo cartazes e posicionando os utensílios de servir. Pode ser necessário empurrar, puxar ou levant"&amp;"ar até 23 kg. Horário: 40 horas semanais. A escala de trabalho pode variar e incluir noites, fins de semana e feriados. O trabalho pode ser realizado em qualquer dia da semana, de segunda a domingo. Exemplos de turnos: 9h às 17h, 16h às 00h. Os horários d"&amp;"os turnos podem variar. Consulte a descrição da vaga para obter mais informações. Classificação da vaga: 35-9011.00 - Atendentes de Salão e Cafeteria e Auxiliares de Bar. A classificação e descrição da vaga/setor incluem informações gerais sobre o cargo, "&amp;"de acordo com o ONET/OES e o Sistema de Classificação Industrial da América do Norte (NAICS). Consulte as Funções e a Ordem de Serviço para obter mais informações. Requisitos da vaga: Experiência exigida: Sim. Meses de experiência exigidos: 3. Requisitos "&amp;"especiais: O contratante considerará para emprego qualquer pessoa que possua pelo menos três (3) meses de experiência em um restaurante de alto padrão. O candidato deverá se submeter à verificação de antecedentes e ao exame toxicológico pré-admissional, à"&amp;"s custas do empregador. Número de horas por semana: 40. Horário de trabalho (início/término): 9h às 17h.")</f>
        <v>Os recepcionistas serão responsáveis ​​por receber reservas e manter o registro de reservas, recepcionar os clientes e acomodá-los às mesas, garantir a pontualidade do serviço de alimentação, sugerir à gerência melhorias nos procedimentos e layout do salão, assegurar que a disposição dos móveis esteja de acordo com as reservas e necessidades dos clientes, inspecionar o clube para garantir a limpeza e a organização adequada das áreas de refeição, auxiliar os garçons quando necessário, incluindo servir comidas e bebidas, recolher pratos e copos das mesas e/ou servir sorvete aos clientes. Os recepcionistas também serão responsáveis ​​por auxiliar na revisão e impressão das alterações semanais do cardápio com o Chef Executivo, utilizar o sistema informatizado para cobrar os clientes corretamente, receber pedidos para viagem por telefone e auxiliar na organização de eventos especiais, imprimindo cardápios, escrevendo cartazes e posicionando os utensílios de servir. Pode ser necessário empurrar, puxar ou levantar até 23 kg. Horário: 40 horas semanais. A escala de trabalho pode variar e incluir noites, fins de semana e feriados. O trabalho pode ser realizado em qualquer dia da semana, de segunda a domingo. Exemplos de turnos: 9h às 17h, 16h às 00h. Os horários dos turnos podem variar. Consulte a descrição da vaga para obter mais informações. Classificação da vaga: 35-9011.00 - Atendentes de Salão e Cafeteria e Auxiliares de Bar. A classificação e descrição da vaga/setor incluem informações gerais sobre o cargo, de acordo com o ONET/OES e o Sistema de Classificação Industrial da América do Norte (NAICS). Consulte as Funções e a Ordem de Serviço para obter mais informações. Requisitos da vaga: Experiência exigida: Sim. Meses de experiência exigidos: 3. Requisitos especiais: O contratante considerará para emprego qualquer pessoa que possua pelo menos três (3) meses de experiência em um restaurante de alto padrão. O candidato deverá se submeter à verificação de antecedentes e ao exame toxicológico pré-admissional, às custas do empregador. Número de horas por semana: 40. Horário de trabalho (início/término): 9h às 17h.</v>
      </c>
    </row>
    <row r="1110" ht="20.25" customHeight="1">
      <c r="A1110" s="3" t="s">
        <v>5074</v>
      </c>
      <c r="B1110" s="3" t="s">
        <v>5064</v>
      </c>
      <c r="C1110" s="3" t="s">
        <v>4241</v>
      </c>
      <c r="D1110" s="3" t="s">
        <v>71</v>
      </c>
      <c r="E1110" s="4" t="s">
        <v>44</v>
      </c>
      <c r="F1110" s="4" t="s">
        <v>20</v>
      </c>
      <c r="G1110" s="4" t="s">
        <v>5065</v>
      </c>
      <c r="H1110" s="3" t="s">
        <v>5066</v>
      </c>
      <c r="I1110" s="3" t="s">
        <v>5067</v>
      </c>
      <c r="J1110" s="4">
        <v>18.75</v>
      </c>
      <c r="K1110" s="4">
        <v>13.0</v>
      </c>
      <c r="L1110" s="3" t="s">
        <v>1206</v>
      </c>
      <c r="M1110" s="3" t="s">
        <v>5075</v>
      </c>
      <c r="N1110" s="7" t="str">
        <f>IFERROR(__xludf.DUMMYFUNCTION("GOOGLETRANSLATE(L1110, ""en"", ""pt"")"),"Servidor")</f>
        <v>Servidor</v>
      </c>
      <c r="O1110" s="7" t="str">
        <f>IFERROR(__xludf.DUMMYFUNCTION("IF(M1110="""","""",GOOGLETRANSLATE(M1110,""en"",""pt""))"),"Os garçons serão responsáveis ​​por recepcionar os clientes, preparar as áreas de refeição, anotar e registrar pedidos, transportar bandejas e pratos, servir alimentos e bebidas, e limpar e retirar os pratos das mesas. Horário: 40 horas semanais. A escala"&amp;" de trabalho pode variar e incluir turnos noturnos, fins de semana e feriados. O trabalho pode ser realizado em qualquer dia da semana, de segunda a domingo. Exemplos de turnos: 9h às 17h, 16h às 00h. Os horários dos turnos podem variar. Consulte a descri"&amp;"ção da vaga para obter mais informações. Classificação da vaga: 35-3031.00 - Garçons e Garçonetes. A classificação e descrição da vaga/setor incluem informações gerais sobre o cargo, de acordo com o ONET/OES e o Sistema de Classificação Industrial da Amér"&amp;"ica do Norte (NAICS). Consulte as Funções e a Ordem de Serviço para obter mais informações. Requisitos da vaga Experiência necessária: Sim Meses de experiência necessários: 3 Requisitos especiais: O contratante considerará para emprego qualquer pessoa que"&amp;" possua pelo menos três (3) meses de experiência em um ambiente de alta gastronomia ou de grande movimento em um restaurante sofisticado, resort ou clube privado. O candidato deverá se submeter à verificação de antecedentes e ao exame toxicológico pré-adm"&amp;"issional, às custas do empregador. Número de horas por semana: 40 Horário de trabalho (início/término): 9h às 17h")</f>
        <v>Os garçons serão responsáveis ​​por recepcionar os clientes, preparar as áreas de refeição, anotar e registrar pedidos, transportar bandejas e pratos, servir alimentos e bebidas, e limpar e retirar os pratos das mesas. Horário: 40 horas semanais. A escala de trabalho pode variar e incluir turnos noturnos, fins de semana e feriados. O trabalho pode ser realizado em qualquer dia da semana, de segunda a domingo. Exemplos de turnos: 9h às 17h, 16h às 00h. Os horários dos turnos podem variar. Consulte a descrição da vaga para obter mais informações. Classificação da vaga: 35-3031.00 - Garçons e Garçonetes. A classificação e descrição da vaga/setor incluem informações gerais sobre o cargo, de acordo com o ONET/OES e o Sistema de Classificação Industrial da América do Norte (NAICS). Consulte as Funções e a Ordem de Serviço para obter mais informações. Requisitos da vaga Experiência necessária: Sim Meses de experiência necessários: 3 Requisitos especiais: O contratante considerará para emprego qualquer pessoa que possua pelo menos três (3) meses de experiência em um ambiente de alta gastronomia ou de grande movimento em um restaurante sofisticado, resort ou clube privado. O candidato deverá se submeter à verificação de antecedentes e ao exame toxicológico pré-admissional, às custas do empregador. Número de horas por semana: 40 Horário de trabalho (início/término): 9h às 17h</v>
      </c>
    </row>
    <row r="1111" ht="20.25" customHeight="1">
      <c r="A1111" s="8" t="s">
        <v>5076</v>
      </c>
      <c r="B1111" s="8" t="s">
        <v>5064</v>
      </c>
      <c r="C1111" s="8" t="s">
        <v>4241</v>
      </c>
      <c r="D1111" s="8" t="s">
        <v>71</v>
      </c>
      <c r="E1111" s="9" t="s">
        <v>44</v>
      </c>
      <c r="F1111" s="9" t="s">
        <v>20</v>
      </c>
      <c r="G1111" s="9" t="s">
        <v>5065</v>
      </c>
      <c r="H1111" s="8" t="s">
        <v>5066</v>
      </c>
      <c r="I1111" s="8" t="s">
        <v>5067</v>
      </c>
      <c r="J1111" s="9">
        <v>18.75</v>
      </c>
      <c r="K1111" s="9">
        <v>3.0</v>
      </c>
      <c r="L1111" s="8" t="s">
        <v>5077</v>
      </c>
      <c r="M1111" s="8" t="s">
        <v>5078</v>
      </c>
      <c r="N1111" s="7" t="str">
        <f>IFERROR(__xludf.DUMMYFUNCTION("GOOGLETRANSLATE(L1111, ""en"", ""pt"")"),"Equipe de apoio")</f>
        <v>Equipe de apoio</v>
      </c>
      <c r="O1111" s="7" t="str">
        <f>IFERROR(__xludf.DUMMYFUNCTION("IF(M1111="""","""",GOOGLETRANSLATE(M1111,""en"",""pt""))"),"A equipe de apoio será responsável por fornecer um serviço amigável e acolhedor aos sócios, anotando pedidos, servindo comidas e bebidas e respondendo a perguntas dos sócios. Eles ajudarão a garantir que os sócios tenham uma experiência excepcional durant"&amp;"e sua estadia e auxiliarão na recepção dos sócios na chegada. Auxiliarão na preparação dos alimentos nas etapas finais, o que inclui adicionar molhos ou ketchup aos pratos dos clientes. A equipe de apoio deve garantir que todos os padrões de saúde e segur"&amp;"ança sejam atendidos, mantendo a limpeza e a organização das áreas de refeição e cozinha. Auxiliarão na reposição de suprimentos conforme necessário. A equipe de apoio auxiliará na limpeza de mesas, pratos, panelas e frigideiras e colaborará com os membro"&amp;"s da equipe para garantir o bom funcionamento durante os horários de pico. Auxiliarão no trabalho pesado na cozinha, o que inclui levar bandejas pesadas de comida para o salão. Se necessário, receberão reservas e as inserirão no sistema eletrônico de rese"&amp;"rvas e ajudarão a levar a comida entre a cozinha e o salão. Comunicarão-se com a equipe da cozinha e do serviço para garantir o bom funcionamento e auxiliarão os sócios na entrada e saída do salão. Horário: 40 horas por semana. O horário de trabalho pode "&amp;"variar e incluir noites, fins de semana e feriados. O trabalho pode ser realizado em qualquer dia da semana, de segunda a domingo. Exemplos de turnos: 9h às 17h, 16h às 00h. Os horários dos turnos podem variar. Consulte a descrição da vaga para obter mais"&amp;" detalhes. Classificação da vaga: 35-3031.00 - Garçons e Garçonetes. A classificação e descrição da vaga/setor incluem informações gerais sobre o cargo, de acordo com o ONET/OES e o Sistema de Classificação Industrial da América do Norte (NAICS). Consulte"&amp;" as Funções e a Ordem de Serviço para obter mais informações. Requisitos da vaga: Experiência exigida: Sim. Meses de experiência exigidos: 3. Requisitos especiais: O contratante considerará para emprego qualquer pessoa que possua pelo menos três (3) meses"&amp;" de experiência em um ambiente de alta gastronomia ou de grande movimento em um restaurante sofisticado, resort ou clube privado. O candidato deve se submeter à verificação de antecedentes e ao exame toxicológico pré-admissional, às custas do empregador. "&amp;"Número de horas por semana: 40. Horário de trabalho (início/término): 9h. - 17h00")</f>
        <v>A equipe de apoio será responsável por fornecer um serviço amigável e acolhedor aos sócios, anotando pedidos, servindo comidas e bebidas e respondendo a perguntas dos sócios. Eles ajudarão a garantir que os sócios tenham uma experiência excepcional durante sua estadia e auxiliarão na recepção dos sócios na chegada. Auxiliarão na preparação dos alimentos nas etapas finais, o que inclui adicionar molhos ou ketchup aos pratos dos clientes. A equipe de apoio deve garantir que todos os padrões de saúde e segurança sejam atendidos, mantendo a limpeza e a organização das áreas de refeição e cozinha. Auxiliarão na reposição de suprimentos conforme necessário. A equipe de apoio auxiliará na limpeza de mesas, pratos, panelas e frigideiras e colaborará com os membros da equipe para garantir o bom funcionamento durante os horários de pico. Auxiliarão no trabalho pesado na cozinha, o que inclui levar bandejas pesadas de comida para o salão. Se necessário, receberão reservas e as inserirão no sistema eletrônico de reservas e ajudarão a levar a comida entre a cozinha e o salão. Comunicarão-se com a equipe da cozinha e do serviço para garantir o bom funcionamento e auxiliarão os sócios na entrada e saída do salão. Horário: 40 horas por semana. O horário de trabalho pode variar e incluir noites, fins de semana e feriados. O trabalho pode ser realizado em qualquer dia da semana, de segunda a domingo. Exemplos de turnos: 9h às 17h, 16h às 00h. Os horários dos turnos podem variar. Consulte a descrição da vaga para obter mais detalhes. Classificação da vaga: 35-3031.00 - Garçons e Garçonetes. A classificação e descrição da vaga/setor incluem informações gerais sobre o cargo, de acordo com o ONET/OES e o Sistema de Classificação Industrial da América do Norte (NAICS). Consulte as Funções e a Ordem de Serviço para obter mais informações. Requisitos da vaga: Experiência exigida: Sim. Meses de experiência exigidos: 3. Requisitos especiais: O contratante considerará para emprego qualquer pessoa que possua pelo menos três (3) meses de experiência em um ambiente de alta gastronomia ou de grande movimento em um restaurante sofisticado, resort ou clube privado. O candidato deve se submeter à verificação de antecedentes e ao exame toxicológico pré-admissional, às custas do empregador. Número de horas por semana: 40. Horário de trabalho (início/término): 9h. - 17h00</v>
      </c>
    </row>
    <row r="1112" ht="20.25" customHeight="1">
      <c r="A1112" s="3" t="s">
        <v>5079</v>
      </c>
      <c r="B1112" s="3" t="s">
        <v>4876</v>
      </c>
      <c r="C1112" s="3" t="s">
        <v>4241</v>
      </c>
      <c r="D1112" s="3" t="s">
        <v>2222</v>
      </c>
      <c r="E1112" s="4" t="s">
        <v>19</v>
      </c>
      <c r="F1112" s="4" t="s">
        <v>20</v>
      </c>
      <c r="G1112" s="4" t="s">
        <v>80</v>
      </c>
      <c r="H1112" s="3" t="s">
        <v>4877</v>
      </c>
      <c r="I1112" s="3" t="s">
        <v>4878</v>
      </c>
      <c r="J1112" s="4">
        <v>23.67</v>
      </c>
      <c r="K1112" s="4">
        <v>8.0</v>
      </c>
      <c r="L1112" s="3" t="s">
        <v>2443</v>
      </c>
      <c r="M1112" s="3" t="s">
        <v>5080</v>
      </c>
      <c r="N1112" s="7" t="str">
        <f>IFERROR(__xludf.DUMMYFUNCTION("GOOGLETRANSLATE(L1112, ""en"", ""pt"")"),"Cook IV")</f>
        <v>Cook IV</v>
      </c>
      <c r="O1112" s="7" t="str">
        <f>IFERROR(__xludf.DUMMYFUNCTION("IF(M1112="""","""",GOOGLETRANSLATE(M1112,""en"",""pt""))"),"O Cozinheiro IV será responsável por preparar, temperar e cozinhar sopas, carnes, legumes, sobremesas e outros pratos em um restaurante. Horário: 40 horas semanais. A escala de trabalho pode variar e incluir turnos noturnos, fins de semana e feriados. O t"&amp;"rabalho pode ser realizado em qualquer dia da semana, de segunda a domingo. Exemplos de turnos: 6h às 14h, 8h às 16h ou 13h às 21h. Os horários dos turnos podem variar. Consulte a descrição da vaga em anexo para obter mais informações. Classificação da va"&amp;"ga: 35-2014.00 - Cozinheiros, Restaurante. A classificação e descrição da vaga/setor incluem informações gerais sobre o cargo, de acordo com o ONET/OES e o Sistema de Classificação Industrial da América do Norte (NAICS). Consulte as Funções e a Ordem de S"&amp;"erviço para obter mais informações. Requisitos da vaga Experiência exigida: Sim Meses de experiência exigidos: 12 Requisitos especiais: O contratante considerará para emprego qualquer pessoa que possua pelo menos um (1) ano de experiência em um ambiente d"&amp;"e alta gastronomia ou de grande movimento em um restaurante de luxo, resort ou clube privado. Número de horas por semana: 40 Horário de trabalho (início/término): 6h00 - 14h00")</f>
        <v>O Cozinheiro IV será responsável por preparar, temperar e cozinhar sopas, carnes, legumes, sobremesas e outros pratos em um restaurante. Horário: 40 horas semanais. A escala de trabalho pode variar e incluir turnos noturnos, fins de semana e feriados. O trabalho pode ser realizado em qualquer dia da semana, de segunda a domingo. Exemplos de turnos: 6h às 14h, 8h às 16h ou 13h às 21h. Os horários dos turnos podem variar. Consulte a descrição da vaga em anexo para obter mais informações. Classificação da vaga: 35-2014.00 - Cozinheiros, Restaurante. A classificação e descrição da vaga/setor incluem informações gerais sobre o cargo, de acordo com o ONET/OES e o Sistema de Classificação Industrial da América do Norte (NAICS). Consulte as Funções e a Ordem de Serviço para obter mais informações. Requisitos da vaga Experiência exigida: Sim Meses de experiência exigidos: 12 Requisitos especiais: O contratante considerará para emprego qualquer pessoa que possua pelo menos um (1) ano de experiência em um ambiente de alta gastronomia ou de grande movimento em um restaurante de luxo, resort ou clube privado. Número de horas por semana: 40 Horário de trabalho (início/término): 6h00 - 14h00</v>
      </c>
    </row>
    <row r="1113" ht="20.25" customHeight="1">
      <c r="A1113" s="8" t="s">
        <v>5081</v>
      </c>
      <c r="B1113" s="8" t="s">
        <v>5082</v>
      </c>
      <c r="C1113" s="8" t="s">
        <v>4241</v>
      </c>
      <c r="D1113" s="8" t="s">
        <v>71</v>
      </c>
      <c r="E1113" s="9" t="s">
        <v>19</v>
      </c>
      <c r="F1113" s="9" t="s">
        <v>20</v>
      </c>
      <c r="G1113" s="9" t="s">
        <v>80</v>
      </c>
      <c r="H1113" s="8" t="s">
        <v>5083</v>
      </c>
      <c r="I1113" s="8" t="s">
        <v>5084</v>
      </c>
      <c r="J1113" s="9">
        <v>19.0</v>
      </c>
      <c r="K1113" s="9">
        <v>10.0</v>
      </c>
      <c r="L1113" s="8" t="s">
        <v>5085</v>
      </c>
      <c r="M1113" s="8" t="s">
        <v>5086</v>
      </c>
      <c r="N1113" s="7" t="str">
        <f>IFERROR(__xludf.DUMMYFUNCTION("GOOGLETRANSLATE(L1113, ""en"", ""pt"")"),"Agente de Recepção")</f>
        <v>Agente de Recepção</v>
      </c>
      <c r="O1113" s="7" t="str">
        <f>IFERROR(__xludf.DUMMYFUNCTION("IF(M1113="""","""",GOOGLETRANSLATE(M1113,""en"",""pt""))"),"Os agentes de recepção serão responsáveis ​​por operar o telefone de maneira educada e amigável, seguindo a etiqueta telefônica adequada, recepcionar membros e hóspedes, realizar o check-in e o check-out dos hóspedes, auxiliar os hóspedes com quaisquer dú"&amp;"vidas sobre o hotel e suas atividades, transportar hóspedes pela propriedade em carrinho de golfe, auxiliar no transporte de bagagens de e para os quartos, distribuir informações e horários do resort e coletar e separar a correspondência diariamente. Horá"&amp;"rio: 35 horas semanais. O horário de trabalho pode variar e incluir turnos noturnos, fins de semana e feriados. O trabalho pode ser realizado em qualquer dia da semana, de segunda a domingo. Exemplos de turnos: 7h às 14h, 12h às 19h ou 15h às 22h. Os horá"&amp;"rios dos turnos podem variar. Consulte a descrição do cargo em anexo para obter mais informações. Classificação do Cargo: 43-4081.00 - Recepcionistas de Hotel, Motel e Resort. A classificação e descrição do cargo/setor inclui informações gerais sobre a po"&amp;"sição, de acordo com o ONET/OES e o Sistema de Classificação Industrial da América do Norte (NAICS). Consulte a Descrição das Funções e a Ordem de Serviço para obter mais informações. Requisitos da Vaga Experiência Necessária: Sim Meses de Experiência Nec"&amp;"essários: 3 Requisitos Especiais: O contratante considerará para emprego qualquer pessoa que possua pelo menos três (3) meses de experiência em atendimento ao cliente em um hotel de alto padrão, resort ou clube privado. O candidato deverá se submeter à ve"&amp;"rificação de antecedentes e ao exame toxicológico pré-admissional, às custas do empregador. Número de Horas por Semana: 35 Horário de Trabalho (Início/Término): 7h00 - 14h00")</f>
        <v>Os agentes de recepção serão responsáveis ​​por operar o telefone de maneira educada e amigável, seguindo a etiqueta telefônica adequada, recepcionar membros e hóspedes, realizar o check-in e o check-out dos hóspedes, auxiliar os hóspedes com quaisquer dúvidas sobre o hotel e suas atividades, transportar hóspedes pela propriedade em carrinho de golfe, auxiliar no transporte de bagagens de e para os quartos, distribuir informações e horários do resort e coletar e separar a correspondência diariamente. Horário: 35 horas semanais. O horário de trabalho pode variar e incluir turnos noturnos, fins de semana e feriados. O trabalho pode ser realizado em qualquer dia da semana, de segunda a domingo. Exemplos de turnos: 7h às 14h, 12h às 19h ou 15h às 22h. Os horários dos turnos podem variar. Consulte a descrição do cargo em anexo para obter mais informações. Classificação do Cargo: 43-4081.00 - Recepcionistas de Hotel, Motel e Resort. A classificação e descrição do cargo/setor inclui informações gerais sobre a posição, de acordo com o ONET/OES e o Sistema de Classificação Industrial da América do Norte (NAICS). Consulte a Descrição das Funções e a Ordem de Serviço para obter mais informações. Requisitos da Vaga Experiência Necessária: Sim Meses de Experiência Necessários: 3 Requisitos Especiais: O contratante considerará para emprego qualquer pessoa que possua pelo menos três (3) meses de experiência em atendimento ao cliente em um hotel de alto padrão, resort ou clube privado. O candidato deverá se submeter à verificação de antecedentes e ao exame toxicológico pré-admissional, às custas do empregador. Número de Horas por Semana: 35 Horário de Trabalho (Início/Término): 7h00 - 14h00</v>
      </c>
    </row>
    <row r="1114" ht="20.25" customHeight="1">
      <c r="A1114" s="3" t="s">
        <v>5087</v>
      </c>
      <c r="B1114" s="3" t="s">
        <v>5082</v>
      </c>
      <c r="C1114" s="3" t="s">
        <v>4241</v>
      </c>
      <c r="D1114" s="3" t="s">
        <v>71</v>
      </c>
      <c r="E1114" s="4" t="s">
        <v>19</v>
      </c>
      <c r="F1114" s="4" t="s">
        <v>20</v>
      </c>
      <c r="G1114" s="4" t="s">
        <v>80</v>
      </c>
      <c r="H1114" s="3" t="s">
        <v>5083</v>
      </c>
      <c r="I1114" s="3" t="s">
        <v>5084</v>
      </c>
      <c r="J1114" s="4">
        <v>19.4</v>
      </c>
      <c r="K1114" s="4">
        <v>14.0</v>
      </c>
      <c r="L1114" s="3" t="s">
        <v>387</v>
      </c>
      <c r="M1114" s="3" t="s">
        <v>5088</v>
      </c>
      <c r="N1114" s="7" t="str">
        <f>IFERROR(__xludf.DUMMYFUNCTION("GOOGLETRANSLATE(L1114, ""en"", ""pt"")"),"Ordem de serviço não disponível")</f>
        <v>Ordem de serviço não disponível</v>
      </c>
      <c r="O1114" s="7" t="str">
        <f>IFERROR(__xludf.DUMMYFUNCTION("IF(M1114="""","""",GOOGLETRANSLATE(M1114,""en"",""pt""))"),"Os cozinheiros serão responsáveis ​​por preparar, temperar e cozinhar sopas, carnes, legumes, sobremesas e outros pratos em um restaurante. Horário: 35 horas semanais. O horário de trabalho pode variar e incluir turnos noturnos, fins de semana e feriados."&amp;" O trabalho pode ser realizado em qualquer dia da semana, de segunda a domingo. Exemplos de turnos: 5h às 12h, 13h às 20h ou 16h às 23h. Os horários dos turnos podem variar. Consulte a descrição do cargo em anexo para obter mais informações. Classificação"&amp;" do Cargo: 35-2014.00 - Cozinheiros, Restaurante. A classificação e a descrição do cargo/setor incluem informações gerais sobre a posição, de acordo com o ONET/OES e o Sistema de Classificação Industrial da América do Norte (NAICS). Consulte as Funções e "&amp;"a Ordem de Serviço para obter mais informações. Requisitos da Vaga Experiência Necessária: Sim Meses de Experiência Necessários: 6 Requisitos Especiais: O contratante considerará para emprego qualquer pessoa que possua pelo menos seis (6) meses de experiê"&amp;"ncia culinária em um ambiente de alta gastronomia ou de grande movimento em um restaurante sofisticado, resort ou clube privado. O candidato deverá se submeter à verificação de antecedentes e ao exame toxicológico pré-admissional, às custas do empregador."&amp;" Número de Horas por Semana: 35 Horário de Trabalho (Início/Término): 5h00 - 12h00")</f>
        <v>Os cozinheiros serão responsáveis ​​por preparar, temperar e cozinhar sopas, carnes, legumes, sobremesas e outros pratos em um restaurante. Horário: 35 horas semanais. O horário de trabalho pode variar e incluir turnos noturnos, fins de semana e feriados. O trabalho pode ser realizado em qualquer dia da semana, de segunda a domingo. Exemplos de turnos: 5h às 12h, 13h às 20h ou 16h às 23h. Os horários dos turnos podem variar. Consulte a descrição do cargo em anexo para obter mais informações. Classificação do Cargo: 35-2014.00 - Cozinheiros, Restaurante. A classificação e a descrição do cargo/setor incluem informações gerais sobre a posição, de acordo com o ONET/OES e o Sistema de Classificação Industrial da América do Norte (NAICS). Consulte as Funções e a Ordem de Serviço para obter mais informações. Requisitos da Vaga Experiência Necessária: Sim Meses de Experiência Necessários: 6 Requisitos Especiais: O contratante considerará para emprego qualquer pessoa que possua pelo menos seis (6) meses de experiência culinária em um ambiente de alta gastronomia ou de grande movimento em um restaurante sofisticado, resort ou clube privado. O candidato deverá se submeter à verificação de antecedentes e ao exame toxicológico pré-admissional, às custas do empregador. Número de Horas por Semana: 35 Horário de Trabalho (Início/Término): 5h00 - 12h00</v>
      </c>
    </row>
    <row r="1115" ht="20.25" customHeight="1">
      <c r="A1115" s="8" t="s">
        <v>5089</v>
      </c>
      <c r="B1115" s="8" t="s">
        <v>5082</v>
      </c>
      <c r="C1115" s="8" t="s">
        <v>4241</v>
      </c>
      <c r="D1115" s="8" t="s">
        <v>71</v>
      </c>
      <c r="E1115" s="9" t="s">
        <v>19</v>
      </c>
      <c r="F1115" s="9" t="s">
        <v>20</v>
      </c>
      <c r="G1115" s="9" t="s">
        <v>80</v>
      </c>
      <c r="H1115" s="8" t="s">
        <v>5083</v>
      </c>
      <c r="I1115" s="8" t="s">
        <v>5084</v>
      </c>
      <c r="J1115" s="9">
        <v>18.75</v>
      </c>
      <c r="K1115" s="9">
        <v>14.0</v>
      </c>
      <c r="L1115" s="8" t="s">
        <v>1690</v>
      </c>
      <c r="M1115" s="8" t="s">
        <v>5090</v>
      </c>
      <c r="N1115" s="7" t="str">
        <f>IFERROR(__xludf.DUMMYFUNCTION("GOOGLETRANSLATE(L1115, ""en"", ""pt"")"),"Atendente de Sala de Jantar")</f>
        <v>Atendente de Sala de Jantar</v>
      </c>
      <c r="O1115" s="7" t="str">
        <f>IFERROR(__xludf.DUMMYFUNCTION("IF(M1115="""","""",GOOGLETRANSLATE(M1115,""en"",""pt""))"),"Os atendentes de salão serão responsáveis ​​por recepcionar os clientes, preparar as áreas de refeição, anotar e registrar pedidos, transportar bandejas e pratos, servir alimentos e bebidas, levar os pedidos da cozinha e do bar, limpar e retirar as mesas."&amp;" Horário: 35 horas semanais. A escala de trabalho pode variar e incluir turnos noturnos, fins de semana e feriados. O trabalho pode ser realizado em qualquer dia da semana, de segunda a domingo. Exemplos de turnos: 6h às 13h ou 15h às 22h. Os horários dos"&amp;" turnos podem variar. Consulte a descrição de cargo anexa para obter mais informações. Classificação do cargo: 35-3031.00 - Garçons e Garçonetes. A classificação e descrição do cargo/setor incluem informações gerais sobre a posição, de acordo com o ONET/O"&amp;"ES e o Sistema de Classificação Industrial da América do Norte (NAICS). Consulte as atribuições e a ordem de serviço para obter mais informações. Requisitos da vaga Experiência necessária: Sim Meses de experiência necessários: 3 Requisitos especiais: O co"&amp;"ntratante considerará para emprego qualquer pessoa que possua pelo menos três (3) meses de experiência em um ambiente de alta gastronomia ou de grande movimento em um restaurante sofisticado, resort ou clube privado. O candidato deverá se submeter à verif"&amp;"icação de antecedentes e ao exame toxicológico pré-admissional, às custas do empregador. Número de horas por semana: 35 Horário de trabalho (início/término): 6h às 13h")</f>
        <v>Os atendentes de salão serão responsáveis ​​por recepcionar os clientes, preparar as áreas de refeição, anotar e registrar pedidos, transportar bandejas e pratos, servir alimentos e bebidas, levar os pedidos da cozinha e do bar, limpar e retirar as mesas. Horário: 35 horas semanais. A escala de trabalho pode variar e incluir turnos noturnos, fins de semana e feriados. O trabalho pode ser realizado em qualquer dia da semana, de segunda a domingo. Exemplos de turnos: 6h às 13h ou 15h às 22h. Os horários dos turnos podem variar. Consulte a descrição de cargo anexa para obter mais informações. Classificação do cargo: 35-3031.00 - Garçons e Garçonetes. A classificação e descrição do cargo/setor incluem informações gerais sobre a posição, de acordo com o ONET/OES e o Sistema de Classificação Industrial da América do Norte (NAICS). Consulte as atribuições e a ordem de serviço para obter mais informações. Requisitos da vaga Experiência necessária: Sim Meses de experiência necessários: 3 Requisitos especiais: O contratante considerará para emprego qualquer pessoa que possua pelo menos três (3) meses de experiência em um ambiente de alta gastronomia ou de grande movimento em um restaurante sofisticado, resort ou clube privado. O candidato deverá se submeter à verificação de antecedentes e ao exame toxicológico pré-admissional, às custas do empregador. Número de horas por semana: 35 Horário de trabalho (início/término): 6h às 13h</v>
      </c>
    </row>
    <row r="1116" ht="20.25" customHeight="1">
      <c r="A1116" s="3" t="s">
        <v>5091</v>
      </c>
      <c r="B1116" s="3" t="s">
        <v>5082</v>
      </c>
      <c r="C1116" s="3" t="s">
        <v>4241</v>
      </c>
      <c r="D1116" s="3" t="s">
        <v>71</v>
      </c>
      <c r="E1116" s="4" t="s">
        <v>44</v>
      </c>
      <c r="F1116" s="4" t="s">
        <v>20</v>
      </c>
      <c r="G1116" s="4" t="s">
        <v>80</v>
      </c>
      <c r="H1116" s="3" t="s">
        <v>5083</v>
      </c>
      <c r="I1116" s="3" t="s">
        <v>5084</v>
      </c>
      <c r="J1116" s="4">
        <v>22.17</v>
      </c>
      <c r="K1116" s="4">
        <v>6.0</v>
      </c>
      <c r="L1116" s="3" t="s">
        <v>5092</v>
      </c>
      <c r="M1116" s="3" t="s">
        <v>5093</v>
      </c>
      <c r="N1116" s="7" t="str">
        <f>IFERROR(__xludf.DUMMYFUNCTION("GOOGLETRANSLATE(L1116, ""en"", ""pt"")"),"Manutenção/engenheiro")</f>
        <v>Manutenção/engenheiro</v>
      </c>
      <c r="O1116" s="7" t="str">
        <f>IFERROR(__xludf.DUMMYFUNCTION("IF(M1116="""","""",GOOGLETRANSLATE(M1116,""en"",""pt""))"),"O profissional de Manutenção/Engenharia será responsável por atender às solicitações dos hóspedes para resolver problemas de manutenção, solucionando e reparando pequenos problemas de encanamento, como desentupir ralos e consertar vazamentos; pequenos pro"&amp;"blemas elétricos, como trocar lâmpadas e rearmar disjuntores; pequenos defeitos em sistemas de climatização, como troca de filtros e reinicialização de termostatos; e reparos de carpintaria, como apertar dobradiças de portas e consertar móveis. O profissi"&amp;"onal de Manutenção/Engenharia também realizará verificações diárias e manutenção preventiva em ferramentas e equipamentos, além de reparos básicos em todos os tipos de equipamentos, agendando verificações e serviços em sistemas prediais, como troca de fil"&amp;"tros de ar condicionado, lubrificação de peças mecânicas, inspeção de painéis elétricos e teste de sistemas de emergência, como alarmes de incêndio e luzes de saída. As ferramentas utilizadas incluem listas de verificação de inspeção, multímetros, pistola"&amp;"s de graxa e kits de ferramentas de manutenção padrão. Os registros são atualizados após cada tarefa. O profissional também realizará pequenos reparos em eletrodomésticos dos quartos, como TVs, frigobares e secadores de cabelo, manutenção em equipamentos "&amp;"de ginástica, como apertar parafusos e trocar correias, e na iluminação das instalações, como trocar lâmpadas e consertar interruptores. Os reparos são feitos utilizando ferramentas como chaves de fenda, alicates, testadores de voltagem e ferros de solda,"&amp;" conforme apropriado. Horário: 35 horas por semana. O horário de trabalho pode variar e incluir turnos noturnos, fins de semana e feriados. O trabalho pode ser realizado em qualquer dia da semana, de segunda a domingo. Exemplos de turnos: 7h às 14h, 12h à"&amp;"s 19h ou 15h às 22h. Os horários dos turnos podem variar. Consulte a descrição do cargo em anexo para obter mais informações. Classificação do Cargo: 49-9071.00 - Trabalhadores de Manutenção e Reparos, Geral. A classificação e descrição do cargo/setor inc"&amp;"luem informações gerais sobre a posição, de acordo com o ONET/OES e o Sistema de Classificação Industrial da América do Norte (NAICS). Consulte as Funções e a Ordem de Serviço para obter mais informações. Requisitos do Cargo Experiência Necessária: Sim Me"&amp;"ses de Experiência Necessários: 6 Requisitos Especiais: O Requerente considerará para emprego qualquer pessoa que possua pelo menos seis (6) meses de experiência em um hotel de alto padrão, resort ou clube privado. O candidato deverá se submeter à verific"&amp;"ação de antecedentes e ao exame toxicológico pré-admissional, às custas do empregador. Número de horas semanais: 35. Horário de trabalho (início/término): 7h às 14h.")</f>
        <v>O profissional de Manutenção/Engenharia será responsável por atender às solicitações dos hóspedes para resolver problemas de manutenção, solucionando e reparando pequenos problemas de encanamento, como desentupir ralos e consertar vazamentos; pequenos problemas elétricos, como trocar lâmpadas e rearmar disjuntores; pequenos defeitos em sistemas de climatização, como troca de filtros e reinicialização de termostatos; e reparos de carpintaria, como apertar dobradiças de portas e consertar móveis. O profissional de Manutenção/Engenharia também realizará verificações diárias e manutenção preventiva em ferramentas e equipamentos, além de reparos básicos em todos os tipos de equipamentos, agendando verificações e serviços em sistemas prediais, como troca de filtros de ar condicionado, lubrificação de peças mecânicas, inspeção de painéis elétricos e teste de sistemas de emergência, como alarmes de incêndio e luzes de saída. As ferramentas utilizadas incluem listas de verificação de inspeção, multímetros, pistolas de graxa e kits de ferramentas de manutenção padrão. Os registros são atualizados após cada tarefa. O profissional também realizará pequenos reparos em eletrodomésticos dos quartos, como TVs, frigobares e secadores de cabelo, manutenção em equipamentos de ginástica, como apertar parafusos e trocar correias, e na iluminação das instalações, como trocar lâmpadas e consertar interruptores. Os reparos são feitos utilizando ferramentas como chaves de fenda, alicates, testadores de voltagem e ferros de solda, conforme apropriado. Horário: 35 horas por semana. O horário de trabalho pode variar e incluir turnos noturnos, fins de semana e feriados. O trabalho pode ser realizado em qualquer dia da semana, de segunda a domingo. Exemplos de turnos: 7h às 14h, 12h às 19h ou 15h às 22h. Os horários dos turnos podem variar. Consulte a descrição do cargo em anexo para obter mais informações. Classificação do Cargo: 49-9071.00 - Trabalhadores de Manutenção e Reparos, Geral. A classificação e descrição do cargo/setor incluem informações gerais sobre a posição, de acordo com o ONET/OES e o Sistema de Classificação Industrial da América do Norte (NAICS). Consulte as Funções e a Ordem de Serviço para obter mais informações. Requisitos do Cargo Experiência Necessária: Sim Meses de Experiência Necessários: 6 Requisitos Especiais: O Requerente considerará para emprego qualquer pessoa que possua pelo menos seis (6) meses de experiência em um hotel de alto padrão, resort ou clube privado. O candidato deverá se submeter à verificação de antecedentes e ao exame toxicológico pré-admissional, às custas do empregador. Número de horas semanais: 35. Horário de trabalho (início/término): 7h às 14h.</v>
      </c>
    </row>
    <row r="1117" ht="20.25" customHeight="1">
      <c r="A1117" s="8" t="s">
        <v>5094</v>
      </c>
      <c r="B1117" s="8" t="s">
        <v>5082</v>
      </c>
      <c r="C1117" s="8" t="s">
        <v>4241</v>
      </c>
      <c r="D1117" s="8" t="s">
        <v>71</v>
      </c>
      <c r="E1117" s="9" t="s">
        <v>44</v>
      </c>
      <c r="F1117" s="9" t="s">
        <v>20</v>
      </c>
      <c r="G1117" s="9" t="s">
        <v>80</v>
      </c>
      <c r="H1117" s="8" t="s">
        <v>5083</v>
      </c>
      <c r="I1117" s="8" t="s">
        <v>5084</v>
      </c>
      <c r="J1117" s="9">
        <v>16.98</v>
      </c>
      <c r="K1117" s="9">
        <v>16.0</v>
      </c>
      <c r="L1117" s="8" t="s">
        <v>354</v>
      </c>
      <c r="M1117" s="8" t="s">
        <v>5095</v>
      </c>
      <c r="N1117" s="7" t="str">
        <f>IFERROR(__xludf.DUMMYFUNCTION("GOOGLETRANSLATE(L1117, ""en"", ""pt"")"),"Governanta")</f>
        <v>Governanta</v>
      </c>
      <c r="O1117" s="7" t="str">
        <f>IFERROR(__xludf.DUMMYFUNCTION("IF(M1117="""","""",GOOGLETRANSLATE(M1117,""en"",""pt""))"),"Os funcionários da limpeza serão responsáveis ​​pela limpeza e manutenção de todos os quartos, suítes e áreas comuns internas e externas da propriedade do empregador, incluindo aspirar pisos, tirar o pó, repor roupas de cama e toalhas, desinfetar banheiro"&amp;"s e lavar janelas. Os funcionários da limpeza poderão ser designados para tarefas na lavanderia, conforme necessário. Essas tarefas podem incluir operar equipamentos de lavanderia, separar e dobrar roupas de cama, transportar roupas de cama entre a lavand"&amp;"eria e as áreas de limpeza, abastecer os armários de roupa de cama e manter a limpeza e organização das instalações da lavanderia. Horário: 35 horas por semana. O horário de trabalho pode variar e incluir turnos noturnos, fins de semana e feriados. O trab"&amp;"alho pode ser realizado em qualquer dia da semana, de segunda a domingo. Exemplos de turnos: 7h às 14h ou 15h às 22h. Os horários dos turnos podem variar. Consulte a descrição do cargo em anexo para obter mais informações. Classificação da Função: 37-2012"&amp;".00 - Camareiras e Auxiliares de Limpeza. A classificação e descrição da função/setor inclui informações gerais sobre o cargo, de acordo com o ONET/OES e o Sistema de Classificação Industrial da América do Norte. Consulte as Funções e a Ordem de Serviço p"&amp;"ara obter mais informações. Requisitos da Função Experiência Necessária: Sim Meses de Experiência Necessários: 3 Requisitos Especiais: O contratante considerará para emprego qualquer pessoa que possua pelo menos três (3) meses de experiência em um hotel d"&amp;"e alto padrão, resort ou clube privado. O candidato deverá se submeter à verificação de antecedentes e ao exame toxicológico pré-admissional, às custas do empregador. Número de Horas por Semana: 35 Horário de Trabalho (Início/Término): 7h00 - 14h00")</f>
        <v>Os funcionários da limpeza serão responsáveis ​​pela limpeza e manutenção de todos os quartos, suítes e áreas comuns internas e externas da propriedade do empregador, incluindo aspirar pisos, tirar o pó, repor roupas de cama e toalhas, desinfetar banheiros e lavar janelas. Os funcionários da limpeza poderão ser designados para tarefas na lavanderia, conforme necessário. Essas tarefas podem incluir operar equipamentos de lavanderia, separar e dobrar roupas de cama, transportar roupas de cama entre a lavanderia e as áreas de limpeza, abastecer os armários de roupa de cama e manter a limpeza e organização das instalações da lavanderia. Horário: 35 horas por semana. O horário de trabalho pode variar e incluir turnos noturnos, fins de semana e feriados. O trabalho pode ser realizado em qualquer dia da semana, de segunda a domingo. Exemplos de turnos: 7h às 14h ou 15h às 22h. Os horários dos turnos podem variar. Consulte a descrição do cargo em anexo para obter mais informações. Classificação da Função: 37-2012.00 - Camareiras e Auxiliares de Limpeza. A classificação e descrição da função/setor inclui informações gerais sobre o cargo, de acordo com o ONET/OES e o Sistema de Classificação Industrial da América do Norte. Consulte as Funções e a Ordem de Serviço para obter mais informações. Requisitos da Função Experiência Necessária: Sim Meses de Experiência Necessários: 3 Requisitos Especiais: O contratante considerará para emprego qualquer pessoa que possua pelo menos três (3) meses de experiência em um hotel de alto padrão, resort ou clube privado. O candidato deverá se submeter à verificação de antecedentes e ao exame toxicológico pré-admissional, às custas do empregador. Número de Horas por Semana: 35 Horário de Trabalho (Início/Término): 7h00 - 14h00</v>
      </c>
    </row>
    <row r="1118" ht="20.25" customHeight="1">
      <c r="A1118" s="3" t="s">
        <v>5096</v>
      </c>
      <c r="B1118" s="3" t="s">
        <v>5082</v>
      </c>
      <c r="C1118" s="3" t="s">
        <v>4241</v>
      </c>
      <c r="D1118" s="3" t="s">
        <v>71</v>
      </c>
      <c r="E1118" s="4" t="s">
        <v>44</v>
      </c>
      <c r="F1118" s="4" t="s">
        <v>20</v>
      </c>
      <c r="G1118" s="4" t="s">
        <v>80</v>
      </c>
      <c r="H1118" s="3" t="s">
        <v>5083</v>
      </c>
      <c r="I1118" s="3" t="s">
        <v>5084</v>
      </c>
      <c r="J1118" s="4">
        <v>16.07</v>
      </c>
      <c r="K1118" s="4">
        <v>8.0</v>
      </c>
      <c r="L1118" s="3" t="s">
        <v>5097</v>
      </c>
      <c r="M1118" s="3" t="s">
        <v>5098</v>
      </c>
      <c r="N1118" s="7" t="str">
        <f>IFERROR(__xludf.DUMMYFUNCTION("GOOGLETRANSLATE(L1118, ""en"", ""pt"")"),"Atendente de Serviços ao Hóspede/Atendente de Recreação")</f>
        <v>Atendente de Serviços ao Hóspede/Atendente de Recreação</v>
      </c>
      <c r="O1118" s="7" t="str">
        <f>IFERROR(__xludf.DUMMYFUNCTION("IF(M1118="""","""",GOOGLETRANSLATE(M1118,""en"",""pt""))"),"***Resposta à Solicitação de Informações*** “Manter a limpeza da área da piscina/academia, equipamentos e hóspedes” inclui recolher toalhas deixadas pelos hóspedes, recolher utensílios descartáveis ​​como copos, pratos, garfos e guardanapos, contatar o de"&amp;"partamento de limpeza para auxiliar na limpeza de qualquer derramamento e remover qualquer lixo/detritos e quaisquer brinquedos/boias de piscina esquecidos. As ferramentas/equipamentos utilizados para realizar essas tarefas são luvas de borracha. “Auxilia"&amp;"r nas atividades recreativas diárias dos hóspedes” inclui preparar a área da praia para jogos e atividades diárias, como arremesso de sacos de areia, competições de construção de castelos de areia e limbo, recepcionar e interagir com os hóspedes, explicar"&amp;" as regras das atividades e os procedimentos de segurança e distribuir os itens utilizados nos jogos. As ferramentas/equipamentos utilizados para realizar essas tarefas são pranchas e sacos para arremesso de sacos de areia, postes para limbo e baldes de a"&amp;"reia. “Manter os suprimentos das instalações” consiste em monitorar os níveis de estoque de peças de jogos e materiais de atividades (incluindo papel, canetas, copos, baldes para castelos de areia, toalhas e produtos de limpeza). Os funcionários serão res"&amp;"ponsáveis ​​por informar quando esses itens estiverem com estoque baixo, para que os pedidos possam ser feitos para repor o estoque. As ferramentas/equipamentos utilizados para realizar essas tarefas são caneta e papel para registrar os níveis de estoque."&amp;" ***Original*** Os Atendentes de Serviço ao Hóspede/Atendentes de Recreação serão responsáveis ​​por garantir a segurança e manter a limpeza da área da piscina/academia, equipamentos e hóspedes, atender às necessidades dos hóspedes, auxiliar nas atividade"&amp;"s recreativas diárias dos hóspedes, manter os suprimentos das instalações e garantir que as regras de uso sejam seguidas, manter relatórios e registros diários, manter o suprimento de toalhas de piscina para os hóspedes, levar toalhas sujas para a lavande"&amp;"ria, pegar toalhas de piscina limpas na lavanderia e levá-las para a área da piscina, manter as toalhas de piscina dobradas e empilhadas para uso dos hóspedes e transportar os hóspedes para diferentes locais usando os carrinhos de golfe do resort. Horário"&amp;": 35 horas por semana. O horário de trabalho pode variar e pode incluir noites, fins de semana e feriados. O trabalho pode ser realizado em qualquer dia da semana, de segunda a domingo. Exemplos de turnos: 10h às 17h ou 13h às 20h. Os horários dos turnos "&amp;"podem variar. Consulte a descrição do cargo em anexo para obter mais informações. Classificação do Cargo: 39-3091.00 - Atendentes de Diversão e Recreação. A classificação e descrição do cargo/setor incluem informações gerais sobre a posição, de acordo com"&amp;" o ONET/OES e o Sistema de Classificação Industrial da América do Norte (NAICS). Consulte as Funções e a Ordem de Serviço para obter mais informações. Requisitos do Cargo Experiência Necessária: Sim Meses de Experiência Necessários: 3 Requisitos Especiais"&amp;": O contratante considerará para emprego qualquer pessoa que possua três (3) meses de experiência em um resort de alto padrão, hotel ou clube privado. O candidato deverá se submeter à verificação de antecedentes e ao exame toxicológico pré-admissional, às"&amp;" custas do empregador. Número de Horas por Semana: 35 Horário de Trabalho (Início/Término): 10h às 17h.")</f>
        <v>***Resposta à Solicitação de Informações*** “Manter a limpeza da área da piscina/academia, equipamentos e hóspedes” inclui recolher toalhas deixadas pelos hóspedes, recolher utensílios descartáveis ​​como copos, pratos, garfos e guardanapos, contatar o departamento de limpeza para auxiliar na limpeza de qualquer derramamento e remover qualquer lixo/detritos e quaisquer brinquedos/boias de piscina esquecidos. As ferramentas/equipamentos utilizados para realizar essas tarefas são luvas de borracha. “Auxiliar nas atividades recreativas diárias dos hóspedes” inclui preparar a área da praia para jogos e atividades diárias, como arremesso de sacos de areia, competições de construção de castelos de areia e limbo, recepcionar e interagir com os hóspedes, explicar as regras das atividades e os procedimentos de segurança e distribuir os itens utilizados nos jogos. As ferramentas/equipamentos utilizados para realizar essas tarefas são pranchas e sacos para arremesso de sacos de areia, postes para limbo e baldes de areia. “Manter os suprimentos das instalações” consiste em monitorar os níveis de estoque de peças de jogos e materiais de atividades (incluindo papel, canetas, copos, baldes para castelos de areia, toalhas e produtos de limpeza). Os funcionários serão responsáveis ​​por informar quando esses itens estiverem com estoque baixo, para que os pedidos possam ser feitos para repor o estoque. As ferramentas/equipamentos utilizados para realizar essas tarefas são caneta e papel para registrar os níveis de estoque. ***Original*** Os Atendentes de Serviço ao Hóspede/Atendentes de Recreação serão responsáveis ​​por garantir a segurança e manter a limpeza da área da piscina/academia, equipamentos e hóspedes, atender às necessidades dos hóspedes, auxiliar nas atividades recreativas diárias dos hóspedes, manter os suprimentos das instalações e garantir que as regras de uso sejam seguidas, manter relatórios e registros diários, manter o suprimento de toalhas de piscina para os hóspedes, levar toalhas sujas para a lavanderia, pegar toalhas de piscina limpas na lavanderia e levá-las para a área da piscina, manter as toalhas de piscina dobradas e empilhadas para uso dos hóspedes e transportar os hóspedes para diferentes locais usando os carrinhos de golfe do resort. Horário: 35 horas por semana. O horário de trabalho pode variar e pode incluir noites, fins de semana e feriados. O trabalho pode ser realizado em qualquer dia da semana, de segunda a domingo. Exemplos de turnos: 10h às 17h ou 13h às 20h. Os horários dos turnos podem variar. Consulte a descrição do cargo em anexo para obter mais informações. Classificação do Cargo: 39-3091.00 - Atendentes de Diversão e Recreação. A classificação e descrição do cargo/setor incluem informações gerais sobre a posição, de acordo com o ONET/OES e o Sistema de Classificação Industrial da América do Norte (NAICS). Consulte as Funções e a Ordem de Serviço para obter mais informações. Requisitos do Cargo Experiência Necessária: Sim Meses de Experiência Necessários: 3 Requisitos Especiais: O contratante considerará para emprego qualquer pessoa que possua três (3) meses de experiência em um resort de alto padrão, hotel ou clube privado. O candidato deverá se submeter à verificação de antecedentes e ao exame toxicológico pré-admissional, às custas do empregador. Número de Horas por Semana: 35 Horário de Trabalho (Início/Término): 10h às 17h.</v>
      </c>
    </row>
    <row r="1119" ht="20.25" customHeight="1">
      <c r="A1119" s="8" t="s">
        <v>5099</v>
      </c>
      <c r="B1119" s="8" t="s">
        <v>5100</v>
      </c>
      <c r="C1119" s="8" t="s">
        <v>4241</v>
      </c>
      <c r="D1119" s="8" t="s">
        <v>271</v>
      </c>
      <c r="E1119" s="9" t="s">
        <v>19</v>
      </c>
      <c r="F1119" s="9" t="s">
        <v>20</v>
      </c>
      <c r="G1119" s="9" t="s">
        <v>198</v>
      </c>
      <c r="H1119" s="8" t="s">
        <v>5101</v>
      </c>
      <c r="I1119" s="8" t="s">
        <v>5102</v>
      </c>
      <c r="J1119" s="9">
        <v>21.28</v>
      </c>
      <c r="K1119" s="9">
        <v>10.0</v>
      </c>
      <c r="L1119" s="8" t="s">
        <v>5103</v>
      </c>
      <c r="M1119" s="8" t="s">
        <v>5104</v>
      </c>
      <c r="N1119" s="7" t="str">
        <f>IFERROR(__xludf.DUMMYFUNCTION("GOOGLETRANSLATE(L1119, ""en"", ""pt"")"),"Atendente de quarto de hóspedes")</f>
        <v>Atendente de quarto de hóspedes</v>
      </c>
      <c r="O1119" s="7" t="str">
        <f>IFERROR(__xludf.DUMMYFUNCTION("IF(M1119="""","""",GOOGLETRANSLATE(M1119,""en"",""pt""))"),"Os camareiros serão responsáveis ​​pela limpeza e manutenção de todos os quartos, suítes e áreas comuns internas do Four Seasons Resort Scottsdale at Troon North, incluindo aspirar e lavar o chão, tirar o pó, repor lençóis e toalhas, arrumar as camas, des"&amp;"infetar banheiros e lavar janelas. Horário: 40 horas semanais. A escala de trabalho pode variar e incluir turnos noturnos, fins de semana e feriados. O trabalho pode ser realizado em qualquer dia da semana, de segunda a domingo. Exemplos de turnos: das 8h"&amp;" às 16h, das 12h às 20h ou das 9h às 17h. Os horários dos turnos podem variar. Consulte a Descrição da Vaga para obter mais detalhes. Classificação da Vaga: 37-2012.00 - Camareiros e Auxiliares de Limpeza. A classificação e descrição da vaga/setor incluem"&amp;" informações gerais sobre o cargo, de acordo com o ONET/OES e o Sistema de Classificação Industrial da América do Norte (NAICS). Consulte as Funções e a Ordem de Serviço para obter mais informações. Requisitos da vaga Experiência exigida: Sim Meses de exp"&amp;"eriência exigidos: 3 Requisitos especiais: O contratante considerará para emprego qualquer pessoa que possua pelo menos três (3) meses de experiência em um hotel de luxo, resort ou clube privado. O candidato deverá passar por uma verificação de antecedent"&amp;"es pré-admissional. Número de horas por semana: 40 Horário de trabalho (início/término): 8h às 16h")</f>
        <v>Os camareiros serão responsáveis ​​pela limpeza e manutenção de todos os quartos, suítes e áreas comuns internas do Four Seasons Resort Scottsdale at Troon North, incluindo aspirar e lavar o chão, tirar o pó, repor lençóis e toalhas, arrumar as camas, desinfetar banheiros e lavar janelas. Horário: 40 horas semanais. A escala de trabalho pode variar e incluir turnos noturnos, fins de semana e feriados. O trabalho pode ser realizado em qualquer dia da semana, de segunda a domingo. Exemplos de turnos: das 8h às 16h, das 12h às 20h ou das 9h às 17h. Os horários dos turnos podem variar. Consulte a Descrição da Vaga para obter mais detalhes. Classificação da Vaga: 37-2012.00 - Camareiros e Auxiliares de Limpeza. A classificação e descrição da vaga/setor incluem informações gerais sobre o cargo, de acordo com o ONET/OES e o Sistema de Classificação Industrial da América do Norte (NAICS). Consulte as Funções e a Ordem de Serviço para obter mais informações. Requisitos da vaga Experiência exigida: Sim Meses de experiência exigidos: 3 Requisitos especiais: O contratante considerará para emprego qualquer pessoa que possua pelo menos três (3) meses de experiência em um hotel de luxo, resort ou clube privado. O candidato deverá passar por uma verificação de antecedentes pré-admissional. Número de horas por semana: 40 Horário de trabalho (início/término): 8h às 16h</v>
      </c>
    </row>
    <row r="1120" ht="20.25" customHeight="1">
      <c r="A1120" s="3" t="s">
        <v>5105</v>
      </c>
      <c r="B1120" s="3" t="s">
        <v>5106</v>
      </c>
      <c r="C1120" s="3" t="s">
        <v>4241</v>
      </c>
      <c r="D1120" s="3" t="s">
        <v>71</v>
      </c>
      <c r="E1120" s="4" t="s">
        <v>44</v>
      </c>
      <c r="F1120" s="4" t="s">
        <v>20</v>
      </c>
      <c r="G1120" s="4" t="s">
        <v>5107</v>
      </c>
      <c r="H1120" s="3" t="s">
        <v>5108</v>
      </c>
      <c r="I1120" s="3" t="s">
        <v>5109</v>
      </c>
      <c r="J1120" s="4">
        <v>22.56</v>
      </c>
      <c r="K1120" s="4">
        <v>7.0</v>
      </c>
      <c r="L1120" s="3" t="s">
        <v>1687</v>
      </c>
      <c r="M1120" s="3" t="s">
        <v>5110</v>
      </c>
      <c r="N1120" s="7" t="str">
        <f>IFERROR(__xludf.DUMMYFUNCTION("GOOGLETRANSLATE(L1120, ""en"", ""pt"")"),"Capitão")</f>
        <v>Capitão</v>
      </c>
      <c r="O1120" s="7" t="str">
        <f>IFERROR(__xludf.DUMMYFUNCTION("IF(M1120="""","""",GOOGLETRANSLATE(M1120,""en"",""pt""))"),"Os capitães serão responsáveis ​​por preparar o salão, anotar e registrar os pedidos dos clientes, transportar bandejas, servir comidas e bebidas, recepcionar os clientes e limpar e retirar as mesas. Também serão responsáveis ​​por atender às solicitações"&amp;" dos membros para eventos sociais e gastronômicos, pedidos de comida para viagem e confirmar reservas para eventos especiais. Outras atribuições incluem preparar diversos folhetos, cardápios, cartas, números de mesa e cartazes, além de auxiliar na criação"&amp;" e envio dos boletins informativos semanais e mensais sobre eventos. Serão responsáveis ​​por atender o telefone, anotar pedidos de comida e outras solicitações dos membros, bem como distribuir e receber encomendas da UPS, DHL e FedEx. As responsabilidade"&amp;"s de supervisão incluem treinar funcionários; atribuir e direcionar o trabalho de serviço durante o turno; consultar a gerência sobre recompensas ou medidas disciplinares para funcionários; e trabalhar com os membros para tratar reclamações e resolver pro"&amp;"blemas relacionados a comida, bebida e/ou serviço. As atribuições também incluem observar as mesas designadas sob supervisão para detectar quaisquer problemas e fazer ajustes, auxiliando os garçons a anotar pedidos, servir e retirar as mesas, e acompanhan"&amp;"do as mesas para garantir a satisfação dos membros. Pode supervisionar até dez (10) garçons. Horário: 40 horas semanais. O horário de trabalho pode variar e incluir turnos noturnos, fins de semana e feriados. O trabalho pode ser realizado em qualquer dia "&amp;"da semana, de segunda a domingo. Exemplos de turnos: das 7h às 15h ou das 15h às 23h. Os horários dos turnos podem variar. Consulte a descrição do cargo em anexo para obter mais informações. Classificação do Cargo: 35-1012.00 - Supervisores de Primeira Li"&amp;"nha de Preparadores e Servidores de Alimentos. A classificação e descrição do cargo/setor incluem informações gerais sobre a posição, de acordo com o ONET/OES e o Sistema de Classificação Industrial da América do Norte. Consulte as Funções e a Ordem de Se"&amp;"rviço para obter mais informações. Requisitos do Cargo Experiência Necessária: Sim Meses de Experiência Necessários: 6 Requisitos Especiais: O contratante considerará para emprego qualquer pessoa que possua pelo menos seis (6) meses de experiência em aten"&amp;"dimento em um ambiente de alta gastronomia ou de grande movimento, em um restaurante de alto padrão, resort, hotel ou clube privado. O candidato deverá se submeter à verificação de antecedentes e ao exame toxicológico pré-admissional, às custas do emprega"&amp;"dor. Número de horas semanais: 40. Horário de trabalho (início/término): 7h às 15h.")</f>
        <v>Os capitães serão responsáveis ​​por preparar o salão, anotar e registrar os pedidos dos clientes, transportar bandejas, servir comidas e bebidas, recepcionar os clientes e limpar e retirar as mesas. Também serão responsáveis ​​por atender às solicitações dos membros para eventos sociais e gastronômicos, pedidos de comida para viagem e confirmar reservas para eventos especiais. Outras atribuições incluem preparar diversos folhetos, cardápios, cartas, números de mesa e cartazes, além de auxiliar na criação e envio dos boletins informativos semanais e mensais sobre eventos. Serão responsáveis ​​por atender o telefone, anotar pedidos de comida e outras solicitações dos membros, bem como distribuir e receber encomendas da UPS, DHL e FedEx. As responsabilidades de supervisão incluem treinar funcionários; atribuir e direcionar o trabalho de serviço durante o turno; consultar a gerência sobre recompensas ou medidas disciplinares para funcionários; e trabalhar com os membros para tratar reclamações e resolver problemas relacionados a comida, bebida e/ou serviço. As atribuições também incluem observar as mesas designadas sob supervisão para detectar quaisquer problemas e fazer ajustes, auxiliando os garçons a anotar pedidos, servir e retirar as mesas, e acompanhando as mesas para garantir a satisfação dos membros. Pode supervisionar até dez (10) garçons. Horário: 40 horas semanais. O horário de trabalho pode variar e incluir turnos noturnos, fins de semana e feriados. O trabalho pode ser realizado em qualquer dia da semana, de segunda a domingo. Exemplos de turnos: das 7h às 15h ou das 15h às 23h. Os horários dos turnos podem variar. Consulte a descrição do cargo em anexo para obter mais informações. Classificação do Cargo: 35-1012.00 - Supervisores de Primeira Linha de Preparadores e Servidores de Alimentos. A classificação e descrição do cargo/setor incluem informações gerais sobre a posição, de acordo com o ONET/OES e o Sistema de Classificação Industrial da América do Norte. Consulte as Funções e a Ordem de Serviço para obter mais informações. Requisitos do Cargo Experiência Necessária: Sim Meses de Experiência Necessários: 6 Requisitos Especiais: O contratante considerará para emprego qualquer pessoa que possua pelo menos seis (6) meses de experiência em atendimento em um ambiente de alta gastronomia ou de grande movimento, em um restaurante de alto padrão, resort, hotel ou clube privado. O candidato deverá se submeter à verificação de antecedentes e ao exame toxicológico pré-admissional, às custas do empregador. Número de horas semanais: 40. Horário de trabalho (início/término): 7h às 15h.</v>
      </c>
    </row>
    <row r="1121" ht="20.25" customHeight="1">
      <c r="A1121" s="8" t="s">
        <v>5111</v>
      </c>
      <c r="B1121" s="8" t="s">
        <v>5112</v>
      </c>
      <c r="C1121" s="8" t="s">
        <v>4241</v>
      </c>
      <c r="D1121" s="8" t="s">
        <v>71</v>
      </c>
      <c r="E1121" s="9" t="s">
        <v>19</v>
      </c>
      <c r="F1121" s="9" t="s">
        <v>20</v>
      </c>
      <c r="G1121" s="9" t="s">
        <v>384</v>
      </c>
      <c r="H1121" s="8" t="s">
        <v>4746</v>
      </c>
      <c r="I1121" s="8" t="s">
        <v>4747</v>
      </c>
      <c r="J1121" s="9">
        <v>17.51</v>
      </c>
      <c r="K1121" s="9">
        <v>5.0</v>
      </c>
      <c r="L1121" s="8" t="s">
        <v>354</v>
      </c>
      <c r="M1121" s="8" t="s">
        <v>5113</v>
      </c>
      <c r="N1121" s="7" t="str">
        <f>IFERROR(__xludf.DUMMYFUNCTION("GOOGLETRANSLATE(L1121, ""en"", ""pt"")"),"Governanta")</f>
        <v>Governanta</v>
      </c>
      <c r="O1121" s="7" t="str">
        <f>IFERROR(__xludf.DUMMYFUNCTION("IF(M1121="""","""",GOOGLETRANSLATE(M1121,""en"",""pt""))"),"Os(As) funcionários(as) de limpeza serão responsáveis ​​pela limpeza e manutenção de todos os quartos, suítes e áreas comuns internas das propriedades do empregador, incluindo aspirar pisos, tirar o pó, repor roupas de cama e toalhas, desinfetar banheiros"&amp;" e lavar janelas. É necessário ter capacidade para levantar e/ou mover regularmente até 4,5 kg e ocasionalmente até 11 kg. Horário: 40 horas semanais. O horário de trabalho pode variar e incluir turnos noturnos, fins de semana e feriados. O trabalho pode "&amp;"ser realizado em qualquer dia da semana, de segunda a domingo. Exemplos de turnos: 6h às 14h ou 8h às 16h. Os horários dos turnos podem variar. Consulte a descrição do cargo em anexo para obter mais informações. Classificação do Cargo: 37-2012.00 - Camare"&amp;"iras e Auxiliares de Limpeza. A classificação e descrição do cargo/setor incluem informações gerais sobre a posição, de acordo com o ONET/OES e o Sistema de Classificação Industrial da América do Norte. Consulte as Funções e a Ordem de Serviço para obter "&amp;"mais informações. Requisitos da vaga Experiência exigida: Sim Meses de experiência exigidos: 3 Requisitos especiais: O contratante considerará para emprego qualquer pessoa que possua pelo menos três (3) meses de experiência em um hotel de luxo, resort ou "&amp;"clube privado. O candidato deverá se submeter à verificação de antecedentes e ao exame toxicológico pré-admissional, às custas do empregador. Número de horas por semana: 40 Horário de trabalho (início/término): 6h às 14h")</f>
        <v>Os(As) funcionários(as) de limpeza serão responsáveis ​​pela limpeza e manutenção de todos os quartos, suítes e áreas comuns internas das propriedades do empregador, incluindo aspirar pisos, tirar o pó, repor roupas de cama e toalhas, desinfetar banheiros e lavar janelas. É necessário ter capacidade para levantar e/ou mover regularmente até 4,5 kg e ocasionalmente até 11 kg. Horário: 40 horas semanais. O horário de trabalho pode variar e incluir turnos noturnos, fins de semana e feriados. O trabalho pode ser realizado em qualquer dia da semana, de segunda a domingo. Exemplos de turnos: 6h às 14h ou 8h às 16h. Os horários dos turnos podem variar. Consulte a descrição do cargo em anexo para obter mais informações. Classificação do Cargo: 37-2012.00 - Camareiras e Auxiliares de Limpeza. A classificação e descrição do cargo/setor incluem informações gerais sobre a posição, de acordo com o ONET/OES e o Sistema de Classificação Industrial da América do Norte. Consulte as Funções e a Ordem de Serviço para obter mais informações. Requisitos da vaga Experiência exigida: Sim Meses de experiência exigidos: 3 Requisitos especiais: O contratante considerará para emprego qualquer pessoa que possua pelo menos três (3) meses de experiência em um hotel de luxo, resort ou clube privado. O candidato deverá se submeter à verificação de antecedentes e ao exame toxicológico pré-admissional, às custas do empregador. Número de horas por semana: 40 Horário de trabalho (início/término): 6h às 14h</v>
      </c>
    </row>
    <row r="1122" ht="20.25" customHeight="1">
      <c r="A1122" s="3" t="s">
        <v>5114</v>
      </c>
      <c r="B1122" s="3" t="s">
        <v>4745</v>
      </c>
      <c r="C1122" s="3" t="s">
        <v>4241</v>
      </c>
      <c r="D1122" s="3" t="s">
        <v>71</v>
      </c>
      <c r="E1122" s="4" t="s">
        <v>19</v>
      </c>
      <c r="F1122" s="4" t="s">
        <v>20</v>
      </c>
      <c r="G1122" s="4" t="s">
        <v>384</v>
      </c>
      <c r="H1122" s="3" t="s">
        <v>4746</v>
      </c>
      <c r="I1122" s="3" t="s">
        <v>4747</v>
      </c>
      <c r="J1122" s="4">
        <v>17.49</v>
      </c>
      <c r="K1122" s="4">
        <v>2.0</v>
      </c>
      <c r="L1122" s="3" t="s">
        <v>5115</v>
      </c>
      <c r="M1122" s="3" t="s">
        <v>5116</v>
      </c>
      <c r="N1122" s="7" t="str">
        <f>IFERROR(__xludf.DUMMYFUNCTION("GOOGLETRANSLATE(L1122, ""en"", ""pt"")"),"Assistente de Pastelaria")</f>
        <v>Assistente de Pastelaria</v>
      </c>
      <c r="O1122" s="7" t="str">
        <f>IFERROR(__xludf.DUMMYFUNCTION("IF(M1122="""","""",GOOGLETRANSLATE(M1122,""en"",""pt""))"),"Os Assistentes de Confeitaria serão responsáveis ​​por assar e produzir todos os bolos, biscoitos e doces na cozinha do Club House. Serão responsáveis ​​por preparar e organizar a estação de sobremesas antes do serviço, o que inclui garantir que todas as "&amp;"sobremesas empratadas, guarnições, molhos e utensílios estejam prontos e apresentados de acordo com as receitas estabelecidas e os padrões de apresentação, bem como colocar as sobremesas nas estações de sobremesas para buffets e festas. Os Assistentes de "&amp;"Confeitaria devem repor os itens conforme necessário durante o serviço de refeições, garantir que todos os itens de sobremesa estejam frescos e armazenados adequadamente e controlar os itens do departamento de confeitaria para pedidos e reposição. É neces"&amp;"sário ter capacidade para levantar e/ou mover regularmente até 11 kg e ocasionalmente levantar e/ou mover até 45 kg. Horário: 40 horas por semana. O horário de trabalho pode variar e incluir turnos noturnos, fins de semana e feriados. O trabalho pode ser "&amp;"realizado em qualquer dia da semana, de segunda a domingo. Exemplos de turnos: 6h às 14h ou 8h às 16h. Os horários dos turnos podem variar. Consulte a descrição do cargo em anexo para obter mais informações. Classificação da Função: 35-2014.00 - Cozinheir"&amp;"os, Restaurante. A classificação e descrição da função/setor inclui informações gerais sobre o cargo, de acordo com o ONET/OES e o Sistema de Classificação Industrial da América do Norte. Consulte as Funções e a Ordem de Serviço para obter mais informaçõe"&amp;"s. Requisitos da Função Experiência Necessária: Sim Meses de Experiência Necessários: 6 Requisitos Especiais: O contratante considerará para emprego qualquer pessoa que possua pelo menos seis (6) meses de experiência culinária em um ambiente de alta gastr"&amp;"onomia ou de grande movimento, em um restaurante sofisticado, resort ou clube privado. O candidato deverá se submeter à verificação de antecedentes e ao exame toxicológico pré-admissional, às custas do empregador. Número de Horas por Semana: 40 Horário de"&amp;" Trabalho (Início/Término): 6h00 - 14h00")</f>
        <v>Os Assistentes de Confeitaria serão responsáveis ​​por assar e produzir todos os bolos, biscoitos e doces na cozinha do Club House. Serão responsáveis ​​por preparar e organizar a estação de sobremesas antes do serviço, o que inclui garantir que todas as sobremesas empratadas, guarnições, molhos e utensílios estejam prontos e apresentados de acordo com as receitas estabelecidas e os padrões de apresentação, bem como colocar as sobremesas nas estações de sobremesas para buffets e festas. Os Assistentes de Confeitaria devem repor os itens conforme necessário durante o serviço de refeições, garantir que todos os itens de sobremesa estejam frescos e armazenados adequadamente e controlar os itens do departamento de confeitaria para pedidos e reposição. É necessário ter capacidade para levantar e/ou mover regularmente até 11 kg e ocasionalmente levantar e/ou mover até 45 kg. Horário: 40 horas por semana. O horário de trabalho pode variar e incluir turnos noturnos, fins de semana e feriados. O trabalho pode ser realizado em qualquer dia da semana, de segunda a domingo. Exemplos de turnos: 6h às 14h ou 8h às 16h. Os horários dos turnos podem variar. Consulte a descrição do cargo em anexo para obter mais informações. Classificação da Função: 35-2014.00 - Cozinheiros, Restaurante. A classificação e descrição da função/setor inclui informações gerais sobre o cargo, de acordo com o ONET/OES e o Sistema de Classificação Industrial da América do Norte. Consulte as Funções e a Ordem de Serviço para obter mais informações. Requisitos da Função Experiência Necessária: Sim Meses de Experiência Necessários: 6 Requisitos Especiais: O contratante considerará para emprego qualquer pessoa que possua pelo menos seis (6) meses de experiência culinária em um ambiente de alta gastronomia ou de grande movimento, em um restaurante sofisticado, resort ou clube privado. O candidato deverá se submeter à verificação de antecedentes e ao exame toxicológico pré-admissional, às custas do empregador. Número de Horas por Semana: 40 Horário de Trabalho (Início/Término): 6h00 - 14h00</v>
      </c>
    </row>
    <row r="1123" ht="20.25" customHeight="1">
      <c r="A1123" s="8" t="s">
        <v>5117</v>
      </c>
      <c r="B1123" s="8" t="s">
        <v>4745</v>
      </c>
      <c r="C1123" s="8" t="s">
        <v>4241</v>
      </c>
      <c r="D1123" s="8" t="s">
        <v>71</v>
      </c>
      <c r="E1123" s="9" t="s">
        <v>19</v>
      </c>
      <c r="F1123" s="9" t="s">
        <v>20</v>
      </c>
      <c r="G1123" s="9" t="s">
        <v>384</v>
      </c>
      <c r="H1123" s="8" t="s">
        <v>4746</v>
      </c>
      <c r="I1123" s="8" t="s">
        <v>4747</v>
      </c>
      <c r="J1123" s="9">
        <v>21.5</v>
      </c>
      <c r="K1123" s="9">
        <v>1.0</v>
      </c>
      <c r="L1123" s="8" t="s">
        <v>4590</v>
      </c>
      <c r="M1123" s="8" t="s">
        <v>5118</v>
      </c>
      <c r="N1123" s="7" t="str">
        <f>IFERROR(__xludf.DUMMYFUNCTION("GOOGLETRANSLATE(L1123, ""en"", ""pt"")"),"Reservador")</f>
        <v>Reservador</v>
      </c>
      <c r="O1123" s="7" t="str">
        <f>IFERROR(__xludf.DUMMYFUNCTION("IF(M1123="""","""",GOOGLETRANSLATE(M1123,""en"",""pt""))"),"***Resposta à Solicitação de Informações*** ""Auxiliar na publicação e distribuição do boletim informativo do clube"" - isso se limitará ao uso da plataforma de software do clube (Members First) para inserir eventos dos membros do boletim informativo no c"&amp;"alendário de eventos dos membros. ""Pesquisar e fornecer documentação como suporte para todos os eventos de Trivial Pursuit"" - isso se limitará a trabalhar com o gerente do evento para identificar membros da equipe que possam trabalhar no evento e fornec"&amp;"er materiais impressos, como folhas de respostas do jogo de perguntas e respostas, ao anfitrião. Além do uso de ferramentas básicas de software, como Microsoft Outlook/Word e Canva, para executar as tarefas padrão do trabalho, nenhuma ferramenta, tecnolog"&amp;"ia ou equipamento especial será usado nas tarefas acima. ***Original*** Os recepcionistas serão responsáveis ​​por receber todos os visitantes de maneira agradável, cortês e profissional. Os recepcionistas auxiliarão com perguntas e informações, farão res"&amp;"ervas para refeições e atividades do clube, informarão gerentes e chefs sobre reservas atualizadas, se comunicarão com membros da equipe em vários departamentos e auxiliarão com pedidos especiais de catering para membros do clube, conforme necessário. Os "&amp;"recepcionistas também fornecerão suporte administrativo aos membros e departamentos do clube, que pode incluir As funções incluem envio de fax, cópias, auxílio aos departamentos com extratos e correspondências do clube, além da preparação de correspondênc"&amp;"ias e encomendas para envio. Os responsáveis ​​por reservas serão responsáveis ​​por redigir correspondências, incluindo a criação de e-mails para membros e funcionários, trabalhar com os sistemas de reservas compilando reservas e cancelamentos, criar for"&amp;"mulários de catering e atender telefonemas. Os responsáveis ​​por reservas receberão um cardápio e uma lista de bebidas do Diretor de Alimentos e Bebidas ou do Chef Executivo. Com base nessas listas, os responsáveis ​​por reservas criarão cardápios a part"&amp;"ir de modelos pré-aprovados e os imprimirão em quantidades de acordo com o número de reservas efetuadas. Os responsáveis ​​por reservas também serão responsáveis ​​por realizar serviços de envio de fax e cópias conforme solicitado pelos membros. Além diss"&amp;"o, os responsáveis ​​por reservas auxiliarão na publicação e distribuição do boletim informativo do clube, pesquisando e fornecendo documentação de apoio para todos os eventos do Trivial Pursuit. É necessário ter capacidade para levantar e/ou mover regula"&amp;"rmente até 4,5 kg. Horário: 40 horas por semana. O horário de trabalho pode variar e incluir noites, fins de semana e feriados. O trabalho pode ser realizado em qualquer dia da semana, de segunda a domingo. Exemplo Turnos: 6h às 14h ou 8h às 16h. Os horár"&amp;"ios dos turnos podem variar. Consulte a descrição do cargo em anexo para obter mais informações. Classificação do Cargo: 43-9061.00 - Auxiliar Administrativo. A classificação e descrição do cargo/setor incluem informações gerais sobre a posição, de acordo"&amp;" com o ONET/OES e o Sistema de Classificação Industrial da América do Norte (NAICS). Consulte as Funções e a Ordem de Serviço para obter mais informações. Requisitos do Cargo Experiência Necessária: Sim Meses de Experiência Necessários: 6 Requisitos Espec"&amp;"iais: O contratante considerará para emprego qualquer pessoa que possua pelo menos seis (6) meses de experiência em um ambiente de alta gastronomia ou de grande movimento em um restaurante sofisticado, resort ou clube privado. O candidato deverá se submet"&amp;"er à verificação de antecedentes e ao exame toxicológico pré-admissional, às custas do empregador. Número de Horas por Semana: 40 Horário de Trabalho (Início/Término): 6h às 14h")</f>
        <v>***Resposta à Solicitação de Informações*** "Auxiliar na publicação e distribuição do boletim informativo do clube" - isso se limitará ao uso da plataforma de software do clube (Members First) para inserir eventos dos membros do boletim informativo no calendário de eventos dos membros. "Pesquisar e fornecer documentação como suporte para todos os eventos de Trivial Pursuit" - isso se limitará a trabalhar com o gerente do evento para identificar membros da equipe que possam trabalhar no evento e fornecer materiais impressos, como folhas de respostas do jogo de perguntas e respostas, ao anfitrião. Além do uso de ferramentas básicas de software, como Microsoft Outlook/Word e Canva, para executar as tarefas padrão do trabalho, nenhuma ferramenta, tecnologia ou equipamento especial será usado nas tarefas acima. ***Original*** Os recepcionistas serão responsáveis ​​por receber todos os visitantes de maneira agradável, cortês e profissional. Os recepcionistas auxiliarão com perguntas e informações, farão reservas para refeições e atividades do clube, informarão gerentes e chefs sobre reservas atualizadas, se comunicarão com membros da equipe em vários departamentos e auxiliarão com pedidos especiais de catering para membros do clube, conforme necessário. Os recepcionistas também fornecerão suporte administrativo aos membros e departamentos do clube, que pode incluir As funções incluem envio de fax, cópias, auxílio aos departamentos com extratos e correspondências do clube, além da preparação de correspondências e encomendas para envio. Os responsáveis ​​por reservas serão responsáveis ​​por redigir correspondências, incluindo a criação de e-mails para membros e funcionários, trabalhar com os sistemas de reservas compilando reservas e cancelamentos, criar formulários de catering e atender telefonemas. Os responsáveis ​​por reservas receberão um cardápio e uma lista de bebidas do Diretor de Alimentos e Bebidas ou do Chef Executivo. Com base nessas listas, os responsáveis ​​por reservas criarão cardápios a partir de modelos pré-aprovados e os imprimirão em quantidades de acordo com o número de reservas efetuadas. Os responsáveis ​​por reservas também serão responsáveis ​​por realizar serviços de envio de fax e cópias conforme solicitado pelos membros. Além disso, os responsáveis ​​por reservas auxiliarão na publicação e distribuição do boletim informativo do clube, pesquisando e fornecendo documentação de apoio para todos os eventos do Trivial Pursuit. É necessário ter capacidade para levantar e/ou mover regularmente até 4,5 kg. Horário: 40 horas por semana. O horário de trabalho pode variar e incluir noites, fins de semana e feriados. O trabalho pode ser realizado em qualquer dia da semana, de segunda a domingo. Exemplo Turnos: 6h às 14h ou 8h às 16h. Os horários dos turnos podem variar. Consulte a descrição do cargo em anexo para obter mais informações. Classificação do Cargo: 43-9061.00 - Auxiliar Administrativo. A classificação e descrição do cargo/setor incluem informações gerais sobre a posição, de acordo com o ONET/OES e o Sistema de Classificação Industrial da América do Norte (NAICS). Consulte as Funções e a Ordem de Serviço para obter mais informações. Requisitos do Cargo Experiência Necessária: Sim Meses de Experiência Necessários: 6 Requisitos Especiais: O contratante considerará para emprego qualquer pessoa que possua pelo menos seis (6) meses de experiência em um ambiente de alta gastronomia ou de grande movimento em um restaurante sofisticado, resort ou clube privado. O candidato deverá se submeter à verificação de antecedentes e ao exame toxicológico pré-admissional, às custas do empregador. Número de Horas por Semana: 40 Horário de Trabalho (Início/Término): 6h às 14h</v>
      </c>
    </row>
    <row r="1124" ht="20.25" customHeight="1">
      <c r="A1124" s="3" t="s">
        <v>5119</v>
      </c>
      <c r="B1124" s="3" t="s">
        <v>4745</v>
      </c>
      <c r="C1124" s="3" t="s">
        <v>4241</v>
      </c>
      <c r="D1124" s="3" t="s">
        <v>71</v>
      </c>
      <c r="E1124" s="4" t="s">
        <v>19</v>
      </c>
      <c r="F1124" s="4" t="s">
        <v>20</v>
      </c>
      <c r="G1124" s="4" t="s">
        <v>384</v>
      </c>
      <c r="H1124" s="3" t="s">
        <v>4746</v>
      </c>
      <c r="I1124" s="3" t="s">
        <v>4747</v>
      </c>
      <c r="J1124" s="4">
        <v>19.0</v>
      </c>
      <c r="K1124" s="4">
        <v>9.0</v>
      </c>
      <c r="L1124" s="3" t="s">
        <v>5120</v>
      </c>
      <c r="M1124" s="3" t="s">
        <v>5121</v>
      </c>
      <c r="N1124" s="7" t="str">
        <f>IFERROR(__xludf.DUMMYFUNCTION("GOOGLETRANSLATE(L1124, ""en"", ""pt"")"),"Garçom/Barman")</f>
        <v>Garçom/Barman</v>
      </c>
      <c r="O1124" s="7" t="str">
        <f>IFERROR(__xludf.DUMMYFUNCTION("IF(M1124="""","""",GOOGLETRANSLATE(M1124,""en"",""pt""))"),"Os garçons/bartenders serão responsáveis ​​por recepcionar os clientes, anotar e registrar pedidos, transportar bandejas e pratos, servir alimentos e bebidas, limpar e desocupar as mesas e preparar os salões de jantar e buffets para o serviço regular, reu"&amp;"niões e eventos. Isso inclui preparar os aquecedores de buffet, dispondo os alimentos preparados pela cozinha; ligar as chaleiras de sopa; ligar os aquecedores de pratos; preparar as máquinas de café; organizar mesas e cadeiras; e disponibilizar manteiga,"&amp;" copos, pratos e toalhas de mesa. As tarefas de preparação serão realizadas em um restaurante no local, salões de banquetes, áreas de eventos nas casas dos membros e uma área de refeições ao ar livre próxima ao food truck. Os garçons/bartenders também rea"&amp;"lizarão o preparo básico de alimentos, que inclui montar saladas com ingredientes preparados pela cozinha, porcionar sopas preparadas inteiramente pelos cozinheiros diretamente da panela para as tigelas para servir à mesa e fatiar e dispor pães pré-assado"&amp;"s ​​em cestas antes de serem servidos à mesa. Os garçons/bartenders também serão responsáveis ​​por preparar e servir bebidas, incluindo coquetéis, vinhos, cervejas e bebidas não alcoólicas para sócios e convidados, limpar copos e equipamentos do bar e ga"&amp;"rantir que o bar e as áreas de trabalho estejam limpos e bem abastecidos. É necessário ter capacidade para levantar e/ou mover regularmente até 11 kg e ocasionalmente até 45 kg. Horário: 40 horas semanais. A escala de trabalho pode variar e incluir turnos"&amp;" noturnos, fins de semana e feriados. O trabalho pode ser realizado em qualquer dia da semana, de segunda a domingo. Exemplos de turnos: 6h às 14h ou 8h às 16h. Os horários dos turnos podem variar. Consulte a descrição do cargo em anexo para obter mais in"&amp;"formações. Classificação do Cargo: 35-3011.00 - Bartenders. A classificação e descrição do cargo/setor incluem informações gerais sobre a posição, de acordo com o ONET/OES e o Sistema de Classificação Industrial da América do Norte. Consulte as Funções e "&amp;"a Ordem de Serviço para obter mais informações. Requisitos da Vaga Experiência Necessária: Sim Meses de Experiência Necessários: 6 Requisitos Especiais: O Requerente considerará para emprego qualquer pessoa que possua pelo menos seis (6) meses de experiên"&amp;"cia em um ambiente de alta gastronomia ou de grande movimento em um restaurante de luxo, resort, hotel ou clube privado. O candidato deverá se submeter à verificação de antecedentes e ao exame toxicológico pré-admissional, às custas do empregador. Número "&amp;"de Horas por Semana: 40 Horário de Trabalho (Início/Término): 18h00 - 14h00")</f>
        <v>Os garçons/bartenders serão responsáveis ​​por recepcionar os clientes, anotar e registrar pedidos, transportar bandejas e pratos, servir alimentos e bebidas, limpar e desocupar as mesas e preparar os salões de jantar e buffets para o serviço regular, reuniões e eventos. Isso inclui preparar os aquecedores de buffet, dispondo os alimentos preparados pela cozinha; ligar as chaleiras de sopa; ligar os aquecedores de pratos; preparar as máquinas de café; organizar mesas e cadeiras; e disponibilizar manteiga, copos, pratos e toalhas de mesa. As tarefas de preparação serão realizadas em um restaurante no local, salões de banquetes, áreas de eventos nas casas dos membros e uma área de refeições ao ar livre próxima ao food truck. Os garçons/bartenders também realizarão o preparo básico de alimentos, que inclui montar saladas com ingredientes preparados pela cozinha, porcionar sopas preparadas inteiramente pelos cozinheiros diretamente da panela para as tigelas para servir à mesa e fatiar e dispor pães pré-assados ​​em cestas antes de serem servidos à mesa. Os garçons/bartenders também serão responsáveis ​​por preparar e servir bebidas, incluindo coquetéis, vinhos, cervejas e bebidas não alcoólicas para sócios e convidados, limpar copos e equipamentos do bar e garantir que o bar e as áreas de trabalho estejam limpos e bem abastecidos. É necessário ter capacidade para levantar e/ou mover regularmente até 11 kg e ocasionalmente até 45 kg. Horário: 40 horas semanais. A escala de trabalho pode variar e incluir turnos noturnos, fins de semana e feriados. O trabalho pode ser realizado em qualquer dia da semana, de segunda a domingo. Exemplos de turnos: 6h às 14h ou 8h às 16h. Os horários dos turnos podem variar. Consulte a descrição do cargo em anexo para obter mais informações. Classificação do Cargo: 35-3011.00 - Bartenders. A classificação e descrição do cargo/setor incluem informações gerais sobre a posição, de acordo com o ONET/OES e o Sistema de Classificação Industrial da América do Norte. Consulte as Funções e a Ordem de Serviço para obter mais informações. Requisitos da Vaga Experiência Necessária: Sim Meses de Experiência Necessários: 6 Requisitos Especiais: O Requerente considerará para emprego qualquer pessoa que possua pelo menos seis (6) meses de experiência em um ambiente de alta gastronomia ou de grande movimento em um restaurante de luxo, resort, hotel ou clube privado. O candidato deverá se submeter à verificação de antecedentes e ao exame toxicológico pré-admissional, às custas do empregador. Número de Horas por Semana: 40 Horário de Trabalho (Início/Término): 18h00 - 14h00</v>
      </c>
    </row>
    <row r="1125" ht="20.25" customHeight="1">
      <c r="A1125" s="8" t="s">
        <v>5122</v>
      </c>
      <c r="B1125" s="8" t="s">
        <v>4745</v>
      </c>
      <c r="C1125" s="8" t="s">
        <v>4241</v>
      </c>
      <c r="D1125" s="8" t="s">
        <v>71</v>
      </c>
      <c r="E1125" s="9" t="s">
        <v>19</v>
      </c>
      <c r="F1125" s="9" t="s">
        <v>20</v>
      </c>
      <c r="G1125" s="9" t="s">
        <v>384</v>
      </c>
      <c r="H1125" s="8" t="s">
        <v>4746</v>
      </c>
      <c r="I1125" s="8" t="s">
        <v>4747</v>
      </c>
      <c r="J1125" s="9">
        <v>18.0</v>
      </c>
      <c r="K1125" s="9">
        <v>3.0</v>
      </c>
      <c r="L1125" s="8" t="s">
        <v>5123</v>
      </c>
      <c r="M1125" s="8" t="s">
        <v>5124</v>
      </c>
      <c r="N1125" s="7" t="str">
        <f>IFERROR(__xludf.DUMMYFUNCTION("GOOGLETRANSLATE(L1125, ""en"", ""pt"")"),"Equipe de Montagem")</f>
        <v>Equipe de Montagem</v>
      </c>
      <c r="O1125" s="7" t="str">
        <f>IFERROR(__xludf.DUMMYFUNCTION("IF(M1125="""","""",GOOGLETRANSLATE(M1125,""en"",""pt""))"),"A Equipe de Montagem será responsável por organizar a preparação de reuniões e atividades, além de fornecer água e café aos membros. As tarefas de montagem ocorrerão no restaurante do local, em salões de banquetes, em áreas de eventos nas casas dos membro"&amp;"s e em uma área de refeições ao ar livre próxima ao food truck. A montagem de reuniões e atividades inclui mover, montar, organizar e desmontar mesas, toalhas de mesa e cadeiras para os eventos de forma oportuna, de acordo com os diagramas do evento. A Eq"&amp;"uipe de Montagem também poderá auxiliar na montagem dos aquecedores de buffet, dispondo os alimentos preparados pela cozinha; ligando as chaleiras de sopa; ligando os aquecedores de pratos; configurando as máquinas de café; e disponibilizando manteiga, co"&amp;"pos e pratos. Eles deverão responder a todos os chamados via rádio dos gerentes ou membros da equipe. A Equipe de Montagem deve verificar a necessidade de substituição de lâmpadas no clube, montar a estação de buffet, organizar os equipamentos e o depósit"&amp;"o de RH, apertar e consertar mesas e cadeiras soltas nas salas de jantar, verificar diariamente as listas de eventos e atividades na caixa de correio para acomodar alterações adicionais de local e horário. A Equipe de Montagem entregará alimentos e bebida"&amp;"s nas instalações de tênis do HR. Os funcionários da equipe de montagem também auxiliarão no estacionamento dos carros dos clientes e, ocasionalmente, no transporte de alimentos da cozinha para as mesas do salão. É necessário ter capacidade para levantar "&amp;"e/ou mover regularmente até 11 kg e, ocasionalmente, levantar e/ou mover até 45 kg ou mais. Horário: 40 horas semanais. O horário de trabalho pode variar e incluir turnos noturnos, fins de semana e feriados. O trabalho pode ser realizado em qualquer dia d"&amp;"a semana, de segunda a domingo. Exemplos de turnos: 6h às 14h ou 8h às 16h. Os horários dos turnos podem variar. Consulte a descrição do cargo em anexo para obter mais informações. Classificação do cargo: 53-7062.00 - Operários e Movimentadores de Carga, "&amp;"Estoque e Materiais. A classificação e a descrição do cargo/setor incluem informações gerais sobre a posição, de acordo com o ONET/OES e o Sistema de Classificação Industrial da América do Norte. Consulte as Funções e a Ordem de Serviço para obter mais in"&amp;"formações. Requisitos da Vaga Experiência Necessária: Sim Meses de Experiência Necessários: 3 Requisitos Especiais: O Requerente considerará para emprego qualquer pessoa que possua pelo menos três (3) meses de experiência em um restaurante de alto padrão,"&amp;" resort ou clube privado. O candidato deve possuir carteira de habilitação válida, americana ou internacional, antes de sua chegada aos Estados Unidos. O candidato deverá se submeter à verificação de antecedentes e ao exame toxicológico pré-admissional, à"&amp;"s custas do empregador. Número de Horas por Semana: 40 Horário de Trabalho (Início/Término): 6h00 - 14h00")</f>
        <v>A Equipe de Montagem será responsável por organizar a preparação de reuniões e atividades, além de fornecer água e café aos membros. As tarefas de montagem ocorrerão no restaurante do local, em salões de banquetes, em áreas de eventos nas casas dos membros e em uma área de refeições ao ar livre próxima ao food truck. A montagem de reuniões e atividades inclui mover, montar, organizar e desmontar mesas, toalhas de mesa e cadeiras para os eventos de forma oportuna, de acordo com os diagramas do evento. A Equipe de Montagem também poderá auxiliar na montagem dos aquecedores de buffet, dispondo os alimentos preparados pela cozinha; ligando as chaleiras de sopa; ligando os aquecedores de pratos; configurando as máquinas de café; e disponibilizando manteiga, copos e pratos. Eles deverão responder a todos os chamados via rádio dos gerentes ou membros da equipe. A Equipe de Montagem deve verificar a necessidade de substituição de lâmpadas no clube, montar a estação de buffet, organizar os equipamentos e o depósito de RH, apertar e consertar mesas e cadeiras soltas nas salas de jantar, verificar diariamente as listas de eventos e atividades na caixa de correio para acomodar alterações adicionais de local e horário. A Equipe de Montagem entregará alimentos e bebidas nas instalações de tênis do HR. Os funcionários da equipe de montagem também auxiliarão no estacionamento dos carros dos clientes e, ocasionalmente, no transporte de alimentos da cozinha para as mesas do salão. É necessário ter capacidade para levantar e/ou mover regularmente até 11 kg e, ocasionalmente, levantar e/ou mover até 45 kg ou mais. Horário: 40 horas semanais. O horário de trabalho pode variar e incluir turnos noturnos, fins de semana e feriados. O trabalho pode ser realizado em qualquer dia da semana, de segunda a domingo. Exemplos de turnos: 6h às 14h ou 8h às 16h. Os horários dos turnos podem variar. Consulte a descrição do cargo em anexo para obter mais informações. Classificação do cargo: 53-7062.00 - Operários e Movimentadores de Carga, Estoque e Materiais. A classificação e a descrição do cargo/setor incluem informações gerais sobre a posição, de acordo com o ONET/OES e o Sistema de Classificação Industrial da América do Norte. Consulte as Funções e a Ordem de Serviço para obter mais informações. Requisitos da Vaga Experiência Necessária: Sim Meses de Experiência Necessários: 3 Requisitos Especiais: O Requerente considerará para emprego qualquer pessoa que possua pelo menos três (3) meses de experiência em um restaurante de alto padrão, resort ou clube privado. O candidato deve possuir carteira de habilitação válida, americana ou internacional, antes de sua chegada aos Estados Unidos. O candidato deverá se submeter à verificação de antecedentes e ao exame toxicológico pré-admissional, às custas do empregador. Número de Horas por Semana: 40 Horário de Trabalho (Início/Término): 6h00 - 14h00</v>
      </c>
    </row>
    <row r="1126" ht="20.25" customHeight="1">
      <c r="A1126" s="3" t="s">
        <v>5125</v>
      </c>
      <c r="B1126" s="3" t="s">
        <v>4745</v>
      </c>
      <c r="C1126" s="3" t="s">
        <v>4241</v>
      </c>
      <c r="D1126" s="3" t="s">
        <v>71</v>
      </c>
      <c r="E1126" s="4" t="s">
        <v>44</v>
      </c>
      <c r="F1126" s="4" t="s">
        <v>20</v>
      </c>
      <c r="G1126" s="4" t="s">
        <v>384</v>
      </c>
      <c r="H1126" s="3" t="s">
        <v>4895</v>
      </c>
      <c r="I1126" s="3" t="s">
        <v>4747</v>
      </c>
      <c r="J1126" s="4">
        <v>16.85</v>
      </c>
      <c r="K1126" s="4">
        <v>3.0</v>
      </c>
      <c r="L1126" s="3" t="s">
        <v>5126</v>
      </c>
      <c r="M1126" s="3" t="s">
        <v>5127</v>
      </c>
      <c r="N1126" s="7" t="str">
        <f>IFERROR(__xludf.DUMMYFUNCTION("GOOGLETRANSLATE(L1126, ""en"", ""pt"")"),"Cozinheiro(a) da Despensa")</f>
        <v>Cozinheiro(a) da Despensa</v>
      </c>
      <c r="O1126" s="7" t="str">
        <f>IFERROR(__xludf.DUMMYFUNCTION("IF(M1126="""","""",GOOGLETRANSLATE(M1126,""en"",""pt""))"),"Os cozinheiros da copa serão responsáveis ​​pelo preparo e apresentação de pratos frios, de acordo com os padrões do clube. Devem preparar todos os pratos frios, incluindo saladas compostas, molhos, sopas frias, canapés e guarnições. É essencial que os co"&amp;"zinheiros da copa garantam a qualidade e a apresentação consistentes de todos os pratos frios. Auxiliarão na montagem e desmontagem das mesas de pratos frios para buffets, banquetes e eventos para membros. Deverão assegurar-se de que todos os itens e ingr"&amp;"edientes preparados estejam devidamente etiquetados, datados e armazenados. Deverão manter os níveis de estoque adequados e comunicar as necessidades de inventário ao Subchefe. É necessário ter capacidade para levantar e/ou mover regularmente até 11 kg e "&amp;"ocasionalmente até 45 kg. Horário: 40 horas semanais. A escala de trabalho pode variar e incluir turnos noturnos, fins de semana e feriados. O trabalho pode ser realizado em qualquer dia da semana, de segunda a domingo. Exemplos de turnos: 6h às 14h ou 8h"&amp;" às 16h. O horário de trabalho pode variar. Consulte a descrição da vaga em anexo para obter mais informações. Classificação da vaga: 35-2021.00 - Auxiliares de Cozinha. A classificação e descrição da vaga/setor inclui informações gerais sobre o cargo, de"&amp;" acordo com o ONET/OES e o Sistema de Classificação Industrial da América do Norte (NAICS). Consulte as Funções e a Ordem de Serviço para obter mais informações. Requisitos da vaga: Experiência exigida: Sim. Meses de experiência exigidos: 6. Requisitos es"&amp;"peciais: O contratante considerará para emprego qualquer pessoa que possua pelo menos seis (6) meses de experiência culinária em um ambiente de alta gastronomia ou de grande movimento, em um restaurante sofisticado, resort ou clube privado. O candidato de"&amp;"verá se submeter à verificação de antecedentes e ao exame toxicológico pré-admissional, às custas do empregador. Número de horas por semana: 40. Horário de trabalho (início/término): 6h às 14h.")</f>
        <v>Os cozinheiros da copa serão responsáveis ​​pelo preparo e apresentação de pratos frios, de acordo com os padrões do clube. Devem preparar todos os pratos frios, incluindo saladas compostas, molhos, sopas frias, canapés e guarnições. É essencial que os cozinheiros da copa garantam a qualidade e a apresentação consistentes de todos os pratos frios. Auxiliarão na montagem e desmontagem das mesas de pratos frios para buffets, banquetes e eventos para membros. Deverão assegurar-se de que todos os itens e ingredientes preparados estejam devidamente etiquetados, datados e armazenados. Deverão manter os níveis de estoque adequados e comunicar as necessidades de inventário ao Subchefe. É necessário ter capacidade para levantar e/ou mover regularmente até 11 kg e ocasionalmente até 45 kg. Horário: 40 horas semanais. A escala de trabalho pode variar e incluir turnos noturnos, fins de semana e feriados. O trabalho pode ser realizado em qualquer dia da semana, de segunda a domingo. Exemplos de turnos: 6h às 14h ou 8h às 16h. O horário de trabalho pode variar. Consulte a descrição da vaga em anexo para obter mais informações. Classificação da vaga: 35-2021.00 - Auxiliares de Cozinha. A classificação e descrição da vaga/setor inclui informações gerais sobre o cargo, de acordo com o ONET/OES e o Sistema de Classificação Industrial da América do Norte (NAICS). Consulte as Funções e a Ordem de Serviço para obter mais informações. Requisitos da vaga: Experiência exigida: Sim. Meses de experiência exigidos: 6. Requisitos especiais: O contratante considerará para emprego qualquer pessoa que possua pelo menos seis (6) meses de experiência culinária em um ambiente de alta gastronomia ou de grande movimento, em um restaurante sofisticado, resort ou clube privado. O candidato deverá se submeter à verificação de antecedentes e ao exame toxicológico pré-admissional, às custas do empregador. Número de horas por semana: 40. Horário de trabalho (início/término): 6h às 14h.</v>
      </c>
    </row>
    <row r="1127" ht="20.25" customHeight="1">
      <c r="A1127" s="8" t="s">
        <v>5128</v>
      </c>
      <c r="B1127" s="8" t="s">
        <v>4931</v>
      </c>
      <c r="C1127" s="8" t="s">
        <v>4241</v>
      </c>
      <c r="D1127" s="8" t="s">
        <v>71</v>
      </c>
      <c r="E1127" s="9" t="s">
        <v>19</v>
      </c>
      <c r="F1127" s="9" t="s">
        <v>20</v>
      </c>
      <c r="G1127" s="9" t="s">
        <v>524</v>
      </c>
      <c r="H1127" s="8" t="s">
        <v>4932</v>
      </c>
      <c r="I1127" s="8" t="s">
        <v>4933</v>
      </c>
      <c r="J1127" s="9">
        <v>16.85</v>
      </c>
      <c r="K1127" s="9">
        <v>14.0</v>
      </c>
      <c r="L1127" s="8" t="s">
        <v>2152</v>
      </c>
      <c r="M1127" s="8" t="s">
        <v>5129</v>
      </c>
      <c r="N1127" s="7" t="str">
        <f>IFERROR(__xludf.DUMMYFUNCTION("GOOGLETRANSLATE(L1127, ""en"", ""pt"")"),"Ajudante de cozinha")</f>
        <v>Ajudante de cozinha</v>
      </c>
      <c r="O1127" s="7" t="str">
        <f>IFERROR(__xludf.DUMMYFUNCTION("IF(M1127="""","""",GOOGLETRANSLATE(M1127,""en"",""pt""))"),"Os Auxiliares de Cozinha serão responsáveis ​​por lavar a louça e todos os utensílios de cozinha à mão ou na máquina, manter as áreas de trabalho e os equipamentos da cozinha limpos, varrer e esfregar o chão, realizar limpeza profunda, preparar diversos a"&amp;"limentos para o cozimento, descascando batatas e cenouras (com um descascador) e embalando e etiquetando os produtos para venda no Chef’s Cupboard/Snack Bar, auxiliar os sócios com suas compras no Chef’s Cupboard/Snack Bar, acompanhando-os até os itens qu"&amp;"e procuram, respondendo a perguntas e registrando as compras em suas contas por meio de um caixa (sem uso de dinheiro em espécie), e separar e descartar o lixo. Os Auxiliares de Cozinha podem precisar levantar e/ou mover regularmente até 23 kg e ocasional"&amp;"mente até 45 kg com auxílio. Horário: 40 horas semanais. O horário de trabalho pode variar e incluir noites, fins de semana e feriados. O trabalho pode ser realizado em qualquer dia da semana, de segunda a domingo. Exemplos de turnos: 6h às 14h e 15h às 2"&amp;"3h. Os horários dos turnos podem variar. Consulte a descrição de cargo anexa para obter informações adicionais. Classificação do Cargo: 35-2021.00 - Auxiliares de Cozinha. A classificação e descrição do cargo/setor incluem informações gerais sobre a posiç"&amp;"ão, de acordo com o ONET/OES e o Sistema de Classificação Industrial da América do Norte (NAICS). Consulte as Funções e a Ordem de Serviço para obter mais informações. Requisitos do Cargo Experiência Necessária: Sim Meses de Experiência Necessários: 3 Req"&amp;"uisitos Especiais: O contratante considerará para emprego qualquer pessoa que possua pelo menos três (3) meses de experiência em um hotel, restaurante, resort ou clube privado de alto padrão. O candidato deverá se submeter a uma verificação de antecedente"&amp;"s pré-emprego, custeada pelo empregador. Número de Horas por Semana: 40 Horário de Trabalho (Início/Término): 6h00 - 14h00")</f>
        <v>Os Auxiliares de Cozinha serão responsáveis ​​por lavar a louça e todos os utensílios de cozinha à mão ou na máquina, manter as áreas de trabalho e os equipamentos da cozinha limpos, varrer e esfregar o chão, realizar limpeza profunda, preparar diversos alimentos para o cozimento, descascando batatas e cenouras (com um descascador) e embalando e etiquetando os produtos para venda no Chef’s Cupboard/Snack Bar, auxiliar os sócios com suas compras no Chef’s Cupboard/Snack Bar, acompanhando-os até os itens que procuram, respondendo a perguntas e registrando as compras em suas contas por meio de um caixa (sem uso de dinheiro em espécie), e separar e descartar o lixo. Os Auxiliares de Cozinha podem precisar levantar e/ou mover regularmente até 23 kg e ocasionalmente até 45 kg com auxílio. Horário: 40 horas semanais. O horário de trabalho pode variar e incluir noites, fins de semana e feriados. O trabalho pode ser realizado em qualquer dia da semana, de segunda a domingo. Exemplos de turnos: 6h às 14h e 15h às 23h. Os horários dos turnos podem variar. Consulte a descrição de cargo anexa para obter informações adicionais. Classificação do Cargo: 35-2021.00 - Auxiliares de Cozinha. A classificação e descrição do cargo/setor incluem informações gerais sobre a posição, de acordo com o ONET/OES e o Sistema de Classificação Industrial da América do Norte (NAICS). Consulte as Funções e a Ordem de Serviço para obter mais informações. Requisitos do Cargo Experiência Necessária: Sim Meses de Experiência Necessários: 3 Requisitos Especiais: O contratante considerará para emprego qualquer pessoa que possua pelo menos três (3) meses de experiência em um hotel, restaurante, resort ou clube privado de alto padrão. O candidato deverá se submeter a uma verificação de antecedentes pré-emprego, custeada pelo empregador. Número de Horas por Semana: 40 Horário de Trabalho (Início/Término): 6h00 - 14h00</v>
      </c>
    </row>
    <row r="1128" ht="20.25" customHeight="1">
      <c r="A1128" s="3" t="s">
        <v>5130</v>
      </c>
      <c r="B1128" s="3" t="s">
        <v>4931</v>
      </c>
      <c r="C1128" s="3" t="s">
        <v>4241</v>
      </c>
      <c r="D1128" s="3" t="s">
        <v>71</v>
      </c>
      <c r="E1128" s="4" t="s">
        <v>19</v>
      </c>
      <c r="F1128" s="4" t="s">
        <v>20</v>
      </c>
      <c r="G1128" s="4" t="s">
        <v>524</v>
      </c>
      <c r="H1128" s="3" t="s">
        <v>4932</v>
      </c>
      <c r="I1128" s="3" t="s">
        <v>4933</v>
      </c>
      <c r="J1128" s="4">
        <v>14.89</v>
      </c>
      <c r="K1128" s="4">
        <v>4.0</v>
      </c>
      <c r="L1128" s="3" t="s">
        <v>4892</v>
      </c>
      <c r="M1128" s="3" t="s">
        <v>5131</v>
      </c>
      <c r="N1128" s="7" t="str">
        <f>IFERROR(__xludf.DUMMYFUNCTION("GOOGLETRANSLATE(L1128, ""en"", ""pt"")"),"Atendente de lavanderia")</f>
        <v>Atendente de lavanderia</v>
      </c>
      <c r="O1128" s="7" t="str">
        <f>IFERROR(__xludf.DUMMYFUNCTION("IF(M1128="""","""",GOOGLETRANSLATE(M1128,""en"",""pt""))"),"Os Auxiliares de Lavanderia serão responsáveis ​​por operar ou supervisionar máquinas de lavar para lavar artigos industriais ou domésticos, como roupas de tecido, cobertores, lençóis e tapetes; separar e pesar roupas sujas e limpas; limpar as máquinas e "&amp;"áreas de lavanderia; dobrar e guardar as roupas lavadas; organizar e auxiliar na distribuição de uniformes; e operar ferros, prensas, vaporizadores, secadoras e outros equipamentos de lavanderia, conforme necessário. Os Auxiliares de Lavanderia podem prec"&amp;"isar levantar e/ou mover regularmente até 11 kg e ocasionalmente até 34 kg com auxílio. Horário: 40 horas semanais. O horário de trabalho pode variar e incluir turnos noturnos, fins de semana e feriados. O trabalho pode ser realizado em qualquer dia da se"&amp;"mana, de segunda a domingo. Exemplos de turnos: 7h às 15h e 15h às 23h. Os horários dos turnos podem variar. Consulte a Descrição da Vaga para obter mais informações. Classificação da Função: 51-6021.00 - Passadores de Roupas Têxteis, Vestuário e Materiai"&amp;"s Relacionados. A classificação e descrição da função/setor inclui informações gerais sobre o cargo, de acordo com o ONET/OES e o Sistema de Classificação Industrial da América do Norte (NAICS). Consulte as Funções e a Ordem de Serviço para obter mais inf"&amp;"ormações. Requisitos da Função Experiência Necessária: Sim Meses de Experiência Necessários: 3 Requisitos Especiais: O contratante considerará para emprego qualquer pessoa que possua pelo menos três (3) meses de experiência em lavanderia e/ou limpeza em u"&amp;"m hotel de alto padrão, resort ou clube privado. O candidato deverá se submeter a uma verificação de antecedentes pré-emprego, custeada pelo empregador. Número de Horas por Semana: 40 Horário de Trabalho (Início/Término): 7h00 - 15h00")</f>
        <v>Os Auxiliares de Lavanderia serão responsáveis ​​por operar ou supervisionar máquinas de lavar para lavar artigos industriais ou domésticos, como roupas de tecido, cobertores, lençóis e tapetes; separar e pesar roupas sujas e limpas; limpar as máquinas e áreas de lavanderia; dobrar e guardar as roupas lavadas; organizar e auxiliar na distribuição de uniformes; e operar ferros, prensas, vaporizadores, secadoras e outros equipamentos de lavanderia, conforme necessário. Os Auxiliares de Lavanderia podem precisar levantar e/ou mover regularmente até 11 kg e ocasionalmente até 34 kg com auxílio. Horário: 40 horas semanais. O horário de trabalho pode variar e incluir turnos noturnos, fins de semana e feriados. O trabalho pode ser realizado em qualquer dia da semana, de segunda a domingo. Exemplos de turnos: 7h às 15h e 15h às 23h. Os horários dos turnos podem variar. Consulte a Descrição da Vaga para obter mais informações. Classificação da Função: 51-6021.00 - Passadores de Roupas Têxteis, Vestuário e Materiais Relacionados. A classificação e descrição da função/setor inclui informações gerais sobre o cargo, de acordo com o ONET/OES e o Sistema de Classificação Industrial da América do Norte (NAICS). Consulte as Funções e a Ordem de Serviço para obter mais informações. Requisitos da Função Experiência Necessária: Sim Meses de Experiência Necessários: 3 Requisitos Especiais: O contratante considerará para emprego qualquer pessoa que possua pelo menos três (3) meses de experiência em lavanderia e/ou limpeza em um hotel de alto padrão, resort ou clube privado. O candidato deverá se submeter a uma verificação de antecedentes pré-emprego, custeada pelo empregador. Número de Horas por Semana: 40 Horário de Trabalho (Início/Término): 7h00 - 15h00</v>
      </c>
    </row>
    <row r="1129" ht="20.25" customHeight="1">
      <c r="A1129" s="8" t="s">
        <v>5132</v>
      </c>
      <c r="B1129" s="8" t="s">
        <v>4931</v>
      </c>
      <c r="C1129" s="8" t="s">
        <v>4241</v>
      </c>
      <c r="D1129" s="8" t="s">
        <v>71</v>
      </c>
      <c r="E1129" s="9" t="s">
        <v>19</v>
      </c>
      <c r="F1129" s="9" t="s">
        <v>20</v>
      </c>
      <c r="G1129" s="9" t="s">
        <v>524</v>
      </c>
      <c r="H1129" s="8" t="s">
        <v>4932</v>
      </c>
      <c r="I1129" s="8" t="s">
        <v>4933</v>
      </c>
      <c r="J1129" s="9">
        <v>18.57</v>
      </c>
      <c r="K1129" s="9">
        <v>19.0</v>
      </c>
      <c r="L1129" s="8" t="s">
        <v>1206</v>
      </c>
      <c r="M1129" s="8" t="s">
        <v>5133</v>
      </c>
      <c r="N1129" s="7" t="str">
        <f>IFERROR(__xludf.DUMMYFUNCTION("GOOGLETRANSLATE(L1129, ""en"", ""pt"")"),"Servidor")</f>
        <v>Servidor</v>
      </c>
      <c r="O1129" s="7" t="str">
        <f>IFERROR(__xludf.DUMMYFUNCTION("IF(M1129="""","""",GOOGLETRANSLATE(M1129,""en"",""pt""))"),"Os garçons serão responsáveis ​​por recepcionar os clientes, preparar as áreas de refeição, anotar e registrar pedidos, transportar bandejas e pratos, servir alimentos e bebidas, e limpar e retirar os pratos das mesas. Ocasionalmente, os garçons poderão a"&amp;"notar e confirmar reservas de membros para refeições e eventos especiais. Os garçons podem precisar mover e/ou levantar regularmente até 11 kg e, ocasionalmente, até 45 kg com auxílio. Horário: 40 horas semanais. A escala de trabalho pode variar e incluir"&amp;" turnos noturnos, fins de semana e feriados. O trabalho pode ser realizado em qualquer dia da semana, de segunda a domingo. Exemplos de turnos: 6h às 14h e 15h às 23h. Os horários dos turnos podem variar. Consulte a Descrição da Vaga para obter mais infor"&amp;"mações. Classificação da Vaga: 35-3031.00 - Garçons e Garçonetes. A classificação e descrição da vaga/setor inclui informações gerais sobre o cargo, de acordo com o ONET/OES e o Sistema de Classificação Industrial da América do Norte. Consulte as Funções "&amp;"e a Ordem de Serviço para obter mais informações. Requisitos da vaga Experiência necessária: Sim Meses de experiência necessários: 5 Requisitos especiais: O contratante considerará para emprego qualquer pessoa que possua pelo menos cinco (5) meses de expe"&amp;"riência em um ambiente de alta gastronomia ou de grande movimento em um restaurante sofisticado, resort ou clube privado. O candidato deverá se submeter a uma verificação de antecedentes pré-emprego, às custas do empregador. Número de horas por semana: 40"&amp;" Horário de trabalho (início/término): 6h às 14h")</f>
        <v>Os garçons serão responsáveis ​​por recepcionar os clientes, preparar as áreas de refeição, anotar e registrar pedidos, transportar bandejas e pratos, servir alimentos e bebidas, e limpar e retirar os pratos das mesas. Ocasionalmente, os garçons poderão anotar e confirmar reservas de membros para refeições e eventos especiais. Os garçons podem precisar mover e/ou levantar regularmente até 11 kg e, ocasionalmente, até 45 kg com auxílio. Horário: 40 horas semanais. A escala de trabalho pode variar e incluir turnos noturnos, fins de semana e feriados. O trabalho pode ser realizado em qualquer dia da semana, de segunda a domingo. Exemplos de turnos: 6h às 14h e 15h às 23h. Os horários dos turnos podem variar. Consulte a Descrição da Vaga para obter mais informações. Classificação da Vaga: 35-3031.00 - Garçons e Garçonetes. A classificação e descrição da vaga/setor inclui informações gerais sobre o cargo, de acordo com o ONET/OES e o Sistema de Classificação Industrial da América do Norte. Consulte as Funções e a Ordem de Serviço para obter mais informações. Requisitos da vaga Experiência necessária: Sim Meses de experiência necessários: 5 Requisitos especiais: O contratante considerará para emprego qualquer pessoa que possua pelo menos cinco (5) meses de experiência em um ambiente de alta gastronomia ou de grande movimento em um restaurante sofisticado, resort ou clube privado. O candidato deverá se submeter a uma verificação de antecedentes pré-emprego, às custas do empregador. Número de horas por semana: 40 Horário de trabalho (início/término): 6h às 14h</v>
      </c>
    </row>
    <row r="1130" ht="20.25" customHeight="1">
      <c r="A1130" s="3" t="s">
        <v>5134</v>
      </c>
      <c r="B1130" s="3" t="s">
        <v>4931</v>
      </c>
      <c r="C1130" s="3" t="s">
        <v>4241</v>
      </c>
      <c r="D1130" s="3" t="s">
        <v>71</v>
      </c>
      <c r="E1130" s="4" t="s">
        <v>19</v>
      </c>
      <c r="F1130" s="4" t="s">
        <v>20</v>
      </c>
      <c r="G1130" s="4" t="s">
        <v>524</v>
      </c>
      <c r="H1130" s="3" t="s">
        <v>4932</v>
      </c>
      <c r="I1130" s="3" t="s">
        <v>4933</v>
      </c>
      <c r="J1130" s="4">
        <v>17.97</v>
      </c>
      <c r="K1130" s="4">
        <v>10.0</v>
      </c>
      <c r="L1130" s="3" t="s">
        <v>5135</v>
      </c>
      <c r="M1130" s="3" t="s">
        <v>5136</v>
      </c>
      <c r="N1130" s="7" t="str">
        <f>IFERROR(__xludf.DUMMYFUNCTION("GOOGLETRANSLATE(L1130, ""en"", ""pt"")"),"Assistente de Garçom")</f>
        <v>Assistente de Garçom</v>
      </c>
      <c r="O1130" s="7" t="str">
        <f>IFERROR(__xludf.DUMMYFUNCTION("IF(M1130="""","""",GOOGLETRANSLATE(M1130,""en"",""pt""))"),"Os Auxiliares de Garçom serão responsáveis ​​por arrumar as mesas, transportar bandejas e pratos, limpar e retirar os pratos das mesas, servir água e pão aos clientes e, ocasionalmente, mover móveis para eventos. Os Auxiliares de Garçom podem precisar lev"&amp;"antar e/ou mover regularmente até 23 kg e, ocasionalmente, até 45 kg com auxílio. Horário: 40 horas semanais. O horário de trabalho pode variar e incluir turnos noturnos, fins de semana e feriados. O trabalho pode ser realizado em qualquer dia da semana, "&amp;"de segunda a domingo. Exemplos de turnos: 6h às 14h e 15h às 23h. Os horários dos turnos podem variar. Observe que o cargo de Auxiliar de Garçom oferecido pelo requerente é o mesmo que o cargo de Auxiliar de Garçom/Corredor certificado em 2025; o requeren"&amp;"te apenas alterou o título do cargo. Não houve alterações substanciais na solicitação desde 2025. Consulte a Descrição do Cargo para obter mais informações. Classificação da Função: 53-7062.00 - Operários e Movimentadores de Carga, Estoque e Materiais. A "&amp;"classificação e descrição da função/setor inclui informações gerais sobre o cargo, de acordo com o ONET/OES e o Sistema de Classificação Industrial da América do Norte (NAICS). Consulte as Funções e a Ordem de Serviço para obter mais informações. Requisit"&amp;"os da Função Experiência Necessária: Sim Meses de Experiência Necessários: 3 Requisitos Especiais: O contratante considerará para emprego qualquer pessoa que possua pelo menos três (3) meses de experiência em um hotel, restaurante, resort ou clube privado"&amp;" de alto padrão. O candidato deverá se submeter a uma verificação de antecedentes pré-emprego, às custas do empregador. Número de Horas por Semana: 40 Horário de Trabalho (Início/Término): 6h00 - 14h00")</f>
        <v>Os Auxiliares de Garçom serão responsáveis ​​por arrumar as mesas, transportar bandejas e pratos, limpar e retirar os pratos das mesas, servir água e pão aos clientes e, ocasionalmente, mover móveis para eventos. Os Auxiliares de Garçom podem precisar levantar e/ou mover regularmente até 23 kg e, ocasionalmente, até 45 kg com auxílio. Horário: 40 horas semanais. O horário de trabalho pode variar e incluir turnos noturnos, fins de semana e feriados. O trabalho pode ser realizado em qualquer dia da semana, de segunda a domingo. Exemplos de turnos: 6h às 14h e 15h às 23h. Os horários dos turnos podem variar. Observe que o cargo de Auxiliar de Garçom oferecido pelo requerente é o mesmo que o cargo de Auxiliar de Garçom/Corredor certificado em 2025; o requerente apenas alterou o título do cargo. Não houve alterações substanciais na solicitação desde 2025. Consulte a Descrição do Cargo para obter mais informações. Classificação da Função: 53-7062.00 - Operários e Movimentadores de Carga, Estoque e Materiais. A classificação e descrição da função/setor inclui informações gerais sobre o cargo, de acordo com o ONET/OES e o Sistema de Classificação Industrial da América do Norte (NAICS). Consulte as Funções e a Ordem de Serviço para obter mais informações. Requisitos da Função Experiência Necessária: Sim Meses de Experiência Necessários: 3 Requisitos Especiais: O contratante considerará para emprego qualquer pessoa que possua pelo menos três (3) meses de experiência em um hotel, restaurante, resort ou clube privado de alto padrão. O candidato deverá se submeter a uma verificação de antecedentes pré-emprego, às custas do empregador. Número de Horas por Semana: 40 Horário de Trabalho (Início/Término): 6h00 - 14h00</v>
      </c>
    </row>
    <row r="1131" ht="20.25" customHeight="1">
      <c r="A1131" s="8" t="s">
        <v>5137</v>
      </c>
      <c r="B1131" s="8" t="s">
        <v>4931</v>
      </c>
      <c r="C1131" s="8" t="s">
        <v>4241</v>
      </c>
      <c r="D1131" s="8" t="s">
        <v>71</v>
      </c>
      <c r="E1131" s="9" t="s">
        <v>19</v>
      </c>
      <c r="F1131" s="9" t="s">
        <v>20</v>
      </c>
      <c r="G1131" s="9" t="s">
        <v>524</v>
      </c>
      <c r="H1131" s="8" t="s">
        <v>4932</v>
      </c>
      <c r="I1131" s="8" t="s">
        <v>4933</v>
      </c>
      <c r="J1131" s="9">
        <v>19.78</v>
      </c>
      <c r="K1131" s="9">
        <v>1.0</v>
      </c>
      <c r="L1131" s="8" t="s">
        <v>5138</v>
      </c>
      <c r="M1131" s="8" t="s">
        <v>5139</v>
      </c>
      <c r="N1131" s="7" t="str">
        <f>IFERROR(__xludf.DUMMYFUNCTION("GOOGLETRANSLATE(L1131, ""en"", ""pt"")"),"Coordenador de Expedição e Recebimento")</f>
        <v>Coordenador de Expedição e Recebimento</v>
      </c>
      <c r="O1131" s="7" t="str">
        <f>IFERROR(__xludf.DUMMYFUNCTION("IF(M1131="""","""",GOOGLETRANSLATE(M1131,""en"",""pt""))"),"Os Coordenadores de Expedição e Recebimento serão responsáveis ​​por executar tarefas operacionais do depósito, incluindo, entre outras, receber, contar, inspecionar, desembalar, armazenar, documentar e distribuir mercadorias; inspecionar remessas para ga"&amp;"rantir o cumprimento correto dos pedidos; organizar os locais de armazenamento; garantir a rotação adequada dos produtos utilizando o método FIFO (primeiro a entrar, primeiro a sair); atualizar sistemas de registro digital; enviar faturas ao gerente de co"&amp;"mpras; atender a requisições; transportar e distribuir todos os bens, materiais e suprimentos para os locais adequados utilizando carrinhos de transporte, carrinhos de mão e carrinhos de golfe; manter os padrões de higienização em todos os depósitos, câma"&amp;"ras frigoríficas, congeladores e doca de carga; varrer e lavar as áreas de trabalho; verificar o funcionamento adequado de congeladores, refrigeradores e câmaras frigoríficas e notificar a gerência sobre qualquer necessidade de reparo de equipamentos; e c"&amp;"oletar e entregar itens em todo o Clube. Os Coordenadores de Expedição e Recebimento precisarão exercer força de até 45 kg ocasionalmente, e/ou 23 kg frequentemente e/ou até 9 kg constantemente para levantar, carregar, empurrar, puxar ou movimentar objeto"&amp;"s. Horário: 40 horas semanais. O horário de trabalho pode variar e incluir turnos noturnos, fins de semana e feriados. O trabalho pode ser realizado em qualquer dia da semana, de segunda a domingo. Exemplos de turnos: 6h às 14h e 7h às 15h. Os horários do"&amp;"s turnos podem variar. Consulte a descrição do cargo em anexo para obter mais informações. Classificação do Cargo: 43-5071.00 - Auxiliares de Expedição, Recebimento e Estoque. A classificação e descrição do cargo/setor incluem informações gerais sobre a p"&amp;"osição, de acordo com o ONET/OES e o Sistema de Classificação Industrial da América do Norte (NAICS). Consulte as Funções e a Ordem de Serviço para obter mais informações. Requisitos do Cargo: Experiência Necessária: Não. Requisitos Especiais: O candidato"&amp;" deve se submeter a uma verificação de antecedentes pré-emprego, custeada pelo empregador. O candidato deve possuir carteira de habilitação válida, seja americana ou internacional, e ter um histórico de direção impecável. Número de horas por semana: 40. H"&amp;"orário de trabalho (início/término): 6h às 14h.")</f>
        <v>Os Coordenadores de Expedição e Recebimento serão responsáveis ​​por executar tarefas operacionais do depósito, incluindo, entre outras, receber, contar, inspecionar, desembalar, armazenar, documentar e distribuir mercadorias; inspecionar remessas para garantir o cumprimento correto dos pedidos; organizar os locais de armazenamento; garantir a rotação adequada dos produtos utilizando o método FIFO (primeiro a entrar, primeiro a sair); atualizar sistemas de registro digital; enviar faturas ao gerente de compras; atender a requisições; transportar e distribuir todos os bens, materiais e suprimentos para os locais adequados utilizando carrinhos de transporte, carrinhos de mão e carrinhos de golfe; manter os padrões de higienização em todos os depósitos, câmaras frigoríficas, congeladores e doca de carga; varrer e lavar as áreas de trabalho; verificar o funcionamento adequado de congeladores, refrigeradores e câmaras frigoríficas e notificar a gerência sobre qualquer necessidade de reparo de equipamentos; e coletar e entregar itens em todo o Clube. Os Coordenadores de Expedição e Recebimento precisarão exercer força de até 45 kg ocasionalmente, e/ou 23 kg frequentemente e/ou até 9 kg constantemente para levantar, carregar, empurrar, puxar ou movimentar objetos. Horário: 40 horas semanais. O horário de trabalho pode variar e incluir turnos noturnos, fins de semana e feriados. O trabalho pode ser realizado em qualquer dia da semana, de segunda a domingo. Exemplos de turnos: 6h às 14h e 7h às 15h. Os horários dos turnos podem variar. Consulte a descrição do cargo em anexo para obter mais informações. Classificação do Cargo: 43-5071.00 - Auxiliares de Expedição, Recebimento e Estoque. A classificação e descrição do cargo/setor incluem informações gerais sobre a posição, de acordo com o ONET/OES e o Sistema de Classificação Industrial da América do Norte (NAICS). Consulte as Funções e a Ordem de Serviço para obter mais informações. Requisitos do Cargo: Experiência Necessária: Não. Requisitos Especiais: O candidato deve se submeter a uma verificação de antecedentes pré-emprego, custeada pelo empregador. O candidato deve possuir carteira de habilitação válida, seja americana ou internacional, e ter um histórico de direção impecável. Número de horas por semana: 40. Horário de trabalho (início/término): 6h às 14h.</v>
      </c>
    </row>
    <row r="1132" ht="20.25" customHeight="1">
      <c r="A1132" s="3" t="s">
        <v>5140</v>
      </c>
      <c r="B1132" s="3" t="s">
        <v>4931</v>
      </c>
      <c r="C1132" s="3" t="s">
        <v>4241</v>
      </c>
      <c r="D1132" s="3" t="s">
        <v>71</v>
      </c>
      <c r="E1132" s="4" t="s">
        <v>44</v>
      </c>
      <c r="F1132" s="4" t="s">
        <v>20</v>
      </c>
      <c r="G1132" s="4" t="s">
        <v>524</v>
      </c>
      <c r="H1132" s="3" t="s">
        <v>4932</v>
      </c>
      <c r="I1132" s="3" t="s">
        <v>4933</v>
      </c>
      <c r="J1132" s="4">
        <v>20.0</v>
      </c>
      <c r="K1132" s="4">
        <v>5.0</v>
      </c>
      <c r="L1132" s="3" t="s">
        <v>5141</v>
      </c>
      <c r="M1132" s="3" t="s">
        <v>5142</v>
      </c>
      <c r="N1132" s="7" t="str">
        <f>IFERROR(__xludf.DUMMYFUNCTION("GOOGLETRANSLATE(L1132, ""en"", ""pt"")"),"empregado doméstico")</f>
        <v>empregado doméstico</v>
      </c>
      <c r="O1132" s="7" t="str">
        <f>IFERROR(__xludf.DUMMYFUNCTION("IF(M1132="""","""",GOOGLETRANSLATE(M1132,""en"",""pt""))"),"***Resposta à Solicitação de Informações*** Os funcionários de limpeza serão responsáveis ​​por operar uma máquina de polir pisos para limpar e polir pisos duros em toda a propriedade e operar uma lavadora de carpetes para limpar carpetes em toda a propri"&amp;"edade. Eles farão a manutenção das máquinas, substituindo as almofadas de polimento da máquina de polir pisos, limpando a lavadora de carpetes após cada uso e garantindo que todos os cabos e mangueiras estejam em boas condições e funcionando corretamente."&amp;" Os funcionários de limpeza serão responsáveis ​​por auxiliar os membros e hóspedes, ajudando-os a carregar a bagagem durante o check-in e o check-out. ***Original*** Os funcionários de limpeza serão responsáveis ​​pela limpeza e manutenção de todos os qu"&amp;"artos, suítes e áreas internas/externas da propriedade do Jupiter Island Club, o que inclui limpar janelas com pano e spray de limpeza, limpar banheiros limpando pias e vasos sanitários, varrer e passar pano nos pisos e repor suprimentos de papel, transpo"&amp;"rtar roupas de cama e suprimentos de limpeza e móveis conforme necessário, operar e manter equipamentos de limpeza de pisos e entregar e instalar itens nos quartos e chalés. Os funcionários de apoio também são responsáveis ​​por auxiliar no check-in e che"&amp;"ck-out de sócios e convidados, além de descarregar e transportar a bagagem dos convidados manualmente ou em carrinho de golfe. Durante as semanas de maior movimento na temporada, o funcionário de apoio auxiliará os sócios na entrada e saída dos estacionam"&amp;"entos, orientando-os sobre onde podem e não podem estacionar e garantindo que entrem nos estacionamentos na direção correta, a fim de manter o fluxo de tráfego, melhorar a experiência do sócio e garantir sua segurança. O funcionário de apoio usará um cole"&amp;"te de segurança ao orientar o tráfego na entrada e saída do estacionamento. Os funcionários de apoio podem precisar levantar e/ou mover regularmente até 23 kg e, ocasionalmente, até 45 kg com auxílio. Horário: 40 horas por semana. O horário de trabalho po"&amp;"de variar e incluir turnos noturnos, fins de semana e feriados. O trabalho pode ser realizado em qualquer dia da semana, de segunda a domingo. Exemplos de turnos: 7h às 15h e 15h às 23h. Os horários dos turnos podem variar. Consulte a descrição do cargo e"&amp;"m anexo para obter mais informações. Classificação da Função: 33-9091.00 - Guardas de Trânsito e Sinalizadores. A classificação e descrição da função/setor inclui informações gerais sobre o cargo, de acordo com o ONET/OES e o Sistema de Classificação Indu"&amp;"strial da América do Norte. Consulte as Funções e a Ordem de Serviço para obter mais informações. Requisitos da Função Experiência Necessária: Sim Meses de Experiência Necessários: 3 Requisitos Especiais: O contratante considerará para emprego qualquer pe"&amp;"ssoa que possua pelo menos três (3) meses de experiência em limpeza em um hotel de alto padrão, resort ou clube privado. O candidato deverá se submeter a uma verificação de antecedentes pré-emprego, custeada pelo empregador. O candidato deverá possuir um "&amp;"documento de identidade válido emitido pelo governo para operar o carrinho de golfe nas dependências do clube. Número de Horas por Semana: 40 Horário de Trabalho (Início/Término): 7h00 - 15h00")</f>
        <v>***Resposta à Solicitação de Informações*** Os funcionários de limpeza serão responsáveis ​​por operar uma máquina de polir pisos para limpar e polir pisos duros em toda a propriedade e operar uma lavadora de carpetes para limpar carpetes em toda a propriedade. Eles farão a manutenção das máquinas, substituindo as almofadas de polimento da máquina de polir pisos, limpando a lavadora de carpetes após cada uso e garantindo que todos os cabos e mangueiras estejam em boas condições e funcionando corretamente. Os funcionários de limpeza serão responsáveis ​​por auxiliar os membros e hóspedes, ajudando-os a carregar a bagagem durante o check-in e o check-out. ***Original*** Os funcionários de limpeza serão responsáveis ​​pela limpeza e manutenção de todos os quartos, suítes e áreas internas/externas da propriedade do Jupiter Island Club, o que inclui limpar janelas com pano e spray de limpeza, limpar banheiros limpando pias e vasos sanitários, varrer e passar pano nos pisos e repor suprimentos de papel, transportar roupas de cama e suprimentos de limpeza e móveis conforme necessário, operar e manter equipamentos de limpeza de pisos e entregar e instalar itens nos quartos e chalés. Os funcionários de apoio também são responsáveis ​​por auxiliar no check-in e check-out de sócios e convidados, além de descarregar e transportar a bagagem dos convidados manualmente ou em carrinho de golfe. Durante as semanas de maior movimento na temporada, o funcionário de apoio auxiliará os sócios na entrada e saída dos estacionamentos, orientando-os sobre onde podem e não podem estacionar e garantindo que entrem nos estacionamentos na direção correta, a fim de manter o fluxo de tráfego, melhorar a experiência do sócio e garantir sua segurança. O funcionário de apoio usará um colete de segurança ao orientar o tráfego na entrada e saída do estacionamento. Os funcionários de apoio podem precisar levantar e/ou mover regularmente até 23 kg e, ocasionalmente, até 45 kg com auxílio. Horário: 40 horas por semana. O horário de trabalho pode variar e incluir turnos noturnos, fins de semana e feriados. O trabalho pode ser realizado em qualquer dia da semana, de segunda a domingo. Exemplos de turnos: 7h às 15h e 15h às 23h. Os horários dos turnos podem variar. Consulte a descrição do cargo em anexo para obter mais informações. Classificação da Função: 33-9091.00 - Guardas de Trânsito e Sinalizadores. A classificação e descrição da função/setor inclui informações gerais sobre o cargo, de acordo com o ONET/OES e o Sistema de Classificação Industrial da América do Norte. Consulte as Funções e a Ordem de Serviço para obter mais informações. Requisitos da Função Experiência Necessária: Sim Meses de Experiência Necessários: 3 Requisitos Especiais: O contratante considerará para emprego qualquer pessoa que possua pelo menos três (3) meses de experiência em limpeza em um hotel de alto padrão, resort ou clube privado. O candidato deverá se submeter a uma verificação de antecedentes pré-emprego, custeada pelo empregador. O candidato deverá possuir um documento de identidade válido emitido pelo governo para operar o carrinho de golfe nas dependências do clube. Número de Horas por Semana: 40 Horário de Trabalho (Início/Término): 7h00 - 15h00</v>
      </c>
    </row>
    <row r="1133" ht="20.25" customHeight="1">
      <c r="A1133" s="8" t="s">
        <v>5143</v>
      </c>
      <c r="B1133" s="8" t="s">
        <v>5144</v>
      </c>
      <c r="C1133" s="8" t="s">
        <v>4247</v>
      </c>
      <c r="D1133" s="8" t="s">
        <v>271</v>
      </c>
      <c r="E1133" s="9" t="s">
        <v>19</v>
      </c>
      <c r="F1133" s="9" t="s">
        <v>20</v>
      </c>
      <c r="G1133" s="9" t="s">
        <v>4371</v>
      </c>
      <c r="H1133" s="8" t="s">
        <v>5145</v>
      </c>
      <c r="I1133" s="8" t="s">
        <v>5146</v>
      </c>
      <c r="J1133" s="9">
        <v>21.41</v>
      </c>
      <c r="K1133" s="9">
        <v>22.0</v>
      </c>
      <c r="L1133" s="8" t="s">
        <v>4250</v>
      </c>
      <c r="M1133" s="8" t="s">
        <v>4251</v>
      </c>
      <c r="N1133" s="7" t="str">
        <f>IFERROR(__xludf.DUMMYFUNCTION("GOOGLETRANSLATE(L1133, ""en"", ""pt"")"),"49-9098: Ajudantes — Trabalhos de instalação, manutenção e reparo")</f>
        <v>49-9098: Ajudantes — Trabalhos de instalação, manutenção e reparo</v>
      </c>
      <c r="O1133" s="7" t="str">
        <f>IFERROR(__xludf.DUMMYFUNCTION("IF(M1133="""","""",GOOGLETRANSLATE(M1133,""en"",""pt""))"),"Auxiliar os trabalhadores de instalação, manutenção e reparo na manutenção, substituição de peças e reparo de veículos, máquinas industriais e equipamentos elétricos e eletrônicos. Executar tarefas como fornecer ferramentas, materiais e suprimentos para o"&amp;"utros trabalhadores; limpar a área de trabalho, máquinas e ferramentas; e segurar materiais ou ferramentas para outros trabalhadores. Classificação da vaga: 49-9098.00 - Auxiliares - Trabalhadores de Instalação, Manutenção e Reparo. A classificação e desc"&amp;"rição da vaga/setor inclui informações gerais sobre a posição, de acordo com o ONET/OES e o Sistema de Classificação Industrial da América do Norte (NAICS). Consulte as Funções e a Ordem de Serviço para obter mais informações. Requisitos da vaga: Experiên"&amp;"cia exigida: Não. Requisitos especiais: Testes aleatórios de drogas e verificação de antecedentes criminais após a contratação podem ser exigidos, sem custo para o trabalhador. A vaga exige que o candidato seja qualificado, esteja pronto, disposto, apto e"&amp;" disponível para trabalhar durante todo o período de emprego no local de trabalho designado; para firmar e cumprir o contrato de trabalho; e para seguir as normas do local de trabalho. Número de horas por semana: 35. Horário de trabalho (início/término): "&amp;"8h. - 16:00")</f>
        <v>Auxiliar os trabalhadores de instalação, manutenção e reparo na manutenção, substituição de peças e reparo de veículos, máquinas industriais e equipamentos elétricos e eletrônicos. Executar tarefas como fornecer ferramentas, materiais e suprimentos para outros trabalhadores; limpar a área de trabalho, máquinas e ferramentas; e segurar materiais ou ferramentas para outros trabalhadores. Classificação da vaga: 49-9098.00 - Auxiliares - Trabalhadores de Instalação, Manutenção e Reparo. A classificação e descrição da vaga/setor inclui informações gerais sobre a posição, de acordo com o ONET/OES e o Sistema de Classificação Industrial da América do Norte (NAICS). Consulte as Funções e a Ordem de Serviço para obter mais informações. Requisitos da vaga: Experiência exigida: Não. Requisitos especiais: Testes aleatórios de drogas e verificação de antecedentes criminais após a contratação podem ser exigidos, sem custo para o trabalhador. A vaga exige que o candidato seja qualificado, esteja pronto, disposto, apto e disponível para trabalhar durante todo o período de emprego no local de trabalho designado; para firmar e cumprir o contrato de trabalho; e para seguir as normas do local de trabalho. Número de horas por semana: 35. Horário de trabalho (início/término): 8h. - 16:00</v>
      </c>
    </row>
    <row r="1134" ht="20.25" customHeight="1">
      <c r="A1134" s="3" t="s">
        <v>5147</v>
      </c>
      <c r="B1134" s="3" t="s">
        <v>5148</v>
      </c>
      <c r="C1134" s="3" t="s">
        <v>4241</v>
      </c>
      <c r="D1134" s="3" t="s">
        <v>71</v>
      </c>
      <c r="E1134" s="4" t="s">
        <v>19</v>
      </c>
      <c r="F1134" s="4" t="s">
        <v>20</v>
      </c>
      <c r="G1134" s="4" t="s">
        <v>524</v>
      </c>
      <c r="H1134" s="3" t="s">
        <v>5149</v>
      </c>
      <c r="I1134" s="3" t="s">
        <v>5150</v>
      </c>
      <c r="J1134" s="4">
        <v>20.13</v>
      </c>
      <c r="K1134" s="4">
        <v>55.0</v>
      </c>
      <c r="L1134" s="3" t="s">
        <v>5151</v>
      </c>
      <c r="M1134" s="3" t="s">
        <v>5152</v>
      </c>
      <c r="N1134" s="7" t="str">
        <f>IFERROR(__xludf.DUMMYFUNCTION("GOOGLETRANSLATE(L1134, ""en"", ""pt"")"),"Assistente de Operações de Alimentos e Bebidas")</f>
        <v>Assistente de Operações de Alimentos e Bebidas</v>
      </c>
      <c r="O1134" s="7" t="str">
        <f>IFERROR(__xludf.DUMMYFUNCTION("IF(M1134="""","""",GOOGLETRANSLATE(M1134,""en"",""pt""))"),"Os Assistentes de Operações de Alimentos e Bebidas serão responsáveis ​​por apoiar as operações de serviço de alimentos e bebidas, auxiliando a equipe de atendimento em restaurantes, espaços para eventos, piscinas e áreas de refeições na praia. Isso inclu"&amp;"i entregar alimentos e bebidas às mesas, manter as mesas organizadas (limpando e arrumando as mesas), repor água, bebidas, condimentos e suprimentos nos pontos de serviço, recepcionar e acomodar os clientes quando necessário, anotar e registrar os pedidos"&amp;" dos clientes quando necessário, garantir a limpeza e organização das áreas de serviço e seguir todas as normas de segurança alimentar, higiene e regulamentações sobre bebidas alcoólicas, bem como os padrões de serviço e conduta do Four Seasons. Horário: "&amp;"40 horas semanais. A escala de trabalho pode variar e incluir turnos noturnos, fins de semana e feriados. O trabalho pode ser realizado em qualquer dia da semana, de segunda a domingo. Exemplos de turnos: das 6h às 14h, das 8h às 16h ou das 15h às 23h. Os"&amp;" horários dos turnos podem variar. Consulte a descrição da vaga para obter mais informações. Classificação da Função: 35-3031.00 - Garçons e Garçonetes. A classificação e descrição da função/setor inclui informações gerais sobre o cargo, de acordo com o O"&amp;"NET/OES e o Sistema de Classificação Industrial da América do Norte. Consulte as Funções e a Ordem de Serviço para obter mais informações. Requisitos da Função Experiência Necessária: Sim Meses de Experiência Necessários: 6 Requisitos Especiais: O contrat"&amp;"ante considerará para emprego qualquer pessoa que possua pelo menos seis (6) meses de experiência em hotelaria ou em alimentos e bebidas em um hotel de alto padrão, resort ou clube privado. O candidato deverá se submeter a uma verificação de antecedentes "&amp;"pré-emprego, às custas do empregador. Número de Horas por Semana: 40 Horário de Trabalho (Início/Término): 6h00 - 14h00")</f>
        <v>Os Assistentes de Operações de Alimentos e Bebidas serão responsáveis ​​por apoiar as operações de serviço de alimentos e bebidas, auxiliando a equipe de atendimento em restaurantes, espaços para eventos, piscinas e áreas de refeições na praia. Isso inclui entregar alimentos e bebidas às mesas, manter as mesas organizadas (limpando e arrumando as mesas), repor água, bebidas, condimentos e suprimentos nos pontos de serviço, recepcionar e acomodar os clientes quando necessário, anotar e registrar os pedidos dos clientes quando necessário, garantir a limpeza e organização das áreas de serviço e seguir todas as normas de segurança alimentar, higiene e regulamentações sobre bebidas alcoólicas, bem como os padrões de serviço e conduta do Four Seasons. Horário: 40 horas semanais. A escala de trabalho pode variar e incluir turnos noturnos, fins de semana e feriados. O trabalho pode ser realizado em qualquer dia da semana, de segunda a domingo. Exemplos de turnos: das 6h às 14h, das 8h às 16h ou das 15h às 23h. Os horários dos turnos podem variar. Consulte a descrição da vaga para obter mais informações. Classificação da Função: 35-3031.00 - Garçons e Garçonetes. A classificação e descrição da função/setor inclui informações gerais sobre o cargo, de acordo com o ONET/OES e o Sistema de Classificação Industrial da América do Norte. Consulte as Funções e a Ordem de Serviço para obter mais informações. Requisitos da Função Experiência Necessária: Sim Meses de Experiência Necessários: 6 Requisitos Especiais: O contratante considerará para emprego qualquer pessoa que possua pelo menos seis (6) meses de experiência em hotelaria ou em alimentos e bebidas em um hotel de alto padrão, resort ou clube privado. O candidato deverá se submeter a uma verificação de antecedentes pré-emprego, às custas do empregador. Número de Horas por Semana: 40 Horário de Trabalho (Início/Término): 6h00 - 14h00</v>
      </c>
    </row>
    <row r="1135" ht="20.25" customHeight="1">
      <c r="A1135" s="8" t="s">
        <v>5153</v>
      </c>
      <c r="B1135" s="8" t="s">
        <v>5148</v>
      </c>
      <c r="C1135" s="8" t="s">
        <v>4241</v>
      </c>
      <c r="D1135" s="8" t="s">
        <v>71</v>
      </c>
      <c r="E1135" s="9" t="s">
        <v>19</v>
      </c>
      <c r="F1135" s="9" t="s">
        <v>20</v>
      </c>
      <c r="G1135" s="9" t="s">
        <v>524</v>
      </c>
      <c r="H1135" s="8" t="s">
        <v>5149</v>
      </c>
      <c r="I1135" s="8" t="s">
        <v>5150</v>
      </c>
      <c r="J1135" s="9">
        <v>22.0</v>
      </c>
      <c r="K1135" s="9">
        <v>8.0</v>
      </c>
      <c r="L1135" s="8" t="s">
        <v>5154</v>
      </c>
      <c r="M1135" s="8" t="s">
        <v>5155</v>
      </c>
      <c r="N1135" s="7" t="str">
        <f>IFERROR(__xludf.DUMMYFUNCTION("GOOGLETRANSLATE(L1135, ""en"", ""pt"")"),"Lavador de pratos/comissário de bordo")</f>
        <v>Lavador de pratos/comissário de bordo</v>
      </c>
      <c r="O1135" s="7" t="str">
        <f>IFERROR(__xludf.DUMMYFUNCTION("IF(M1135="""","""",GOOGLETRANSLATE(M1135,""en"",""pt""))"),"Os auxiliares de cozinha serão responsáveis ​​por lavar a louça e todos os utensílios de cozinha à mão ou na máquina, manter as áreas de trabalho e os equipamentos da cozinha limpos, varrer e esfregar o chão, preparar (sem cozinhar) diversos alimentos par"&amp;"a serem cozidos ou servidos e separar e descartar o lixo. Horário: 40 horas semanais. O horário de trabalho pode variar e incluir turnos noturnos, fins de semana e feriados. O trabalho pode ser realizado em qualquer dia da semana, de segunda a domingo. Ex"&amp;"emplos de turnos: das 6h às 14h, das 8h às 16h ou das 15h às 23h. Os horários dos turnos podem variar. Consulte a descrição da vaga para obter mais informações. Classificação da vaga: 35-2021.00 - Auxiliares de Cozinha. A classificação e a descrição da va"&amp;"ga/setor incluem informações gerais sobre o cargo, de acordo com o ONET/OES e o Sistema de Classificação Industrial da América do Norte (NAICS). Consulte as atribuições e a ordem de serviço para obter mais informações. Requisitos da vaga Experiência exigi"&amp;"da: Sim Meses de experiência exigidos: 3 Requisitos especiais: O contratante considerará para emprego qualquer pessoa que possua pelo menos três (3) meses de experiência em um restaurante de alto padrão, resort ou clube privado. O candidato deverá se subm"&amp;"eter a uma verificação de antecedentes pré-emprego, às custas do empregador. Número de horas por semana: 40 Horário de trabalho (início/término): 6h às 14h")</f>
        <v>Os auxiliares de cozinha serão responsáveis ​​por lavar a louça e todos os utensílios de cozinha à mão ou na máquina, manter as áreas de trabalho e os equipamentos da cozinha limpos, varrer e esfregar o chão, preparar (sem cozinhar) diversos alimentos para serem cozidos ou servidos e separar e descartar o lixo. Horário: 40 horas semanais. O horário de trabalho pode variar e incluir turnos noturnos, fins de semana e feriados. O trabalho pode ser realizado em qualquer dia da semana, de segunda a domingo. Exemplos de turnos: das 6h às 14h, das 8h às 16h ou das 15h às 23h. Os horários dos turnos podem variar. Consulte a descrição da vaga para obter mais informações. Classificação da vaga: 35-2021.00 - Auxiliares de Cozinha. A classificação e a descrição da vaga/setor incluem informações gerais sobre o cargo, de acordo com o ONET/OES e o Sistema de Classificação Industrial da América do Norte (NAICS). Consulte as atribuições e a ordem de serviço para obter mais informações. Requisitos da vaga Experiência exigida: Sim Meses de experiência exigidos: 3 Requisitos especiais: O contratante considerará para emprego qualquer pessoa que possua pelo menos três (3) meses de experiência em um restaurante de alto padrão, resort ou clube privado. O candidato deverá se submeter a uma verificação de antecedentes pré-emprego, às custas do empregador. Número de horas por semana: 40 Horário de trabalho (início/término): 6h às 14h</v>
      </c>
    </row>
    <row r="1136" ht="20.25" customHeight="1">
      <c r="A1136" s="3" t="s">
        <v>5156</v>
      </c>
      <c r="B1136" s="3" t="s">
        <v>5148</v>
      </c>
      <c r="C1136" s="3" t="s">
        <v>4241</v>
      </c>
      <c r="D1136" s="3" t="s">
        <v>71</v>
      </c>
      <c r="E1136" s="4" t="s">
        <v>44</v>
      </c>
      <c r="F1136" s="4" t="s">
        <v>20</v>
      </c>
      <c r="G1136" s="4" t="s">
        <v>524</v>
      </c>
      <c r="H1136" s="3" t="s">
        <v>5149</v>
      </c>
      <c r="I1136" s="3" t="s">
        <v>5150</v>
      </c>
      <c r="J1136" s="4">
        <v>22.0</v>
      </c>
      <c r="K1136" s="4">
        <v>35.0</v>
      </c>
      <c r="L1136" s="3" t="s">
        <v>586</v>
      </c>
      <c r="M1136" s="3" t="s">
        <v>5157</v>
      </c>
      <c r="N1136" s="7" t="str">
        <f>IFERROR(__xludf.DUMMYFUNCTION("GOOGLETRANSLATE(L1136, ""en"", ""pt"")"),"Cozinheiro de linha")</f>
        <v>Cozinheiro de linha</v>
      </c>
      <c r="O1136" s="7" t="str">
        <f>IFERROR(__xludf.DUMMYFUNCTION("IF(M1136="""","""",GOOGLETRANSLATE(M1136,""en"",""pt""))"),"Os cozinheiros serão responsáveis ​​pelo preparo e execução do café da manhã, almoço e jantar, incluindo o preparo, tempero e cozimento de pratos como sopas, carnes, legumes ou sobremesas em restaurantes, rotacionando os alimentos para garantir o frescor,"&amp;" auxiliando no pedido de suprimentos, inspecionando e limpando as áreas de preparo e serviço de alimentos para garantir práticas seguras e higiênicas de manipulação de alimentos e assegurando que a qualidade dos alimentos preparados atenda aos padrões da "&amp;"empresa. Horário: 40 horas semanais. O horário de trabalho pode variar e incluir turnos noturnos, fins de semana e feriados. O trabalho pode ser realizado em qualquer dia da semana, de segunda a domingo. Exemplos de turnos: 6h às 14h, 8h às 16h ou 15h às "&amp;"23h. Os horários dos turnos podem variar. Consulte a descrição da vaga para obter mais informações. Classificação da vaga: 35-2014.00 - Cozinheiros, Restaurante. A classificação e descrição da vaga/setor incluem informações gerais sobre a posição, de acor"&amp;"do com o ONET/OES e o Sistema de Classificação Industrial da América do Norte. Consulte a Descrição das Funções e a Ordem de Serviço para obter mais informações. Requisitos da Vaga Experiência Necessária: Sim Meses de Experiência Necessários: 12 Requisito"&amp;"s Especiais: O contratante considerará para emprego qualquer pessoa que possua pelo menos um (1) ano de experiência culinária em um hotel de alto padrão, resort ou clube privado. O candidato deverá se submeter a uma verificação de antecedentes pré-admissi"&amp;"onal, custeada pelo empregador. Número de Horas por Semana: 40 Horário de Trabalho (Início/Término): 6h00 - 14h00")</f>
        <v>Os cozinheiros serão responsáveis ​​pelo preparo e execução do café da manhã, almoço e jantar, incluindo o preparo, tempero e cozimento de pratos como sopas, carnes, legumes ou sobremesas em restaurantes, rotacionando os alimentos para garantir o frescor, auxiliando no pedido de suprimentos, inspecionando e limpando as áreas de preparo e serviço de alimentos para garantir práticas seguras e higiênicas de manipulação de alimentos e assegurando que a qualidade dos alimentos preparados atenda aos padrões da empresa. Horário: 40 horas semanais. O horário de trabalho pode variar e incluir turnos noturnos, fins de semana e feriados. O trabalho pode ser realizado em qualquer dia da semana, de segunda a domingo. Exemplos de turnos: 6h às 14h, 8h às 16h ou 15h às 23h. Os horários dos turnos podem variar. Consulte a descrição da vaga para obter mais informações. Classificação da vaga: 35-2014.00 - Cozinheiros, Restaurante. A classificação e descrição da vaga/setor incluem informações gerais sobre a posição, de acordo com o ONET/OES e o Sistema de Classificação Industrial da América do Norte. Consulte a Descrição das Funções e a Ordem de Serviço para obter mais informações. Requisitos da Vaga Experiência Necessária: Sim Meses de Experiência Necessários: 12 Requisitos Especiais: O contratante considerará para emprego qualquer pessoa que possua pelo menos um (1) ano de experiência culinária em um hotel de alto padrão, resort ou clube privado. O candidato deverá se submeter a uma verificação de antecedentes pré-admissional, custeada pelo empregador. Número de Horas por Semana: 40 Horário de Trabalho (Início/Término): 6h00 - 14h00</v>
      </c>
    </row>
    <row r="1137" ht="20.25" customHeight="1">
      <c r="A1137" s="8" t="s">
        <v>5158</v>
      </c>
      <c r="B1137" s="8" t="s">
        <v>5148</v>
      </c>
      <c r="C1137" s="8" t="s">
        <v>4241</v>
      </c>
      <c r="D1137" s="8" t="s">
        <v>71</v>
      </c>
      <c r="E1137" s="9" t="s">
        <v>44</v>
      </c>
      <c r="F1137" s="9" t="s">
        <v>20</v>
      </c>
      <c r="G1137" s="9" t="s">
        <v>524</v>
      </c>
      <c r="H1137" s="8" t="s">
        <v>5149</v>
      </c>
      <c r="I1137" s="8" t="s">
        <v>5150</v>
      </c>
      <c r="J1137" s="9">
        <v>20.5</v>
      </c>
      <c r="K1137" s="9">
        <v>20.0</v>
      </c>
      <c r="L1137" s="8" t="s">
        <v>4944</v>
      </c>
      <c r="M1137" s="8" t="s">
        <v>5159</v>
      </c>
      <c r="N1137" s="7" t="str">
        <f>IFERROR(__xludf.DUMMYFUNCTION("GOOGLETRANSLATE(L1137, ""en"", ""pt"")"),"Auxiliar de limpeza")</f>
        <v>Auxiliar de limpeza</v>
      </c>
      <c r="O1137" s="7" t="str">
        <f>IFERROR(__xludf.DUMMYFUNCTION("IF(M1137="""","""",GOOGLETRANSLATE(M1137,""en"",""pt""))"),"Os funcionários da limpeza serão responsáveis ​​pela limpeza dos quartos, incluindo a remoção da roupa de cama usada e sua substituição por roupa limpa, a limpeza e higienização das superfícies, a arrumação das camas, a aspiração dos carpetes, a retirada "&amp;"do lixo das lixeiras, o transporte das bandejas, pratos e carrinhos do serviço de quarto para os locais designados, a reposição de itens de higiene pessoal, como xampu, loções, algodão, artigos de papelaria, café, chá e sachês de açúcar, e a coleta e entr"&amp;"ega de itens solicitados pelos hóspedes, como ferros de passar roupa, tábuas de passar, berços e camas extras. Além disso, os funcionários da limpeza serão responsáveis ​​pela limpeza e higienização dos banheiros dos quartos (chuveiros/banheiras/vasos san"&amp;"itários) e das áreas comuns. As responsabilidades adicionais incluem manter todos os corredores de hóspedes limpos, limpando espelhos, móveis, elevadores e portas para que estejam impecáveis, esvaziando cinzeiros, varrendo, lavando e aspirando corredores,"&amp;" patamares de elevadores de serviço, escadas e depósitos de roupa de cama, além de repor produtos de papel nos banheiros públicos. Horário: 40 horas semanais. O horário de trabalho pode variar e incluir turnos noturnos, fins de semana e feriados. O trabal"&amp;"ho pode ser realizado em qualquer dia da semana, de segunda a domingo. Exemplos de turnos: das 6h às 14h, das 8h às 16h ou das 15h às 23h. Os horários dos turnos podem variar. Consulte a descrição da vaga para obter mais informações. Classificação da vaga"&amp;": 37-2012.00 - Camareiras e Auxiliares de Limpeza. A classificação e descrição da vaga/setor incluem informações gerais sobre o cargo, de acordo com o ONET/OES e o Sistema de Classificação Industrial da América do Norte. Consulte as Funções e a Ordem de S"&amp;"erviço para obter mais informações. Requisitos da vaga Experiência exigida: Sim Meses de experiência exigidos: 3 Requisitos especiais: O contratante considerará para emprego qualquer pessoa que possua pelo menos três (3) meses de experiência em limpeza em"&amp;" um hotel de alto padrão, resort ou clube privado. O candidato deverá se submeter a uma verificação de antecedentes pré-emprego, custeada pelo empregador. Número de horas por semana: 40 Horário de trabalho (início/término): 6h às 14h")</f>
        <v>Os funcionários da limpeza serão responsáveis ​​pela limpeza dos quartos, incluindo a remoção da roupa de cama usada e sua substituição por roupa limpa, a limpeza e higienização das superfícies, a arrumação das camas, a aspiração dos carpetes, a retirada do lixo das lixeiras, o transporte das bandejas, pratos e carrinhos do serviço de quarto para os locais designados, a reposição de itens de higiene pessoal, como xampu, loções, algodão, artigos de papelaria, café, chá e sachês de açúcar, e a coleta e entrega de itens solicitados pelos hóspedes, como ferros de passar roupa, tábuas de passar, berços e camas extras. Além disso, os funcionários da limpeza serão responsáveis ​​pela limpeza e higienização dos banheiros dos quartos (chuveiros/banheiras/vasos sanitários) e das áreas comuns. As responsabilidades adicionais incluem manter todos os corredores de hóspedes limpos, limpando espelhos, móveis, elevadores e portas para que estejam impecáveis, esvaziando cinzeiros, varrendo, lavando e aspirando corredores, patamares de elevadores de serviço, escadas e depósitos de roupa de cama, além de repor produtos de papel nos banheiros públicos. Horário: 40 horas semanais. O horário de trabalho pode variar e incluir turnos noturnos, fins de semana e feriados. O trabalho pode ser realizado em qualquer dia da semana, de segunda a domingo. Exemplos de turnos: das 6h às 14h, das 8h às 16h ou das 15h às 23h. Os horários dos turnos podem variar. Consulte a descrição da vaga para obter mais informações. Classificação da vaga: 37-2012.00 - Camareiras e Auxiliares de Limpeza. A classificação e descrição da vaga/setor incluem informações gerais sobre o cargo, de acordo com o ONET/OES e o Sistema de Classificação Industrial da América do Norte. Consulte as Funções e a Ordem de Serviço para obter mais informações. Requisitos da vaga Experiência exigida: Sim Meses de experiência exigidos: 3 Requisitos especiais: O contratante considerará para emprego qualquer pessoa que possua pelo menos três (3) meses de experiência em limpeza em um hotel de alto padrão, resort ou clube privado. O candidato deverá se submeter a uma verificação de antecedentes pré-emprego, custeada pelo empregador. Número de horas por semana: 40 Horário de trabalho (início/término): 6h às 14h</v>
      </c>
    </row>
    <row r="1138" ht="20.25" customHeight="1">
      <c r="A1138" s="3" t="s">
        <v>5160</v>
      </c>
      <c r="B1138" s="3" t="s">
        <v>5012</v>
      </c>
      <c r="C1138" s="3" t="s">
        <v>391</v>
      </c>
      <c r="D1138" s="3" t="s">
        <v>28</v>
      </c>
      <c r="E1138" s="4" t="s">
        <v>19</v>
      </c>
      <c r="F1138" s="4" t="s">
        <v>20</v>
      </c>
      <c r="G1138" s="4" t="s">
        <v>80</v>
      </c>
      <c r="H1138" s="3" t="s">
        <v>5013</v>
      </c>
      <c r="I1138" s="3" t="s">
        <v>5014</v>
      </c>
      <c r="J1138" s="4">
        <v>17.17</v>
      </c>
      <c r="K1138" s="4">
        <v>5.0</v>
      </c>
      <c r="L1138" s="3" t="s">
        <v>5015</v>
      </c>
      <c r="M1138" s="3" t="s">
        <v>5161</v>
      </c>
      <c r="N1138" s="7" t="str">
        <f>IFERROR(__xludf.DUMMYFUNCTION("GOOGLETRANSLATE(L1138, ""en"", ""pt"")"),"Operário de Instalação Paisagística")</f>
        <v>Operário de Instalação Paisagística</v>
      </c>
      <c r="O1138" s="7" t="str">
        <f>IFERROR(__xludf.DUMMYFUNCTION("IF(M1138="""","""",GOOGLETRANSLATE(M1138,""en"",""pt""))"),"Preparar o terreno para instalação de paisagismo, instalar novos elementos paisagísticos, movimentar terra, demarcar canteiros, misturar solo, usar ferramentas manuais/elétricas ou equipamentos como pá, ancinho, roda de marcação, espalhar sementes de gram"&amp;"a, colocar grama em placas, instalar sistemas de irrigação e instalar blocos de concreto pré-moldado sem argamassa. Cortar grama, aparar, plantar, regar e fertilizar. Pode ser necessário dirigir caminhão ou outro veículo para transportar a equipe de traba"&amp;"lho, plantas, materiais e ferramentas de/para os locais de trabalho. Mínimo de 35 horas por semana, podendo chegar a 48 horas por semana. Dias normais de trabalho: segunda a sábado, das 7h às 16h, com uma hora de almoço não remunerada. Os dias e horários "&amp;"de trabalho podem variar de acordo com as condições climáticas. Salário: US$ 17,17 por hora. O empregador poderá aumentar o salário com base na experiência, nas mudanças nas condições de mercado e/ou oferecer remuneração adicional por desempenho e tempo d"&amp;"e serviço. Será pago adicional por horas extras quando exigido por lei federal, estadual ou municipal, incluindo hora e meia após 40 horas semanais. Geralmente, quando houver horas extras disponíveis, elas serão pagas a US$ 25,76 por hora, com base na loc"&amp;"alidade onde o trabalho é realizado e na taxa horária base oferecida. Uma única semana de trabalho será usada para calcular os salários devidos. O pagamento é semanal. Bônus discricionário disponível. Transporte diário fornecido do local de trabalho princ"&amp;"ipal em Ascension Parish para os locais de trabalho em East Baton Rouge, West Baton Rouge, Ascension, Iberville, Livingston, Tangipahoa e St. James Parishes, LA. O empregador fornecerá ao trabalhador, sem custo, todas as ferramentas, suprimentos e equipam"&amp;"entos necessários para a execução do trabalho. Classificação do Cargo: 37-3011.00 - Trabalhadores de Paisagismo e Manutenção de Jardins. A classificação e descrição do cargo/setor incluem informações gerais sobre a posição, de acordo com o ONET/OES e o Si"&amp;"stema de Classificação Industrial da América do Norte (NAICS). Consulte as Funções e a Ordem de Serviço para obter mais informações. Requisitos do Cargo: Experiência Necessária: Não. Requisitos Especiais: Deve ser capaz de se curvar, agachar e levantar 23"&amp;" kg continuamente. É necessário ter disponibilidade para trabalhar 6 dias por semana, incluindo fins de semana e feriados. Os candidatos devem preencher uma ficha de emprego. Número de horas semanais: 48. Horário de trabalho (início/término): 7h às 16h.")</f>
        <v>Preparar o terreno para instalação de paisagismo, instalar novos elementos paisagísticos, movimentar terra, demarcar canteiros, misturar solo, usar ferramentas manuais/elétricas ou equipamentos como pá, ancinho, roda de marcação, espalhar sementes de grama, colocar grama em placas, instalar sistemas de irrigação e instalar blocos de concreto pré-moldado sem argamassa. Cortar grama, aparar, plantar, regar e fertilizar. Pode ser necessário dirigir caminhão ou outro veículo para transportar a equipe de trabalho, plantas, materiais e ferramentas de/para os locais de trabalho. Mínimo de 35 horas por semana, podendo chegar a 48 horas por semana. Dias normais de trabalho: segunda a sábado, das 7h às 16h, com uma hora de almoço não remunerada. Os dias e horários de trabalho podem variar de acordo com as condições climáticas. Salário: US$ 17,17 por hora. O empregador poderá aumentar o salário com base na experiência, nas mudanças nas condições de mercado e/ou oferecer remuneração adicional por desempenho e tempo de serviço. Será pago adicional por horas extras quando exigido por lei federal, estadual ou municipal, incluindo hora e meia após 40 horas semanais. Geralmente, quando houver horas extras disponíveis, elas serão pagas a US$ 25,76 por hora, com base na localidade onde o trabalho é realizado e na taxa horária base oferecida. Uma única semana de trabalho será usada para calcular os salários devidos. O pagamento é semanal. Bônus discricionário disponível. Transporte diário fornecido do local de trabalho principal em Ascension Parish para os locais de trabalho em East Baton Rouge, West Baton Rouge, Ascension, Iberville, Livingston, Tangipahoa e St. James Parishes, LA. O empregador fornecerá ao trabalhador, sem custo, todas as ferramentas, suprimentos e equipamentos necessários para a execução do trabalho. Classificação do Cargo: 37-3011.00 - Trabalhadores de Paisagismo e Manutenção de Jardins. A classificação e descrição do cargo/setor incluem informações gerais sobre a posição, de acordo com o ONET/OES e o Sistema de Classificação Industrial da América do Norte (NAICS). Consulte as Funções e a Ordem de Serviço para obter mais informações. Requisitos do Cargo: Experiência Necessária: Não. Requisitos Especiais: Deve ser capaz de se curvar, agachar e levantar 23 kg continuamente. É necessário ter disponibilidade para trabalhar 6 dias por semana, incluindo fins de semana e feriados. Os candidatos devem preencher uma ficha de emprego. Número de horas semanais: 48. Horário de trabalho (início/término): 7h às 16h.</v>
      </c>
    </row>
    <row r="1139" ht="20.25" customHeight="1">
      <c r="A1139" s="8" t="s">
        <v>5162</v>
      </c>
      <c r="B1139" s="8" t="s">
        <v>5012</v>
      </c>
      <c r="C1139" s="8" t="s">
        <v>391</v>
      </c>
      <c r="D1139" s="8" t="s">
        <v>64</v>
      </c>
      <c r="E1139" s="9" t="s">
        <v>19</v>
      </c>
      <c r="F1139" s="9" t="s">
        <v>20</v>
      </c>
      <c r="G1139" s="9" t="s">
        <v>80</v>
      </c>
      <c r="H1139" s="8" t="s">
        <v>5013</v>
      </c>
      <c r="I1139" s="8" t="s">
        <v>5014</v>
      </c>
      <c r="J1139" s="9">
        <v>18.93</v>
      </c>
      <c r="K1139" s="9">
        <v>60.0</v>
      </c>
      <c r="L1139" s="8" t="s">
        <v>5015</v>
      </c>
      <c r="M1139" s="8" t="s">
        <v>5163</v>
      </c>
      <c r="N1139" s="7" t="str">
        <f>IFERROR(__xludf.DUMMYFUNCTION("GOOGLETRANSLATE(L1139, ""en"", ""pt"")"),"Operário de Instalação Paisagística")</f>
        <v>Operário de Instalação Paisagística</v>
      </c>
      <c r="O1139" s="7" t="str">
        <f>IFERROR(__xludf.DUMMYFUNCTION("IF(M1139="""","""",GOOGLETRANSLATE(M1139,""en"",""pt""))"),"Preparar o terreno para instalação de paisagismo, instalar novos elementos paisagísticos, movimentar terra, demarcar canteiros, misturar solo, usar ferramentas manuais/elétricas ou equipamentos como pá, ancinho, roda de marcação, espalhar sementes de gram"&amp;"a, colocar grama em placas, instalar sistemas de irrigação e instalar blocos de concreto pré-moldado sem argamassa. Cortar grama, aparar, plantar, regar e fertilizar. Pode ser necessário dirigir caminhão ou outro veículo para transportar a equipe de traba"&amp;"lho, plantas, materiais e ferramentas de/para os locais de trabalho. Mínimo de 35 horas por semana, podendo chegar a 48 horas por semana. Dias normais de trabalho: segunda a sábado, das 7h às 16h, com uma hora de almoço não remunerada. Os dias e horários "&amp;"de trabalho podem variar de acordo com as condições climáticas. Salário: US$ 18,93/hora. O empregador poderá aumentar o salário com base na experiência, nas mudanças nas condições de mercado e/ou oferecer remuneração adicional por desempenho e tempo de se"&amp;"rviço. Será pago adicional por horas extras quando exigido por lei federal, estadual ou municipal, incluindo hora e meia após 40 horas semanais. Geralmente, quando houver horas extras disponíveis, elas serão pagas a US$ 28,40/hora, com base na localidade "&amp;"onde o trabalho é realizado e na taxa horária base oferecida. Uma única semana de trabalho será usada para calcular os salários devidos. O pagamento é semanal. Bônus discricionário disponível. Transporte diário fornecido do local de trabalho principal no "&amp;"Condado de Williamson para vários locais de trabalho nos Condados de Bastrop, Caldwell, Hays, Travis, Williamson, Bell, Burnet, Lee e Milam, TX. O empregador fornecerá ao trabalhador, sem custo, todas as ferramentas, suprimentos e equipamentos necessários"&amp;" para a execução do trabalho. Classificação do Cargo: 37-3011.00 - Trabalhadores de Paisagismo e Manutenção de Jardins. A classificação e descrição do cargo/setor incluem informações gerais sobre a posição, de acordo com o ONET/OES e o Sistema de Classifi"&amp;"cação Industrial da América do Norte. Consulte as Funções e a Ordem de Serviço para obter mais informações. Requisitos do Cargo Experiência Necessária: Não Requisitos Especiais: Deve ser capaz de se curvar, agachar e levantar 23 kg continuamente. Deve ter"&amp;" disponibilidade para trabalhar em uma escala de 6 dias, podendo incluir fins de semana e feriados. Os candidatos devem preencher uma ficha de emprego. Número de horas por semana: 48. Horário de trabalho (início/término): 7h às 16h.")</f>
        <v>Preparar o terreno para instalação de paisagismo, instalar novos elementos paisagísticos, movimentar terra, demarcar canteiros, misturar solo, usar ferramentas manuais/elétricas ou equipamentos como pá, ancinho, roda de marcação, espalhar sementes de grama, colocar grama em placas, instalar sistemas de irrigação e instalar blocos de concreto pré-moldado sem argamassa. Cortar grama, aparar, plantar, regar e fertilizar. Pode ser necessário dirigir caminhão ou outro veículo para transportar a equipe de trabalho, plantas, materiais e ferramentas de/para os locais de trabalho. Mínimo de 35 horas por semana, podendo chegar a 48 horas por semana. Dias normais de trabalho: segunda a sábado, das 7h às 16h, com uma hora de almoço não remunerada. Os dias e horários de trabalho podem variar de acordo com as condições climáticas. Salário: US$ 18,93/hora. O empregador poderá aumentar o salário com base na experiência, nas mudanças nas condições de mercado e/ou oferecer remuneração adicional por desempenho e tempo de serviço. Será pago adicional por horas extras quando exigido por lei federal, estadual ou municipal, incluindo hora e meia após 40 horas semanais. Geralmente, quando houver horas extras disponíveis, elas serão pagas a US$ 28,40/hora, com base na localidade onde o trabalho é realizado e na taxa horária base oferecida. Uma única semana de trabalho será usada para calcular os salários devidos. O pagamento é semanal. Bônus discricionário disponível. Transporte diário fornecido do local de trabalho principal no Condado de Williamson para vários locais de trabalho nos Condados de Bastrop, Caldwell, Hays, Travis, Williamson, Bell, Burnet, Lee e Milam, TX. O empregador fornecerá ao trabalhador, sem custo, todas as ferramentas, suprimentos e equipamentos necessários para a execução do trabalho. Classificação do Cargo: 37-3011.00 - Trabalhadores de Paisagismo e Manutenção de Jardins. A classificação e descrição do cargo/setor incluem informações gerais sobre a posição, de acordo com o ONET/OES e o Sistema de Classificação Industrial da América do Norte. Consulte as Funções e a Ordem de Serviço para obter mais informações. Requisitos do Cargo Experiência Necessária: Não Requisitos Especiais: Deve ser capaz de se curvar, agachar e levantar 23 kg continuamente. Deve ter disponibilidade para trabalhar em uma escala de 6 dias, podendo incluir fins de semana e feriados. Os candidatos devem preencher uma ficha de emprego. Número de horas por semana: 48. Horário de trabalho (início/término): 7h às 16h.</v>
      </c>
    </row>
    <row r="1140" ht="20.25" customHeight="1">
      <c r="A1140" s="3" t="s">
        <v>5164</v>
      </c>
      <c r="B1140" s="3" t="s">
        <v>5165</v>
      </c>
      <c r="C1140" s="3" t="s">
        <v>4241</v>
      </c>
      <c r="D1140" s="3" t="s">
        <v>71</v>
      </c>
      <c r="E1140" s="4" t="s">
        <v>19</v>
      </c>
      <c r="F1140" s="4" t="s">
        <v>20</v>
      </c>
      <c r="G1140" s="4" t="s">
        <v>524</v>
      </c>
      <c r="H1140" s="3" t="s">
        <v>5166</v>
      </c>
      <c r="I1140" s="3" t="s">
        <v>5167</v>
      </c>
      <c r="J1140" s="4">
        <v>18.0</v>
      </c>
      <c r="K1140" s="4">
        <v>4.0</v>
      </c>
      <c r="L1140" s="3" t="s">
        <v>586</v>
      </c>
      <c r="M1140" s="3" t="s">
        <v>5168</v>
      </c>
      <c r="N1140" s="7" t="str">
        <f>IFERROR(__xludf.DUMMYFUNCTION("GOOGLETRANSLATE(L1140, ""en"", ""pt"")"),"Cozinheiro de linha")</f>
        <v>Cozinheiro de linha</v>
      </c>
      <c r="O1140" s="7" t="str">
        <f>IFERROR(__xludf.DUMMYFUNCTION("IF(M1140="""","""",GOOGLETRANSLATE(M1140,""en"",""pt""))"),"Os cozinheiros de linha serão responsáveis ​​por preparar, temperar e cozinhar sopas, carnes, legumes, sobremesas e outros itens alimentícios em um restaurante. Também serão responsáveis ​​por garantir que todos os alimentos sejam preparados em tempo hábi"&amp;"l, seguindo as receitas e especificações de apresentação para assegurar consistência e qualidade, organizando e abastecendo as estações de trabalho com todos os suprimentos necessários e limpando e mantendo as áreas de trabalho, utensílios e equipamentos."&amp;" Horário: 40 horas semanais. O horário de trabalho pode variar e incluir turnos noturnos, fins de semana e feriados. O trabalho pode ser realizado em qualquer dia da semana, de segunda a domingo. Exemplos de turnos: 7h às 15h ou 15h às 23h. Os horários do"&amp;"s turnos podem variar. Consulte a descrição do cargo em anexo para obter mais informações. Classificação do Cargo: 35-2014.00 - Cozinheiros, Restaurante. A classificação e descrição do cargo/setor incluem informações gerais sobre a posição, de acordo com "&amp;"o ONET/OES e o Sistema de Classificação Industrial da América do Norte. Consulte as Funções e a Ordem de Serviço para obter mais informações. Requisitos da vaga Experiência necessária: Sim Meses de experiência necessários: 6 Requisitos especiais: O contra"&amp;"tante considerará para emprego qualquer pessoa que possua pelo menos seis (6) meses de experiência culinária em um ambiente de ritmo acelerado. O candidato deverá se submeter a uma verificação de antecedentes pré-emprego, às custas do empregador. Número d"&amp;"e horas por semana: 40 Horário de trabalho (início/término): 7h às 15h")</f>
        <v>Os cozinheiros de linha serão responsáveis ​​por preparar, temperar e cozinhar sopas, carnes, legumes, sobremesas e outros itens alimentícios em um restaurante. Também serão responsáveis ​​por garantir que todos os alimentos sejam preparados em tempo hábil, seguindo as receitas e especificações de apresentação para assegurar consistência e qualidade, organizando e abastecendo as estações de trabalho com todos os suprimentos necessários e limpando e mantendo as áreas de trabalho, utensílios e equipamentos. Horário: 40 horas semanais. O horário de trabalho pode variar e incluir turnos noturnos, fins de semana e feriados. O trabalho pode ser realizado em qualquer dia da semana, de segunda a domingo. Exemplos de turnos: 7h às 15h ou 15h às 23h. Os horários dos turnos podem variar. Consulte a descrição do cargo em anexo para obter mais informações. Classificação do Cargo: 35-2014.00 - Cozinheiros, Restaurante. A classificação e descrição do cargo/setor incluem informações gerais sobre a posição, de acordo com o ONET/OES e o Sistema de Classificação Industrial da América do Norte. Consulte as Funções e a Ordem de Serviço para obter mais informações. Requisitos da vaga Experiência necessária: Sim Meses de experiência necessários: 6 Requisitos especiais: O contratante considerará para emprego qualquer pessoa que possua pelo menos seis (6) meses de experiência culinária em um ambiente de ritmo acelerado. O candidato deverá se submeter a uma verificação de antecedentes pré-emprego, às custas do empregador. Número de horas por semana: 40 Horário de trabalho (início/término): 7h às 15h</v>
      </c>
    </row>
    <row r="1141" ht="20.25" customHeight="1">
      <c r="A1141" s="8" t="s">
        <v>5169</v>
      </c>
      <c r="B1141" s="8" t="s">
        <v>5170</v>
      </c>
      <c r="C1141" s="8" t="s">
        <v>4241</v>
      </c>
      <c r="D1141" s="8" t="s">
        <v>71</v>
      </c>
      <c r="E1141" s="9" t="s">
        <v>19</v>
      </c>
      <c r="F1141" s="9" t="s">
        <v>20</v>
      </c>
      <c r="G1141" s="9" t="s">
        <v>524</v>
      </c>
      <c r="H1141" s="8" t="s">
        <v>5171</v>
      </c>
      <c r="I1141" s="8" t="s">
        <v>5172</v>
      </c>
      <c r="J1141" s="9">
        <v>19.0</v>
      </c>
      <c r="K1141" s="9">
        <v>10.0</v>
      </c>
      <c r="L1141" s="8" t="s">
        <v>1206</v>
      </c>
      <c r="M1141" s="8" t="s">
        <v>5173</v>
      </c>
      <c r="N1141" s="7" t="str">
        <f>IFERROR(__xludf.DUMMYFUNCTION("GOOGLETRANSLATE(L1141, ""en"", ""pt"")"),"Servidor")</f>
        <v>Servidor</v>
      </c>
      <c r="O1141" s="7" t="str">
        <f>IFERROR(__xludf.DUMMYFUNCTION("IF(M1141="""","""",GOOGLETRANSLATE(M1141,""en"",""pt""))"),"Os garçons serão responsáveis ​​por recepcionar os clientes, preparar as áreas de refeição, incluindo salões de banquetes e festas, anotar e registrar os pedidos de comida e bebida dos clientes, transportar bandejas e pratos, servir comida e bebida e limp"&amp;"ar e retirar os utensílios das mesas. Devem manter todos os pontos de serviço limpos, higienizados e abastecidos. Horário: 40 horas semanais. A escala de trabalho pode variar e incluir turnos noturnos, fins de semana e feriados. O trabalho pode ser realiz"&amp;"ado em qualquer dia da semana, de segunda a domingo. Exemplos de turnos: 7h às 15h, 10h às 18h ou 13h às 21h. Os horários dos turnos podem variar. Consulte a descrição do cargo em anexo para obter mais informações. Classificação do Cargo: 35-3031.00 - Gar"&amp;"çons e Garçonetes. A classificação e descrição do cargo/setor incluem informações gerais sobre a posição, de acordo com o ONET/OES e o Sistema de Classificação Industrial da América do Norte (NAICS). Consulte as Funções e a Ordem de Serviço para obter mai"&amp;"s informações. Requisitos da Vaga Experiência Necessária: Sim Meses de Experiência Necessários: 12 Requisitos Especiais: O Requerente considerará para emprego qualquer pessoa que possua pelo menos um (1) ano de experiência em um ambiente de alta gastronom"&amp;"ia ou de grande movimento em um restaurante de luxo, resort ou clube privado. Os candidatos que não tenham sido anteriormente empregados pelo Requerente devem se submeter a uma verificação de antecedentes e exame toxicológico pré-admissional, às custas do"&amp;" empregador. Número de Horas por Semana: 40 Horário de Trabalho (Início/Término): 7h00 - 15h00")</f>
        <v>Os garçons serão responsáveis ​​por recepcionar os clientes, preparar as áreas de refeição, incluindo salões de banquetes e festas, anotar e registrar os pedidos de comida e bebida dos clientes, transportar bandejas e pratos, servir comida e bebida e limpar e retirar os utensílios das mesas. Devem manter todos os pontos de serviço limpos, higienizados e abastecidos. Horário: 40 horas semanais. A escala de trabalho pode variar e incluir turnos noturnos, fins de semana e feriados. O trabalho pode ser realizado em qualquer dia da semana, de segunda a domingo. Exemplos de turnos: 7h às 15h, 10h às 18h ou 13h às 21h. Os horários dos turnos podem variar. Consulte a descrição do cargo em anexo para obter mais informações. Classificação do Cargo: 35-3031.00 - Garçons e Garçonetes. A classificação e descrição do cargo/setor incluem informações gerais sobre a posição, de acordo com o ONET/OES e o Sistema de Classificação Industrial da América do Norte (NAICS). Consulte as Funções e a Ordem de Serviço para obter mais informações. Requisitos da Vaga Experiência Necessária: Sim Meses de Experiência Necessários: 12 Requisitos Especiais: O Requerente considerará para emprego qualquer pessoa que possua pelo menos um (1) ano de experiência em um ambiente de alta gastronomia ou de grande movimento em um restaurante de luxo, resort ou clube privado. Os candidatos que não tenham sido anteriormente empregados pelo Requerente devem se submeter a uma verificação de antecedentes e exame toxicológico pré-admissional, às custas do empregador. Número de Horas por Semana: 40 Horário de Trabalho (Início/Término): 7h00 - 15h00</v>
      </c>
    </row>
    <row r="1142" ht="20.25" customHeight="1">
      <c r="A1142" s="3" t="s">
        <v>5174</v>
      </c>
      <c r="B1142" s="3" t="s">
        <v>5170</v>
      </c>
      <c r="C1142" s="3" t="s">
        <v>4241</v>
      </c>
      <c r="D1142" s="3" t="s">
        <v>71</v>
      </c>
      <c r="E1142" s="4" t="s">
        <v>19</v>
      </c>
      <c r="F1142" s="4" t="s">
        <v>20</v>
      </c>
      <c r="G1142" s="4" t="s">
        <v>524</v>
      </c>
      <c r="H1142" s="3" t="s">
        <v>5171</v>
      </c>
      <c r="I1142" s="3" t="s">
        <v>5172</v>
      </c>
      <c r="J1142" s="4">
        <v>18.0</v>
      </c>
      <c r="K1142" s="4">
        <v>2.0</v>
      </c>
      <c r="L1142" s="3" t="s">
        <v>387</v>
      </c>
      <c r="M1142" s="3" t="s">
        <v>5175</v>
      </c>
      <c r="N1142" s="7" t="str">
        <f>IFERROR(__xludf.DUMMYFUNCTION("GOOGLETRANSLATE(L1142, ""en"", ""pt"")"),"Ordem de serviço não disponível")</f>
        <v>Ordem de serviço não disponível</v>
      </c>
      <c r="O1142" s="7" t="str">
        <f>IFERROR(__xludf.DUMMYFUNCTION("IF(M1142="""","""",GOOGLETRANSLATE(M1142,""en"",""pt""))"),"Os cozinheiros serão responsáveis ​​por preparar, temperar e cozinhar sopas, carnes, legumes, sobremesas e outros pratos em um restaurante. Horário: 40 horas semanais. O horário de trabalho pode variar e incluir turnos noturnos, fins de semana e feriados."&amp;" O trabalho pode ser realizado em qualquer dia da semana, de segunda a domingo. Exemplos de turnos: das 7h às 15h, das 10h às 18h ou das 13h às 21h. Os horários dos turnos podem variar. Consulte a descrição do cargo em anexo para obter mais informações. C"&amp;"lassificação do Cargo: 35-2014.00 - Cozinheiros, Restaurante. A classificação e a descrição do cargo/setor incluem informações gerais sobre a posição, de acordo com o ONET/OES e o Sistema de Classificação Industrial da América do Norte (NAICS). Consulte a"&amp;"s Funções e a Ordem de Serviço para obter mais informações. Requisitos da Vaga Experiência Necessária: Sim Meses de Experiência Necessários: 12 Requisitos Especiais: O Requerente considerará para emprego qualquer pessoa que possua pelo menos um (1) ano de"&amp;" experiência culinária em um ambiente de alta gastronomia ou de grande movimento em um restaurante sofisticado, resort ou clube privado. Os candidatos que não tenham sido anteriormente empregados pelo Requerente devem se submeter a uma verificação de ante"&amp;"cedentes e exame toxicológico pré-admissional, às custas do empregador. Número de Horas por Semana: 40 Horário de Trabalho (Início/Término): 7h00 - 15h00")</f>
        <v>Os cozinheiros serão responsáveis ​​por preparar, temperar e cozinhar sopas, carnes, legumes, sobremesas e outros pratos em um restaurante. Horário: 40 horas semanais. O horário de trabalho pode variar e incluir turnos noturnos, fins de semana e feriados. O trabalho pode ser realizado em qualquer dia da semana, de segunda a domingo. Exemplos de turnos: das 7h às 15h, das 10h às 18h ou das 13h às 21h. Os horários dos turnos podem variar. Consulte a descrição do cargo em anexo para obter mais informações. Classificação do Cargo: 35-2014.00 - Cozinheiros, Restaurante. A classificação e a descrição do cargo/setor incluem informações gerais sobre a posição, de acordo com o ONET/OES e o Sistema de Classificação Industrial da América do Norte (NAICS). Consulte as Funções e a Ordem de Serviço para obter mais informações. Requisitos da Vaga Experiência Necessária: Sim Meses de Experiência Necessários: 12 Requisitos Especiais: O Requerente considerará para emprego qualquer pessoa que possua pelo menos um (1) ano de experiência culinária em um ambiente de alta gastronomia ou de grande movimento em um restaurante sofisticado, resort ou clube privado. Os candidatos que não tenham sido anteriormente empregados pelo Requerente devem se submeter a uma verificação de antecedentes e exame toxicológico pré-admissional, às custas do empregador. Número de Horas por Semana: 40 Horário de Trabalho (Início/Término): 7h00 - 15h00</v>
      </c>
    </row>
    <row r="1143" ht="20.25" customHeight="1">
      <c r="A1143" s="8" t="s">
        <v>5176</v>
      </c>
      <c r="B1143" s="8" t="s">
        <v>5034</v>
      </c>
      <c r="C1143" s="8" t="s">
        <v>4241</v>
      </c>
      <c r="D1143" s="8" t="s">
        <v>71</v>
      </c>
      <c r="E1143" s="9" t="s">
        <v>19</v>
      </c>
      <c r="F1143" s="9" t="s">
        <v>20</v>
      </c>
      <c r="G1143" s="9" t="s">
        <v>384</v>
      </c>
      <c r="H1143" s="8" t="s">
        <v>5035</v>
      </c>
      <c r="I1143" s="8" t="s">
        <v>5036</v>
      </c>
      <c r="J1143" s="9">
        <v>17.67</v>
      </c>
      <c r="K1143" s="9">
        <v>1.0</v>
      </c>
      <c r="L1143" s="8" t="s">
        <v>5177</v>
      </c>
      <c r="M1143" s="8" t="s">
        <v>5178</v>
      </c>
      <c r="N1143" s="7" t="str">
        <f>IFERROR(__xludf.DUMMYFUNCTION("GOOGLETRANSLATE(L1143, ""en"", ""pt"")"),"Recepção/Concierge")</f>
        <v>Recepção/Concierge</v>
      </c>
      <c r="O1143" s="7" t="str">
        <f>IFERROR(__xludf.DUMMYFUNCTION("IF(M1143="""","""",GOOGLETRANSLATE(M1143,""en"",""pt""))"),"O(A) recepcionista/concierge será responsável por operar o telefone de maneira educada e cordial, seguindo a etiqueta telefônica adequada, recepcionando membros e convidados, auxiliando com reservas para eventos e refeições, comunicando listas de reservas"&amp;" e atualizações às equipes de recepção, alimentos e bebidas e culinária. O(A) recepcionista/concierge também será responsável por garantir que todas as áreas comuns da recepção estejam devidamente limpas, com inventário, reposição de materiais e prontas p"&amp;"ara agendamentos ou reservas de hóspedes. Horário: 35 horas semanais. O horário de trabalho pode variar e incluir turnos noturnos, fins de semana e feriados. O trabalho pode ser realizado em qualquer dia da semana, de segunda a domingo. Exemplos de possív"&amp;"eis turnos são: 8h às 15h, 9h às 16h, 10h às 17h e 14h às 21h. Os horários dos turnos podem variar. Consulte a descrição da vaga em anexo para obter mais informações. Classificação da Função: 43-4081.00 - Recepcionistas de Hotel, Motel e Resort. A classif"&amp;"icação e descrição da função/setor inclui informações gerais sobre o cargo, de acordo com o ONET/OES e o Sistema de Classificação Industrial da América do Norte (NAICS). Consulte as Funções e a Ordem de Serviço para obter mais informações. Requisitos da F"&amp;"unção Experiência Necessária: Sim Meses de Experiência Necessários: 6 Requisitos Especiais: O contratante considerará para emprego qualquer pessoa que possua pelo menos seis (6) meses de experiência em recepção em um hotel de alto padrão, resort ou clube "&amp;"privado. O candidato deverá se submeter a exame toxicológico e verificação de antecedentes criminais pré-admissional, às custas do empregador. Número de Horas por Semana: 35 Horário de Trabalho (Início/Término): 8h00 - 15h00")</f>
        <v>O(A) recepcionista/concierge será responsável por operar o telefone de maneira educada e cordial, seguindo a etiqueta telefônica adequada, recepcionando membros e convidados, auxiliando com reservas para eventos e refeições, comunicando listas de reservas e atualizações às equipes de recepção, alimentos e bebidas e culinária. O(A) recepcionista/concierge também será responsável por garantir que todas as áreas comuns da recepção estejam devidamente limpas, com inventário, reposição de materiais e prontas para agendamentos ou reservas de hóspedes. Horário: 35 horas semanais. O horário de trabalho pode variar e incluir turnos noturnos, fins de semana e feriados. O trabalho pode ser realizado em qualquer dia da semana, de segunda a domingo. Exemplos de possíveis turnos são: 8h às 15h, 9h às 16h, 10h às 17h e 14h às 21h. Os horários dos turnos podem variar. Consulte a descrição da vaga em anexo para obter mais informações. Classificação da Função: 43-4081.00 - Recepcionistas de Hotel, Motel e Resort. A classificação e descrição da função/setor inclui informações gerais sobre o cargo, de acordo com o ONET/OES e o Sistema de Classificação Industrial da América do Norte (NAICS). Consulte as Funções e a Ordem de Serviço para obter mais informações. Requisitos da Função Experiência Necessária: Sim Meses de Experiência Necessários: 6 Requisitos Especiais: O contratante considerará para emprego qualquer pessoa que possua pelo menos seis (6) meses de experiência em recepção em um hotel de alto padrão, resort ou clube privado. O candidato deverá se submeter a exame toxicológico e verificação de antecedentes criminais pré-admissional, às custas do empregador. Número de Horas por Semana: 35 Horário de Trabalho (Início/Término): 8h00 - 15h00</v>
      </c>
    </row>
    <row r="1144" ht="20.25" customHeight="1">
      <c r="A1144" s="3" t="s">
        <v>5179</v>
      </c>
      <c r="B1144" s="3" t="s">
        <v>5034</v>
      </c>
      <c r="C1144" s="3" t="s">
        <v>4241</v>
      </c>
      <c r="D1144" s="3" t="s">
        <v>71</v>
      </c>
      <c r="E1144" s="4" t="s">
        <v>19</v>
      </c>
      <c r="F1144" s="4" t="s">
        <v>20</v>
      </c>
      <c r="G1144" s="4" t="s">
        <v>384</v>
      </c>
      <c r="H1144" s="3" t="s">
        <v>5035</v>
      </c>
      <c r="I1144" s="3" t="s">
        <v>5180</v>
      </c>
      <c r="J1144" s="4">
        <v>19.88</v>
      </c>
      <c r="K1144" s="4">
        <v>12.0</v>
      </c>
      <c r="L1144" s="3" t="s">
        <v>387</v>
      </c>
      <c r="M1144" s="3" t="s">
        <v>5181</v>
      </c>
      <c r="N1144" s="7" t="str">
        <f>IFERROR(__xludf.DUMMYFUNCTION("GOOGLETRANSLATE(L1144, ""en"", ""pt"")"),"Ordem de serviço não disponível")</f>
        <v>Ordem de serviço não disponível</v>
      </c>
      <c r="O1144" s="7" t="str">
        <f>IFERROR(__xludf.DUMMYFUNCTION("IF(M1144="""","""",GOOGLETRANSLATE(M1144,""en"",""pt""))"),"Os cozinheiros serão responsáveis ​​por preparar, temperar e cozinhar sopas, carnes, legumes, sobremesas e outros pratos em um restaurante, além de manter a organização da cozinha. Horário: 35 horas semanais. A escala de trabalho pode variar e incluir tur"&amp;"nos noturnos, fins de semana e feriados. O trabalho pode ser realizado em qualquer dia da semana, de segunda a domingo. Exemplos de possíveis turnos são: das 7h às 14h, das 9h às 16h, das 10h às 17h e das 15h às 22h. Os horários dos turnos podem variar. C"&amp;"onsulte a descrição da vaga em anexo para obter mais informações. Classificação da vaga: 35-2014.00 - Cozinheiros, Restaurante. A classificação e descrição da vaga/setor incluem informações gerais sobre o cargo, de acordo com o ONET/OES e o Sistema de Cla"&amp;"ssificação Industrial da América do Norte (NAICS). Consulte as Funções e a Ordem de Serviço para obter mais informações. Requisitos da vaga Experiência necessária: Sim Meses de experiência necessários: 12 Requisitos especiais: O contratante considerará pa"&amp;"ra emprego qualquer pessoa que possua pelo menos um (1) ano de experiência culinária em um ambiente de alta gastronomia ou de grande movimento em um restaurante sofisticado, resort ou clube privado. O candidato deverá se submeter a exame toxicológico e ve"&amp;"rificação de antecedentes criminais antes da contratação, às custas do empregador. Número de horas por semana: 35 Horário de trabalho (início/término): 7h às 14h")</f>
        <v>Os cozinheiros serão responsáveis ​​por preparar, temperar e cozinhar sopas, carnes, legumes, sobremesas e outros pratos em um restaurante, além de manter a organização da cozinha. Horário: 35 horas semanais. A escala de trabalho pode variar e incluir turnos noturnos, fins de semana e feriados. O trabalho pode ser realizado em qualquer dia da semana, de segunda a domingo. Exemplos de possíveis turnos são: das 7h às 14h, das 9h às 16h, das 10h às 17h e das 15h às 22h. Os horários dos turnos podem variar. Consulte a descrição da vaga em anexo para obter mais informações. Classificação da vaga: 35-2014.00 - Cozinheiros, Restaurante. A classificação e descrição da vaga/setor incluem informações gerais sobre o cargo, de acordo com o ONET/OES e o Sistema de Classificação Industrial da América do Norte (NAICS). Consulte as Funções e a Ordem de Serviço para obter mais informações. Requisitos da vaga Experiência necessária: Sim Meses de experiência necessários: 12 Requisitos especiais: O contratante considerará para emprego qualquer pessoa que possua pelo menos um (1) ano de experiência culinária em um ambiente de alta gastronomia ou de grande movimento em um restaurante sofisticado, resort ou clube privado. O candidato deverá se submeter a exame toxicológico e verificação de antecedentes criminais antes da contratação, às custas do empregador. Número de horas por semana: 35 Horário de trabalho (início/término): 7h às 14h</v>
      </c>
    </row>
    <row r="1145" ht="20.25" customHeight="1">
      <c r="A1145" s="8" t="s">
        <v>5182</v>
      </c>
      <c r="B1145" s="8" t="s">
        <v>5034</v>
      </c>
      <c r="C1145" s="8" t="s">
        <v>4241</v>
      </c>
      <c r="D1145" s="8" t="s">
        <v>71</v>
      </c>
      <c r="E1145" s="9" t="s">
        <v>19</v>
      </c>
      <c r="F1145" s="9" t="s">
        <v>20</v>
      </c>
      <c r="G1145" s="9" t="s">
        <v>384</v>
      </c>
      <c r="H1145" s="8" t="s">
        <v>5035</v>
      </c>
      <c r="I1145" s="8" t="s">
        <v>5036</v>
      </c>
      <c r="J1145" s="9">
        <v>16.35</v>
      </c>
      <c r="K1145" s="9">
        <v>6.0</v>
      </c>
      <c r="L1145" s="8" t="s">
        <v>3440</v>
      </c>
      <c r="M1145" s="8" t="s">
        <v>5183</v>
      </c>
      <c r="N1145" s="7" t="str">
        <f>IFERROR(__xludf.DUMMYFUNCTION("GOOGLETRANSLATE(L1145, ""en"", ""pt"")"),"Auxiliar de Garçom/Entregador de Comida")</f>
        <v>Auxiliar de Garçom/Entregador de Comida</v>
      </c>
      <c r="O1145" s="7" t="str">
        <f>IFERROR(__xludf.DUMMYFUNCTION("IF(M1145="""","""",GOOGLETRANSLATE(M1145,""en"",""pt""))"),"Os auxiliares de mesa/entregadores de comida serão responsáveis ​​por arrumar as mesas, servir os clientes quando os garçons ou garçonetes precisarem de ajuda, limpar e retirar os pratos das mesas, servir água e café aos clientes e polir talheres e copos."&amp;" Os auxiliares de mesa/entregadores de comida devem ter um conhecimento profundo dos itens do cardápio para auxiliar os clientes. Horário: 35 horas por semana. O horário de trabalho pode variar e incluir turnos noturnos, fins de semana e feriados. O traba"&amp;"lho pode ser realizado em qualquer dia da semana, de segunda a domingo. Exemplos de possíveis horários de turno são: 8h às 15h, 9h às 16h, 10h às 17h e 15h às 22h. Os horários de turno podem variar. Consulte a descrição do cargo em anexo para obter mais i"&amp;"nformações. Classificação da vaga: 35-9011.00 - Atendentes de Salão e Cafeteria e Auxiliares de Barman. A classificação e descrição da vaga/setor inclui informações gerais sobre o cargo, de acordo com o ONET/OES e o Sistema de Classificação Industrial da "&amp;"América do Norte (NAICS). Consulte as Funções e a Ordem de Serviço para obter mais informações. Requisitos da vaga Experiência exigida: Sim Meses de experiência exigidos: 3 Requisitos especiais: O contratante considerará para emprego qualquer pessoa que p"&amp;"ossua pelo menos três (3) meses de experiência em um ambiente de alta gastronomia ou de grande movimento em um restaurante sofisticado, resort ou clube privado. O candidato deverá se submeter a exame toxicológico e verificação de antecedentes criminais pr"&amp;"é-admissional, às custas do empregador. Número de horas por semana: 35 Horário de trabalho (início/término): 8h às 15h")</f>
        <v>Os auxiliares de mesa/entregadores de comida serão responsáveis ​​por arrumar as mesas, servir os clientes quando os garçons ou garçonetes precisarem de ajuda, limpar e retirar os pratos das mesas, servir água e café aos clientes e polir talheres e copos. Os auxiliares de mesa/entregadores de comida devem ter um conhecimento profundo dos itens do cardápio para auxiliar os clientes. Horário: 35 horas por semana. O horário de trabalho pode variar e incluir turnos noturnos, fins de semana e feriados. O trabalho pode ser realizado em qualquer dia da semana, de segunda a domingo. Exemplos de possíveis horários de turno são: 8h às 15h, 9h às 16h, 10h às 17h e 15h às 22h. Os horários de turno podem variar. Consulte a descrição do cargo em anexo para obter mais informações. Classificação da vaga: 35-9011.00 - Atendentes de Salão e Cafeteria e Auxiliares de Barman. A classificação e descrição da vaga/setor inclui informações gerais sobre o cargo, de acordo com o ONET/OES e o Sistema de Classificação Industrial da América do Norte (NAICS). Consulte as Funções e a Ordem de Serviço para obter mais informações. Requisitos da vaga Experiência exigida: Sim Meses de experiência exigidos: 3 Requisitos especiais: O contratante considerará para emprego qualquer pessoa que possua pelo menos três (3) meses de experiência em um ambiente de alta gastronomia ou de grande movimento em um restaurante sofisticado, resort ou clube privado. O candidato deverá se submeter a exame toxicológico e verificação de antecedentes criminais pré-admissional, às custas do empregador. Número de horas por semana: 35 Horário de trabalho (início/término): 8h às 15h</v>
      </c>
    </row>
    <row r="1146" ht="20.25" customHeight="1">
      <c r="A1146" s="3" t="s">
        <v>5184</v>
      </c>
      <c r="B1146" s="3" t="s">
        <v>5034</v>
      </c>
      <c r="C1146" s="3" t="s">
        <v>4241</v>
      </c>
      <c r="D1146" s="3" t="s">
        <v>71</v>
      </c>
      <c r="E1146" s="4" t="s">
        <v>19</v>
      </c>
      <c r="F1146" s="4" t="s">
        <v>20</v>
      </c>
      <c r="G1146" s="4" t="s">
        <v>384</v>
      </c>
      <c r="H1146" s="3" t="s">
        <v>5035</v>
      </c>
      <c r="I1146" s="3" t="s">
        <v>5036</v>
      </c>
      <c r="J1146" s="4">
        <v>21.48</v>
      </c>
      <c r="K1146" s="4">
        <v>5.0</v>
      </c>
      <c r="L1146" s="3" t="s">
        <v>1684</v>
      </c>
      <c r="M1146" s="3" t="s">
        <v>5185</v>
      </c>
      <c r="N1146" s="7" t="str">
        <f>IFERROR(__xludf.DUMMYFUNCTION("GOOGLETRANSLATE(L1146, ""en"", ""pt"")"),"Barman")</f>
        <v>Barman</v>
      </c>
      <c r="O1146" s="7" t="str">
        <f>IFERROR(__xludf.DUMMYFUNCTION("IF(M1146="""","""",GOOGLETRANSLATE(M1146,""en"",""pt""))"),"Os bartenders serão responsáveis ​​por preparar e servir bebidas aos sócios e convidados, seguindo todas as normas estaduais de idade para o consumo de álcool. Também serão responsáveis ​​por limpar copos e equipamentos do bar, anotar e registrar pedidos "&amp;"dos clientes, servir comidas e bebidas, garantir que o bar e as áreas de trabalho estejam limpos e bem abastecidos, e auxiliar o gerente do bar uma vez por mês com o inventário, que inclui a contagem do estoque no bar designado. Horário: 35 horas semanais"&amp;". A escala de trabalho pode variar e incluir turnos noturnos, fins de semana e feriados. O trabalho pode ser realizado em qualquer dia da semana, de segunda a domingo. Exemplos de possíveis turnos são: 8h às 15h, 9h às 16h, 10h às 17h e 15h às 22h. Os hor"&amp;"ários dos turnos podem variar. Consulte a descrição da vaga em anexo para obter mais informações. Classificação da Função: 35-3011.00 - Bartenders. A classificação e descrição da função/setor inclui informações gerais sobre o cargo, de acordo com o ONET/O"&amp;"ES e o Sistema de Classificação Industrial da América do Norte. Consulte as Funções e a Ordem de Serviço para obter mais informações. Requisitos da Função: Experiência Necessária: Sim. Meses de Experiência Necessários: 3. Requisitos Especiais: O contratan"&amp;"te considerará para emprego qualquer pessoa que possua pelo menos três (3) meses de experiência em um ambiente de alta gastronomia ou de grande movimento em um restaurante sofisticado, resort ou clube privado. O candidato deverá se submeter a um exame tox"&amp;"icológico e verificação de antecedentes criminais pré-admissional, às custas do empregador. Número de Horas por Semana: 35. Horário de Trabalho (Início/Término): 8h00 - 15h00.")</f>
        <v>Os bartenders serão responsáveis ​​por preparar e servir bebidas aos sócios e convidados, seguindo todas as normas estaduais de idade para o consumo de álcool. Também serão responsáveis ​​por limpar copos e equipamentos do bar, anotar e registrar pedidos dos clientes, servir comidas e bebidas, garantir que o bar e as áreas de trabalho estejam limpos e bem abastecidos, e auxiliar o gerente do bar uma vez por mês com o inventário, que inclui a contagem do estoque no bar designado. Horário: 35 horas semanais. A escala de trabalho pode variar e incluir turnos noturnos, fins de semana e feriados. O trabalho pode ser realizado em qualquer dia da semana, de segunda a domingo. Exemplos de possíveis turnos são: 8h às 15h, 9h às 16h, 10h às 17h e 15h às 22h. Os horários dos turnos podem variar. Consulte a descrição da vaga em anexo para obter mais informações. Classificação da Função: 35-3011.00 - Bartenders. A classificação e descrição da função/setor inclui informações gerais sobre o cargo, de acordo com o ONET/OES e o Sistema de Classificação Industrial da América do Norte. Consulte as Funções e a Ordem de Serviço para obter mais informações. Requisitos da Função: Experiência Necessária: Sim. Meses de Experiência Necessários: 3. Requisitos Especiais: O contratante considerará para emprego qualquer pessoa que possua pelo menos três (3) meses de experiência em um ambiente de alta gastronomia ou de grande movimento em um restaurante sofisticado, resort ou clube privado. O candidato deverá se submeter a um exame toxicológico e verificação de antecedentes criminais pré-admissional, às custas do empregador. Número de Horas por Semana: 35. Horário de Trabalho (Início/Término): 8h00 - 15h00.</v>
      </c>
    </row>
    <row r="1147" ht="20.25" customHeight="1">
      <c r="A1147" s="8" t="s">
        <v>5186</v>
      </c>
      <c r="B1147" s="8" t="s">
        <v>5034</v>
      </c>
      <c r="C1147" s="8" t="s">
        <v>4241</v>
      </c>
      <c r="D1147" s="8" t="s">
        <v>71</v>
      </c>
      <c r="E1147" s="9" t="s">
        <v>44</v>
      </c>
      <c r="F1147" s="9" t="s">
        <v>20</v>
      </c>
      <c r="G1147" s="9" t="s">
        <v>384</v>
      </c>
      <c r="H1147" s="8" t="s">
        <v>5035</v>
      </c>
      <c r="I1147" s="8" t="s">
        <v>5036</v>
      </c>
      <c r="J1147" s="9">
        <v>15.0</v>
      </c>
      <c r="K1147" s="9">
        <v>1.0</v>
      </c>
      <c r="L1147" s="8" t="s">
        <v>5187</v>
      </c>
      <c r="M1147" s="8" t="s">
        <v>5188</v>
      </c>
      <c r="N1147" s="7" t="str">
        <f>IFERROR(__xludf.DUMMYFUNCTION("GOOGLETRANSLATE(L1147, ""en"", ""pt"")"),"Atendente de piscina/área esportiva")</f>
        <v>Atendente de piscina/área esportiva</v>
      </c>
      <c r="O1147" s="7" t="str">
        <f>IFERROR(__xludf.DUMMYFUNCTION("IF(M1147="""","""",GOOGLETRANSLATE(M1147,""en"",""pt""))"),"O(A) Atendente de Piscina/Área Esportiva será responsável por executar diversas tarefas na área da piscina e da quadra esportiva, como manter a organização dos móveis e fornecer equipamentos esportivos (como bolas de bocha, pickleball e raquetes de pickle"&amp;"ball) aos hóspedes, orientar os hóspedes, monitorar as atividades para garantir o cumprimento das regras e procedimentos de segurança, manter a limpeza da área da piscina/quadra esportiva, incluindo a higienização de todas as mesas, cadeiras e equipamento"&amp;"s, e abastecer, repor e distribuir toalhas. Horário: 35 horas semanais. O horário de trabalho pode variar e incluir turnos noturnos, fins de semana e feriados. O trabalho pode ser realizado em qualquer dia da semana, de segunda a domingo. Exemplos de poss"&amp;"íveis turnos são: das 8h às 15h, das 9h às 16h e das 10h às 17h. Consulte a descrição da vaga em anexo para obter mais informações. Classificação da Função: 39-3091.00 - Atendentes de Parques de Diversões e Recreação. A classificação e descrição da função"&amp;"/setor inclui informações gerais sobre o cargo, de acordo com o ONET/OES e o Sistema de Classificação Industrial da América do Norte (NAICS). Consulte as Funções e a Ordem de Serviço para obter mais informações. Requisitos da Função Experiência Necessária"&amp;": Sim Meses de Experiência Necessários: 3 Requisitos Especiais: O contratante considerará para emprego qualquer pessoa que possua pelo menos três (3) meses de experiência em um ambiente de alto volume em um resort de luxo, hotel ou clube privado. O candid"&amp;"ato deverá se submeter a exame toxicológico e verificação de antecedentes criminais pré-admissional, às custas do empregador. Número de Horas por Semana: 35 Horário de Trabalho (Início/Término): 8h00 - 15h00")</f>
        <v>O(A) Atendente de Piscina/Área Esportiva será responsável por executar diversas tarefas na área da piscina e da quadra esportiva, como manter a organização dos móveis e fornecer equipamentos esportivos (como bolas de bocha, pickleball e raquetes de pickleball) aos hóspedes, orientar os hóspedes, monitorar as atividades para garantir o cumprimento das regras e procedimentos de segurança, manter a limpeza da área da piscina/quadra esportiva, incluindo a higienização de todas as mesas, cadeiras e equipamentos, e abastecer, repor e distribuir toalhas. Horário: 35 horas semanais. O horário de trabalho pode variar e incluir turnos noturnos, fins de semana e feriados. O trabalho pode ser realizado em qualquer dia da semana, de segunda a domingo. Exemplos de possíveis turnos são: das 8h às 15h, das 9h às 16h e das 10h às 17h. Consulte a descrição da vaga em anexo para obter mais informações. Classificação da Função: 39-3091.00 - Atendentes de Parques de Diversões e Recreação. A classificação e descrição da função/setor inclui informações gerais sobre o cargo, de acordo com o ONET/OES e o Sistema de Classificação Industrial da América do Norte (NAICS). Consulte as Funções e a Ordem de Serviço para obter mais informações. Requisitos da Função Experiência Necessária: Sim Meses de Experiência Necessários: 3 Requisitos Especiais: O contratante considerará para emprego qualquer pessoa que possua pelo menos três (3) meses de experiência em um ambiente de alto volume em um resort de luxo, hotel ou clube privado. O candidato deverá se submeter a exame toxicológico e verificação de antecedentes criminais pré-admissional, às custas do empregador. Número de Horas por Semana: 35 Horário de Trabalho (Início/Término): 8h00 - 15h00</v>
      </c>
    </row>
    <row r="1148" ht="20.25" customHeight="1">
      <c r="A1148" s="3" t="s">
        <v>5189</v>
      </c>
      <c r="B1148" s="3" t="s">
        <v>5190</v>
      </c>
      <c r="C1148" s="3" t="s">
        <v>391</v>
      </c>
      <c r="D1148" s="3" t="s">
        <v>154</v>
      </c>
      <c r="E1148" s="4" t="s">
        <v>44</v>
      </c>
      <c r="F1148" s="4" t="s">
        <v>20</v>
      </c>
      <c r="G1148" s="4" t="s">
        <v>421</v>
      </c>
      <c r="H1148" s="3" t="s">
        <v>5191</v>
      </c>
      <c r="I1148" s="3" t="s">
        <v>5192</v>
      </c>
      <c r="J1148" s="4">
        <v>17.06</v>
      </c>
      <c r="K1148" s="4">
        <v>35.0</v>
      </c>
      <c r="L1148" s="3" t="s">
        <v>59</v>
      </c>
      <c r="M1148" s="3" t="s">
        <v>5193</v>
      </c>
      <c r="N1148" s="7" t="str">
        <f>IFERROR(__xludf.DUMMYFUNCTION("GOOGLETRANSLATE(L1148, ""en"", ""pt"")"),"Trabalhador de paisagismo")</f>
        <v>Trabalhador de paisagismo</v>
      </c>
      <c r="O1148" s="7" t="str">
        <f>IFERROR(__xludf.DUMMYFUNCTION("IF(M1148="""","""",GOOGLETRANSLATE(M1148,""en"",""pt""))"),"Paisagismo ou manutenção de terrenos utilizando ferramentas manuais ou elétricas. Colocação de grama, corte de grama, aparo/acabamento de bordas, plantio, capina, rega, rastelamento, varrição de folhas; uso de pá manual para cavar buracos para instalação "&amp;"de plantas, árvores, arbustos ou sistemas de irrigação, com até 60 cm de profundidade e 90 cm de largura. Espalhamento de sementes, fertilizantes e cobertura morta; trabalho no solo para podar ou aparar árvores, arbustos ou sebes utilizando tesouras de po"&amp;"da, podadores ou motosserras; aeração do solo; instalação/reparo de sprinklers, instalação de blocos de concreto pré-moldados sem argamassa. Manutenção de equipamentos para garantir o funcionamento adequado. Pode dirigir caminhão ou outro veículo para tra"&amp;"nsportar a equipe de trabalho, plantas, materiais e ferramentas de/para os locais de trabalho. Mínimo de 35 horas semanais, podendo chegar a 48 horas. Dias normais de trabalho: segunda a sábado, das 8h às 17h, com 1 hora de intervalo não remunerado. Os di"&amp;"as e horários de trabalho podem variar de acordo com o clima e as necessidades da empresa. $17,06/hora. O empregador poderá aumentar o salário com base na experiência, nas mudanças nas condições de mercado e/ou fornecer remuneração adicional por desempenh"&amp;"o e tempo de serviço. Será pago um adicional por horas extras quando exigido por lei federal, estadual ou local, incluindo hora e meia após 40 horas semanais de trabalho. Geralmente, quando houver horas extras disponíveis, elas serão pagas a US$ 25,59 por"&amp;" hora, com base na localidade onde o trabalho é realizado e na taxa horária base oferecida. Uma única semana de trabalho será usada para calcular os salários devidos. O pagamento será recebido quinzenalmente. O transporte diário será fornecido do local de"&amp;" trabalho principal no Condado de Oklahoma, OK, para vários locais de trabalho dentro do Condado de Oklahoma, OK. O empregador fornecerá ao trabalhador, sem custo, todas as ferramentas, suprimentos, equipamentos e uniforme necessários para a execução do t"&amp;"rabalho. Classificação do Cargo: 37-3011.00 - Trabalhadores de Paisagismo e Manutenção de Jardins. A classificação e descrição do cargo/setor inclui informações gerais sobre a posição, de acordo com o ONET/OES e o Sistema de Classificação Industrial da Am"&amp;"érica do Norte. Consulte as Funções e a Ordem de Serviço para obter mais informações. Requisitos da vaga Experiência necessária: Não Requisitos especiais: Poderá ser exigido teste de drogas após lesão/incidente e por suspeita razoável, com o custo pago pe"&amp;"lo empregador e aplicado igualmente a todos os funcionários, americanos e estrangeiros/H-2B. É necessário ser capaz de levantar 25 kg. Funcionários que dirigem veículos da empresa devem possuir/obter carteira de habilitação válida. É necessário ter dispon"&amp;"ibilidade para trabalhar em um horário de 6 dias, podendo incluir fins de semana e feriados, conforme necessário. Os candidatos devem preencher uma ficha de emprego. Número de horas por semana: 48 Horário de trabalho (início/término): 8h às 17h")</f>
        <v>Paisagismo ou manutenção de terrenos utilizando ferramentas manuais ou elétricas. Colocação de grama, corte de grama, aparo/acabamento de bordas, plantio, capina, rega, rastelamento, varrição de folhas; uso de pá manual para cavar buracos para instalação de plantas, árvores, arbustos ou sistemas de irrigação, com até 60 cm de profundidade e 90 cm de largura. Espalhamento de sementes, fertilizantes e cobertura morta; trabalho no solo para podar ou aparar árvores, arbustos ou sebes utilizando tesouras de poda, podadores ou motosserras; aeração do solo; instalação/reparo de sprinklers, instalação de blocos de concreto pré-moldados sem argamassa. Manutenção de equipamentos para garantir o funcionamento adequado. Pode dirigir caminhão ou outro veículo para transportar a equipe de trabalho, plantas, materiais e ferramentas de/para os locais de trabalho. Mínimo de 35 horas semanais, podendo chegar a 48 horas. Dias normais de trabalho: segunda a sábado, das 8h às 17h, com 1 hora de intervalo não remunerado. Os dias e horários de trabalho podem variar de acordo com o clima e as necessidades da empresa. $17,06/hora. O empregador poderá aumentar o salário com base na experiência, nas mudanças nas condições de mercado e/ou fornecer remuneração adicional por desempenho e tempo de serviço. Será pago um adicional por horas extras quando exigido por lei federal, estadual ou local, incluindo hora e meia após 40 horas semanais de trabalho. Geralmente, quando houver horas extras disponíveis, elas serão pagas a US$ 25,59 por hora, com base na localidade onde o trabalho é realizado e na taxa horária base oferecida. Uma única semana de trabalho será usada para calcular os salários devidos. O pagamento será recebido quinzenalmente. O transporte diário será fornecido do local de trabalho principal no Condado de Oklahoma, OK, para vários locais de trabalho dentro do Condado de Oklahoma, OK. O empregador fornecerá ao trabalhador, sem custo, todas as ferramentas, suprimentos, equipamentos e uniforme necessários para a execução do trabalho. Classificação do Cargo: 37-3011.00 - Trabalhadores de Paisagismo e Manutenção de Jardins. A classificação e descrição do cargo/setor inclui informações gerais sobre a posição, de acordo com o ONET/OES e o Sistema de Classificação Industrial da América do Norte. Consulte as Funções e a Ordem de Serviço para obter mais informações. Requisitos da vaga Experiência necessária: Não Requisitos especiais: Poderá ser exigido teste de drogas após lesão/incidente e por suspeita razoável, com o custo pago pelo empregador e aplicado igualmente a todos os funcionários, americanos e estrangeiros/H-2B. É necessário ser capaz de levantar 25 kg. Funcionários que dirigem veículos da empresa devem possuir/obter carteira de habilitação válida. É necessário ter disponibilidade para trabalhar em um horário de 6 dias, podendo incluir fins de semana e feriados, conforme necessário. Os candidatos devem preencher uma ficha de emprego. Número de horas por semana: 48 Horário de trabalho (início/término): 8h às 17h</v>
      </c>
    </row>
    <row r="1149" ht="20.25" customHeight="1">
      <c r="A1149" s="8" t="s">
        <v>5194</v>
      </c>
      <c r="B1149" s="8" t="s">
        <v>5195</v>
      </c>
      <c r="C1149" s="8" t="s">
        <v>4241</v>
      </c>
      <c r="D1149" s="8" t="s">
        <v>71</v>
      </c>
      <c r="E1149" s="9" t="s">
        <v>19</v>
      </c>
      <c r="F1149" s="9" t="s">
        <v>20</v>
      </c>
      <c r="G1149" s="9" t="s">
        <v>3284</v>
      </c>
      <c r="H1149" s="8" t="s">
        <v>5196</v>
      </c>
      <c r="I1149" s="8" t="s">
        <v>5197</v>
      </c>
      <c r="J1149" s="9">
        <v>20.13</v>
      </c>
      <c r="K1149" s="9">
        <v>19.0</v>
      </c>
      <c r="L1149" s="8" t="s">
        <v>1206</v>
      </c>
      <c r="M1149" s="8" t="s">
        <v>5198</v>
      </c>
      <c r="N1149" s="7" t="str">
        <f>IFERROR(__xludf.DUMMYFUNCTION("GOOGLETRANSLATE(L1149, ""en"", ""pt"")"),"Servidor")</f>
        <v>Servidor</v>
      </c>
      <c r="O1149" s="7" t="str">
        <f>IFERROR(__xludf.DUMMYFUNCTION("IF(M1149="""","""",GOOGLETRANSLATE(M1149,""en"",""pt""))"),"Os garçons serão responsáveis ​​por recepcionar os clientes, preparar as áreas de refeição, anotar e registrar pedidos, transportar bandejas e pratos, servir alimentos e bebidas, e limpar e retirar os pratos das mesas. Horário: 35 horas semanais. A escala"&amp;" de trabalho pode variar e incluir turnos noturnos, fins de semana e feriados. O trabalho pode ser realizado em qualquer dia da semana, de segunda a domingo. Exemplos de turnos: 7h30 às 14h30, 12h às 19h ou 15h30 às 22h30. Os horários dos turnos podem var"&amp;"iar. Consulte a descrição da vaga para obter mais informações. Classificação da vaga: 35-3031.00 - Garçons e Garçonetes. A classificação e descrição da vaga/setor incluem informações gerais sobre o cargo, de acordo com o ONET/OES e o Sistema de Classifica"&amp;"ção Industrial da América do Norte (NAICS). Consulte as Funções e a Ordem de Serviço para obter mais informações. Requisitos da Vaga Experiência Necessária: Sim Meses de Experiência Necessários: 3 Requisitos Especiais: O Requerente considerará para empreg"&amp;"o qualquer pessoa que possua pelo menos três (3) meses de experiência em um ambiente de alta gastronomia ou de grande movimento em um restaurante de luxo, resort ou clube privado. O candidato deverá se submeter a um exame toxicológico e verificação de ant"&amp;"ecedentes criminais pré-admissional, às custas do empregador, caso não tenha trabalhado para o empregador nos últimos seis (6) meses. Número de Horas por Semana: 35 Horário de Trabalho (Início/Término): 7h30 - 14h30")</f>
        <v>Os garçons serão responsáveis ​​por recepcionar os clientes, preparar as áreas de refeição, anotar e registrar pedidos, transportar bandejas e pratos, servir alimentos e bebidas, e limpar e retirar os pratos das mesas. Horário: 35 horas semanais. A escala de trabalho pode variar e incluir turnos noturnos, fins de semana e feriados. O trabalho pode ser realizado em qualquer dia da semana, de segunda a domingo. Exemplos de turnos: 7h30 às 14h30, 12h às 19h ou 15h30 às 22h30. Os horários dos turnos podem variar. Consulte a descrição da vaga para obter mais informações. Classificação da vaga: 35-3031.00 - Garçons e Garçonetes. A classificação e descrição da vaga/setor incluem informações gerais sobre o cargo, de acordo com o ONET/OES e o Sistema de Classificação Industrial da América do Norte (NAICS). Consulte as Funções e a Ordem de Serviço para obter mais informações. Requisitos da Vaga Experiência Necessária: Sim Meses de Experiência Necessários: 3 Requisitos Especiais: O Requerente considerará para emprego qualquer pessoa que possua pelo menos três (3) meses de experiência em um ambiente de alta gastronomia ou de grande movimento em um restaurante de luxo, resort ou clube privado. O candidato deverá se submeter a um exame toxicológico e verificação de antecedentes criminais pré-admissional, às custas do empregador, caso não tenha trabalhado para o empregador nos últimos seis (6) meses. Número de Horas por Semana: 35 Horário de Trabalho (Início/Término): 7h30 - 14h30</v>
      </c>
    </row>
    <row r="1150" ht="20.25" customHeight="1">
      <c r="A1150" s="3" t="s">
        <v>5199</v>
      </c>
      <c r="B1150" s="3" t="s">
        <v>5200</v>
      </c>
      <c r="C1150" s="3" t="s">
        <v>4241</v>
      </c>
      <c r="D1150" s="3" t="s">
        <v>532</v>
      </c>
      <c r="E1150" s="4" t="s">
        <v>44</v>
      </c>
      <c r="F1150" s="4" t="s">
        <v>20</v>
      </c>
      <c r="G1150" s="4" t="s">
        <v>2339</v>
      </c>
      <c r="H1150" s="3" t="s">
        <v>5201</v>
      </c>
      <c r="I1150" s="3" t="s">
        <v>5202</v>
      </c>
      <c r="J1150" s="4">
        <v>23.6</v>
      </c>
      <c r="K1150" s="4">
        <v>5.0</v>
      </c>
      <c r="L1150" s="3" t="s">
        <v>4934</v>
      </c>
      <c r="M1150" s="3" t="s">
        <v>5203</v>
      </c>
      <c r="N1150" s="7" t="str">
        <f>IFERROR(__xludf.DUMMYFUNCTION("GOOGLETRANSLATE(L1150, ""en"", ""pt"")"),"Cozinheiro I")</f>
        <v>Cozinheiro I</v>
      </c>
      <c r="O1150" s="7" t="str">
        <f>IFERROR(__xludf.DUMMYFUNCTION("IF(M1150="""","""",GOOGLETRANSLATE(M1150,""en"",""pt""))"),"Cozinheiros I serão responsáveis ​​por preparar, temperar e cozinhar sopas, carnes, legumes, sobremesas e outros itens alimentícios em um restaurante, inspecionar a apresentação e a qualidade dos itens do cardápio e manter as áreas de trabalho e os equipa"&amp;"mentos da cozinha limpos. Pode ser necessário levantar e carregar até 16 kg. Horário: 40 horas por semana. O horário de trabalho pode variar e incluir turnos noturnos, fins de semana e feriados. O trabalho pode ser realizado em qualquer dia da semana, de "&amp;"segunda a domingo. Exemplos de turnos: 4h às 12h, 11h às 19h ou 14h às 22h. Os horários dos turnos podem variar. Consulte a descrição do cargo para obter mais detalhes. Classificação do Cargo: 35-2014.00 - Cozinheiros, Restaurante. A classificação e a des"&amp;"crição do cargo/setor incluem informações gerais sobre a posição, de acordo com o ONET/OES e o Sistema de Classificação Industrial da América do Norte. Consulte as Funções e a Ordem de Serviço para obter mais informações. Requisitos da vaga Experiência ne"&amp;"cessária: Sim Meses de experiência necessários: 12 Requisitos especiais: O contratante considerará para emprego qualquer pessoa que possua pelo menos um (1) ano de experiência culinária em um ambiente de alta gastronomia ou de grande movimento em um resta"&amp;"urante, resort ou clube privado. O candidato deverá se submeter à verificação de antecedentes e ao exame toxicológico pré-admissional, às custas do empregador. Número de horas por semana: 40 Horário de trabalho (início/término): 4h00 - 12h00")</f>
        <v>Cozinheiros I serão responsáveis ​​por preparar, temperar e cozinhar sopas, carnes, legumes, sobremesas e outros itens alimentícios em um restaurante, inspecionar a apresentação e a qualidade dos itens do cardápio e manter as áreas de trabalho e os equipamentos da cozinha limpos. Pode ser necessário levantar e carregar até 16 kg. Horário: 40 horas por semana. O horário de trabalho pode variar e incluir turnos noturnos, fins de semana e feriados. O trabalho pode ser realizado em qualquer dia da semana, de segunda a domingo. Exemplos de turnos: 4h às 12h, 11h às 19h ou 14h às 22h. Os horários dos turnos podem variar. Consulte a descrição do cargo para obter mais detalhes. Classificação do Cargo: 35-2014.00 - Cozinheiros, Restaurante. A classificação e a descrição do cargo/setor incluem informações gerais sobre a posição, de acordo com o ONET/OES e o Sistema de Classificação Industrial da América do Norte. Consulte as Funções e a Ordem de Serviço para obter mais informações. Requisitos da vaga Experiência necessária: Sim Meses de experiência necessários: 12 Requisitos especiais: O contratante considerará para emprego qualquer pessoa que possua pelo menos um (1) ano de experiência culinária em um ambiente de alta gastronomia ou de grande movimento em um restaurante, resort ou clube privado. O candidato deverá se submeter à verificação de antecedentes e ao exame toxicológico pré-admissional, às custas do empregador. Número de horas por semana: 40 Horário de trabalho (início/término): 4h00 - 12h00</v>
      </c>
    </row>
    <row r="1151" ht="20.25" customHeight="1">
      <c r="A1151" s="8" t="s">
        <v>5204</v>
      </c>
      <c r="B1151" s="8" t="s">
        <v>5205</v>
      </c>
      <c r="C1151" s="8" t="s">
        <v>4241</v>
      </c>
      <c r="D1151" s="8" t="s">
        <v>71</v>
      </c>
      <c r="E1151" s="9" t="s">
        <v>19</v>
      </c>
      <c r="F1151" s="9" t="s">
        <v>20</v>
      </c>
      <c r="G1151" s="9" t="s">
        <v>384</v>
      </c>
      <c r="H1151" s="8" t="s">
        <v>5206</v>
      </c>
      <c r="I1151" s="8" t="s">
        <v>5207</v>
      </c>
      <c r="J1151" s="9">
        <v>19.0</v>
      </c>
      <c r="K1151" s="9">
        <v>2.0</v>
      </c>
      <c r="L1151" s="8" t="s">
        <v>354</v>
      </c>
      <c r="M1151" s="8" t="s">
        <v>5208</v>
      </c>
      <c r="N1151" s="7" t="str">
        <f>IFERROR(__xludf.DUMMYFUNCTION("GOOGLETRANSLATE(L1151, ""en"", ""pt"")"),"Governanta")</f>
        <v>Governanta</v>
      </c>
      <c r="O1151" s="7" t="str">
        <f>IFERROR(__xludf.DUMMYFUNCTION("IF(M1151="""","""",GOOGLETRANSLATE(M1151,""en"",""pt""))"),"As responsabilidades da equipe de limpeza incluem a limpeza de todas as áreas públicas/comuns da propriedade Atlantic Fields, incluindo entradas, banheiros, salas de convivência, refeitórios, pátios, escritórios, refeitório, vestiários, área de fitness e "&amp;"cozinhas. Isso inclui recolher e levar toda a roupa de cama e toalhas/panos sujos para a lavanderia e colocá-los na lavadora e secadora; dobrar toalhas e roupões limpos e devolvê-los aos vestiários; limpar todos os pátios, decks da piscina e doca de carga"&amp;" (lavando com mangueira, limpando móveis e superfícies e recolhendo o lixo) antes das atividades dos membros; esvaziar e colocar sacos de lixo novos em todas as lixeiras; verificar e repor todos os dispensadores de sabão e produtos de papel; desmontar e g"&amp;"uardar cadeiras e mesas dos eventos da noite anterior; preparar todas as áreas para novos eventos; limpar janelas e portas de vidro com pano e spray de limpeza; limpar e polir todas as portas, corrimãos e balaústres; limpar todos os espelhos na área de fi"&amp;"tness e banheiros; recolher o lixo; aspirar; tirar o pó; remover a louça suja do refeitório; e reabastecer todas as cozinhas/refeitórios dos funcionários. As tarefas incluem a limpeza de copos, guardanapos, pratos e utensílios, a coleta de roupas de cama "&amp;"e panos limpos na lavanderia e a entrega nas cozinhas e salas de jantar, a limpeza de tetos, saídas de ar, luminárias, paredes, cantos altos e baixos dos cômodos, claraboias, soleiras de portas, batentes de portas e a parte superior de móveis decorativos "&amp;"e funcionais. Os funcionários da limpeza precisam levantar e/ou mover até 23 kg e permanecer em pé por longos períodos. A carga horária é de 40 horas semanais. O horário de trabalho pode variar e incluir noites, fins de semana e feriados. O trabalho pode "&amp;"ser realizado em qualquer dia da semana, de segunda a domingo. Exemplos de turnos: 6h às 14h ou 13h às 21h. Os horários dos turnos podem variar. Consulte a descrição da vaga para obter mais informações. Classificação da vaga: 37-2011.00 - Zeladores e Faxi"&amp;"neiros, exceto Empregadas Domésticas e Faxineiros. A classificação e descrição da vaga/setor incluem informações gerais sobre o cargo, de acordo com o ONET/OES e o Sistema de Classificação Industrial da América do Norte. Consulte a Descrição das Funções e"&amp;" a Ordem de Serviço para obter mais informações. Requisitos da Vaga Experiência Necessária: Sim Meses de Experiência Necessários: 12 Requisitos Especiais: O contratante considerará para emprego qualquer pessoa que possua pelo menos um (1) ano de experiênc"&amp;"ia em limpeza em um hotel de alto padrão, resort ou clube privado. O candidato deverá se submeter a uma verificação de antecedentes pré-emprego, custeada pelo empregador. Número de Horas por Semana: 40 Horário de Trabalho (Início/Término): 6h00 - 14h00")</f>
        <v>As responsabilidades da equipe de limpeza incluem a limpeza de todas as áreas públicas/comuns da propriedade Atlantic Fields, incluindo entradas, banheiros, salas de convivência, refeitórios, pátios, escritórios, refeitório, vestiários, área de fitness e cozinhas. Isso inclui recolher e levar toda a roupa de cama e toalhas/panos sujos para a lavanderia e colocá-los na lavadora e secadora; dobrar toalhas e roupões limpos e devolvê-los aos vestiários; limpar todos os pátios, decks da piscina e doca de carga (lavando com mangueira, limpando móveis e superfícies e recolhendo o lixo) antes das atividades dos membros; esvaziar e colocar sacos de lixo novos em todas as lixeiras; verificar e repor todos os dispensadores de sabão e produtos de papel; desmontar e guardar cadeiras e mesas dos eventos da noite anterior; preparar todas as áreas para novos eventos; limpar janelas e portas de vidro com pano e spray de limpeza; limpar e polir todas as portas, corrimãos e balaústres; limpar todos os espelhos na área de fitness e banheiros; recolher o lixo; aspirar; tirar o pó; remover a louça suja do refeitório; e reabastecer todas as cozinhas/refeitórios dos funcionários. As tarefas incluem a limpeza de copos, guardanapos, pratos e utensílios, a coleta de roupas de cama e panos limpos na lavanderia e a entrega nas cozinhas e salas de jantar, a limpeza de tetos, saídas de ar, luminárias, paredes, cantos altos e baixos dos cômodos, claraboias, soleiras de portas, batentes de portas e a parte superior de móveis decorativos e funcionais. Os funcionários da limpeza precisam levantar e/ou mover até 23 kg e permanecer em pé por longos períodos. A carga horária é de 40 horas semanais. O horário de trabalho pode variar e incluir noites, fins de semana e feriados. O trabalho pode ser realizado em qualquer dia da semana, de segunda a domingo. Exemplos de turnos: 6h às 14h ou 13h às 21h. Os horários dos turnos podem variar. Consulte a descrição da vaga para obter mais informações. Classificação da vaga: 37-2011.00 - Zeladores e Faxineiros, exceto Empregadas Domésticas e Faxineiros. A classificação e descrição da vaga/setor incluem informações gerais sobre o cargo, de acordo com o ONET/OES e o Sistema de Classificação Industrial da América do Norte. Consulte a Descrição das Funções e a Ordem de Serviço para obter mais informações. Requisitos da Vaga Experiência Necessária: Sim Meses de Experiência Necessários: 12 Requisitos Especiais: O contratante considerará para emprego qualquer pessoa que possua pelo menos um (1) ano de experiência em limpeza em um hotel de alto padrão, resort ou clube privado. O candidato deverá se submeter a uma verificação de antecedentes pré-emprego, custeada pelo empregador. Número de Horas por Semana: 40 Horário de Trabalho (Início/Término): 6h00 - 14h00</v>
      </c>
    </row>
    <row r="1152" ht="20.25" customHeight="1">
      <c r="A1152" s="3" t="s">
        <v>5209</v>
      </c>
      <c r="B1152" s="3" t="s">
        <v>5205</v>
      </c>
      <c r="C1152" s="3" t="s">
        <v>4241</v>
      </c>
      <c r="D1152" s="3" t="s">
        <v>71</v>
      </c>
      <c r="E1152" s="4" t="s">
        <v>19</v>
      </c>
      <c r="F1152" s="4" t="s">
        <v>20</v>
      </c>
      <c r="G1152" s="4" t="s">
        <v>384</v>
      </c>
      <c r="H1152" s="3" t="s">
        <v>5206</v>
      </c>
      <c r="I1152" s="3" t="s">
        <v>5207</v>
      </c>
      <c r="J1152" s="4">
        <v>19.0</v>
      </c>
      <c r="K1152" s="4">
        <v>4.0</v>
      </c>
      <c r="L1152" s="3" t="s">
        <v>586</v>
      </c>
      <c r="M1152" s="3" t="s">
        <v>5210</v>
      </c>
      <c r="N1152" s="7" t="str">
        <f>IFERROR(__xludf.DUMMYFUNCTION("GOOGLETRANSLATE(L1152, ""en"", ""pt"")"),"Cozinheiro de linha")</f>
        <v>Cozinheiro de linha</v>
      </c>
      <c r="O1152" s="7" t="str">
        <f>IFERROR(__xludf.DUMMYFUNCTION("IF(M1152="""","""",GOOGLETRANSLATE(M1152,""en"",""pt""))"),"Os cozinheiros de linha serão responsáveis ​​por preparar, temperar, cozinhar e empratar sopas, carnes, legumes, sobremesas e outros itens alimentícios em um restaurante, de acordo com os padrões do Clube. Os cozinheiros de linha também serão responsáveis"&amp;" ​​pela manutenção e limpeza dos equipamentos de cozinha, pela manutenção da limpeza e organização da cozinha e das áreas de armazenamento, e por relatar quaisquer riscos, condições de trabalho inseguras ou equipamentos que necessitem de reparo/manutenção"&amp;". Horário: 40 horas por semana. O horário de trabalho pode variar e incluir turnos noturnos, fins de semana e feriados. O trabalho pode ser realizado em qualquer dia da semana, de segunda a domingo. Exemplos de turnos: 6h às 14h ou 11h às 19h. Os horários"&amp;" dos turnos podem variar. Consulte a descrição do cargo para obter mais informações. Classificação do Cargo: 35-2014.00 - Cozinheiros, Restaurante. A classificação e descrição do cargo/setor incluem informações gerais sobre a posição, de acordo com o ONET"&amp;"/OES e o Sistema de Classificação Industrial da América do Norte. Consulte as Funções e a Ordem de Serviço para obter mais informações. Requisitos da vaga Experiência necessária: Sim Meses de experiência necessários: 12 Requisitos especiais: O contratante"&amp;" considerará para emprego qualquer pessoa que possua pelo menos um (1) ano de experiência culinária em um ambiente de alta gastronomia ou de grande movimento em um restaurante sofisticado, resort ou clube privado. O candidato deverá se submeter a uma veri"&amp;"ficação de antecedentes pré-emprego, às custas do empregador. Número de horas por semana: 40 Horário de trabalho (início/término): 6h às 14h")</f>
        <v>Os cozinheiros de linha serão responsáveis ​​por preparar, temperar, cozinhar e empratar sopas, carnes, legumes, sobremesas e outros itens alimentícios em um restaurante, de acordo com os padrões do Clube. Os cozinheiros de linha também serão responsáveis ​​pela manutenção e limpeza dos equipamentos de cozinha, pela manutenção da limpeza e organização da cozinha e das áreas de armazenamento, e por relatar quaisquer riscos, condições de trabalho inseguras ou equipamentos que necessitem de reparo/manutenção. Horário: 40 horas por semana. O horário de trabalho pode variar e incluir turnos noturnos, fins de semana e feriados. O trabalho pode ser realizado em qualquer dia da semana, de segunda a domingo. Exemplos de turnos: 6h às 14h ou 11h às 19h. Os horários dos turnos podem variar. Consulte a descrição do cargo para obter mais informações. Classificação do Cargo: 35-2014.00 - Cozinheiros, Restaurante. A classificação e descrição do cargo/setor incluem informações gerais sobre a posição, de acordo com o ONET/OES e o Sistema de Classificação Industrial da América do Norte. Consulte as Funções e a Ordem de Serviço para obter mais informações. Requisitos da vaga Experiência necessária: Sim Meses de experiência necessários: 12 Requisitos especiais: O contratante considerará para emprego qualquer pessoa que possua pelo menos um (1) ano de experiência culinária em um ambiente de alta gastronomia ou de grande movimento em um restaurante sofisticado, resort ou clube privado. O candidato deverá se submeter a uma verificação de antecedentes pré-emprego, às custas do empregador. Número de horas por semana: 40 Horário de trabalho (início/término): 6h às 14h</v>
      </c>
    </row>
    <row r="1153" ht="20.25" customHeight="1">
      <c r="A1153" s="8" t="s">
        <v>5211</v>
      </c>
      <c r="B1153" s="8" t="s">
        <v>5205</v>
      </c>
      <c r="C1153" s="8" t="s">
        <v>4241</v>
      </c>
      <c r="D1153" s="8" t="s">
        <v>71</v>
      </c>
      <c r="E1153" s="9" t="s">
        <v>44</v>
      </c>
      <c r="F1153" s="9" t="s">
        <v>20</v>
      </c>
      <c r="G1153" s="9" t="s">
        <v>384</v>
      </c>
      <c r="H1153" s="8" t="s">
        <v>5206</v>
      </c>
      <c r="I1153" s="8" t="s">
        <v>5207</v>
      </c>
      <c r="J1153" s="9">
        <v>19.0</v>
      </c>
      <c r="K1153" s="9">
        <v>4.0</v>
      </c>
      <c r="L1153" s="8" t="s">
        <v>1206</v>
      </c>
      <c r="M1153" s="8" t="s">
        <v>5212</v>
      </c>
      <c r="N1153" s="7" t="str">
        <f>IFERROR(__xludf.DUMMYFUNCTION("GOOGLETRANSLATE(L1153, ""en"", ""pt"")"),"Servidor")</f>
        <v>Servidor</v>
      </c>
      <c r="O1153" s="7" t="str">
        <f>IFERROR(__xludf.DUMMYFUNCTION("IF(M1153="""","""",GOOGLETRANSLATE(M1153,""en"",""pt""))"),"Os garçons serão responsáveis ​​por recepcionar os membros e convidados, preparar as mesas no salão com utensílios como pratos, copos e talheres, anotar e registrar pedidos no sistema de ponto de venda, transportar bandejas e pratos, servir alimentos e be"&amp;"bidas, limpar e retirar os pratos das mesas, verificar se os clientes estão satisfeitos com as refeições e tomar medidas para corrigir quaisquer problemas, manter a limpeza e a organização das áreas de trabalho e equipamentos, abastecer as áreas de serviç"&amp;"o com suprimentos, realizar o inventário dos itens do restaurante e relatar quaisquer problemas de manutenção e/ou segurança. Horário: 40 horas semanais. A escala de trabalho pode variar e incluir turnos noturnos, fins de semana e feriados. O trabalho pod"&amp;"e ser realizado em qualquer dia da semana, de segunda a domingo. Exemplos de turnos: 6h30 às 14h30 ou 11h às 19h. Os horários dos turnos podem variar. Consulte a descrição da vaga para obter mais informações. Classificação da Função: 35-3031.00 - Garçons "&amp;"e Garçonetes. A classificação e descrição da função/setor inclui informações gerais sobre o cargo, de acordo com o ONET/OES e o Sistema de Classificação Industrial da América do Norte. Consulte as Funções e a Ordem de Serviço para obter mais informações. "&amp;"Requisitos da Função Experiência Necessária: Sim Meses de Experiência Necessários: 12 Requisitos Especiais: O contratante considerará para emprego qualquer pessoa que possua pelo menos um (1) ano de experiência em um ambiente de alta gastronomia ou de gra"&amp;"nde movimento em um restaurante sofisticado, resort ou clube privado. O candidato deverá se submeter a uma verificação de antecedentes pré-emprego, às custas do empregador. Número de Horas por Semana: 40 Horário de Trabalho (Início/Término): 6h30 - 14h30")</f>
        <v>Os garçons serão responsáveis ​​por recepcionar os membros e convidados, preparar as mesas no salão com utensílios como pratos, copos e talheres, anotar e registrar pedidos no sistema de ponto de venda, transportar bandejas e pratos, servir alimentos e bebidas, limpar e retirar os pratos das mesas, verificar se os clientes estão satisfeitos com as refeições e tomar medidas para corrigir quaisquer problemas, manter a limpeza e a organização das áreas de trabalho e equipamentos, abastecer as áreas de serviço com suprimentos, realizar o inventário dos itens do restaurante e relatar quaisquer problemas de manutenção e/ou segurança. Horário: 40 horas semanais. A escala de trabalho pode variar e incluir turnos noturnos, fins de semana e feriados. O trabalho pode ser realizado em qualquer dia da semana, de segunda a domingo. Exemplos de turnos: 6h30 às 14h30 ou 11h às 19h. Os horários dos turnos podem variar. Consulte a descrição da vaga para obter mais informações. Classificação da Função: 35-3031.00 - Garçons e Garçonetes. A classificação e descrição da função/setor inclui informações gerais sobre o cargo, de acordo com o ONET/OES e o Sistema de Classificação Industrial da América do Norte. Consulte as Funções e a Ordem de Serviço para obter mais informações. Requisitos da Função Experiência Necessária: Sim Meses de Experiência Necessários: 12 Requisitos Especiais: O contratante considerará para emprego qualquer pessoa que possua pelo menos um (1) ano de experiência em um ambiente de alta gastronomia ou de grande movimento em um restaurante sofisticado, resort ou clube privado. O candidato deverá se submeter a uma verificação de antecedentes pré-emprego, às custas do empregador. Número de Horas por Semana: 40 Horário de Trabalho (Início/Término): 6h30 - 14h30</v>
      </c>
    </row>
    <row r="1154" ht="20.25" customHeight="1">
      <c r="A1154" s="3" t="s">
        <v>5213</v>
      </c>
      <c r="B1154" s="3" t="s">
        <v>5214</v>
      </c>
      <c r="C1154" s="3" t="s">
        <v>4241</v>
      </c>
      <c r="D1154" s="3" t="s">
        <v>71</v>
      </c>
      <c r="E1154" s="4" t="s">
        <v>19</v>
      </c>
      <c r="F1154" s="4" t="s">
        <v>20</v>
      </c>
      <c r="G1154" s="4" t="s">
        <v>524</v>
      </c>
      <c r="H1154" s="3" t="s">
        <v>5215</v>
      </c>
      <c r="I1154" s="3" t="s">
        <v>5216</v>
      </c>
      <c r="J1154" s="4">
        <v>16.72</v>
      </c>
      <c r="K1154" s="4">
        <v>2.0</v>
      </c>
      <c r="L1154" s="3" t="s">
        <v>527</v>
      </c>
      <c r="M1154" s="3" t="s">
        <v>5217</v>
      </c>
      <c r="N1154" s="7" t="str">
        <f>IFERROR(__xludf.DUMMYFUNCTION("GOOGLETRANSLATE(L1154, ""en"", ""pt"")"),"máquina de lavar louça")</f>
        <v>máquina de lavar louça</v>
      </c>
      <c r="O1154" s="7" t="str">
        <f>IFERROR(__xludf.DUMMYFUNCTION("IF(M1154="""","""",GOOGLETRANSLATE(M1154,""en"",""pt""))"),"Os auxiliares de cozinha serão responsáveis ​​por lavar a louça e todos os utensílios de cozinha à mão ou na máquina, manter as áreas de trabalho e os equipamentos da cozinha limpos, varrer e esfregar o chão, preparar (sem cozinhar) diversos alimentos par"&amp;"a serem cozidos ou servidos e separar e descartar o lixo. Horário: 35 horas semanais. O horário de trabalho pode variar e incluir turnos noturnos, fins de semana e feriados. O trabalho pode ser realizado em qualquer dia da semana, de segunda a domingo. Ex"&amp;"emplos de turnos: 9h às 16h ou 16h às 23h. O horário de trabalho pode variar. Consulte a descrição do cargo em anexo para obter mais informações. Classificação do cargo: 35-2021.00 - Auxiliares de Cozinha. A classificação e a descrição do cargo/setor incl"&amp;"uem informações gerais sobre a posição, de acordo com o ONET/OES e o Sistema de Classificação Industrial da América do Norte. Consulte as Funções e a Ordem de Serviço para obter mais informações. Requisitos da vaga Experiência exigida: Sim Meses de experi"&amp;"ência exigidos: 3 Requisitos especiais: O contratante considerará para emprego qualquer pessoa que possua pelo menos três (3) meses de experiência em um restaurante de alto padrão, resort ou clube privado. Número de horas por semana: 35 Horário de trabalh"&amp;"o (início/término): 9h às 16h")</f>
        <v>Os auxiliares de cozinha serão responsáveis ​​por lavar a louça e todos os utensílios de cozinha à mão ou na máquina, manter as áreas de trabalho e os equipamentos da cozinha limpos, varrer e esfregar o chão, preparar (sem cozinhar) diversos alimentos para serem cozidos ou servidos e separar e descartar o lixo. Horário: 35 horas semanais. O horário de trabalho pode variar e incluir turnos noturnos, fins de semana e feriados. O trabalho pode ser realizado em qualquer dia da semana, de segunda a domingo. Exemplos de turnos: 9h às 16h ou 16h às 23h. O horário de trabalho pode variar. Consulte a descrição do cargo em anexo para obter mais informações. Classificação do cargo: 35-2021.00 - Auxiliares de Cozinha. A classificação e a descrição do cargo/setor incluem informações gerais sobre a posição, de acordo com o ONET/OES e o Sistema de Classificação Industrial da América do Norte. Consulte as Funções e a Ordem de Serviço para obter mais informações. Requisitos da vaga Experiência exigida: Sim Meses de experiência exigidos: 3 Requisitos especiais: O contratante considerará para emprego qualquer pessoa que possua pelo menos três (3) meses de experiência em um restaurante de alto padrão, resort ou clube privado. Número de horas por semana: 35 Horário de trabalho (início/término): 9h às 16h</v>
      </c>
    </row>
    <row r="1155" ht="20.25" customHeight="1">
      <c r="A1155" s="8" t="s">
        <v>5218</v>
      </c>
      <c r="B1155" s="8" t="s">
        <v>5214</v>
      </c>
      <c r="C1155" s="8" t="s">
        <v>4241</v>
      </c>
      <c r="D1155" s="8" t="s">
        <v>71</v>
      </c>
      <c r="E1155" s="9" t="s">
        <v>19</v>
      </c>
      <c r="F1155" s="9" t="s">
        <v>20</v>
      </c>
      <c r="G1155" s="9" t="s">
        <v>524</v>
      </c>
      <c r="H1155" s="8" t="s">
        <v>5215</v>
      </c>
      <c r="I1155" s="8" t="s">
        <v>5216</v>
      </c>
      <c r="J1155" s="9">
        <v>17.88</v>
      </c>
      <c r="K1155" s="9">
        <v>10.0</v>
      </c>
      <c r="L1155" s="8" t="s">
        <v>387</v>
      </c>
      <c r="M1155" s="8" t="s">
        <v>5219</v>
      </c>
      <c r="N1155" s="7" t="str">
        <f>IFERROR(__xludf.DUMMYFUNCTION("GOOGLETRANSLATE(L1155, ""en"", ""pt"")"),"Ordem de serviço não disponível")</f>
        <v>Ordem de serviço não disponível</v>
      </c>
      <c r="O1155" s="7" t="str">
        <f>IFERROR(__xludf.DUMMYFUNCTION("IF(M1155="""","""",GOOGLETRANSLATE(M1155,""en"",""pt""))"),"Os cozinheiros serão responsáveis ​​por preparar, temperar e cozinhar sopas, carnes, legumes, sobremesas e outros pratos em um restaurante. Horário: 35 horas semanais. O horário de trabalho pode variar e incluir turnos noturnos, fins de semana e feriados."&amp;" O trabalho pode ser realizado em qualquer dia da semana, de segunda a domingo. Exemplos de turnos: 9h às 16h, 15h às 22h, 12h às 19h. Os horários dos turnos podem variar. Consulte a descrição do cargo em anexo para obter mais informações. Classificação d"&amp;"o Cargo: 35-2014.00 - Cozinheiros, Restaurante. A classificação e descrição do cargo/setor incluem informações gerais sobre a posição, de acordo com o ONET/OES e o Sistema de Classificação Industrial da América do Norte (NAICS). Consulte as Funções e a Or"&amp;"dem de Serviço para obter mais informações. Requisitos da vaga Experiência necessária: Sim Meses de experiência necessários: 12 Requisitos especiais: O contratante considerará para emprego qualquer pessoa que possua pelo menos um (1) ano de experiência cu"&amp;"linária em um ambiente de restaurante à la carte, alta gastronomia ou de grande movimento em um restaurante de alto padrão, resort ou clube privado. Número de horas por semana: 35 Horário de trabalho (início/término): 9h às 16h")</f>
        <v>Os cozinheiros serão responsáveis ​​por preparar, temperar e cozinhar sopas, carnes, legumes, sobremesas e outros pratos em um restaurante. Horário: 35 horas semanais. O horário de trabalho pode variar e incluir turnos noturnos, fins de semana e feriados. O trabalho pode ser realizado em qualquer dia da semana, de segunda a domingo. Exemplos de turnos: 9h às 16h, 15h às 22h, 12h às 19h. Os horários dos turnos podem variar. Consulte a descrição do cargo em anexo para obter mais informações. Classificação do Cargo: 35-2014.00 - Cozinheiros, Restaurante. A classificação e descrição do cargo/setor incluem informações gerais sobre a posição, de acordo com o ONET/OES e o Sistema de Classificação Industrial da América do Norte (NAICS). Consulte as Funções e a Ordem de Serviço para obter mais informações. Requisitos da vaga Experiência necessária: Sim Meses de experiência necessários: 12 Requisitos especiais: O contratante considerará para emprego qualquer pessoa que possua pelo menos um (1) ano de experiência culinária em um ambiente de restaurante à la carte, alta gastronomia ou de grande movimento em um restaurante de alto padrão, resort ou clube privado. Número de horas por semana: 35 Horário de trabalho (início/término): 9h às 16h</v>
      </c>
    </row>
    <row r="1156" ht="20.25" customHeight="1">
      <c r="A1156" s="3" t="s">
        <v>5220</v>
      </c>
      <c r="B1156" s="3" t="s">
        <v>5214</v>
      </c>
      <c r="C1156" s="3" t="s">
        <v>4241</v>
      </c>
      <c r="D1156" s="3" t="s">
        <v>71</v>
      </c>
      <c r="E1156" s="4" t="s">
        <v>19</v>
      </c>
      <c r="F1156" s="4" t="s">
        <v>20</v>
      </c>
      <c r="G1156" s="4" t="s">
        <v>524</v>
      </c>
      <c r="H1156" s="3" t="s">
        <v>5215</v>
      </c>
      <c r="I1156" s="3" t="s">
        <v>5216</v>
      </c>
      <c r="J1156" s="4">
        <v>18.95</v>
      </c>
      <c r="K1156" s="4">
        <v>11.0</v>
      </c>
      <c r="L1156" s="3" t="s">
        <v>1206</v>
      </c>
      <c r="M1156" s="3" t="s">
        <v>5221</v>
      </c>
      <c r="N1156" s="7" t="str">
        <f>IFERROR(__xludf.DUMMYFUNCTION("GOOGLETRANSLATE(L1156, ""en"", ""pt"")"),"Servidor")</f>
        <v>Servidor</v>
      </c>
      <c r="O1156" s="7" t="str">
        <f>IFERROR(__xludf.DUMMYFUNCTION("IF(M1156="""","""",GOOGLETRANSLATE(M1156,""en"",""pt""))"),"Os garçons serão responsáveis ​​por recepcionar os clientes, preparar as áreas de refeição, anotar e registrar pedidos, transportar bandejas e pratos, servir alimentos e bebidas, e limpar e retirar os pratos das mesas. Horário: 35 horas semanais. A escala"&amp;" de trabalho pode variar e incluir turnos noturnos, fins de semana e feriados. O trabalho pode ser realizado em qualquer dia da semana, de segunda a domingo. Exemplos de turnos: 11h às 18h e 15h às 22h. Os horários dos turnos podem variar. Consulte a desc"&amp;"rição da vaga em anexo para obter mais informações. Classificação da vaga: 35-3031.00 - Garçons e Garçonetes. A classificação e descrição da vaga/setor incluem informações gerais sobre o cargo, de acordo com o ONET/OES e o Sistema de Classificação Industr"&amp;"ial da América do Norte (NAICS). Consulte as Funções e a Ordem de Serviço para obter mais informações. Requisitos da vaga Experiência necessária: Sim Meses de experiência necessários: 6 Requisitos especiais: O contratante considerará para emprego qualquer"&amp;" pessoa que possua pelo menos seis (6) meses de experiência em atendimento ao público em restaurantes à la carte, restaurantes de alta gastronomia ou ambientes de grande movimento em restaurantes sofisticados, resorts ou clubes privados. Número de horas p"&amp;"or semana: 35 Horário de trabalho (início/término): 11h00 - 18h00")</f>
        <v>Os garçons serão responsáveis ​​por recepcionar os clientes, preparar as áreas de refeição, anotar e registrar pedidos, transportar bandejas e pratos, servir alimentos e bebidas, e limpar e retirar os pratos das mesas. Horário: 35 horas semanais. A escala de trabalho pode variar e incluir turnos noturnos, fins de semana e feriados. O trabalho pode ser realizado em qualquer dia da semana, de segunda a domingo. Exemplos de turnos: 11h às 18h e 15h às 22h. Os horários dos turnos podem variar. Consulte a descrição da vaga em anexo para obter mais informações. Classificação da vaga: 35-3031.00 - Garçons e Garçonetes. A classificação e descrição da vaga/setor incluem informações gerais sobre o cargo, de acordo com o ONET/OES e o Sistema de Classificação Industrial da América do Norte (NAICS). Consulte as Funções e a Ordem de Serviço para obter mais informações. Requisitos da vaga Experiência necessária: Sim Meses de experiência necessários: 6 Requisitos especiais: O contratante considerará para emprego qualquer pessoa que possua pelo menos seis (6) meses de experiência em atendimento ao público em restaurantes à la carte, restaurantes de alta gastronomia ou ambientes de grande movimento em restaurantes sofisticados, resorts ou clubes privados. Número de horas por semana: 35 Horário de trabalho (início/término): 11h00 - 18h00</v>
      </c>
    </row>
    <row r="1157" ht="20.25" customHeight="1">
      <c r="A1157" s="8" t="s">
        <v>5222</v>
      </c>
      <c r="B1157" s="8" t="s">
        <v>5223</v>
      </c>
      <c r="C1157" s="8" t="s">
        <v>4241</v>
      </c>
      <c r="D1157" s="8" t="s">
        <v>71</v>
      </c>
      <c r="E1157" s="9" t="s">
        <v>19</v>
      </c>
      <c r="F1157" s="9" t="s">
        <v>20</v>
      </c>
      <c r="G1157" s="9" t="s">
        <v>345</v>
      </c>
      <c r="H1157" s="8" t="s">
        <v>5224</v>
      </c>
      <c r="I1157" s="8" t="s">
        <v>5225</v>
      </c>
      <c r="J1157" s="9">
        <v>20.0</v>
      </c>
      <c r="K1157" s="9">
        <v>13.0</v>
      </c>
      <c r="L1157" s="8" t="s">
        <v>387</v>
      </c>
      <c r="M1157" s="8" t="s">
        <v>5226</v>
      </c>
      <c r="N1157" s="7" t="str">
        <f>IFERROR(__xludf.DUMMYFUNCTION("GOOGLETRANSLATE(L1157, ""en"", ""pt"")"),"Ordem de serviço não disponível")</f>
        <v>Ordem de serviço não disponível</v>
      </c>
      <c r="O1157" s="7" t="str">
        <f>IFERROR(__xludf.DUMMYFUNCTION("IF(M1157="""","""",GOOGLETRANSLATE(M1157,""en"",""pt""))"),"Os cozinheiros serão responsáveis ​​por preparar, temperar e cozinhar sopas, carnes, legumes, sobremesas e outros pratos em um restaurante. Horário: 35 horas semanais. O horário de trabalho pode variar e incluir turnos noturnos, fins de semana e feriados."&amp;" O trabalho pode ser realizado em qualquer dia da semana, de segunda a domingo. Exemplos de turnos: 8h às 15h, 14h às 21h ou 10h às 17h. Os horários dos turnos podem variar. Consulte a descrição da vaga para obter mais informações. Classificação da vaga: "&amp;"35-2014.00 - Cozinheiros, Restaurante. A classificação e a descrição da vaga/setor incluem informações gerais sobre o cargo, de acordo com o ONET/OES e o Sistema de Classificação Industrial da América do Norte (NAICS). Consulte as atribuições e a descriçã"&amp;"o da vaga para obter mais informações. Requisitos da vaga Experiência necessária: Sim Meses de experiência necessários: 12 Requisitos especiais: O contratante considerará para emprego qualquer pessoa que possua pelo menos um (1) ano de experiência culinár"&amp;"ia em um ambiente de alta gastronomia ou de grande movimento em um restaurante, resort, clube privado ou navio de cruzeiro. Número de horas por semana: 35 Horário de trabalho (início/término): 8h00 - 15h00")</f>
        <v>Os cozinheiros serão responsáveis ​​por preparar, temperar e cozinhar sopas, carnes, legumes, sobremesas e outros pratos em um restaurante. Horário: 35 horas semanais. O horário de trabalho pode variar e incluir turnos noturnos, fins de semana e feriados. O trabalho pode ser realizado em qualquer dia da semana, de segunda a domingo. Exemplos de turnos: 8h às 15h, 14h às 21h ou 10h às 17h. Os horários dos turnos podem variar. Consulte a descrição da vaga para obter mais informações. Classificação da vaga: 35-2014.00 - Cozinheiros, Restaurante. A classificação e a descrição da vaga/setor incluem informações gerais sobre o cargo, de acordo com o ONET/OES e o Sistema de Classificação Industrial da América do Norte (NAICS). Consulte as atribuições e a descrição da vaga para obter mais informações. Requisitos da vaga Experiência necessária: Sim Meses de experiência necessários: 12 Requisitos especiais: O contratante considerará para emprego qualquer pessoa que possua pelo menos um (1) ano de experiência culinária em um ambiente de alta gastronomia ou de grande movimento em um restaurante, resort, clube privado ou navio de cruzeiro. Número de horas por semana: 35 Horário de trabalho (início/término): 8h00 - 15h00</v>
      </c>
    </row>
    <row r="1158" ht="20.25" customHeight="1">
      <c r="A1158" s="3" t="s">
        <v>5227</v>
      </c>
      <c r="B1158" s="3" t="s">
        <v>5223</v>
      </c>
      <c r="C1158" s="3" t="s">
        <v>4241</v>
      </c>
      <c r="D1158" s="3" t="s">
        <v>71</v>
      </c>
      <c r="E1158" s="4" t="s">
        <v>19</v>
      </c>
      <c r="F1158" s="4" t="s">
        <v>20</v>
      </c>
      <c r="G1158" s="4" t="s">
        <v>345</v>
      </c>
      <c r="H1158" s="3" t="s">
        <v>5228</v>
      </c>
      <c r="I1158" s="3" t="s">
        <v>5225</v>
      </c>
      <c r="J1158" s="4">
        <v>18.44</v>
      </c>
      <c r="K1158" s="4">
        <v>4.0</v>
      </c>
      <c r="L1158" s="3" t="s">
        <v>5229</v>
      </c>
      <c r="M1158" s="3" t="s">
        <v>5230</v>
      </c>
      <c r="N1158" s="7" t="str">
        <f>IFERROR(__xludf.DUMMYFUNCTION("GOOGLETRANSLATE(L1158, ""en"", ""pt"")"),"Auxiliar de Cozinha")</f>
        <v>Auxiliar de Cozinha</v>
      </c>
      <c r="O1158" s="7" t="str">
        <f>IFERROR(__xludf.DUMMYFUNCTION("IF(M1158="""","""",GOOGLETRANSLATE(M1158,""en"",""pt""))"),"***Resposta à Solicitação de Informações*** A montagem e desmontagem de materiais para festas consiste em mover e organizar mesas de banquete portáteis, cadeiras, rechauds, utensílios de servir e tábuas de corte de acordo com o plano do evento, e retornar"&amp;" esses itens ao seu local original ou ao armazenamento após o evento. Não serão utilizadas ferramentas ou equipamentos adicionais além dos já mencionados para a execução dessas tarefas. ***Original*** Os Auxiliares de Cozinha serão responsáveis ​​pela lim"&amp;"peza (manual ou com máquina), organização e armazenamento de todos os talheres, copos, panelas e equipamentos, mantendo as áreas de trabalho e equipamentos da cozinha limpos, varrendo e esfregando o chão, e separando e descartando o lixo. Serão responsáve"&amp;"is ​​pela montagem e desmontagem de todos os materiais para festas, incluindo adereços, expositores portáteis para alimentos, travessas, pratos e utensílios diversos, rechauds, bandejas de gelo, tábuas de corte e aquecedores. Os Auxiliares de Cozinha prec"&amp;"isarão levantar e carregar até 23 kg. Horário: 35 horas semanais. O horário de trabalho pode variar e incluir noites, fins de semana e feriados. O trabalho pode ser realizado em qualquer dia da semana, de segunda a domingo. Exemplos de turnos: 7h às 14h, "&amp;"13h às 20h ou 16h às 23h. Os horários dos turnos podem variar. Consulte a descrição do cargo em anexo para obter mais informações. Classificação do Cargo: 53-7062.00 - Operários e Movimentadores de Carga, Estoque e Materiais. A classificação e a descrição"&amp;" do cargo/setor incluem informações gerais sobre a posição, de acordo com o ONET/OES e o Sistema de Classificação Industrial da América do Norte (NAICS). Consulte as Funções e a Ordem de Serviço para obter mais informações. Requisitos do Cargo Experiência"&amp;" Necessária: Não Número de Horas por Semana: 36 Horário de Trabalho (Início/Término): 7h às 14h")</f>
        <v>***Resposta à Solicitação de Informações*** A montagem e desmontagem de materiais para festas consiste em mover e organizar mesas de banquete portáteis, cadeiras, rechauds, utensílios de servir e tábuas de corte de acordo com o plano do evento, e retornar esses itens ao seu local original ou ao armazenamento após o evento. Não serão utilizadas ferramentas ou equipamentos adicionais além dos já mencionados para a execução dessas tarefas. ***Original*** Os Auxiliares de Cozinha serão responsáveis ​​pela limpeza (manual ou com máquina), organização e armazenamento de todos os talheres, copos, panelas e equipamentos, mantendo as áreas de trabalho e equipamentos da cozinha limpos, varrendo e esfregando o chão, e separando e descartando o lixo. Serão responsáveis ​​pela montagem e desmontagem de todos os materiais para festas, incluindo adereços, expositores portáteis para alimentos, travessas, pratos e utensílios diversos, rechauds, bandejas de gelo, tábuas de corte e aquecedores. Os Auxiliares de Cozinha precisarão levantar e carregar até 23 kg. Horário: 35 horas semanais. O horário de trabalho pode variar e incluir noites, fins de semana e feriados. O trabalho pode ser realizado em qualquer dia da semana, de segunda a domingo. Exemplos de turnos: 7h às 14h, 13h às 20h ou 16h às 23h. Os horários dos turnos podem variar. Consulte a descrição do cargo em anexo para obter mais informações. Classificação do Cargo: 53-7062.00 - Operários e Movimentadores de Carga, Estoque e Materiais. A classificação e a descrição do cargo/setor incluem informações gerais sobre a posição, de acordo com o ONET/OES e o Sistema de Classificação Industrial da América do Norte (NAICS). Consulte as Funções e a Ordem de Serviço para obter mais informações. Requisitos do Cargo Experiência Necessária: Não Número de Horas por Semana: 36 Horário de Trabalho (Início/Término): 7h às 14h</v>
      </c>
    </row>
    <row r="1159" ht="20.25" customHeight="1">
      <c r="A1159" s="8" t="s">
        <v>5231</v>
      </c>
      <c r="B1159" s="8" t="s">
        <v>5223</v>
      </c>
      <c r="C1159" s="8" t="s">
        <v>4241</v>
      </c>
      <c r="D1159" s="8" t="s">
        <v>71</v>
      </c>
      <c r="E1159" s="9" t="s">
        <v>44</v>
      </c>
      <c r="F1159" s="9" t="s">
        <v>20</v>
      </c>
      <c r="G1159" s="9" t="s">
        <v>345</v>
      </c>
      <c r="H1159" s="8" t="s">
        <v>5228</v>
      </c>
      <c r="I1159" s="8" t="s">
        <v>5225</v>
      </c>
      <c r="J1159" s="9">
        <v>16.04</v>
      </c>
      <c r="K1159" s="9">
        <v>6.0</v>
      </c>
      <c r="L1159" s="8" t="s">
        <v>5135</v>
      </c>
      <c r="M1159" s="8" t="s">
        <v>5232</v>
      </c>
      <c r="N1159" s="7" t="str">
        <f>IFERROR(__xludf.DUMMYFUNCTION("GOOGLETRANSLATE(L1159, ""en"", ""pt"")"),"Assistente de Garçom")</f>
        <v>Assistente de Garçom</v>
      </c>
      <c r="O1159" s="7" t="str">
        <f>IFERROR(__xludf.DUMMYFUNCTION("IF(M1159="""","""",GOOGLETRANSLATE(M1159,""en"",""pt""))"),"Os Auxiliares de Garçom serão responsáveis ​​por limpar e arrumar as mesas, servir água e café aos clientes. Também serão responsáveis ​​por levar a comida às mesas, trazer pão, servir água gelada e repor as bebidas quando necessário. Os Auxiliares de Gar"&amp;"çom precisam ser capazes de levantar e carregar até 18 kg. Horário: 35 horas semanais. A escala de trabalho pode variar e incluir turnos noturnos, fins de semana e feriados. O trabalho pode ser realizado em qualquer dia da semana, de segunda a domingo. Ex"&amp;"emplos de turnos: 10h às 17h, 9h30 às 16h30 ou 15h às 22h. Os horários dos turnos podem variar. Consulte a descrição da vaga para obter mais informações. Classificação da vaga: 35-9011.00 - Atendentes de Salão e Cafeteria e Auxiliares de Bar. A classifica"&amp;"ção e descrição da vaga/setor incluem informações gerais sobre o cargo, de acordo com o ONET/OES e o Sistema de Classificação Industrial da América do Norte (NAICS). Consulte as Funções e a Ordem de Serviço para obter mais informações. Requisitos da vaga "&amp;"Experiência necessária: Sim Meses de experiência necessários: 3 Requisitos especiais: O contratante considerará para emprego qualquer pessoa que possua pelo menos três (3) meses de experiência em um ambiente de alta gastronomia ou de grande movimento em u"&amp;"m restaurante, resort, clube privado ou navio de cruzeiro. Número de horas por semana: 35 Horário de trabalho (início/término): 10h00 - 17h00")</f>
        <v>Os Auxiliares de Garçom serão responsáveis ​​por limpar e arrumar as mesas, servir água e café aos clientes. Também serão responsáveis ​​por levar a comida às mesas, trazer pão, servir água gelada e repor as bebidas quando necessário. Os Auxiliares de Garçom precisam ser capazes de levantar e carregar até 18 kg. Horário: 35 horas semanais. A escala de trabalho pode variar e incluir turnos noturnos, fins de semana e feriados. O trabalho pode ser realizado em qualquer dia da semana, de segunda a domingo. Exemplos de turnos: 10h às 17h, 9h30 às 16h30 ou 15h às 22h. Os horários dos turnos podem variar. Consulte a descrição da vaga para obter mais informações. Classificação da vaga: 35-9011.00 - Atendentes de Salão e Cafeteria e Auxiliares de Bar. A classificação e descrição da vaga/setor incluem informações gerais sobre o cargo, de acordo com o ONET/OES e o Sistema de Classificação Industrial da América do Norte (NAICS). Consulte as Funções e a Ordem de Serviço para obter mais informações. Requisitos da vaga Experiência necessária: Sim Meses de experiência necessários: 3 Requisitos especiais: O contratante considerará para emprego qualquer pessoa que possua pelo menos três (3) meses de experiência em um ambiente de alta gastronomia ou de grande movimento em um restaurante, resort, clube privado ou navio de cruzeiro. Número de horas por semana: 35 Horário de trabalho (início/término): 10h00 - 17h00</v>
      </c>
    </row>
    <row r="1160" ht="20.25" customHeight="1">
      <c r="A1160" s="3" t="s">
        <v>5233</v>
      </c>
      <c r="B1160" s="3" t="s">
        <v>5234</v>
      </c>
      <c r="C1160" s="3" t="s">
        <v>4241</v>
      </c>
      <c r="D1160" s="3" t="s">
        <v>71</v>
      </c>
      <c r="E1160" s="4" t="s">
        <v>44</v>
      </c>
      <c r="F1160" s="4" t="s">
        <v>20</v>
      </c>
      <c r="G1160" s="4" t="s">
        <v>345</v>
      </c>
      <c r="H1160" s="3" t="s">
        <v>5235</v>
      </c>
      <c r="I1160" s="3" t="s">
        <v>5236</v>
      </c>
      <c r="J1160" s="4">
        <v>19.88</v>
      </c>
      <c r="K1160" s="4">
        <v>4.0</v>
      </c>
      <c r="L1160" s="3" t="s">
        <v>387</v>
      </c>
      <c r="M1160" s="3" t="s">
        <v>5237</v>
      </c>
      <c r="N1160" s="7" t="str">
        <f>IFERROR(__xludf.DUMMYFUNCTION("GOOGLETRANSLATE(L1160, ""en"", ""pt"")"),"Ordem de serviço não disponível")</f>
        <v>Ordem de serviço não disponível</v>
      </c>
      <c r="O1160" s="7" t="str">
        <f>IFERROR(__xludf.DUMMYFUNCTION("IF(M1160="""","""",GOOGLETRANSLATE(M1160,""en"",""pt""))"),"Os cozinheiros serão responsáveis ​​por preparar, temperar e cozinhar sopas, carnes, legumes, sobremesas e outros pratos em um restaurante. Outras funções incluem a limpeza das áreas de trabalho e de preparação de alimentos, a montagem e desmontagem de eq"&amp;"uipamentos e o armazenamento e organização de alimentos. Horário: 35 horas semanais. O horário de trabalho pode variar e incluir turnos noturnos, fins de semana e feriados. O trabalho pode ser realizado em qualquer dia da semana, de segunda a domingo. Exe"&amp;"mplos de turnos: das 10h às 17h ou das 14h às 21h. Os horários dos turnos podem variar. Consulte a descrição do cargo em anexo para obter mais informações. Classificação do Cargo: 35-2014.00 - Cozinheiros, Restaurante. A classificação e a descrição do car"&amp;"go/setor incluem informações gerais sobre a posição, de acordo com o ONET/OES e o Sistema de Classificação Industrial da América do Norte. Consulte as Funções e a Ordem de Serviço para obter mais informações. Requisitos da vaga Experiência necessária: Sim"&amp;" Meses de experiência necessários: 6 Requisitos especiais: O contratante considerará para emprego qualquer pessoa que possua pelo menos seis (6) meses de experiência culinária em um ambiente de alta gastronomia ou de grande movimento em um restaurante sof"&amp;"isticado, resort ou clube privado. Número de horas por semana: 35 Horário de trabalho (início/término): 10h00 - 17h00")</f>
        <v>Os cozinheiros serão responsáveis ​​por preparar, temperar e cozinhar sopas, carnes, legumes, sobremesas e outros pratos em um restaurante. Outras funções incluem a limpeza das áreas de trabalho e de preparação de alimentos, a montagem e desmontagem de equipamentos e o armazenamento e organização de alimentos. Horário: 35 horas semanais. O horário de trabalho pode variar e incluir turnos noturnos, fins de semana e feriados. O trabalho pode ser realizado em qualquer dia da semana, de segunda a domingo. Exemplos de turnos: das 10h às 17h ou das 14h às 21h. Os horários dos turnos podem variar. Consulte a descrição do cargo em anexo para obter mais informações. Classificação do Cargo: 35-2014.00 - Cozinheiros, Restaurante. A classificação e a descrição do cargo/setor incluem informações gerais sobre a posição, de acordo com o ONET/OES e o Sistema de Classificação Industrial da América do Norte. Consulte as Funções e a Ordem de Serviço para obter mais informações. Requisitos da vaga Experiência necessária: Sim Meses de experiência necessários: 6 Requisitos especiais: O contratante considerará para emprego qualquer pessoa que possua pelo menos seis (6) meses de experiência culinária em um ambiente de alta gastronomia ou de grande movimento em um restaurante sofisticado, resort ou clube privado. Número de horas por semana: 35 Horário de trabalho (início/término): 10h00 - 17h00</v>
      </c>
    </row>
    <row r="1161" ht="20.25" customHeight="1">
      <c r="A1161" s="8" t="s">
        <v>5238</v>
      </c>
      <c r="B1161" s="8" t="s">
        <v>5239</v>
      </c>
      <c r="C1161" s="8" t="s">
        <v>4241</v>
      </c>
      <c r="D1161" s="8" t="s">
        <v>271</v>
      </c>
      <c r="E1161" s="9" t="s">
        <v>19</v>
      </c>
      <c r="F1161" s="9" t="s">
        <v>20</v>
      </c>
      <c r="G1161" s="9" t="s">
        <v>524</v>
      </c>
      <c r="H1161" s="8" t="s">
        <v>5240</v>
      </c>
      <c r="I1161" s="8" t="s">
        <v>5241</v>
      </c>
      <c r="J1161" s="9">
        <v>19.5</v>
      </c>
      <c r="K1161" s="9">
        <v>4.0</v>
      </c>
      <c r="L1161" s="8" t="s">
        <v>3440</v>
      </c>
      <c r="M1161" s="8" t="s">
        <v>5242</v>
      </c>
      <c r="N1161" s="7" t="str">
        <f>IFERROR(__xludf.DUMMYFUNCTION("GOOGLETRANSLATE(L1161, ""en"", ""pt"")"),"Auxiliar de Garçom/Entregador de Comida")</f>
        <v>Auxiliar de Garçom/Entregador de Comida</v>
      </c>
      <c r="O1161" s="7" t="str">
        <f>IFERROR(__xludf.DUMMYFUNCTION("IF(M1161="""","""",GOOGLETRANSLATE(M1161,""en"",""pt""))"),"Os auxiliares de mesa/garçons serão responsáveis ​​por arrumar as mesas com louças como pratos, copos e talheres, transportar bandejas e pratos, limpar e retirar pratos das mesas, servir água e café aos clientes e polir talheres e copos. Pode ser necessár"&amp;"io levantar e carregar até 23 kg. Horário: 35 horas por semana. O horário de trabalho pode variar e incluir turnos noturnos, fins de semana e feriados. O trabalho pode ser realizado em qualquer dia da semana, de segunda a domingo. Exemplos de turnos: das "&amp;"8h às 15h, das 10h às 17h e das 15h às 22h. Os horários dos turnos podem variar. Consulte a descrição da vaga para obter mais informações. Classificação da vaga: 35-9011.00 - Atendentes de Salão e Cafeteria e Auxiliares de Bar. A classificação e descrição"&amp;" da vaga/setor incluem informações gerais sobre o cargo, de acordo com o ONET/OES e o Sistema de Classificação Industrial da América do Norte. Consulte as Funções e a Ordem de Serviço para obter mais informações. Requisitos da vaga Experiência necessária:"&amp;" Sim Meses de experiência necessários: 3 Requisitos especiais: O contratante considerará para emprego qualquer pessoa que possua pelo menos três (3) meses de experiência em um ambiente de alta gastronomia ou de grande movimento, em um restaurante de alto "&amp;"padrão ou de grande movimento, resort ou clube privado. O candidato deverá se submeter a uma verificação de antecedentes pré-emprego, às custas do empregador, caso não esteja retornando da temporada anterior. Número de horas por semana: 35 Horário de trab"&amp;"alho (início/término): 8h às 15h")</f>
        <v>Os auxiliares de mesa/garçons serão responsáveis ​​por arrumar as mesas com louças como pratos, copos e talheres, transportar bandejas e pratos, limpar e retirar pratos das mesas, servir água e café aos clientes e polir talheres e copos. Pode ser necessário levantar e carregar até 23 kg. Horário: 35 horas por semana. O horário de trabalho pode variar e incluir turnos noturnos, fins de semana e feriados. O trabalho pode ser realizado em qualquer dia da semana, de segunda a domingo. Exemplos de turnos: das 8h às 15h, das 10h às 17h e das 15h às 22h. Os horários dos turnos podem variar. Consulte a descrição da vaga para obter mais informações. Classificação da vaga: 35-9011.00 - Atendentes de Salão e Cafeteria e Auxiliares de Bar. A classificação e descrição da vaga/setor incluem informações gerais sobre o cargo, de acordo com o ONET/OES e o Sistema de Classificação Industrial da América do Norte. Consulte as Funções e a Ordem de Serviço para obter mais informações. Requisitos da vaga Experiência necessária: Sim Meses de experiência necessários: 3 Requisitos especiais: O contratante considerará para emprego qualquer pessoa que possua pelo menos três (3) meses de experiência em um ambiente de alta gastronomia ou de grande movimento, em um restaurante de alto padrão ou de grande movimento, resort ou clube privado. O candidato deverá se submeter a uma verificação de antecedentes pré-emprego, às custas do empregador, caso não esteja retornando da temporada anterior. Número de horas por semana: 35 Horário de trabalho (início/término): 8h às 15h</v>
      </c>
    </row>
    <row r="1162" ht="20.25" customHeight="1">
      <c r="A1162" s="3" t="s">
        <v>5243</v>
      </c>
      <c r="B1162" s="3" t="s">
        <v>5239</v>
      </c>
      <c r="C1162" s="3" t="s">
        <v>4241</v>
      </c>
      <c r="D1162" s="3" t="s">
        <v>271</v>
      </c>
      <c r="E1162" s="4" t="s">
        <v>44</v>
      </c>
      <c r="F1162" s="4" t="s">
        <v>20</v>
      </c>
      <c r="G1162" s="4" t="s">
        <v>524</v>
      </c>
      <c r="H1162" s="3" t="s">
        <v>5240</v>
      </c>
      <c r="I1162" s="3" t="s">
        <v>5241</v>
      </c>
      <c r="J1162" s="4">
        <v>20.0</v>
      </c>
      <c r="K1162" s="4">
        <v>18.0</v>
      </c>
      <c r="L1162" s="3" t="s">
        <v>387</v>
      </c>
      <c r="M1162" s="3" t="s">
        <v>5244</v>
      </c>
      <c r="N1162" s="7" t="str">
        <f>IFERROR(__xludf.DUMMYFUNCTION("GOOGLETRANSLATE(L1162, ""en"", ""pt"")"),"Ordem de serviço não disponível")</f>
        <v>Ordem de serviço não disponível</v>
      </c>
      <c r="O1162" s="7" t="str">
        <f>IFERROR(__xludf.DUMMYFUNCTION("IF(M1162="""","""",GOOGLETRANSLATE(M1162,""en"",""pt""))"),"Os cozinheiros serão responsáveis ​​por preparar, temperar e cozinhar sopas, carnes, legumes, sobremesas e outros pratos em um restaurante. Horário: 35 horas semanais. O horário de trabalho pode variar e incluir noites, fins de semana e feriados. O trabal"&amp;"ho pode ser realizado em qualquer dia da semana, de segunda a domingo. Exemplos de turnos: das 8h às 15h ou das 15h às 22h. Os horários dos turnos podem variar. Consulte a descrição da vaga para obter mais informações. Classificação da vaga: 35-2014.00 - "&amp;"Cozinheiros, Restaurante. A classificação e a descrição da vaga/setor incluem informações gerais sobre o cargo, de acordo com o ONET/OES e o Sistema de Classificação Industrial da América do Norte (NAICS). Consulte as atribuições e a descrição da vaga par"&amp;"a obter mais informações. Requisitos da vaga Experiência necessária: Sim Meses de experiência necessários: 6 Requisitos especiais: O contratante considerará para emprego qualquer pessoa que possua pelo menos seis (6) meses de experiência culinária em um a"&amp;"mbiente de alta gastronomia ou de grande movimento, em um restaurante sofisticado ou de alto volume, resort ou clube privado. O candidato deverá se submeter a uma verificação de antecedentes pré-emprego, às custas do empregador, caso não esteja retornando"&amp;" da temporada anterior. Número de horas por semana: 35 Horário de trabalho (início/término): 8h às 15h")</f>
        <v>Os cozinheiros serão responsáveis ​​por preparar, temperar e cozinhar sopas, carnes, legumes, sobremesas e outros pratos em um restaurante. Horário: 35 horas semanais. O horário de trabalho pode variar e incluir noites, fins de semana e feriados. O trabalho pode ser realizado em qualquer dia da semana, de segunda a domingo. Exemplos de turnos: das 8h às 15h ou das 15h às 22h. Os horários dos turnos podem variar. Consulte a descrição da vaga para obter mais informações. Classificação da vaga: 35-2014.00 - Cozinheiros, Restaurante. A classificação e a descrição da vaga/setor incluem informações gerais sobre o cargo, de acordo com o ONET/OES e o Sistema de Classificação Industrial da América do Norte (NAICS). Consulte as atribuições e a descrição da vaga para obter mais informações. Requisitos da vaga Experiência necessária: Sim Meses de experiência necessários: 6 Requisitos especiais: O contratante considerará para emprego qualquer pessoa que possua pelo menos seis (6) meses de experiência culinária em um ambiente de alta gastronomia ou de grande movimento, em um restaurante sofisticado ou de alto volume, resort ou clube privado. O candidato deverá se submeter a uma verificação de antecedentes pré-emprego, às custas do empregador, caso não esteja retornando da temporada anterior. Número de horas por semana: 35 Horário de trabalho (início/término): 8h às 15h</v>
      </c>
    </row>
    <row r="1163" ht="20.25" customHeight="1">
      <c r="A1163" s="8" t="s">
        <v>5245</v>
      </c>
      <c r="B1163" s="8" t="s">
        <v>5246</v>
      </c>
      <c r="C1163" s="8" t="s">
        <v>4241</v>
      </c>
      <c r="D1163" s="8" t="s">
        <v>71</v>
      </c>
      <c r="E1163" s="9" t="s">
        <v>19</v>
      </c>
      <c r="F1163" s="9" t="s">
        <v>20</v>
      </c>
      <c r="G1163" s="9" t="s">
        <v>524</v>
      </c>
      <c r="H1163" s="8" t="s">
        <v>5247</v>
      </c>
      <c r="I1163" s="8" t="s">
        <v>5248</v>
      </c>
      <c r="J1163" s="9">
        <v>19.88</v>
      </c>
      <c r="K1163" s="9">
        <v>5.0</v>
      </c>
      <c r="L1163" s="8" t="s">
        <v>387</v>
      </c>
      <c r="M1163" s="8" t="s">
        <v>5249</v>
      </c>
      <c r="N1163" s="7" t="str">
        <f>IFERROR(__xludf.DUMMYFUNCTION("GOOGLETRANSLATE(L1163, ""en"", ""pt"")"),"Ordem de serviço não disponível")</f>
        <v>Ordem de serviço não disponível</v>
      </c>
      <c r="O1163" s="7" t="str">
        <f>IFERROR(__xludf.DUMMYFUNCTION("IF(M1163="""","""",GOOGLETRANSLATE(M1163,""en"",""pt""))"),"Os cozinheiros serão responsáveis ​​por preparar, temperar e cozinhar sopas, carnes, legumes, sobremesas e outros pratos em um restaurante. Horário: 40 horas semanais. O horário de trabalho pode variar e incluir turnos noturnos, fins de semana e feriados."&amp;" O trabalho pode ser realizado em qualquer dia da semana, de segunda a domingo. Exemplos de turnos: das 8h30 às 16h30; das 9h às 17h ou das 14h às 22h. Os horários dos turnos podem variar. Consulte a descrição do cargo em anexo para obter mais informações"&amp;". Classificação do Cargo: 35-2014.00 - Cozinheiros, Restaurante. A classificação e a descrição do cargo/setor incluem informações gerais sobre a posição, de acordo com o ONET/OES e o Sistema de Classificação Industrial da América do Norte (NAICS). Consult"&amp;"e as Funções e a Ordem de Serviço para obter mais informações. Requisitos da Vaga Experiência Necessária: Sim Meses de Experiência Necessários: 3 Requisitos Especiais: O Requerente considerará para emprego qualquer pessoa que possua pelo menos três (3) me"&amp;"ses de experiência culinária em um ambiente de alta gastronomia ou de grande movimento em um restaurante de alto padrão, resort, hotel ou clube privado. O candidato deverá se submeter a um exame toxicológico pré-admissional, custeado pelo empregador. Núme"&amp;"ro de Horas por Semana: 40 Horário de Trabalho (Início/Término): 8h30 - 16h30")</f>
        <v>Os cozinheiros serão responsáveis ​​por preparar, temperar e cozinhar sopas, carnes, legumes, sobremesas e outros pratos em um restaurante. Horário: 40 horas semanais. O horário de trabalho pode variar e incluir turnos noturnos, fins de semana e feriados. O trabalho pode ser realizado em qualquer dia da semana, de segunda a domingo. Exemplos de turnos: das 8h30 às 16h30; das 9h às 17h ou das 14h às 22h. Os horários dos turnos podem variar. Consulte a descrição do cargo em anexo para obter mais informações. Classificação do Cargo: 35-2014.00 - Cozinheiros, Restaurante. A classificação e a descrição do cargo/setor incluem informações gerais sobre a posição, de acordo com o ONET/OES e o Sistema de Classificação Industrial da América do Norte (NAICS). Consulte as Funções e a Ordem de Serviço para obter mais informações. Requisitos da Vaga Experiência Necessária: Sim Meses de Experiência Necessários: 3 Requisitos Especiais: O Requerente considerará para emprego qualquer pessoa que possua pelo menos três (3) meses de experiência culinária em um ambiente de alta gastronomia ou de grande movimento em um restaurante de alto padrão, resort, hotel ou clube privado. O candidato deverá se submeter a um exame toxicológico pré-admissional, custeado pelo empregador. Número de Horas por Semana: 40 Horário de Trabalho (Início/Término): 8h30 - 16h30</v>
      </c>
    </row>
    <row r="1164" ht="20.25" customHeight="1">
      <c r="A1164" s="3" t="s">
        <v>5250</v>
      </c>
      <c r="B1164" s="3" t="s">
        <v>5246</v>
      </c>
      <c r="C1164" s="3" t="s">
        <v>4241</v>
      </c>
      <c r="D1164" s="3" t="s">
        <v>71</v>
      </c>
      <c r="E1164" s="4" t="s">
        <v>19</v>
      </c>
      <c r="F1164" s="4" t="s">
        <v>20</v>
      </c>
      <c r="G1164" s="4" t="s">
        <v>524</v>
      </c>
      <c r="H1164" s="3" t="s">
        <v>5247</v>
      </c>
      <c r="I1164" s="3" t="s">
        <v>5248</v>
      </c>
      <c r="J1164" s="4">
        <v>21.48</v>
      </c>
      <c r="K1164" s="4">
        <v>13.0</v>
      </c>
      <c r="L1164" s="3" t="s">
        <v>1206</v>
      </c>
      <c r="M1164" s="3" t="s">
        <v>5251</v>
      </c>
      <c r="N1164" s="7" t="str">
        <f>IFERROR(__xludf.DUMMYFUNCTION("GOOGLETRANSLATE(L1164, ""en"", ""pt"")"),"Servidor")</f>
        <v>Servidor</v>
      </c>
      <c r="O1164" s="7" t="str">
        <f>IFERROR(__xludf.DUMMYFUNCTION("IF(M1164="""","""",GOOGLETRANSLATE(M1164,""en"",""pt""))"),"***Resposta à Solicitação de Informações*** A montagem do evento consiste em organizar e posicionar mesas e cadeiras de banquete; colocar toalhas de mesa, saias de mesa e guardanapos; arrumar as mesas com copos, talheres, louças e centros de mesa; montar "&amp;"estações de buffet, estações de bebidas e áreas de serviço; posicionar bares portáteis, equipamentos de palco e carrinhos de serviço; e garantir que os espaços do evento estejam limpos e prontos para a chegada dos convidados. A desmontagem do evento consi"&amp;"ste em retirar as toalhas de mesa, copos, louças e itens de serviço; remover e transportar mesas, cadeiras, bares portáteis e equipamentos de buffet; limpar os espaços do evento; e devolver equipamentos e suprimentos às áreas de armazenamento designadas. "&amp;"As tarefas de armazenamento consistem em transportar equipamentos e suprimentos para os locais de armazenamento designados, empilhar cadeiras, dobrar e guardar mesas, organizar equipamentos de banquete, armazenar toalhas de mesa e garantir que todos os eq"&amp;"uipamentos estejam devidamente limpos, seguros e disponíveis para eventos futuros. As ferramentas/equipamentos utilizados para realizar essas tarefas incluem mesas de banquete, mesas dobráveis, cadeiras, toalhas de mesa, saias de mesa, guardanapos, porcel"&amp;"ana, copos, talheres, bandejas de servir, dispensadores de bebidas, cafeteiras, rechauds, equipamentos portáteis de buffet, carrinhos de transporte, carrinhos de mão/plataformas, bares portáteis, panos de limpeza, vassouras, esfregões e produtos de limpez"&amp;"a. O serviço consiste em recepcionar os sócios e convidados e acompanhá-los até as mesas, apresentar os cardápios e explicar os pratos do dia, os itens do menu e as opções de bebidas, anotar os pedidos de comida e bebida utilizando o sistema de ponto de v"&amp;"enda (PDV) do clube, servir bebidas, aperitivos, pratos principais e sobremesas às mesas, repor bebidas e atender às solicitações dos sócios, limpar e preparar as mesas entre as reservas, processar as cobranças dos sócios e obter as assinaturas, manter a "&amp;"limpeza e a organização das áreas de refeição, estações de serviço e estações auxiliares, e auxiliar nas tarefas de abertura e fechamento, incluindo o abastecimento de suprimentos, polimento de copos, manuseio de talheres e reposição de itens de serviço. "&amp;"Essas tarefas serão realizadas no Salão de Jantar do clube ou no restaurante, o Eagles Nest. O serviço à beira da piscina consiste em percorrer a área da piscina para verificar se os sócios precisam de algo e anotar os pedidos de comida e bebida, inserir "&amp;"os pedidos em dispositivos portáteis ou no sistema de ponto de venda (PDV), entregar comida, bebidas, condimentos, guardanapos e utensílios nas áreas de estar à beira da piscina, monitorar os hóspedes para identificar necessidades adicionais de serviço e "&amp;"processar pedidos adicionais, recolher pratos, copos, xícaras e lixo usados ​​das mesas e áreas de estar à beira da piscina, manter a limpeza e a organização dos pontos de serviço e das áreas de refeições à beira da piscina, transportar comida e bebidas u"&amp;"sando bandejas de servir e repor suprimentos como guardanapos, canudos, condimentos, cardápios e utensílios de serviço ao longo do turno. ***Original*** Os garçons serão responsáveis ​​por recepcionar os clientes, fornecer os cardápios, preparar as áreas "&amp;"de refeição e estações de serviço, anotar e registrar os pedidos dos clientes, transportar bandejas e pratos, servir a comida, inserir os pedidos no sistema de ponto de venda, preparar e servir bebidas alcoólicas e não alcoólicas, polir talheres e copos, "&amp;"limpar e desocupar as mesas, auxiliar na montagem de banquetes e eventos, incluindo a montagem de mesas, estações e toalhas de mesa, auxiliar na desmontagem e remontagem dos espaços para eventos, incluindo a limpeza e o armazenamento adequados dos equipam"&amp;"entos, prestar serviço em eventos, incluindo o serviço de coquetéis, aperitivos e refeições, manter o serviço de bebidas durante os eventos, incluindo o reabastecimento de água, vinho e café, e prestar serviço em todos os pontos de venda do clube, incluin"&amp;"do o serviço na piscina, conforme necessário. Horário: 40 horas por semana. O horário de trabalho pode variar e incluir turnos noturnos, fins de semana e feriados. O trabalho pode ser realizado em qualquer dia da semana, de segunda a domingo. Exemplos de "&amp;"turnos: das 8h30 às 16h30; Das 9h às 17h ou das 14h às 22h. Os horários de trabalho podem variar. Consulte a descrição da vaga em anexo para obter mais informações. Classificação da vaga: 35-3011.00 - Bartenders. A classificação e descrição da vaga/setor "&amp;"incluem informações gerais sobre o cargo, de acordo com o ONET/OES e o Sistema de Classificação Industrial da América do Norte (NAICS). Consulte as Funções e a Ordem de Serviço para obter mais informações. Requisitos da vaga: Experiência exigida: Sim. Mes"&amp;"es de experiência exigidos: 3. Requisitos especiais: O contratante considerará para emprego qualquer pessoa que possua pelo menos três (3) meses de experiência em um ambiente de alta gastronomia ou de grande movimento em um restaurante sofisticado, resort"&amp;", hotel ou clube privado. O candidato deverá se submeter a um exame toxicológico pré-admissional, custeado pelo empregador. Número de horas por semana: 40. Horário de trabalho (início/término): 8h30 às 16h30.")</f>
        <v>***Resposta à Solicitação de Informações*** A montagem do evento consiste em organizar e posicionar mesas e cadeiras de banquete; colocar toalhas de mesa, saias de mesa e guardanapos; arrumar as mesas com copos, talheres, louças e centros de mesa; montar estações de buffet, estações de bebidas e áreas de serviço; posicionar bares portáteis, equipamentos de palco e carrinhos de serviço; e garantir que os espaços do evento estejam limpos e prontos para a chegada dos convidados. A desmontagem do evento consiste em retirar as toalhas de mesa, copos, louças e itens de serviço; remover e transportar mesas, cadeiras, bares portáteis e equipamentos de buffet; limpar os espaços do evento; e devolver equipamentos e suprimentos às áreas de armazenamento designadas. As tarefas de armazenamento consistem em transportar equipamentos e suprimentos para os locais de armazenamento designados, empilhar cadeiras, dobrar e guardar mesas, organizar equipamentos de banquete, armazenar toalhas de mesa e garantir que todos os equipamentos estejam devidamente limpos, seguros e disponíveis para eventos futuros. As ferramentas/equipamentos utilizados para realizar essas tarefas incluem mesas de banquete, mesas dobráveis, cadeiras, toalhas de mesa, saias de mesa, guardanapos, porcelana, copos, talheres, bandejas de servir, dispensadores de bebidas, cafeteiras, rechauds, equipamentos portáteis de buffet, carrinhos de transporte, carrinhos de mão/plataformas, bares portáteis, panos de limpeza, vassouras, esfregões e produtos de limpeza. O serviço consiste em recepcionar os sócios e convidados e acompanhá-los até as mesas, apresentar os cardápios e explicar os pratos do dia, os itens do menu e as opções de bebidas, anotar os pedidos de comida e bebida utilizando o sistema de ponto de venda (PDV) do clube, servir bebidas, aperitivos, pratos principais e sobremesas às mesas, repor bebidas e atender às solicitações dos sócios, limpar e preparar as mesas entre as reservas, processar as cobranças dos sócios e obter as assinaturas, manter a limpeza e a organização das áreas de refeição, estações de serviço e estações auxiliares, e auxiliar nas tarefas de abertura e fechamento, incluindo o abastecimento de suprimentos, polimento de copos, manuseio de talheres e reposição de itens de serviço. Essas tarefas serão realizadas no Salão de Jantar do clube ou no restaurante, o Eagles Nest. O serviço à beira da piscina consiste em percorrer a área da piscina para verificar se os sócios precisam de algo e anotar os pedidos de comida e bebida, inserir os pedidos em dispositivos portáteis ou no sistema de ponto de venda (PDV), entregar comida, bebidas, condimentos, guardanapos e utensílios nas áreas de estar à beira da piscina, monitorar os hóspedes para identificar necessidades adicionais de serviço e processar pedidos adicionais, recolher pratos, copos, xícaras e lixo usados ​​das mesas e áreas de estar à beira da piscina, manter a limpeza e a organização dos pontos de serviço e das áreas de refeições à beira da piscina, transportar comida e bebidas usando bandejas de servir e repor suprimentos como guardanapos, canudos, condimentos, cardápios e utensílios de serviço ao longo do turno. ***Original*** Os garçons serão responsáveis ​​por recepcionar os clientes, fornecer os cardápios, preparar as áreas de refeição e estações de serviço, anotar e registrar os pedidos dos clientes, transportar bandejas e pratos, servir a comida, inserir os pedidos no sistema de ponto de venda, preparar e servir bebidas alcoólicas e não alcoólicas, polir talheres e copos, limpar e desocupar as mesas, auxiliar na montagem de banquetes e eventos, incluindo a montagem de mesas, estações e toalhas de mesa, auxiliar na desmontagem e remontagem dos espaços para eventos, incluindo a limpeza e o armazenamento adequados dos equipamentos, prestar serviço em eventos, incluindo o serviço de coquetéis, aperitivos e refeições, manter o serviço de bebidas durante os eventos, incluindo o reabastecimento de água, vinho e café, e prestar serviço em todos os pontos de venda do clube, incluindo o serviço na piscina, conforme necessário. Horário: 40 horas por semana. O horário de trabalho pode variar e incluir turnos noturnos, fins de semana e feriados. O trabalho pode ser realizado em qualquer dia da semana, de segunda a domingo. Exemplos de turnos: das 8h30 às 16h30; Das 9h às 17h ou das 14h às 22h. Os horários de trabalho podem variar. Consulte a descrição da vaga em anexo para obter mais informações. Classificação da vaga: 35-3011.00 - Bartenders. A classificação e descrição da vaga/setor incluem informações gerais sobre o cargo, de acordo com o ONET/OES e o Sistema de Classificação Industrial da América do Norte (NAICS). Consulte as Funções e a Ordem de Serviço para obter mais informações. Requisitos da vaga: Experiência exigida: Sim. Meses de experiência exigidos: 3. Requisitos especiais: O contratante considerará para emprego qualquer pessoa que possua pelo menos três (3) meses de experiência em um ambiente de alta gastronomia ou de grande movimento em um restaurante sofisticado, resort, hotel ou clube privado. O candidato deverá se submeter a um exame toxicológico pré-admissional, custeado pelo empregador. Número de horas por semana: 40. Horário de trabalho (início/término): 8h30 às 16h30.</v>
      </c>
    </row>
    <row r="1165" ht="20.25" customHeight="1">
      <c r="A1165" s="8" t="s">
        <v>5252</v>
      </c>
      <c r="B1165" s="8" t="s">
        <v>5106</v>
      </c>
      <c r="C1165" s="8" t="s">
        <v>4241</v>
      </c>
      <c r="D1165" s="8" t="s">
        <v>71</v>
      </c>
      <c r="E1165" s="9" t="s">
        <v>19</v>
      </c>
      <c r="F1165" s="9" t="s">
        <v>20</v>
      </c>
      <c r="G1165" s="9" t="s">
        <v>5107</v>
      </c>
      <c r="H1165" s="8" t="s">
        <v>5108</v>
      </c>
      <c r="I1165" s="8" t="s">
        <v>5109</v>
      </c>
      <c r="J1165" s="9">
        <v>23.0</v>
      </c>
      <c r="K1165" s="9">
        <v>5.0</v>
      </c>
      <c r="L1165" s="8" t="s">
        <v>5253</v>
      </c>
      <c r="M1165" s="8" t="s">
        <v>5254</v>
      </c>
      <c r="N1165" s="7" t="str">
        <f>IFERROR(__xludf.DUMMYFUNCTION("GOOGLETRANSLATE(L1165, ""en"", ""pt"")"),"Subchefe Júnior")</f>
        <v>Subchefe Júnior</v>
      </c>
      <c r="O1165" s="7" t="str">
        <f>IFERROR(__xludf.DUMMYFUNCTION("IF(M1165="""","""",GOOGLETRANSLATE(M1165,""en"",""pt""))"),"Os Subchefes Juniores serão responsáveis ​​por preparar, temperar e cozinhar sopas, carnes, legumes, sobremesas e outros pratos em um restaurante. Também serão responsáveis ​​por garantir a qualidade dos alimentos, a limpeza e a organização da área de tra"&amp;"balho da cozinha, controlando os custos dos alimentos e implementando práticas de gestão de desperdício durante o preparo, além de manter a segurança, a higiene e a proteção dos postos de trabalho. Assumirão a responsabilidade total pela cozinha na ausênc"&amp;"ia do Chef Executivo ou do Subchefe Executivo. Auxiliarão nas entrevistas, contratação e treinamento de funcionários, no planejamento, atribuição e direção do trabalho, na avaliação de desempenho, na recompensa e disciplina dos funcionários, no tratamento"&amp;" de reclamações e na resolução de problemas. Devem ser capazes de levantar 11 kg ou mais e trabalhar em temperaturas variáveis. Podem supervisionar até dez (10) Cozinheiros I, II, III e Auxiliares de Cozinha. Horário: 40 horas semanais. A escala de trabal"&amp;"ho pode variar e incluir noites, fins de semana e feriados. O trabalho pode ser realizado em qualquer dia da semana, de segunda a domingo. Exemplos de turnos: 7h às 15h ou 15h às 23h. Os horários dos turnos podem variar. Consulte a descrição do cargo em a"&amp;"nexo para obter mais informações. Classificação do Cargo: 35-1012.00 - Supervisores de Primeira Linha de Preparadores e Servidores de Alimentos. A classificação e descrição do cargo/setor incluem informações gerais sobre a posição, de acordo com o ONET/OE"&amp;"S e o Sistema de Classificação Industrial da América do Norte (NAICS). Consulte as Funções e a Ordem de Serviço para obter mais informações. Requisitos do Cargo Experiência Necessária: Sim Meses de Experiência Necessários: 6 Requisitos Especiais: O contra"&amp;"tante considerará para emprego qualquer pessoa que possua pelo menos seis (6) meses de experiência culinária em um ambiente de alta gastronomia ou de grande movimento, em um restaurante de alto padrão, resort, hotel ou clube privado. O candidato deverá se"&amp;" submeter à verificação de antecedentes e ao exame toxicológico pré-admissional, às custas do empregador. Número de Horas por Semana: 40 Horário de Trabalho (Início/Término): 7h - 15h00")</f>
        <v>Os Subchefes Juniores serão responsáveis ​​por preparar, temperar e cozinhar sopas, carnes, legumes, sobremesas e outros pratos em um restaurante. Também serão responsáveis ​​por garantir a qualidade dos alimentos, a limpeza e a organização da área de trabalho da cozinha, controlando os custos dos alimentos e implementando práticas de gestão de desperdício durante o preparo, além de manter a segurança, a higiene e a proteção dos postos de trabalho. Assumirão a responsabilidade total pela cozinha na ausência do Chef Executivo ou do Subchefe Executivo. Auxiliarão nas entrevistas, contratação e treinamento de funcionários, no planejamento, atribuição e direção do trabalho, na avaliação de desempenho, na recompensa e disciplina dos funcionários, no tratamento de reclamações e na resolução de problemas. Devem ser capazes de levantar 11 kg ou mais e trabalhar em temperaturas variáveis. Podem supervisionar até dez (10) Cozinheiros I, II, III e Auxiliares de Cozinha. Horário: 40 horas semanais. A escala de trabalho pode variar e incluir noites, fins de semana e feriados. O trabalho pode ser realizado em qualquer dia da semana, de segunda a domingo. Exemplos de turnos: 7h às 15h ou 15h às 23h. Os horários dos turnos podem variar. Consulte a descrição do cargo em anexo para obter mais informações. Classificação do Cargo: 35-1012.00 - Supervisores de Primeira Linha de Preparadores e Servidores de Alimentos. A classificação e descrição do cargo/setor incluem informações gerais sobre a posição, de acordo com o ONET/OES e o Sistema de Classificação Industrial da América do Norte (NAICS). Consulte as Funções e a Ordem de Serviço para obter mais informações. Requisitos do Cargo Experiência Necessária: Sim Meses de Experiência Necessários: 6 Requisitos Especiais: O contratante considerará para emprego qualquer pessoa que possua pelo menos seis (6) meses de experiência culinária em um ambiente de alta gastronomia ou de grande movimento, em um restaurante de alto padrão, resort, hotel ou clube privado. O candidato deverá se submeter à verificação de antecedentes e ao exame toxicológico pré-admissional, às custas do empregador. Número de Horas por Semana: 40 Horário de Trabalho (Início/Término): 7h - 15h00</v>
      </c>
    </row>
    <row r="1166" ht="20.25" customHeight="1">
      <c r="A1166" s="3" t="s">
        <v>5255</v>
      </c>
      <c r="B1166" s="3" t="s">
        <v>5106</v>
      </c>
      <c r="C1166" s="3" t="s">
        <v>4241</v>
      </c>
      <c r="D1166" s="3" t="s">
        <v>71</v>
      </c>
      <c r="E1166" s="4" t="s">
        <v>19</v>
      </c>
      <c r="F1166" s="4" t="s">
        <v>20</v>
      </c>
      <c r="G1166" s="4" t="s">
        <v>5107</v>
      </c>
      <c r="H1166" s="3" t="s">
        <v>5108</v>
      </c>
      <c r="I1166" s="3" t="s">
        <v>5109</v>
      </c>
      <c r="J1166" s="4">
        <v>18.71</v>
      </c>
      <c r="K1166" s="4">
        <v>45.0</v>
      </c>
      <c r="L1166" s="3" t="s">
        <v>5256</v>
      </c>
      <c r="M1166" s="3" t="s">
        <v>5257</v>
      </c>
      <c r="N1166" s="7" t="str">
        <f>IFERROR(__xludf.DUMMYFUNCTION("GOOGLETRANSLATE(L1166, ""en"", ""pt"")"),"Garçons")</f>
        <v>Garçons</v>
      </c>
      <c r="O1166" s="7" t="str">
        <f>IFERROR(__xludf.DUMMYFUNCTION("IF(M1166="""","""",GOOGLETRANSLATE(M1166,""en"",""pt""))"),"Os garçons e garçonetes serão responsáveis ​​por preparar o salão, anotar e registrar os pedidos dos clientes, transportar bandejas, servir comidas e bebidas, e limpar e retirar os pratos das mesas. Horário: 40 horas semanais. A escala de trabalho pode va"&amp;"riar e incluir turnos noturnos, fins de semana e feriados. O trabalho pode ser realizado em qualquer dia da semana, de segunda a domingo. Exemplos de turnos: das 7h às 15h ou das 15h às 23h. Os horários dos turnos podem variar. Consulte a descrição da vag"&amp;"a em anexo para obter mais informações. Classificação da vaga: 35-3031.00 - Garçons e Garçonetes. A classificação e descrição da vaga/setor inclui informações gerais sobre o cargo, de acordo com o ONET/OES e o Sistema de Classificação Industrial da Améric"&amp;"a do Norte (NAICS). Consulte as atribuições e a descrição da vaga para obter mais informações. Requisitos da Vaga Experiência Necessária: Sim Meses de Experiência Necessários: 6 Requisitos Especiais: O Requerente considerará para emprego qualquer pessoa q"&amp;"ue possua pelo menos seis (6) meses de experiência em atendimento em um ambiente de alta gastronomia ou de grande movimento em um restaurante de luxo, resort, hotel ou clube privado. O candidato deverá se submeter à verificação de antecedentes e ao exame "&amp;"toxicológico pré-admissional, às custas do empregador. Número de Horas por Semana: 40 Horário de Trabalho (Início/Término): 7h00 - 15h00")</f>
        <v>Os garçons e garçonetes serão responsáveis ​​por preparar o salão, anotar e registrar os pedidos dos clientes, transportar bandejas, servir comidas e bebidas, e limpar e retirar os pratos das mesas. Horário: 40 horas semanais. A escala de trabalho pode variar e incluir turnos noturnos, fins de semana e feriados. O trabalho pode ser realizado em qualquer dia da semana, de segunda a domingo. Exemplos de turnos: das 7h às 15h ou das 15h às 23h. Os horários dos turnos podem variar. Consulte a descrição da vaga em anexo para obter mais informações. Classificação da vaga: 35-3031.00 - Garçons e Garçonetes. A classificação e descrição da vaga/setor inclui informações gerais sobre o cargo, de acordo com o ONET/OES e o Sistema de Classificação Industrial da América do Norte (NAICS). Consulte as atribuições e a descrição da vaga para obter mais informações. Requisitos da Vaga Experiência Necessária: Sim Meses de Experiência Necessários: 6 Requisitos Especiais: O Requerente considerará para emprego qualquer pessoa que possua pelo menos seis (6) meses de experiência em atendimento em um ambiente de alta gastronomia ou de grande movimento em um restaurante de luxo, resort, hotel ou clube privado. O candidato deverá se submeter à verificação de antecedentes e ao exame toxicológico pré-admissional, às custas do empregador. Número de Horas por Semana: 40 Horário de Trabalho (Início/Término): 7h00 - 15h00</v>
      </c>
    </row>
    <row r="1167" ht="20.25" customHeight="1">
      <c r="A1167" s="8" t="s">
        <v>5258</v>
      </c>
      <c r="B1167" s="8" t="s">
        <v>5106</v>
      </c>
      <c r="C1167" s="8" t="s">
        <v>4241</v>
      </c>
      <c r="D1167" s="8" t="s">
        <v>71</v>
      </c>
      <c r="E1167" s="9" t="s">
        <v>19</v>
      </c>
      <c r="F1167" s="9" t="s">
        <v>20</v>
      </c>
      <c r="G1167" s="9" t="s">
        <v>5107</v>
      </c>
      <c r="H1167" s="8" t="s">
        <v>5108</v>
      </c>
      <c r="I1167" s="8" t="s">
        <v>5109</v>
      </c>
      <c r="J1167" s="9">
        <v>17.0</v>
      </c>
      <c r="K1167" s="9">
        <v>16.0</v>
      </c>
      <c r="L1167" s="8" t="s">
        <v>5259</v>
      </c>
      <c r="M1167" s="8" t="s">
        <v>5260</v>
      </c>
      <c r="N1167" s="7" t="str">
        <f>IFERROR(__xludf.DUMMYFUNCTION("GOOGLETRANSLATE(L1167, ""en"", ""pt"")"),"Atendente de golfe")</f>
        <v>Atendente de golfe</v>
      </c>
      <c r="O1167" s="7" t="str">
        <f>IFERROR(__xludf.DUMMYFUNCTION("IF(M1167="""","""",GOOGLETRANSLATE(M1167,""en"",""pt""))"),"Os atendentes de golfe serão responsáveis ​​por prestar assistência aos sócios, incluindo recepcioná-los e auxiliá-los no check-in, fornecer serviço de bolsas, carrinhos e equipamentos de treino para sócios e convidados, e auxiliar a loja de artigos de go"&amp;"lfe com pedidos de varejo e de sócios. Além disso, os atendentes de golfe auxiliarão os sócios como caddies, apoiando o ritmo de jogo e aprimorando a experiência geral no campo, o que inclui rastrear proativamente as bolas de golfe, fornecer informações b"&amp;"ásicas sobre distâncias e o percurso, auxiliar na manutenção do fluxo adequado de jogo e apoiar a manutenção geral do campo, como rastelar bunkers e reparar marcas de taco. Adicionalmente, ajudarão a garantir um alto nível de serviço, antecipando as neces"&amp;"sidades dos sócios, comunicando-se efetivamente com os jogadores e a equipe de operações de golfe e contribuindo para uma experiência de golfe tranquila, agradável e profissional. Horário: 40 horas por semana. O horário de trabalho pode variar e incluir n"&amp;"oites, fins de semana e feriados. O trabalho pode ser realizado em qualquer dia da semana, de segunda a domingo. Exemplos de turnos: das 7h às 15h ou das 10h às 18h. Os horários dos turnos podem variar. Consulte a descrição de cargo anexa para obter infor"&amp;"mações adicionais. Classificação do Cargo: 39-3091.00 - Atendentes de Diversão e Recreação. A classificação e descrição do cargo/setor incluem informações gerais sobre a posição, de acordo com o ONET/OES e o Sistema de Classificação Industrial da América "&amp;"do Norte (NAICS). Consulte as Funções e a Ordem de Serviço para obter mais informações. Requisitos do Cargo Experiência Necessária: Sim Meses de Experiência Necessários: 3 Requisitos Especiais: O contratante considerará para emprego qualquer pessoa que po"&amp;"ssua pelo menos três (3) meses de experiência em um ambiente de golfe em um resort de alto padrão ou clube privado. O candidato deverá se submeter à verificação de antecedentes e ao exame toxicológico pré-admissional, às custas do empregador. Número de Ho"&amp;"ras por Semana: 40 Horário de Trabalho (Início/Término): 7h00 - 15h00")</f>
        <v>Os atendentes de golfe serão responsáveis ​​por prestar assistência aos sócios, incluindo recepcioná-los e auxiliá-los no check-in, fornecer serviço de bolsas, carrinhos e equipamentos de treino para sócios e convidados, e auxiliar a loja de artigos de golfe com pedidos de varejo e de sócios. Além disso, os atendentes de golfe auxiliarão os sócios como caddies, apoiando o ritmo de jogo e aprimorando a experiência geral no campo, o que inclui rastrear proativamente as bolas de golfe, fornecer informações básicas sobre distâncias e o percurso, auxiliar na manutenção do fluxo adequado de jogo e apoiar a manutenção geral do campo, como rastelar bunkers e reparar marcas de taco. Adicionalmente, ajudarão a garantir um alto nível de serviço, antecipando as necessidades dos sócios, comunicando-se efetivamente com os jogadores e a equipe de operações de golfe e contribuindo para uma experiência de golfe tranquila, agradável e profissional. Horário: 40 horas por semana. O horário de trabalho pode variar e incluir noites, fins de semana e feriados. O trabalho pode ser realizado em qualquer dia da semana, de segunda a domingo. Exemplos de turnos: das 7h às 15h ou das 10h às 18h. Os horários dos turnos podem variar. Consulte a descrição de cargo anexa para obter informações adicionais. Classificação do Cargo: 39-3091.00 - Atendentes de Diversão e Recreação. A classificação e descrição do cargo/setor incluem informações gerais sobre a posição, de acordo com o ONET/OES e o Sistema de Classificação Industrial da América do Norte (NAICS). Consulte as Funções e a Ordem de Serviço para obter mais informações. Requisitos do Cargo Experiência Necessária: Sim Meses de Experiência Necessários: 3 Requisitos Especiais: O contratante considerará para emprego qualquer pessoa que possua pelo menos três (3) meses de experiência em um ambiente de golfe em um resort de alto padrão ou clube privado. O candidato deverá se submeter à verificação de antecedentes e ao exame toxicológico pré-admissional, às custas do empregador. Número de Horas por Semana: 40 Horário de Trabalho (Início/Término): 7h00 - 15h00</v>
      </c>
    </row>
    <row r="1168" ht="20.25" customHeight="1">
      <c r="A1168" s="3" t="s">
        <v>5261</v>
      </c>
      <c r="B1168" s="3" t="s">
        <v>5106</v>
      </c>
      <c r="C1168" s="3" t="s">
        <v>4241</v>
      </c>
      <c r="D1168" s="3" t="s">
        <v>71</v>
      </c>
      <c r="E1168" s="4" t="s">
        <v>19</v>
      </c>
      <c r="F1168" s="4" t="s">
        <v>20</v>
      </c>
      <c r="G1168" s="4" t="s">
        <v>5107</v>
      </c>
      <c r="H1168" s="3" t="s">
        <v>5108</v>
      </c>
      <c r="I1168" s="3" t="s">
        <v>5109</v>
      </c>
      <c r="J1168" s="4">
        <v>27.62</v>
      </c>
      <c r="K1168" s="4">
        <v>1.0</v>
      </c>
      <c r="L1168" s="3" t="s">
        <v>5262</v>
      </c>
      <c r="M1168" s="3" t="s">
        <v>5263</v>
      </c>
      <c r="N1168" s="7" t="str">
        <f>IFERROR(__xludf.DUMMYFUNCTION("GOOGLETRANSLATE(L1168, ""en"", ""pt"")"),"Atendente de Golfe e Supervisor de Loja")</f>
        <v>Atendente de Golfe e Supervisor de Loja</v>
      </c>
      <c r="O1168" s="7" t="str">
        <f>IFERROR(__xludf.DUMMYFUNCTION("IF(M1168="""","""",GOOGLETRANSLATE(M1168,""en"",""pt""))"),"O(A) Atendente de Golfe e Supervisor(a) da Loja será responsável por prestar assistência aos sócios, incluindo recepcioná-los e auxiliá-los no check-in, fornecer serviços de bolsas, carrinhos e uso do driving range para sócios e convidados, e auxiliar a L"&amp;"oja de Artigos de Golfe com solicitações de varejo e de sócios. Pode supervisionar até dez (10) Atendentes de Golfe. Horário: 40 horas semanais. O horário de trabalho pode variar e incluir turnos noturnos, fins de semana e feriados. O trabalho pode ser re"&amp;"alizado em qualquer dia da semana, de segunda a domingo. Exemplos de turnos: das 7h às 15h ou das 9h às 17h. Os horários dos turnos podem variar. Consulte a descrição do cargo em anexo para obter mais informações. Classificação do Cargo: 39-1014.00 - Supe"&amp;"rvisores de Primeira Linha de Trabalhadores de Entretenimento e Recreação, Exceto Serviços de Jogos de Azar. A classificação e descrição do cargo/setor incluem informações gerais sobre a posição, de acordo com o ONET/OES e o Sistema de Classificação Indus"&amp;"trial da América do Norte. Consulte as Funções e a Ordem de Serviço para obter mais informações. Requisitos da vaga Experiência exigida: Sim Meses de experiência exigidos: 6 Requisitos especiais: O contratante considerará para emprego qualquer pessoa que "&amp;"possua pelo menos seis (6) meses de experiência em um ambiente de golfe em um resort de alto padrão ou clube privado. O candidato deverá se submeter à verificação de antecedentes e ao exame toxicológico pré-admissional, às custas do empregador. Número de "&amp;"horas por semana: 40 Horário de trabalho (início/término): 7h às 15h")</f>
        <v>O(A) Atendente de Golfe e Supervisor(a) da Loja será responsável por prestar assistência aos sócios, incluindo recepcioná-los e auxiliá-los no check-in, fornecer serviços de bolsas, carrinhos e uso do driving range para sócios e convidados, e auxiliar a Loja de Artigos de Golfe com solicitações de varejo e de sócios. Pode supervisionar até dez (10) Atendentes de Golfe. Horário: 40 horas semanais. O horário de trabalho pode variar e incluir turnos noturnos, fins de semana e feriados. O trabalho pode ser realizado em qualquer dia da semana, de segunda a domingo. Exemplos de turnos: das 7h às 15h ou das 9h às 17h. Os horários dos turnos podem variar. Consulte a descrição do cargo em anexo para obter mais informações. Classificação do Cargo: 39-1014.00 - Supervisores de Primeira Linha de Trabalhadores de Entretenimento e Recreação, Exceto Serviços de Jogos de Azar. A classificação e descrição do cargo/setor incluem informações gerais sobre a posição, de acordo com o ONET/OES e o Sistema de Classificação Industrial da América do Norte. Consulte as Funções e a Ordem de Serviço para obter mais informações. Requisitos da vaga Experiência exigida: Sim Meses de experiência exigidos: 6 Requisitos especiais: O contratante considerará para emprego qualquer pessoa que possua pelo menos seis (6) meses de experiência em um ambiente de golfe em um resort de alto padrão ou clube privado. O candidato deverá se submeter à verificação de antecedentes e ao exame toxicológico pré-admissional, às custas do empregador. Número de horas por semana: 40 Horário de trabalho (início/término): 7h às 15h</v>
      </c>
    </row>
    <row r="1169" ht="20.25" customHeight="1">
      <c r="A1169" s="8" t="s">
        <v>5264</v>
      </c>
      <c r="B1169" s="8" t="s">
        <v>5265</v>
      </c>
      <c r="C1169" s="8" t="s">
        <v>391</v>
      </c>
      <c r="D1169" s="8" t="s">
        <v>18</v>
      </c>
      <c r="E1169" s="9" t="s">
        <v>44</v>
      </c>
      <c r="F1169" s="9" t="s">
        <v>20</v>
      </c>
      <c r="G1169" s="9" t="s">
        <v>506</v>
      </c>
      <c r="H1169" s="14" t="s">
        <v>5266</v>
      </c>
      <c r="I1169" s="8" t="s">
        <v>5267</v>
      </c>
      <c r="J1169" s="9">
        <v>19.47</v>
      </c>
      <c r="K1169" s="9">
        <v>32.0</v>
      </c>
      <c r="L1169" s="8" t="s">
        <v>59</v>
      </c>
      <c r="M1169" s="8" t="s">
        <v>5268</v>
      </c>
      <c r="N1169" s="7" t="str">
        <f>IFERROR(__xludf.DUMMYFUNCTION("GOOGLETRANSLATE(L1169, ""en"", ""pt"")"),"Trabalhador de paisagismo")</f>
        <v>Trabalhador de paisagismo</v>
      </c>
      <c r="O1169" s="7" t="str">
        <f>IFERROR(__xludf.DUMMYFUNCTION("IF(M1169="""","""",GOOGLETRANSLATE(M1169,""en"",""pt""))"),"Realizar a manutenção paisagística ou de terrenos utilizando ferramentas manuais ou elétricas. Cortar grama, aparar/cortar bordas, plantar, colocar grama em placas, capinar, regar, rastelar, varrer folhas; usar uma pá manual para cavar buracos (até 60 cm "&amp;"de profundidade e 90 cm de largura) para o plantio de plantas, árvores, arbustos ou sistemas de irrigação; espalhar sementes, fertilizantes e cobertura morta; trabalhar no solo para podar ou aparar árvores, arbustos ou sebes utilizando tesouras de poda, p"&amp;"odadores ou motosserras; aerar o solo; instalar/reparar sprinklers, instalar blocos de concreto pré-moldado sem argamassa. Manter os equipamentos em bom funcionamento. Poderá dirigir um caminhão da empresa ou outro veículo para transportar plantas, materi"&amp;"ais e ferramentas de/para ou nos locais de trabalho. Não é necessário possuir carteira de habilitação; no entanto, os funcionários que possuírem carteira de habilitação válida poderão ser designados para dirigir uma caminhonete da empresa ou outro veículo"&amp;" não comercial. Não é necessária carteira de habilitação comercial (CDL) e os funcionários não serão obrigados a operar um veículo comercial motorizado (CMV). O empregador oferecerá 40 horas de trabalho por semana. O horário normal é de segunda a sábado, "&amp;"das 8h às 17h. O turno inclui 1 hora de intervalo não remunerado. Pode ser necessário trabalhar aos sábados. Os dias, horários e turnos de trabalho podem variar dependendo das condições climáticas. O empregador poderá aumentar o salário com base na experi"&amp;"ência, nas mudanças nas condições de mercado e/ou oferecer remuneração adicional por desempenho e tempo de serviço. Horas extras podem estar disponíveis. Um adicional de horas extras será pago quando exigido por lei federal, estadual ou local, incluindo h"&amp;"ora e meia após 40 horas em uma semana de trabalho. Geralmente, quando houver horas extras disponíveis, elas serão pagas a US$ 29,21 por hora. O empregador fornecerá transporte diário da residência do funcionário até o local de trabalho principal em Smyrn"&amp;"a, TN, e entre todos os locais de trabalho. Classificação do cargo: 37-3011.00 - Trabalhadores de Paisagismo e Manutenção de Jardins. A classificação e descrição do cargo/setor inclui informações gerais sobre a posição, de acordo com o ONET/OES e o Sistem"&amp;"a de Classificação Industrial da América do Norte (NAICS). Consulte a Descrição das Funções e a Ordem de Serviço para obter mais informações. Requisitos da Vaga Experiência Necessária: Não Requisitos Especiais: Capacidade de levantar 23 kg. Capacidade de "&amp;"trabalhar em condições climáticas adversas. Exame toxicológico pós-admissional obrigatório, com custo pago pelo empregador e aplicado igualmente a todos os funcionários, americanos e estrangeiros/H-2B. Funcionários estão sujeitos a exame toxicológico pós-"&amp;"acidente/lesão, com custo pago pelo empregador e aplicado igualmente a todos os funcionários, americanos e estrangeiros/H-2B. O candidato deve preencher uma ficha de emprego. Uniforme obrigatório fornecido sem custo para o empregador. Número de Horas por "&amp;"Semana: 40 Horário de Trabalho (Início/Término): 8h às 17h")</f>
        <v>Realizar a manutenção paisagística ou de terrenos utilizando ferramentas manuais ou elétricas. Cortar grama, aparar/cortar bordas, plantar, colocar grama em placas, capinar, regar, rastelar, varrer folhas; usar uma pá manual para cavar buracos (até 60 cm de profundidade e 90 cm de largura) para o plantio de plantas, árvores, arbustos ou sistemas de irrigação; espalhar sementes, fertilizantes e cobertura morta; trabalhar no solo para podar ou aparar árvores, arbustos ou sebes utilizando tesouras de poda, podadores ou motosserras; aerar o solo; instalar/reparar sprinklers, instalar blocos de concreto pré-moldado sem argamassa. Manter os equipamentos em bom funcionamento. Poderá dirigir um caminhão da empresa ou outro veículo para transportar plantas, materiais e ferramentas de/para ou nos locais de trabalho. Não é necessário possuir carteira de habilitação; no entanto, os funcionários que possuírem carteira de habilitação válida poderão ser designados para dirigir uma caminhonete da empresa ou outro veículo não comercial. Não é necessária carteira de habilitação comercial (CDL) e os funcionários não serão obrigados a operar um veículo comercial motorizado (CMV). O empregador oferecerá 40 horas de trabalho por semana. O horário normal é de segunda a sábado, das 8h às 17h. O turno inclui 1 hora de intervalo não remunerado. Pode ser necessário trabalhar aos sábados. Os dias, horários e turnos de trabalho podem variar dependendo das condições climáticas. O empregador poderá aumentar o salário com base na experiência, nas mudanças nas condições de mercado e/ou oferecer remuneração adicional por desempenho e tempo de serviço. Horas extras podem estar disponíveis. Um adicional de horas extras será pago quando exigido por lei federal, estadual ou local, incluindo hora e meia após 40 horas em uma semana de trabalho. Geralmente, quando houver horas extras disponíveis, elas serão pagas a US$ 29,21 por hora. O empregador fornecerá transporte diário da residência do funcionário até o local de trabalho principal em Smyrna, TN, e entre todos os locais de trabalho. Classificação do cargo: 37-3011.00 - Trabalhadores de Paisagismo e Manutenção de Jardins. A classificação e descrição do cargo/setor inclui informações gerais sobre a posição, de acordo com o ONET/OES e o Sistema de Classificação Industrial da América do Norte (NAICS). Consulte a Descrição das Funções e a Ordem de Serviço para obter mais informações. Requisitos da Vaga Experiência Necessária: Não Requisitos Especiais: Capacidade de levantar 23 kg. Capacidade de trabalhar em condições climáticas adversas. Exame toxicológico pós-admissional obrigatório, com custo pago pelo empregador e aplicado igualmente a todos os funcionários, americanos e estrangeiros/H-2B. Funcionários estão sujeitos a exame toxicológico pós-acidente/lesão, com custo pago pelo empregador e aplicado igualmente a todos os funcionários, americanos e estrangeiros/H-2B. O candidato deve preencher uma ficha de emprego. Uniforme obrigatório fornecido sem custo para o empregador. Número de Horas por Semana: 40 Horário de Trabalho (Início/Término): 8h às 17h</v>
      </c>
    </row>
    <row r="1170" ht="20.25" customHeight="1">
      <c r="A1170" s="3" t="s">
        <v>5269</v>
      </c>
      <c r="B1170" s="3" t="s">
        <v>5270</v>
      </c>
      <c r="C1170" s="3" t="s">
        <v>4241</v>
      </c>
      <c r="D1170" s="3" t="s">
        <v>71</v>
      </c>
      <c r="E1170" s="4" t="s">
        <v>19</v>
      </c>
      <c r="F1170" s="4" t="s">
        <v>20</v>
      </c>
      <c r="G1170" s="4" t="s">
        <v>80</v>
      </c>
      <c r="H1170" s="3" t="s">
        <v>5271</v>
      </c>
      <c r="I1170" s="3" t="s">
        <v>5272</v>
      </c>
      <c r="J1170" s="4">
        <v>18.44</v>
      </c>
      <c r="K1170" s="4">
        <v>11.0</v>
      </c>
      <c r="L1170" s="3" t="s">
        <v>5273</v>
      </c>
      <c r="M1170" s="3" t="s">
        <v>5274</v>
      </c>
      <c r="N1170" s="7" t="str">
        <f>IFERROR(__xludf.DUMMYFUNCTION("GOOGLETRANSLATE(L1170, ""en"", ""pt"")"),"Agente de Atendimento ao Cliente")</f>
        <v>Agente de Atendimento ao Cliente</v>
      </c>
      <c r="O1170" s="7" t="str">
        <f>IFERROR(__xludf.DUMMYFUNCTION("IF(M1170="""","""",GOOGLETRANSLATE(M1170,""en"",""pt""))"),"Os Agentes de Atendimento ao Hóspede serão responsáveis ​​por recepcionar, registrar e alocar quartos aos hóspedes, atender o telefone e direcionar as ligações adequadamente, processar chegadas e check-outs, garantir o registro e a entrega de encomendas, "&amp;"correspondências e mensagens aos hóspedes e salas de reunião, registrar solicitações dos hóspedes, comunicar-se com outros departamentos via rádio para transmitir solicitações dos hóspedes e coordenar a limpeza e a manutenção dos quartos, lidar com transa"&amp;"ções em dinheiro e cartão de crédito, manter e verificar registros de quartos ocupados e contas dos hóspedes, comunicar tarifas, pacotes, promoções especiais e programas para hóspedes, e avisar a equipe de limpeza quando os quartos forem desocupados e est"&amp;"iverem prontos para a limpeza. Além disso, os Agentes de Atendimento ao Hóspede serão responsáveis ​​por responder às perguntas dos hóspedes referentes aos serviços, instalações e horários de funcionamento do hotel, bem como fornecer informações sobre res"&amp;"taurantes, transporte, entretenimento e outras comodidades locais, inclusive por meio de mensagens de texto. Pode ser necessário levantar e carregar até 9 kg. Horário: 40 horas semanais. O horário de trabalho pode variar e incluir noites, fins de semana e"&amp;" feriados. O trabalho pode ser realizado em qualquer dia da semana, de segunda a domingo. Exemplos de turnos: 7h às 15h, 9h às 17h, 11h às 19h ou 15h às 23h. Os horários dos turnos podem variar. Consulte a descrição da vaga para obter mais informações. Cl"&amp;"assificação da vaga: 39-6012.00 - Concierges. A classificação e a descrição da vaga/setor incluem informações gerais sobre o cargo, de acordo com o ONET/OES e o Sistema de Classificação Industrial da América do Norte (NAICS). Consulte as atribuições e a o"&amp;"rdem de serviço para obter mais informações. Requisitos da vaga: Experiência exigida: Sim. Meses de experiência exigidos: 3. Requisitos especiais: O contratante considerará para emprego qualquer candidato que possua pelo menos três (3) meses de experiênci"&amp;"a em atendimento ao cliente em um hotel de alto padrão, resort ou clube privado. Número de horas por semana: 40. Horário de trabalho (início/término): 7h às 15h.")</f>
        <v>Os Agentes de Atendimento ao Hóspede serão responsáveis ​​por recepcionar, registrar e alocar quartos aos hóspedes, atender o telefone e direcionar as ligações adequadamente, processar chegadas e check-outs, garantir o registro e a entrega de encomendas, correspondências e mensagens aos hóspedes e salas de reunião, registrar solicitações dos hóspedes, comunicar-se com outros departamentos via rádio para transmitir solicitações dos hóspedes e coordenar a limpeza e a manutenção dos quartos, lidar com transações em dinheiro e cartão de crédito, manter e verificar registros de quartos ocupados e contas dos hóspedes, comunicar tarifas, pacotes, promoções especiais e programas para hóspedes, e avisar a equipe de limpeza quando os quartos forem desocupados e estiverem prontos para a limpeza. Além disso, os Agentes de Atendimento ao Hóspede serão responsáveis ​​por responder às perguntas dos hóspedes referentes aos serviços, instalações e horários de funcionamento do hotel, bem como fornecer informações sobre restaurantes, transporte, entretenimento e outras comodidades locais, inclusive por meio de mensagens de texto. Pode ser necessário levantar e carregar até 9 kg. Horário: 40 horas semanais. O horário de trabalho pode variar e incluir noites, fins de semana e feriados. O trabalho pode ser realizado em qualquer dia da semana, de segunda a domingo. Exemplos de turnos: 7h às 15h, 9h às 17h, 11h às 19h ou 15h às 23h. Os horários dos turnos podem variar. Consulte a descrição da vaga para obter mais informações. Classificação da vaga: 39-6012.00 - Concierges. A classificação e a descrição da vaga/setor incluem informações gerais sobre o cargo, de acordo com o ONET/OES e o Sistema de Classificação Industrial da América do Norte (NAICS). Consulte as atribuições e a ordem de serviço para obter mais informações. Requisitos da vaga: Experiência exigida: Sim. Meses de experiência exigidos: 3. Requisitos especiais: O contratante considerará para emprego qualquer candidato que possua pelo menos três (3) meses de experiência em atendimento ao cliente em um hotel de alto padrão, resort ou clube privado. Número de horas por semana: 40. Horário de trabalho (início/término): 7h às 15h.</v>
      </c>
    </row>
    <row r="1171" ht="20.25" customHeight="1">
      <c r="A1171" s="8" t="s">
        <v>5275</v>
      </c>
      <c r="B1171" s="8" t="s">
        <v>5270</v>
      </c>
      <c r="C1171" s="8" t="s">
        <v>4241</v>
      </c>
      <c r="D1171" s="8" t="s">
        <v>71</v>
      </c>
      <c r="E1171" s="9" t="s">
        <v>44</v>
      </c>
      <c r="F1171" s="9" t="s">
        <v>20</v>
      </c>
      <c r="G1171" s="9" t="s">
        <v>80</v>
      </c>
      <c r="H1171" s="8" t="s">
        <v>5271</v>
      </c>
      <c r="I1171" s="8" t="s">
        <v>5272</v>
      </c>
      <c r="J1171" s="9">
        <v>20.0</v>
      </c>
      <c r="K1171" s="9">
        <v>11.0</v>
      </c>
      <c r="L1171" s="8" t="s">
        <v>387</v>
      </c>
      <c r="M1171" s="8" t="s">
        <v>5276</v>
      </c>
      <c r="N1171" s="7" t="str">
        <f>IFERROR(__xludf.DUMMYFUNCTION("GOOGLETRANSLATE(L1171, ""en"", ""pt"")"),"Ordem de serviço não disponível")</f>
        <v>Ordem de serviço não disponível</v>
      </c>
      <c r="O1171" s="7" t="str">
        <f>IFERROR(__xludf.DUMMYFUNCTION("IF(M1171="""","""",GOOGLETRANSLATE(M1171,""en"",""pt""))"),"Os cozinheiros serão responsáveis ​​por preparar, temperar e cozinhar sopas, carnes, legumes, sobremesas e outros pratos em um restaurante. Horário: 40 horas semanais. O horário de trabalho pode variar e incluir turnos noturnos, fins de semana e feriados."&amp;" O trabalho pode ser realizado em qualquer dia da semana, de segunda a domingo. Exemplos de turnos: 6h às 14h, 7h às 15h ou 14h às 22h. Os horários dos turnos podem variar. Consulte a descrição da vaga para obter mais informações. Classificação da vaga: 3"&amp;"5-2014.00 - Cozinheiros, Restaurante. A classificação e a descrição da vaga/setor incluem informações gerais sobre o cargo, de acordo com o ONET/OES e o Sistema de Classificação Industrial da América do Norte (NAICS). Consulte as atribuições e a descrição"&amp;" da vaga para obter mais informações. Requisitos da vaga Experiência necessária: Sim Meses de experiência necessários: 6 Requisitos especiais: O contratante considerará para emprego qualquer candidato que possua pelo menos seis (6) meses de experiência cu"&amp;"linária em um ambiente de alta gastronomia ou de grande movimento em um restaurante sofisticado, resort ou clube privado. Número de horas por semana: 40 Horário de trabalho (início/término): 6h às 14h")</f>
        <v>Os cozinheiros serão responsáveis ​​por preparar, temperar e cozinhar sopas, carnes, legumes, sobremesas e outros pratos em um restaurante. Horário: 40 horas semanais. O horário de trabalho pode variar e incluir turnos noturnos, fins de semana e feriados. O trabalho pode ser realizado em qualquer dia da semana, de segunda a domingo. Exemplos de turnos: 6h às 14h, 7h às 15h ou 14h às 22h. Os horários dos turnos podem variar. Consulte a descrição da vaga para obter mais informações. Classificação da vaga: 35-2014.00 - Cozinheiros, Restaurante. A classificação e a descrição da vaga/setor incluem informações gerais sobre o cargo, de acordo com o ONET/OES e o Sistema de Classificação Industrial da América do Norte (NAICS). Consulte as atribuições e a descrição da vaga para obter mais informações. Requisitos da vaga Experiência necessária: Sim Meses de experiência necessários: 6 Requisitos especiais: O contratante considerará para emprego qualquer candidato que possua pelo menos seis (6) meses de experiência culinária em um ambiente de alta gastronomia ou de grande movimento em um restaurante sofisticado, resort ou clube privado. Número de horas por semana: 40 Horário de trabalho (início/término): 6h às 14h</v>
      </c>
    </row>
    <row r="1172" ht="20.25" customHeight="1">
      <c r="A1172" s="3" t="s">
        <v>5277</v>
      </c>
      <c r="B1172" s="3" t="s">
        <v>5270</v>
      </c>
      <c r="C1172" s="3" t="s">
        <v>4241</v>
      </c>
      <c r="D1172" s="3" t="s">
        <v>71</v>
      </c>
      <c r="E1172" s="4" t="s">
        <v>44</v>
      </c>
      <c r="F1172" s="4" t="s">
        <v>20</v>
      </c>
      <c r="G1172" s="4" t="s">
        <v>80</v>
      </c>
      <c r="H1172" s="3" t="s">
        <v>5271</v>
      </c>
      <c r="I1172" s="3" t="s">
        <v>5272</v>
      </c>
      <c r="J1172" s="4">
        <v>18.0</v>
      </c>
      <c r="K1172" s="4">
        <v>16.0</v>
      </c>
      <c r="L1172" s="3" t="s">
        <v>4724</v>
      </c>
      <c r="M1172" s="3" t="s">
        <v>5278</v>
      </c>
      <c r="N1172" s="7" t="str">
        <f>IFERROR(__xludf.DUMMYFUNCTION("GOOGLETRANSLATE(L1172, ""en"", ""pt"")"),"Camareira")</f>
        <v>Camareira</v>
      </c>
      <c r="O1172" s="7" t="str">
        <f>IFERROR(__xludf.DUMMYFUNCTION("IF(M1172="""","""",GOOGLETRANSLATE(M1172,""en"",""pt""))"),"Os camareiros serão responsáveis ​​pela limpeza e manutenção de todos os quartos, suítes e áreas comuns internas das propriedades da Highgate Hotels, incluindo aspirar o chão, tirar o pó, repor roupas de cama e toalhas, desinfetar banheiros e limpar janel"&amp;"as internas com pano e spray de limpeza. Horário: 40 horas semanais. A escala de trabalho pode variar e incluir turnos noturnos, fins de semana e feriados. O trabalho pode ser realizado em qualquer dia da semana, de segunda a domingo. Exemplos de turnos: "&amp;"6h às 14h, 7h às 15h ou 14h às 22h. Os horários dos turnos podem variar. Consulte a descrição da vaga para obter mais informações. Classificação da vaga: 37-2012.00 - Camareiros e Auxiliares de Limpeza. A classificação e descrição da vaga/setor incluem in"&amp;"formações gerais sobre o cargo, de acordo com o ONET/OES e o Sistema de Classificação Industrial da América do Norte (NAICS). Consulte as Funções e a Ordem de Serviço para obter mais informações. Requisitos da vaga Experiência exigida: Sim Meses de experi"&amp;"ência exigidos: 3 Requisitos especiais: O contratante considerará para emprego qualquer candidato que possua pelo menos três (3) meses de experiência em um hotel de luxo, resort ou clube privado. Número de horas por semana: 40 Horário de trabalho (início/"&amp;"término): 6h00 - 14h00")</f>
        <v>Os camareiros serão responsáveis ​​pela limpeza e manutenção de todos os quartos, suítes e áreas comuns internas das propriedades da Highgate Hotels, incluindo aspirar o chão, tirar o pó, repor roupas de cama e toalhas, desinfetar banheiros e limpar janelas internas com pano e spray de limpeza. Horário: 40 horas semanais. A escala de trabalho pode variar e incluir turnos noturnos, fins de semana e feriados. O trabalho pode ser realizado em qualquer dia da semana, de segunda a domingo. Exemplos de turnos: 6h às 14h, 7h às 15h ou 14h às 22h. Os horários dos turnos podem variar. Consulte a descrição da vaga para obter mais informações. Classificação da vaga: 37-2012.00 - Camareiros e Auxiliares de Limpeza. A classificação e descrição da vaga/setor incluem informações gerais sobre o cargo, de acordo com o ONET/OES e o Sistema de Classificação Industrial da América do Norte (NAICS). Consulte as Funções e a Ordem de Serviço para obter mais informações. Requisitos da vaga Experiência exigida: Sim Meses de experiência exigidos: 3 Requisitos especiais: O contratante considerará para emprego qualquer candidato que possua pelo menos três (3) meses de experiência em um hotel de luxo, resort ou clube privado. Número de horas por semana: 40 Horário de trabalho (início/término): 6h00 - 14h00</v>
      </c>
    </row>
    <row r="1173" ht="20.25" customHeight="1">
      <c r="A1173" s="8" t="s">
        <v>5279</v>
      </c>
      <c r="B1173" s="8" t="s">
        <v>5280</v>
      </c>
      <c r="C1173" s="8" t="s">
        <v>4241</v>
      </c>
      <c r="D1173" s="8" t="s">
        <v>71</v>
      </c>
      <c r="E1173" s="9" t="s">
        <v>19</v>
      </c>
      <c r="F1173" s="9" t="s">
        <v>20</v>
      </c>
      <c r="G1173" s="9" t="s">
        <v>80</v>
      </c>
      <c r="H1173" s="8" t="s">
        <v>5281</v>
      </c>
      <c r="I1173" s="8" t="s">
        <v>5282</v>
      </c>
      <c r="J1173" s="9">
        <v>17.5</v>
      </c>
      <c r="K1173" s="9">
        <v>3.0</v>
      </c>
      <c r="L1173" s="8" t="s">
        <v>5085</v>
      </c>
      <c r="M1173" s="8" t="s">
        <v>5283</v>
      </c>
      <c r="N1173" s="7" t="str">
        <f>IFERROR(__xludf.DUMMYFUNCTION("GOOGLETRANSLATE(L1173, ""en"", ""pt"")"),"Agente de Recepção")</f>
        <v>Agente de Recepção</v>
      </c>
      <c r="O1173" s="7" t="str">
        <f>IFERROR(__xludf.DUMMYFUNCTION("IF(M1173="""","""",GOOGLETRANSLATE(M1173,""en"",""pt""))"),"Os agentes de recepção serão responsáveis ​​por realizar o check-in e o check-out dos hóspedes do resort, operar o telefone de maneira educada e amigável, seguindo a etiqueta telefônica adequada, recepcionar membros e hóspedes, fazer reservas, auxiliar no"&amp;" transporte de bagagens para os quartos e vice-versa, distribuir informações e horários do resort, auxiliar em todas as solicitações dos hóspedes e coletar e separar a correspondência diariamente. Horário: 35 horas semanais. O horário de trabalho pode var"&amp;"iar e incluir turnos noturnos, fins de semana e feriados. O trabalho pode ser realizado em qualquer dia da semana, de segunda a domingo. Exemplos de turnos: das 8h às 15h, das 15h às 22h ou das 12h às 7h. Os horários dos turnos podem variar. Consulte a de"&amp;"scrição do cargo em anexo para obter mais informações. Classificação do Cargo: 43-4081.00 - Recepcionistas de Hotel, Motel e Resort. A classificação e a descrição do cargo/setor incluem informações gerais sobre a posição, de acordo com o ONET/OES e o Sist"&amp;"ema de Classificação Industrial da América do Norte. Consulte as Funções e a Ordem de Serviço para obter mais informações. Requisitos da vaga Experiência exigida: Sim Meses de experiência exigidos: 12 Requisitos especiais: O contratante considerará para e"&amp;"mprego qualquer pessoa que possua pelo menos doze (12) meses de experiência em um hotel de alto padrão, resort ou clube privado. O candidato deverá se submeter a uma verificação de antecedentes pré-emprego, custeada pelo empregador. Número de horas por se"&amp;"mana: 35 Horário de trabalho (início/término): 8h às 15h")</f>
        <v>Os agentes de recepção serão responsáveis ​​por realizar o check-in e o check-out dos hóspedes do resort, operar o telefone de maneira educada e amigável, seguindo a etiqueta telefônica adequada, recepcionar membros e hóspedes, fazer reservas, auxiliar no transporte de bagagens para os quartos e vice-versa, distribuir informações e horários do resort, auxiliar em todas as solicitações dos hóspedes e coletar e separar a correspondência diariamente. Horário: 35 horas semanais. O horário de trabalho pode variar e incluir turnos noturnos, fins de semana e feriados. O trabalho pode ser realizado em qualquer dia da semana, de segunda a domingo. Exemplos de turnos: das 8h às 15h, das 15h às 22h ou das 12h às 7h. Os horários dos turnos podem variar. Consulte a descrição do cargo em anexo para obter mais informações. Classificação do Cargo: 43-4081.00 - Recepcionistas de Hotel, Motel e Resort. A classificação e a descrição do cargo/setor incluem informações gerais sobre a posição, de acordo com o ONET/OES e o Sistema de Classificação Industrial da América do Norte. Consulte as Funções e a Ordem de Serviço para obter mais informações. Requisitos da vaga Experiência exigida: Sim Meses de experiência exigidos: 12 Requisitos especiais: O contratante considerará para emprego qualquer pessoa que possua pelo menos doze (12) meses de experiência em um hotel de alto padrão, resort ou clube privado. O candidato deverá se submeter a uma verificação de antecedentes pré-emprego, custeada pelo empregador. Número de horas por semana: 35 Horário de trabalho (início/término): 8h às 15h</v>
      </c>
    </row>
    <row r="1174" ht="20.25" customHeight="1">
      <c r="A1174" s="3" t="s">
        <v>5284</v>
      </c>
      <c r="B1174" s="3" t="s">
        <v>5280</v>
      </c>
      <c r="C1174" s="3" t="s">
        <v>4241</v>
      </c>
      <c r="D1174" s="3" t="s">
        <v>71</v>
      </c>
      <c r="E1174" s="4" t="s">
        <v>19</v>
      </c>
      <c r="F1174" s="4" t="s">
        <v>20</v>
      </c>
      <c r="G1174" s="4" t="s">
        <v>80</v>
      </c>
      <c r="H1174" s="3" t="s">
        <v>5285</v>
      </c>
      <c r="I1174" s="3" t="s">
        <v>5282</v>
      </c>
      <c r="J1174" s="4">
        <v>16.35</v>
      </c>
      <c r="K1174" s="4">
        <v>1.0</v>
      </c>
      <c r="L1174" s="3" t="s">
        <v>5286</v>
      </c>
      <c r="M1174" s="3" t="s">
        <v>5287</v>
      </c>
      <c r="N1174" s="7" t="str">
        <f>IFERROR(__xludf.DUMMYFUNCTION("GOOGLETRANSLATE(L1174, ""en"", ""pt"")"),"Garçom")</f>
        <v>Garçom</v>
      </c>
      <c r="O1174" s="7" t="str">
        <f>IFERROR(__xludf.DUMMYFUNCTION("IF(M1174="""","""",GOOGLETRANSLATE(M1174,""en"",""pt""))"),"O Auxiliar de Garçom será responsável por arrumar as mesas, limpá-las e retirá-las, servir água e café aos clientes, servir comida quando os garçons precisarem de ajuda e auxiliar na montagem de banquetes (incluindo a organização de mesas, cadeiras e esta"&amp;"ções de buffet de acordo com a planta do salão). Horário: 35 horas semanais. A escala de trabalho pode variar e incluir turnos noturnos, fins de semana e feriados. O trabalho pode ser realizado em qualquer dia da semana, de segunda a domingo. Exemplos de "&amp;"turnos: das 8h às 15h ou das 15h às 22h. Os horários dos turnos podem variar. Consulte a descrição de cargo anexa para obter mais informações. Classificação do Cargo: 35-9011.00 - Atendentes de Salão e Cafeteria e Auxiliares de Bar. A classificação e desc"&amp;"rição do cargo/setor incluem informações gerais sobre a posição, de acordo com o ONET/OES e o Sistema de Classificação Industrial da América do Norte. Consulte as Funções e a Ordem de Serviço para obter mais informações. Requisitos da vaga Experiência nec"&amp;"essária: Sim Meses de experiência necessários: 6 Requisitos especiais: O contratante considerará para emprego qualquer pessoa que possua pelo menos seis (6) meses de experiência em um ambiente de alta gastronomia ou de grande movimento em um restaurante s"&amp;"ofisticado, resort ou clube privado. O candidato deverá se submeter a uma verificação de antecedentes pré-emprego, às custas do empregador. Número de horas por semana: 35 Horário de trabalho (início/término): 8h às 15h")</f>
        <v>O Auxiliar de Garçom será responsável por arrumar as mesas, limpá-las e retirá-las, servir água e café aos clientes, servir comida quando os garçons precisarem de ajuda e auxiliar na montagem de banquetes (incluindo a organização de mesas, cadeiras e estações de buffet de acordo com a planta do salão). Horário: 35 horas semanais. A escala de trabalho pode variar e incluir turnos noturnos, fins de semana e feriados. O trabalho pode ser realizado em qualquer dia da semana, de segunda a domingo. Exemplos de turnos: das 8h às 15h ou das 15h às 22h. Os horários dos turnos podem variar. Consulte a descrição de cargo anexa para obter mais informações. Classificação do Cargo: 35-9011.00 - Atendentes de Salão e Cafeteria e Auxiliares de Bar. A classificação e descrição do cargo/setor incluem informações gerais sobre a posição, de acordo com o ONET/OES e o Sistema de Classificação Industrial da América do Norte. Consulte as Funções e a Ordem de Serviço para obter mais informações. Requisitos da vaga Experiência necessária: Sim Meses de experiência necessários: 6 Requisitos especiais: O contratante considerará para emprego qualquer pessoa que possua pelo menos seis (6) meses de experiência em um ambiente de alta gastronomia ou de grande movimento em um restaurante sofisticado, resort ou clube privado. O candidato deverá se submeter a uma verificação de antecedentes pré-emprego, às custas do empregador. Número de horas por semana: 35 Horário de trabalho (início/término): 8h às 15h</v>
      </c>
    </row>
    <row r="1175" ht="20.25" customHeight="1">
      <c r="A1175" s="8" t="s">
        <v>5288</v>
      </c>
      <c r="B1175" s="8" t="s">
        <v>5289</v>
      </c>
      <c r="C1175" s="8" t="s">
        <v>4241</v>
      </c>
      <c r="D1175" s="8" t="s">
        <v>2222</v>
      </c>
      <c r="E1175" s="9" t="s">
        <v>19</v>
      </c>
      <c r="F1175" s="9" t="s">
        <v>20</v>
      </c>
      <c r="G1175" s="9" t="s">
        <v>377</v>
      </c>
      <c r="H1175" s="8" t="s">
        <v>5290</v>
      </c>
      <c r="I1175" s="8" t="s">
        <v>5291</v>
      </c>
      <c r="J1175" s="9">
        <v>27.21</v>
      </c>
      <c r="K1175" s="9">
        <v>12.0</v>
      </c>
      <c r="L1175" s="8" t="s">
        <v>5103</v>
      </c>
      <c r="M1175" s="8" t="s">
        <v>5292</v>
      </c>
      <c r="N1175" s="7" t="str">
        <f>IFERROR(__xludf.DUMMYFUNCTION("GOOGLETRANSLATE(L1175, ""en"", ""pt"")"),"Atendente de quarto de hóspedes")</f>
        <v>Atendente de quarto de hóspedes</v>
      </c>
      <c r="O1175" s="7" t="str">
        <f>IFERROR(__xludf.DUMMYFUNCTION("IF(M1175="""","""",GOOGLETRANSLATE(M1175,""en"",""pt""))"),"Os camareiros serão responsáveis ​​pela limpeza e manutenção de todos os quartos, suítes e áreas comuns internas da propriedade do empregador, incluindo aspirar pisos, tirar o pó, repor roupas de cama e toalhas, desinfetar banheiros e lavar janelas. É nec"&amp;"essário ser capaz de levantar pelo menos 14 kg. Horário: 35 horas semanais. O horário de trabalho pode variar e incluir turnos noturnos, fins de semana e feriados. O trabalho pode ser realizado em qualquer dia da semana, de segunda a domingo. Exemplos de "&amp;"turnos: 7h às 14h, 8h às 15h ou 9h às 16h. Os horários dos turnos podem variar. Consulte a descrição do cargo em anexo para obter mais informações. Classificação do Cargo: 37-2012.00 - Camareiros e Auxiliares de Limpeza. A classificação e descrição do car"&amp;"go/setor incluem informações gerais sobre a posição, de acordo com o ONET/OES e o Sistema de Classificação Industrial da América do Norte. Consulte as Funções e a Ordem de Serviço para obter mais informações. Requisitos da vaga Experiência exigida: Sim Me"&amp;"ses de experiência exigidos: 3 Requisitos especiais: O contratante considerará para emprego qualquer pessoa que possua pelo menos três (3) meses de experiência em um hotel de luxo, resort ou clube privado. O candidato deverá se submeter a uma verificação "&amp;"de antecedentes pré-emprego, às custas do empregador. Número de horas por semana: 35 Horário de trabalho (início/término): 7h às 14h")</f>
        <v>Os camareiros serão responsáveis ​​pela limpeza e manutenção de todos os quartos, suítes e áreas comuns internas da propriedade do empregador, incluindo aspirar pisos, tirar o pó, repor roupas de cama e toalhas, desinfetar banheiros e lavar janelas. É necessário ser capaz de levantar pelo menos 14 kg. Horário: 35 horas semanais. O horário de trabalho pode variar e incluir turnos noturnos, fins de semana e feriados. O trabalho pode ser realizado em qualquer dia da semana, de segunda a domingo. Exemplos de turnos: 7h às 14h, 8h às 15h ou 9h às 16h. Os horários dos turnos podem variar. Consulte a descrição do cargo em anexo para obter mais informações. Classificação do Cargo: 37-2012.00 - Camareiros e Auxiliares de Limpeza. A classificação e descrição do cargo/setor incluem informações gerais sobre a posição, de acordo com o ONET/OES e o Sistema de Classificação Industrial da América do Norte. Consulte as Funções e a Ordem de Serviço para obter mais informações. Requisitos da vaga Experiência exigida: Sim Meses de experiência exigidos: 3 Requisitos especiais: O contratante considerará para emprego qualquer pessoa que possua pelo menos três (3) meses de experiência em um hotel de luxo, resort ou clube privado. O candidato deverá se submeter a uma verificação de antecedentes pré-emprego, às custas do empregador. Número de horas por semana: 35 Horário de trabalho (início/término): 7h às 14h</v>
      </c>
    </row>
    <row r="1176" ht="20.25" customHeight="1">
      <c r="A1176" s="3" t="s">
        <v>5293</v>
      </c>
      <c r="B1176" s="3" t="s">
        <v>5294</v>
      </c>
      <c r="C1176" s="3" t="s">
        <v>4241</v>
      </c>
      <c r="D1176" s="3" t="s">
        <v>102</v>
      </c>
      <c r="E1176" s="4" t="s">
        <v>19</v>
      </c>
      <c r="F1176" s="4" t="s">
        <v>20</v>
      </c>
      <c r="G1176" s="4" t="s">
        <v>524</v>
      </c>
      <c r="H1176" s="3" t="s">
        <v>5295</v>
      </c>
      <c r="I1176" s="3" t="s">
        <v>5296</v>
      </c>
      <c r="J1176" s="4">
        <v>20.09</v>
      </c>
      <c r="K1176" s="4">
        <v>1.0</v>
      </c>
      <c r="L1176" s="3" t="s">
        <v>5297</v>
      </c>
      <c r="M1176" s="3" t="s">
        <v>5298</v>
      </c>
      <c r="N1176" s="7" t="str">
        <f>IFERROR(__xludf.DUMMYFUNCTION("GOOGLETRANSLATE(L1176, ""en"", ""pt"")"),"Técnico de Manutenção II")</f>
        <v>Técnico de Manutenção II</v>
      </c>
      <c r="O1176" s="7" t="str">
        <f>IFERROR(__xludf.DUMMYFUNCTION("IF(M1176="""","""",GOOGLETRANSLATE(M1176,""en"",""pt""))"),"O Técnico de Manutenção II será responsável por realizar todos os reparos e a manutenção das instalações do hotel, incluindo todas as áreas públicas, áreas externas do edifício, quartos e corredores, com base em ordens de serviço, solicitações de hóspedes"&amp;"/supervisores ou inspeções de rotina. O Técnico de Manutenção II também será responsável por documentar o trabalho realizado em fichas de inspeção de quartos e ordens de serviço, manter registros e livros de ocorrências, realizar o checklist de turno do e"&amp;"ngenheiro para avaliar a funcionalidade e a segurança dos sistemas e máquinas do edifício, incluindo fiação, componentes elétricos ou eletrônicos, sistemas de tubulação, encanamento e equipamentos, manter as oficinas e áreas de armazenamento limpas e orga"&amp;"nizadas, incluindo auxiliar no pedido e na manutenção do estoque de ferramentas, peças e materiais necessários, e seguir os protocolos de segurança, relatando ocorrências incomuns ou riscos à segurança, compreendendo e praticando os procedimentos de emerg"&amp;"ência contra incêndio do hotel e concluindo as certificações de segurança e os treinamentos de segurança e emergência do departamento, como Análise de Riscos da Tarefa (ART) e Ficha de Informações de Segurança de Produtos Químicos (FISPQ). O Técnico de Ma"&amp;"nutenção II poderá precisar levantar e carregar até 23 kg. Horário: 35 horas por semana. O horário de trabalho pode variar e incluir turnos noturnos, fins de semana e feriados. O trabalho pode ser realizado em qualquer dia da semana, de segunda a domingo."&amp;" Exemplos de turnos: das 7h às 14h ou das 13h às 20h. Os horários dos turnos podem variar. Consulte a descrição da vaga para obter mais informações. Classificação da vaga: 49-9071.00 - Trabalhadores de Manutenção e Reparos, Geral. A classificação e a desc"&amp;"rição da vaga/setor incluem informações gerais sobre o cargo, de acordo com o ONET/OES e o Sistema de Classificação Industrial da América do Norte (NAICS). Consulte as Funções e a Ordem de Serviço para obter mais informações. Requisitos da vaga: Experiênc"&amp;"ia exigida: Sim. Meses de experiência exigidos: 12. Requisitos especiais: O contratante considerará para emprego qualquer pessoa que possua pelo menos um (1) ano de experiência em manutenção em hotel, resort ou clube privado. O candidato deverá se submete"&amp;"r a uma verificação de antecedentes pré-emprego, às custas do empregador. Número de horas por semana: 35. Horário de trabalho (início/término): 7h. - 14h00")</f>
        <v>O Técnico de Manutenção II será responsável por realizar todos os reparos e a manutenção das instalações do hotel, incluindo todas as áreas públicas, áreas externas do edifício, quartos e corredores, com base em ordens de serviço, solicitações de hóspedes/supervisores ou inspeções de rotina. O Técnico de Manutenção II também será responsável por documentar o trabalho realizado em fichas de inspeção de quartos e ordens de serviço, manter registros e livros de ocorrências, realizar o checklist de turno do engenheiro para avaliar a funcionalidade e a segurança dos sistemas e máquinas do edifício, incluindo fiação, componentes elétricos ou eletrônicos, sistemas de tubulação, encanamento e equipamentos, manter as oficinas e áreas de armazenamento limpas e organizadas, incluindo auxiliar no pedido e na manutenção do estoque de ferramentas, peças e materiais necessários, e seguir os protocolos de segurança, relatando ocorrências incomuns ou riscos à segurança, compreendendo e praticando os procedimentos de emergência contra incêndio do hotel e concluindo as certificações de segurança e os treinamentos de segurança e emergência do departamento, como Análise de Riscos da Tarefa (ART) e Ficha de Informações de Segurança de Produtos Químicos (FISPQ). O Técnico de Manutenção II poderá precisar levantar e carregar até 23 kg. Horário: 35 horas por semana. O horário de trabalho pode variar e incluir turnos noturnos, fins de semana e feriados. O trabalho pode ser realizado em qualquer dia da semana, de segunda a domingo. Exemplos de turnos: das 7h às 14h ou das 13h às 20h. Os horários dos turnos podem variar. Consulte a descrição da vaga para obter mais informações. Classificação da vaga: 49-9071.00 - Trabalhadores de Manutenção e Reparos, Geral. A classificação e a descrição da vaga/setor incluem informações gerais sobre o cargo, de acordo com o ONET/OES e o Sistema de Classificação Industrial da América do Norte (NAICS). Consulte as Funções e a Ordem de Serviço para obter mais informações. Requisitos da vaga: Experiência exigida: Sim. Meses de experiência exigidos: 12. Requisitos especiais: O contratante considerará para emprego qualquer pessoa que possua pelo menos um (1) ano de experiência em manutenção em hotel, resort ou clube privado. O candidato deverá se submeter a uma verificação de antecedentes pré-emprego, às custas do empregador. Número de horas por semana: 35. Horário de trabalho (início/término): 7h. - 14h00</v>
      </c>
    </row>
    <row r="1177" ht="20.25" customHeight="1">
      <c r="A1177" s="8" t="s">
        <v>5299</v>
      </c>
      <c r="B1177" s="8" t="s">
        <v>5294</v>
      </c>
      <c r="C1177" s="8" t="s">
        <v>4241</v>
      </c>
      <c r="D1177" s="8" t="s">
        <v>102</v>
      </c>
      <c r="E1177" s="9" t="s">
        <v>19</v>
      </c>
      <c r="F1177" s="9" t="s">
        <v>20</v>
      </c>
      <c r="G1177" s="9" t="s">
        <v>524</v>
      </c>
      <c r="H1177" s="8" t="s">
        <v>5295</v>
      </c>
      <c r="I1177" s="8" t="s">
        <v>5296</v>
      </c>
      <c r="J1177" s="9">
        <v>15.38</v>
      </c>
      <c r="K1177" s="9">
        <v>8.0</v>
      </c>
      <c r="L1177" s="8" t="s">
        <v>5300</v>
      </c>
      <c r="M1177" s="8" t="s">
        <v>5301</v>
      </c>
      <c r="N1177" s="7" t="str">
        <f>IFERROR(__xludf.DUMMYFUNCTION("GOOGLETRANSLATE(L1177, ""en"", ""pt"")"),"Camareiro(a)")</f>
        <v>Camareiro(a)</v>
      </c>
      <c r="O1177" s="7" t="str">
        <f>IFERROR(__xludf.DUMMYFUNCTION("IF(M1177="""","""",GOOGLETRANSLATE(M1177,""en"",""pt""))"),"Os Auxiliares de Limpeza serão responsáveis ​​pela limpeza e manutenção de todos os quartos, suítes e áreas comuns internas das propriedades do empregador, incluindo aspirar pisos, tirar o pó de móveis, quadros, gavetas, peitoris de janelas e prateleiras,"&amp;" repor roupas de cama e toalhas, limpar/desinfetar banheiras, vasos sanitários, pias, paredes, espelhos, azulejos, balcões e pisos, bem como derramamentos, utilizando panos, esfregões, esponjas, escovas e/ou produtos de limpeza, e limpar janelas internas "&amp;"com pano e spray de limpeza. Os Auxiliares de Limpeza também serão responsáveis ​​por manter as chaves mestras em segurança e manter os carrinhos de materiais de limpeza organizados e em ordem. Poderá ser necessário levantar e carregar até 23 kg. Horário:"&amp;" 35 horas semanais. O horário de trabalho pode variar e incluir turnos noturnos, fins de semana e feriados. O trabalho pode ser realizado em qualquer dia da semana, de segunda a domingo. Exemplo de turno: das 9h às 16h. Os horários dos turnos podem variar"&amp;". Consulte a descrição da vaga para obter mais informações. Classificação da Função: 37-2012.00 - Camareiras e Auxiliares de Limpeza. A classificação e descrição da função/setor inclui informações gerais sobre o cargo, de acordo com o ONET/OES e o Sistema"&amp;" de Classificação Industrial da América do Norte. Consulte as Funções e a Ordem de Serviço para obter mais informações. Requisitos da Função Experiência Necessária: Sim Meses de Experiência Necessários: 3 Requisitos Especiais: O contratante considerará pa"&amp;"ra emprego qualquer pessoa que possua pelo menos três (3) meses de experiência em um hotel de alto padrão, resort ou clube privado. O candidato deverá se submeter a uma verificação de antecedentes pré-emprego, às custas do empregador. Número de Horas por "&amp;"Semana: 35 Horário de Trabalho (Início/Término): 9h00 - 16h00")</f>
        <v>Os Auxiliares de Limpeza serão responsáveis ​​pela limpeza e manutenção de todos os quartos, suítes e áreas comuns internas das propriedades do empregador, incluindo aspirar pisos, tirar o pó de móveis, quadros, gavetas, peitoris de janelas e prateleiras, repor roupas de cama e toalhas, limpar/desinfetar banheiras, vasos sanitários, pias, paredes, espelhos, azulejos, balcões e pisos, bem como derramamentos, utilizando panos, esfregões, esponjas, escovas e/ou produtos de limpeza, e limpar janelas internas com pano e spray de limpeza. Os Auxiliares de Limpeza também serão responsáveis ​​por manter as chaves mestras em segurança e manter os carrinhos de materiais de limpeza organizados e em ordem. Poderá ser necessário levantar e carregar até 23 kg. Horário: 35 horas semanais. O horário de trabalho pode variar e incluir turnos noturnos, fins de semana e feriados. O trabalho pode ser realizado em qualquer dia da semana, de segunda a domingo. Exemplo de turno: das 9h às 16h. Os horários dos turnos podem variar. Consulte a descrição da vaga para obter mais informações. Classificação da Função: 37-2012.00 - Camareiras e Auxiliares de Limpeza. A classificação e descrição da função/setor inclui informações gerais sobre o cargo, de acordo com o ONET/OES e o Sistema de Classificação Industrial da América do Norte. Consulte as Funções e a Ordem de Serviço para obter mais informações. Requisitos da Função Experiência Necessária: Sim Meses de Experiência Necessários: 3 Requisitos Especiais: O contratante considerará para emprego qualquer pessoa que possua pelo menos três (3) meses de experiência em um hotel de alto padrão, resort ou clube privado. O candidato deverá se submeter a uma verificação de antecedentes pré-emprego, às custas do empregador. Número de Horas por Semana: 35 Horário de Trabalho (Início/Término): 9h00 - 16h00</v>
      </c>
    </row>
    <row r="1178" ht="20.25" customHeight="1">
      <c r="A1178" s="3" t="s">
        <v>5302</v>
      </c>
      <c r="B1178" s="3" t="s">
        <v>5294</v>
      </c>
      <c r="C1178" s="3" t="s">
        <v>4241</v>
      </c>
      <c r="D1178" s="3" t="s">
        <v>102</v>
      </c>
      <c r="E1178" s="4" t="s">
        <v>44</v>
      </c>
      <c r="F1178" s="4" t="s">
        <v>20</v>
      </c>
      <c r="G1178" s="4" t="s">
        <v>524</v>
      </c>
      <c r="H1178" s="3" t="s">
        <v>5295</v>
      </c>
      <c r="I1178" s="3" t="s">
        <v>5296</v>
      </c>
      <c r="J1178" s="4">
        <v>23.15</v>
      </c>
      <c r="K1178" s="4">
        <v>2.0</v>
      </c>
      <c r="L1178" s="3" t="s">
        <v>5303</v>
      </c>
      <c r="M1178" s="3" t="s">
        <v>5304</v>
      </c>
      <c r="N1178" s="7" t="str">
        <f>IFERROR(__xludf.DUMMYFUNCTION("GOOGLETRANSLATE(L1178, ""en"", ""pt"")"),"Supervisor da Divisão de Quartos")</f>
        <v>Supervisor da Divisão de Quartos</v>
      </c>
      <c r="O1178" s="7" t="str">
        <f>IFERROR(__xludf.DUMMYFUNCTION("IF(M1178="""","""",GOOGLETRANSLATE(M1178,""en"",""pt""))"),"Os Supervisores da Divisão de Quartos serão responsáveis ​​por supervisionar e coordenar as atividades das equipes de Governança, Recepção e Atendimento ao Hóspede nos hotéis da empresa. Serão responsáveis ​​pela comunicação entre esses departamentos para"&amp;" solucionar desafios operacionais, realizar inspeções de quartos para garantir o cumprimento dos padrões de serviço da empresa, criar quadros diários de Governança e atribuições de áreas, elaborar e distribuir relatórios diários e semanais aos membros da "&amp;"equipe necessários e resolver discrepâncias nos relatórios de status dos quartos com a Governança. Os Supervisores da Divisão de Quartos também serão responsáveis ​​por coordenar as solicitações de manutenção dos hóspedes com o departamento de Engenharia,"&amp;" visando a intermediação entre os departamentos para atender às solicitações dos hóspedes (como necessidades de manutenção nos quartos). Serão também responsáveis ​​por manter-se atualizados e responder a perguntas referentes aos hotéis, à universidade lo"&amp;"cal (Auburn) e a eventos e comodidades locais. Ocasionalmente, poderão desempenhar as funções de outros funcionários quando necessário, incluindo atendimento na recepção, encaminhamento de chamadas para o departamento correto, realização de reservas, auxí"&amp;"lio aos hóspedes com bagagens e serviços de manobrista, e limpeza de quartos e áreas comuns. Os Supervisores da Divisão de Quartos podem precisar levantar e carregar até sete (7) quilos. Os Supervisores da Divisão de Quartos auxiliarão na coordenação das "&amp;"atividades diárias das equipes de Recepção, Governança, Atendimento ao Hóspede e Engenharia, em colaboração com o Gerente de Recepção, o Gerente de Governança e o Engenheiro Chefe. As responsabilidades envolvem apenas a supervisão operacional e a coordena"&amp;"ção interdepartamental, não incluindo subordinados diretos ou autoridade sobre contratação, demissão, elaboração de escalas ou ações disciplinares. Horário: 35 horas semanais. O horário de trabalho pode variar e incluir turnos noturnos, fins de semana e f"&amp;"eriados. O trabalho pode ser realizado em qualquer dia da semana, de segunda a domingo. Exemplos de turnos: das 8h às 15h ou das 14h às 21h. Os horários dos turnos podem variar. Consulte a descrição da vaga para obter mais informações. Classificação da va"&amp;"ga: 37-1011.00 - Supervisores de Primeira Linha de Funcionários de Governança e Limpeza. A classificação e a descrição da vaga/setor incluem informações gerais sobre o cargo, de acordo com o ONET/OES e o Sistema de Classificação Industrial da América do N"&amp;"orte. Consulte a Descrição das Funções e a Ordem de Serviço para obter mais informações. Requisitos da Vaga Experiência Necessária: Sim Meses de Experiência Necessários: 12 Requisitos Especiais: O contratante considerará para emprego qualquer pessoa que p"&amp;"ossua pelo menos um (1) ano de experiência em atendimento ao cliente em um hotel de alto padrão, resort ou clube privado. O candidato deverá se submeter a uma verificação de antecedentes pré-admissional, custeada pelo empregador. Número de Horas por Seman"&amp;"a: 35 Horário de Trabalho (Início/Término): 8h00 - 15h00")</f>
        <v>Os Supervisores da Divisão de Quartos serão responsáveis ​​por supervisionar e coordenar as atividades das equipes de Governança, Recepção e Atendimento ao Hóspede nos hotéis da empresa. Serão responsáveis ​​pela comunicação entre esses departamentos para solucionar desafios operacionais, realizar inspeções de quartos para garantir o cumprimento dos padrões de serviço da empresa, criar quadros diários de Governança e atribuições de áreas, elaborar e distribuir relatórios diários e semanais aos membros da equipe necessários e resolver discrepâncias nos relatórios de status dos quartos com a Governança. Os Supervisores da Divisão de Quartos também serão responsáveis ​​por coordenar as solicitações de manutenção dos hóspedes com o departamento de Engenharia, visando a intermediação entre os departamentos para atender às solicitações dos hóspedes (como necessidades de manutenção nos quartos). Serão também responsáveis ​​por manter-se atualizados e responder a perguntas referentes aos hotéis, à universidade local (Auburn) e a eventos e comodidades locais. Ocasionalmente, poderão desempenhar as funções de outros funcionários quando necessário, incluindo atendimento na recepção, encaminhamento de chamadas para o departamento correto, realização de reservas, auxílio aos hóspedes com bagagens e serviços de manobrista, e limpeza de quartos e áreas comuns. Os Supervisores da Divisão de Quartos podem precisar levantar e carregar até sete (7) quilos. Os Supervisores da Divisão de Quartos auxiliarão na coordenação das atividades diárias das equipes de Recepção, Governança, Atendimento ao Hóspede e Engenharia, em colaboração com o Gerente de Recepção, o Gerente de Governança e o Engenheiro Chefe. As responsabilidades envolvem apenas a supervisão operacional e a coordenação interdepartamental, não incluindo subordinados diretos ou autoridade sobre contratação, demissão, elaboração de escalas ou ações disciplinares. Horário: 35 horas semanais. O horário de trabalho pode variar e incluir turnos noturnos, fins de semana e feriados. O trabalho pode ser realizado em qualquer dia da semana, de segunda a domingo. Exemplos de turnos: das 8h às 15h ou das 14h às 21h. Os horários dos turnos podem variar. Consulte a descrição da vaga para obter mais informações. Classificação da vaga: 37-1011.00 - Supervisores de Primeira Linha de Funcionários de Governança e Limpeza. A classificação e a descrição da vaga/setor incluem informações gerais sobre o cargo, de acordo com o ONET/OES e o Sistema de Classificação Industrial da América do Norte. Consulte a Descrição das Funções e a Ordem de Serviço para obter mais informações. Requisitos da Vaga Experiência Necessária: Sim Meses de Experiência Necessários: 12 Requisitos Especiais: O contratante considerará para emprego qualquer pessoa que possua pelo menos um (1) ano de experiência em atendimento ao cliente em um hotel de alto padrão, resort ou clube privado. O candidato deverá se submeter a uma verificação de antecedentes pré-admissional, custeada pelo empregador. Número de Horas por Semana: 35 Horário de Trabalho (Início/Término): 8h00 - 15h00</v>
      </c>
    </row>
    <row r="1179" ht="20.25" customHeight="1">
      <c r="A1179" s="8" t="s">
        <v>5305</v>
      </c>
      <c r="B1179" s="8" t="s">
        <v>5306</v>
      </c>
      <c r="C1179" s="8" t="s">
        <v>4247</v>
      </c>
      <c r="D1179" s="8" t="s">
        <v>532</v>
      </c>
      <c r="E1179" s="9" t="s">
        <v>19</v>
      </c>
      <c r="F1179" s="9" t="s">
        <v>20</v>
      </c>
      <c r="G1179" s="9" t="s">
        <v>5307</v>
      </c>
      <c r="H1179" s="8" t="s">
        <v>5308</v>
      </c>
      <c r="I1179" s="8" t="s">
        <v>5309</v>
      </c>
      <c r="J1179" s="9">
        <v>19.72</v>
      </c>
      <c r="K1179" s="9">
        <v>20.0</v>
      </c>
      <c r="L1179" s="8" t="s">
        <v>4250</v>
      </c>
      <c r="M1179" s="8" t="s">
        <v>4251</v>
      </c>
      <c r="N1179" s="7" t="str">
        <f>IFERROR(__xludf.DUMMYFUNCTION("GOOGLETRANSLATE(L1179, ""en"", ""pt"")"),"49-9098: Ajudantes — Trabalhos de instalação, manutenção e reparo")</f>
        <v>49-9098: Ajudantes — Trabalhos de instalação, manutenção e reparo</v>
      </c>
      <c r="O1179" s="7" t="str">
        <f>IFERROR(__xludf.DUMMYFUNCTION("IF(M1179="""","""",GOOGLETRANSLATE(M1179,""en"",""pt""))"),"Auxiliar os trabalhadores de instalação, manutenção e reparo na manutenção, substituição de peças e reparo de veículos, máquinas industriais e equipamentos elétricos e eletrônicos. Executar tarefas como fornecer ferramentas, materiais e suprimentos para o"&amp;"utros trabalhadores; limpar a área de trabalho, máquinas e ferramentas; e segurar materiais ou ferramentas para outros trabalhadores. Classificação da vaga: 49-9098.00 - Auxiliares - Trabalhadores de Instalação, Manutenção e Reparo. A classificação e desc"&amp;"rição da vaga/setor inclui informações gerais sobre a posição, de acordo com o ONET/OES e o Sistema de Classificação Industrial da América do Norte (NAICS). Consulte as Funções e a Ordem de Serviço para obter mais informações. Requisitos da vaga: Experiên"&amp;"cia exigida: Não. Requisitos especiais: Testes aleatórios de drogas e verificação de antecedentes criminais após a contratação podem ser exigidos, sem custo para o trabalhador. A vaga exige que o candidato seja qualificado, esteja pronto, disposto, apto e"&amp;" disponível para trabalhar durante todo o período de emprego no local de trabalho designado; para firmar e cumprir o contrato de trabalho; e para seguir as normas do local de trabalho. Número de horas por semana: 35. Horário de trabalho (início/término): "&amp;"8h. - 16:00")</f>
        <v>Auxiliar os trabalhadores de instalação, manutenção e reparo na manutenção, substituição de peças e reparo de veículos, máquinas industriais e equipamentos elétricos e eletrônicos. Executar tarefas como fornecer ferramentas, materiais e suprimentos para outros trabalhadores; limpar a área de trabalho, máquinas e ferramentas; e segurar materiais ou ferramentas para outros trabalhadores. Classificação da vaga: 49-9098.00 - Auxiliares - Trabalhadores de Instalação, Manutenção e Reparo. A classificação e descrição da vaga/setor inclui informações gerais sobre a posição, de acordo com o ONET/OES e o Sistema de Classificação Industrial da América do Norte (NAICS). Consulte as Funções e a Ordem de Serviço para obter mais informações. Requisitos da vaga: Experiência exigida: Não. Requisitos especiais: Testes aleatórios de drogas e verificação de antecedentes criminais após a contratação podem ser exigidos, sem custo para o trabalhador. A vaga exige que o candidato seja qualificado, esteja pronto, disposto, apto e disponível para trabalhar durante todo o período de emprego no local de trabalho designado; para firmar e cumprir o contrato de trabalho; e para seguir as normas do local de trabalho. Número de horas por semana: 35. Horário de trabalho (início/término): 8h. - 16:00</v>
      </c>
    </row>
    <row r="1180" ht="20.25" customHeight="1">
      <c r="A1180" s="3" t="s">
        <v>5310</v>
      </c>
      <c r="B1180" s="3" t="s">
        <v>5311</v>
      </c>
      <c r="C1180" s="3" t="s">
        <v>4241</v>
      </c>
      <c r="D1180" s="3" t="s">
        <v>71</v>
      </c>
      <c r="E1180" s="4" t="s">
        <v>19</v>
      </c>
      <c r="F1180" s="4" t="s">
        <v>20</v>
      </c>
      <c r="G1180" s="4" t="s">
        <v>212</v>
      </c>
      <c r="H1180" s="3" t="s">
        <v>5312</v>
      </c>
      <c r="I1180" s="3" t="s">
        <v>5313</v>
      </c>
      <c r="J1180" s="4">
        <v>18.75</v>
      </c>
      <c r="K1180" s="4">
        <v>20.0</v>
      </c>
      <c r="L1180" s="3" t="s">
        <v>1206</v>
      </c>
      <c r="M1180" s="3" t="s">
        <v>5314</v>
      </c>
      <c r="N1180" s="7" t="str">
        <f>IFERROR(__xludf.DUMMYFUNCTION("GOOGLETRANSLATE(L1180, ""en"", ""pt"")"),"Servidor")</f>
        <v>Servidor</v>
      </c>
      <c r="O1180" s="7" t="str">
        <f>IFERROR(__xludf.DUMMYFUNCTION("IF(M1180="""","""",GOOGLETRANSLATE(M1180,""en"",""pt""))"),"Os garçons serão responsáveis ​​por preparar o salão, anotar e registrar os pedidos dos clientes, transportar bandejas, servir comidas e bebidas, e limpar e retirar os pratos das mesas. Horário: 35 horas semanais. A escala de trabalho pode variar e inclui"&amp;"r turnos noturnos, fins de semana e feriados. O trabalho pode ser realizado em qualquer dia da semana, de segunda a domingo. Exemplos de turnos: 6h às 13h, 10h às 17h ou 17h às 00h. Os horários dos turnos podem variar. Consulte a descrição da vaga em anex"&amp;"o para obter mais informações. Classificação da vaga: 35-3031.00 - Garçons e Garçonetes. A classificação e descrição da vaga/setor incluem informações gerais sobre o cargo, de acordo com o ONET/OES e o Sistema de Classificação Industrial da América do Nor"&amp;"te (NAICS). Consulte as Funções e a Ordem de Serviço para obter mais informações. Requisitos da vaga Experiência necessária: Sim Meses de experiência necessários: 6 Requisitos especiais: O contratante considerará para emprego qualquer pessoa que possua pe"&amp;"lo menos seis (6) meses de experiência em atendimento em um ambiente de alta gastronomia e grande movimento, em um restaurante sofisticado, resort ou clube privado. O candidato deverá se submeter à verificação de antecedentes e ao exame toxicológico pré-a"&amp;"dmissional, às custas do empregador. Número de horas por semana: 35 Horário de trabalho (início/término): 6h às 13h")</f>
        <v>Os garçons serão responsáveis ​​por preparar o salão, anotar e registrar os pedidos dos clientes, transportar bandejas, servir comidas e bebidas, e limpar e retirar os pratos das mesas. Horário: 35 horas semanais. A escala de trabalho pode variar e incluir turnos noturnos, fins de semana e feriados. O trabalho pode ser realizado em qualquer dia da semana, de segunda a domingo. Exemplos de turnos: 6h às 13h, 10h às 17h ou 17h às 00h. Os horários dos turnos podem variar. Consulte a descrição da vaga em anexo para obter mais informações. Classificação da vaga: 35-3031.00 - Garçons e Garçonetes. A classificação e descrição da vaga/setor incluem informações gerais sobre o cargo, de acordo com o ONET/OES e o Sistema de Classificação Industrial da América do Norte (NAICS). Consulte as Funções e a Ordem de Serviço para obter mais informações. Requisitos da vaga Experiência necessária: Sim Meses de experiência necessários: 6 Requisitos especiais: O contratante considerará para emprego qualquer pessoa que possua pelo menos seis (6) meses de experiência em atendimento em um ambiente de alta gastronomia e grande movimento, em um restaurante sofisticado, resort ou clube privado. O candidato deverá se submeter à verificação de antecedentes e ao exame toxicológico pré-admissional, às custas do empregador. Número de horas por semana: 35 Horário de trabalho (início/término): 6h às 13h</v>
      </c>
    </row>
    <row r="1181" ht="20.25" customHeight="1">
      <c r="A1181" s="8" t="s">
        <v>5315</v>
      </c>
      <c r="B1181" s="8" t="s">
        <v>5311</v>
      </c>
      <c r="C1181" s="8" t="s">
        <v>4241</v>
      </c>
      <c r="D1181" s="8" t="s">
        <v>71</v>
      </c>
      <c r="E1181" s="9" t="s">
        <v>19</v>
      </c>
      <c r="F1181" s="9" t="s">
        <v>20</v>
      </c>
      <c r="G1181" s="9" t="s">
        <v>29</v>
      </c>
      <c r="H1181" s="8" t="s">
        <v>5312</v>
      </c>
      <c r="I1181" s="8" t="s">
        <v>5313</v>
      </c>
      <c r="J1181" s="9">
        <v>16.98</v>
      </c>
      <c r="K1181" s="9">
        <v>23.0</v>
      </c>
      <c r="L1181" s="8" t="s">
        <v>354</v>
      </c>
      <c r="M1181" s="8" t="s">
        <v>5316</v>
      </c>
      <c r="N1181" s="7" t="str">
        <f>IFERROR(__xludf.DUMMYFUNCTION("GOOGLETRANSLATE(L1181, ""en"", ""pt"")"),"Governanta")</f>
        <v>Governanta</v>
      </c>
      <c r="O1181" s="7" t="str">
        <f>IFERROR(__xludf.DUMMYFUNCTION("IF(M1181="""","""",GOOGLETRANSLATE(M1181,""en"",""pt""))"),"Os(As) camareiros(as) serão responsáveis ​​pela limpeza e manutenção de todos os quartos, suítes e áreas comuns internas do Ocean Reef Club, incluindo aspirar o chão, reorganizar os móveis, tirar o pó, lavar e repor roupas de cama e toalhas, desinfetar ba"&amp;"nheiros e lavar janelas. Horário: 35 horas semanais. O horário de trabalho pode variar e incluir turnos noturnos, fins de semana e feriados. O trabalho pode ser realizado em qualquer dia da semana, de segunda a domingo. Exemplos de turnos: 6h às 13h, 8h à"&amp;"s 15h ou 16h às 23h. Os horários dos turnos podem variar. Consulte a descrição da vaga em anexo para obter mais informações. Classificação da vaga: 37-2012.00 - Camareiros(as) e Auxiliares de Limpeza. A classificação e descrição da vaga/setor incluem info"&amp;"rmações gerais sobre o cargo, de acordo com o ONET/OES e o Sistema de Classificação Industrial da América do Norte. Consulte as Funções e a Ordem de Serviço para obter mais informações. Requisitos da vaga Experiência exigida: Sim Meses de experiência exig"&amp;"idos: 3 Requisitos especiais: O contratante considerará para emprego qualquer pessoa que possua pelo menos três (3) meses de experiência em limpeza em um hotel de alto padrão, resort ou clube privado. O candidato deverá se submeter à verificação de antece"&amp;"dentes e ao exame toxicológico pré-admissional, às custas do empregador. Número de horas por semana: 35 Horário de trabalho (início/término): 6h às 13h")</f>
        <v>Os(As) camareiros(as) serão responsáveis ​​pela limpeza e manutenção de todos os quartos, suítes e áreas comuns internas do Ocean Reef Club, incluindo aspirar o chão, reorganizar os móveis, tirar o pó, lavar e repor roupas de cama e toalhas, desinfetar banheiros e lavar janelas. Horário: 35 horas semanais. O horário de trabalho pode variar e incluir turnos noturnos, fins de semana e feriados. O trabalho pode ser realizado em qualquer dia da semana, de segunda a domingo. Exemplos de turnos: 6h às 13h, 8h às 15h ou 16h às 23h. Os horários dos turnos podem variar. Consulte a descrição da vaga em anexo para obter mais informações. Classificação da vaga: 37-2012.00 - Camareiros(as) e Auxiliares de Limpeza. A classificação e descrição da vaga/setor incluem informações gerais sobre o cargo, de acordo com o ONET/OES e o Sistema de Classificação Industrial da América do Norte. Consulte as Funções e a Ordem de Serviço para obter mais informações. Requisitos da vaga Experiência exigida: Sim Meses de experiência exigidos: 3 Requisitos especiais: O contratante considerará para emprego qualquer pessoa que possua pelo menos três (3) meses de experiência em limpeza em um hotel de alto padrão, resort ou clube privado. O candidato deverá se submeter à verificação de antecedentes e ao exame toxicológico pré-admissional, às custas do empregador. Número de horas por semana: 35 Horário de trabalho (início/término): 6h às 13h</v>
      </c>
    </row>
    <row r="1182" ht="20.25" customHeight="1">
      <c r="A1182" s="3" t="s">
        <v>5317</v>
      </c>
      <c r="B1182" s="3" t="s">
        <v>5311</v>
      </c>
      <c r="C1182" s="3" t="s">
        <v>4241</v>
      </c>
      <c r="D1182" s="3" t="s">
        <v>71</v>
      </c>
      <c r="E1182" s="4" t="s">
        <v>19</v>
      </c>
      <c r="F1182" s="4" t="s">
        <v>20</v>
      </c>
      <c r="G1182" s="4" t="s">
        <v>212</v>
      </c>
      <c r="H1182" s="3" t="s">
        <v>5312</v>
      </c>
      <c r="I1182" s="3" t="s">
        <v>5313</v>
      </c>
      <c r="J1182" s="4">
        <v>19.4</v>
      </c>
      <c r="K1182" s="4">
        <v>25.0</v>
      </c>
      <c r="L1182" s="3" t="s">
        <v>586</v>
      </c>
      <c r="M1182" s="3" t="s">
        <v>5318</v>
      </c>
      <c r="N1182" s="7" t="str">
        <f>IFERROR(__xludf.DUMMYFUNCTION("GOOGLETRANSLATE(L1182, ""en"", ""pt"")"),"Cozinheiro de linha")</f>
        <v>Cozinheiro de linha</v>
      </c>
      <c r="O1182" s="7" t="str">
        <f>IFERROR(__xludf.DUMMYFUNCTION("IF(M1182="""","""",GOOGLETRANSLATE(M1182,""en"",""pt""))"),"Os cozinheiros serão responsáveis ​​por preparar, temperar e cozinhar sopas, carnes, legumes, sobremesas e outros itens alimentícios em um restaurante. Horário: 35 horas semanais. O horário de trabalho pode variar e incluir turnos noturnos, fins de semana"&amp;" e feriados. O trabalho pode ser realizado em qualquer dia da semana, de segunda a domingo. Exemplos de turnos: 6h às 13h, 10h às 17h ou 17h às 00h. Os horários dos turnos podem variar. Consulte a descrição do cargo em anexo para obter mais informações. C"&amp;"lassificação do Cargo: 35-2014.00 - Cozinheiros, Restaurante. A classificação e a descrição do cargo/setor incluem informações gerais sobre a posição, de acordo com o ONET/OES e o Sistema de Classificação Industrial da América do Norte. Consulte as Funçõe"&amp;"s e a Ordem de Serviço para obter mais informações. Requisitos da vaga Experiência necessária: Sim Meses de experiência necessários: 12 Requisitos especiais: O contratante considerará para emprego qualquer pessoa que possua pelo menos um (1) ano de experi"&amp;"ência culinária em um ambiente de alta gastronomia e grande movimento, em um restaurante sofisticado, resort ou clube privado. O candidato deverá se submeter à verificação de antecedentes e ao exame toxicológico pré-admissional, às custas do empregador. N"&amp;"úmero de horas por semana: 35 Horário de trabalho (início/término): 6h às 13h")</f>
        <v>Os cozinheiros serão responsáveis ​​por preparar, temperar e cozinhar sopas, carnes, legumes, sobremesas e outros itens alimentícios em um restaurante. Horário: 35 horas semanais. O horário de trabalho pode variar e incluir turnos noturnos, fins de semana e feriados. O trabalho pode ser realizado em qualquer dia da semana, de segunda a domingo. Exemplos de turnos: 6h às 13h, 10h às 17h ou 17h às 00h. Os horários dos turnos podem variar. Consulte a descrição do cargo em anexo para obter mais informações. Classificação do Cargo: 35-2014.00 - Cozinheiros, Restaurante. A classificação e a descrição do cargo/setor incluem informações gerais sobre a posição, de acordo com o ONET/OES e o Sistema de Classificação Industrial da América do Norte. Consulte as Funções e a Ordem de Serviço para obter mais informações. Requisitos da vaga Experiência necessária: Sim Meses de experiência necessários: 12 Requisitos especiais: O contratante considerará para emprego qualquer pessoa que possua pelo menos um (1) ano de experiência culinária em um ambiente de alta gastronomia e grande movimento, em um restaurante sofisticado, resort ou clube privado. O candidato deverá se submeter à verificação de antecedentes e ao exame toxicológico pré-admissional, às custas do empregador. Número de horas por semana: 35 Horário de trabalho (início/término): 6h às 13h</v>
      </c>
    </row>
    <row r="1183" ht="20.25" customHeight="1">
      <c r="A1183" s="8" t="s">
        <v>5319</v>
      </c>
      <c r="B1183" s="8" t="s">
        <v>5320</v>
      </c>
      <c r="C1183" s="8" t="s">
        <v>4241</v>
      </c>
      <c r="D1183" s="8" t="s">
        <v>71</v>
      </c>
      <c r="E1183" s="9" t="s">
        <v>44</v>
      </c>
      <c r="F1183" s="9" t="s">
        <v>20</v>
      </c>
      <c r="G1183" s="9" t="s">
        <v>524</v>
      </c>
      <c r="H1183" s="8" t="s">
        <v>5321</v>
      </c>
      <c r="I1183" s="8" t="s">
        <v>5322</v>
      </c>
      <c r="J1183" s="9">
        <v>30.0</v>
      </c>
      <c r="K1183" s="9">
        <v>2.0</v>
      </c>
      <c r="L1183" s="8" t="s">
        <v>5323</v>
      </c>
      <c r="M1183" s="8" t="s">
        <v>5324</v>
      </c>
      <c r="N1183" s="7" t="str">
        <f>IFERROR(__xludf.DUMMYFUNCTION("GOOGLETRANSLATE(L1183, ""en"", ""pt"")"),"Gerente do Salão de Jantar")</f>
        <v>Gerente do Salão de Jantar</v>
      </c>
      <c r="O1183" s="7" t="str">
        <f>IFERROR(__xludf.DUMMYFUNCTION("IF(M1183="""","""",GOOGLETRANSLATE(M1183,""en"",""pt""))"),"Os Gerentes de Restaurante serão responsáveis ​​por auxiliar nas operações diárias de alimentos e bebidas, incluindo serviço de café da manhã, almoço e jantar, serviço de piscina, jantares requintados e eventos para membros do clube; pesquisar programas d"&amp;"e bebidas e cartas de vinhos; trabalhar com o Diretor Assistente de Alimentos e Bebidas para o recrutamento e formulação dos procedimentos operacionais padrão para toda a equipe de serviço de alimentos e bebidas; realizar as tarefas de abertura e fechamen"&amp;"to do Clubhouse, incluindo garantir que o salão de jantar esteja preparado para as operações de abertura e fechamento, divulgar as tarefas auxiliares, garantir que os postos de serviço estejam abastecidos e que os equipamentos e produtos estejam armazenad"&amp;"os adequadamente; auxiliar na montagem de banquetes quando necessário; atribuir e monitorar a conclusão de todas as tarefas de abertura e fechamento para toda a equipe de serviço de alimentos e bebidas; manter contato com a equipe da cozinha e do salão; a"&amp;"uxiliar nos programas de treinamento e desenvolvimento da equipe; monitorar e garantir o cumprimento de todas as condições e procedimentos de segurança; monitorar o código de vestimenta dos funcionários; auxiliar no inventário mensal de bebidas; auxiliar "&amp;"no planejamento estratégico de curto prazo para as Operações de Alimentos e Bebidas; e receber e resolver reclamações de membros do clube, convidados e funcionários. Pode ser necessário empurrar, puxar ou levantar até 23 kg. Pode supervisionar até cinco ("&amp;"5) Bartenders e trinta e cinco (35) Garçons durante um turno. Horário: 40 horas semanais. O horário de trabalho pode variar e incluir turnos noturnos, fins de semana e feriados. O trabalho pode ser realizado em qualquer dia da semana, de segunda a domingo"&amp;". Exemplos de turnos: 7h às 15h, 15h às 23h ou 10h às 18h. Os horários dos turnos podem variar. Consulte a descrição da vaga para obter mais informações. Classificação da vaga: 35-1012.00 - Supervisores de Primeira Linha de Preparadores e Servidores de Al"&amp;"imentos. A classificação e descrição da vaga/setor inclui informações gerais sobre o cargo, de acordo com o ONET/OES e o Sistema de Classificação Industrial da América do Norte (NAICS). Consulte as Funções e a Ordem de Serviço para obter mais informações."&amp;" Requisitos da Vaga Experiência Necessária: Sim Meses de Experiência Necessários: 6 Requisitos Especiais: O Requerente considerará para emprego qualquer pessoa que possua pelo menos seis (6) meses de experiência em atendimento ou supervisão em um ambiente"&amp;" de alta gastronomia ou de grande movimento em um clube privado de alto padrão, hotel ou resort. O candidato deverá se submeter à verificação de antecedentes e ao exame toxicológico pré-admissional, às custas do empregador. Número de Horas por Semana: 40 "&amp;"Horário de Trabalho (Início/Término): 7h00 - 15h00")</f>
        <v>Os Gerentes de Restaurante serão responsáveis ​​por auxiliar nas operações diárias de alimentos e bebidas, incluindo serviço de café da manhã, almoço e jantar, serviço de piscina, jantares requintados e eventos para membros do clube; pesquisar programas de bebidas e cartas de vinhos; trabalhar com o Diretor Assistente de Alimentos e Bebidas para o recrutamento e formulação dos procedimentos operacionais padrão para toda a equipe de serviço de alimentos e bebidas; realizar as tarefas de abertura e fechamento do Clubhouse, incluindo garantir que o salão de jantar esteja preparado para as operações de abertura e fechamento, divulgar as tarefas auxiliares, garantir que os postos de serviço estejam abastecidos e que os equipamentos e produtos estejam armazenados adequadamente; auxiliar na montagem de banquetes quando necessário; atribuir e monitorar a conclusão de todas as tarefas de abertura e fechamento para toda a equipe de serviço de alimentos e bebidas; manter contato com a equipe da cozinha e do salão; auxiliar nos programas de treinamento e desenvolvimento da equipe; monitorar e garantir o cumprimento de todas as condições e procedimentos de segurança; monitorar o código de vestimenta dos funcionários; auxiliar no inventário mensal de bebidas; auxiliar no planejamento estratégico de curto prazo para as Operações de Alimentos e Bebidas; e receber e resolver reclamações de membros do clube, convidados e funcionários. Pode ser necessário empurrar, puxar ou levantar até 23 kg. Pode supervisionar até cinco (5) Bartenders e trinta e cinco (35) Garçons durante um turno. Horário: 40 horas semanais. O horário de trabalho pode variar e incluir turnos noturnos, fins de semana e feriados. O trabalho pode ser realizado em qualquer dia da semana, de segunda a domingo. Exemplos de turnos: 7h às 15h, 15h às 23h ou 10h às 18h. Os horários dos turnos podem variar. Consulte a descrição da vaga para obter mais informações. Classificação da vaga: 35-1012.00 - Supervisores de Primeira Linha de Preparadores e Servidores de Alimentos. A classificação e descrição da vaga/setor inclui informações gerais sobre o cargo, de acordo com o ONET/OES e o Sistema de Classificação Industrial da América do Norte (NAICS). Consulte as Funções e a Ordem de Serviço para obter mais informações. Requisitos da Vaga Experiência Necessária: Sim Meses de Experiência Necessários: 6 Requisitos Especiais: O Requerente considerará para emprego qualquer pessoa que possua pelo menos seis (6) meses de experiência em atendimento ou supervisão em um ambiente de alta gastronomia ou de grande movimento em um clube privado de alto padrão, hotel ou resort. O candidato deverá se submeter à verificação de antecedentes e ao exame toxicológico pré-admissional, às custas do empregador. Número de Horas por Semana: 40 Horário de Trabalho (Início/Término): 7h00 - 15h00</v>
      </c>
    </row>
    <row r="1184" ht="20.25" customHeight="1">
      <c r="A1184" s="3" t="s">
        <v>5325</v>
      </c>
      <c r="B1184" s="3" t="s">
        <v>5320</v>
      </c>
      <c r="C1184" s="3" t="s">
        <v>4241</v>
      </c>
      <c r="D1184" s="3" t="s">
        <v>71</v>
      </c>
      <c r="E1184" s="4" t="s">
        <v>44</v>
      </c>
      <c r="F1184" s="4" t="s">
        <v>20</v>
      </c>
      <c r="G1184" s="4" t="s">
        <v>524</v>
      </c>
      <c r="H1184" s="3" t="s">
        <v>5321</v>
      </c>
      <c r="I1184" s="3" t="s">
        <v>5322</v>
      </c>
      <c r="J1184" s="4">
        <v>18.71</v>
      </c>
      <c r="K1184" s="4">
        <v>19.0</v>
      </c>
      <c r="L1184" s="3" t="s">
        <v>5326</v>
      </c>
      <c r="M1184" s="3" t="s">
        <v>5327</v>
      </c>
      <c r="N1184" s="7" t="str">
        <f>IFERROR(__xludf.DUMMYFUNCTION("GOOGLETRANSLATE(L1184, ""en"", ""pt"")"),"Garçom/Garçonete de Alimentos e Bebidas")</f>
        <v>Garçom/Garçonete de Alimentos e Bebidas</v>
      </c>
      <c r="O1184" s="7" t="str">
        <f>IFERROR(__xludf.DUMMYFUNCTION("IF(M1184="""","""",GOOGLETRANSLATE(M1184,""en"",""pt""))"),"Os Garçons e Garçonetes serão responsáveis ​​por recepcionar os clientes, anotar os pedidos, encaminhá-los à cozinha, servir as refeições e limpar as mesas. Devem possuir habilidades em informática para processar pagamentos, atendimento ao cliente e conhe"&amp;"cimento de vinhos e bebidas alcoólicas para auxiliar os clientes com seus pedidos. Horário: 40 horas semanais. A escala de trabalho pode variar e incluir turnos noturnos, fins de semana e feriados. O trabalho pode ser realizado em qualquer dia da semana, "&amp;"de segunda a domingo. Exemplos de turnos: 7h às 15h, 15h às 23h ou 10h às 18h. Os horários dos turnos podem variar. Consulte a descrição da vaga para obter mais informações. Classificação da vaga: 35-3031.00 - Garçons e Garçonetes. A classificação e descr"&amp;"ição da vaga/setor incluem informações gerais sobre o cargo, de acordo com o ONET/OES e o Sistema de Classificação Industrial da América do Norte (NAICS). Consulte as Funções e a Ordem de Serviço para obter mais informações. Requisitos da vaga Experiência"&amp;" necessária: Sim Meses de experiência necessários: 3 Requisitos especiais: O contratante considerará para emprego qualquer pessoa que possua pelo menos três (3) meses de experiência em um ambiente de alta gastronomia ou de grande movimento em um restauran"&amp;"te sofisticado, resort ou clube privado. O candidato deverá se submeter à verificação de antecedentes e ao exame toxicológico pré-admissional, às custas do empregador. Número de horas por semana: 40 Horário de trabalho (início/término): 7h às 15h")</f>
        <v>Os Garçons e Garçonetes serão responsáveis ​​por recepcionar os clientes, anotar os pedidos, encaminhá-los à cozinha, servir as refeições e limpar as mesas. Devem possuir habilidades em informática para processar pagamentos, atendimento ao cliente e conhecimento de vinhos e bebidas alcoólicas para auxiliar os clientes com seus pedidos. Horário: 40 horas semanais. A escala de trabalho pode variar e incluir turnos noturnos, fins de semana e feriados. O trabalho pode ser realizado em qualquer dia da semana, de segunda a domingo. Exemplos de turnos: 7h às 15h, 15h às 23h ou 10h às 18h. Os horários dos turnos podem variar. Consulte a descrição da vaga para obter mais informações. Classificação da vaga: 35-3031.00 - Garçons e Garçonetes. A classificação e descrição da vaga/setor incluem informações gerais sobre o cargo, de acordo com o ONET/OES e o Sistema de Classificação Industrial da América do Norte (NAICS). Consulte as Funções e a Ordem de Serviço para obter mais informações. Requisitos da vaga Experiência necessária: Sim Meses de experiência necessários: 3 Requisitos especiais: O contratante considerará para emprego qualquer pessoa que possua pelo menos três (3) meses de experiência em um ambiente de alta gastronomia ou de grande movimento em um restaurante sofisticado, resort ou clube privado. O candidato deverá se submeter à verificação de antecedentes e ao exame toxicológico pré-admissional, às custas do empregador. Número de horas por semana: 40 Horário de trabalho (início/término): 7h às 15h</v>
      </c>
    </row>
    <row r="1185" ht="20.25" customHeight="1">
      <c r="A1185" s="8" t="s">
        <v>5328</v>
      </c>
      <c r="B1185" s="8" t="s">
        <v>5320</v>
      </c>
      <c r="C1185" s="8" t="s">
        <v>4241</v>
      </c>
      <c r="D1185" s="8" t="s">
        <v>71</v>
      </c>
      <c r="E1185" s="9" t="s">
        <v>44</v>
      </c>
      <c r="F1185" s="9" t="s">
        <v>20</v>
      </c>
      <c r="G1185" s="9" t="s">
        <v>524</v>
      </c>
      <c r="H1185" s="8" t="s">
        <v>5321</v>
      </c>
      <c r="I1185" s="8" t="s">
        <v>5322</v>
      </c>
      <c r="J1185" s="9">
        <v>16.51</v>
      </c>
      <c r="K1185" s="9">
        <v>1.0</v>
      </c>
      <c r="L1185" s="8" t="s">
        <v>5329</v>
      </c>
      <c r="M1185" s="8" t="s">
        <v>5330</v>
      </c>
      <c r="N1185" s="7" t="str">
        <f>IFERROR(__xludf.DUMMYFUNCTION("GOOGLETRANSLATE(L1185, ""en"", ""pt"")"),"Assistente de Spa")</f>
        <v>Assistente de Spa</v>
      </c>
      <c r="O1185" s="7" t="str">
        <f>IFERROR(__xludf.DUMMYFUNCTION("IF(M1185="""","""",GOOGLETRANSLATE(M1185,""en"",""pt""))"),"***Resposta à Solicitação de Informações*** “Preparação das salas de tratamento antes e depois dos serviços” – isso consiste em preparar as macas com lençóis e capas para apoio de rosto, preparar a sala de spa com a temperatura ambiente adequada, música, "&amp;"aromaterapia, produtos para a pele, toalhas e materiais descartáveis, descartar e repor os materiais usados ​​(luvas, lenços umedecidos, aplicadores) após o tratamento, desinfetar superfícies e equipamentos e comunicar aos supervisores a falta de materiai"&amp;"s. As ferramentas, equipamentos e materiais utilizados são sprays/lenços desinfetantes, luvas, armário aquecedor de toalhas, difusor de aromaterapia, aparelho de som, carrinhos de armazenamento e lixeiras com cestos para lixo. “Auxiliar os terapeutas do s"&amp;"pa na preparação e desmontagem dos serviços” – isso consiste em abastecer as bandejas de serviço com ferramentas e produtos conforme as instruções dos terapeutas, organizar as ferramentas na sequência correta para uso do terapeuta de acordo com o serviço "&amp;"específico a ser prestado e fornecer suprimentos aos terapeutas conforme solicitado durante o serviço, encher bacias ou vaporizadores com água, aquecer pedras quentes, disponibilizar as comodidades para os clientes (roupões, chinelos, toalhas), garantir q"&amp;"ue os equipamentos especiais (por exemplo, vaporizadores faciais, aquecedores de pedras, aquecedores de cera) estejam ligados e prontos para uso e esvaziá-los/limpá-los após o serviço, e limpar, higienizar e reabastecer a área de serviço após o serviço. A"&amp;"lém dos itens descritos acima, as ferramentas, equipamentos e materiais utilizados incluem bandejas e bacias de serviço, sprays/lenços desinfetantes, luvas, óleos de massagem, cremes, máscaras, séruns, jarras de água e suprimentos de hidratação, além de r"&amp;"ecipientes e organizadores de armazenamento. “Manutenção das áreas de relaxamento e vestiários” – isso consiste em higienizar superfícies (incluindo chuveiros, pias e vasos sanitários), organizar áreas de estar (cadeiras, espreguiçadeiras, cobertores), re"&amp;"abastecer difusores de aromaterapia com óleos, repor toalhas, roupões, artigos de higiene pessoal e produtos de papel, monitorar os níveis de ruído, remover itens usados ​​e lixo prontamente, esvaziar lixeiras e recipientes de toalhas, reabastecer bebedou"&amp;"ros, estações de chá ou áreas de lanches, lavar o chão e relatar quaisquer problemas de manutenção aos supervisores. Além dos itens descritos acima, as ferramentas, equipamentos e materiais utilizados incluem produtos de limpeza (limpador multiuso, desinf"&amp;"etante, limpa-vidros), esfregões, vassouras, baldes, panos de microfibra, aspirador de pó, sacos e lixeiras, carrinhos/recipientes de lavanderia, sinalização (por exemplo, placas de “piso molhado”) e armários e prateleiras de armazenamento. ***Original***"&amp;" O Assistente de Spa será responsável por apoiar as operações do spa, incluindo, entre outras atividades: preparar as salas de tratamento antes e depois dos serviços; Limpeza e higienização de equipamentos, roupas de cama e instalações do spa; auxílio aos"&amp;" terapeutas do spa na preparação e desmontagem dos serviços; reposição de toalhas, roupões, óleos e suprimentos para tratamentos; manutenção das áreas de relaxamento e vestiários; atendimento cortês ao cliente; e garantia do cumprimento das normas de limp"&amp;"eza, segurança e higiene. Horário: 40 horas semanais. O horário de trabalho pode variar e incluir turnos noturnos, fins de semana e feriados. O trabalho pode ser realizado em qualquer dia da semana, de segunda a domingo. Exemplos de turnos: 8h às 16h, 13h"&amp;" às 21h ou 9h às 17h. Os horários dos turnos podem variar. Consulte a descrição da vaga para obter mais informações. Classificação da vaga: 39-3093.00 - Atendentes de Vestiário, Guarda-Volumes e Provadores. A classificação e descrição da vaga/setor inclue"&amp;"m informações gerais sobre o cargo, de acordo com o ONET/OES e o Sistema de Classificação Industrial da América do Norte. Consulte as Funções e a Ordem de Serviço para obter mais informações. Requisitos da vaga Experiência exigida: Sim Meses de experiênci"&amp;"a exigidos: 1 Requisitos especiais: O contratante considerará para emprego qualquer pessoa que possua pelo menos um (1) mês de experiência em atendimento ao cliente em spa, resort, centro de bem-estar, hotel ou clube privado. O candidato deverá se submete"&amp;"r à verificação de antecedentes e ao exame toxicológico pré-admissional, às custas do empregador. Número de horas por semana: 40 Horário de trabalho (início/término): 8h às 16h")</f>
        <v>***Resposta à Solicitação de Informações*** “Preparação das salas de tratamento antes e depois dos serviços” – isso consiste em preparar as macas com lençóis e capas para apoio de rosto, preparar a sala de spa com a temperatura ambiente adequada, música, aromaterapia, produtos para a pele, toalhas e materiais descartáveis, descartar e repor os materiais usados ​​(luvas, lenços umedecidos, aplicadores) após o tratamento, desinfetar superfícies e equipamentos e comunicar aos supervisores a falta de materiais. As ferramentas, equipamentos e materiais utilizados são sprays/lenços desinfetantes, luvas, armário aquecedor de toalhas, difusor de aromaterapia, aparelho de som, carrinhos de armazenamento e lixeiras com cestos para lixo. “Auxiliar os terapeutas do spa na preparação e desmontagem dos serviços” – isso consiste em abastecer as bandejas de serviço com ferramentas e produtos conforme as instruções dos terapeutas, organizar as ferramentas na sequência correta para uso do terapeuta de acordo com o serviço específico a ser prestado e fornecer suprimentos aos terapeutas conforme solicitado durante o serviço, encher bacias ou vaporizadores com água, aquecer pedras quentes, disponibilizar as comodidades para os clientes (roupões, chinelos, toalhas), garantir que os equipamentos especiais (por exemplo, vaporizadores faciais, aquecedores de pedras, aquecedores de cera) estejam ligados e prontos para uso e esvaziá-los/limpá-los após o serviço, e limpar, higienizar e reabastecer a área de serviço após o serviço. Além dos itens descritos acima, as ferramentas, equipamentos e materiais utilizados incluem bandejas e bacias de serviço, sprays/lenços desinfetantes, luvas, óleos de massagem, cremes, máscaras, séruns, jarras de água e suprimentos de hidratação, além de recipientes e organizadores de armazenamento. “Manutenção das áreas de relaxamento e vestiários” – isso consiste em higienizar superfícies (incluindo chuveiros, pias e vasos sanitários), organizar áreas de estar (cadeiras, espreguiçadeiras, cobertores), reabastecer difusores de aromaterapia com óleos, repor toalhas, roupões, artigos de higiene pessoal e produtos de papel, monitorar os níveis de ruído, remover itens usados ​​e lixo prontamente, esvaziar lixeiras e recipientes de toalhas, reabastecer bebedouros, estações de chá ou áreas de lanches, lavar o chão e relatar quaisquer problemas de manutenção aos supervisores. Além dos itens descritos acima, as ferramentas, equipamentos e materiais utilizados incluem produtos de limpeza (limpador multiuso, desinfetante, limpa-vidros), esfregões, vassouras, baldes, panos de microfibra, aspirador de pó, sacos e lixeiras, carrinhos/recipientes de lavanderia, sinalização (por exemplo, placas de “piso molhado”) e armários e prateleiras de armazenamento. ***Original*** O Assistente de Spa será responsável por apoiar as operações do spa, incluindo, entre outras atividades: preparar as salas de tratamento antes e depois dos serviços; Limpeza e higienização de equipamentos, roupas de cama e instalações do spa; auxílio aos terapeutas do spa na preparação e desmontagem dos serviços; reposição de toalhas, roupões, óleos e suprimentos para tratamentos; manutenção das áreas de relaxamento e vestiários; atendimento cortês ao cliente; e garantia do cumprimento das normas de limpeza, segurança e higiene. Horário: 40 horas semanais. O horário de trabalho pode variar e incluir turnos noturnos, fins de semana e feriados. O trabalho pode ser realizado em qualquer dia da semana, de segunda a domingo. Exemplos de turnos: 8h às 16h, 13h às 21h ou 9h às 17h. Os horários dos turnos podem variar. Consulte a descrição da vaga para obter mais informações. Classificação da vaga: 39-3093.00 - Atendentes de Vestiário, Guarda-Volumes e Provadores. A classificação e descrição da vaga/setor incluem informações gerais sobre o cargo, de acordo com o ONET/OES e o Sistema de Classificação Industrial da América do Norte. Consulte as Funções e a Ordem de Serviço para obter mais informações. Requisitos da vaga Experiência exigida: Sim Meses de experiência exigidos: 1 Requisitos especiais: O contratante considerará para emprego qualquer pessoa que possua pelo menos um (1) mês de experiência em atendimento ao cliente em spa, resort, centro de bem-estar, hotel ou clube privado. O candidato deverá se submeter à verificação de antecedentes e ao exame toxicológico pré-admissional, às custas do empregador. Número de horas por semana: 40 Horário de trabalho (início/término): 8h às 16h</v>
      </c>
    </row>
    <row r="1186" ht="20.25" customHeight="1">
      <c r="A1186" s="3" t="s">
        <v>5331</v>
      </c>
      <c r="B1186" s="3" t="s">
        <v>5332</v>
      </c>
      <c r="C1186" s="3" t="s">
        <v>4241</v>
      </c>
      <c r="D1186" s="3" t="s">
        <v>71</v>
      </c>
      <c r="E1186" s="4" t="s">
        <v>19</v>
      </c>
      <c r="F1186" s="4" t="s">
        <v>20</v>
      </c>
      <c r="G1186" s="4" t="s">
        <v>524</v>
      </c>
      <c r="H1186" s="3" t="s">
        <v>5321</v>
      </c>
      <c r="I1186" s="3" t="s">
        <v>5322</v>
      </c>
      <c r="J1186" s="4">
        <v>21.0</v>
      </c>
      <c r="K1186" s="4">
        <v>10.0</v>
      </c>
      <c r="L1186" s="3" t="s">
        <v>5333</v>
      </c>
      <c r="M1186" s="3" t="s">
        <v>5334</v>
      </c>
      <c r="N1186" s="7" t="str">
        <f>IFERROR(__xludf.DUMMYFUNCTION("GOOGLETRANSLATE(L1186, ""en"", ""pt"")"),"Cozinheiro de clube privado")</f>
        <v>Cozinheiro de clube privado</v>
      </c>
      <c r="O1186" s="7" t="str">
        <f>IFERROR(__xludf.DUMMYFUNCTION("IF(M1186="""","""",GOOGLETRANSLATE(M1186,""en"",""pt""))"),"Os cozinheiros de clubes privados serão responsáveis ​​por preparar, temperar e cozinhar sopas, carnes, legumes, sobremesas e outros itens alimentícios em um restaurante. Horário: 40 horas semanais. O horário de trabalho pode variar e incluir turnos notur"&amp;"nos, fins de semana e feriados. O trabalho pode ser realizado em qualquer dia da semana, de segunda a domingo. Exemplos de turnos: 8h às 16h, 13h às 21h ou 9h às 17h. Os horários dos turnos podem variar. Consulte a descrição da vaga para obter mais inform"&amp;"ações. Classificação da vaga: 35-2014.00 - Cozinheiros, Restaurante. A classificação e a descrição da vaga/setor incluem informações gerais sobre o cargo, de acordo com o ONET/OES e o Sistema de Classificação Industrial da América do Norte (NAICS). Consul"&amp;"te as atribuições e a ordem de serviço para obter mais informações. Requisitos da Vaga Experiência Necessária: Sim Meses de Experiência Necessários: 6 Requisitos Especiais: O contratante considerará para emprego qualquer pessoa que possua pelo menos seis "&amp;"(6) meses de experiência culinária em um ambiente de alta gastronomia ou de grande movimento em um restaurante sofisticado, resort ou clube privado. O candidato deverá se submeter à verificação de antecedentes e ao exame toxicológico pré-admissional, às c"&amp;"ustas do empregador. Número de Horas por Semana: 40 Horário de Trabalho (Início/Término): 8h00 - 16h00")</f>
        <v>Os cozinheiros de clubes privados serão responsáveis ​​por preparar, temperar e cozinhar sopas, carnes, legumes, sobremesas e outros itens alimentícios em um restaurante. Horário: 40 horas semanais. O horário de trabalho pode variar e incluir turnos noturnos, fins de semana e feriados. O trabalho pode ser realizado em qualquer dia da semana, de segunda a domingo. Exemplos de turnos: 8h às 16h, 13h às 21h ou 9h às 17h. Os horários dos turnos podem variar. Consulte a descrição da vaga para obter mais informações. Classificação da vaga: 35-2014.00 - Cozinheiros, Restaurante. A classificação e a descrição da vaga/setor incluem informações gerais sobre o cargo, de acordo com o ONET/OES e o Sistema de Classificação Industrial da América do Norte (NAICS). Consulte as atribuições e a ordem de serviço para obter mais informações. Requisitos da Vaga Experiência Necessária: Sim Meses de Experiência Necessários: 6 Requisitos Especiais: O contratante considerará para emprego qualquer pessoa que possua pelo menos seis (6) meses de experiência culinária em um ambiente de alta gastronomia ou de grande movimento em um restaurante sofisticado, resort ou clube privado. O candidato deverá se submeter à verificação de antecedentes e ao exame toxicológico pré-admissional, às custas do empregador. Número de Horas por Semana: 40 Horário de Trabalho (Início/Término): 8h00 - 16h00</v>
      </c>
    </row>
    <row r="1187" ht="20.25" customHeight="1">
      <c r="A1187" s="8" t="s">
        <v>5335</v>
      </c>
      <c r="B1187" s="8" t="s">
        <v>5336</v>
      </c>
      <c r="C1187" s="8" t="s">
        <v>4241</v>
      </c>
      <c r="D1187" s="8" t="s">
        <v>71</v>
      </c>
      <c r="E1187" s="9" t="s">
        <v>19</v>
      </c>
      <c r="F1187" s="9" t="s">
        <v>20</v>
      </c>
      <c r="G1187" s="9" t="s">
        <v>1859</v>
      </c>
      <c r="H1187" s="8" t="s">
        <v>5337</v>
      </c>
      <c r="I1187" s="8" t="s">
        <v>5338</v>
      </c>
      <c r="J1187" s="9">
        <v>21.48</v>
      </c>
      <c r="K1187" s="9">
        <v>7.0</v>
      </c>
      <c r="L1187" s="8" t="s">
        <v>1206</v>
      </c>
      <c r="M1187" s="8" t="s">
        <v>5339</v>
      </c>
      <c r="N1187" s="7" t="str">
        <f>IFERROR(__xludf.DUMMYFUNCTION("GOOGLETRANSLATE(L1187, ""en"", ""pt"")"),"Servidor")</f>
        <v>Servidor</v>
      </c>
      <c r="O1187" s="7" t="str">
        <f>IFERROR(__xludf.DUMMYFUNCTION("IF(M1187="""","""",GOOGLETRANSLATE(M1187,""en"",""pt""))"),"Os garçons serão responsáveis ​​por recepcionar os clientes, preparar as áreas de refeição, anotar e registrar pedidos, transportar bandejas e pratos, servir alimentos e bebidas, demonstrar conhecimento do cardápio, limpar e desocupar as mesas, informar o"&amp;"s clientes sobre os pratos do dia, realizar tarefas de abertura e fechamento, auxiliar na montagem e desmontagem de banquetes e buffets, executar tarefas auxiliares, repor suprimentos e preparar e servir bebidas alcoólicas e não alcoólicas. O serviço incl"&amp;"uirá tanto banquetes quanto refeições à la carte, além de, ocasionalmente, recepcionar e acomodar os clientes e levar os pratos. Horário: 40 horas semanais. A escala de trabalho pode variar e incluir turnos noturnos, fins de semana e feriados. O trabalho "&amp;"pode ser realizado em qualquer dia da semana, de segunda a domingo. Exemplos de turnos: 9h às 17h ou 14h às 22h. Os horários dos turnos podem variar. Consulte a descrição da vaga em anexo para obter mais informações. Classificação da Função: 35-3011.00 - "&amp;"Bartenders. A classificação e descrição da função/setor inclui informações gerais sobre o cargo, de acordo com o ONET/OES e o Sistema de Classificação Industrial da América do Norte. Consulte as Funções e a Ordem de Serviço para obter mais informações. Re"&amp;"quisitos da Função Experiência Necessária: Sim Meses de Experiência Necessários: 6 Requisitos Especiais: O Requerente considerará para emprego qualquer pessoa que possua pelo menos seis (6) meses de experiência em atendimento em um ambiente de alta gastro"&amp;"nomia ou de grande movimento, em um restaurante sofisticado, resort ou clube privado. Número de Horas por Semana: 40 Horário de Trabalho (Início/Término): 9h00 - 17h00")</f>
        <v>Os garçons serão responsáveis ​​por recepcionar os clientes, preparar as áreas de refeição, anotar e registrar pedidos, transportar bandejas e pratos, servir alimentos e bebidas, demonstrar conhecimento do cardápio, limpar e desocupar as mesas, informar os clientes sobre os pratos do dia, realizar tarefas de abertura e fechamento, auxiliar na montagem e desmontagem de banquetes e buffets, executar tarefas auxiliares, repor suprimentos e preparar e servir bebidas alcoólicas e não alcoólicas. O serviço incluirá tanto banquetes quanto refeições à la carte, além de, ocasionalmente, recepcionar e acomodar os clientes e levar os pratos. Horário: 40 horas semanais. A escala de trabalho pode variar e incluir turnos noturnos, fins de semana e feriados. O trabalho pode ser realizado em qualquer dia da semana, de segunda a domingo. Exemplos de turnos: 9h às 17h ou 14h às 22h. Os horários dos turnos podem variar. Consulte a descrição da vaga em anexo para obter mais informações. Classificação da Função: 35-3011.00 - Bartenders. A classificação e descrição da função/setor inclui informações gerais sobre o cargo, de acordo com o ONET/OES e o Sistema de Classificação Industrial da América do Norte. Consulte as Funções e a Ordem de Serviço para obter mais informações. Requisitos da Função Experiência Necessária: Sim Meses de Experiência Necessários: 6 Requisitos Especiais: O Requerente considerará para emprego qualquer pessoa que possua pelo menos seis (6) meses de experiência em atendimento em um ambiente de alta gastronomia ou de grande movimento, em um restaurante sofisticado, resort ou clube privado. Número de Horas por Semana: 40 Horário de Trabalho (Início/Término): 9h00 - 17h00</v>
      </c>
    </row>
    <row r="1188" ht="20.25" customHeight="1">
      <c r="A1188" s="3" t="s">
        <v>5340</v>
      </c>
      <c r="B1188" s="3" t="s">
        <v>5336</v>
      </c>
      <c r="C1188" s="3" t="s">
        <v>4241</v>
      </c>
      <c r="D1188" s="3" t="s">
        <v>71</v>
      </c>
      <c r="E1188" s="4" t="s">
        <v>19</v>
      </c>
      <c r="F1188" s="4" t="s">
        <v>20</v>
      </c>
      <c r="G1188" s="4" t="s">
        <v>1859</v>
      </c>
      <c r="H1188" s="3" t="s">
        <v>5337</v>
      </c>
      <c r="I1188" s="3" t="s">
        <v>5338</v>
      </c>
      <c r="J1188" s="4">
        <v>16.35</v>
      </c>
      <c r="K1188" s="4">
        <v>5.0</v>
      </c>
      <c r="L1188" s="3" t="s">
        <v>5341</v>
      </c>
      <c r="M1188" s="3" t="s">
        <v>5342</v>
      </c>
      <c r="N1188" s="7" t="str">
        <f>IFERROR(__xludf.DUMMYFUNCTION("GOOGLETRANSLATE(L1188, ""en"", ""pt"")"),"Auxiliar de garçom/garçonete")</f>
        <v>Auxiliar de garçom/garçonete</v>
      </c>
      <c r="O1188" s="7" t="str">
        <f>IFERROR(__xludf.DUMMYFUNCTION("IF(M1188="""","""",GOOGLETRANSLATE(M1188,""en"",""pt""))"),"Os auxiliares de garçom/garçons serão responsáveis ​​por auxiliar os garçons na preparação das mesas no salão, colocando pratos, copos e talheres; empilhando os pratos e talheres nas bandejas; carregando bandejas e pratos (esses funcionários não anotam pe"&amp;"didos); limpando e desocupando as mesas; servindo água e pão; e auxiliando na montagem e desmontagem de banquetes e buffets. Horário: 40 horas semanais. A escala de trabalho pode variar e incluir turnos noturnos, fins de semana e feriados. O trabalho pode"&amp;" ser realizado em qualquer dia da semana, de segunda a domingo. Exemplos de turnos: 8h às 16h, 11h às 19h ou 15h às 23h. Os horários dos turnos podem variar. Consulte a descrição de cargo anexa para obter mais informações. Classificação do cargo: 35-9011."&amp;"00 - Atendentes de Salão e Cafeteria e Auxiliares de Bar. A classificação e descrição do cargo/setor inclui informações gerais sobre a posição, de acordo com o ONET/OES e o Sistema de Classificação Industrial da América do Norte (NAICS). Consulte a Descri"&amp;"ção das Funções e a Ordem de Serviço para obter mais informações. Requisitos da Vaga Experiência Necessária: Sim Meses de Experiência Necessários: 3 Requisitos Especiais: O Requerente considerará para emprego qualquer pessoa que possua pelo menos três (3)"&amp;" meses de experiência em atendimento em um ambiente de alta gastronomia ou de grande movimento em um restaurante sofisticado, resort ou clube privado. Número de Horas por Semana: 40 Horário de Trabalho (Início/Término): 8h00 - 16h00")</f>
        <v>Os auxiliares de garçom/garçons serão responsáveis ​​por auxiliar os garçons na preparação das mesas no salão, colocando pratos, copos e talheres; empilhando os pratos e talheres nas bandejas; carregando bandejas e pratos (esses funcionários não anotam pedidos); limpando e desocupando as mesas; servindo água e pão; e auxiliando na montagem e desmontagem de banquetes e buffets. Horário: 40 horas semanais. A escala de trabalho pode variar e incluir turnos noturnos, fins de semana e feriados. O trabalho pode ser realizado em qualquer dia da semana, de segunda a domingo. Exemplos de turnos: 8h às 16h, 11h às 19h ou 15h às 23h. Os horários dos turnos podem variar. Consulte a descrição de cargo anexa para obter mais informações. Classificação do cargo: 35-9011.00 - Atendentes de Salão e Cafeteria e Auxiliares de Bar. A classificação e descrição do cargo/setor inclui informações gerais sobre a posição, de acordo com o ONET/OES e o Sistema de Classificação Industrial da América do Norte (NAICS). Consulte a Descrição das Funções e a Ordem de Serviço para obter mais informações. Requisitos da Vaga Experiência Necessária: Sim Meses de Experiência Necessários: 3 Requisitos Especiais: O Requerente considerará para emprego qualquer pessoa que possua pelo menos três (3) meses de experiência em atendimento em um ambiente de alta gastronomia ou de grande movimento em um restaurante sofisticado, resort ou clube privado. Número de Horas por Semana: 40 Horário de Trabalho (Início/Término): 8h00 - 16h00</v>
      </c>
    </row>
    <row r="1189" ht="20.25" customHeight="1">
      <c r="A1189" s="8" t="s">
        <v>5343</v>
      </c>
      <c r="B1189" s="8" t="s">
        <v>5336</v>
      </c>
      <c r="C1189" s="8" t="s">
        <v>4241</v>
      </c>
      <c r="D1189" s="8" t="s">
        <v>71</v>
      </c>
      <c r="E1189" s="9" t="s">
        <v>44</v>
      </c>
      <c r="F1189" s="9" t="s">
        <v>20</v>
      </c>
      <c r="G1189" s="9" t="s">
        <v>1859</v>
      </c>
      <c r="H1189" s="8" t="s">
        <v>5344</v>
      </c>
      <c r="I1189" s="8" t="s">
        <v>5338</v>
      </c>
      <c r="J1189" s="9">
        <v>22.04</v>
      </c>
      <c r="K1189" s="9">
        <v>3.0</v>
      </c>
      <c r="L1189" s="8" t="s">
        <v>5345</v>
      </c>
      <c r="M1189" s="8" t="s">
        <v>5346</v>
      </c>
      <c r="N1189" s="7" t="str">
        <f>IFERROR(__xludf.DUMMYFUNCTION("GOOGLETRANSLATE(L1189, ""en"", ""pt"")"),"Equipe de Instalações e Banquetes")</f>
        <v>Equipe de Instalações e Banquetes</v>
      </c>
      <c r="O1189" s="7" t="str">
        <f>IFERROR(__xludf.DUMMYFUNCTION("IF(M1189="""","""",GOOGLETRANSLATE(M1189,""en"",""pt""))"),"**Solicitação de Informação** O tipo de serviço e as tarefas de lavanderia incluem auxiliar na lavagem, secagem e dobragem de toalhas de piscina, toalhas de mesa e guardanapos, utilizando uma lavadora e secadora. A “montagem e desmontagem de banquetes” in"&amp;"clui mover e posicionar mesas e cadeiras de banquete utilizando carrinhos e plataformas não motorizadas, bem como mover e posicionar equipamentos de banquete, incluindo rechauds, aquecedores e toalhas de mesa. **Original** A equipe de instalações e banque"&amp;"tes será responsável por auxiliar na manutenção e limpeza das instalações, montagem e desmontagem de banquetes, limpeza da piscina e movimentação de móveis, esvaziamento de lixeiras, serviços leves de limpeza e lavanderia, manutenção de instalações extern"&amp;"as, como quadras de bocha, e apoio aos capitães da marina na atracação de embarcações (auxiliar na atracação de embarcações de membros e amarrar as cordas às cunhas do cais), operação do barco de transporte (acompanhar o capitão do barco de transporte em "&amp;"viagens da marina para a praia e vice-versa, bem como auxiliar os membros no embarque e desembarque do barco de transporte) e serviços leves de limpeza da marina (esvaziamento de lixeiras, limpeza de docas e caixas de armazenamento). Também auxiliará no l"&amp;"ançamento e recolhimento de equipamentos de esportes aquáticos. Horário: 40 horas semanais. O horário de trabalho pode variar e incluir noites, fins de semana e feriados. O trabalho pode ser realizado em qualquer dia da semana, de segunda a domingo. Exemp"&amp;"los de turnos: 6h às 14h, 8h às 16h ou 14h às 22h. Os horários dos turnos podem variar. Consulte a descrição do cargo em anexo para obter mais informações. Classificação do Cargo: 53-6099.00 - Trabalhadores de Transporte, Outros. A classificação e a descr"&amp;"ição do cargo/setor incluem informações gerais sobre a posição, de acordo com o ONET/OES e o Sistema de Classificação Industrial da América do Norte (NAICS). Consulte as Funções e a Ordem de Serviço para obter mais informações. Requisitos do Cargo Experiê"&amp;"ncia Necessária: Sim Meses de Experiência Necessária: 6 Requisitos Especiais: O contratante considerará para emprego qualquer pessoa que possua pelo menos seis (6) meses de experiência em manutenção em um hotel de alto padrão, resort ou clube privado. Núm"&amp;"ero de Horas por Semana: 40 Horário de Trabalho (Início/Término): 6h às 14h")</f>
        <v>**Solicitação de Informação** O tipo de serviço e as tarefas de lavanderia incluem auxiliar na lavagem, secagem e dobragem de toalhas de piscina, toalhas de mesa e guardanapos, utilizando uma lavadora e secadora. A “montagem e desmontagem de banquetes” inclui mover e posicionar mesas e cadeiras de banquete utilizando carrinhos e plataformas não motorizadas, bem como mover e posicionar equipamentos de banquete, incluindo rechauds, aquecedores e toalhas de mesa. **Original** A equipe de instalações e banquetes será responsável por auxiliar na manutenção e limpeza das instalações, montagem e desmontagem de banquetes, limpeza da piscina e movimentação de móveis, esvaziamento de lixeiras, serviços leves de limpeza e lavanderia, manutenção de instalações externas, como quadras de bocha, e apoio aos capitães da marina na atracação de embarcações (auxiliar na atracação de embarcações de membros e amarrar as cordas às cunhas do cais), operação do barco de transporte (acompanhar o capitão do barco de transporte em viagens da marina para a praia e vice-versa, bem como auxiliar os membros no embarque e desembarque do barco de transporte) e serviços leves de limpeza da marina (esvaziamento de lixeiras, limpeza de docas e caixas de armazenamento). Também auxiliará no lançamento e recolhimento de equipamentos de esportes aquáticos. Horário: 40 horas semanais. O horário de trabalho pode variar e incluir noites, fins de semana e feriados. O trabalho pode ser realizado em qualquer dia da semana, de segunda a domingo. Exemplos de turnos: 6h às 14h, 8h às 16h ou 14h às 22h. Os horários dos turnos podem variar. Consulte a descrição do cargo em anexo para obter mais informações. Classificação do Cargo: 53-6099.00 - Trabalhadores de Transporte, Outros. A classificação e a descrição do cargo/setor incluem informações gerais sobre a posição, de acordo com o ONET/OES e o Sistema de Classificação Industrial da América do Norte (NAICS). Consulte as Funções e a Ordem de Serviço para obter mais informações. Requisitos do Cargo Experiência Necessária: Sim Meses de Experiência Necessária: 6 Requisitos Especiais: O contratante considerará para emprego qualquer pessoa que possua pelo menos seis (6) meses de experiência em manutenção em um hotel de alto padrão, resort ou clube privado. Número de Horas por Semana: 40 Horário de Trabalho (Início/Término): 6h às 14h</v>
      </c>
    </row>
    <row r="1190" ht="20.25" customHeight="1">
      <c r="A1190" s="3" t="s">
        <v>5347</v>
      </c>
      <c r="B1190" s="3" t="s">
        <v>5336</v>
      </c>
      <c r="C1190" s="3" t="s">
        <v>4241</v>
      </c>
      <c r="D1190" s="3" t="s">
        <v>71</v>
      </c>
      <c r="E1190" s="4" t="s">
        <v>44</v>
      </c>
      <c r="F1190" s="4" t="s">
        <v>20</v>
      </c>
      <c r="G1190" s="4" t="s">
        <v>1859</v>
      </c>
      <c r="H1190" s="3" t="s">
        <v>5337</v>
      </c>
      <c r="I1190" s="3" t="s">
        <v>5338</v>
      </c>
      <c r="J1190" s="4">
        <v>24.46</v>
      </c>
      <c r="K1190" s="4">
        <v>2.0</v>
      </c>
      <c r="L1190" s="3" t="s">
        <v>3315</v>
      </c>
      <c r="M1190" s="3" t="s">
        <v>5348</v>
      </c>
      <c r="N1190" s="7" t="str">
        <f>IFERROR(__xludf.DUMMYFUNCTION("GOOGLETRANSLATE(L1190, ""en"", ""pt"")"),"Supervisor do refeitório")</f>
        <v>Supervisor do refeitório</v>
      </c>
      <c r="O1190" s="7" t="str">
        <f>IFERROR(__xludf.DUMMYFUNCTION("IF(M1190="""","""",GOOGLETRANSLATE(M1190,""en"",""pt""))"),"Os Supervisores de Salão serão responsáveis ​​por auxiliar o Diretor de Alimentos e Bebidas durante o horário de funcionamento do restaurante, bem como durante banquetes e eventos, atribuindo tarefas auxiliares, estações de mesa e orientando a equipe de a"&amp;"tendimento para melhor servir os clientes, além de auxiliar em tarefas administrativas, incluindo a auditoria do estoque de alimentos e bebidas e dos recibos de refeições de cada turno, conforme necessário. Pode ser necessário levantar de 13 a 23 kg. Pode"&amp;" supervisionar até dez (10) funcionários de atendimento durante um turno, especificamente Auxiliares de Garçom/Garçonete, Garçons, Bartenders e Recepcionistas. Horário: 40 horas semanais. O horário de trabalho pode variar e incluir turnos noturnos, fins d"&amp;"e semana e feriados. O trabalho pode ser realizado em qualquer dia da semana, de segunda a domingo. Exemplos de turnos: 8h às 16h, 10h às 18h ou 14h às 22h. Os horários dos turnos podem variar. Consulte a descrição do cargo em anexo para obter mais inform"&amp;"ações. Classificação da Função: 35-1012.00 - Supervisores de Primeira Linha de Preparadores e Servidores de Alimentos. A classificação e descrição da função/setor inclui informações gerais sobre o cargo, de acordo com o ONET/OES e o Sistema de Classificaç"&amp;"ão Industrial da América do Norte (NAICS). Consulte as Funções e a Ordem de Serviço para obter mais informações. Requisitos da Função Experiência Necessária: Sim Meses de Experiência Necessários: 6 Requisitos Especiais: O contratante considerará para empr"&amp;"ego qualquer pessoa que possua pelo menos seis (6) meses de experiência em supervisão em um ambiente de alta gastronomia ou de grande movimento, em um restaurante sofisticado, resort ou clube privado. Número de Horas por Semana: 40 Horário de Trabalho (In"&amp;"ício/Término): 8h00 - 16h00")</f>
        <v>Os Supervisores de Salão serão responsáveis ​​por auxiliar o Diretor de Alimentos e Bebidas durante o horário de funcionamento do restaurante, bem como durante banquetes e eventos, atribuindo tarefas auxiliares, estações de mesa e orientando a equipe de atendimento para melhor servir os clientes, além de auxiliar em tarefas administrativas, incluindo a auditoria do estoque de alimentos e bebidas e dos recibos de refeições de cada turno, conforme necessário. Pode ser necessário levantar de 13 a 23 kg. Pode supervisionar até dez (10) funcionários de atendimento durante um turno, especificamente Auxiliares de Garçom/Garçonete, Garçons, Bartenders e Recepcionistas. Horário: 40 horas semanais. O horário de trabalho pode variar e incluir turnos noturnos, fins de semana e feriados. O trabalho pode ser realizado em qualquer dia da semana, de segunda a domingo. Exemplos de turnos: 8h às 16h, 10h às 18h ou 14h às 22h. Os horários dos turnos podem variar. Consulte a descrição do cargo em anexo para obter mais informações. Classificação da Função: 35-1012.00 - Supervisores de Primeira Linha de Preparadores e Servidores de Alimentos. A classificação e descrição da função/setor inclui informações gerais sobre o cargo, de acordo com o ONET/OES e o Sistema de Classificação Industrial da América do Norte (NAICS). Consulte as Funções e a Ordem de Serviço para obter mais informações. Requisitos da Função Experiência Necessária: Sim Meses de Experiência Necessários: 6 Requisitos Especiais: O contratante considerará para emprego qualquer pessoa que possua pelo menos seis (6) meses de experiência em supervisão em um ambiente de alta gastronomia ou de grande movimento, em um restaurante sofisticado, resort ou clube privado. Número de Horas por Semana: 40 Horário de Trabalho (Início/Término): 8h00 - 16h00</v>
      </c>
    </row>
    <row r="1191" ht="20.25" customHeight="1">
      <c r="A1191" s="8" t="s">
        <v>5349</v>
      </c>
      <c r="B1191" s="8" t="s">
        <v>5336</v>
      </c>
      <c r="C1191" s="8" t="s">
        <v>4241</v>
      </c>
      <c r="D1191" s="8" t="s">
        <v>71</v>
      </c>
      <c r="E1191" s="9" t="s">
        <v>44</v>
      </c>
      <c r="F1191" s="9" t="s">
        <v>20</v>
      </c>
      <c r="G1191" s="9" t="s">
        <v>1859</v>
      </c>
      <c r="H1191" s="8" t="s">
        <v>5337</v>
      </c>
      <c r="I1191" s="8" t="s">
        <v>5338</v>
      </c>
      <c r="J1191" s="9">
        <v>19.88</v>
      </c>
      <c r="K1191" s="9">
        <v>8.0</v>
      </c>
      <c r="L1191" s="8" t="s">
        <v>586</v>
      </c>
      <c r="M1191" s="8" t="s">
        <v>5350</v>
      </c>
      <c r="N1191" s="7" t="str">
        <f>IFERROR(__xludf.DUMMYFUNCTION("GOOGLETRANSLATE(L1191, ""en"", ""pt"")"),"Cozinheiro de linha")</f>
        <v>Cozinheiro de linha</v>
      </c>
      <c r="O1191" s="7" t="str">
        <f>IFERROR(__xludf.DUMMYFUNCTION("IF(M1191="""","""",GOOGLETRANSLATE(M1191,""en"",""pt""))"),"Os cozinheiros de linha serão responsáveis ​​por preparar, temperar e cozinhar sopas, carnes, legumes, sobremesas e outros itens alimentícios em um restaurante, além de auxiliar na limpeza e lavagem de louça durante as operações normais. É necessário sabe"&amp;"r ler e seguir listas de preparo e receitas. Os cozinheiros de linha também auxiliarão nas estações supervisionadas pelo chef durante banquetes e buffets do clube. Horário: 40 horas semanais. O horário de trabalho pode variar e incluir turnos noturnos, fi"&amp;"ns de semana e feriados. O trabalho pode ser realizado em qualquer dia da semana, de segunda a domingo. Exemplos de turnos: 8h às 16h, 10h às 18h ou 14h às 22h. Os horários dos turnos podem variar. Consulte a descrição do cargo em anexo para obter mais in"&amp;"formações. Classificação do Cargo: 35-2014.00 - Cozinheiros, Restaurante. A classificação e descrição do cargo/setor incluem informações gerais sobre a posição, de acordo com o ONET/OES e o Sistema de Classificação Industrial da América do Norte. Consulte"&amp;" as Funções e a Ordem de Serviço para obter mais informações. Requisitos da vaga Experiência necessária: Sim Meses de experiência necessários: 6 Requisitos especiais: O contratante considerará para emprego qualquer pessoa que possua pelo menos seis (6) me"&amp;"ses de experiência culinária em um ambiente de alta gastronomia ou de grande movimento em um restaurante sofisticado, resort ou clube privado. Número de horas por semana: 40 Horário de trabalho (início/término): 8h00 - 16h00")</f>
        <v>Os cozinheiros de linha serão responsáveis ​​por preparar, temperar e cozinhar sopas, carnes, legumes, sobremesas e outros itens alimentícios em um restaurante, além de auxiliar na limpeza e lavagem de louça durante as operações normais. É necessário saber ler e seguir listas de preparo e receitas. Os cozinheiros de linha também auxiliarão nas estações supervisionadas pelo chef durante banquetes e buffets do clube. Horário: 40 horas semanais. O horário de trabalho pode variar e incluir turnos noturnos, fins de semana e feriados. O trabalho pode ser realizado em qualquer dia da semana, de segunda a domingo. Exemplos de turnos: 8h às 16h, 10h às 18h ou 14h às 22h. Os horários dos turnos podem variar. Consulte a descrição do cargo em anexo para obter mais informações. Classificação do Cargo: 35-2014.00 - Cozinheiros, Restaurante. A classificação e descrição do cargo/setor incluem informações gerais sobre a posição, de acordo com o ONET/OES e o Sistema de Classificação Industrial da América do Norte. Consulte as Funções e a Ordem de Serviço para obter mais informações. Requisitos da vaga Experiência necessária: Sim Meses de experiência necessários: 6 Requisitos especiais: O contratante considerará para emprego qualquer pessoa que possua pelo menos seis (6) meses de experiência culinária em um ambiente de alta gastronomia ou de grande movimento em um restaurante sofisticado, resort ou clube privado. Número de horas por semana: 40 Horário de trabalho (início/término): 8h00 - 16h00</v>
      </c>
    </row>
    <row r="1192" ht="20.25" customHeight="1">
      <c r="A1192" s="3" t="s">
        <v>5351</v>
      </c>
      <c r="B1192" s="3" t="s">
        <v>5352</v>
      </c>
      <c r="C1192" s="3" t="s">
        <v>4241</v>
      </c>
      <c r="D1192" s="3" t="s">
        <v>4521</v>
      </c>
      <c r="E1192" s="4" t="s">
        <v>44</v>
      </c>
      <c r="F1192" s="4" t="s">
        <v>20</v>
      </c>
      <c r="G1192" s="4" t="s">
        <v>2339</v>
      </c>
      <c r="H1192" s="3" t="s">
        <v>5353</v>
      </c>
      <c r="I1192" s="3" t="s">
        <v>5354</v>
      </c>
      <c r="J1192" s="4">
        <v>18.48</v>
      </c>
      <c r="K1192" s="4">
        <v>18.0</v>
      </c>
      <c r="L1192" s="3" t="s">
        <v>354</v>
      </c>
      <c r="M1192" s="3" t="s">
        <v>5355</v>
      </c>
      <c r="N1192" s="7" t="str">
        <f>IFERROR(__xludf.DUMMYFUNCTION("GOOGLETRANSLATE(L1192, ""en"", ""pt"")"),"Governanta")</f>
        <v>Governanta</v>
      </c>
      <c r="O1192" s="7" t="str">
        <f>IFERROR(__xludf.DUMMYFUNCTION("IF(M1192="""","""",GOOGLETRANSLATE(M1192,""en"",""pt""))"),"Os(As) camareiros(as) serão responsáveis ​​pela limpeza e manutenção de todos os quartos, suítes e áreas comuns internas do Smugglers’ Notch Resort, incluindo aspirar o chão, tirar o pó, repor roupas de cama e toalhas, desinfetar banheiros e limpar janela"&amp;"s internas com spray Windex e panos. Os(As) camareiros(as) devem completar um período de orientação e treinamento antes de trabalharem de forma independente e antes de receberem pagamento por produção. O(A) camareiro(a) também poderá ser elegível para mai"&amp;"ores responsabilidades, acompanhadas de aumento salarial, com base no treinamento, qualidade e nível de comprometimento. Esse aumento de responsabilidades, acompanhado de aumento salarial, pode incluir a inspeção final dos quartos, o relato de problemas d"&amp;"e manutenção e o controle de estoque. Horário: 35 horas semanais. O horário de trabalho pode variar e incluir turnos noturnos, fins de semana e feriados. O trabalho pode ser realizado em qualquer dia da semana, de segunda a domingo. Exemplos de turnos: 9h"&amp;" às 16h ou 11h às 18h. Os horários dos turnos podem variar. Consulte a descrição do cargo em anexo para obter mais informações. Classificação da Função: 37-2012.00 - Empregadas Domésticas e Auxiliares de Limpeza. A classificação e descrição da função/seto"&amp;"r inclui informações gerais sobre o cargo, conforme o ONET/OES e o Sistema de Classificação Industrial da América do Norte (NAICS). Consulte as Funções e a Ordem de Serviço para obter mais informações. Requisitos da Função: Experiência Necessária: Não. Re"&amp;"quisitos Especiais: O candidato deverá se submeter a uma verificação de antecedentes pré-admissional, custeada pelo empregador. Número de Horas por Semana: 35. Horário de Trabalho (Início/Término): 9h às 16h.")</f>
        <v>Os(As) camareiros(as) serão responsáveis ​​pela limpeza e manutenção de todos os quartos, suítes e áreas comuns internas do Smugglers’ Notch Resort, incluindo aspirar o chão, tirar o pó, repor roupas de cama e toalhas, desinfetar banheiros e limpar janelas internas com spray Windex e panos. Os(As) camareiros(as) devem completar um período de orientação e treinamento antes de trabalharem de forma independente e antes de receberem pagamento por produção. O(A) camareiro(a) também poderá ser elegível para maiores responsabilidades, acompanhadas de aumento salarial, com base no treinamento, qualidade e nível de comprometimento. Esse aumento de responsabilidades, acompanhado de aumento salarial, pode incluir a inspeção final dos quartos, o relato de problemas de manutenção e o controle de estoque. Horário: 35 horas semanais. O horário de trabalho pode variar e incluir turnos noturnos, fins de semana e feriados. O trabalho pode ser realizado em qualquer dia da semana, de segunda a domingo. Exemplos de turnos: 9h às 16h ou 11h às 18h. Os horários dos turnos podem variar. Consulte a descrição do cargo em anexo para obter mais informações. Classificação da Função: 37-2012.00 - Empregadas Domésticas e Auxiliares de Limpeza. A classificação e descrição da função/setor inclui informações gerais sobre o cargo, conforme o ONET/OES e o Sistema de Classificação Industrial da América do Norte (NAICS). Consulte as Funções e a Ordem de Serviço para obter mais informações. Requisitos da Função: Experiência Necessária: Não. Requisitos Especiais: O candidato deverá se submeter a uma verificação de antecedentes pré-admissional, custeada pelo empregador. Número de Horas por Semana: 35. Horário de Trabalho (Início/Término): 9h às 16h.</v>
      </c>
    </row>
    <row r="1193" ht="20.25" customHeight="1">
      <c r="A1193" s="8" t="s">
        <v>5356</v>
      </c>
      <c r="B1193" s="8" t="s">
        <v>5357</v>
      </c>
      <c r="C1193" s="8" t="s">
        <v>4241</v>
      </c>
      <c r="D1193" s="8" t="s">
        <v>71</v>
      </c>
      <c r="E1193" s="9" t="s">
        <v>19</v>
      </c>
      <c r="F1193" s="9" t="s">
        <v>20</v>
      </c>
      <c r="G1193" s="9" t="s">
        <v>524</v>
      </c>
      <c r="H1193" s="8" t="s">
        <v>5358</v>
      </c>
      <c r="I1193" s="8" t="s">
        <v>5359</v>
      </c>
      <c r="J1193" s="9">
        <v>19.51</v>
      </c>
      <c r="K1193" s="9">
        <v>16.0</v>
      </c>
      <c r="L1193" s="8" t="s">
        <v>1206</v>
      </c>
      <c r="M1193" s="8" t="s">
        <v>5360</v>
      </c>
      <c r="N1193" s="7" t="str">
        <f>IFERROR(__xludf.DUMMYFUNCTION("GOOGLETRANSLATE(L1193, ""en"", ""pt"")"),"Servidor")</f>
        <v>Servidor</v>
      </c>
      <c r="O1193" s="7" t="str">
        <f>IFERROR(__xludf.DUMMYFUNCTION("IF(M1193="""","""",GOOGLETRANSLATE(M1193,""en"",""pt""))"),"Os garçons serão responsáveis ​​por recepcionar os clientes, acomodá-los às mesas, preparar o salão, anotar e registrar pedidos, transportar bandejas e pratos, preparar e servir bebidas, limpar copos e equipamentos de bar, servir comidas e bebidas, e limp"&amp;"ar e retirar os pratos das mesas. Horário: 40 horas semanais. A escala de trabalho pode variar e incluir turnos noturnos, fins de semana e feriados. O trabalho pode ser realizado em qualquer dia da semana, de segunda a domingo. Exemplos de turnos: 10h às "&amp;"18h, 16h às 00h ou 9h às 17h. Os horários dos turnos podem variar. Consulte a descrição da vaga para obter mais informações. Classificação da vaga: 35-3011.00 - Bartenders. A classificação e descrição da vaga/setor incluem informações gerais sobre o cargo"&amp;", de acordo com o ONET/OES e o Sistema de Classificação Industrial da América do Norte (NAICS). Consulte as Funções e a Ordem de Serviço para obter mais informações. Requisitos da Vaga Experiência Necessária: Sim Meses de Experiência Necessários: 6 Requis"&amp;"itos Especiais: O Requerente considerará para emprego qualquer candidato que possua pelo menos seis (6) meses de experiência em atendimento em um ambiente de alta gastronomia ou de grande movimento em um restaurante sofisticado, resort ou clube privado. O"&amp;" candidato deverá se submeter à verificação de antecedentes e ao exame toxicológico pré-admissional, às custas do empregador. Número de Horas por Semana: 40 Horário de Trabalho (Início/Término): 10:00 - 18:00")</f>
        <v>Os garçons serão responsáveis ​​por recepcionar os clientes, acomodá-los às mesas, preparar o salão, anotar e registrar pedidos, transportar bandejas e pratos, preparar e servir bebidas, limpar copos e equipamentos de bar, servir comidas e bebidas, e limpar e retirar os pratos das mesas. Horário: 40 horas semanais. A escala de trabalho pode variar e incluir turnos noturnos, fins de semana e feriados. O trabalho pode ser realizado em qualquer dia da semana, de segunda a domingo. Exemplos de turnos: 10h às 18h, 16h às 00h ou 9h às 17h. Os horários dos turnos podem variar. Consulte a descrição da vaga para obter mais informações. Classificação da vaga: 35-3011.00 - Bartenders. A classificação e descrição da vaga/setor incluem informações gerais sobre o cargo, de acordo com o ONET/OES e o Sistema de Classificação Industrial da América do Norte (NAICS). Consulte as Funções e a Ordem de Serviço para obter mais informações. Requisitos da Vaga Experiência Necessária: Sim Meses de Experiência Necessários: 6 Requisitos Especiais: O Requerente considerará para emprego qualquer candidato que possua pelo menos seis (6) meses de experiência em atendimento em um ambiente de alta gastronomia ou de grande movimento em um restaurante sofisticado, resort ou clube privado. O candidato deverá se submeter à verificação de antecedentes e ao exame toxicológico pré-admissional, às custas do empregador. Número de Horas por Semana: 40 Horário de Trabalho (Início/Término): 10:00 - 18:00</v>
      </c>
    </row>
    <row r="1194" ht="20.25" customHeight="1">
      <c r="A1194" s="3" t="s">
        <v>5361</v>
      </c>
      <c r="B1194" s="3" t="s">
        <v>5357</v>
      </c>
      <c r="C1194" s="3" t="s">
        <v>4241</v>
      </c>
      <c r="D1194" s="3" t="s">
        <v>71</v>
      </c>
      <c r="E1194" s="4" t="s">
        <v>44</v>
      </c>
      <c r="F1194" s="4" t="s">
        <v>20</v>
      </c>
      <c r="G1194" s="4" t="s">
        <v>524</v>
      </c>
      <c r="H1194" s="3" t="s">
        <v>5358</v>
      </c>
      <c r="I1194" s="3" t="s">
        <v>5359</v>
      </c>
      <c r="J1194" s="4">
        <v>19.51</v>
      </c>
      <c r="K1194" s="4">
        <v>4.0</v>
      </c>
      <c r="L1194" s="3" t="s">
        <v>1684</v>
      </c>
      <c r="M1194" s="3" t="s">
        <v>5362</v>
      </c>
      <c r="N1194" s="7" t="str">
        <f>IFERROR(__xludf.DUMMYFUNCTION("GOOGLETRANSLATE(L1194, ""en"", ""pt"")"),"Barman")</f>
        <v>Barman</v>
      </c>
      <c r="O1194" s="7" t="str">
        <f>IFERROR(__xludf.DUMMYFUNCTION("IF(M1194="""","""",GOOGLETRANSLATE(M1194,""en"",""pt""))"),"Os bartenders serão responsáveis ​​por servir comida, preparar e servir bebidas para sócios e convidados, limpar copos e equipamentos do bar e garantir que o bar e as áreas de trabalho estejam limpos e bem abastecidos. Horário: 40 horas semanais. O horári"&amp;"o de trabalho pode variar e incluir turnos noturnos, fins de semana e feriados. O trabalho pode ser realizado em qualquer dia da semana, de segunda a domingo. Exemplos de turnos: 10h às 18h, 16h às 00h ou 9h às 17h. Os horários dos turnos podem variar. Co"&amp;"nsulte a descrição da vaga para obter mais detalhes. Classificação da vaga: 35-3011.00 - Bartenders. A classificação e a descrição da vaga/setor incluem informações gerais sobre o cargo, de acordo com o ONET/OES e o Sistema de Classificação Industrial da "&amp;"América do Norte. Consulte as Funções e a Ordem de Serviço para obter mais informações. Requisitos da Vaga Experiência Necessária: Sim Meses de Experiência Necessários: 3 Requisitos Especiais: O contratante considerará para emprego qualquer candidato que "&amp;"possua pelo menos três (3) meses de experiência em um ambiente de alta gastronomia ou de grande movimento em um restaurante sofisticado, resort ou clube privado. O candidato deverá se submeter à verificação de antecedentes e ao exame toxicológico pré-admi"&amp;"ssional, às custas do empregador. Número de Horas por Semana: 40 Horário de Trabalho (Início/Término): 10:00 - 18:00")</f>
        <v>Os bartenders serão responsáveis ​​por servir comida, preparar e servir bebidas para sócios e convidados, limpar copos e equipamentos do bar e garantir que o bar e as áreas de trabalho estejam limpos e bem abastecidos. Horário: 40 horas semanais. O horário de trabalho pode variar e incluir turnos noturnos, fins de semana e feriados. O trabalho pode ser realizado em qualquer dia da semana, de segunda a domingo. Exemplos de turnos: 10h às 18h, 16h às 00h ou 9h às 17h. Os horários dos turnos podem variar. Consulte a descrição da vaga para obter mais detalhes. Classificação da vaga: 35-3011.00 - Bartenders. A classificação e a descrição da vaga/setor incluem informações gerais sobre o cargo, de acordo com o ONET/OES e o Sistema de Classificação Industrial da América do Norte. Consulte as Funções e a Ordem de Serviço para obter mais informações. Requisitos da Vaga Experiência Necessária: Sim Meses de Experiência Necessários: 3 Requisitos Especiais: O contratante considerará para emprego qualquer candidato que possua pelo menos três (3) meses de experiência em um ambiente de alta gastronomia ou de grande movimento em um restaurante sofisticado, resort ou clube privado. O candidato deverá se submeter à verificação de antecedentes e ao exame toxicológico pré-admissional, às custas do empregador. Número de Horas por Semana: 40 Horário de Trabalho (Início/Término): 10:00 - 18:00</v>
      </c>
    </row>
    <row r="1195" ht="20.25" customHeight="1">
      <c r="A1195" s="8" t="s">
        <v>5363</v>
      </c>
      <c r="B1195" s="8" t="s">
        <v>5364</v>
      </c>
      <c r="C1195" s="8" t="s">
        <v>4241</v>
      </c>
      <c r="D1195" s="8" t="s">
        <v>71</v>
      </c>
      <c r="E1195" s="9" t="s">
        <v>19</v>
      </c>
      <c r="F1195" s="9" t="s">
        <v>20</v>
      </c>
      <c r="G1195" s="9" t="s">
        <v>384</v>
      </c>
      <c r="H1195" s="8" t="s">
        <v>5365</v>
      </c>
      <c r="I1195" s="8" t="s">
        <v>5366</v>
      </c>
      <c r="J1195" s="9">
        <v>19.88</v>
      </c>
      <c r="K1195" s="9">
        <v>8.0</v>
      </c>
      <c r="L1195" s="8" t="s">
        <v>387</v>
      </c>
      <c r="M1195" s="8" t="s">
        <v>5367</v>
      </c>
      <c r="N1195" s="7" t="str">
        <f>IFERROR(__xludf.DUMMYFUNCTION("GOOGLETRANSLATE(L1195, ""en"", ""pt"")"),"Ordem de serviço não disponível")</f>
        <v>Ordem de serviço não disponível</v>
      </c>
      <c r="O1195" s="7" t="str">
        <f>IFERROR(__xludf.DUMMYFUNCTION("IF(M1195="""","""",GOOGLETRANSLATE(M1195,""en"",""pt""))"),"Os cozinheiros serão responsáveis ​​por preparar, temperar e cozinhar sopas, carnes, legumes, sobremesas e outros pratos em um restaurante de grande movimento. O candidato ideal tem espírito de equipe, é capaz de realizar múltiplas tarefas em um ambiente "&amp;"de alto volume e está disposto a auxiliar na reorganização do mobiliário e na decoração de eventos, banquetes e festas particulares. Horário: 35 horas semanais. O horário de trabalho pode variar e incluir noites, fins de semana e feriados. O trabalho pode"&amp;" ser realizado em qualquer dia da semana, de segunda a domingo. Exemplos de turnos: das 8h às 15h ou das 14h às 21h. Os horários dos turnos podem variar. Pode haver necessidade de trabalhar em turnos duplos ocasionalmente. Consulte a descrição da vaga par"&amp;"a obter mais informações. Classificação da vaga: 35-2014.00 - Cozinheiros, Restaurante. A classificação e a descrição da vaga/setor incluem informações gerais sobre o cargo, de acordo com o ONET/OES e o Sistema de Classificação Industrial da América do No"&amp;"rte. Consulte as Funções e a Ordem de Serviço para obter mais informações. Requisitos da Vaga Experiência Necessária: Sim Meses de Experiência Necessários: 12 Requisitos Especiais: O contratante considerará para emprego qualquer pessoa que possua pelo men"&amp;"os um (1) ano de experiência culinária em um ambiente de alta gastronomia ou de grande movimento em um restaurante sofisticado, resort ou clube privado. O candidato deverá se submeter à verificação de antecedentes e ao exame toxicológico pré-admissional, "&amp;"às custas do empregador. Número de Horas por Semana: 35 Horário de Trabalho (Início/Término): 8h00 - 15h00")</f>
        <v>Os cozinheiros serão responsáveis ​​por preparar, temperar e cozinhar sopas, carnes, legumes, sobremesas e outros pratos em um restaurante de grande movimento. O candidato ideal tem espírito de equipe, é capaz de realizar múltiplas tarefas em um ambiente de alto volume e está disposto a auxiliar na reorganização do mobiliário e na decoração de eventos, banquetes e festas particulares. Horário: 35 horas semanais. O horário de trabalho pode variar e incluir noites, fins de semana e feriados. O trabalho pode ser realizado em qualquer dia da semana, de segunda a domingo. Exemplos de turnos: das 8h às 15h ou das 14h às 21h. Os horários dos turnos podem variar. Pode haver necessidade de trabalhar em turnos duplos ocasionalmente. Consulte a descrição da vaga para obter mais informações. Classificação da vaga: 35-2014.00 - Cozinheiros, Restaurante. A classificação e a descrição da vaga/setor incluem informações gerais sobre o cargo, de acordo com o ONET/OES e o Sistema de Classificação Industrial da América do Norte. Consulte as Funções e a Ordem de Serviço para obter mais informações. Requisitos da Vaga Experiência Necessária: Sim Meses de Experiência Necessários: 12 Requisitos Especiais: O contratante considerará para emprego qualquer pessoa que possua pelo menos um (1) ano de experiência culinária em um ambiente de alta gastronomia ou de grande movimento em um restaurante sofisticado, resort ou clube privado. O candidato deverá se submeter à verificação de antecedentes e ao exame toxicológico pré-admissional, às custas do empregador. Número de Horas por Semana: 35 Horário de Trabalho (Início/Término): 8h00 - 15h00</v>
      </c>
    </row>
    <row r="1196" ht="20.25" customHeight="1">
      <c r="A1196" s="3" t="s">
        <v>5368</v>
      </c>
      <c r="B1196" s="3" t="s">
        <v>5364</v>
      </c>
      <c r="C1196" s="3" t="s">
        <v>4241</v>
      </c>
      <c r="D1196" s="3" t="s">
        <v>71</v>
      </c>
      <c r="E1196" s="4" t="s">
        <v>19</v>
      </c>
      <c r="F1196" s="4" t="s">
        <v>20</v>
      </c>
      <c r="G1196" s="4" t="s">
        <v>384</v>
      </c>
      <c r="H1196" s="3" t="s">
        <v>5369</v>
      </c>
      <c r="I1196" s="3" t="s">
        <v>5366</v>
      </c>
      <c r="J1196" s="4">
        <v>20.13</v>
      </c>
      <c r="K1196" s="4">
        <v>15.0</v>
      </c>
      <c r="L1196" s="3" t="s">
        <v>1206</v>
      </c>
      <c r="M1196" s="3" t="s">
        <v>5370</v>
      </c>
      <c r="N1196" s="7" t="str">
        <f>IFERROR(__xludf.DUMMYFUNCTION("GOOGLETRANSLATE(L1196, ""en"", ""pt"")"),"Servidor")</f>
        <v>Servidor</v>
      </c>
      <c r="O1196" s="7" t="str">
        <f>IFERROR(__xludf.DUMMYFUNCTION("IF(M1196="""","""",GOOGLETRANSLATE(M1196,""en"",""pt""))"),"Os garçons serão responsáveis ​​por anotar e registrar pedidos de comida e bebida, servir café da manhã, almoço e/ou jantar aos clientes, arrumar e limpar as mesas e manter os postos de trabalho limpos. Os garçons também são responsáveis ​​pela montagem e"&amp;" desmontagem de eventos para membros do clube e/ou banquetes. A montagem de banquetes inclui reorganizar os móveis e montar mesas de buffet e decorações para eventos, banquetes e funções privadas. Os garçons devem seguir todas as normas sanitárias municip"&amp;"ais e estaduais. Horário: 35 horas semanais. O horário de trabalho pode variar e incluir turnos noturnos, fins de semana e feriados. O trabalho pode ser realizado em qualquer dia da semana, de segunda a domingo. Exemplos de turnos: das 9h às 16h ou das 15"&amp;"h às 22h. Os horários dos turnos podem variar. Pode haver necessidade ocasional de trabalhar em turnos duplos. Consulte a descrição da vaga para obter mais informações. Classificação da vaga: 35-3031.00 - Garçons e Garçonetes. A classificação e descrição "&amp;"da vaga/setor inclui informações gerais sobre o cargo, de acordo com o ONET/OES e o Sistema de Classificação Industrial da América do Norte (NAICS). Consulte a Descrição das Funções e a Ordem de Serviço para obter mais informações. Requisitos da Vaga Expe"&amp;"riência Necessária: Sim Meses de Experiência Necessários: 6 Requisitos Especiais: O contratante considerará para emprego qualquer pessoa que possua pelo menos seis (6) meses de experiência em atendimento em um ambiente de alta gastronomia ou de grande mov"&amp;"imento em um restaurante sofisticado, resort ou clube privado. O candidato deverá se submeter à verificação de antecedentes e ao exame toxicológico pré-admissional, às custas do empregador. Número de Horas por Semana: 35 Horário de Trabalho (Início/Términ"&amp;"o): 9h00 - 16h00")</f>
        <v>Os garçons serão responsáveis ​​por anotar e registrar pedidos de comida e bebida, servir café da manhã, almoço e/ou jantar aos clientes, arrumar e limpar as mesas e manter os postos de trabalho limpos. Os garçons também são responsáveis ​​pela montagem e desmontagem de eventos para membros do clube e/ou banquetes. A montagem de banquetes inclui reorganizar os móveis e montar mesas de buffet e decorações para eventos, banquetes e funções privadas. Os garçons devem seguir todas as normas sanitárias municipais e estaduais. Horário: 35 horas semanais. O horário de trabalho pode variar e incluir turnos noturnos, fins de semana e feriados. O trabalho pode ser realizado em qualquer dia da semana, de segunda a domingo. Exemplos de turnos: das 9h às 16h ou das 15h às 22h. Os horários dos turnos podem variar. Pode haver necessidade ocasional de trabalhar em turnos duplos. Consulte a descrição da vaga para obter mais informações. Classificação da vaga: 35-3031.00 - Garçons e Garçonetes. A classificação e descrição da vaga/setor inclui informações gerais sobre o cargo, de acordo com o ONET/OES e o Sistema de Classificação Industrial da América do Norte (NAICS). Consulte a Descrição das Funções e a Ordem de Serviço para obter mais informações. Requisitos da Vaga Experiência Necessária: Sim Meses de Experiência Necessários: 6 Requisitos Especiais: O contratante considerará para emprego qualquer pessoa que possua pelo menos seis (6) meses de experiência em atendimento em um ambiente de alta gastronomia ou de grande movimento em um restaurante sofisticado, resort ou clube privado. O candidato deverá se submeter à verificação de antecedentes e ao exame toxicológico pré-admissional, às custas do empregador. Número de Horas por Semana: 35 Horário de Trabalho (Início/Término): 9h00 - 16h00</v>
      </c>
    </row>
    <row r="1197" ht="20.25" customHeight="1">
      <c r="A1197" s="8" t="s">
        <v>5371</v>
      </c>
      <c r="B1197" s="8" t="s">
        <v>5364</v>
      </c>
      <c r="C1197" s="8" t="s">
        <v>4241</v>
      </c>
      <c r="D1197" s="8" t="s">
        <v>71</v>
      </c>
      <c r="E1197" s="9" t="s">
        <v>19</v>
      </c>
      <c r="F1197" s="9" t="s">
        <v>20</v>
      </c>
      <c r="G1197" s="9" t="s">
        <v>384</v>
      </c>
      <c r="H1197" s="8" t="s">
        <v>5365</v>
      </c>
      <c r="I1197" s="8" t="s">
        <v>5366</v>
      </c>
      <c r="J1197" s="9">
        <v>19.05</v>
      </c>
      <c r="K1197" s="9">
        <v>4.0</v>
      </c>
      <c r="L1197" s="8" t="s">
        <v>5372</v>
      </c>
      <c r="M1197" s="8" t="s">
        <v>5373</v>
      </c>
      <c r="N1197" s="7" t="str">
        <f>IFERROR(__xludf.DUMMYFUNCTION("GOOGLETRANSLATE(L1197, ""en"", ""pt"")"),"Auxiliar de entrega de comida/expositor")</f>
        <v>Auxiliar de entrega de comida/expositor</v>
      </c>
      <c r="O1197" s="7" t="str">
        <f>IFERROR(__xludf.DUMMYFUNCTION("IF(M1197="""","""",GOOGLETRANSLATE(M1197,""en"",""pt""))"),"Os Auxiliares de Garçom/Entregadores de Comida serão responsáveis ​​por entregar os pedidos da cozinha às mesas dos clientes, comunicar os pedidos aos chefs, atentando-se às prioridades e solicitações especiais, incluindo alergias alimentares. Os Auxiliar"&amp;"es de Garçom/Entregadores de Comida auxiliarão a equipe de serviço na preparação das mesas, colocando os pratos, talheres e guardanapos adequados, e servirão bebidas de boas-vindas e aperitivos na chegada dos clientes, quando aplicável. Serão responsáveis"&amp;" ​​por garantir que todos os alimentos sejam servidos de acordo com os padrões de segurança e qualidade, incluindo a temperatura adequada, verificando se os clientes estão satisfeitos e auxiliando com solicitações adicionais, como reabastecer a água ou re"&amp;"passar as necessidades à equipe de serviço. Os Auxiliares de Garçom/Entregadores de Comida também recolherão pratos, copos e talheres sujos das mesas prontamente, responderão às perguntas dos clientes sobre os itens do cardápio e ingredientes e ajudarão a"&amp;" criar uma experiência gastronômica acolhedora para todos os clientes, incluindo famílias com crianças. O candidato ideal é orientado para o trabalho em equipe, capaz de realizar várias tarefas simultaneamente em um ambiente de alto volume e disposto a au"&amp;"xiliar na reorganização dos móveis e na decoração de eventos, banquetes e funções privadas. Horário: 35 horas por semana. O horário de trabalho pode variar e incluir turnos noturnos, fins de semana e feriados. O trabalho pode ser realizado em qualquer dia"&amp;" da semana, de segunda a domingo. Exemplos de turnos: das 9h às 16h ou das 15h às 22h. Os horários dos turnos podem variar. Pode haver necessidade ocasional de trabalhar em turnos duplos. Consulte a descrição da vaga para obter mais informações. Classific"&amp;"ação da vaga: 53-7062.00 - Operários e Movimentadores de Carga, Estoque e Materiais. A classificação e a descrição da vaga/setor incluem informações gerais sobre o cargo, de acordo com o ONET/OES e o Sistema de Classificação Industrial da América do Norte"&amp;" (NAICS). Consulte as Funções e a Ordem de Serviço para obter mais informações. Requisitos da vaga: Experiência exigida: Sim. Meses de experiência exigidos: 6. Requisitos especiais: O contratante considerará para emprego qualquer pessoa que possua pelo me"&amp;"nos seis (6) meses de experiência em atendimento ao público em um ambiente de alta gastronomia ou de grande movimento, em um restaurante sofisticado, resort ou clube privado. O candidato deverá se submeter à verificação de antecedentes e ao exame toxicoló"&amp;"gico pré-admissional, às custas do empregador. Número de horas por semana: 35 Horário de trabalho (início/término): 9h00 - 16h00")</f>
        <v>Os Auxiliares de Garçom/Entregadores de Comida serão responsáveis ​​por entregar os pedidos da cozinha às mesas dos clientes, comunicar os pedidos aos chefs, atentando-se às prioridades e solicitações especiais, incluindo alergias alimentares. Os Auxiliares de Garçom/Entregadores de Comida auxiliarão a equipe de serviço na preparação das mesas, colocando os pratos, talheres e guardanapos adequados, e servirão bebidas de boas-vindas e aperitivos na chegada dos clientes, quando aplicável. Serão responsáveis ​​por garantir que todos os alimentos sejam servidos de acordo com os padrões de segurança e qualidade, incluindo a temperatura adequada, verificando se os clientes estão satisfeitos e auxiliando com solicitações adicionais, como reabastecer a água ou repassar as necessidades à equipe de serviço. Os Auxiliares de Garçom/Entregadores de Comida também recolherão pratos, copos e talheres sujos das mesas prontamente, responderão às perguntas dos clientes sobre os itens do cardápio e ingredientes e ajudarão a criar uma experiência gastronômica acolhedora para todos os clientes, incluindo famílias com crianças. O candidato ideal é orientado para o trabalho em equipe, capaz de realizar várias tarefas simultaneamente em um ambiente de alto volume e disposto a auxiliar na reorganização dos móveis e na decoração de eventos, banquetes e funções privadas. Horário: 35 horas por semana. O horário de trabalho pode variar e incluir turnos noturnos, fins de semana e feriados. O trabalho pode ser realizado em qualquer dia da semana, de segunda a domingo. Exemplos de turnos: das 9h às 16h ou das 15h às 22h. Os horários dos turnos podem variar. Pode haver necessidade ocasional de trabalhar em turnos duplos. Consulte a descrição da vaga para obter mais informações. Classificação da vaga: 53-7062.00 - Operários e Movimentadores de Carga, Estoque e Materiais. A classificação e a descrição da vaga/setor incluem informações gerais sobre o cargo, de acordo com o ONET/OES e o Sistema de Classificação Industrial da América do Norte (NAICS). Consulte as Funções e a Ordem de Serviço para obter mais informações. Requisitos da vaga: Experiência exigida: Sim. Meses de experiência exigidos: 6. Requisitos especiais: O contratante considerará para emprego qualquer pessoa que possua pelo menos seis (6) meses de experiência em atendimento ao público em um ambiente de alta gastronomia ou de grande movimento, em um restaurante sofisticado, resort ou clube privado. O candidato deverá se submeter à verificação de antecedentes e ao exame toxicológico pré-admissional, às custas do empregador. Número de horas por semana: 35 Horário de trabalho (início/término): 9h00 - 16h00</v>
      </c>
    </row>
    <row r="1198" ht="20.25" customHeight="1">
      <c r="A1198" s="3" t="s">
        <v>5374</v>
      </c>
      <c r="B1198" s="3" t="s">
        <v>5364</v>
      </c>
      <c r="C1198" s="3" t="s">
        <v>4241</v>
      </c>
      <c r="D1198" s="3" t="s">
        <v>71</v>
      </c>
      <c r="E1198" s="4" t="s">
        <v>44</v>
      </c>
      <c r="F1198" s="4" t="s">
        <v>20</v>
      </c>
      <c r="G1198" s="4" t="s">
        <v>384</v>
      </c>
      <c r="H1198" s="3" t="s">
        <v>5365</v>
      </c>
      <c r="I1198" s="3" t="s">
        <v>5366</v>
      </c>
      <c r="J1198" s="4">
        <v>21.48</v>
      </c>
      <c r="K1198" s="4">
        <v>5.0</v>
      </c>
      <c r="L1198" s="3" t="s">
        <v>1684</v>
      </c>
      <c r="M1198" s="3" t="s">
        <v>5375</v>
      </c>
      <c r="N1198" s="7" t="str">
        <f>IFERROR(__xludf.DUMMYFUNCTION("GOOGLETRANSLATE(L1198, ""en"", ""pt"")"),"Barman")</f>
        <v>Barman</v>
      </c>
      <c r="O1198" s="7" t="str">
        <f>IFERROR(__xludf.DUMMYFUNCTION("IF(M1198="""","""",GOOGLETRANSLATE(M1198,""en"",""pt""))"),"Os bartenders serão responsáveis ​​por fornecer um excelente serviço de bebidas aos membros e convidados, criando uma experiência acolhedora e profissional. A função inclui preparar e servir bebidas, manter o bar limpo e organizado, processar transações c"&amp;"om precisão e seguir todas as normas de serviço de bebidas alcoólicas. Os candidatos devem ter amplo conhecimento de coquetéis clássicos, destilados e vinhos, além de conhecer bem o cardápio de bebidas, a carta de vinhos e os coquetéis especiais. O candid"&amp;"ato ideal tem espírito de equipe, é capaz de realizar múltiplas tarefas em um ambiente de alto volume e está disposto a auxiliar na reorganização do mobiliário e na decoração de eventos, banquetes e festas particulares. Horário: 35 horas semanais. A escal"&amp;"a de trabalho pode variar e incluir noites, fins de semana e feriados. O trabalho pode ser realizado em qualquer dia da semana, de segunda a domingo. Exemplos de turnos: 9h às 16h, 15h às 22h. Ocasionalmente, poderá ser necessário trabalhar em um turno du"&amp;"plo. Os horários dos turnos podem variar. Consulte a descrição da vaga para obter mais informações. Classificação da Função: 35-3011.00 - Bartenders. A classificação e descrição da função/setor inclui informações gerais sobre o cargo, de acordo com o ONET"&amp;"/OES e o Sistema de Classificação Industrial da América do Norte. Consulte as Funções e a Ordem de Serviço para obter mais informações. Requisitos da Função: Experiência Necessária: Sim. Meses de Experiência Necessários: 6. Requisitos Especiais: O contrat"&amp;"ante considerará para emprego qualquer pessoa que possua pelo menos seis (6) meses de experiência em um ambiente de alta gastronomia ou de grande movimento, em um restaurante sofisticado, resort ou clube privado. O candidato deverá se submeter à verificaç"&amp;"ão de antecedentes e ao exame toxicológico pré-admissional, às custas do empregador. Número de Horas por Semana: 35. Horário de Trabalho (Início/Término): 9h às 16h.")</f>
        <v>Os bartenders serão responsáveis ​​por fornecer um excelente serviço de bebidas aos membros e convidados, criando uma experiência acolhedora e profissional. A função inclui preparar e servir bebidas, manter o bar limpo e organizado, processar transações com precisão e seguir todas as normas de serviço de bebidas alcoólicas. Os candidatos devem ter amplo conhecimento de coquetéis clássicos, destilados e vinhos, além de conhecer bem o cardápio de bebidas, a carta de vinhos e os coquetéis especiais. O candidato ideal tem espírito de equipe, é capaz de realizar múltiplas tarefas em um ambiente de alto volume e está disposto a auxiliar na reorganização do mobiliário e na decoração de eventos, banquetes e festas particulares. Horário: 35 horas semanais. A escala de trabalho pode variar e incluir noites, fins de semana e feriados. O trabalho pode ser realizado em qualquer dia da semana, de segunda a domingo. Exemplos de turnos: 9h às 16h, 15h às 22h. Ocasionalmente, poderá ser necessário trabalhar em um turno duplo. Os horários dos turnos podem variar. Consulte a descrição da vaga para obter mais informações. Classificação da Função: 35-3011.00 - Bartenders. A classificação e descrição da função/setor inclui informações gerais sobre o cargo, de acordo com o ONET/OES e o Sistema de Classificação Industrial da América do Norte. Consulte as Funções e a Ordem de Serviço para obter mais informações. Requisitos da Função: Experiência Necessária: Sim. Meses de Experiência Necessários: 6. Requisitos Especiais: O contratante considerará para emprego qualquer pessoa que possua pelo menos seis (6) meses de experiência em um ambiente de alta gastronomia ou de grande movimento, em um restaurante sofisticado, resort ou clube privado. O candidato deverá se submeter à verificação de antecedentes e ao exame toxicológico pré-admissional, às custas do empregador. Número de Horas por Semana: 35. Horário de Trabalho (Início/Término): 9h às 16h.</v>
      </c>
    </row>
    <row r="1199" ht="20.25" customHeight="1">
      <c r="A1199" s="8" t="s">
        <v>5376</v>
      </c>
      <c r="B1199" s="8" t="s">
        <v>5377</v>
      </c>
      <c r="C1199" s="8" t="s">
        <v>5378</v>
      </c>
      <c r="D1199" s="8" t="s">
        <v>71</v>
      </c>
      <c r="E1199" s="9" t="s">
        <v>19</v>
      </c>
      <c r="F1199" s="9" t="s">
        <v>20</v>
      </c>
      <c r="G1199" s="9" t="s">
        <v>3239</v>
      </c>
      <c r="H1199" s="8" t="s">
        <v>5379</v>
      </c>
      <c r="I1199" s="8" t="s">
        <v>5380</v>
      </c>
      <c r="J1199" s="9">
        <v>23.84</v>
      </c>
      <c r="K1199" s="9">
        <v>28.0</v>
      </c>
      <c r="L1199" s="8" t="s">
        <v>5381</v>
      </c>
      <c r="M1199" s="8" t="s">
        <v>5382</v>
      </c>
      <c r="N1199" s="7" t="str">
        <f>IFERROR(__xludf.DUMMYFUNCTION("GOOGLETRANSLATE(L1199, ""en"", ""pt"")"),"Trabalhadores de Instalação, Manutenção e Reparo")</f>
        <v>Trabalhadores de Instalação, Manutenção e Reparo</v>
      </c>
      <c r="O1199" s="7" t="str">
        <f>IFERROR(__xludf.DUMMYFUNCTION("IF(M1199="""","""",GOOGLETRANSLATE(M1199,""en"",""pt""))"),"Preparar, instalar, entregar e manter luminárias, decorações e ornamentos de iluminação natalina para paisagens, conforme solicitado por diversos clientes no Condado de Collier, Flórida. As funções incluem o uso de ferramentas manuais básicas e a capacida"&amp;"de de subir escadas com segurança. Após a instalação, os trabalhadores devem verificar o funcionamento, a funcionalidade e o posicionamento de todos os elementos de iluminação e decoração em cada projeto. Os trabalhadores são responsáveis ​​por manter e l"&amp;"impar a área de trabalho conforme necessário, do início ao fim de cada serviço. Classificação da função: 49-9099.00 - Trabalhadores de Instalação, Manutenção e Reparo, Outros. A classificação e a descrição da função/setor incluem informações gerais sobre "&amp;"o cargo, de acordo com o ONET/OES e o Sistema de Classificação Industrial da América do Norte (NAICS). Consulte as Funções e a Ordem de Serviço para obter mais informações. Requisitos da função: Experiência necessária: Não. Número de horas por semana: 40."&amp;" Horário de trabalho (início/término): 7h às 16h.")</f>
        <v>Preparar, instalar, entregar e manter luminárias, decorações e ornamentos de iluminação natalina para paisagens, conforme solicitado por diversos clientes no Condado de Collier, Flórida. As funções incluem o uso de ferramentas manuais básicas e a capacidade de subir escadas com segurança. Após a instalação, os trabalhadores devem verificar o funcionamento, a funcionalidade e o posicionamento de todos os elementos de iluminação e decoração em cada projeto. Os trabalhadores são responsáveis ​​por manter e limpar a área de trabalho conforme necessário, do início ao fim de cada serviço. Classificação da função: 49-9099.00 - Trabalhadores de Instalação, Manutenção e Reparo, Outros. A classificação e a descrição da função/setor incluem informações gerais sobre o cargo, de acordo com o ONET/OES e o Sistema de Classificação Industrial da América do Norte (NAICS). Consulte as Funções e a Ordem de Serviço para obter mais informações. Requisitos da função: Experiência necessária: Não. Número de horas por semana: 40. Horário de trabalho (início/término): 7h às 16h.</v>
      </c>
    </row>
    <row r="1200" ht="20.25" customHeight="1">
      <c r="A1200" s="3" t="s">
        <v>5383</v>
      </c>
      <c r="B1200" s="3" t="s">
        <v>5384</v>
      </c>
      <c r="C1200" s="3" t="s">
        <v>4241</v>
      </c>
      <c r="D1200" s="3" t="s">
        <v>71</v>
      </c>
      <c r="E1200" s="4" t="s">
        <v>19</v>
      </c>
      <c r="F1200" s="4" t="s">
        <v>20</v>
      </c>
      <c r="G1200" s="4" t="s">
        <v>3284</v>
      </c>
      <c r="H1200" s="3" t="s">
        <v>5196</v>
      </c>
      <c r="I1200" s="3" t="s">
        <v>5197</v>
      </c>
      <c r="J1200" s="4">
        <v>19.88</v>
      </c>
      <c r="K1200" s="4">
        <v>8.0</v>
      </c>
      <c r="L1200" s="3" t="s">
        <v>387</v>
      </c>
      <c r="M1200" s="3" t="s">
        <v>5385</v>
      </c>
      <c r="N1200" s="7" t="str">
        <f>IFERROR(__xludf.DUMMYFUNCTION("GOOGLETRANSLATE(L1200, ""en"", ""pt"")"),"Ordem de serviço não disponível")</f>
        <v>Ordem de serviço não disponível</v>
      </c>
      <c r="O1200" s="7" t="str">
        <f>IFERROR(__xludf.DUMMYFUNCTION("IF(M1200="""","""",GOOGLETRANSLATE(M1200,""en"",""pt""))"),"Os cozinheiros serão responsáveis ​​por preparar, temperar e cozinhar sopas, carnes, legumes, sobremesas e outros pratos em um restaurante. Horário: 35 horas semanais. O horário de trabalho pode variar e incluir turnos noturnos, fins de semana e feriados."&amp;" O trabalho pode ser realizado em qualquer dia da semana, de segunda a domingo. Exemplos de turnos: 9h às 16h, 10h às 17h ou 14h às 21h. Os horários dos turnos podem variar. Consulte a descrição da vaga para obter mais informações. Classificação da vaga: "&amp;"35-2014.00 - Cozinheiros, Restaurante. A classificação e a descrição da vaga/setor incluem informações gerais sobre o cargo, de acordo com o ONET/OES e o Sistema de Classificação Industrial da América do Norte (NAICS). Consulte as atribuições e a descriçã"&amp;"o da vaga para obter mais informações. Requisitos da Vaga Experiência Necessária: Sim Meses de Experiência Necessários: 12 Requisitos Especiais: O contratante considerará para emprego qualquer pessoa que possua pelo menos um (1) ano de experiência culinár"&amp;"ia em um ambiente de alta gastronomia ou de grande movimento em um restaurante sofisticado, resort ou clube privado. O candidato deverá se submeter a um exame toxicológico e verificação de antecedentes criminais pré-admissional, às custas do empregador, c"&amp;"aso não tenha trabalhado para o empregador nos últimos seis (6) meses. Número de Horas por Semana: 35 Horário de Trabalho (Início/Término): 9h00 - 16h00")</f>
        <v>Os cozinheiros serão responsáveis ​​por preparar, temperar e cozinhar sopas, carnes, legumes, sobremesas e outros pratos em um restaurante. Horário: 35 horas semanais. O horário de trabalho pode variar e incluir turnos noturnos, fins de semana e feriados. O trabalho pode ser realizado em qualquer dia da semana, de segunda a domingo. Exemplos de turnos: 9h às 16h, 10h às 17h ou 14h às 21h. Os horários dos turnos podem variar. Consulte a descrição da vaga para obter mais informações. Classificação da vaga: 35-2014.00 - Cozinheiros, Restaurante. A classificação e a descrição da vaga/setor incluem informações gerais sobre o cargo, de acordo com o ONET/OES e o Sistema de Classificação Industrial da América do Norte (NAICS). Consulte as atribuições e a descrição da vaga para obter mais informações. Requisitos da Vaga Experiência Necessária: Sim Meses de Experiência Necessários: 12 Requisitos Especiais: O contratante considerará para emprego qualquer pessoa que possua pelo menos um (1) ano de experiência culinária em um ambiente de alta gastronomia ou de grande movimento em um restaurante sofisticado, resort ou clube privado. O candidato deverá se submeter a um exame toxicológico e verificação de antecedentes criminais pré-admissional, às custas do empregador, caso não tenha trabalhado para o empregador nos últimos seis (6) meses. Número de Horas por Semana: 35 Horário de Trabalho (Início/Término): 9h00 - 16h00</v>
      </c>
    </row>
    <row r="1201" ht="20.25" customHeight="1">
      <c r="A1201" s="8" t="s">
        <v>5386</v>
      </c>
      <c r="B1201" s="8" t="s">
        <v>5387</v>
      </c>
      <c r="C1201" s="8" t="s">
        <v>5388</v>
      </c>
      <c r="D1201" s="8" t="s">
        <v>28</v>
      </c>
      <c r="E1201" s="9" t="s">
        <v>19</v>
      </c>
      <c r="F1201" s="9" t="s">
        <v>20</v>
      </c>
      <c r="G1201" s="9" t="s">
        <v>1829</v>
      </c>
      <c r="H1201" s="8" t="s">
        <v>5389</v>
      </c>
      <c r="I1201" s="8" t="s">
        <v>5390</v>
      </c>
      <c r="J1201" s="9">
        <v>16.64</v>
      </c>
      <c r="K1201" s="9">
        <v>10.0</v>
      </c>
      <c r="L1201" s="8" t="s">
        <v>406</v>
      </c>
      <c r="M1201" s="8" t="s">
        <v>5391</v>
      </c>
      <c r="N1201" s="7" t="str">
        <f>IFERROR(__xludf.DUMMYFUNCTION("GOOGLETRANSLATE(L1201, ""en"", ""pt"")"),"Trabalhador")</f>
        <v>Trabalhador</v>
      </c>
      <c r="O1201" s="7" t="str">
        <f>IFERROR(__xludf.DUMMYFUNCTION("IF(M1201="""","""",GOOGLETRANSLATE(M1201,""en"",""pt""))"),"***Resposta à Solicitação de Informações*** O trabalhador auxiliará no processamento da carne de veado da seguinte forma: 1. Esfolamento e Penduramento: Pendure o veado pelas patas traseiras. Faça cortes cuidadosos na parte interna das patas, removendo a "&amp;"pele e separando-a da carcaça com a faca de esfolar. 2. Desmembramento: Use a serra de carne e a faca de desossar para separar a carcaça em quatro quartos principais (dois ombros dianteiros e duas patas traseiras) e remova os lombos (parte traseira) ao lo"&amp;"ngo da coluna vertebral. 3. Desossa e Separação dos Músculos: Coloque os quartos na tábua de corte. Trace as linhas naturais dos músculos para separar os principais grupos musculares. 4. Aparar: Remova toda a membrana prateada (tecido conjuntivo resistent"&amp;"e), tendões e sebo (gordura do veado). 5. Porcionamento: Corte os grupos musculares maiores e mais macios em bifes e assados. Reserve as sobras e aparas menores para serem moídas posteriormente. 6. Moagem: Passe as sobras aparadas pelo moedor de carne par"&amp;"a fazer carne de veado moída. 7. Embalagem: Envolva os cortes individuais firmemente em papel para congelamento ou processe-os em uma seladora a vácuo para evitar queimaduras de congelamento. Este processo utiliza as seguintes ferramentas: tábuas de corte"&amp;" próprias para alimentos e áreas de trabalho higienizadas, faca flexível de 15 cm para desossar, serra para carne, moedor de carne e equipamento de embalagem, como seladora a vácuo. ***Original F.a.2*** Auxiliar na limpeza e preparação da carne de veado p"&amp;"ara processamento durante a alta temporada e embalar o produto final para transporte. Classificação do Cargo: 51-3023.00 - Abatedores e Embaladores de Carne. A classificação e descrição do cargo/setor inclui informações gerais sobre a posição, de acordo c"&amp;"om o ONET/OES e o Sistema de Classificação Industrial da América do Norte. Consulte as Funções e a Ordem de Serviço para obter mais informações. Requisitos do Cargo Experiência Necessária: Sim Meses de Experiência Necessários: 3 Requisitos Especiais: O ho"&amp;"rário de trabalho é das 7h às 17h, de segunda a sexta-feira. Horas extras são trabalhadas conforme necessário. Horas extras são pagas após 40 horas semanais. Os funcionários terão 1 hora de intervalo para almoço não remunerado durante o expediente. Número"&amp;" de horas por semana: 40 Horário de trabalho (início/término): 7h00 - 17h00")</f>
        <v>***Resposta à Solicitação de Informações*** O trabalhador auxiliará no processamento da carne de veado da seguinte forma: 1. Esfolamento e Penduramento: Pendure o veado pelas patas traseiras. Faça cortes cuidadosos na parte interna das patas, removendo a pele e separando-a da carcaça com a faca de esfolar. 2. Desmembramento: Use a serra de carne e a faca de desossar para separar a carcaça em quatro quartos principais (dois ombros dianteiros e duas patas traseiras) e remova os lombos (parte traseira) ao longo da coluna vertebral. 3. Desossa e Separação dos Músculos: Coloque os quartos na tábua de corte. Trace as linhas naturais dos músculos para separar os principais grupos musculares. 4. Aparar: Remova toda a membrana prateada (tecido conjuntivo resistente), tendões e sebo (gordura do veado). 5. Porcionamento: Corte os grupos musculares maiores e mais macios em bifes e assados. Reserve as sobras e aparas menores para serem moídas posteriormente. 6. Moagem: Passe as sobras aparadas pelo moedor de carne para fazer carne de veado moída. 7. Embalagem: Envolva os cortes individuais firmemente em papel para congelamento ou processe-os em uma seladora a vácuo para evitar queimaduras de congelamento. Este processo utiliza as seguintes ferramentas: tábuas de corte próprias para alimentos e áreas de trabalho higienizadas, faca flexível de 15 cm para desossar, serra para carne, moedor de carne e equipamento de embalagem, como seladora a vácuo. ***Original F.a.2*** Auxiliar na limpeza e preparação da carne de veado para processamento durante a alta temporada e embalar o produto final para transporte. Classificação do Cargo: 51-3023.00 - Abatedores e Embaladores de Carne. A classificação e descrição do cargo/setor inclui informações gerais sobre a posição, de acordo com o ONET/OES e o Sistema de Classificação Industrial da América do Norte. Consulte as Funções e a Ordem de Serviço para obter mais informações. Requisitos do Cargo Experiência Necessária: Sim Meses de Experiência Necessários: 3 Requisitos Especiais: O horário de trabalho é das 7h às 17h, de segunda a sexta-feira. Horas extras são trabalhadas conforme necessário. Horas extras são pagas após 40 horas semanais. Os funcionários terão 1 hora de intervalo para almoço não remunerado durante o expediente. Número de horas por semana: 40 Horário de trabalho (início/término): 7h00 - 17h00</v>
      </c>
    </row>
    <row r="1202" ht="20.25" customHeight="1">
      <c r="A1202" s="3" t="s">
        <v>5392</v>
      </c>
      <c r="B1202" s="3" t="s">
        <v>5393</v>
      </c>
      <c r="C1202" s="3" t="s">
        <v>4241</v>
      </c>
      <c r="D1202" s="3" t="s">
        <v>71</v>
      </c>
      <c r="E1202" s="4" t="s">
        <v>19</v>
      </c>
      <c r="F1202" s="4" t="s">
        <v>20</v>
      </c>
      <c r="G1202" s="4" t="s">
        <v>377</v>
      </c>
      <c r="H1202" s="3" t="s">
        <v>5394</v>
      </c>
      <c r="I1202" s="3" t="s">
        <v>5395</v>
      </c>
      <c r="J1202" s="4">
        <v>16.01</v>
      </c>
      <c r="K1202" s="4">
        <v>20.0</v>
      </c>
      <c r="L1202" s="3" t="s">
        <v>4944</v>
      </c>
      <c r="M1202" s="3" t="s">
        <v>5396</v>
      </c>
      <c r="N1202" s="7" t="str">
        <f>IFERROR(__xludf.DUMMYFUNCTION("GOOGLETRANSLATE(L1202, ""en"", ""pt"")"),"Auxiliar de limpeza")</f>
        <v>Auxiliar de limpeza</v>
      </c>
      <c r="O1202" s="7" t="str">
        <f>IFERROR(__xludf.DUMMYFUNCTION("IF(M1202="""","""",GOOGLETRANSLATE(M1202,""en"",""pt""))"),"***Resposta à Solicitação de Informações*** “Os tipos de roupa que o(a) funcionário(a) lavará” incluem toalhas de praia/piscina e panos de limpeza. Normalmente, esses itens são enviados para uma lavanderia, mas a equipe de limpeza ocasionalmente lava algu"&amp;"ns internamente para atender à demanda de alto volume. “Manutenção e limpeza profunda dos quartos” – isso consiste em tirar o pó dos rodapés atrás dos móveis e embaixo das camas, remover arranhões nas paredes ou portas, limpar janelas internas, tirar o pó"&amp;" das saídas de ar e cortinas nos quartos, limpar acabamentos e acessórios de latão ou prata; tarefas a serem realizadas pelo menos uma vez por mês. As ferramentas/equipamentos usados ​​para realizar essas tarefas são aspiradores de pó, polidor/limpador de"&amp;" latão, esponja para quadro branco, panos e sprays e soluções de limpeza em geral. ***Original*** Os(As) Auxiliares de Limpeza serão responsáveis ​​pela limpeza e manutenção de todos os quartos, suítes, áreas públicas e áreas comuns com tomadas no The Col"&amp;"ony Palm Beach. A função pode exigir aspirar o chão, tirar o pó, repor lençóis e toalhas, desinfetar banheiros, arrumar os quartos a pedido ou durante o serviço noturno programado, reabastecer os carrinhos com suprimentos, entregar os itens solicitados ao"&amp;"s quartos em tempo hábil, utilizar a lavadora/secadora e limpar todas as superfícies, azulejos e vidros. O(A) Auxiliar de Limpeza pode ser responsável por inspecionar os quartos antes da ocupação e relatar quaisquer problemas de manutenção ao departamento"&amp;" apropriado. Horário: 35 horas por semana. O horário de trabalho pode variar e incluir turnos noturnos, fins de semana e feriados. O trabalho pode ser realizado em qualquer dia da semana, de segunda a domingo. Exemplos de turnos: 7h às 14h, 8h às 15h, 15h"&amp;" às 22h ou 22h às 5h. Os horários dos turnos podem variar. Consulte a descrição da vaga em anexo para obter mais detalhes. Classificação da Função: 37-2012.00 - Camareiras e Auxiliares de Limpeza. A classificação e descrição da função/setor inclui informa"&amp;"ções gerais sobre o cargo, de acordo com o ONET/OES e o Sistema de Classificação Industrial da América do Norte. Consulte as Funções e a Ordem de Serviço para obter mais informações. Requisitos da Função Experiência Necessária: Sim Meses de Experiência Ne"&amp;"cessários: 3 Requisitos Especiais: O contratante considerará para emprego qualquer pessoa que possua pelo menos três (3) meses de experiência em um hotel de alto padrão, resort ou clube privado. O candidato deverá se submeter à verificação de antecedentes"&amp;" e ao exame toxicológico pré-admissional, às custas do empregador. Número de Horas por Semana: 35 Horário de Trabalho (Início/Término): 7h00 - 14h00")</f>
        <v>***Resposta à Solicitação de Informações*** “Os tipos de roupa que o(a) funcionário(a) lavará” incluem toalhas de praia/piscina e panos de limpeza. Normalmente, esses itens são enviados para uma lavanderia, mas a equipe de limpeza ocasionalmente lava alguns internamente para atender à demanda de alto volume. “Manutenção e limpeza profunda dos quartos” – isso consiste em tirar o pó dos rodapés atrás dos móveis e embaixo das camas, remover arranhões nas paredes ou portas, limpar janelas internas, tirar o pó das saídas de ar e cortinas nos quartos, limpar acabamentos e acessórios de latão ou prata; tarefas a serem realizadas pelo menos uma vez por mês. As ferramentas/equipamentos usados ​​para realizar essas tarefas são aspiradores de pó, polidor/limpador de latão, esponja para quadro branco, panos e sprays e soluções de limpeza em geral. ***Original*** Os(As) Auxiliares de Limpeza serão responsáveis ​​pela limpeza e manutenção de todos os quartos, suítes, áreas públicas e áreas comuns com tomadas no The Colony Palm Beach. A função pode exigir aspirar o chão, tirar o pó, repor lençóis e toalhas, desinfetar banheiros, arrumar os quartos a pedido ou durante o serviço noturno programado, reabastecer os carrinhos com suprimentos, entregar os itens solicitados aos quartos em tempo hábil, utilizar a lavadora/secadora e limpar todas as superfícies, azulejos e vidros. O(A) Auxiliar de Limpeza pode ser responsável por inspecionar os quartos antes da ocupação e relatar quaisquer problemas de manutenção ao departamento apropriado. Horário: 35 horas por semana. O horário de trabalho pode variar e incluir turnos noturnos, fins de semana e feriados. O trabalho pode ser realizado em qualquer dia da semana, de segunda a domingo. Exemplos de turnos: 7h às 14h, 8h às 15h, 15h às 22h ou 22h às 5h. Os horários dos turnos podem variar. Consulte a descrição da vaga em anexo para obter mais detalhes. Classificação da Função: 37-2012.00 - Camareiras e Auxiliares de Limpeza. A classificação e descrição da função/setor inclui informações gerais sobre o cargo, de acordo com o ONET/OES e o Sistema de Classificação Industrial da América do Norte. Consulte as Funções e a Ordem de Serviço para obter mais informações. Requisitos da Função Experiência Necessária: Sim Meses de Experiência Necessários: 3 Requisitos Especiais: O contratante considerará para emprego qualquer pessoa que possua pelo menos três (3) meses de experiência em um hotel de alto padrão, resort ou clube privado. O candidato deverá se submeter à verificação de antecedentes e ao exame toxicológico pré-admissional, às custas do empregador. Número de Horas por Semana: 35 Horário de Trabalho (Início/Término): 7h00 - 14h00</v>
      </c>
    </row>
    <row r="1203" ht="20.25" customHeight="1">
      <c r="A1203" s="8" t="s">
        <v>5397</v>
      </c>
      <c r="B1203" s="8" t="s">
        <v>5393</v>
      </c>
      <c r="C1203" s="8" t="s">
        <v>4241</v>
      </c>
      <c r="D1203" s="8" t="s">
        <v>71</v>
      </c>
      <c r="E1203" s="9" t="s">
        <v>19</v>
      </c>
      <c r="F1203" s="9" t="s">
        <v>20</v>
      </c>
      <c r="G1203" s="9" t="s">
        <v>377</v>
      </c>
      <c r="H1203" s="8" t="s">
        <v>5394</v>
      </c>
      <c r="I1203" s="8" t="s">
        <v>5395</v>
      </c>
      <c r="J1203" s="9">
        <v>18.94</v>
      </c>
      <c r="K1203" s="9">
        <v>18.0</v>
      </c>
      <c r="L1203" s="8" t="s">
        <v>5398</v>
      </c>
      <c r="M1203" s="8" t="s">
        <v>5399</v>
      </c>
      <c r="N1203" s="7" t="str">
        <f>IFERROR(__xludf.DUMMYFUNCTION("GOOGLETRANSLATE(L1203, ""en"", ""pt"")"),"Equipe de Apoio de Alimentos e Bebidas")</f>
        <v>Equipe de Apoio de Alimentos e Bebidas</v>
      </c>
      <c r="O1203" s="7" t="str">
        <f>IFERROR(__xludf.DUMMYFUNCTION("IF(M1203="""","""",GOOGLETRANSLATE(M1203,""en"",""pt""))"),"A equipe de apoio de Alimentos e Bebidas será responsável por arrumar as mesas, retirar a louça, entregar os pedidos de comida às mesas e áreas do bar, auxiliar no preparo de pedidos no café, como embalar pedidos para viagem e preparar bebidas como café, "&amp;"expresso e smoothies, auxiliar no acolhimento dos clientes, agilizar a entrega de alimentos, repor condimentos, entregar e recolher bandejas de serviço de quarto, enrolar talheres, mover mesas e cadeiras de acordo com a configuração do restaurante/evento,"&amp;" entregar, manter e repor os itens e suprimentos da piscina, incluindo o abastecimento dos bebedouros, recolher pratos, lixo e toalhas ao redor da piscina, trocar e repor toalhas e fornecer bebidas e lanches aos hóspedes. Também será responsável por mante"&amp;"r ambientes seguros e limpos em todos os momentos, incluindo a limpeza de derramamentos, poças e gelo ao redor da piscina e na área do restaurante. Horário: 35 horas por semana. O horário de trabalho pode variar e incluir noites, fins de semana e feriados"&amp;". O trabalho pode ser realizado em qualquer dia da semana, de segunda a domingo. Exemplos de turnos: 6h às 13h, 11h às 18h ou 16h às 23h. Os horários dos turnos podem variar. Consulte a descrição do cargo em anexo para obter mais detalhes. Classificação d"&amp;"o Cargo: 53-7062.00 - Operários e Movimentadores de Carga, Estoque e Materiais. A classificação e descrição do cargo/setor incluem informações gerais sobre a posição, de acordo com o ONET/OES e o Sistema de Classificação Industrial da América do Norte (NA"&amp;"ICS). Consulte as Funções e a Ordem de Serviço para obter mais informações. Requisitos do Cargo Experiência Necessária: Sim Meses de Experiência Necessários: 3 Requisitos Especiais: O contratante considerará para emprego qualquer pessoa que possua pelo me"&amp;"nos três (3) meses de experiência em um ambiente de alta gastronomia ou de grande movimento em um restaurante sofisticado, resort ou clube privado. O candidato deverá se submeter à verificação de antecedentes e ao exame toxicológico pré-admissional, às cu"&amp;"stas do empregador. Número de horas por semana: 35 Horário de trabalho (início/término): 6h00 - 13h00")</f>
        <v>A equipe de apoio de Alimentos e Bebidas será responsável por arrumar as mesas, retirar a louça, entregar os pedidos de comida às mesas e áreas do bar, auxiliar no preparo de pedidos no café, como embalar pedidos para viagem e preparar bebidas como café, expresso e smoothies, auxiliar no acolhimento dos clientes, agilizar a entrega de alimentos, repor condimentos, entregar e recolher bandejas de serviço de quarto, enrolar talheres, mover mesas e cadeiras de acordo com a configuração do restaurante/evento, entregar, manter e repor os itens e suprimentos da piscina, incluindo o abastecimento dos bebedouros, recolher pratos, lixo e toalhas ao redor da piscina, trocar e repor toalhas e fornecer bebidas e lanches aos hóspedes. Também será responsável por manter ambientes seguros e limpos em todos os momentos, incluindo a limpeza de derramamentos, poças e gelo ao redor da piscina e na área do restaurante. Horário: 35 horas por semana. O horário de trabalho pode variar e incluir noites, fins de semana e feriados. O trabalho pode ser realizado em qualquer dia da semana, de segunda a domingo. Exemplos de turnos: 6h às 13h, 11h às 18h ou 16h às 23h. Os horários dos turnos podem variar. Consulte a descrição do cargo em anexo para obter mais detalhes. Classificação do Cargo: 53-7062.00 - Operários e Movimentadores de Carga, Estoque e Materiais. A classificação e descrição do cargo/setor incluem informações gerais sobre a posição, de acordo com o ONET/OES e o Sistema de Classificação Industrial da América do Norte (NAICS). Consulte as Funções e a Ordem de Serviço para obter mais informações. Requisitos do Cargo Experiência Necessária: Sim Meses de Experiência Necessários: 3 Requisitos Especiais: O contratante considerará para emprego qualquer pessoa que possua pelo menos três (3) meses de experiência em um ambiente de alta gastronomia ou de grande movimento em um restaurante sofisticado, resort ou clube privado. O candidato deverá se submeter à verificação de antecedentes e ao exame toxicológico pré-admissional, às custas do empregador. Número de horas por semana: 35 Horário de trabalho (início/término): 6h00 - 13h00</v>
      </c>
    </row>
    <row r="1204" ht="20.25" customHeight="1">
      <c r="A1204" s="3" t="s">
        <v>5400</v>
      </c>
      <c r="B1204" s="3" t="s">
        <v>5393</v>
      </c>
      <c r="C1204" s="3" t="s">
        <v>4241</v>
      </c>
      <c r="D1204" s="3" t="s">
        <v>71</v>
      </c>
      <c r="E1204" s="4" t="s">
        <v>19</v>
      </c>
      <c r="F1204" s="4" t="s">
        <v>20</v>
      </c>
      <c r="G1204" s="4" t="s">
        <v>377</v>
      </c>
      <c r="H1204" s="3" t="s">
        <v>5394</v>
      </c>
      <c r="I1204" s="3" t="s">
        <v>5395</v>
      </c>
      <c r="J1204" s="4">
        <v>23.75</v>
      </c>
      <c r="K1204" s="4">
        <v>6.0</v>
      </c>
      <c r="L1204" s="3" t="s">
        <v>5401</v>
      </c>
      <c r="M1204" s="3" t="s">
        <v>5402</v>
      </c>
      <c r="N1204" s="7" t="str">
        <f>IFERROR(__xludf.DUMMYFUNCTION("GOOGLETRANSLATE(L1204, ""en"", ""pt"")"),"Trabalhador de manutenção")</f>
        <v>Trabalhador de manutenção</v>
      </c>
      <c r="O1204" s="7" t="str">
        <f>IFERROR(__xludf.DUMMYFUNCTION("IF(M1204="""","""",GOOGLETRANSLATE(M1204,""en"",""pt""))"),"Os funcionários de manutenção serão responsáveis ​​por pintura, serviços gerais de encanamento, como desentupimento de ralos e vasos sanitários, conserto de chuveiros, reconfiguração de TVs e termostatos de ar-condicionado, além de realizar reparos gerais"&amp;" em quartos de hotel e no prédio. Auxiliarão na manutenção das áreas externas do clube, como pintura de espreguiçadeiras e meio-fios, troca de aspersores quebrados, lavagem de calçadas com lavadora de alta pressão e manutenção da iluminação externa. Os fu"&amp;"ncionários de manutenção também deverão realizar atividades de manutenção preventiva anuais, trimestrais e mensais. É imprescindível ser detalhista e capaz de trabalhar de forma independente. Horário: 35 horas semanais. A escala de trabalho pode variar e "&amp;"incluir turnos noturnos, fins de semana e feriados. O trabalho pode ser realizado em qualquer dia da semana, de segunda a domingo. Exemplos de turnos: 6h às 13h; 9h às 16h; 17h às 00h. Os horários dos turnos podem variar. Consulte a descrição da vaga em a"&amp;"nexo para obter mais detalhes. Classificação da Função: 49-9071.00 - Trabalhadores de Manutenção e Reparos, Geral. A classificação e descrição da função/setor inclui informações gerais sobre o cargo, de acordo com o ONET/OES e o Sistema de Classificação I"&amp;"ndustrial da América do Norte (NAICS). Consulte as Funções e a Ordem de Serviço para obter mais informações. Requisitos da Função Experiência Necessária: Sim Meses de Experiência Necessários: 6 Requisitos Especiais: O contratante considerará para emprego "&amp;"qualquer pessoa que possua pelo menos seis (6) meses de experiência na área de construção ou manutenção; experiência em hidráulica, pintura, eletricidade ou carpintaria em hotel de alto padrão, resort ou clube privado é desejável. O candidato deverá se su"&amp;"bmeter à verificação de antecedentes e ao exame toxicológico pré-admissional, às custas do empregador. Número de Horas por Semana: 35 Horário de Trabalho (Início/Término): 6h00 - 13h00")</f>
        <v>Os funcionários de manutenção serão responsáveis ​​por pintura, serviços gerais de encanamento, como desentupimento de ralos e vasos sanitários, conserto de chuveiros, reconfiguração de TVs e termostatos de ar-condicionado, além de realizar reparos gerais em quartos de hotel e no prédio. Auxiliarão na manutenção das áreas externas do clube, como pintura de espreguiçadeiras e meio-fios, troca de aspersores quebrados, lavagem de calçadas com lavadora de alta pressão e manutenção da iluminação externa. Os funcionários de manutenção também deverão realizar atividades de manutenção preventiva anuais, trimestrais e mensais. É imprescindível ser detalhista e capaz de trabalhar de forma independente. Horário: 35 horas semanais. A escala de trabalho pode variar e incluir turnos noturnos, fins de semana e feriados. O trabalho pode ser realizado em qualquer dia da semana, de segunda a domingo. Exemplos de turnos: 6h às 13h; 9h às 16h; 17h às 00h. Os horários dos turnos podem variar. Consulte a descrição da vaga em anexo para obter mais detalhes. Classificação da Função: 49-9071.00 - Trabalhadores de Manutenção e Reparos, Geral. A classificação e descrição da função/setor inclui informações gerais sobre o cargo, de acordo com o ONET/OES e o Sistema de Classificação Industrial da América do Norte (NAICS). Consulte as Funções e a Ordem de Serviço para obter mais informações. Requisitos da Função Experiência Necessária: Sim Meses de Experiência Necessários: 6 Requisitos Especiais: O contratante considerará para emprego qualquer pessoa que possua pelo menos seis (6) meses de experiência na área de construção ou manutenção; experiência em hidráulica, pintura, eletricidade ou carpintaria em hotel de alto padrão, resort ou clube privado é desejável. O candidato deverá se submeter à verificação de antecedentes e ao exame toxicológico pré-admissional, às custas do empregador. Número de Horas por Semana: 35 Horário de Trabalho (Início/Término): 6h00 - 13h00</v>
      </c>
    </row>
    <row r="1205" ht="20.25" customHeight="1">
      <c r="A1205" s="8" t="s">
        <v>5403</v>
      </c>
      <c r="B1205" s="8" t="s">
        <v>5393</v>
      </c>
      <c r="C1205" s="8" t="s">
        <v>4241</v>
      </c>
      <c r="D1205" s="8" t="s">
        <v>71</v>
      </c>
      <c r="E1205" s="9" t="s">
        <v>19</v>
      </c>
      <c r="F1205" s="9" t="s">
        <v>20</v>
      </c>
      <c r="G1205" s="9" t="s">
        <v>377</v>
      </c>
      <c r="H1205" s="8" t="s">
        <v>5394</v>
      </c>
      <c r="I1205" s="8" t="s">
        <v>5395</v>
      </c>
      <c r="J1205" s="9">
        <v>18.71</v>
      </c>
      <c r="K1205" s="9">
        <v>10.0</v>
      </c>
      <c r="L1205" s="8" t="s">
        <v>1206</v>
      </c>
      <c r="M1205" s="8" t="s">
        <v>5404</v>
      </c>
      <c r="N1205" s="7" t="str">
        <f>IFERROR(__xludf.DUMMYFUNCTION("GOOGLETRANSLATE(L1205, ""en"", ""pt"")"),"Servidor")</f>
        <v>Servidor</v>
      </c>
      <c r="O1205" s="7" t="str">
        <f>IFERROR(__xludf.DUMMYFUNCTION("IF(M1205="""","""",GOOGLETRANSLATE(M1205,""en"",""pt""))"),"Os garçons serão responsáveis ​​por recepcionar os clientes, preparar as mesas nas áreas de refeição com utensílios como pratos, copos e talheres, anotar e registrar os pedidos de forma correta e eficiente, transportar bandejas e pratos, servir alimentos "&amp;"e bebidas e manter a estação de serviço limpa e segura. Os garçons receberão treinamento dos chefs e representantes de bebidas e vinhos do empregador sobre os perfis de sabor dos itens do cardápio, ingredientes e harmonização de bebidas e vinhos, a fim de"&amp;" fazer as melhores recomendações aos clientes. Quando um bartender não estiver disponível, os garçons poderão precisar preparar coquetéis e mocktails básicos. Os garçons também servirão vinhos aos clientes. Todos os padrões da Forbes serão utilizados dura"&amp;"nte a experiência de serviço. Horário: 35 horas por semana. O horário de trabalho pode variar e incluir noites, fins de semana e feriados. O trabalho pode ser realizado em qualquer dia da semana, de segunda a domingo. Exemplos de turnos: 7h às 14h, 8h às "&amp;"15h, 16h às 23h ou 15h às 22h. Os horários dos turnos podem variar. Consulte a descrição do cargo em anexo para obter mais detalhes. Classificação do Cargo: 35-3031.00 - Garçons e Garçonetes. A classificação e descrição do cargo/setor incluem informações "&amp;"gerais sobre a posição, de acordo com o ONET/OES e o Sistema de Classificação Industrial da América do Norte (NAICS). Consulte as Funções e a Ordem de Serviço para obter mais informações. Requisitos do Cargo Experiência Necessária: Sim Meses de Experiênci"&amp;"a Necessários: 6 Requisitos Especiais: O contratante considerará para emprego qualquer pessoa que possua pelo menos seis (6) meses de experiência em um ambiente de alta gastronomia ou de grande movimento em um restaurante sofisticado, resort ou clube priv"&amp;"ado. O candidato deverá se submeter à verificação de antecedentes e ao exame toxicológico pré-admissional, às custas do empregador. Número de horas por semana: 35 Horário de trabalho (início/término): 7h00 - 14h00")</f>
        <v>Os garçons serão responsáveis ​​por recepcionar os clientes, preparar as mesas nas áreas de refeição com utensílios como pratos, copos e talheres, anotar e registrar os pedidos de forma correta e eficiente, transportar bandejas e pratos, servir alimentos e bebidas e manter a estação de serviço limpa e segura. Os garçons receberão treinamento dos chefs e representantes de bebidas e vinhos do empregador sobre os perfis de sabor dos itens do cardápio, ingredientes e harmonização de bebidas e vinhos, a fim de fazer as melhores recomendações aos clientes. Quando um bartender não estiver disponível, os garçons poderão precisar preparar coquetéis e mocktails básicos. Os garçons também servirão vinhos aos clientes. Todos os padrões da Forbes serão utilizados durante a experiência de serviço. Horário: 35 horas por semana. O horário de trabalho pode variar e incluir noites, fins de semana e feriados. O trabalho pode ser realizado em qualquer dia da semana, de segunda a domingo. Exemplos de turnos: 7h às 14h, 8h às 15h, 16h às 23h ou 15h às 22h. Os horários dos turnos podem variar. Consulte a descrição do cargo em anexo para obter mais detalhes. Classificação do Cargo: 35-3031.00 - Garçons e Garçonetes. A classificação e descrição do cargo/setor incluem informações gerais sobre a posição, de acordo com o ONET/OES e o Sistema de Classificação Industrial da América do Norte (NAICS). Consulte as Funções e a Ordem de Serviço para obter mais informações. Requisitos do Cargo Experiência Necessária: Sim Meses de Experiência Necessários: 6 Requisitos Especiais: O contratante considerará para emprego qualquer pessoa que possua pelo menos seis (6) meses de experiência em um ambiente de alta gastronomia ou de grande movimento em um restaurante sofisticado, resort ou clube privado. O candidato deverá se submeter à verificação de antecedentes e ao exame toxicológico pré-admissional, às custas do empregador. Número de horas por semana: 35 Horário de trabalho (início/término): 7h00 - 14h00</v>
      </c>
    </row>
    <row r="1206" ht="20.25" customHeight="1">
      <c r="A1206" s="3" t="s">
        <v>5405</v>
      </c>
      <c r="B1206" s="3" t="s">
        <v>5393</v>
      </c>
      <c r="C1206" s="3" t="s">
        <v>4241</v>
      </c>
      <c r="D1206" s="3" t="s">
        <v>71</v>
      </c>
      <c r="E1206" s="4" t="s">
        <v>19</v>
      </c>
      <c r="F1206" s="4" t="s">
        <v>20</v>
      </c>
      <c r="G1206" s="4" t="s">
        <v>377</v>
      </c>
      <c r="H1206" s="3" t="s">
        <v>5394</v>
      </c>
      <c r="I1206" s="3" t="s">
        <v>5395</v>
      </c>
      <c r="J1206" s="4">
        <v>18.0</v>
      </c>
      <c r="K1206" s="4">
        <v>18.0</v>
      </c>
      <c r="L1206" s="3" t="s">
        <v>586</v>
      </c>
      <c r="M1206" s="3" t="s">
        <v>5406</v>
      </c>
      <c r="N1206" s="7" t="str">
        <f>IFERROR(__xludf.DUMMYFUNCTION("GOOGLETRANSLATE(L1206, ""en"", ""pt"")"),"Cozinheiro de linha")</f>
        <v>Cozinheiro de linha</v>
      </c>
      <c r="O1206" s="7" t="str">
        <f>IFERROR(__xludf.DUMMYFUNCTION("IF(M1206="""","""",GOOGLETRANSLATE(M1206,""en"",""pt""))"),"Os cozinheiros serão responsáveis ​​por preparar, temperar e cozinhar sopas, carnes, legumes, sobremesas, pães e outros itens alimentícios em um restaurante, de acordo com a receita ou as instruções do chef. Devem utilizar técnicas adequadas de corte e eq"&amp;"uipamentos de cozinha, mantendo todas as normas e requisitos locais de higiene e segurança alimentar. Horário: 35 horas semanais. A escala de trabalho pode variar e incluir turnos noturnos, fins de semana e feriados. O trabalho pode ser realizado em qualq"&amp;"uer dia da semana, de segunda a domingo. Exemplos de turnos: 6h às 13h; 9h às 16h; 17h às 00h. Os horários dos turnos podem variar. Consulte a descrição do cargo em anexo para obter mais detalhes. Classificação do Cargo: 35-2014.00 - Cozinheiros, Restaura"&amp;"nte. A classificação e descrição do cargo/setor incluem informações gerais sobre a posição, de acordo com o ONET/OES e o Sistema de Classificação Industrial da América do Norte (NAICS). Consulte as Funções e a Ordem de Serviço para obter mais informações."&amp;" Requisitos da vaga Experiência necessária: Sim Meses de experiência necessários: 6 Requisitos especiais: O contratante considerará para emprego qualquer pessoa que possua pelo menos seis (6) meses de experiência culinária em um ambiente de alta gastronom"&amp;"ia ou de grande movimento em um restaurante sofisticado, resort ou clube privado. O candidato deverá se submeter à verificação de antecedentes e ao exame toxicológico pré-admissional, às custas do empregador. Número de horas por semana: 35 Horário de trab"&amp;"alho (início/término): 6h às 13h")</f>
        <v>Os cozinheiros serão responsáveis ​​por preparar, temperar e cozinhar sopas, carnes, legumes, sobremesas, pães e outros itens alimentícios em um restaurante, de acordo com a receita ou as instruções do chef. Devem utilizar técnicas adequadas de corte e equipamentos de cozinha, mantendo todas as normas e requisitos locais de higiene e segurança alimentar. Horário: 35 horas semanais. A escala de trabalho pode variar e incluir turnos noturnos, fins de semana e feriados. O trabalho pode ser realizado em qualquer dia da semana, de segunda a domingo. Exemplos de turnos: 6h às 13h; 9h às 16h; 17h às 00h. Os horários dos turnos podem variar. Consulte a descrição do cargo em anexo para obter mais detalhes. Classificação do Cargo: 35-2014.00 - Cozinheiros, Restaurante. A classificação e descrição do cargo/setor incluem informações gerais sobre a posição, de acordo com o ONET/OES e o Sistema de Classificação Industrial da América do Norte (NAICS). Consulte as Funções e a Ordem de Serviço para obter mais informações. Requisitos da vaga Experiência necessária: Sim Meses de experiência necessários: 6 Requisitos especiais: O contratante considerará para emprego qualquer pessoa que possua pelo menos seis (6) meses de experiência culinária em um ambiente de alta gastronomia ou de grande movimento em um restaurante sofisticado, resort ou clube privado. O candidato deverá se submeter à verificação de antecedentes e ao exame toxicológico pré-admissional, às custas do empregador. Número de horas por semana: 35 Horário de trabalho (início/término): 6h às 13h</v>
      </c>
    </row>
    <row r="1207" ht="20.25" customHeight="1">
      <c r="A1207" s="8" t="s">
        <v>5407</v>
      </c>
      <c r="B1207" s="8" t="s">
        <v>5393</v>
      </c>
      <c r="C1207" s="8" t="s">
        <v>4241</v>
      </c>
      <c r="D1207" s="8" t="s">
        <v>71</v>
      </c>
      <c r="E1207" s="9" t="s">
        <v>44</v>
      </c>
      <c r="F1207" s="9" t="s">
        <v>20</v>
      </c>
      <c r="G1207" s="9" t="s">
        <v>377</v>
      </c>
      <c r="H1207" s="8" t="s">
        <v>5394</v>
      </c>
      <c r="I1207" s="8" t="s">
        <v>5395</v>
      </c>
      <c r="J1207" s="9">
        <v>17.0</v>
      </c>
      <c r="K1207" s="9">
        <v>12.0</v>
      </c>
      <c r="L1207" s="8" t="s">
        <v>1636</v>
      </c>
      <c r="M1207" s="8" t="s">
        <v>5408</v>
      </c>
      <c r="N1207" s="7" t="str">
        <f>IFERROR(__xludf.DUMMYFUNCTION("GOOGLETRANSLATE(L1207, ""en"", ""pt"")"),"Mordomo")</f>
        <v>Mordomo</v>
      </c>
      <c r="O1207" s="7" t="str">
        <f>IFERROR(__xludf.DUMMYFUNCTION("IF(M1207="""","""",GOOGLETRANSLATE(M1207,""en"",""pt""))"),"***Resposta à Solicitação de Informações*** “Manter os equipamentos e áreas de trabalho na cozinha, área de armazenamento de banquetes e refeitório dos funcionários limpos e organizados” – isso consiste na manutenção básica e rotineira da máquina de lavar"&amp;" louça e da máquina de higienização, sem o uso de ferramentas ou produtos químicos especiais, executando ciclos de limpeza, limpando os cestos de coleta e garantindo que todas as peças removíveis estejam limpas e fixadas corretamente. Os auxiliares também"&amp;" limparão os balcões refrigerados, as bandejas de alumínio dos buffets frios no refeitório dos funcionários e os refrigeradores. “Auxiliar na lavagem, descascamento e corte de legumes e em outras tarefas de preparação de alimentos solicitadas pelo Gerente"&amp;" de Cozinha” – isso consiste em lavar, descascar e fatiar cogumelos, batatas, alface, cenouras e outros legumes semelhantes, sem cozinhá-los, e armazenar os legumes lavados, descascados e cortados em recipientes para uso futuro pelos cozinheiros. ***Origi"&amp;"nal F.a.2*** Os auxiliares de cozinha serão responsáveis ​​por lavar a louça e todos os utensílios de cozinha à mão ou na máquina, polir talheres, manter os equipamentos e áreas de trabalho da cozinha, a área de armazenamento de banquetes e o refeitório d"&amp;"os funcionários limpos e organizados, abastecer a cozinha com suprimentos e alimentos/condimentos para o restaurante e o refeitório dos funcionários, varrer e lavar o chão da cozinha e do refeitório, separar e descartar o lixo e auxiliar na lavagem, desca"&amp;"scamento e corte de legumes e outras tarefas de preparação de alimentos solicitadas pelo Gerente de Cozinha. Horário: 35 horas semanais. O horário de trabalho pode variar e incluir turnos noturnos, fins de semana e feriados. O trabalho pode ser realizado "&amp;"em qualquer dia da semana, de segunda a domingo. Exemplos de turnos: 6h às 13h; 9h às 16h; 17h às 00h. Os horários dos turnos podem variar. Consulte a descrição de cargo anexa para obter mais detalhes. Classificação da Função: 35-2021.00 - Auxiliares de C"&amp;"ozinha. A classificação e descrição da função/setor inclui informações gerais sobre o cargo, de acordo com o ONET/OES e o Sistema de Classificação Industrial da América do Norte (NAICS). Consulte as Funções e a Ordem de Serviço para obter mais informações"&amp;". Requisitos da Função Experiência Necessária: Sim Meses de Experiência Necessários: 3 Requisitos Especiais: O contratante considerará para emprego qualquer pessoa que possua pelo menos três (3) meses de experiência em um restaurante de alto padrão, resor"&amp;"t ou clube privado. O candidato deverá se submeter à verificação de antecedentes e ao exame toxicológico pré-admissional, às custas do empregador. Número de Horas por Semana: 35 Horário de Trabalho (Início/Término): 6h00 - 13h00")</f>
        <v>***Resposta à Solicitação de Informações*** “Manter os equipamentos e áreas de trabalho na cozinha, área de armazenamento de banquetes e refeitório dos funcionários limpos e organizados” – isso consiste na manutenção básica e rotineira da máquina de lavar louça e da máquina de higienização, sem o uso de ferramentas ou produtos químicos especiais, executando ciclos de limpeza, limpando os cestos de coleta e garantindo que todas as peças removíveis estejam limpas e fixadas corretamente. Os auxiliares também limparão os balcões refrigerados, as bandejas de alumínio dos buffets frios no refeitório dos funcionários e os refrigeradores. “Auxiliar na lavagem, descascamento e corte de legumes e em outras tarefas de preparação de alimentos solicitadas pelo Gerente de Cozinha” – isso consiste em lavar, descascar e fatiar cogumelos, batatas, alface, cenouras e outros legumes semelhantes, sem cozinhá-los, e armazenar os legumes lavados, descascados e cortados em recipientes para uso futuro pelos cozinheiros. ***Original F.a.2*** Os auxiliares de cozinha serão responsáveis ​​por lavar a louça e todos os utensílios de cozinha à mão ou na máquina, polir talheres, manter os equipamentos e áreas de trabalho da cozinha, a área de armazenamento de banquetes e o refeitório dos funcionários limpos e organizados, abastecer a cozinha com suprimentos e alimentos/condimentos para o restaurante e o refeitório dos funcionários, varrer e lavar o chão da cozinha e do refeitório, separar e descartar o lixo e auxiliar na lavagem, descascamento e corte de legumes e outras tarefas de preparação de alimentos solicitadas pelo Gerente de Cozinha. Horário: 35 horas semanais. O horário de trabalho pode variar e incluir turnos noturnos, fins de semana e feriados. O trabalho pode ser realizado em qualquer dia da semana, de segunda a domingo. Exemplos de turnos: 6h às 13h; 9h às 16h; 17h às 00h. Os horários dos turnos podem variar. Consulte a descrição de cargo anexa para obter mais detalhes. Classificação da Função: 35-2021.00 - Auxiliares de Cozinha. A classificação e descrição da função/setor inclui informações gerais sobre o cargo, de acordo com o ONET/OES e o Sistema de Classificação Industrial da América do Norte (NAICS). Consulte as Funções e a Ordem de Serviço para obter mais informações. Requisitos da Função Experiência Necessária: Sim Meses de Experiência Necessários: 3 Requisitos Especiais: O contratante considerará para emprego qualquer pessoa que possua pelo menos três (3) meses de experiência em um restaurante de alto padrão, resort ou clube privado. O candidato deverá se submeter à verificação de antecedentes e ao exame toxicológico pré-admissional, às custas do empregador. Número de Horas por Semana: 35 Horário de Trabalho (Início/Término): 6h00 - 13h00</v>
      </c>
    </row>
    <row r="1208" ht="20.25" customHeight="1">
      <c r="A1208" s="3" t="s">
        <v>5409</v>
      </c>
      <c r="B1208" s="3" t="s">
        <v>5410</v>
      </c>
      <c r="C1208" s="3" t="s">
        <v>4241</v>
      </c>
      <c r="D1208" s="3" t="s">
        <v>71</v>
      </c>
      <c r="E1208" s="4" t="s">
        <v>19</v>
      </c>
      <c r="F1208" s="4" t="s">
        <v>20</v>
      </c>
      <c r="G1208" s="4" t="s">
        <v>5411</v>
      </c>
      <c r="H1208" s="3" t="s">
        <v>5412</v>
      </c>
      <c r="I1208" s="3" t="s">
        <v>5413</v>
      </c>
      <c r="J1208" s="4">
        <v>20.13</v>
      </c>
      <c r="K1208" s="4">
        <v>8.0</v>
      </c>
      <c r="L1208" s="3" t="s">
        <v>1206</v>
      </c>
      <c r="M1208" s="3" t="s">
        <v>5414</v>
      </c>
      <c r="N1208" s="7" t="str">
        <f>IFERROR(__xludf.DUMMYFUNCTION("GOOGLETRANSLATE(L1208, ""en"", ""pt"")"),"Servidor")</f>
        <v>Servidor</v>
      </c>
      <c r="O1208" s="7" t="str">
        <f>IFERROR(__xludf.DUMMYFUNCTION("IF(M1208="""","""",GOOGLETRANSLATE(M1208,""en"",""pt""))"),"Os garçons serão responsáveis ​​por recepcionar os clientes, preparar as áreas de refeição, anotar e registrar pedidos, transportar bandejas e pratos, servir alimentos e bebidas, e limpar e retirar os pratos das mesas. Horário: 35 horas semanais. A escala"&amp;" de trabalho pode variar e incluir turnos noturnos, fins de semana e feriados. O trabalho pode ser realizado em qualquer dia da semana, de segunda a domingo. Exemplos de turnos: das 10h às 17h ou das 15h30 às 22h30. Os horários dos turnos podem variar. Co"&amp;"nsulte a descrição da vaga em anexo para mais informações. Classificação da vaga: 35-3031.00 - Garçons e Garçonetes. A classificação e descrição da vaga/setor inclui informações gerais sobre o cargo, de acordo com o ONET/OES e o Sistema de Classificação I"&amp;"ndustrial da América do Norte (NAICS). Consulte as Funções e a Ordem de Serviço para obter mais informações. Requisitos da vaga Experiência necessária: Sim Meses de experiência necessários: 3 Requisitos especiais: O contratante considerará para emprego qu"&amp;"alquer pessoa que possua pelo menos três (3) meses de experiência em um ambiente de alta gastronomia ou de grande movimento em um restaurante sofisticado, resort ou clube privado. Número de horas por semana: 35 Horário de trabalho (início/término): 10h00 "&amp;"- 17h00")</f>
        <v>Os garçons serão responsáveis ​​por recepcionar os clientes, preparar as áreas de refeição, anotar e registrar pedidos, transportar bandejas e pratos, servir alimentos e bebidas, e limpar e retirar os pratos das mesas. Horário: 35 horas semanais. A escala de trabalho pode variar e incluir turnos noturnos, fins de semana e feriados. O trabalho pode ser realizado em qualquer dia da semana, de segunda a domingo. Exemplos de turnos: das 10h às 17h ou das 15h30 às 22h30. Os horários dos turnos podem variar. Consulte a descrição da vaga em anexo para mais informações. Classificação da vaga: 35-3031.00 - Garçons e Garçonetes. A classificação e descrição da vaga/setor inclui informações gerais sobre o cargo, de acordo com o ONET/OES e o Sistema de Classificação Industrial da América do Norte (NAICS). Consulte as Funções e a Ordem de Serviço para obter mais informações. Requisitos da vaga Experiência necessária: Sim Meses de experiência necessários: 3 Requisitos especiais: O contratante considerará para emprego qualquer pessoa que possua pelo menos três (3) meses de experiência em um ambiente de alta gastronomia ou de grande movimento em um restaurante sofisticado, resort ou clube privado. Número de horas por semana: 35 Horário de trabalho (início/término): 10h00 - 17h00</v>
      </c>
    </row>
    <row r="1209" ht="20.25" customHeight="1">
      <c r="A1209" s="8" t="s">
        <v>5415</v>
      </c>
      <c r="B1209" s="8" t="s">
        <v>5410</v>
      </c>
      <c r="C1209" s="8" t="s">
        <v>4241</v>
      </c>
      <c r="D1209" s="8" t="s">
        <v>71</v>
      </c>
      <c r="E1209" s="9" t="s">
        <v>19</v>
      </c>
      <c r="F1209" s="9" t="s">
        <v>20</v>
      </c>
      <c r="G1209" s="9" t="s">
        <v>5411</v>
      </c>
      <c r="H1209" s="8" t="s">
        <v>5412</v>
      </c>
      <c r="I1209" s="8" t="s">
        <v>5413</v>
      </c>
      <c r="J1209" s="9">
        <v>19.88</v>
      </c>
      <c r="K1209" s="9">
        <v>8.0</v>
      </c>
      <c r="L1209" s="8" t="s">
        <v>387</v>
      </c>
      <c r="M1209" s="8" t="s">
        <v>5416</v>
      </c>
      <c r="N1209" s="7" t="str">
        <f>IFERROR(__xludf.DUMMYFUNCTION("GOOGLETRANSLATE(L1209, ""en"", ""pt"")"),"Ordem de serviço não disponível")</f>
        <v>Ordem de serviço não disponível</v>
      </c>
      <c r="O1209" s="7" t="str">
        <f>IFERROR(__xludf.DUMMYFUNCTION("IF(M1209="""","""",GOOGLETRANSLATE(M1209,""en"",""pt""))"),"Os cozinheiros serão responsáveis ​​por preparar, temperar e cozinhar sopas, carnes, legumes, sobremesas e outros pratos em um restaurante. Horário: 35 horas semanais. O horário de trabalho pode variar e incluir turnos noturnos, fins de semana e feriados."&amp;" O trabalho pode ser realizado em qualquer dia da semana, de segunda a domingo. Exemplos de turnos: das 9h às 16h ou das 15h às 22h. Os horários dos turnos podem variar. Consulte a descrição do cargo em anexo para obter mais informações. Classificação do "&amp;"Cargo: 35-2014.00 - Cozinheiros, Restaurante. A classificação e a descrição do cargo/setor incluem informações gerais sobre a posição, de acordo com o ONET/OES e o Sistema de Classificação Industrial da América do Norte (NAICS). Consulte as Funções e a Or"&amp;"dem de Serviço para obter mais informações. Requisitos da vaga Experiência necessária: Sim Meses de experiência necessários: 6 Requisitos especiais: O contratante considerará para emprego qualquer pessoa que possua pelo menos seis (6) meses de experiência"&amp;" culinária em um ambiente de alta gastronomia ou de grande movimento em um restaurante sofisticado, resort ou clube privado. Número de horas por semana: 35 Horário de trabalho (início/término): 9h às 16h")</f>
        <v>Os cozinheiros serão responsáveis ​​por preparar, temperar e cozinhar sopas, carnes, legumes, sobremesas e outros pratos em um restaurante. Horário: 35 horas semanais. O horário de trabalho pode variar e incluir turnos noturnos, fins de semana e feriados. O trabalho pode ser realizado em qualquer dia da semana, de segunda a domingo. Exemplos de turnos: das 9h às 16h ou das 15h às 22h. Os horários dos turnos podem variar. Consulte a descrição do cargo em anexo para obter mais informações. Classificação do Cargo: 35-2014.00 - Cozinheiros, Restaurante. A classificação e a descrição do cargo/setor incluem informações gerais sobre a posição, de acordo com o ONET/OES e o Sistema de Classificação Industrial da América do Norte (NAICS). Consulte as Funções e a Ordem de Serviço para obter mais informações. Requisitos da vaga Experiência necessária: Sim Meses de experiência necessários: 6 Requisitos especiais: O contratante considerará para emprego qualquer pessoa que possua pelo menos seis (6) meses de experiência culinária em um ambiente de alta gastronomia ou de grande movimento em um restaurante sofisticado, resort ou clube privado. Número de horas por semana: 35 Horário de trabalho (início/término): 9h às 16h</v>
      </c>
    </row>
    <row r="1210" ht="20.25" customHeight="1">
      <c r="A1210" s="3" t="s">
        <v>5417</v>
      </c>
      <c r="B1210" s="3" t="s">
        <v>5418</v>
      </c>
      <c r="C1210" s="3" t="s">
        <v>4241</v>
      </c>
      <c r="D1210" s="3" t="s">
        <v>87</v>
      </c>
      <c r="E1210" s="4" t="s">
        <v>19</v>
      </c>
      <c r="F1210" s="4" t="s">
        <v>20</v>
      </c>
      <c r="G1210" s="4" t="s">
        <v>524</v>
      </c>
      <c r="H1210" s="3" t="s">
        <v>5419</v>
      </c>
      <c r="I1210" s="3" t="s">
        <v>5420</v>
      </c>
      <c r="J1210" s="4">
        <v>13.53</v>
      </c>
      <c r="K1210" s="4">
        <v>3.0</v>
      </c>
      <c r="L1210" s="3" t="s">
        <v>354</v>
      </c>
      <c r="M1210" s="3" t="s">
        <v>5421</v>
      </c>
      <c r="N1210" s="7" t="str">
        <f>IFERROR(__xludf.DUMMYFUNCTION("GOOGLETRANSLATE(L1210, ""en"", ""pt"")"),"Governanta")</f>
        <v>Governanta</v>
      </c>
      <c r="O1210" s="7" t="str">
        <f>IFERROR(__xludf.DUMMYFUNCTION("IF(M1210="""","""",GOOGLETRANSLATE(M1210,""en"",""pt""))"),"Os(As) camareiros(as) serão responsáveis ​​pela limpeza e manutenção de todos os quartos, suítes e áreas comuns internas da propriedade Cherokee Plantation, incluindo aspirar o chão, tirar o pó, repor roupas de cama e toalhas, desinfetar banheiros e lavar"&amp;" e passar peças pequenas de roupa de cama, conforme necessário. Os(As) camareiros(as) também serão responsáveis ​​por lavar as janelas internas das áreas comuns e dos quartos com rodos e panos. A limpeza das janelas será feita de forma que estejam ao alca"&amp;"nce, utilizando uma pequena escada. Horário: 40 horas semanais. O horário de trabalho pode variar e incluir turnos noturnos, fins de semana e feriados. O trabalho pode ser realizado em qualquer dia da semana, de segunda a domingo. Exemplos de turnos: 6h30"&amp;" às 14h30 e 14h às 22h. Os horários dos turnos podem variar. Consulte a descrição do cargo em anexo para obter mais informações. Classificação da Função: 51-6021.00 - Passadores de Tecidos, Vestuário e Materiais Relacionados. A classificação e descrição d"&amp;"a função/setor inclui informações gerais sobre o cargo, de acordo com o ONET/OES e o Sistema de Classificação Industrial da América do Norte (NAICS). Consulte as Funções e a Ordem de Serviço para obter mais informações. Requisitos da Função Experiência Ne"&amp;"cessária: Sim Meses de Experiência Necessários: 3 Requisitos Especiais: O contratante considerará para emprego qualquer pessoa que possua pelo menos três (3) meses de experiência em um hotel de alto padrão, resort ou clube privado. Número de Horas por Sem"&amp;"ana: 40 Horário de Trabalho (Início/Término): 6h30 - 14h30")</f>
        <v>Os(As) camareiros(as) serão responsáveis ​​pela limpeza e manutenção de todos os quartos, suítes e áreas comuns internas da propriedade Cherokee Plantation, incluindo aspirar o chão, tirar o pó, repor roupas de cama e toalhas, desinfetar banheiros e lavar e passar peças pequenas de roupa de cama, conforme necessário. Os(As) camareiros(as) também serão responsáveis ​​por lavar as janelas internas das áreas comuns e dos quartos com rodos e panos. A limpeza das janelas será feita de forma que estejam ao alcance, utilizando uma pequena escada. Horário: 40 horas semanais. O horário de trabalho pode variar e incluir turnos noturnos, fins de semana e feriados. O trabalho pode ser realizado em qualquer dia da semana, de segunda a domingo. Exemplos de turnos: 6h30 às 14h30 e 14h às 22h. Os horários dos turnos podem variar. Consulte a descrição do cargo em anexo para obter mais informações. Classificação da Função: 51-6021.00 - Passadores de Tecidos, Vestuário e Materiais Relacionados. A classificação e descrição da função/setor inclui informações gerais sobre o cargo, de acordo com o ONET/OES e o Sistema de Classificação Industrial da América do Norte (NAICS). Consulte as Funções e a Ordem de Serviço para obter mais informações. Requisitos da Função Experiência Necessária: Sim Meses de Experiência Necessários: 3 Requisitos Especiais: O contratante considerará para emprego qualquer pessoa que possua pelo menos três (3) meses de experiência em um hotel de alto padrão, resort ou clube privado. Número de Horas por Semana: 40 Horário de Trabalho (Início/Término): 6h30 - 14h30</v>
      </c>
    </row>
    <row r="1211" ht="20.25" customHeight="1">
      <c r="A1211" s="8" t="s">
        <v>5422</v>
      </c>
      <c r="B1211" s="8" t="s">
        <v>5234</v>
      </c>
      <c r="C1211" s="8" t="s">
        <v>4241</v>
      </c>
      <c r="D1211" s="8" t="s">
        <v>71</v>
      </c>
      <c r="E1211" s="9" t="s">
        <v>19</v>
      </c>
      <c r="F1211" s="9" t="s">
        <v>20</v>
      </c>
      <c r="G1211" s="9" t="s">
        <v>345</v>
      </c>
      <c r="H1211" s="8" t="s">
        <v>5235</v>
      </c>
      <c r="I1211" s="8" t="s">
        <v>5236</v>
      </c>
      <c r="J1211" s="9">
        <v>20.13</v>
      </c>
      <c r="K1211" s="9">
        <v>8.0</v>
      </c>
      <c r="L1211" s="8" t="s">
        <v>1206</v>
      </c>
      <c r="M1211" s="8" t="s">
        <v>5423</v>
      </c>
      <c r="N1211" s="7" t="str">
        <f>IFERROR(__xludf.DUMMYFUNCTION("GOOGLETRANSLATE(L1211, ""en"", ""pt"")"),"Servidor")</f>
        <v>Servidor</v>
      </c>
      <c r="O1211" s="7" t="str">
        <f>IFERROR(__xludf.DUMMYFUNCTION("IF(M1211="""","""",GOOGLETRANSLATE(M1211,""en"",""pt""))"),"Os garçons serão responsáveis ​​por recepcionar os clientes, preparar as áreas de refeição, anotar e registrar pedidos, transportar bandejas e pratos, servir alimentos e bebidas, e limpar e retirar as mesas. Horário: 35 horas semanais. A escala de trabalh"&amp;"o pode variar e incluir turnos noturnos, fins de semana e feriados. O trabalho pode ser realizado em qualquer dia da semana, de segunda a domingo. Exemplos de turnos: das 10h às 17h ou das 15h30 às 22h30. Os horários dos turnos podem variar. Consulte a de"&amp;"scrição da vaga em anexo para obter mais informações. Classificação da vaga: 35-3031.00 - Garçons e Garçonetes. A classificação e descrição da vaga/setor incluem informações gerais sobre o cargo, de acordo com o ONET/OES e o Sistema de Classificação Indus"&amp;"trial da América do Norte (NAICS). Consulte as Funções e a Ordem de Serviço para obter mais informações. Requisitos da vaga Experiência necessária: Sim Meses de experiência necessários: 3 Requisitos especiais: O contratante considerará para emprego qualqu"&amp;"er pessoa que possua pelo menos três (3) meses de experiência em um ambiente de alta gastronomia ou de grande movimento em um restaurante sofisticado, resort ou clube privado. Número de horas por semana: 35 Horário de trabalho (início/término): 10h00 - 17"&amp;"h00")</f>
        <v>Os garçons serão responsáveis ​​por recepcionar os clientes, preparar as áreas de refeição, anotar e registrar pedidos, transportar bandejas e pratos, servir alimentos e bebidas, e limpar e retirar as mesas. Horário: 35 horas semanais. A escala de trabalho pode variar e incluir turnos noturnos, fins de semana e feriados. O trabalho pode ser realizado em qualquer dia da semana, de segunda a domingo. Exemplos de turnos: das 10h às 17h ou das 15h30 às 22h30. Os horários dos turnos podem variar. Consulte a descrição da vaga em anexo para obter mais informações. Classificação da vaga: 35-3031.00 - Garçons e Garçonetes. A classificação e descrição da vaga/setor incluem informações gerais sobre o cargo, de acordo com o ONET/OES e o Sistema de Classificação Industrial da América do Norte (NAICS). Consulte as Funções e a Ordem de Serviço para obter mais informações. Requisitos da vaga Experiência necessária: Sim Meses de experiência necessários: 3 Requisitos especiais: O contratante considerará para emprego qualquer pessoa que possua pelo menos três (3) meses de experiência em um ambiente de alta gastronomia ou de grande movimento em um restaurante sofisticado, resort ou clube privado. Número de horas por semana: 35 Horário de trabalho (início/término): 10h00 - 17h00</v>
      </c>
    </row>
    <row r="1212" ht="20.25" customHeight="1">
      <c r="A1212" s="3" t="s">
        <v>5424</v>
      </c>
      <c r="B1212" s="3" t="s">
        <v>5234</v>
      </c>
      <c r="C1212" s="3" t="s">
        <v>4241</v>
      </c>
      <c r="D1212" s="3" t="s">
        <v>71</v>
      </c>
      <c r="E1212" s="4" t="s">
        <v>19</v>
      </c>
      <c r="F1212" s="4" t="s">
        <v>20</v>
      </c>
      <c r="G1212" s="4" t="s">
        <v>345</v>
      </c>
      <c r="H1212" s="3" t="s">
        <v>5235</v>
      </c>
      <c r="I1212" s="3" t="s">
        <v>5236</v>
      </c>
      <c r="J1212" s="4">
        <v>24.46</v>
      </c>
      <c r="K1212" s="4">
        <v>1.0</v>
      </c>
      <c r="L1212" s="3" t="s">
        <v>5425</v>
      </c>
      <c r="M1212" s="3" t="s">
        <v>5426</v>
      </c>
      <c r="N1212" s="7" t="str">
        <f>IFERROR(__xludf.DUMMYFUNCTION("GOOGLETRANSLATE(L1212, ""en"", ""pt"")"),"Capitão de Serviço")</f>
        <v>Capitão de Serviço</v>
      </c>
      <c r="O1212" s="7" t="str">
        <f>IFERROR(__xludf.DUMMYFUNCTION("IF(M1212="""","""",GOOGLETRANSLATE(M1212,""en"",""pt""))"),"Os Capitães de Serviço serão responsáveis ​​por supervisionar e coordenar diretamente as atividades dos funcionários envolvidos no serviço de alimentação, incluindo o agendamento, contratação, treinamento e supervisão da equipe do salão, incluindo avaliaç"&amp;"ões de desempenho e medidas disciplinares, recebimento e resolução de reclamações de clientes, realização de reservas, recepção e acomodação de membros e convidados, auxílio no serviço de alimentação quando necessário e comunicação de informações e altera"&amp;"ções de políticas. Outras responsabilidades incluem o controle de estoque de itens de refeição e bebidas alcoólicas, a elaboração de relatórios sobre horas trabalhadas e salários dos funcionários, análise de vendas e outros relatórios do sistema de ponto "&amp;"de venda, além do monitoramento e ajuste do orçamento de mão de obra e suprimentos do salão. Os Capitães de Serviço supervisionarão até dezesseis (16) Garçons, três (3) Bartenders, seis (6) Auxiliares de Garçom/Entregadores e dois (2) Atendentes de Lancho"&amp;"nete. Horário: 35 horas semanais. A escala de trabalho pode variar e incluir turnos noturnos, fins de semana e feriados. O trabalho pode ser realizado em qualquer dia da semana, de segunda a domingo. Exemplos de turnos: das 10h às 17h ou das 15h30 às 22h3"&amp;"0. O horário de trabalho pode variar. Consulte a descrição do cargo em anexo para obter mais informações. Classificação do Cargo: 35-1012.00 - Supervisores de Primeira Linha de Preparadores e Atendentes de Alimentos. A classificação e descrição do cargo/s"&amp;"etor inclui informações gerais sobre a posição, de acordo com o ONET/OES e o Sistema de Classificação Industrial da América do Norte (NAICS). Consulte as Funções e a Ordem de Serviço para obter mais informações. Requisitos do Cargo Experiência Necessária:"&amp;" Sim Meses de Experiência Necessários: 12 Requisitos Especiais: O contratante considerará para emprego qualquer pessoa que possua pelo menos um (1) ano de experiência em um ambiente de alta gastronomia ou de grande movimento em um restaurante sofisticado,"&amp;" resort ou clube privado. Número de Horas por Semana: 35 Horário de Trabalho (Início/Término): 10:00 - 17:00")</f>
        <v>Os Capitães de Serviço serão responsáveis ​​por supervisionar e coordenar diretamente as atividades dos funcionários envolvidos no serviço de alimentação, incluindo o agendamento, contratação, treinamento e supervisão da equipe do salão, incluindo avaliações de desempenho e medidas disciplinares, recebimento e resolução de reclamações de clientes, realização de reservas, recepção e acomodação de membros e convidados, auxílio no serviço de alimentação quando necessário e comunicação de informações e alterações de políticas. Outras responsabilidades incluem o controle de estoque de itens de refeição e bebidas alcoólicas, a elaboração de relatórios sobre horas trabalhadas e salários dos funcionários, análise de vendas e outros relatórios do sistema de ponto de venda, além do monitoramento e ajuste do orçamento de mão de obra e suprimentos do salão. Os Capitães de Serviço supervisionarão até dezesseis (16) Garçons, três (3) Bartenders, seis (6) Auxiliares de Garçom/Entregadores e dois (2) Atendentes de Lanchonete. Horário: 35 horas semanais. A escala de trabalho pode variar e incluir turnos noturnos, fins de semana e feriados. O trabalho pode ser realizado em qualquer dia da semana, de segunda a domingo. Exemplos de turnos: das 10h às 17h ou das 15h30 às 22h30. O horário de trabalho pode variar. Consulte a descrição do cargo em anexo para obter mais informações. Classificação do Cargo: 35-1012.00 - Supervisores de Primeira Linha de Preparadores e Atendentes de Alimentos. A classificação e descrição do cargo/setor inclui informações gerais sobre a posição, de acordo com o ONET/OES e o Sistema de Classificação Industrial da América do Norte (NAICS). Consulte as Funções e a Ordem de Serviço para obter mais informações. Requisitos do Cargo Experiência Necessária: Sim Meses de Experiência Necessários: 12 Requisitos Especiais: O contratante considerará para emprego qualquer pessoa que possua pelo menos um (1) ano de experiência em um ambiente de alta gastronomia ou de grande movimento em um restaurante sofisticado, resort ou clube privado. Número de Horas por Semana: 35 Horário de Trabalho (Início/Término): 10:00 - 17:00</v>
      </c>
    </row>
    <row r="1213" ht="20.25" customHeight="1">
      <c r="A1213" s="8" t="s">
        <v>5427</v>
      </c>
      <c r="B1213" s="8" t="s">
        <v>5234</v>
      </c>
      <c r="C1213" s="8" t="s">
        <v>4241</v>
      </c>
      <c r="D1213" s="8" t="s">
        <v>71</v>
      </c>
      <c r="E1213" s="9" t="s">
        <v>44</v>
      </c>
      <c r="F1213" s="9" t="s">
        <v>20</v>
      </c>
      <c r="G1213" s="9" t="s">
        <v>345</v>
      </c>
      <c r="H1213" s="8" t="s">
        <v>5235</v>
      </c>
      <c r="I1213" s="8" t="s">
        <v>5236</v>
      </c>
      <c r="J1213" s="9">
        <v>15.0</v>
      </c>
      <c r="K1213" s="9">
        <v>2.0</v>
      </c>
      <c r="L1213" s="8" t="s">
        <v>5428</v>
      </c>
      <c r="M1213" s="8" t="s">
        <v>5429</v>
      </c>
      <c r="N1213" s="7" t="str">
        <f>IFERROR(__xludf.DUMMYFUNCTION("GOOGLETRANSLATE(L1213, ""en"", ""pt"")"),"Serviços externos/Atendente de campo de tiro")</f>
        <v>Serviços externos/Atendente de campo de tiro</v>
      </c>
      <c r="O1213" s="7" t="str">
        <f>IFERROR(__xludf.DUMMYFUNCTION("IF(M1213="""","""",GOOGLETRANSLATE(M1213,""en"",""pt""))"),"Os funcionários de Serviços Externos/Atendentes de Campo de Golfe serão responsáveis ​​por gerenciar os carrinhos de golfe do Clube, limpando, organizando, detalhando, carregando e estacionando os carrinhos; manter o estoque de bolas de golfe e o dispensa"&amp;"dor, recolhendo, lavando e reabastecendo as bolas; manter o campo de golfe limpo, recolhendo os cestos, preenchendo buracos e removendo o lixo da área de carga e descarga; e melhorar a experiência dos clientes, limpando os suportes de sacos de golfe, limp"&amp;"ando os tacos, guardando as bolsas dos sócios, monitorando as áreas de prática para garantir o uso seguro e o cumprimento das políticas do clube, auxiliando no carregamento e descarregamento das bolsas de golfe e cumprimentando os clientes de forma amigáv"&amp;"el e profissional. Os funcionários de Serviços Externos/Atendentes de Campo de Golfe frequentemente levantarão e/ou moverão até 23 kg. Horário: 35 horas por semana. O horário de trabalho pode variar e incluir noites, fins de semana e feriados. O trabalho "&amp;"pode ser realizado em qualquer dia da semana, de segunda a domingo. Exemplos de turnos: das 10h às 17h ou das 14h às 21h. Os horários dos turnos podem variar. Consulte a descrição do cargo em anexo para obter mais informações. Classificação da Função: 39-"&amp;"3091.00 - Atendentes de Diversão e Recreação. A classificação e descrição da função/setor inclui informações gerais sobre o cargo, de acordo com o ONET/OES e o Sistema de Classificação Industrial da América do Norte. Consulte as Funções e a Ordem de Servi"&amp;"ço para obter mais informações. Requisitos da Função Experiência Necessária: Sim Meses de Experiência Necessários: 3 Requisitos Especiais: O contratante considerará para emprego qualquer pessoa que possua pelo menos três (3) meses de experiência em um amb"&amp;"iente de alto volume em um hotel de luxo, resort, clube privado ou ambiente turístico. É necessário possuir carteira de habilitação americana ou internacional para dirigir veículos pertencentes ao clube em toda a propriedade. Número de Horas por Semana: 3"&amp;"5 Horário de Trabalho (Início/Término): 10:00 - 17:00")</f>
        <v>Os funcionários de Serviços Externos/Atendentes de Campo de Golfe serão responsáveis ​​por gerenciar os carrinhos de golfe do Clube, limpando, organizando, detalhando, carregando e estacionando os carrinhos; manter o estoque de bolas de golfe e o dispensador, recolhendo, lavando e reabastecendo as bolas; manter o campo de golfe limpo, recolhendo os cestos, preenchendo buracos e removendo o lixo da área de carga e descarga; e melhorar a experiência dos clientes, limpando os suportes de sacos de golfe, limpando os tacos, guardando as bolsas dos sócios, monitorando as áreas de prática para garantir o uso seguro e o cumprimento das políticas do clube, auxiliando no carregamento e descarregamento das bolsas de golfe e cumprimentando os clientes de forma amigável e profissional. Os funcionários de Serviços Externos/Atendentes de Campo de Golfe frequentemente levantarão e/ou moverão até 23 kg. Horário: 35 horas por semana. O horário de trabalho pode variar e incluir noites, fins de semana e feriados. O trabalho pode ser realizado em qualquer dia da semana, de segunda a domingo. Exemplos de turnos: das 10h às 17h ou das 14h às 21h. Os horários dos turnos podem variar. Consulte a descrição do cargo em anexo para obter mais informações. Classificação da Função: 39-3091.00 - Atendentes de Diversão e Recreação. A classificação e descrição da função/setor inclui informações gerais sobre o cargo, de acordo com o ONET/OES e o Sistema de Classificação Industrial da América do Norte. Consulte as Funções e a Ordem de Serviço para obter mais informações. Requisitos da Função Experiência Necessária: Sim Meses de Experiência Necessários: 3 Requisitos Especiais: O contratante considerará para emprego qualquer pessoa que possua pelo menos três (3) meses de experiência em um ambiente de alto volume em um hotel de luxo, resort, clube privado ou ambiente turístico. É necessário possuir carteira de habilitação americana ou internacional para dirigir veículos pertencentes ao clube em toda a propriedade. Número de Horas por Semana: 35 Horário de Trabalho (Início/Término): 10:00 - 17:00</v>
      </c>
    </row>
    <row r="1214" ht="20.25" customHeight="1">
      <c r="A1214" s="3" t="s">
        <v>5430</v>
      </c>
      <c r="B1214" s="3" t="s">
        <v>5106</v>
      </c>
      <c r="C1214" s="3" t="s">
        <v>4241</v>
      </c>
      <c r="D1214" s="3" t="s">
        <v>71</v>
      </c>
      <c r="E1214" s="4" t="s">
        <v>19</v>
      </c>
      <c r="F1214" s="4" t="s">
        <v>20</v>
      </c>
      <c r="G1214" s="4" t="s">
        <v>5107</v>
      </c>
      <c r="H1214" s="3" t="s">
        <v>5108</v>
      </c>
      <c r="I1214" s="3" t="s">
        <v>5109</v>
      </c>
      <c r="J1214" s="4">
        <v>17.91</v>
      </c>
      <c r="K1214" s="4">
        <v>12.0</v>
      </c>
      <c r="L1214" s="3" t="s">
        <v>1641</v>
      </c>
      <c r="M1214" s="3" t="s">
        <v>5431</v>
      </c>
      <c r="N1214" s="7" t="str">
        <f>IFERROR(__xludf.DUMMYFUNCTION("GOOGLETRANSLATE(L1214, ""en"", ""pt"")"),"Garçom/Garçonete")</f>
        <v>Garçom/Garçonete</v>
      </c>
      <c r="O1214" s="7" t="str">
        <f>IFERROR(__xludf.DUMMYFUNCTION("IF(M1214="""","""",GOOGLETRANSLATE(M1214,""en"",""pt""))"),"Os auxiliares de cozinha serão responsáveis ​​por transportar os pedidos da cozinha para o salão de forma eficiente, garantindo a entrega rápida e precisa aos membros e convidados. Colaborarão com a equipe culinária e o expedidor para preparar e manter o "&amp;"mise en place para o serviço de jantar, assegurando que todos os itens necessários estejam preparados e organizados, incluindo os itens do buffet. Manterão comunicação clara com a equipe da cozinha, garçons e o gerente do salão para confirmar os pedidos e"&amp;" transmitir quaisquer instruções ou modificações especiais. Verificarão cada pedido comparando-o com o pedido da cozinha para garantir a precisão antes da entrega à mesa. Devem garantir que a comida seja entregue de acordo com os padrões de apresentação, "&amp;"mantendo a qualidade e a aparência de todos os pratos. Auxiliarão na manutenção de uma área de trabalho limpa e organizada, incluindo o balcão de distribuição de alimentos e as áreas de serviço. Auxiliarão os garçons e auxiliares de mesa conforme necessár"&amp;"io, incluindo a limpeza e arrumação das mesas e a reposição de condimentos. Devem ser capazes de levantar até 23 kg e permanecer em pé por longos períodos. Horário: 40 horas semanais. A escala de trabalho pode variar e incluir noites, fins de semana e fer"&amp;"iados. O trabalho pode ser realizado em qualquer dia da semana, de segunda a domingo. Exemplos de turnos: 5h às 13h, 10h às 18h ou 14h às 22h. Os horários dos turnos podem variar. Consulte a descrição do cargo em anexo para obter mais informações. Classif"&amp;"icação do Cargo: 35-9011.00 - Atendentes de Salão e Cafeteria e Auxiliares de Bar. A classificação e descrição do cargo/setor incluem informações gerais sobre a posição, de acordo com o ONET/OES e o Sistema de Classificação Industrial da América do Norte "&amp;"(NAICS). Consulte as Funções e a Ordem de Serviço para obter mais informações. Requisitos do Cargo Experiência Necessária: Sim Meses de Experiência Necessários: 6 Requisitos Especiais: O contratante considerará para emprego qualquer pessoa que possua pelo"&amp;" menos seis (6) meses de experiência em um ambiente de alta gastronomia ou de grande movimento em um restaurante de alto padrão, resort, hotel ou clube privado. O candidato deverá se submeter à verificação de antecedentes e ao exame toxicológico pré-admis"&amp;"sional, às custas do empregador. Número de horas por semana: 40 Horário de trabalho (início/término): 5h00 - 13h00")</f>
        <v>Os auxiliares de cozinha serão responsáveis ​​por transportar os pedidos da cozinha para o salão de forma eficiente, garantindo a entrega rápida e precisa aos membros e convidados. Colaborarão com a equipe culinária e o expedidor para preparar e manter o mise en place para o serviço de jantar, assegurando que todos os itens necessários estejam preparados e organizados, incluindo os itens do buffet. Manterão comunicação clara com a equipe da cozinha, garçons e o gerente do salão para confirmar os pedidos e transmitir quaisquer instruções ou modificações especiais. Verificarão cada pedido comparando-o com o pedido da cozinha para garantir a precisão antes da entrega à mesa. Devem garantir que a comida seja entregue de acordo com os padrões de apresentação, mantendo a qualidade e a aparência de todos os pratos. Auxiliarão na manutenção de uma área de trabalho limpa e organizada, incluindo o balcão de distribuição de alimentos e as áreas de serviço. Auxiliarão os garçons e auxiliares de mesa conforme necessário, incluindo a limpeza e arrumação das mesas e a reposição de condimentos. Devem ser capazes de levantar até 23 kg e permanecer em pé por longos períodos. Horário: 40 horas semanais. A escala de trabalho pode variar e incluir noites, fins de semana e feriados. O trabalho pode ser realizado em qualquer dia da semana, de segunda a domingo. Exemplos de turnos: 5h às 13h, 10h às 18h ou 14h às 22h. Os horários dos turnos podem variar. Consulte a descrição do cargo em anexo para obter mais informações. Classificação do Cargo: 35-9011.00 - Atendentes de Salão e Cafeteria e Auxiliares de Bar. A classificação e descrição do cargo/setor incluem informações gerais sobre a posição, de acordo com o ONET/OES e o Sistema de Classificação Industrial da América do Norte (NAICS). Consulte as Funções e a Ordem de Serviço para obter mais informações. Requisitos do Cargo Experiência Necessária: Sim Meses de Experiência Necessários: 6 Requisitos Especiais: O contratante considerará para emprego qualquer pessoa que possua pelo menos seis (6) meses de experiência em um ambiente de alta gastronomia ou de grande movimento em um restaurante de alto padrão, resort, hotel ou clube privado. O candidato deverá se submeter à verificação de antecedentes e ao exame toxicológico pré-admissional, às custas do empregador. Número de horas por semana: 40 Horário de trabalho (início/término): 5h00 - 13h00</v>
      </c>
    </row>
    <row r="1215" ht="20.25" customHeight="1">
      <c r="A1215" s="8" t="s">
        <v>5432</v>
      </c>
      <c r="B1215" s="8" t="s">
        <v>5106</v>
      </c>
      <c r="C1215" s="8" t="s">
        <v>4241</v>
      </c>
      <c r="D1215" s="8" t="s">
        <v>71</v>
      </c>
      <c r="E1215" s="9" t="s">
        <v>19</v>
      </c>
      <c r="F1215" s="9" t="s">
        <v>20</v>
      </c>
      <c r="G1215" s="9" t="s">
        <v>5107</v>
      </c>
      <c r="H1215" s="8" t="s">
        <v>5108</v>
      </c>
      <c r="I1215" s="8" t="s">
        <v>5109</v>
      </c>
      <c r="J1215" s="9">
        <v>18.0</v>
      </c>
      <c r="K1215" s="9">
        <v>3.0</v>
      </c>
      <c r="L1215" s="8" t="s">
        <v>4587</v>
      </c>
      <c r="M1215" s="8" t="s">
        <v>5433</v>
      </c>
      <c r="N1215" s="7" t="str">
        <f>IFERROR(__xludf.DUMMYFUNCTION("GOOGLETRANSLATE(L1215, ""en"", ""pt"")"),"Confeiteiro(a)")</f>
        <v>Confeiteiro(a)</v>
      </c>
      <c r="O1215" s="7" t="str">
        <f>IFERROR(__xludf.DUMMYFUNCTION("IF(M1215="""","""",GOOGLETRANSLATE(M1215,""en"",""pt""))"),"***Resposta à Solicitação de Informações*** Os confeiteiros desempenham suas funções em uma área designada para confeitaria em uma cozinha estilo restaurante localizada na propriedade do Requerente. Além de preparar doces para as áreas de refeições estilo"&amp;" restaurante do Requerente, os confeiteiros também prepararão doces para banquetes, eventos privados para membros e para o Beach Club. ***Original*** Os confeiteiros serão responsáveis ​​por preparar doces, pães, sobremesas e itens de confeitaria para ban"&amp;"quetes de acordo com as receitas e padrões estabelecidos. Auxiliarão na produção de doces para banquetes e para o cardápio à la carte, garantindo precisão e consistência. Auxiliarão no trabalho de decoração de doces, incluindo decoração com chocolate, açú"&amp;"car e apresentação de pratos. Devem manter registros de produção precisos e seguir as receitas e métodos estabelecidos. Devem armazenar, etiquetar e rotacionar os alimentos adequadamente para garantir frescor e conformidade. Devem manter uma aparência pro"&amp;"fissional, seguir os padrões de uniforme e a higiene pessoal. Devem ser capazes de levantar 11 kg ou mais e trabalhar em temperaturas variáveis. Horário: 40 horas por semana. O horário de trabalho pode variar e incluir noites, fins de semana e feriados. O"&amp;" trabalho pode ser realizado em qualquer dia da semana, de segunda a domingo. Exemplos de turnos: das 5h às 13h, das 8h às 16h ou das 14h às 22h. Os horários dos turnos podem variar. Consulte a descrição do cargo em anexo para obter mais informações. Clas"&amp;"sificação do Cargo: 35-2014.00 - Cozinheiros, Restaurante. A classificação e a descrição do cargo/setor incluem informações gerais sobre a posição, de acordo com o ONET/OES e o Sistema de Classificação Industrial da América do Norte (NAICS). Consulte as F"&amp;"unções e a Ordem de Serviço para obter mais informações. Requisitos do Cargo Experiência Necessária: Sim Meses de Experiência Necessários: 6 Requisitos Especiais: O contratante considerará para emprego qualquer pessoa que possua pelo menos seis (6) meses "&amp;"de experiência culinária em um ambiente de alta gastronomia ou de grande movimento, em um restaurante de alto padrão, resort, hotel ou clube privado. O candidato deverá se submeter à verificação de antecedentes e ao exame toxicológico pré-admissional, às "&amp;"custas do empregador. Número de horas por semana: 40 Horário de trabalho (início/término): 5h00 - 13h00")</f>
        <v>***Resposta à Solicitação de Informações*** Os confeiteiros desempenham suas funções em uma área designada para confeitaria em uma cozinha estilo restaurante localizada na propriedade do Requerente. Além de preparar doces para as áreas de refeições estilo restaurante do Requerente, os confeiteiros também prepararão doces para banquetes, eventos privados para membros e para o Beach Club. ***Original*** Os confeiteiros serão responsáveis ​​por preparar doces, pães, sobremesas e itens de confeitaria para banquetes de acordo com as receitas e padrões estabelecidos. Auxiliarão na produção de doces para banquetes e para o cardápio à la carte, garantindo precisão e consistência. Auxiliarão no trabalho de decoração de doces, incluindo decoração com chocolate, açúcar e apresentação de pratos. Devem manter registros de produção precisos e seguir as receitas e métodos estabelecidos. Devem armazenar, etiquetar e rotacionar os alimentos adequadamente para garantir frescor e conformidade. Devem manter uma aparência profissional, seguir os padrões de uniforme e a higiene pessoal. Devem ser capazes de levantar 11 kg ou mais e trabalhar em temperaturas variáveis. Horário: 40 horas por semana. O horário de trabalho pode variar e incluir noites, fins de semana e feriados. O trabalho pode ser realizado em qualquer dia da semana, de segunda a domingo. Exemplos de turnos: das 5h às 13h, das 8h às 16h ou das 14h às 22h. Os horários dos turnos podem variar. Consulte a descrição do cargo em anexo para obter mais informações. Classificação do Cargo: 35-2014.00 - Cozinheiros, Restaurante. A classificação e a descrição do cargo/setor incluem informações gerais sobre a posição, de acordo com o ONET/OES e o Sistema de Classificação Industrial da América do Norte (NAICS). Consulte as Funções e a Ordem de Serviço para obter mais informações. Requisitos do Cargo Experiência Necessária: Sim Meses de Experiência Necessários: 6 Requisitos Especiais: O contratante considerará para emprego qualquer pessoa que possua pelo menos seis (6) meses de experiência culinária em um ambiente de alta gastronomia ou de grande movimento, em um restaurante de alto padrão, resort, hotel ou clube privado. O candidato deverá se submeter à verificação de antecedentes e ao exame toxicológico pré-admissional, às custas do empregador. Número de horas por semana: 40 Horário de trabalho (início/término): 5h00 - 13h00</v>
      </c>
    </row>
    <row r="1216" ht="20.25" customHeight="1">
      <c r="A1216" s="3" t="s">
        <v>5434</v>
      </c>
      <c r="B1216" s="3" t="s">
        <v>5106</v>
      </c>
      <c r="C1216" s="3" t="s">
        <v>4241</v>
      </c>
      <c r="D1216" s="3" t="s">
        <v>71</v>
      </c>
      <c r="E1216" s="4" t="s">
        <v>19</v>
      </c>
      <c r="F1216" s="4" t="s">
        <v>20</v>
      </c>
      <c r="G1216" s="4" t="s">
        <v>5107</v>
      </c>
      <c r="H1216" s="3" t="s">
        <v>5108</v>
      </c>
      <c r="I1216" s="3" t="s">
        <v>5109</v>
      </c>
      <c r="J1216" s="4">
        <v>22.0</v>
      </c>
      <c r="K1216" s="4">
        <v>1.0</v>
      </c>
      <c r="L1216" s="3" t="s">
        <v>3692</v>
      </c>
      <c r="M1216" s="3" t="s">
        <v>5435</v>
      </c>
      <c r="N1216" s="7" t="str">
        <f>IFERROR(__xludf.DUMMYFUNCTION("GOOGLETRANSLATE(L1216, ""en"", ""pt"")"),"Cozinheiro II")</f>
        <v>Cozinheiro II</v>
      </c>
      <c r="O1216" s="7" t="str">
        <f>IFERROR(__xludf.DUMMYFUNCTION("IF(M1216="""","""",GOOGLETRANSLATE(M1216,""en"",""pt""))"),"O Cozinheiro II será responsável por preparar, temperar e cozinhar sopas, carnes, legumes, sobremesas e outros alimentos em um restaurante. Também será responsável por garantir a qualidade dos alimentos, a limpeza e a organização da área de trabalho da co"&amp;"zinha, estar atento aos custos dos alimentos e implementar práticas de gestão de desperdício durante o preparo dos alimentos, além de manter a segurança, a higiene e a proteção dos postos de trabalho. Fará o rodízio de estoque e monitorará o frescor dos p"&amp;"rodutos. Auxiliará no treinamento e na supervisão de indivíduos no nível de Cozinheiro III (auxiliares de cozinha/preparadores de alimentos). Deverá ser capaz de levantar 11 kg ou mais e trabalhar em temperaturas variáveis. Poderá realizar supervisão bási"&amp;"ca de até quatro (4) Cozinheiros III. Horário: 40 horas semanais. O horário de trabalho pode variar e incluir turnos noturnos, fins de semana e feriados. O trabalho pode ser realizado em qualquer dia da semana, de segunda a domingo. Exemplos de turnos: da"&amp;"s 6h às 14h, das 10h às 18h ou das 14h às 22h. Os horários dos turnos podem variar. Consulte a descrição de cargo anexa para obter informações adicionais. Classificação do Cargo: 35-2014.00 - Cozinheiros, Restaurante. A classificação e descrição do cargo/"&amp;"setor incluem informações gerais sobre a posição, de acordo com o ONET/OES e o Sistema de Classificação Industrial da América do Norte. Consulte as Funções e a Ordem de Serviço para obter mais informações. Requisitos do Cargo Experiência Necessária: Sim M"&amp;"eses de Experiência Necessários: 6 Requisitos Especiais: O contratante considerará para emprego qualquer pessoa que possua pelo menos seis (6) meses de experiência culinária em um ambiente de alta gastronomia ou de grande movimento, em um restaurante de a"&amp;"lto padrão, resort, hotel ou clube privado. O candidato deverá se submeter à verificação de antecedentes e ao exame toxicológico pré-admissional, às custas do empregador. Número de Horas por Semana: 40 Horário de Trabalho (Início/Término): 6h00 - 14h00")</f>
        <v>O Cozinheiro II será responsável por preparar, temperar e cozinhar sopas, carnes, legumes, sobremesas e outros alimentos em um restaurante. Também será responsável por garantir a qualidade dos alimentos, a limpeza e a organização da área de trabalho da cozinha, estar atento aos custos dos alimentos e implementar práticas de gestão de desperdício durante o preparo dos alimentos, além de manter a segurança, a higiene e a proteção dos postos de trabalho. Fará o rodízio de estoque e monitorará o frescor dos produtos. Auxiliará no treinamento e na supervisão de indivíduos no nível de Cozinheiro III (auxiliares de cozinha/preparadores de alimentos). Deverá ser capaz de levantar 11 kg ou mais e trabalhar em temperaturas variáveis. Poderá realizar supervisão básica de até quatro (4) Cozinheiros III. Horário: 40 horas semanais. O horário de trabalho pode variar e incluir turnos noturnos, fins de semana e feriados. O trabalho pode ser realizado em qualquer dia da semana, de segunda a domingo. Exemplos de turnos: das 6h às 14h, das 10h às 18h ou das 14h às 22h. Os horários dos turnos podem variar. Consulte a descrição de cargo anexa para obter informações adicionais. Classificação do Cargo: 35-2014.00 - Cozinheiros, Restaurante. A classificação e descrição do cargo/setor incluem informações gerais sobre a posição, de acordo com o ONET/OES e o Sistema de Classificação Industrial da América do Norte. Consulte as Funções e a Ordem de Serviço para obter mais informações. Requisitos do Cargo Experiência Necessária: Sim Meses de Experiência Necessários: 6 Requisitos Especiais: O contratante considerará para emprego qualquer pessoa que possua pelo menos seis (6) meses de experiência culinária em um ambiente de alta gastronomia ou de grande movimento, em um restaurante de alto padrão, resort, hotel ou clube privado. O candidato deverá se submeter à verificação de antecedentes e ao exame toxicológico pré-admissional, às custas do empregador. Número de Horas por Semana: 40 Horário de Trabalho (Início/Término): 6h00 - 14h00</v>
      </c>
    </row>
    <row r="1217" ht="20.25" customHeight="1">
      <c r="A1217" s="8" t="s">
        <v>5436</v>
      </c>
      <c r="B1217" s="8" t="s">
        <v>5106</v>
      </c>
      <c r="C1217" s="8" t="s">
        <v>4241</v>
      </c>
      <c r="D1217" s="8" t="s">
        <v>71</v>
      </c>
      <c r="E1217" s="9" t="s">
        <v>19</v>
      </c>
      <c r="F1217" s="9" t="s">
        <v>20</v>
      </c>
      <c r="G1217" s="9" t="s">
        <v>5107</v>
      </c>
      <c r="H1217" s="8" t="s">
        <v>5108</v>
      </c>
      <c r="I1217" s="8" t="s">
        <v>5109</v>
      </c>
      <c r="J1217" s="9">
        <v>22.54</v>
      </c>
      <c r="K1217" s="9">
        <v>2.0</v>
      </c>
      <c r="L1217" s="8" t="s">
        <v>5437</v>
      </c>
      <c r="M1217" s="8" t="s">
        <v>5438</v>
      </c>
      <c r="N1217" s="7" t="str">
        <f>IFERROR(__xludf.DUMMYFUNCTION("GOOGLETRANSLATE(L1217, ""en"", ""pt"")"),"Assistente Administrativo")</f>
        <v>Assistente Administrativo</v>
      </c>
      <c r="O1217" s="7" t="str">
        <f>IFERROR(__xludf.DUMMYFUNCTION("IF(M1217="""","""",GOOGLETRANSLATE(M1217,""en"",""pt""))"),"Os Assistentes Administrativos serão responsáveis ​​por fornecer suporte essencial na recepção, auxiliando em tarefas administrativas, gerenciando a distribuição de encomendas e garantindo uma comunicação eficiente entre funcionários, moradores, fornecedo"&amp;"res e o público. Outras responsabilidades incluem recepcionar funcionários, moradores, fornecedores e o público, assegurando um ambiente agradável e profissional. Os Assistentes Administrativos também direcionarão os visitantes ao departamento ou pessoa c"&amp;"orreta, ou fornecerão as informações necessárias, além de atender a linha telefônica principal e prestar assistência ou direcionar as ligações aos funcionários apropriados, conforme necessário. Serão responsáveis ​​por receber, organizar e auxiliar na dis"&amp;"tribuição de encomendas da UPS, DHL e FedEx para moradores ou funcionários. Os Assistentes Administrativos coordenarão com a equipe de Segurança para garantir a entrega pontual e segura das encomendas nas residências dos moradores. Também serão responsáve"&amp;"is ​​por auxiliar na criação, montagem e envio de boletins informativos semanais. Os Assistentes Administrativos também prepararão e colarão etiquetas, colocarão correspondências em envelopes e realizarão quaisquer tarefas de envio semanalmente, além de a"&amp;"rquivar, organizar e manter a limpeza do escritório para garantir um ambiente de trabalho eficiente (diariamente). Os assistentes administrativos também embalarão encomendas, endereçarão os pacotes e prepararão a correspondência para coleta noturna. Outra"&amp;"s responsabilidades incluem garantir a correta selagem de toda a correspondência, solicitar selos e manter o estoque de materiais de envio, assegurando que o estoque seja reabastecido regularmente, além de manter e organizar os murais de avisos em áreas e"&amp;"stratégicas, como a entrada do escritório da Associação de Proprietários (POA), os vestiários feminino e masculino e o centro de negócios. Serão responsáveis ​​por criar, verificar e atualizar o conteúdo dos murais diariamente. É necessário ser capaz de p"&amp;"ermanecer sentado ou em pé por longos períodos. É necessário ser capaz de levantar e carregar pacotes de até 14 kg. Horário: 40 horas semanais. O horário de trabalho pode variar e incluir turnos noturnos, fins de semana e feriados. O trabalho pode ser rea"&amp;"lizado em qualquer dia da semana, de segunda a domingo. Exemplo de turno: das 8h30 às 16h30. Os horários dos turnos podem variar. Consulte a descrição do cargo em anexo para obter mais informações. Classificação da Função: 43-9061.00 - Auxiliar Administra"&amp;"tivo Geral. A classificação e descrição da função/setor inclui informações gerais sobre o cargo, de acordo com o ONET/OES e o Sistema de Classificação Industrial da América do Norte (NAICS). Consulte as Funções e a Ordem de Serviço para obter mais informa"&amp;"ções. Requisitos da Função Experiência Necessária: Sim Meses de Experiência Necessários: 3 Requisitos Especiais: O contratante considerará para emprego qualquer pessoa que possua pelo menos três (3) meses de experiência em ambiente de escritório em um hot"&amp;"el de alto padrão, resort ou clube privado. O candidato deverá se submeter à verificação de antecedentes e ao exame toxicológico pré-admissional, às custas do empregador. Número de Horas por Semana: 40 Horário de Trabalho (Início/Término): 8h30 - 16h30.")</f>
        <v>Os Assistentes Administrativos serão responsáveis ​​por fornecer suporte essencial na recepção, auxiliando em tarefas administrativas, gerenciando a distribuição de encomendas e garantindo uma comunicação eficiente entre funcionários, moradores, fornecedores e o público. Outras responsabilidades incluem recepcionar funcionários, moradores, fornecedores e o público, assegurando um ambiente agradável e profissional. Os Assistentes Administrativos também direcionarão os visitantes ao departamento ou pessoa correta, ou fornecerão as informações necessárias, além de atender a linha telefônica principal e prestar assistência ou direcionar as ligações aos funcionários apropriados, conforme necessário. Serão responsáveis ​​por receber, organizar e auxiliar na distribuição de encomendas da UPS, DHL e FedEx para moradores ou funcionários. Os Assistentes Administrativos coordenarão com a equipe de Segurança para garantir a entrega pontual e segura das encomendas nas residências dos moradores. Também serão responsáveis ​​por auxiliar na criação, montagem e envio de boletins informativos semanais. Os Assistentes Administrativos também prepararão e colarão etiquetas, colocarão correspondências em envelopes e realizarão quaisquer tarefas de envio semanalmente, além de arquivar, organizar e manter a limpeza do escritório para garantir um ambiente de trabalho eficiente (diariamente). Os assistentes administrativos também embalarão encomendas, endereçarão os pacotes e prepararão a correspondência para coleta noturna. Outras responsabilidades incluem garantir a correta selagem de toda a correspondência, solicitar selos e manter o estoque de materiais de envio, assegurando que o estoque seja reabastecido regularmente, além de manter e organizar os murais de avisos em áreas estratégicas, como a entrada do escritório da Associação de Proprietários (POA), os vestiários feminino e masculino e o centro de negócios. Serão responsáveis ​​por criar, verificar e atualizar o conteúdo dos murais diariamente. É necessário ser capaz de permanecer sentado ou em pé por longos períodos. É necessário ser capaz de levantar e carregar pacotes de até 14 kg. Horário: 40 horas semanais. O horário de trabalho pode variar e incluir turnos noturnos, fins de semana e feriados. O trabalho pode ser realizado em qualquer dia da semana, de segunda a domingo. Exemplo de turno: das 8h30 às 16h30. Os horários dos turnos podem variar. Consulte a descrição do cargo em anexo para obter mais informações. Classificação da Função: 43-9061.00 - Auxiliar Administrativo Geral. A classificação e descrição da função/setor inclui informações gerais sobre o cargo, de acordo com o ONET/OES e o Sistema de Classificação Industrial da América do Norte (NAICS). Consulte as Funções e a Ordem de Serviço para obter mais informações. Requisitos da Função Experiência Necessária: Sim Meses de Experiência Necessários: 3 Requisitos Especiais: O contratante considerará para emprego qualquer pessoa que possua pelo menos três (3) meses de experiência em ambiente de escritório em um hotel de alto padrão, resort ou clube privado. O candidato deverá se submeter à verificação de antecedentes e ao exame toxicológico pré-admissional, às custas do empregador. Número de Horas por Semana: 40 Horário de Trabalho (Início/Término): 8h30 - 16h30.</v>
      </c>
    </row>
    <row r="1218" ht="20.25" customHeight="1">
      <c r="A1218" s="3" t="s">
        <v>5439</v>
      </c>
      <c r="B1218" s="3" t="s">
        <v>5106</v>
      </c>
      <c r="C1218" s="3" t="s">
        <v>4241</v>
      </c>
      <c r="D1218" s="3" t="s">
        <v>71</v>
      </c>
      <c r="E1218" s="4" t="s">
        <v>19</v>
      </c>
      <c r="F1218" s="4" t="s">
        <v>20</v>
      </c>
      <c r="G1218" s="4" t="s">
        <v>5107</v>
      </c>
      <c r="H1218" s="3" t="s">
        <v>5108</v>
      </c>
      <c r="I1218" s="3" t="s">
        <v>5109</v>
      </c>
      <c r="J1218" s="4">
        <v>19.51</v>
      </c>
      <c r="K1218" s="4">
        <v>5.0</v>
      </c>
      <c r="L1218" s="3" t="s">
        <v>1684</v>
      </c>
      <c r="M1218" s="3" t="s">
        <v>5440</v>
      </c>
      <c r="N1218" s="7" t="str">
        <f>IFERROR(__xludf.DUMMYFUNCTION("GOOGLETRANSLATE(L1218, ""en"", ""pt"")"),"Barman")</f>
        <v>Barman</v>
      </c>
      <c r="O1218" s="7" t="str">
        <f>IFERROR(__xludf.DUMMYFUNCTION("IF(M1218="""","""",GOOGLETRANSLATE(M1218,""en"",""pt""))"),"Os bartenders serão responsáveis ​​por preparar e servir bebidas para sócios e convidados, limpar copos e equipamentos do bar e garantir que o bar e as áreas de trabalho estejam limpos e bem abastecidos. Poderão ser solicitados a preparar alguns itens do "&amp;"cardápio, como aperitivos, incluindo picles, queijos e frios. É necessário ser capaz de levantar 11 kg ou mais e trabalhar em temperaturas variáveis. Horário: 40 horas semanais. A escala de trabalho pode variar e incluir turnos noturnos, fins de semana e "&amp;"feriados. O trabalho pode ser realizado em qualquer dia da semana, de segunda a domingo. Exemplos de turnos: das 10h às 18h ou das 15h às 23h. Os horários dos turnos podem variar. Consulte a descrição da vaga em anexo para obter mais informações. Classifi"&amp;"cação da vaga: 35-3011.00 - Bartenders. A classificação e descrição da vaga/setor incluem informações gerais sobre o cargo, de acordo com o ONET/OES e o Sistema de Classificação Industrial da América do Norte (NAICS). Consulte as Funções e a Ordem de Serv"&amp;"iço para obter mais informações. Requisitos da vaga Experiência exigida: Sim Meses de experiência exigidos: 6 Requisitos especiais: O contratante considerará para emprego qualquer pessoa que possua pelo menos seis (6) meses de experiência em um ambiente d"&amp;"e alta gastronomia ou de grande movimento em um restaurante sofisticado, resort ou clube privado. O candidato deverá se submeter à verificação de antecedentes e ao exame toxicológico pré-admissional, às custas do empregador. Número de horas por semana: 40"&amp;" Horário de trabalho (início/término): 10h às 18h")</f>
        <v>Os bartenders serão responsáveis ​​por preparar e servir bebidas para sócios e convidados, limpar copos e equipamentos do bar e garantir que o bar e as áreas de trabalho estejam limpos e bem abastecidos. Poderão ser solicitados a preparar alguns itens do cardápio, como aperitivos, incluindo picles, queijos e frios. É necessário ser capaz de levantar 11 kg ou mais e trabalhar em temperaturas variáveis. Horário: 40 horas semanais. A escala de trabalho pode variar e incluir turnos noturnos, fins de semana e feriados. O trabalho pode ser realizado em qualquer dia da semana, de segunda a domingo. Exemplos de turnos: das 10h às 18h ou das 15h às 23h. Os horários dos turnos podem variar. Consulte a descrição da vaga em anexo para obter mais informações. Classificação da vaga: 35-3011.00 - Bartenders. A classificação e descrição da vaga/setor incluem informações gerais sobre o cargo, de acordo com o ONET/OES e o Sistema de Classificação Industrial da América do Norte (NAICS). Consulte as Funções e a Ordem de Serviço para obter mais informações. Requisitos da vaga Experiência exigida: Sim Meses de experiência exigidos: 6 Requisitos especiais: O contratante considerará para emprego qualquer pessoa que possua pelo menos seis (6) meses de experiência em um ambiente de alta gastronomia ou de grande movimento em um restaurante sofisticado, resort ou clube privado. O candidato deverá se submeter à verificação de antecedentes e ao exame toxicológico pré-admissional, às custas do empregador. Número de horas por semana: 40 Horário de trabalho (início/término): 10h às 18h</v>
      </c>
    </row>
    <row r="1219" ht="20.25" customHeight="1">
      <c r="A1219" s="8" t="s">
        <v>5441</v>
      </c>
      <c r="B1219" s="8" t="s">
        <v>5106</v>
      </c>
      <c r="C1219" s="8" t="s">
        <v>4241</v>
      </c>
      <c r="D1219" s="8" t="s">
        <v>71</v>
      </c>
      <c r="E1219" s="9" t="s">
        <v>44</v>
      </c>
      <c r="F1219" s="9" t="s">
        <v>20</v>
      </c>
      <c r="G1219" s="9" t="s">
        <v>5107</v>
      </c>
      <c r="H1219" s="8" t="s">
        <v>5108</v>
      </c>
      <c r="I1219" s="8" t="s">
        <v>5109</v>
      </c>
      <c r="J1219" s="9">
        <v>18.0</v>
      </c>
      <c r="K1219" s="9">
        <v>26.0</v>
      </c>
      <c r="L1219" s="8" t="s">
        <v>5442</v>
      </c>
      <c r="M1219" s="8" t="s">
        <v>5443</v>
      </c>
      <c r="N1219" s="7" t="str">
        <f>IFERROR(__xludf.DUMMYFUNCTION("GOOGLETRANSLATE(L1219, ""en"", ""pt"")"),"Cozinheiro III")</f>
        <v>Cozinheiro III</v>
      </c>
      <c r="O1219" s="7" t="str">
        <f>IFERROR(__xludf.DUMMYFUNCTION("IF(M1219="""","""",GOOGLETRANSLATE(M1219,""en"",""pt""))"),"O Cozinheiro III será responsável por diversas tarefas de preparação de alimentos (além de cozinhar), incluindo lavar, descascar e cortar legumes e preparar guarnições simples. Auxiliará no preparo básico, como medir, misturar e porcionar. Abastecerá a es"&amp;"tação de trabalho designada com ingredientes e suprimentos. Também será responsável por garantir a qualidade dos alimentos, a limpeza e a organização da área de trabalho da cozinha, além de manter a segurança, a higiene e a proteção das estações de trabal"&amp;"ho. Deve ser capaz de levantar 11 kg ou mais e trabalhar em temperaturas variáveis. Horário: 40 horas semanais. O horário de trabalho pode variar e incluir turnos noturnos, fins de semana e feriados. O trabalho pode ser realizado em qualquer dia da semana"&amp;", de segunda a domingo. Exemplos de turnos: das 6h às 14h, das 10h às 18h ou das 14h às 22h. Os horários dos turnos podem variar. Consulte a descrição do cargo em anexo para obter mais informações. Classificação da vaga: 35-2021.00 - Auxiliares de Cozinha"&amp;". A classificação e descrição da vaga/setor inclui informações gerais sobre o cargo, conforme o ONET/OES e o Sistema de Classificação Industrial da América do Norte (NAICS). Consulte as Funções e a Ordem de Serviço para obter mais informações. Requisitos "&amp;"da vaga: Experiência exigida: Não. Requisitos especiais: O candidato deverá se submeter à verificação de antecedentes e ao exame toxicológico pré-admissional, custeados pelo empregador. Número de horas semanais: 40. Horário de trabalho (início/término): 6"&amp;"h às 14h.")</f>
        <v>O Cozinheiro III será responsável por diversas tarefas de preparação de alimentos (além de cozinhar), incluindo lavar, descascar e cortar legumes e preparar guarnições simples. Auxiliará no preparo básico, como medir, misturar e porcionar. Abastecerá a estação de trabalho designada com ingredientes e suprimentos. Também será responsável por garantir a qualidade dos alimentos, a limpeza e a organização da área de trabalho da cozinha, além de manter a segurança, a higiene e a proteção das estações de trabalho. Deve ser capaz de levantar 11 kg ou mais e trabalhar em temperaturas variáveis. Horário: 40 horas semanais. O horário de trabalho pode variar e incluir turnos noturnos, fins de semana e feriados. O trabalho pode ser realizado em qualquer dia da semana, de segunda a domingo. Exemplos de turnos: das 6h às 14h, das 10h às 18h ou das 14h às 22h. Os horários dos turnos podem variar. Consulte a descrição do cargo em anexo para obter mais informações. Classificação da vaga: 35-2021.00 - Auxiliares de Cozinha. A classificação e descrição da vaga/setor inclui informações gerais sobre o cargo, conforme o ONET/OES e o Sistema de Classificação Industrial da América do Norte (NAICS). Consulte as Funções e a Ordem de Serviço para obter mais informações. Requisitos da vaga: Experiência exigida: Não. Requisitos especiais: O candidato deverá se submeter à verificação de antecedentes e ao exame toxicológico pré-admissional, custeados pelo empregador. Número de horas semanais: 40. Horário de trabalho (início/término): 6h às 14h.</v>
      </c>
    </row>
    <row r="1220" ht="20.25" customHeight="1">
      <c r="A1220" s="3" t="s">
        <v>5444</v>
      </c>
      <c r="B1220" s="3" t="s">
        <v>5106</v>
      </c>
      <c r="C1220" s="3" t="s">
        <v>4241</v>
      </c>
      <c r="D1220" s="3" t="s">
        <v>71</v>
      </c>
      <c r="E1220" s="4" t="s">
        <v>44</v>
      </c>
      <c r="F1220" s="4" t="s">
        <v>20</v>
      </c>
      <c r="G1220" s="4" t="s">
        <v>5107</v>
      </c>
      <c r="H1220" s="3" t="s">
        <v>5108</v>
      </c>
      <c r="I1220" s="3" t="s">
        <v>5109</v>
      </c>
      <c r="J1220" s="4">
        <v>22.56</v>
      </c>
      <c r="K1220" s="4">
        <v>1.0</v>
      </c>
      <c r="L1220" s="3" t="s">
        <v>3402</v>
      </c>
      <c r="M1220" s="3" t="s">
        <v>5445</v>
      </c>
      <c r="N1220" s="7" t="str">
        <f>IFERROR(__xludf.DUMMYFUNCTION("GOOGLETRANSLATE(L1220, ""en"", ""pt"")"),"Supervisor de Alimentos e Bebidas")</f>
        <v>Supervisor de Alimentos e Bebidas</v>
      </c>
      <c r="O1220" s="7" t="str">
        <f>IFERROR(__xludf.DUMMYFUNCTION("IF(M1220="""","""",GOOGLETRANSLATE(M1220,""en"",""pt""))"),"***Resposta à Solicitação de Informações*** O cargo de Capitão é uma posição de liderança na equipe de atendimento, que apoia os garçons, supervisores e gerentes, auxiliando em tarefas típicas de garçons, como anotar pedidos, servir comida, fazer reservas"&amp;" e imprimir cardápios. Além disso, os Capitães também auxiliam no treinamento e supervisionam os garçons na ausência do Supervisor de Alimentos e Bebidas e do Gerente de Alimentos e Bebidas. As responsabilidades adicionais do Supervisor de Alimentos e Beb"&amp;"idas em relação à supervisão dos Capitães incluem supervisionar, treinar e orientar os membros da equipe, garantindo a adesão aos padrões de serviço, políticas e procedimentos; auxiliar no agendamento, controle de ponto e distribuição diária de tarefas da"&amp;" equipe para garantir a cobertura adequada e a eficiência; e ajudar a conduzir reuniões pré-turno para comunicar as prioridades diárias, as expectativas de serviço e eventos especiais. Observe que os Supervisores de Alimentos e Bebidas não têm autoridade "&amp;"para conduzir ações de pessoal, incluindo medidas disciplinares ou contratação/demissão; essa autoridade é do Gerente de Alimentos e Bebidas. ***Original*** O Supervisor de Alimentos e Bebidas será responsável por supervisionar as operações de alimentos e"&amp;" bebidas tanto no Greenside (restaurante casual) quanto no Bar de Esportes, apoiando os gerentes nesses locais com o serviço diário, garantindo altos níveis de satisfação dos membros e consistência. Supervisionará as operações do restaurante em colaboraçã"&amp;"o com o Gerente de Alimentos e Bebidas em vários pontos de venda, apoiando os gerentes com o serviço diário para garantir altos níveis de satisfação dos membros e consistência. Supervisionará, treinará e orientará os membros da equipe, garantindo a adesão"&amp;" aos padrões de serviço, políticas e procedimentos. Auxiliará no agendamento, controle de ponto e atribuições diárias da equipe para garantir cobertura adequada e eficiência. Ajudará a conduzir reuniões pré-turno para comunicar as prioridades diárias, exp"&amp;"ectativas de serviço e eventos especiais. Supervisionará as operações do brunch de domingo, garantindo uma execução impecável e uma experiência excepcional para os membros. Fornecerá suporte em outros pontos de venda de alimentos, conforme necessário, par"&amp;"a manter cobertura consistente e qualidade de serviço. Garantirá que todas as áreas mantenham os padrões de limpeza, segurança e excelência de serviço em todos os momentos. Capaz de levantar até 18 kg e trabalhar em temperaturas variáveis. Poderá supervis"&amp;"ionar até três (3) Capitães e vinte (20) Garçons. Horário: 40 horas semanais. O horário de trabalho pode variar e incluir turnos noturnos, fins de semana e feriados. O trabalho pode ser realizado em qualquer dia da semana, de segunda a domingo. Exemplos d"&amp;"e turnos: das 6h às 14h, das 10h às 18h ou das 14h às 22h. Os horários dos turnos podem variar. Consulte a descrição do cargo em anexo para obter mais informações. Classificação do Cargo: 35-1012.00 - Supervisores de Primeira Linha de Preparadores e Atend"&amp;"entes de Alimentos. A classificação e descrição do cargo/setor incluem informações gerais sobre a posição, de acordo com o ONET/OES e o Sistema de Classificação Industrial da América do Norte (NAICS). Consulte as Funções e a Ordem de Serviço para obter ma"&amp;"is informações. Requisitos do Cargo Experiência Necessária: Sim Meses de Experiência Necessários: 12 Requisitos Especiais: O contratante considerará para emprego qualquer pessoa que possua pelo menos um (1) ano de experiência em alimentos e bebidas em um "&amp;"ambiente de alta gastronomia ou de grande movimento, em um restaurante sofisticado, resort ou clube privado. O candidato deverá se submeter à verificação de antecedentes e ao exame toxicológico pré-admissional, às custas do empregador. Número de horas sem"&amp;"anais: 40. Horário de trabalho (início/término): 6h às 14h.")</f>
        <v>***Resposta à Solicitação de Informações*** O cargo de Capitão é uma posição de liderança na equipe de atendimento, que apoia os garçons, supervisores e gerentes, auxiliando em tarefas típicas de garçons, como anotar pedidos, servir comida, fazer reservas e imprimir cardápios. Além disso, os Capitães também auxiliam no treinamento e supervisionam os garçons na ausência do Supervisor de Alimentos e Bebidas e do Gerente de Alimentos e Bebidas. As responsabilidades adicionais do Supervisor de Alimentos e Bebidas em relação à supervisão dos Capitães incluem supervisionar, treinar e orientar os membros da equipe, garantindo a adesão aos padrões de serviço, políticas e procedimentos; auxiliar no agendamento, controle de ponto e distribuição diária de tarefas da equipe para garantir a cobertura adequada e a eficiência; e ajudar a conduzir reuniões pré-turno para comunicar as prioridades diárias, as expectativas de serviço e eventos especiais. Observe que os Supervisores de Alimentos e Bebidas não têm autoridade para conduzir ações de pessoal, incluindo medidas disciplinares ou contratação/demissão; essa autoridade é do Gerente de Alimentos e Bebidas. ***Original*** O Supervisor de Alimentos e Bebidas será responsável por supervisionar as operações de alimentos e bebidas tanto no Greenside (restaurante casual) quanto no Bar de Esportes, apoiando os gerentes nesses locais com o serviço diário, garantindo altos níveis de satisfação dos membros e consistência. Supervisionará as operações do restaurante em colaboração com o Gerente de Alimentos e Bebidas em vários pontos de venda, apoiando os gerentes com o serviço diário para garantir altos níveis de satisfação dos membros e consistência. Supervisionará, treinará e orientará os membros da equipe, garantindo a adesão aos padrões de serviço, políticas e procedimentos. Auxiliará no agendamento, controle de ponto e atribuições diárias da equipe para garantir cobertura adequada e eficiência. Ajudará a conduzir reuniões pré-turno para comunicar as prioridades diárias, expectativas de serviço e eventos especiais. Supervisionará as operações do brunch de domingo, garantindo uma execução impecável e uma experiência excepcional para os membros. Fornecerá suporte em outros pontos de venda de alimentos, conforme necessário, para manter cobertura consistente e qualidade de serviço. Garantirá que todas as áreas mantenham os padrões de limpeza, segurança e excelência de serviço em todos os momentos. Capaz de levantar até 18 kg e trabalhar em temperaturas variáveis. Poderá supervisionar até três (3) Capitães e vinte (20) Garçons. Horário: 40 horas semanais. O horário de trabalho pode variar e incluir turnos noturnos, fins de semana e feriados. O trabalho pode ser realizado em qualquer dia da semana, de segunda a domingo. Exemplos de turnos: das 6h às 14h, das 10h às 18h ou das 14h às 22h. Os horários dos turnos podem variar. Consulte a descrição do cargo em anexo para obter mais informações. Classificação do Cargo: 35-1012.00 - Supervisores de Primeira Linha de Preparadores e Atendentes de Alimentos. A classificação e descrição do cargo/setor incluem informações gerais sobre a posição, de acordo com o ONET/OES e o Sistema de Classificação Industrial da América do Norte (NAICS). Consulte as Funções e a Ordem de Serviço para obter mais informações. Requisitos do Cargo Experiência Necessária: Sim Meses de Experiência Necessários: 12 Requisitos Especiais: O contratante considerará para emprego qualquer pessoa que possua pelo menos um (1) ano de experiência em alimentos e bebidas em um ambiente de alta gastronomia ou de grande movimento, em um restaurante sofisticado, resort ou clube privado. O candidato deverá se submeter à verificação de antecedentes e ao exame toxicológico pré-admissional, às custas do empregador. Número de horas semanais: 40. Horário de trabalho (início/término): 6h às 14h.</v>
      </c>
    </row>
    <row r="1221" ht="20.25" customHeight="1">
      <c r="A1221" s="8" t="s">
        <v>5446</v>
      </c>
      <c r="B1221" s="8" t="s">
        <v>5280</v>
      </c>
      <c r="C1221" s="8" t="s">
        <v>4241</v>
      </c>
      <c r="D1221" s="8" t="s">
        <v>71</v>
      </c>
      <c r="E1221" s="9" t="s">
        <v>19</v>
      </c>
      <c r="F1221" s="9" t="s">
        <v>20</v>
      </c>
      <c r="G1221" s="9" t="s">
        <v>80</v>
      </c>
      <c r="H1221" s="8" t="s">
        <v>5447</v>
      </c>
      <c r="I1221" s="8" t="s">
        <v>5282</v>
      </c>
      <c r="J1221" s="9">
        <v>19.4</v>
      </c>
      <c r="K1221" s="9">
        <v>2.0</v>
      </c>
      <c r="L1221" s="8" t="s">
        <v>586</v>
      </c>
      <c r="M1221" s="8" t="s">
        <v>5448</v>
      </c>
      <c r="N1221" s="7" t="str">
        <f>IFERROR(__xludf.DUMMYFUNCTION("GOOGLETRANSLATE(L1221, ""en"", ""pt"")"),"Cozinheiro de linha")</f>
        <v>Cozinheiro de linha</v>
      </c>
      <c r="O1221" s="7" t="str">
        <f>IFERROR(__xludf.DUMMYFUNCTION("IF(M1221="""","""",GOOGLETRANSLATE(M1221,""en"",""pt""))"),"Os cozinheiros de linha serão responsáveis ​​por preparar, temperar e cozinhar sopas, carnes, legumes, sobremesas e outros itens alimentícios em um restaurante. Horário: 35 horas por semana. O horário de trabalho pode variar e incluir turnos noturnos, fin"&amp;"s de semana e feriados. O trabalho pode ser realizado em qualquer dia da semana, de segunda a domingo. Exemplos de turnos: das 8h às 15h ou das 15h às 22h. Os horários dos turnos podem variar. Consulte a descrição do cargo em anexo para obter mais informa"&amp;"ções. Classificação do cargo: 35-2014.00 - Cozinheiros, Restaurante. A classificação e a descrição do cargo/setor incluem informações gerais sobre a posição, de acordo com o ONET/OES e o Sistema de Classificação Industrial da América do Norte. Consulte as"&amp;" Funções e a Ordem de Serviço para obter mais informações. Requisitos da vaga Experiência exigida: Sim Meses de experiência exigidos: 12 Requisitos especiais: O contratante considerará para emprego qualquer pessoa que possua pelo menos doze (12) meses de "&amp;"experiência culinária em um ambiente de alta gastronomia ou de grande movimento em um restaurante sofisticado, resort ou clube privado. O candidato deverá se submeter a uma verificação de antecedentes pré-emprego, às custas do empregador. Número de horas "&amp;"por semana: 35 Horário de trabalho (início/término): 8h às 15h")</f>
        <v>Os cozinheiros de linha serão responsáveis ​​por preparar, temperar e cozinhar sopas, carnes, legumes, sobremesas e outros itens alimentícios em um restaurante. Horário: 35 horas por semana. O horário de trabalho pode variar e incluir turnos noturnos, fins de semana e feriados. O trabalho pode ser realizado em qualquer dia da semana, de segunda a domingo. Exemplos de turnos: das 8h às 15h ou das 15h às 22h. Os horários dos turnos podem variar. Consulte a descrição do cargo em anexo para obter mais informações. Classificação do cargo: 35-2014.00 - Cozinheiros, Restaurante. A classificação e a descrição do cargo/setor incluem informações gerais sobre a posição, de acordo com o ONET/OES e o Sistema de Classificação Industrial da América do Norte. Consulte as Funções e a Ordem de Serviço para obter mais informações. Requisitos da vaga Experiência exigida: Sim Meses de experiência exigidos: 12 Requisitos especiais: O contratante considerará para emprego qualquer pessoa que possua pelo menos doze (12) meses de experiência culinária em um ambiente de alta gastronomia ou de grande movimento em um restaurante sofisticado, resort ou clube privado. O candidato deverá se submeter a uma verificação de antecedentes pré-emprego, às custas do empregador. Número de horas por semana: 35 Horário de trabalho (início/término): 8h às 15h</v>
      </c>
    </row>
    <row r="1222" ht="20.25" customHeight="1">
      <c r="A1222" s="3" t="s">
        <v>5449</v>
      </c>
      <c r="B1222" s="3" t="s">
        <v>5450</v>
      </c>
      <c r="C1222" s="3" t="s">
        <v>4241</v>
      </c>
      <c r="D1222" s="3" t="s">
        <v>71</v>
      </c>
      <c r="E1222" s="4" t="s">
        <v>19</v>
      </c>
      <c r="F1222" s="4" t="s">
        <v>20</v>
      </c>
      <c r="G1222" s="4" t="s">
        <v>524</v>
      </c>
      <c r="H1222" s="3" t="s">
        <v>5451</v>
      </c>
      <c r="I1222" s="3" t="s">
        <v>5452</v>
      </c>
      <c r="J1222" s="4">
        <v>18.0</v>
      </c>
      <c r="K1222" s="4">
        <v>8.0</v>
      </c>
      <c r="L1222" s="3" t="s">
        <v>5177</v>
      </c>
      <c r="M1222" s="3" t="s">
        <v>5453</v>
      </c>
      <c r="N1222" s="7" t="str">
        <f>IFERROR(__xludf.DUMMYFUNCTION("GOOGLETRANSLATE(L1222, ""en"", ""pt"")"),"Recepção/Concierge")</f>
        <v>Recepção/Concierge</v>
      </c>
      <c r="O1222" s="7" t="str">
        <f>IFERROR(__xludf.DUMMYFUNCTION("IF(M1222="""","""",GOOGLETRANSLATE(M1222,""en"",""pt""))"),"O(A) recepcionista/concierge será responsável por operar o telefone de maneira educada e cordial, seguindo a etiqueta telefônica adequada, recepcionar sócios e convidados, auxiliar com reservas para serviços de spa, refeições e eventos especiais, distribu"&amp;"ir informações e horários do Clube, realizar o fechamento de caixa e conciliação de contas para compras de sócios e convidados, como produtos de spa, serviços, alimentos e bebidas, e coletar e separar a correspondência diariamente. O(A) recepcionista/conc"&amp;"ierge também será responsável por garantir que todas as áreas comuns da recepção estejam devidamente limpas, com inventário, reposição de materiais e prontas para agendamentos ou reservas de hóspedes. Horário: 35 horas semanais. O horário de trabalho pode"&amp;" variar e incluir noites, fins de semana e feriados. O trabalho pode ser realizado em qualquer dia da semana, de segunda a domingo. Exemplos de turnos: das 7h às 14h ou das 12h às 19h, podendo haver variações. Os horários dos turnos podem variar. Consulte"&amp;" a descrição de cargo anexa para obter mais informações. Classificação da Função: 43-4081.00 - Recepcionistas de Hotel, Motel e Resort. A classificação e descrição da função/setor inclui informações gerais sobre o cargo, de acordo com o ONET/OES e o Siste"&amp;"ma de Classificação Industrial da América do Norte (NAICS). Consulte as Funções e a Ordem de Serviço para obter mais informações. Requisitos da Função Experiência Necessária: Sim Meses de Experiência Necessários: 6 Requisitos Especiais: O contratante cons"&amp;"iderará para emprego qualquer pessoa que possua pelo menos seis (6) meses de experiência em recepção em um hotel de alto padrão, resort ou clube privado. O candidato deverá realizar um exame toxicológico pré-admissional, custeado pelo empregador. Número d"&amp;"e Horas por Semana: 35 Horário de Trabalho (Início/Término): 7h00 - 14h00")</f>
        <v>O(A) recepcionista/concierge será responsável por operar o telefone de maneira educada e cordial, seguindo a etiqueta telefônica adequada, recepcionar sócios e convidados, auxiliar com reservas para serviços de spa, refeições e eventos especiais, distribuir informações e horários do Clube, realizar o fechamento de caixa e conciliação de contas para compras de sócios e convidados, como produtos de spa, serviços, alimentos e bebidas, e coletar e separar a correspondência diariamente. O(A) recepcionista/concierge também será responsável por garantir que todas as áreas comuns da recepção estejam devidamente limpas, com inventário, reposição de materiais e prontas para agendamentos ou reservas de hóspedes. Horário: 35 horas semanais. O horário de trabalho pode variar e incluir noites, fins de semana e feriados. O trabalho pode ser realizado em qualquer dia da semana, de segunda a domingo. Exemplos de turnos: das 7h às 14h ou das 12h às 19h, podendo haver variações. Os horários dos turnos podem variar. Consulte a descrição de cargo anexa para obter mais informações. Classificação da Função: 43-4081.00 - Recepcionistas de Hotel, Motel e Resort. A classificação e descrição da função/setor inclui informações gerais sobre o cargo, de acordo com o ONET/OES e o Sistema de Classificação Industrial da América do Norte (NAICS). Consulte as Funções e a Ordem de Serviço para obter mais informações. Requisitos da Função Experiência Necessária: Sim Meses de Experiência Necessários: 6 Requisitos Especiais: O contratante considerará para emprego qualquer pessoa que possua pelo menos seis (6) meses de experiência em recepção em um hotel de alto padrão, resort ou clube privado. O candidato deverá realizar um exame toxicológico pré-admissional, custeado pelo empregador. Número de Horas por Semana: 35 Horário de Trabalho (Início/Término): 7h00 - 14h00</v>
      </c>
    </row>
    <row r="1223" ht="20.25" customHeight="1">
      <c r="A1223" s="8" t="s">
        <v>5454</v>
      </c>
      <c r="B1223" s="8" t="s">
        <v>5450</v>
      </c>
      <c r="C1223" s="8" t="s">
        <v>4241</v>
      </c>
      <c r="D1223" s="8" t="s">
        <v>71</v>
      </c>
      <c r="E1223" s="9" t="s">
        <v>19</v>
      </c>
      <c r="F1223" s="9" t="s">
        <v>20</v>
      </c>
      <c r="G1223" s="9" t="s">
        <v>524</v>
      </c>
      <c r="H1223" s="8" t="s">
        <v>5451</v>
      </c>
      <c r="I1223" s="8" t="s">
        <v>5452</v>
      </c>
      <c r="J1223" s="9">
        <v>19.0</v>
      </c>
      <c r="K1223" s="9">
        <v>38.0</v>
      </c>
      <c r="L1223" s="8" t="s">
        <v>1206</v>
      </c>
      <c r="M1223" s="8" t="s">
        <v>5455</v>
      </c>
      <c r="N1223" s="7" t="str">
        <f>IFERROR(__xludf.DUMMYFUNCTION("GOOGLETRANSLATE(L1223, ""en"", ""pt"")"),"Servidor")</f>
        <v>Servidor</v>
      </c>
      <c r="O1223" s="7" t="str">
        <f>IFERROR(__xludf.DUMMYFUNCTION("IF(M1223="""","""",GOOGLETRANSLATE(M1223,""en"",""pt""))"),"Os garçons serão responsáveis ​​por recepcionar os clientes e acompanhá-los até a mesa, preparar o salão, atender o telefone e fazer reservas, anotar e registrar os pedidos, transportar bandejas e pratos, servir comidas e bebidas, e limpar e retirar os pr"&amp;"atos das mesas. Horário: 35 horas semanais. A escala de trabalho pode variar e incluir turnos noturnos, fins de semana e feriados. O trabalho pode ser realizado em qualquer dia da semana, de segunda a domingo. Exemplos de turnos: das 10h às 17h ou das 16h"&amp;" às 23h. Os horários dos turnos podem variar. Consulte a descrição da vaga em anexo para obter mais informações. Classificação da vaga: 35-3031.00 - Garçons e Garçonetes. A classificação e descrição da vaga/setor incluem informações gerais sobre o cargo, "&amp;"de acordo com o ONET/OES e o Sistema de Classificação Industrial da América do Norte (NAICS). Consulte as Funções e a Ordem de Serviço para obter mais informações. Requisitos da vaga Experiência necessária: Sim Meses de experiência necessários: 12 Requisi"&amp;"tos especiais: O contratante considerará para emprego qualquer pessoa que possua pelo menos um (1) ano de experiência em atendimento ao público em um ambiente de alta gastronomia ou de grande movimento, em um restaurante sofisticado, resort ou clube priva"&amp;"do. O candidato deverá se submeter a um exame toxicológico pré-admissional, custeado pelo empregador. Número de horas por semana: 35 Horário de trabalho (início/término): 10h às 17h")</f>
        <v>Os garçons serão responsáveis ​​por recepcionar os clientes e acompanhá-los até a mesa, preparar o salão, atender o telefone e fazer reservas, anotar e registrar os pedidos, transportar bandejas e pratos, servir comidas e bebidas, e limpar e retirar os pratos das mesas. Horário: 35 horas semanais. A escala de trabalho pode variar e incluir turnos noturnos, fins de semana e feriados. O trabalho pode ser realizado em qualquer dia da semana, de segunda a domingo. Exemplos de turnos: das 10h às 17h ou das 16h às 23h. Os horários dos turnos podem variar. Consulte a descrição da vaga em anexo para obter mais informações. Classificação da vaga: 35-3031.00 - Garçons e Garçonetes. A classificação e descrição da vaga/setor incluem informações gerais sobre o cargo, de acordo com o ONET/OES e o Sistema de Classificação Industrial da América do Norte (NAICS). Consulte as Funções e a Ordem de Serviço para obter mais informações. Requisitos da vaga Experiência necessária: Sim Meses de experiência necessários: 12 Requisitos especiais: O contratante considerará para emprego qualquer pessoa que possua pelo menos um (1) ano de experiência em atendimento ao público em um ambiente de alta gastronomia ou de grande movimento, em um restaurante sofisticado, resort ou clube privado. O candidato deverá se submeter a um exame toxicológico pré-admissional, custeado pelo empregador. Número de horas por semana: 35 Horário de trabalho (início/término): 10h às 17h</v>
      </c>
    </row>
    <row r="1224" ht="20.25" customHeight="1">
      <c r="A1224" s="3" t="s">
        <v>5456</v>
      </c>
      <c r="B1224" s="3" t="s">
        <v>5450</v>
      </c>
      <c r="C1224" s="3" t="s">
        <v>4241</v>
      </c>
      <c r="D1224" s="3" t="s">
        <v>71</v>
      </c>
      <c r="E1224" s="4" t="s">
        <v>19</v>
      </c>
      <c r="F1224" s="4" t="s">
        <v>20</v>
      </c>
      <c r="G1224" s="4" t="s">
        <v>524</v>
      </c>
      <c r="H1224" s="3" t="s">
        <v>5451</v>
      </c>
      <c r="I1224" s="3" t="s">
        <v>5452</v>
      </c>
      <c r="J1224" s="4">
        <v>16.01</v>
      </c>
      <c r="K1224" s="4">
        <v>8.0</v>
      </c>
      <c r="L1224" s="3" t="s">
        <v>354</v>
      </c>
      <c r="M1224" s="3" t="s">
        <v>5457</v>
      </c>
      <c r="N1224" s="7" t="str">
        <f>IFERROR(__xludf.DUMMYFUNCTION("GOOGLETRANSLATE(L1224, ""en"", ""pt"")"),"Governanta")</f>
        <v>Governanta</v>
      </c>
      <c r="O1224" s="7" t="str">
        <f>IFERROR(__xludf.DUMMYFUNCTION("IF(M1224="""","""",GOOGLETRANSLATE(M1224,""en"",""pt""))"),"Os(As) funcionários(as) de limpeza serão responsáveis ​​pela limpeza e manutenção de todos os quartos, suítes e áreas comuns internas da propriedade do Lost Tree Club, Inc., incluindo aspirar pisos, reorganizar móveis, tirar o pó, lavar e repor roupas de "&amp;"cama e toalhas, desinfetar banheiros e lavar janelas. Horário: 35 horas semanais. O horário de trabalho pode variar e incluir turnos noturnos, fins de semana e feriados. O trabalho pode ser realizado em qualquer dia da semana, de segunda a domingo. Exempl"&amp;"os de turnos: das 6h às 13h ou das 16h às 23h. Os horários dos turnos podem variar. Consulte a descrição do cargo em anexo para obter mais informações. Classificação do Cargo: 37-2012.00 - Camareiras e Auxiliares de Limpeza. A classificação e descrição do"&amp;" cargo/setor incluem informações gerais sobre a posição, de acordo com o ONET/OES e o Sistema de Classificação Industrial da América do Norte. Consulte as Funções e a Ordem de Serviço para obter mais informações. Requisitos da vaga Experiência exigida: Si"&amp;"m Meses de experiência exigidos: 3 Requisitos especiais: O contratante considerará para emprego qualquer pessoa que possua pelo menos três (3) meses de experiência em limpeza em um resort de alto padrão, hotel ou clube privado. O candidato deverá se subme"&amp;"ter a um exame toxicológico pré-admissional, custeado pelo empregador. Número de horas por semana: 35 Horário de trabalho (início/término): 6h às 13h")</f>
        <v>Os(As) funcionários(as) de limpeza serão responsáveis ​​pela limpeza e manutenção de todos os quartos, suítes e áreas comuns internas da propriedade do Lost Tree Club, Inc., incluindo aspirar pisos, reorganizar móveis, tirar o pó, lavar e repor roupas de cama e toalhas, desinfetar banheiros e lavar janelas. Horário: 35 horas semanais. O horário de trabalho pode variar e incluir turnos noturnos, fins de semana e feriados. O trabalho pode ser realizado em qualquer dia da semana, de segunda a domingo. Exemplos de turnos: das 6h às 13h ou das 16h às 23h. Os horários dos turnos podem variar. Consulte a descrição do cargo em anexo para obter mais informações. Classificação do Cargo: 37-2012.00 - Camareiras e Auxiliares de Limpeza. A classificação e descrição do cargo/setor incluem informações gerais sobre a posição, de acordo com o ONET/OES e o Sistema de Classificação Industrial da América do Norte. Consulte as Funções e a Ordem de Serviço para obter mais informações. Requisitos da vaga Experiência exigida: Sim Meses de experiência exigidos: 3 Requisitos especiais: O contratante considerará para emprego qualquer pessoa que possua pelo menos três (3) meses de experiência em limpeza em um resort de alto padrão, hotel ou clube privado. O candidato deverá se submeter a um exame toxicológico pré-admissional, custeado pelo empregador. Número de horas por semana: 35 Horário de trabalho (início/término): 6h às 13h</v>
      </c>
    </row>
    <row r="1225" ht="20.25" customHeight="1">
      <c r="A1225" s="8" t="s">
        <v>5458</v>
      </c>
      <c r="B1225" s="8" t="s">
        <v>5450</v>
      </c>
      <c r="C1225" s="8" t="s">
        <v>4241</v>
      </c>
      <c r="D1225" s="8" t="s">
        <v>71</v>
      </c>
      <c r="E1225" s="9" t="s">
        <v>19</v>
      </c>
      <c r="F1225" s="9" t="s">
        <v>20</v>
      </c>
      <c r="G1225" s="9" t="s">
        <v>524</v>
      </c>
      <c r="H1225" s="8" t="s">
        <v>5451</v>
      </c>
      <c r="I1225" s="8" t="s">
        <v>5452</v>
      </c>
      <c r="J1225" s="9">
        <v>23.0</v>
      </c>
      <c r="K1225" s="9">
        <v>9.0</v>
      </c>
      <c r="L1225" s="8" t="s">
        <v>3402</v>
      </c>
      <c r="M1225" s="8" t="s">
        <v>5459</v>
      </c>
      <c r="N1225" s="7" t="str">
        <f>IFERROR(__xludf.DUMMYFUNCTION("GOOGLETRANSLATE(L1225, ""en"", ""pt"")"),"Supervisor de Alimentos e Bebidas")</f>
        <v>Supervisor de Alimentos e Bebidas</v>
      </c>
      <c r="O1225" s="7" t="str">
        <f>IFERROR(__xludf.DUMMYFUNCTION("IF(M1225="""","""",GOOGLETRANSLATE(M1225,""en"",""pt""))"),"Os Supervisores de Alimentos e Bebidas serão responsáveis ​​por recepcionar os membros e convidados, atribuir e garantir que as tarefas auxiliares, a preparação e a limpeza sejam concluídas pela equipe de serviço em cada turno, colaborar com a equipe da c"&amp;"ozinha e do bar para garantir a entrega rápida dos pedidos pela equipe de serviço, supervisionar as reservas e preparar os planos de mesas, supervisionar o processo de serviço, coletar feedback e avaliações de membros e convidados, atender o telefone e fa"&amp;"zer reservas, preencher e enviar relatórios de fim de turno para a equipe de gestão e revisar as planilhas de eventos de banquetes e faturar os eventos do clube, conforme necessário. Podem supervisionar até doze (12) Garçons e dois (2) Bartenders. Horário"&amp;": 40 horas por semana. O horário de trabalho pode variar e incluir turnos noturnos, fins de semana e feriados. O trabalho pode ser realizado em qualquer dia da semana, de segunda a domingo. Exemplos de turnos: 10h às 18h, 12h às 20h ou 14h às 22h. Os horá"&amp;"rios dos turnos podem variar. Consulte a descrição do cargo em anexo para obter mais informações. Classificação da Função: 35-1012.00 - Supervisores de Primeira Linha de Preparadores e Servidores de Alimentos. A classificação e descrição da função/setor i"&amp;"nclui informações gerais sobre o cargo, de acordo com o ONET/OES e o Sistema de Classificação Industrial da América do Norte (NAICS). Consulte as Funções e a Ordem de Serviço para obter mais informações. Requisitos da Função Experiência Necessária: Sim Me"&amp;"ses de Experiência Necessários: 12 Requisitos Especiais: O contratante considerará para emprego qualquer pessoa que possua pelo menos um (1) ano de experiência em atendimento em um ambiente de alta gastronomia ou de grande movimento, em um restaurante sof"&amp;"isticado, resort ou clube privado. O candidato deverá se submeter a um exame toxicológico pré-admissional, custeado pelo empregador. Número de Horas por Semana: 40 Horário de Trabalho (Início/Término): 10h00 - 18h00")</f>
        <v>Os Supervisores de Alimentos e Bebidas serão responsáveis ​​por recepcionar os membros e convidados, atribuir e garantir que as tarefas auxiliares, a preparação e a limpeza sejam concluídas pela equipe de serviço em cada turno, colaborar com a equipe da cozinha e do bar para garantir a entrega rápida dos pedidos pela equipe de serviço, supervisionar as reservas e preparar os planos de mesas, supervisionar o processo de serviço, coletar feedback e avaliações de membros e convidados, atender o telefone e fazer reservas, preencher e enviar relatórios de fim de turno para a equipe de gestão e revisar as planilhas de eventos de banquetes e faturar os eventos do clube, conforme necessário. Podem supervisionar até doze (12) Garçons e dois (2) Bartenders. Horário: 40 horas por semana. O horário de trabalho pode variar e incluir turnos noturnos, fins de semana e feriados. O trabalho pode ser realizado em qualquer dia da semana, de segunda a domingo. Exemplos de turnos: 10h às 18h, 12h às 20h ou 14h às 22h. Os horários dos turnos podem variar. Consulte a descrição do cargo em anexo para obter mais informações. Classificação da Função: 35-1012.00 - Supervisores de Primeira Linha de Preparadores e Servidores de Alimentos. A classificação e descrição da função/setor inclui informações gerais sobre o cargo, de acordo com o ONET/OES e o Sistema de Classificação Industrial da América do Norte (NAICS). Consulte as Funções e a Ordem de Serviço para obter mais informações. Requisitos da Função Experiência Necessária: Sim Meses de Experiência Necessários: 12 Requisitos Especiais: O contratante considerará para emprego qualquer pessoa que possua pelo menos um (1) ano de experiência em atendimento em um ambiente de alta gastronomia ou de grande movimento, em um restaurante sofisticado, resort ou clube privado. O candidato deverá se submeter a um exame toxicológico pré-admissional, custeado pelo empregador. Número de Horas por Semana: 40 Horário de Trabalho (Início/Término): 10h00 - 18h00</v>
      </c>
    </row>
    <row r="1226" ht="20.25" customHeight="1">
      <c r="A1226" s="3" t="s">
        <v>5460</v>
      </c>
      <c r="B1226" s="3" t="s">
        <v>5450</v>
      </c>
      <c r="C1226" s="3" t="s">
        <v>4241</v>
      </c>
      <c r="D1226" s="3" t="s">
        <v>71</v>
      </c>
      <c r="E1226" s="4" t="s">
        <v>44</v>
      </c>
      <c r="F1226" s="4" t="s">
        <v>20</v>
      </c>
      <c r="G1226" s="4" t="s">
        <v>524</v>
      </c>
      <c r="H1226" s="3" t="s">
        <v>5451</v>
      </c>
      <c r="I1226" s="3" t="s">
        <v>5452</v>
      </c>
      <c r="J1226" s="4">
        <v>16.84</v>
      </c>
      <c r="K1226" s="4">
        <v>9.0</v>
      </c>
      <c r="L1226" s="3" t="s">
        <v>1636</v>
      </c>
      <c r="M1226" s="3" t="s">
        <v>5461</v>
      </c>
      <c r="N1226" s="7" t="str">
        <f>IFERROR(__xludf.DUMMYFUNCTION("GOOGLETRANSLATE(L1226, ""en"", ""pt"")"),"Mordomo")</f>
        <v>Mordomo</v>
      </c>
      <c r="O1226" s="7" t="str">
        <f>IFERROR(__xludf.DUMMYFUNCTION("IF(M1226="""","""",GOOGLETRANSLATE(M1226,""en"",""pt""))"),"Os auxiliares de cozinha serão responsáveis ​​por lavar a louça e todos os utensílios de cozinha à mão ou na máquina, manter as áreas de trabalho e os equipamentos da cozinha limpos, varrer e esfregar o chão, e separar e descartar o lixo. Os auxiliares de"&amp;" cozinha também auxiliarão no preparo básico de alimentos, conforme orientação do chef do departamento. Horário: 35 horas semanais. O horário de trabalho pode variar e incluir turnos noturnos, fins de semana e feriados. O trabalho pode ser realizado em qu"&amp;"alquer dia da semana, de segunda a domingo. Exemplos de turnos: das 7h às 14h ou das 17h às 00h. Os horários dos turnos podem variar. Consulte a descrição do cargo em anexo para obter mais informações. Classificação do Cargo: 35-2021.00 - Auxiliares de Co"&amp;"zinha. A classificação e a descrição do cargo/setor incluem informações gerais sobre a posição, de acordo com o ONET/OES e o Sistema de Classificação Industrial da América do Norte. Consulte as Funções e a Ordem de Serviço para obter mais informações. Req"&amp;"uisitos da vaga Experiência necessária: Sim Meses de experiência necessários: 3 Requisitos especiais: O contratante considerará para emprego qualquer pessoa que possua pelo menos três (3) meses de experiência em um ambiente de alta gastronomia ou de produ"&amp;"ção e preparação de alimentos em grande escala. O candidato deverá se submeter a um exame toxicológico pré-admissional, custeado pelo empregador. Número de horas por semana: 35 Horário de trabalho (início/término): 7h às 14h")</f>
        <v>Os auxiliares de cozinha serão responsáveis ​​por lavar a louça e todos os utensílios de cozinha à mão ou na máquina, manter as áreas de trabalho e os equipamentos da cozinha limpos, varrer e esfregar o chão, e separar e descartar o lixo. Os auxiliares de cozinha também auxiliarão no preparo básico de alimentos, conforme orientação do chef do departamento. Horário: 35 horas semanais. O horário de trabalho pode variar e incluir turnos noturnos, fins de semana e feriados. O trabalho pode ser realizado em qualquer dia da semana, de segunda a domingo. Exemplos de turnos: das 7h às 14h ou das 17h às 00h. Os horários dos turnos podem variar. Consulte a descrição do cargo em anexo para obter mais informações. Classificação do Cargo: 35-2021.00 - Auxiliares de Cozinha. A classificação e a descrição do cargo/setor incluem informações gerais sobre a posição, de acordo com o ONET/OES e o Sistema de Classificação Industrial da América do Norte. Consulte as Funções e a Ordem de Serviço para obter mais informações. Requisitos da vaga Experiência necessária: Sim Meses de experiência necessários: 3 Requisitos especiais: O contratante considerará para emprego qualquer pessoa que possua pelo menos três (3) meses de experiência em um ambiente de alta gastronomia ou de produção e preparação de alimentos em grande escala. O candidato deverá se submeter a um exame toxicológico pré-admissional, custeado pelo empregador. Número de horas por semana: 35 Horário de trabalho (início/término): 7h às 14h</v>
      </c>
    </row>
    <row r="1227" ht="20.25" customHeight="1">
      <c r="A1227" s="8" t="s">
        <v>5462</v>
      </c>
      <c r="B1227" s="8" t="s">
        <v>5450</v>
      </c>
      <c r="C1227" s="8" t="s">
        <v>4241</v>
      </c>
      <c r="D1227" s="8" t="s">
        <v>71</v>
      </c>
      <c r="E1227" s="9" t="s">
        <v>44</v>
      </c>
      <c r="F1227" s="9" t="s">
        <v>20</v>
      </c>
      <c r="G1227" s="9" t="s">
        <v>524</v>
      </c>
      <c r="H1227" s="8" t="s">
        <v>5451</v>
      </c>
      <c r="I1227" s="8" t="s">
        <v>5452</v>
      </c>
      <c r="J1227" s="9">
        <v>17.3</v>
      </c>
      <c r="K1227" s="9">
        <v>34.0</v>
      </c>
      <c r="L1227" s="8" t="s">
        <v>586</v>
      </c>
      <c r="M1227" s="8" t="s">
        <v>5463</v>
      </c>
      <c r="N1227" s="7" t="str">
        <f>IFERROR(__xludf.DUMMYFUNCTION("GOOGLETRANSLATE(L1227, ""en"", ""pt"")"),"Cozinheiro de linha")</f>
        <v>Cozinheiro de linha</v>
      </c>
      <c r="O1227" s="7" t="str">
        <f>IFERROR(__xludf.DUMMYFUNCTION("IF(M1227="""","""",GOOGLETRANSLATE(M1227,""en"",""pt""))"),"Os cozinheiros serão responsáveis ​​por preparar, temperar e cozinhar sopas, carnes, legumes, sobremesas e outros itens alimentícios em um restaurante. Horário: 35 horas por semana. O horário de trabalho pode variar e incluir turnos noturnos, fins de sema"&amp;"na e feriados. O trabalho pode ser realizado em qualquer dia da semana, de segunda a domingo. O horário de trabalho é das 7h às 14h ou das 16h às 23h e pode variar. Consulte a descrição do cargo em anexo para obter mais informações. Classificação do Cargo"&amp;": 35-2014.00 - Cozinheiros, Restaurante. A classificação e a descrição do cargo/setor incluem informações gerais sobre a posição, de acordo com o ONET/OES e o Sistema de Classificação Industrial da América do Norte. Consulte as Funções e a Ordem de Serviç"&amp;"o para obter mais informações. Requisitos do Cargo: Experiência Necessária: Sim. Meses de Experiência Necessários: 12. Requisitos Especiais: O contratante considerará para emprego qualquer pessoa que possua pelo menos um (1) ano de experiência culinária e"&amp;"m um ambiente de alta gastronomia ou de preparação e produção de alimentos em grande escala. O candidato deverá se submeter a um exame toxicológico pré-admissional, custeado pelo empregador. Número de horas semanais: 35. Horário de trabalho (início/términ"&amp;"o): 7h às 14h.")</f>
        <v>Os cozinheiros serão responsáveis ​​por preparar, temperar e cozinhar sopas, carnes, legumes, sobremesas e outros itens alimentícios em um restaurante. Horário: 35 horas por semana. O horário de trabalho pode variar e incluir turnos noturnos, fins de semana e feriados. O trabalho pode ser realizado em qualquer dia da semana, de segunda a domingo. O horário de trabalho é das 7h às 14h ou das 16h às 23h e pode variar. Consulte a descrição do cargo em anexo para obter mais informações. Classificação do Cargo: 35-2014.00 - Cozinheiros, Restaurante. A classificação e a descrição do cargo/setor incluem informações gerais sobre a posição, de acordo com o ONET/OES e o Sistema de Classificação Industrial da América do Norte. Consulte as Funções e a Ordem de Serviço para obter mais informações. Requisitos do Cargo: Experiência Necessária: Sim. Meses de Experiência Necessários: 12. Requisitos Especiais: O contratante considerará para emprego qualquer pessoa que possua pelo menos um (1) ano de experiência culinária em um ambiente de alta gastronomia ou de preparação e produção de alimentos em grande escala. O candidato deverá se submeter a um exame toxicológico pré-admissional, custeado pelo empregador. Número de horas semanais: 35. Horário de trabalho (início/término): 7h às 14h.</v>
      </c>
    </row>
    <row r="1228" ht="20.25" customHeight="1">
      <c r="A1228" s="3" t="s">
        <v>5464</v>
      </c>
      <c r="B1228" s="3" t="s">
        <v>5465</v>
      </c>
      <c r="C1228" s="3" t="s">
        <v>5466</v>
      </c>
      <c r="D1228" s="3" t="s">
        <v>28</v>
      </c>
      <c r="E1228" s="4" t="s">
        <v>19</v>
      </c>
      <c r="F1228" s="4" t="s">
        <v>20</v>
      </c>
      <c r="G1228" s="4" t="s">
        <v>307</v>
      </c>
      <c r="H1228" s="3" t="s">
        <v>5467</v>
      </c>
      <c r="I1228" s="3" t="s">
        <v>5468</v>
      </c>
      <c r="J1228" s="4">
        <v>16.16</v>
      </c>
      <c r="K1228" s="4">
        <v>40.0</v>
      </c>
      <c r="L1228" s="3" t="s">
        <v>5469</v>
      </c>
      <c r="M1228" s="3" t="s">
        <v>5470</v>
      </c>
      <c r="N1228" s="7" t="str">
        <f>IFERROR(__xludf.DUMMYFUNCTION("GOOGLETRANSLATE(L1228, ""en"", ""pt"")"),"Cortador e preparador de peixe")</f>
        <v>Cortador e preparador de peixe</v>
      </c>
      <c r="O1228" s="7" t="str">
        <f>IFERROR(__xludf.DUMMYFUNCTION("IF(M1228="""","""",GOOGLETRANSLATE(M1228,""en"",""pt""))"),"***Resposta à RFI 3*** A afirmação ""após o recebimento do caranguejo, os funcionários irão cozinhá-lo e colocá-lo em refrigeradores"" consiste nas seguintes tarefas e ferramentas: Cozinhar caranguejos/lagostas inteiros no vapor; Carregar manualmente a ce"&amp;"sta de vapor com caixas de caranguejos/sacos de lagostins, utilizando guincho elétrico para carregar/descarregar a cesta e transferir para a mesa na câmara refrigerada para processamento posterior. Remover manualmente a carapaça dos caranguejos cozidos no"&amp;" vapor e quebrar as pinças, colocar manualmente os corpos/pinças/lagostim em caixas plásticas e mover manualmente as caixas plásticas com os corpos/pinças/lagostim para o refrigerador designado. Limpar e esterilizar manualmente a mesa e os equipamentos da"&amp;" área de trabalho. A afirmação ""os recipientes são então colocados no gelo e armazenados em refrigeradores antes da venda ao consumidor"" consiste nas seguintes tarefas e ferramentas: Os funcionários irão colocar manualmente os recipientes individuais de"&amp;" carne em caixas e cobri-los com gelo, movendo manualmente as caixas para o refrigerador designado em preparação para os pedidos de venda no atacado e varejo. ***Resposta à RFI 2*** Após a carne ser extraída do produto (caranguejo), cada funcionário pesa "&amp;"o caranguejo em uma balança de 4,5 kg (10 lb), ejetando a carne. A carne extraída é então colocada sob luz negra para identificar quaisquer cascas presentes. Após a remoção manual das cascas, a carne é pesada novamente e acondicionada em recipientes de 45"&amp;"0 g (1 lb) e 225 g (½ lb). Os recipientes são então colocados em gelo e armazenados em caixas térmicas antes da venda ao consumidor. ***Resposta à RFI*** Após o recebimento do caranguejo, os funcionários cozinham o produto, o colocam em caixas térmicas e "&amp;"o processo de descascamento começa no dia seguinte. O descascamento de caranguejos e lagostins é feito utilizando uma combinação das seguintes ferramentas: quebra-caranguejos, descascadores de frutos do mar, extrator de carne e martelos. O trabalho será r"&amp;"ealizado com o uso de luvas e toucas (conforme necessário), em uma superfície limpa e plana na fábrica de processamento de frutos do mar. Após a extração da carne, o funcionário auxiliará na embalagem adequada da carne para distribuição a restaurantes e v"&amp;"arejistas locais. ***Original F.a.2*** para auxiliar na remoção da casca de caranguejos e lagostins, extraindo a carne da casca externa. Preparar o produto para distribuição. Classificação da Função: 51-3093.00 - Operadores e Auxiliares de Máquinas de Coz"&amp;"imento de Alimentos. A classificação e descrição da função/setor inclui informações gerais sobre o cargo, de acordo com o ONET/OES e o Sistema de Classificação Industrial da América do Norte. Consulte as Funções e a Ordem de Serviço para obter mais inform"&amp;"ações. Requisitos da Função Experiência Necessária: Sim Meses de Experiência Necessários: 3 Requisitos Especiais: O horário de trabalho é das 4h às 12h, de segunda a sexta-feira. Horas extras são trabalhadas conforme necessário. Horas extras são pagas apó"&amp;"s 40 horas semanais. Os funcionários terão 1 hora de intervalo para almoço não remunerado durante o expediente. Número de Horas por Semana: 40 Horário de Trabalho (Início/Término): 4h às 12h")</f>
        <v>***Resposta à RFI 3*** A afirmação "após o recebimento do caranguejo, os funcionários irão cozinhá-lo e colocá-lo em refrigeradores" consiste nas seguintes tarefas e ferramentas: Cozinhar caranguejos/lagostas inteiros no vapor; Carregar manualmente a cesta de vapor com caixas de caranguejos/sacos de lagostins, utilizando guincho elétrico para carregar/descarregar a cesta e transferir para a mesa na câmara refrigerada para processamento posterior. Remover manualmente a carapaça dos caranguejos cozidos no vapor e quebrar as pinças, colocar manualmente os corpos/pinças/lagostim em caixas plásticas e mover manualmente as caixas plásticas com os corpos/pinças/lagostim para o refrigerador designado. Limpar e esterilizar manualmente a mesa e os equipamentos da área de trabalho. A afirmação "os recipientes são então colocados no gelo e armazenados em refrigeradores antes da venda ao consumidor" consiste nas seguintes tarefas e ferramentas: Os funcionários irão colocar manualmente os recipientes individuais de carne em caixas e cobri-los com gelo, movendo manualmente as caixas para o refrigerador designado em preparação para os pedidos de venda no atacado e varejo. ***Resposta à RFI 2*** Após a carne ser extraída do produto (caranguejo), cada funcionário pesa o caranguejo em uma balança de 4,5 kg (10 lb), ejetando a carne. A carne extraída é então colocada sob luz negra para identificar quaisquer cascas presentes. Após a remoção manual das cascas, a carne é pesada novamente e acondicionada em recipientes de 450 g (1 lb) e 225 g (½ lb). Os recipientes são então colocados em gelo e armazenados em caixas térmicas antes da venda ao consumidor. ***Resposta à RFI*** Após o recebimento do caranguejo, os funcionários cozinham o produto, o colocam em caixas térmicas e o processo de descascamento começa no dia seguinte. O descascamento de caranguejos e lagostins é feito utilizando uma combinação das seguintes ferramentas: quebra-caranguejos, descascadores de frutos do mar, extrator de carne e martelos. O trabalho será realizado com o uso de luvas e toucas (conforme necessário), em uma superfície limpa e plana na fábrica de processamento de frutos do mar. Após a extração da carne, o funcionário auxiliará na embalagem adequada da carne para distribuição a restaurantes e varejistas locais. ***Original F.a.2*** para auxiliar na remoção da casca de caranguejos e lagostins, extraindo a carne da casca externa. Preparar o produto para distribuição. Classificação da Função: 51-3093.00 - Operadores e Auxiliares de Máquinas de Cozimento de Alimentos. A classificação e descrição da função/setor inclui informações gerais sobre o cargo, de acordo com o ONET/OES e o Sistema de Classificação Industrial da América do Norte. Consulte as Funções e a Ordem de Serviço para obter mais informações. Requisitos da Função Experiência Necessária: Sim Meses de Experiência Necessários: 3 Requisitos Especiais: O horário de trabalho é das 4h às 12h, de segunda a sexta-feira. Horas extras são trabalhadas conforme necessário. Horas extras são pagas após 40 horas semanais. Os funcionários terão 1 hora de intervalo para almoço não remunerado durante o expediente. Número de Horas por Semana: 40 Horário de Trabalho (Início/Término): 4h às 12h</v>
      </c>
    </row>
    <row r="1229" ht="20.25" customHeight="1">
      <c r="A1229" s="8" t="s">
        <v>5471</v>
      </c>
      <c r="B1229" s="8" t="s">
        <v>5472</v>
      </c>
      <c r="C1229" s="8" t="s">
        <v>5466</v>
      </c>
      <c r="D1229" s="8" t="s">
        <v>28</v>
      </c>
      <c r="E1229" s="9" t="s">
        <v>19</v>
      </c>
      <c r="F1229" s="9" t="s">
        <v>20</v>
      </c>
      <c r="G1229" s="9" t="s">
        <v>377</v>
      </c>
      <c r="H1229" s="8" t="s">
        <v>5473</v>
      </c>
      <c r="I1229" s="8" t="s">
        <v>5474</v>
      </c>
      <c r="J1229" s="9">
        <v>18.53</v>
      </c>
      <c r="K1229" s="9">
        <v>18.0</v>
      </c>
      <c r="L1229" s="8" t="s">
        <v>501</v>
      </c>
      <c r="M1229" s="8" t="s">
        <v>5475</v>
      </c>
      <c r="N1229" s="7" t="str">
        <f>IFERROR(__xludf.DUMMYFUNCTION("GOOGLETRANSLATE(L1229, ""en"", ""pt"")"),"Auxiliar de Manutenção")</f>
        <v>Auxiliar de Manutenção</v>
      </c>
      <c r="O1229" s="7" t="str">
        <f>IFERROR(__xludf.DUMMYFUNCTION("IF(M1229="""","""",GOOGLETRANSLATE(M1229,""en"",""pt""))"),"Auxiliar os trabalhadores de instalação, manutenção e reparo na manutenção, substituição de peças e reparo de equipamentos industriais. Executar tarefas como fornecer ferramentas, materiais e suprimentos para outros trabalhadores, limpar a área de trabalh"&amp;"o, máquinas e ferramentas, e segurar materiais ou ferramentas para outros trabalhadores durante a temporada de colheita e em preparação para a próxima temporada. Classificação da vaga: 49-9098.00 - Auxiliares - Trabalhadores de Instalação, Manutenção e Re"&amp;"paro. A classificação e descrição da vaga/setor incluem informações gerais sobre a posição, de acordo com o ONET/OES e o Sistema de Classificação Industrial da América do Norte (NAICS). Consulte as Funções e a Ordem de Serviço para obter mais informações."&amp;" Requisitos da vaga: Experiência necessária: Sim. Meses de experiência necessários: 3. Requisitos especiais: Disponibilidade para trabalhar 7 dias por semana, em turnos variáveis ​​de 12 horas (12h-00h; 00h-12h); horas extras pagas após 48 horas semanais "&amp;"durante a temporada de colheita; 40 horas semanais após a temporada de colheita até o término do contrato. Horas extras conforme necessário após a temporada de colheita. Os funcionários terão 30 minutos de intervalo para almoço remunerado durante o expedi"&amp;"ente. Será fornecido um auxílio-alimentação semanal. Número de horas por semana: 84. Horário de trabalho (início/término): 12:00 - 00:00.")</f>
        <v>Auxiliar os trabalhadores de instalação, manutenção e reparo na manutenção, substituição de peças e reparo de equipamentos industriais. Executar tarefas como fornecer ferramentas, materiais e suprimentos para outros trabalhadores, limpar a área de trabalho, máquinas e ferramentas, e segurar materiais ou ferramentas para outros trabalhadores durante a temporada de colheita e em preparação para a próxima temporada. Classificação da vaga: 49-9098.00 - Auxiliares - Trabalhadores de Instalação, Manutenção e Reparo. A classificação e descrição da vaga/setor incluem informações gerais sobre a posição, de acordo com o ONET/OES e o Sistema de Classificação Industrial da América do Norte (NAICS). Consulte as Funções e a Ordem de Serviço para obter mais informações. Requisitos da vaga: Experiência necessária: Sim. Meses de experiência necessários: 3. Requisitos especiais: Disponibilidade para trabalhar 7 dias por semana, em turnos variáveis ​​de 12 horas (12h-00h; 00h-12h); horas extras pagas após 48 horas semanais durante a temporada de colheita; 40 horas semanais após a temporada de colheita até o término do contrato. Horas extras conforme necessário após a temporada de colheita. Os funcionários terão 30 minutos de intervalo para almoço remunerado durante o expediente. Será fornecido um auxílio-alimentação semanal. Número de horas por semana: 84. Horário de trabalho (início/término): 12:00 - 00:00.</v>
      </c>
    </row>
    <row r="1230" ht="20.25" customHeight="1">
      <c r="A1230" s="3" t="s">
        <v>5476</v>
      </c>
      <c r="B1230" s="3" t="s">
        <v>5477</v>
      </c>
      <c r="C1230" s="3" t="s">
        <v>4241</v>
      </c>
      <c r="D1230" s="3" t="s">
        <v>71</v>
      </c>
      <c r="E1230" s="4" t="s">
        <v>19</v>
      </c>
      <c r="F1230" s="4" t="s">
        <v>20</v>
      </c>
      <c r="G1230" s="4" t="s">
        <v>384</v>
      </c>
      <c r="H1230" s="3" t="s">
        <v>5478</v>
      </c>
      <c r="I1230" s="3" t="s">
        <v>5479</v>
      </c>
      <c r="J1230" s="4">
        <v>24.0</v>
      </c>
      <c r="K1230" s="4">
        <v>6.0</v>
      </c>
      <c r="L1230" s="3" t="s">
        <v>1206</v>
      </c>
      <c r="M1230" s="3" t="s">
        <v>5480</v>
      </c>
      <c r="N1230" s="7" t="str">
        <f>IFERROR(__xludf.DUMMYFUNCTION("GOOGLETRANSLATE(L1230, ""en"", ""pt"")"),"Servidor")</f>
        <v>Servidor</v>
      </c>
      <c r="O1230" s="7" t="str">
        <f>IFERROR(__xludf.DUMMYFUNCTION("IF(M1230="""","""",GOOGLETRANSLATE(M1230,""en"",""pt""))"),"Os garçons serão responsáveis ​​por recepcionar os clientes, anotar e registrar pedidos, transportar bandejas e pratos, servir alimentos e bebidas, limpar e desocupar as mesas e prepará-las no salão de acordo com os padrões de serviço de alta gastronomia,"&amp;" incluindo a disposição e alinhamento de utensílios como pratos de apresentação, talheres específicos para cada prato, taças de vinho e água e toalhas de mesa dobradas; polir e inspecionar copos, talheres e pratos; organizar mesas, cadeiras e utensílios d"&amp;"e acordo com as reservas, a planta do salão e as preferências dos sócios; abastecer e organizar os pontos de serviço com talheres polidos, toalhas de mesa e utensílios de serviço; e colocar pratos de pão, facas de manteiga e condimentos conforme necessári"&amp;"o; e realizar uma inspeção final do salão para garantir a limpeza, o espaçamento adequado e a conformidade com os padrões de serviço do clube antes do início do serviço. Horário: 35 horas semanais. A escala de trabalho pode variar e incluir turnos noturno"&amp;"s, fins de semana e feriados. O trabalho pode ser realizado em qualquer dia da semana, de segunda a domingo. Exemplos de turnos: 8h30 às 15h30 ou 14h30 às 21h30. O horário de trabalho pode variar. Consulte a descrição da vaga em anexo para obter mais info"&amp;"rmações. Classificação da vaga: 35-3031.00 - Garçons e Garçonetes. A classificação e descrição da vaga/setor incluem informações gerais sobre o cargo, de acordo com o ONET/OES e o Sistema de Classificação Industrial da América do Norte (NAICS). Consulte a"&amp;"s Funções e a Ordem de Serviço para obter mais informações. Requisitos da vaga: Experiência exigida: Sim. Meses de experiência exigidos: 3. Requisitos especiais: O contratante considerará para emprego qualquer pessoa que possua pelo menos três (3) meses d"&amp;"e experiência em um ambiente de alta gastronomia ou de grande movimento em um restaurante sofisticado, resort ou clube privado. O candidato deverá se submeter à verificação de antecedentes e ao exame toxicológico pré-admissional, às custas do empregador. "&amp;"Número de horas por semana: 35. Horário de trabalho (início/término): 8h30 às 15h30.")</f>
        <v>Os garçons serão responsáveis ​​por recepcionar os clientes, anotar e registrar pedidos, transportar bandejas e pratos, servir alimentos e bebidas, limpar e desocupar as mesas e prepará-las no salão de acordo com os padrões de serviço de alta gastronomia, incluindo a disposição e alinhamento de utensílios como pratos de apresentação, talheres específicos para cada prato, taças de vinho e água e toalhas de mesa dobradas; polir e inspecionar copos, talheres e pratos; organizar mesas, cadeiras e utensílios de acordo com as reservas, a planta do salão e as preferências dos sócios; abastecer e organizar os pontos de serviço com talheres polidos, toalhas de mesa e utensílios de serviço; e colocar pratos de pão, facas de manteiga e condimentos conforme necessário; e realizar uma inspeção final do salão para garantir a limpeza, o espaçamento adequado e a conformidade com os padrões de serviço do clube antes do início do serviço. Horário: 35 horas semanais. A escala de trabalho pode variar e incluir turnos noturnos, fins de semana e feriados. O trabalho pode ser realizado em qualquer dia da semana, de segunda a domingo. Exemplos de turnos: 8h30 às 15h30 ou 14h30 às 21h30. O horário de trabalho pode variar. Consulte a descrição da vaga em anexo para obter mais informações. Classificação da vaga: 35-3031.00 - Garçons e Garçonetes. A classificação e descrição da vaga/setor incluem informações gerais sobre o cargo, de acordo com o ONET/OES e o Sistema de Classificação Industrial da América do Norte (NAICS). Consulte as Funções e a Ordem de Serviço para obter mais informações. Requisitos da vaga: Experiência exigida: Sim. Meses de experiência exigidos: 3. Requisitos especiais: O contratante considerará para emprego qualquer pessoa que possua pelo menos três (3) meses de experiência em um ambiente de alta gastronomia ou de grande movimento em um restaurante sofisticado, resort ou clube privado. O candidato deverá se submeter à verificação de antecedentes e ao exame toxicológico pré-admissional, às custas do empregador. Número de horas por semana: 35. Horário de trabalho (início/término): 8h30 às 15h30.</v>
      </c>
    </row>
    <row r="1231" ht="20.25" customHeight="1">
      <c r="A1231" s="8" t="s">
        <v>5481</v>
      </c>
      <c r="B1231" s="8" t="s">
        <v>5477</v>
      </c>
      <c r="C1231" s="8" t="s">
        <v>4241</v>
      </c>
      <c r="D1231" s="8" t="s">
        <v>71</v>
      </c>
      <c r="E1231" s="9" t="s">
        <v>19</v>
      </c>
      <c r="F1231" s="9" t="s">
        <v>20</v>
      </c>
      <c r="G1231" s="9" t="s">
        <v>437</v>
      </c>
      <c r="H1231" s="8" t="s">
        <v>5478</v>
      </c>
      <c r="I1231" s="8" t="s">
        <v>5479</v>
      </c>
      <c r="J1231" s="9">
        <v>26.5</v>
      </c>
      <c r="K1231" s="9">
        <v>1.0</v>
      </c>
      <c r="L1231" s="8" t="s">
        <v>2826</v>
      </c>
      <c r="M1231" s="8" t="s">
        <v>5482</v>
      </c>
      <c r="N1231" s="7" t="str">
        <f>IFERROR(__xludf.DUMMYFUNCTION("GOOGLETRANSLATE(L1231, ""en"", ""pt"")"),"Supervisor de Cozinha")</f>
        <v>Supervisor de Cozinha</v>
      </c>
      <c r="O1231" s="7" t="str">
        <f>IFERROR(__xludf.DUMMYFUNCTION("IF(M1231="""","""",GOOGLETRANSLATE(M1231,""en"",""pt""))"),"Os Supervisores de Cozinha auxiliarão o Subchefe e o Chef Executivo na supervisão e coordenação das operações diárias da cozinha e da equipe, garantindo a manutenção dos padrões de qualidade, consistência, limpeza e segurança alimentar. Os Supervisores de"&amp;" Cozinha serão responsáveis ​​por colaborar com a equipe culinária e demais funcionários no planejamento do cardápio, bem como na preparação e produção de banquetes e grandes eventos, gerenciando as atribuições da equipe de cozinha durante os eventos; mon"&amp;"itorando a qualidade, consistência, porcionamento e adaptações a restrições alimentares; coordenando os horários com a equipe de serviço e o salão; e comunicando alterações de última hora. Garantirão que os alimentos para banquetes sejam preparados no pra"&amp;"zo e de acordo com os Pedidos de Evento para Banquetes (BEOs); auxiliarão no pedido, recebimento e controle de estoque de alimentos; garantirão o armazenamento e a rotulagem adequados dos alimentos. Manterão a conformidade com as normas de segurança alime"&amp;"ntar e higiene, supervisionando e participando das atividades de limpeza da cozinha e do salão, incluindo a higienização das superfícies de preparo de alimentos, limpeza e organização de equipamentos e utensílios, varrição e lavagem de pisos, remoção de l"&amp;"ixo e reciclagem e limpeza de mesas e estações de serviço. Treinarão os funcionários no preparo de alimentos e nos procedimentos de higiene e segurança. Apoiar as operações em todas as estações da cozinha conforme necessário (linha de produção, preparação"&amp;", expedição, banquetes), cozinhando, preparando alimentos, agilizando pedidos, na produção de banquetes, preparando e cozinhando itens do cardápio, montando e empratando pratos, coordenando o fluxo de pedidos entre a cozinha e a equipe de atendimento e au"&amp;"xiliando na execução de eventos de grande porte. Essas responsabilidades são executadas utilizando equipamentos e utensílios padrão de cozinha comercial, incluindo fogões, fornos, grelhas, estações de sauté, facas, equipamentos de preparação, utensílios p"&amp;"ara empratamento e sistemas de comunicação utilizados para a coordenação de pedidos. Pode supervisionar até oito (8) cozinheiros. Horário: 35 horas por semana. O horário de trabalho pode variar e incluir turnos noturnos, fins de semana e feriados. O traba"&amp;"lho pode ser realizado em qualquer dia da semana, de segunda a domingo. Exemplos de turnos: 8h às 15h ou 14h às 21h. Os horários dos turnos podem variar. Consulte a descrição do cargo em anexo para obter mais informações. Classificação da Função: 35-1012."&amp;"00 - Supervisores de Primeira Linha de Preparadores e Servidores de Alimentos. A classificação e descrição da função/setor inclui informações gerais sobre o cargo, de acordo com o ONET/OES e o Sistema de Classificação Industrial da América do Norte (NAICS"&amp;"). Consulte as Funções e a Ordem de Serviço para obter mais informações. Requisitos da Função Experiência Necessária: Sim Meses de Experiência Necessários: 12 Requisitos Especiais: O contratante considerará para emprego qualquer pessoa que possua pelo men"&amp;"os um (1) ano de experiência culinária em um ambiente de alta gastronomia ou de grande movimento, em um restaurante de alto padrão, hotel, resort ou clube privado. O candidato deverá se submeter à verificação de antecedentes e ao exame toxicológico pré-ad"&amp;"missional, às custas do empregador. Número de Horas por Semana: 35 Horário de Trabalho (Início/Término): 8h00 - 15h00")</f>
        <v>Os Supervisores de Cozinha auxiliarão o Subchefe e o Chef Executivo na supervisão e coordenação das operações diárias da cozinha e da equipe, garantindo a manutenção dos padrões de qualidade, consistência, limpeza e segurança alimentar. Os Supervisores de Cozinha serão responsáveis ​​por colaborar com a equipe culinária e demais funcionários no planejamento do cardápio, bem como na preparação e produção de banquetes e grandes eventos, gerenciando as atribuições da equipe de cozinha durante os eventos; monitorando a qualidade, consistência, porcionamento e adaptações a restrições alimentares; coordenando os horários com a equipe de serviço e o salão; e comunicando alterações de última hora. Garantirão que os alimentos para banquetes sejam preparados no prazo e de acordo com os Pedidos de Evento para Banquetes (BEOs); auxiliarão no pedido, recebimento e controle de estoque de alimentos; garantirão o armazenamento e a rotulagem adequados dos alimentos. Manterão a conformidade com as normas de segurança alimentar e higiene, supervisionando e participando das atividades de limpeza da cozinha e do salão, incluindo a higienização das superfícies de preparo de alimentos, limpeza e organização de equipamentos e utensílios, varrição e lavagem de pisos, remoção de lixo e reciclagem e limpeza de mesas e estações de serviço. Treinarão os funcionários no preparo de alimentos e nos procedimentos de higiene e segurança. Apoiar as operações em todas as estações da cozinha conforme necessário (linha de produção, preparação, expedição, banquetes), cozinhando, preparando alimentos, agilizando pedidos, na produção de banquetes, preparando e cozinhando itens do cardápio, montando e empratando pratos, coordenando o fluxo de pedidos entre a cozinha e a equipe de atendimento e auxiliando na execução de eventos de grande porte. Essas responsabilidades são executadas utilizando equipamentos e utensílios padrão de cozinha comercial, incluindo fogões, fornos, grelhas, estações de sauté, facas, equipamentos de preparação, utensílios para empratamento e sistemas de comunicação utilizados para a coordenação de pedidos. Pode supervisionar até oito (8) cozinheiros. Horário: 35 horas por semana. O horário de trabalho pode variar e incluir turnos noturnos, fins de semana e feriados. O trabalho pode ser realizado em qualquer dia da semana, de segunda a domingo. Exemplos de turnos: 8h às 15h ou 14h às 21h. Os horários dos turnos podem variar. Consulte a descrição do cargo em anexo para obter mais informações. Classificação da Função: 35-1012.00 - Supervisores de Primeira Linha de Preparadores e Servidores de Alimentos. A classificação e descrição da função/setor inclui informações gerais sobre o cargo, de acordo com o ONET/OES e o Sistema de Classificação Industrial da América do Norte (NAICS). Consulte as Funções e a Ordem de Serviço para obter mais informações. Requisitos da Função Experiência Necessária: Sim Meses de Experiência Necessários: 12 Requisitos Especiais: O contratante considerará para emprego qualquer pessoa que possua pelo menos um (1) ano de experiência culinária em um ambiente de alta gastronomia ou de grande movimento, em um restaurante de alto padrão, hotel, resort ou clube privado. O candidato deverá se submeter à verificação de antecedentes e ao exame toxicológico pré-admissional, às custas do empregador. Número de Horas por Semana: 35 Horário de Trabalho (Início/Término): 8h00 - 15h00</v>
      </c>
    </row>
    <row r="1232" ht="20.25" customHeight="1">
      <c r="A1232" s="3" t="s">
        <v>5483</v>
      </c>
      <c r="B1232" s="3" t="s">
        <v>5477</v>
      </c>
      <c r="C1232" s="3" t="s">
        <v>4241</v>
      </c>
      <c r="D1232" s="3" t="s">
        <v>71</v>
      </c>
      <c r="E1232" s="4" t="s">
        <v>19</v>
      </c>
      <c r="F1232" s="4" t="s">
        <v>20</v>
      </c>
      <c r="G1232" s="4" t="s">
        <v>384</v>
      </c>
      <c r="H1232" s="3" t="s">
        <v>5478</v>
      </c>
      <c r="I1232" s="3" t="s">
        <v>5479</v>
      </c>
      <c r="J1232" s="4">
        <v>22.0</v>
      </c>
      <c r="K1232" s="4">
        <v>6.0</v>
      </c>
      <c r="L1232" s="3" t="s">
        <v>387</v>
      </c>
      <c r="M1232" s="3" t="s">
        <v>5484</v>
      </c>
      <c r="N1232" s="7" t="str">
        <f>IFERROR(__xludf.DUMMYFUNCTION("GOOGLETRANSLATE(L1232, ""en"", ""pt"")"),"Ordem de serviço não disponível")</f>
        <v>Ordem de serviço não disponível</v>
      </c>
      <c r="O1232" s="7" t="str">
        <f>IFERROR(__xludf.DUMMYFUNCTION("IF(M1232="""","""",GOOGLETRANSLATE(M1232,""en"",""pt""))"),"Os cozinheiros serão responsáveis ​​por preparar, temperar e cozinhar sopas, carnes, legumes, sobremesas e outros pratos em um restaurante. Horário: 35 horas semanais. O horário de trabalho pode variar e incluir noites, fins de semana e feriados. O trabal"&amp;"ho pode ser realizado em qualquer dia da semana, de segunda a domingo. Exemplos de turnos: 8h às 15h ou 14h às 21h. Os horários dos turnos podem variar. Consulte a descrição do cargo em anexo para obter mais informações. Classificação do Cargo: 35-2014.00"&amp;" - Cozinheiros, Restaurante. A classificação e a descrição do cargo/setor incluem informações gerais sobre a posição, de acordo com o ONET/OES e o Sistema de Classificação Industrial da América do Norte. Consulte as Funções e a Ordem de Serviço para obter"&amp;" mais informações. Requisitos do Cargo: Experiência Necessária: Sim. Meses de Experiência Necessários: 6. Requisitos Especiais: O contratante considerará para emprego qualquer pessoa que possua pelo menos seis (6) meses de experiência culinária em um ambi"&amp;"ente de alta gastronomia ou de grande movimento, em um restaurante sofisticado, resort ou clube privado. O candidato deverá se submeter à verificação de antecedentes e ao exame toxicológico pré-admissional, às custas do empregador. Número de horas semanai"&amp;"s: 35. Horário de trabalho (início/término): 8h às 15h.")</f>
        <v>Os cozinheiros serão responsáveis ​​por preparar, temperar e cozinhar sopas, carnes, legumes, sobremesas e outros pratos em um restaurante. Horário: 35 horas semanais. O horário de trabalho pode variar e incluir noites, fins de semana e feriados. O trabalho pode ser realizado em qualquer dia da semana, de segunda a domingo. Exemplos de turnos: 8h às 15h ou 14h às 21h. Os horários dos turnos podem variar. Consulte a descrição do cargo em anexo para obter mais informações. Classificação do Cargo: 35-2014.00 - Cozinheiros, Restaurante. A classificação e a descrição do cargo/setor incluem informações gerais sobre a posição, de acordo com o ONET/OES e o Sistema de Classificação Industrial da América do Norte. Consulte as Funções e a Ordem de Serviço para obter mais informações. Requisitos do Cargo: Experiência Necessária: Sim. Meses de Experiência Necessários: 6. Requisitos Especiais: O contratante considerará para emprego qualquer pessoa que possua pelo menos seis (6) meses de experiência culinária em um ambiente de alta gastronomia ou de grande movimento, em um restaurante sofisticado, resort ou clube privado. O candidato deverá se submeter à verificação de antecedentes e ao exame toxicológico pré-admissional, às custas do empregador. Número de horas semanais: 35. Horário de trabalho (início/término): 8h às 15h.</v>
      </c>
    </row>
    <row r="1233" ht="20.25" customHeight="1">
      <c r="A1233" s="8" t="s">
        <v>5485</v>
      </c>
      <c r="B1233" s="8" t="s">
        <v>5477</v>
      </c>
      <c r="C1233" s="8" t="s">
        <v>4241</v>
      </c>
      <c r="D1233" s="8" t="s">
        <v>71</v>
      </c>
      <c r="E1233" s="9" t="s">
        <v>44</v>
      </c>
      <c r="F1233" s="9" t="s">
        <v>20</v>
      </c>
      <c r="G1233" s="9" t="s">
        <v>384</v>
      </c>
      <c r="H1233" s="8" t="s">
        <v>5478</v>
      </c>
      <c r="I1233" s="8" t="s">
        <v>5479</v>
      </c>
      <c r="J1233" s="9">
        <v>20.0</v>
      </c>
      <c r="K1233" s="9">
        <v>4.0</v>
      </c>
      <c r="L1233" s="8" t="s">
        <v>1641</v>
      </c>
      <c r="M1233" s="8" t="s">
        <v>5486</v>
      </c>
      <c r="N1233" s="7" t="str">
        <f>IFERROR(__xludf.DUMMYFUNCTION("GOOGLETRANSLATE(L1233, ""en"", ""pt"")"),"Garçom/Garçonete")</f>
        <v>Garçom/Garçonete</v>
      </c>
      <c r="O1233" s="7" t="str">
        <f>IFERROR(__xludf.DUMMYFUNCTION("IF(M1233="""","""",GOOGLETRANSLATE(M1233,""en"",""pt""))"),"Os auxiliares de garçom serão responsáveis ​​por arrumar as mesas, limpá-las e retirá-las, servir água aos clientes, servir comida quando os garçons precisarem de ajuda e auxiliar na montagem de banquetes (montagem de mesas, cadeiras, toalhas de mesa e ut"&amp;"ensílios). Horário: 35 horas semanais. O horário de trabalho pode variar e incluir noites, fins de semana e feriados. O trabalho pode ser realizado em qualquer dia da semana, de segunda a domingo. Exemplos de turnos: 8h30 às 15h30 ou 14h30 às 21h30. Os ho"&amp;"rários dos turnos podem variar. Consulte a descrição do cargo em anexo para obter mais informações. Classificação do cargo: 35-9011.00 - Atendentes de Salão e Cafeteria e Auxiliares de Bar. A classificação e descrição do cargo/setor incluem informações ge"&amp;"rais sobre a posição, de acordo com o ONET/OES e o Sistema de Classificação Industrial da América do Norte. Consulte as Funções e a Ordem de Serviço para obter mais informações. Requisitos da vaga Experiência exigida: Sim Meses de experiência exigidos: 3 "&amp;"Requisitos especiais: O contratante considerará para emprego qualquer pessoa que possua pelo menos três (3) meses de experiência em um ambiente de alta gastronomia ou de grande movimento em um restaurante sofisticado, resort ou clube privado. O candidato "&amp;"deverá se submeter à verificação de antecedentes e ao exame toxicológico pré-admissional, às custas do empregador. Número de horas por semana: 35 Horário de trabalho (início/término): 8h30 às 15h30")</f>
        <v>Os auxiliares de garçom serão responsáveis ​​por arrumar as mesas, limpá-las e retirá-las, servir água aos clientes, servir comida quando os garçons precisarem de ajuda e auxiliar na montagem de banquetes (montagem de mesas, cadeiras, toalhas de mesa e utensílios). Horário: 35 horas semanais. O horário de trabalho pode variar e incluir noites, fins de semana e feriados. O trabalho pode ser realizado em qualquer dia da semana, de segunda a domingo. Exemplos de turnos: 8h30 às 15h30 ou 14h30 às 21h30. Os horários dos turnos podem variar. Consulte a descrição do cargo em anexo para obter mais informações. Classificação do cargo: 35-9011.00 - Atendentes de Salão e Cafeteria e Auxiliares de Bar. A classificação e descrição do cargo/setor incluem informações gerais sobre a posição, de acordo com o ONET/OES e o Sistema de Classificação Industrial da América do Norte. Consulte as Funções e a Ordem de Serviço para obter mais informações. Requisitos da vaga Experiência exigida: Sim Meses de experiência exigidos: 3 Requisitos especiais: O contratante considerará para emprego qualquer pessoa que possua pelo menos três (3) meses de experiência em um ambiente de alta gastronomia ou de grande movimento em um restaurante sofisticado, resort ou clube privado. O candidato deverá se submeter à verificação de antecedentes e ao exame toxicológico pré-admissional, às custas do empregador. Número de horas por semana: 35 Horário de trabalho (início/término): 8h30 às 15h30</v>
      </c>
    </row>
    <row r="1234" ht="20.25" customHeight="1">
      <c r="A1234" s="3" t="s">
        <v>5487</v>
      </c>
      <c r="B1234" s="3" t="s">
        <v>5488</v>
      </c>
      <c r="C1234" s="3" t="s">
        <v>4241</v>
      </c>
      <c r="D1234" s="3" t="s">
        <v>271</v>
      </c>
      <c r="E1234" s="4" t="s">
        <v>19</v>
      </c>
      <c r="F1234" s="4" t="s">
        <v>20</v>
      </c>
      <c r="G1234" s="4" t="s">
        <v>80</v>
      </c>
      <c r="H1234" s="3" t="s">
        <v>5489</v>
      </c>
      <c r="I1234" s="3" t="s">
        <v>5490</v>
      </c>
      <c r="J1234" s="4">
        <v>19.5</v>
      </c>
      <c r="K1234" s="4">
        <v>12.0</v>
      </c>
      <c r="L1234" s="3" t="s">
        <v>5491</v>
      </c>
      <c r="M1234" s="3" t="s">
        <v>5492</v>
      </c>
      <c r="N1234" s="7" t="str">
        <f>IFERROR(__xludf.DUMMYFUNCTION("GOOGLETRANSLATE(L1234, ""en"", ""pt"")"),"Zelador de Campo de Golfe")</f>
        <v>Zelador de Campo de Golfe</v>
      </c>
      <c r="O1234" s="7" t="str">
        <f>IFERROR(__xludf.DUMMYFUNCTION("IF(M1234="""","""",GOOGLETRANSLATE(M1234,""en"",""pt""))"),"Os jardineiros serão responsáveis ​​pela manutenção dos campos de golfe utilizando ferramentas manuais e elétricas. As tarefas incluirão: colocação de grama, corte, poda, plantio, irrigação, adubação, escavação, rastelagem e instalação de aspersores. A ca"&amp;"rga horária é de 40 horas semanais. O horário de trabalho pode variar e incluir turnos noturnos, fins de semana e feriados. O trabalho pode ser realizado em qualquer dia da semana, de segunda a domingo. Exemplos de turnos: 5h30 às 13h30, 6h às 14h ou 6h30"&amp;" às 14h30. Os horários dos turnos podem variar. Consulte a descrição da vaga para obter mais informações. Classificação da vaga: 37-3011.00 - Trabalhadores de Paisagismo e Jardinagem. A classificação e descrição da vaga/setor incluem informações gerais so"&amp;"bre o cargo, de acordo com o ONET/OES e o Sistema de Classificação Industrial da América do Norte (NAICS). Consulte as atribuições e a ordem de serviço para obter mais informações. Requisitos da vaga Experiência exigida: Sim Meses de experiência exigidos:"&amp;" 3 Requisitos especiais: O contratante considerará para emprego qualquer pessoa que possua pelo menos três (3) meses de experiência em manutenção de jardins em um hotel de alto padrão, resort ou clube privado. Número de horas por semana: 40 Horário de tra"&amp;"balho (início/término): 5h30 - 13h30")</f>
        <v>Os jardineiros serão responsáveis ​​pela manutenção dos campos de golfe utilizando ferramentas manuais e elétricas. As tarefas incluirão: colocação de grama, corte, poda, plantio, irrigação, adubação, escavação, rastelagem e instalação de aspersores. A carga horária é de 40 horas semanais. O horário de trabalho pode variar e incluir turnos noturnos, fins de semana e feriados. O trabalho pode ser realizado em qualquer dia da semana, de segunda a domingo. Exemplos de turnos: 5h30 às 13h30, 6h às 14h ou 6h30 às 14h30. Os horários dos turnos podem variar. Consulte a descrição da vaga para obter mais informações. Classificação da vaga: 37-3011.00 - Trabalhadores de Paisagismo e Jardinagem. A classificação e descrição da vaga/setor incluem informações gerais sobre o cargo, de acordo com o ONET/OES e o Sistema de Classificação Industrial da América do Norte (NAICS). Consulte as atribuições e a ordem de serviço para obter mais informações. Requisitos da vaga Experiência exigida: Sim Meses de experiência exigidos: 3 Requisitos especiais: O contratante considerará para emprego qualquer pessoa que possua pelo menos três (3) meses de experiência em manutenção de jardins em um hotel de alto padrão, resort ou clube privado. Número de horas por semana: 40 Horário de trabalho (início/término): 5h30 - 13h30</v>
      </c>
    </row>
    <row r="1235" ht="20.25" customHeight="1">
      <c r="A1235" s="8" t="s">
        <v>5493</v>
      </c>
      <c r="B1235" s="8" t="s">
        <v>5488</v>
      </c>
      <c r="C1235" s="8" t="s">
        <v>4241</v>
      </c>
      <c r="D1235" s="8" t="s">
        <v>271</v>
      </c>
      <c r="E1235" s="9" t="s">
        <v>19</v>
      </c>
      <c r="F1235" s="9" t="s">
        <v>20</v>
      </c>
      <c r="G1235" s="9" t="s">
        <v>524</v>
      </c>
      <c r="H1235" s="8" t="s">
        <v>5489</v>
      </c>
      <c r="I1235" s="8" t="s">
        <v>5490</v>
      </c>
      <c r="J1235" s="9">
        <v>24.0</v>
      </c>
      <c r="K1235" s="9">
        <v>4.0</v>
      </c>
      <c r="L1235" s="8" t="s">
        <v>387</v>
      </c>
      <c r="M1235" s="8" t="s">
        <v>5494</v>
      </c>
      <c r="N1235" s="7" t="str">
        <f>IFERROR(__xludf.DUMMYFUNCTION("GOOGLETRANSLATE(L1235, ""en"", ""pt"")"),"Ordem de serviço não disponível")</f>
        <v>Ordem de serviço não disponível</v>
      </c>
      <c r="O1235" s="7" t="str">
        <f>IFERROR(__xludf.DUMMYFUNCTION("IF(M1235="""","""",GOOGLETRANSLATE(M1235,""en"",""pt""))"),"Os cozinheiros serão responsáveis ​​por preparar, temperar e cozinhar sopas, carnes, legumes, sobremesas e outros pratos em um restaurante, limpar a área da cozinha e o chão ao final do dia e, ocasionalmente, lavar a louça. Horário: 40 horas semanais. O h"&amp;"orário de trabalho pode variar e incluir turnos noturnos, fins de semana e feriados. O trabalho pode ser realizado em qualquer dia da semana, de segunda a domingo. Exemplos de turnos: 6h às 14h, 10h às 18h ou 13h às 21h. Os horários dos turnos podem varia"&amp;"r. Consulte a descrição da vaga para obter mais informações. Classificação da vaga: 35-2014.00 - Cozinheiros, Restaurante. A classificação e a descrição da vaga/setor incluem informações gerais sobre o cargo, de acordo com o ONET/OES e o Sistema de Classi"&amp;"ficação Industrial da América do Norte (NAICS). Consulte as atribuições e a descrição da vaga para obter mais informações. Requisitos da vaga Experiência necessária: Sim Meses de experiência necessários: 3 Requisitos especiais: O contratante considerará p"&amp;"ara emprego qualquer pessoa que possua pelo menos três (3) meses de experiência culinária em um ambiente de alta gastronomia ou de grande movimento em um restaurante sofisticado, resort ou clube privado. Número de horas por semana: 40 Horário de trabalho "&amp;"(início/término): 6h às 14h")</f>
        <v>Os cozinheiros serão responsáveis ​​por preparar, temperar e cozinhar sopas, carnes, legumes, sobremesas e outros pratos em um restaurante, limpar a área da cozinha e o chão ao final do dia e, ocasionalmente, lavar a louça. Horário: 40 horas semanais. O horário de trabalho pode variar e incluir turnos noturnos, fins de semana e feriados. O trabalho pode ser realizado em qualquer dia da semana, de segunda a domingo. Exemplos de turnos: 6h às 14h, 10h às 18h ou 13h às 21h. Os horários dos turnos podem variar. Consulte a descrição da vaga para obter mais informações. Classificação da vaga: 35-2014.00 - Cozinheiros, Restaurante. A classificação e a descrição da vaga/setor incluem informações gerais sobre o cargo, de acordo com o ONET/OES e o Sistema de Classificação Industrial da América do Norte (NAICS). Consulte as atribuições e a descrição da vaga para obter mais informações. Requisitos da vaga Experiência necessária: Sim Meses de experiência necessários: 3 Requisitos especiais: O contratante considerará para emprego qualquer pessoa que possua pelo menos três (3) meses de experiência culinária em um ambiente de alta gastronomia ou de grande movimento em um restaurante sofisticado, resort ou clube privado. Número de horas por semana: 40 Horário de trabalho (início/término): 6h às 14h</v>
      </c>
    </row>
    <row r="1236" ht="20.25" customHeight="1">
      <c r="A1236" s="3" t="s">
        <v>5495</v>
      </c>
      <c r="B1236" s="3" t="s">
        <v>5496</v>
      </c>
      <c r="C1236" s="3" t="s">
        <v>4241</v>
      </c>
      <c r="D1236" s="3" t="s">
        <v>71</v>
      </c>
      <c r="E1236" s="4" t="s">
        <v>19</v>
      </c>
      <c r="F1236" s="4" t="s">
        <v>20</v>
      </c>
      <c r="G1236" s="4" t="s">
        <v>384</v>
      </c>
      <c r="H1236" s="3" t="s">
        <v>5497</v>
      </c>
      <c r="I1236" s="3" t="s">
        <v>5498</v>
      </c>
      <c r="J1236" s="4">
        <v>18.71</v>
      </c>
      <c r="K1236" s="4">
        <v>8.0</v>
      </c>
      <c r="L1236" s="3" t="s">
        <v>1206</v>
      </c>
      <c r="M1236" s="3" t="s">
        <v>5499</v>
      </c>
      <c r="N1236" s="7" t="str">
        <f>IFERROR(__xludf.DUMMYFUNCTION("GOOGLETRANSLATE(L1236, ""en"", ""pt"")"),"Servidor")</f>
        <v>Servidor</v>
      </c>
      <c r="O1236" s="7" t="str">
        <f>IFERROR(__xludf.DUMMYFUNCTION("IF(M1236="""","""",GOOGLETRANSLATE(M1236,""en"",""pt""))"),"Os garçons serão responsáveis ​​por recepcionar os clientes, preparar as áreas de refeição, anotar e registrar pedidos, transportar bandejas e pratos, servir alimentos e bebidas, e limpar e retirar os pratos das mesas. Horário: 35 horas semanais. A escala"&amp;" de trabalho pode variar e incluir turnos noturnos, fins de semana e feriados. O trabalho pode ser realizado em qualquer dia da semana, de domingo a sábado. Exemplos de turnos: das 9h às 16h ou das 15h às 22h. Os horários dos turnos podem variar. Consulte"&amp;" a descrição da vaga em anexo para obter mais informações. Classificação da vaga: 35-3031.00 - Garçons e Garçonetes. A classificação e descrição da vaga/setor incluem informações gerais sobre o cargo, de acordo com o ONET/OES e o Sistema de Classificação "&amp;"Industrial da América do Norte (NAICS). Consulte as Funções e a Ordem de Serviço para obter mais informações. Requisitos da vaga Experiência necessária: Sim Meses de experiência necessários: 6 Requisitos especiais: O contratante considerará para emprego q"&amp;"ualquer pessoa que possua pelo menos seis (6) meses de experiência em atendimento ao público em um ambiente de alta gastronomia ou de grande movimento, em um restaurante sofisticado, resort ou clube privado. O candidato deverá se submeter à verificação de"&amp;" antecedentes e ao exame toxicológico pré-admissional, às custas do empregador. Número de horas por semana: 35 Horário de trabalho (início/término): 9h às 16h")</f>
        <v>Os garçons serão responsáveis ​​por recepcionar os clientes, preparar as áreas de refeição, anotar e registrar pedidos, transportar bandejas e pratos, servir alimentos e bebidas, e limpar e retirar os pratos das mesas. Horário: 35 horas semanais. A escala de trabalho pode variar e incluir turnos noturnos, fins de semana e feriados. O trabalho pode ser realizado em qualquer dia da semana, de domingo a sábado. Exemplos de turnos: das 9h às 16h ou das 15h às 22h. Os horários dos turnos podem variar. Consulte a descrição da vaga em anexo para obter mais informações. Classificação da vaga: 35-3031.00 - Garçons e Garçonetes. A classificação e descrição da vaga/setor incluem informações gerais sobre o cargo, de acordo com o ONET/OES e o Sistema de Classificação Industrial da América do Norte (NAICS). Consulte as Funções e a Ordem de Serviço para obter mais informações. Requisitos da vaga Experiência necessária: Sim Meses de experiência necessários: 6 Requisitos especiais: O contratante considerará para emprego qualquer pessoa que possua pelo menos seis (6) meses de experiência em atendimento ao público em um ambiente de alta gastronomia ou de grande movimento, em um restaurante sofisticado, resort ou clube privado. O candidato deverá se submeter à verificação de antecedentes e ao exame toxicológico pré-admissional, às custas do empregador. Número de horas por semana: 35 Horário de trabalho (início/término): 9h às 16h</v>
      </c>
    </row>
    <row r="1237" ht="20.25" customHeight="1">
      <c r="A1237" s="8" t="s">
        <v>5500</v>
      </c>
      <c r="B1237" s="8" t="s">
        <v>5501</v>
      </c>
      <c r="C1237" s="8" t="s">
        <v>4241</v>
      </c>
      <c r="D1237" s="8" t="s">
        <v>71</v>
      </c>
      <c r="E1237" s="9" t="s">
        <v>19</v>
      </c>
      <c r="F1237" s="9" t="s">
        <v>20</v>
      </c>
      <c r="G1237" s="9" t="s">
        <v>524</v>
      </c>
      <c r="H1237" s="8" t="s">
        <v>5502</v>
      </c>
      <c r="I1237" s="8" t="s">
        <v>5503</v>
      </c>
      <c r="J1237" s="9">
        <v>20.13</v>
      </c>
      <c r="K1237" s="9">
        <v>11.0</v>
      </c>
      <c r="L1237" s="8" t="s">
        <v>1206</v>
      </c>
      <c r="M1237" s="8" t="s">
        <v>5504</v>
      </c>
      <c r="N1237" s="7" t="str">
        <f>IFERROR(__xludf.DUMMYFUNCTION("GOOGLETRANSLATE(L1237, ""en"", ""pt"")"),"Servidor")</f>
        <v>Servidor</v>
      </c>
      <c r="O1237" s="7" t="str">
        <f>IFERROR(__xludf.DUMMYFUNCTION("IF(M1237="""","""",GOOGLETRANSLATE(M1237,""en"",""pt""))"),"Os garçons serão responsáveis ​​por preparar o salão, anotar e registrar os pedidos dos clientes, transportar bandejas, servir comidas e bebidas, e limpar e retirar os pratos das mesas. Horário: 40 horas semanais. A escala de trabalho pode variar e inclui"&amp;"r turnos noturnos, fins de semana e feriados. O trabalho pode ser realizado em qualquer dia da semana, de segunda a domingo. Exemplos de turnos: das 8h às 16h, das 10h às 18h ou das 12h às 20h. Os horários dos turnos podem variar. Consulte a descrição da "&amp;"vaga em anexo para obter mais informações. Classificação da vaga: 35-3031.00 - Garçons e Garçonetes. A classificação e descrição da vaga/setor incluem informações gerais sobre o cargo, de acordo com o ONET/OES e o Sistema de Classificação Industrial da Am"&amp;"érica do Norte (NAICS). Consulte as Funções e a Ordem de Serviço para obter mais informações. Requisitos da vaga Experiência necessária: Sim Meses de experiência necessários: 12 Requisitos especiais: O contratante considerará para emprego qualquer pessoa "&amp;"que possua pelo menos um (1) ano de experiência em atendimento ao público em um ambiente de alta gastronomia ou de grande movimento, em um restaurante sofisticado, resort ou clube privado. O candidato deverá se submeter à verificação de antecedentes e ao "&amp;"exame toxicológico pré-admissional, às custas do empregador. Número de horas por semana: 40 Horário de trabalho (início/término): 8h às 16h")</f>
        <v>Os garçons serão responsáveis ​​por preparar o salão, anotar e registrar os pedidos dos clientes, transportar bandejas, servir comidas e bebidas, e limpar e retirar os pratos das mesas. Horário: 40 horas semanais. A escala de trabalho pode variar e incluir turnos noturnos, fins de semana e feriados. O trabalho pode ser realizado em qualquer dia da semana, de segunda a domingo. Exemplos de turnos: das 8h às 16h, das 10h às 18h ou das 12h às 20h. Os horários dos turnos podem variar. Consulte a descrição da vaga em anexo para obter mais informações. Classificação da vaga: 35-3031.00 - Garçons e Garçonetes. A classificação e descrição da vaga/setor incluem informações gerais sobre o cargo, de acordo com o ONET/OES e o Sistema de Classificação Industrial da América do Norte (NAICS). Consulte as Funções e a Ordem de Serviço para obter mais informações. Requisitos da vaga Experiência necessária: Sim Meses de experiência necessários: 12 Requisitos especiais: O contratante considerará para emprego qualquer pessoa que possua pelo menos um (1) ano de experiência em atendimento ao público em um ambiente de alta gastronomia ou de grande movimento, em um restaurante sofisticado, resort ou clube privado. O candidato deverá se submeter à verificação de antecedentes e ao exame toxicológico pré-admissional, às custas do empregador. Número de horas por semana: 40 Horário de trabalho (início/término): 8h às 16h</v>
      </c>
    </row>
    <row r="1238" ht="20.25" customHeight="1">
      <c r="A1238" s="3" t="s">
        <v>5505</v>
      </c>
      <c r="B1238" s="3" t="s">
        <v>5501</v>
      </c>
      <c r="C1238" s="3" t="s">
        <v>4241</v>
      </c>
      <c r="D1238" s="3" t="s">
        <v>71</v>
      </c>
      <c r="E1238" s="4" t="s">
        <v>19</v>
      </c>
      <c r="F1238" s="4" t="s">
        <v>20</v>
      </c>
      <c r="G1238" s="4" t="s">
        <v>524</v>
      </c>
      <c r="H1238" s="3" t="s">
        <v>5502</v>
      </c>
      <c r="I1238" s="3" t="s">
        <v>5503</v>
      </c>
      <c r="J1238" s="4">
        <v>19.88</v>
      </c>
      <c r="K1238" s="4">
        <v>10.0</v>
      </c>
      <c r="L1238" s="3" t="s">
        <v>586</v>
      </c>
      <c r="M1238" s="3" t="s">
        <v>5506</v>
      </c>
      <c r="N1238" s="7" t="str">
        <f>IFERROR(__xludf.DUMMYFUNCTION("GOOGLETRANSLATE(L1238, ""en"", ""pt"")"),"Cozinheiro de linha")</f>
        <v>Cozinheiro de linha</v>
      </c>
      <c r="O1238" s="7" t="str">
        <f>IFERROR(__xludf.DUMMYFUNCTION("IF(M1238="""","""",GOOGLETRANSLATE(M1238,""en"",""pt""))"),"Os cozinheiros de linha serão responsáveis ​​por preparar, temperar e cozinhar sopas, carnes, legumes, sobremesas e outros itens alimentícios em um restaurante, além de serem proativos na higienização e rotação dos alimentos. Horário: 40 horas semanais. O"&amp;" horário de trabalho pode variar e incluir turnos noturnos, fins de semana e feriados. O trabalho pode ser realizado em qualquer dia da semana, de segunda a domingo. Exemplos de turnos: das 8h às 16h, das 10h às 18h ou das 12h às 20h. Os horários dos turn"&amp;"os podem variar. Consulte a descrição do cargo em anexo para obter mais informações. Classificação do Cargo: 35-2014.00 - Cozinheiros, Restaurante. A classificação e descrição do cargo/setor incluem informações gerais sobre a posição, de acordo com o ONET"&amp;"/OES e o Sistema de Classificação Industrial da América do Norte (NAICS). Consulte as Funções e a Ordem de Serviço para obter mais informações. Requisitos da vaga Experiência necessária: Sim Meses de experiência necessários: 12 Requisitos especiais: O con"&amp;"tratante considerará para emprego qualquer pessoa que possua pelo menos um (1) ano de experiência culinária em um ambiente de alta gastronomia ou de grande movimento em um restaurante sofisticado, resort ou clube privado. O candidato deverá se submeter à "&amp;"verificação de antecedentes e ao exame toxicológico pré-admissional, às custas do empregador. Número de horas por semana: 40 Horário de trabalho (início/término): 8h às 16h")</f>
        <v>Os cozinheiros de linha serão responsáveis ​​por preparar, temperar e cozinhar sopas, carnes, legumes, sobremesas e outros itens alimentícios em um restaurante, além de serem proativos na higienização e rotação dos alimentos. Horário: 40 horas semanais. O horário de trabalho pode variar e incluir turnos noturnos, fins de semana e feriados. O trabalho pode ser realizado em qualquer dia da semana, de segunda a domingo. Exemplos de turnos: das 8h às 16h, das 10h às 18h ou das 12h às 20h. Os horários dos turnos podem variar. Consulte a descrição do cargo em anexo para obter mais informações. Classificação do Cargo: 35-2014.00 - Cozinheiros, Restaurante. A classificação e descrição do cargo/setor incluem informações gerais sobre a posição, de acordo com o ONET/OES e o Sistema de Classificação Industrial da América do Norte (NAICS). Consulte as Funções e a Ordem de Serviço para obter mais informações. Requisitos da vaga Experiência necessária: Sim Meses de experiência necessários: 12 Requisitos especiais: O contratante considerará para emprego qualquer pessoa que possua pelo menos um (1) ano de experiência culinária em um ambiente de alta gastronomia ou de grande movimento em um restaurante sofisticado, resort ou clube privado. O candidato deverá se submeter à verificação de antecedentes e ao exame toxicológico pré-admissional, às custas do empregador. Número de horas por semana: 40 Horário de trabalho (início/término): 8h às 16h</v>
      </c>
    </row>
    <row r="1239" ht="20.25" customHeight="1">
      <c r="A1239" s="8" t="s">
        <v>5507</v>
      </c>
      <c r="B1239" s="8" t="s">
        <v>5508</v>
      </c>
      <c r="C1239" s="8" t="s">
        <v>4247</v>
      </c>
      <c r="D1239" s="8" t="s">
        <v>532</v>
      </c>
      <c r="E1239" s="9" t="s">
        <v>19</v>
      </c>
      <c r="F1239" s="9" t="s">
        <v>20</v>
      </c>
      <c r="G1239" s="9" t="s">
        <v>307</v>
      </c>
      <c r="H1239" s="8" t="s">
        <v>5509</v>
      </c>
      <c r="I1239" s="8" t="s">
        <v>5510</v>
      </c>
      <c r="J1239" s="9">
        <v>20.16</v>
      </c>
      <c r="K1239" s="9">
        <v>6.0</v>
      </c>
      <c r="L1239" s="8" t="s">
        <v>5511</v>
      </c>
      <c r="M1239" s="8" t="s">
        <v>5512</v>
      </c>
      <c r="N1239" s="7" t="str">
        <f>IFERROR(__xludf.DUMMYFUNCTION("GOOGLETRANSLATE(L1239, ""en"", ""pt"")"),"Vendedores Sazonais de Loja - 41-2031")</f>
        <v>Vendedores Sazonais de Loja - 41-2031</v>
      </c>
      <c r="O1239" s="7" t="str">
        <f>IFERROR(__xludf.DUMMYFUNCTION("IF(M1239="""","""",GOOGLETRANSLATE(M1239,""en"",""pt""))"),"Venda sazonal de abóboras e árvores de Natal. Os funcionários trabalharão em equipe para concluir tarefas que podem incluir: recepcionar os clientes e identificar suas necessidades e desejos; descrever as mercadorias e explicar seu uso, funcionamento e cu"&amp;"idados; recomendar, selecionar e ajudar a localizar ou obter mercadorias com base nas necessidades e desejos dos clientes; calcular os preços de venda, o total das compras e receber e processar pagamentos em dinheiro ou cartão de crédito; responder a perg"&amp;"untas sobre a loja e suas mercadorias; preparar comprovantes de venda ou contratos de venda. Manter-se atualizado sobre as promoções e vendas vigentes, políticas de pagamento e trocas, e práticas de segurança. Manter registros relacionados às vendas. Demo"&amp;"nstrar o uso ou operação das mercadorias. Fazer pedidos especiais ou ligar para outras lojas para encontrar os itens desejados. Preparar as mercadorias para compra ou aluguel. Estar atento e reconhecer riscos de segurança e furtos, e saber como prevenir o"&amp;"u lidar com essas situações. Inventariar o estoque e solicitar novos produtos. Etiquetar, organizar e exibir as mercadorias para promover as vendas. Trocar mercadorias para os clientes e aceitar devoluções. Limpar prateleiras, balcões e mesas. Auxiliar os"&amp;" clientes a experimentar ou ajustar as mercadorias. Vender ou providenciar entrega, seguro, financiamento ou contratos de serviço para mercadorias. Estimar e cotar abatimentos para trocas. Abrir e fechar caixas registradoras, realizando tarefas como conta"&amp;"r dinheiro, separar comprovantes de pagamento, cupons e vales, fechar o caixa e fazer depósitos. Estimar a quantidade e o custo das mercadorias necessárias. Embalar as compras. Classificação da função: 41-2031.00 - Vendedores de Varejo. A classificação e "&amp;"descrição da função/setor inclui informações gerais sobre o cargo, de acordo com o ONET/OES e o Sistema de Classificação Industrial da América do Norte. Consulte as Funções e a Ordem de Serviço para obter mais informações. Requisitos da vaga Experiência e"&amp;"xigida: Não Requisitos especiais: Testes toxicológicos aleatórios e verificação de antecedentes criminais podem ser exigidos após a contratação, sem custo para o trabalhador. A vaga exige que o candidato seja qualificado, esteja pronto, disposto, apto e d"&amp;"isponível para desempenhar as funções durante todo o período de emprego em todos os locais de trabalho designados; e para seguir as normas do local de trabalho. Número de horas por semana: 40 Horário de trabalho (início/término): 9h às 17h")</f>
        <v>Venda sazonal de abóboras e árvores de Natal. Os funcionários trabalharão em equipe para concluir tarefas que podem incluir: recepcionar os clientes e identificar suas necessidades e desejos; descrever as mercadorias e explicar seu uso, funcionamento e cuidados; recomendar, selecionar e ajudar a localizar ou obter mercadorias com base nas necessidades e desejos dos clientes; calcular os preços de venda, o total das compras e receber e processar pagamentos em dinheiro ou cartão de crédito; responder a perguntas sobre a loja e suas mercadorias; preparar comprovantes de venda ou contratos de venda. Manter-se atualizado sobre as promoções e vendas vigentes, políticas de pagamento e trocas, e práticas de segurança. Manter registros relacionados às vendas. Demonstrar o uso ou operação das mercadorias. Fazer pedidos especiais ou ligar para outras lojas para encontrar os itens desejados. Preparar as mercadorias para compra ou aluguel. Estar atento e reconhecer riscos de segurança e furtos, e saber como prevenir ou lidar com essas situações. Inventariar o estoque e solicitar novos produtos. Etiquetar, organizar e exibir as mercadorias para promover as vendas. Trocar mercadorias para os clientes e aceitar devoluções. Limpar prateleiras, balcões e mesas. Auxiliar os clientes a experimentar ou ajustar as mercadorias. Vender ou providenciar entrega, seguro, financiamento ou contratos de serviço para mercadorias. Estimar e cotar abatimentos para trocas. Abrir e fechar caixas registradoras, realizando tarefas como contar dinheiro, separar comprovantes de pagamento, cupons e vales, fechar o caixa e fazer depósitos. Estimar a quantidade e o custo das mercadorias necessárias. Embalar as compras. Classificação da função: 41-2031.00 - Vendedores de Varejo. A classificação e descrição da função/setor inclui informações gerais sobre o cargo, de acordo com o ONET/OES e o Sistema de Classificação Industrial da América do Norte. Consulte as Funções e a Ordem de Serviço para obter mais informações. Requisitos da vaga Experiência exigida: Não Requisitos especiais: Testes toxicológicos aleatórios e verificação de antecedentes criminais podem ser exigidos após a contratação, sem custo para o trabalhador. A vaga exige que o candidato seja qualificado, esteja pronto, disposto, apto e disponível para desempenhar as funções durante todo o período de emprego em todos os locais de trabalho designados; e para seguir as normas do local de trabalho. Número de horas por semana: 40 Horário de trabalho (início/término): 9h às 17h</v>
      </c>
    </row>
    <row r="1240" ht="20.25" customHeight="1">
      <c r="A1240" s="3" t="s">
        <v>5513</v>
      </c>
      <c r="B1240" s="3" t="s">
        <v>5514</v>
      </c>
      <c r="C1240" s="3" t="s">
        <v>4241</v>
      </c>
      <c r="D1240" s="3" t="s">
        <v>71</v>
      </c>
      <c r="E1240" s="4" t="s">
        <v>19</v>
      </c>
      <c r="F1240" s="4" t="s">
        <v>20</v>
      </c>
      <c r="G1240" s="4" t="s">
        <v>524</v>
      </c>
      <c r="H1240" s="3" t="s">
        <v>5515</v>
      </c>
      <c r="I1240" s="3" t="s">
        <v>5516</v>
      </c>
      <c r="J1240" s="4">
        <v>18.95</v>
      </c>
      <c r="K1240" s="4">
        <v>46.0</v>
      </c>
      <c r="L1240" s="3" t="s">
        <v>1206</v>
      </c>
      <c r="M1240" s="3" t="s">
        <v>5517</v>
      </c>
      <c r="N1240" s="7" t="str">
        <f>IFERROR(__xludf.DUMMYFUNCTION("GOOGLETRANSLATE(L1240, ""en"", ""pt"")"),"Servidor")</f>
        <v>Servidor</v>
      </c>
      <c r="O1240" s="7" t="str">
        <f>IFERROR(__xludf.DUMMYFUNCTION("IF(M1240="""","""",GOOGLETRANSLATE(M1240,""en"",""pt""))"),"Os garçons serão responsáveis ​​por recepcionar os clientes tanto em restaurantes tradicionais com serviço de mesa quanto em estabelecimentos de atendimento rápido, anotar e registrar pedidos, transportar bandejas e pratos, servir alimentos e bebidas para"&amp;" clientes sentados e que chegam sem reserva, limpar e retirar os produtos das mesas, e preparar e servir café, expresso e bebidas especiais de acordo com as receitas padronizadas. Os garçons podem precisar ocasionalmente levantar e/ou mover até 23 kg. Hor"&amp;"ário: 40 horas semanais. A escala de trabalho pode variar e incluir turnos noturnos, fins de semana e feriados. O trabalho pode ser realizado em qualquer dia da semana, de segunda a domingo. Exemplos de turnos: 6h às 14h, 8h às 16h, 14h às 22h ou 15h às 2"&amp;"3h. Os horários dos turnos podem variar. Consulte a descrição da vaga em anexo para obter mais informações. Classificação da Função: 35-3031.00 - Garçons e Garçonetes. A classificação e descrição da função/setor inclui informações gerais sobre o cargo, de"&amp;" acordo com o ONET/OES e o Sistema de Classificação Industrial da América do Norte. Consulte as Funções e a Ordem de Serviço para obter mais informações. Requisitos da Função Experiência Necessária: Sim Meses de Experiência Necessários: 3 Requisitos Espec"&amp;"iais: O contratante considerará para emprego qualquer pessoa que possua pelo menos três (3) meses de experiência em um ambiente de alta gastronomia ou de grande movimento em um restaurante sofisticado, resort ou clube privado. Número de Horas por Semana: "&amp;"40 Horário de Trabalho (Início/Término): 6h00 - 14h00")</f>
        <v>Os garçons serão responsáveis ​​por recepcionar os clientes tanto em restaurantes tradicionais com serviço de mesa quanto em estabelecimentos de atendimento rápido, anotar e registrar pedidos, transportar bandejas e pratos, servir alimentos e bebidas para clientes sentados e que chegam sem reserva, limpar e retirar os produtos das mesas, e preparar e servir café, expresso e bebidas especiais de acordo com as receitas padronizadas. Os garçons podem precisar ocasionalmente levantar e/ou mover até 23 kg. Horário: 40 horas semanais. A escala de trabalho pode variar e incluir turnos noturnos, fins de semana e feriados. O trabalho pode ser realizado em qualquer dia da semana, de segunda a domingo. Exemplos de turnos: 6h às 14h, 8h às 16h, 14h às 22h ou 15h às 23h. Os horários dos turnos podem variar. Consulte a descrição da vaga em anexo para obter mais informações. Classificação da Função: 35-3031.00 - Garçons e Garçonetes. A classificação e descrição da função/setor inclui informações gerais sobre o cargo, de acordo com o ONET/OES e o Sistema de Classificação Industrial da América do Norte. Consulte as Funções e a Ordem de Serviço para obter mais informações. Requisitos da Função Experiência Necessária: Sim Meses de Experiência Necessários: 3 Requisitos Especiais: O contratante considerará para emprego qualquer pessoa que possua pelo menos três (3) meses de experiência em um ambiente de alta gastronomia ou de grande movimento em um restaurante sofisticado, resort ou clube privado. Número de Horas por Semana: 40 Horário de Trabalho (Início/Término): 6h00 - 14h00</v>
      </c>
    </row>
    <row r="1241" ht="20.25" customHeight="1">
      <c r="A1241" s="8" t="s">
        <v>5518</v>
      </c>
      <c r="B1241" s="8" t="s">
        <v>5514</v>
      </c>
      <c r="C1241" s="8" t="s">
        <v>4241</v>
      </c>
      <c r="D1241" s="8" t="s">
        <v>71</v>
      </c>
      <c r="E1241" s="9" t="s">
        <v>19</v>
      </c>
      <c r="F1241" s="9" t="s">
        <v>20</v>
      </c>
      <c r="G1241" s="9" t="s">
        <v>524</v>
      </c>
      <c r="H1241" s="8" t="s">
        <v>5515</v>
      </c>
      <c r="I1241" s="8" t="s">
        <v>5516</v>
      </c>
      <c r="J1241" s="9">
        <v>18.44</v>
      </c>
      <c r="K1241" s="9">
        <v>18.0</v>
      </c>
      <c r="L1241" s="8" t="s">
        <v>5135</v>
      </c>
      <c r="M1241" s="8" t="s">
        <v>5519</v>
      </c>
      <c r="N1241" s="7" t="str">
        <f>IFERROR(__xludf.DUMMYFUNCTION("GOOGLETRANSLATE(L1241, ""en"", ""pt"")"),"Assistente de Garçom")</f>
        <v>Assistente de Garçom</v>
      </c>
      <c r="O1241" s="7" t="str">
        <f>IFERROR(__xludf.DUMMYFUNCTION("IF(M1241="""","""",GOOGLETRANSLATE(M1241,""en"",""pt""))"),"Os Auxiliares de Garçom serão responsáveis ​​por arrumar as mesas, auxiliar os Garçons entregando bandejas e pratos aos clientes, montar e desmontar buffets (incluindo organizar mesas, cadeiras e estações de buffet de acordo com a planta do salão e arruma"&amp;"r as mesas), limpar e retirar os pratos das mesas, servir água e café aos clientes e varrer e aspirar o chão. Os Auxiliares de Garçom podem precisar ocasionalmente levantar e/ou mover até 23 kg. Horário: 40 horas semanais. O horário de trabalho pode varia"&amp;"r e incluir turnos noturnos, fins de semana e feriados. O trabalho pode ser realizado em qualquer dia da semana, de segunda a domingo. Exemplos de turnos: 6h às 14h, 8h às 16h, 14h às 22h ou 15h às 23h. Os horários dos turnos podem variar. Consulte a desc"&amp;"rição do cargo em anexo para obter mais informações. Classificação da Função: 53-7062.00 - Operários e Movimentadores de Carga, Estoque e Materiais. A classificação e descrição da função/setor inclui informações gerais sobre o cargo, de acordo com o ONET/"&amp;"OES e o Sistema de Classificação Industrial da América do Norte (NAICS). Consulte as Funções e a Ordem de Serviço para obter mais informações. Requisitos da Função Experiência Necessária: Sim Meses de Experiência Necessários: 3 Requisitos Especiais: O con"&amp;"tratante considerará para emprego qualquer pessoa que possua pelo menos três (3) meses de experiência em um ambiente de alta gastronomia ou de grande movimento em um restaurante de luxo, resort, hotel ou clube privado. Número de Horas por Semana: 40 Horár"&amp;"io de Trabalho (Início/Término): 6h00 - 14h00")</f>
        <v>Os Auxiliares de Garçom serão responsáveis ​​por arrumar as mesas, auxiliar os Garçons entregando bandejas e pratos aos clientes, montar e desmontar buffets (incluindo organizar mesas, cadeiras e estações de buffet de acordo com a planta do salão e arrumar as mesas), limpar e retirar os pratos das mesas, servir água e café aos clientes e varrer e aspirar o chão. Os Auxiliares de Garçom podem precisar ocasionalmente levantar e/ou mover até 23 kg. Horário: 40 horas semanais. O horário de trabalho pode variar e incluir turnos noturnos, fins de semana e feriados. O trabalho pode ser realizado em qualquer dia da semana, de segunda a domingo. Exemplos de turnos: 6h às 14h, 8h às 16h, 14h às 22h ou 15h às 23h. Os horários dos turnos podem variar. Consulte a descrição do cargo em anexo para obter mais informações. Classificação da Função: 53-7062.00 - Operários e Movimentadores de Carga, Estoque e Materiais. A classificação e descrição da função/setor inclui informações gerais sobre o cargo, de acordo com o ONET/OES e o Sistema de Classificação Industrial da América do Norte (NAICS). Consulte as Funções e a Ordem de Serviço para obter mais informações. Requisitos da Função Experiência Necessária: Sim Meses de Experiência Necessários: 3 Requisitos Especiais: O contratante considerará para emprego qualquer pessoa que possua pelo menos três (3) meses de experiência em um ambiente de alta gastronomia ou de grande movimento em um restaurante de luxo, resort, hotel ou clube privado. Número de Horas por Semana: 40 Horário de Trabalho (Início/Término): 6h00 - 14h00</v>
      </c>
    </row>
    <row r="1242" ht="20.25" customHeight="1">
      <c r="A1242" s="3" t="s">
        <v>5520</v>
      </c>
      <c r="B1242" s="3" t="s">
        <v>5521</v>
      </c>
      <c r="C1242" s="3" t="s">
        <v>4241</v>
      </c>
      <c r="D1242" s="3" t="s">
        <v>71</v>
      </c>
      <c r="E1242" s="4" t="s">
        <v>19</v>
      </c>
      <c r="F1242" s="4" t="s">
        <v>20</v>
      </c>
      <c r="G1242" s="4" t="s">
        <v>524</v>
      </c>
      <c r="H1242" s="3" t="s">
        <v>5515</v>
      </c>
      <c r="I1242" s="3" t="s">
        <v>5516</v>
      </c>
      <c r="J1242" s="4">
        <v>16.95</v>
      </c>
      <c r="K1242" s="4">
        <v>2.0</v>
      </c>
      <c r="L1242" s="3" t="s">
        <v>5522</v>
      </c>
      <c r="M1242" s="3" t="s">
        <v>5523</v>
      </c>
      <c r="N1242" s="7" t="str">
        <f>IFERROR(__xludf.DUMMYFUNCTION("GOOGLETRANSLATE(L1242, ""en"", ""pt"")"),"Salva-vidas/Atendente de Recreação")</f>
        <v>Salva-vidas/Atendente de Recreação</v>
      </c>
      <c r="O1242" s="7" t="str">
        <f>IFERROR(__xludf.DUMMYFUNCTION("IF(M1242="""","""",GOOGLETRANSLATE(M1242,""en"",""pt""))"),"Os salva-vidas/monitores de recreação serão responsáveis ​​por monitorar a atividade na piscina e a área ao redor, mantendo-se constantemente atentos aos hóspedes e a possíveis riscos, mantendo os equipamentos, móveis, guarda-sóis e áreas da piscina limpo"&amp;"s, organizados e seguros, lavando as áreas da piscina com mangueira, removendo detritos da água e das áreas da piscina, mantendo as boias e equipamentos da piscina organizados, gerenciando as toalhas de piscina, incluindo a retirada das toalhas sujas da l"&amp;"avanderia, a reposição de toalhas limpas e mantendo-as dobradas e empilhadas corretamente. Os salva-vidas/monitores de recreação também serão responsáveis ​​por agir com senso de urgência em situações de emergência, coordenando-se efetivamente com outros "&amp;"salva-vidas e com a equipe da área da piscina, comunicando-se claramente com os hóspedes e membros da equipe e prestando muita atenção à segurança e às necessidades dos hóspedes. Os salva-vidas/monitores de recreação devem ser capazes de levantar, empurra"&amp;"r ou puxar mais de 70 kg, ser capazes de permanecer sentados ao ar livre por longos períodos em diversas condições climáticas, mantendo-se alertas, e ter proficiência em natação. Devem ser capazes de obter todas as certificações de salva-vidas exigidas. H"&amp;"orário: 40 horas por semana. O horário de trabalho pode variar e incluir turnos noturnos, fins de semana e feriados. O trabalho pode ser realizado em qualquer dia da semana, de segunda a domingo. Exemplos de turnos: 6h às 14h, 8h às 16h, 14h às 22h ou 15h"&amp;" às 23h. Os horários dos turnos podem variar. Consulte a descrição do cargo em anexo para obter mais informações. Classificação do Cargo: 33-9092.00 - Salva-vidas, Patrulheiros de Esqui e Outros Trabalhadores de Serviços de Proteção Recreativa. A classifi"&amp;"cação e a descrição do cargo/setor incluem informações gerais sobre a posição, de acordo com o ONET/OES e o Sistema de Classificação Industrial da América do Norte (NAICS). Consulte as Funções e a Ordem de Serviço para obter mais informações. Requisitos d"&amp;"o Cargo Experiência Necessária: Sim Meses de Experiência Necessários: 1 Requisitos Especiais: O contratante considerará para emprego qualquer pessoa que possua pelo menos um (1) mês de experiência como salva-vidas em um hotel, resort ou clube privado. O c"&amp;"andidato deve ser capaz de obter treinamento em RCP (Ressuscitação Cardiopulmonar) e Salvamento Aquático, além de certificação em Primeiros Socorros e Segurança Comunitária. O Shadow Wood Country Club fornecerá o treinamento necessário para a obtenção des"&amp;"sas certificações, às custas do empregador. Número de horas por semana: 40. Horário de trabalho (início/término): 6h às 14h.")</f>
        <v>Os salva-vidas/monitores de recreação serão responsáveis ​​por monitorar a atividade na piscina e a área ao redor, mantendo-se constantemente atentos aos hóspedes e a possíveis riscos, mantendo os equipamentos, móveis, guarda-sóis e áreas da piscina limpos, organizados e seguros, lavando as áreas da piscina com mangueira, removendo detritos da água e das áreas da piscina, mantendo as boias e equipamentos da piscina organizados, gerenciando as toalhas de piscina, incluindo a retirada das toalhas sujas da lavanderia, a reposição de toalhas limpas e mantendo-as dobradas e empilhadas corretamente. Os salva-vidas/monitores de recreação também serão responsáveis ​​por agir com senso de urgência em situações de emergência, coordenando-se efetivamente com outros salva-vidas e com a equipe da área da piscina, comunicando-se claramente com os hóspedes e membros da equipe e prestando muita atenção à segurança e às necessidades dos hóspedes. Os salva-vidas/monitores de recreação devem ser capazes de levantar, empurrar ou puxar mais de 70 kg, ser capazes de permanecer sentados ao ar livre por longos períodos em diversas condições climáticas, mantendo-se alertas, e ter proficiência em natação. Devem ser capazes de obter todas as certificações de salva-vidas exigidas. Horário: 40 horas por semana. O horário de trabalho pode variar e incluir turnos noturnos, fins de semana e feriados. O trabalho pode ser realizado em qualquer dia da semana, de segunda a domingo. Exemplos de turnos: 6h às 14h, 8h às 16h, 14h às 22h ou 15h às 23h. Os horários dos turnos podem variar. Consulte a descrição do cargo em anexo para obter mais informações. Classificação do Cargo: 33-9092.00 - Salva-vidas, Patrulheiros de Esqui e Outros Trabalhadores de Serviços de Proteção Recreativa. A classificação e a descrição do cargo/setor incluem informações gerais sobre a posição, de acordo com o ONET/OES e o Sistema de Classificação Industrial da América do Norte (NAICS). Consulte as Funções e a Ordem de Serviço para obter mais informações. Requisitos do Cargo Experiência Necessária: Sim Meses de Experiência Necessários: 1 Requisitos Especiais: O contratante considerará para emprego qualquer pessoa que possua pelo menos um (1) mês de experiência como salva-vidas em um hotel, resort ou clube privado. O candidato deve ser capaz de obter treinamento em RCP (Ressuscitação Cardiopulmonar) e Salvamento Aquático, além de certificação em Primeiros Socorros e Segurança Comunitária. O Shadow Wood Country Club fornecerá o treinamento necessário para a obtenção dessas certificações, às custas do empregador. Número de horas por semana: 40. Horário de trabalho (início/término): 6h às 14h.</v>
      </c>
    </row>
    <row r="1243" ht="20.25" customHeight="1">
      <c r="A1243" s="8" t="s">
        <v>5524</v>
      </c>
      <c r="B1243" s="8" t="s">
        <v>5521</v>
      </c>
      <c r="C1243" s="8" t="s">
        <v>4241</v>
      </c>
      <c r="D1243" s="8" t="s">
        <v>71</v>
      </c>
      <c r="E1243" s="9" t="s">
        <v>19</v>
      </c>
      <c r="F1243" s="9" t="s">
        <v>20</v>
      </c>
      <c r="G1243" s="9" t="s">
        <v>524</v>
      </c>
      <c r="H1243" s="8" t="s">
        <v>5515</v>
      </c>
      <c r="I1243" s="8" t="s">
        <v>5516</v>
      </c>
      <c r="J1243" s="9">
        <v>19.39</v>
      </c>
      <c r="K1243" s="9">
        <v>12.0</v>
      </c>
      <c r="L1243" s="8" t="s">
        <v>1684</v>
      </c>
      <c r="M1243" s="8" t="s">
        <v>5525</v>
      </c>
      <c r="N1243" s="7" t="str">
        <f>IFERROR(__xludf.DUMMYFUNCTION("GOOGLETRANSLATE(L1243, ""en"", ""pt"")"),"Barman")</f>
        <v>Barman</v>
      </c>
      <c r="O1243" s="7" t="str">
        <f>IFERROR(__xludf.DUMMYFUNCTION("IF(M1243="""","""",GOOGLETRANSLATE(M1243,""en"",""pt""))"),"Os bartenders serão responsáveis ​​por preparar e servir bebidas para sócios e convidados, anotar e registrar pedidos, servir alimentos e bebidas, limpar copos e equipamentos do bar e garantir que o bar e as áreas de trabalho estejam limpos e bem abasteci"&amp;"dos. Os bartenders podem precisar ocasionalmente levantar e/ou mover até 23 kg. Horário: 40 horas semanais. O horário de trabalho pode variar e incluir turnos noturnos, fins de semana e feriados. O trabalho pode ser realizado em qualquer dia da semana, de"&amp;" segunda a domingo. Exemplos de turnos: 6h às 14h, 8h às 16h, 14h às 22h ou 15h às 23h. Os horários dos turnos podem variar. Consulte a descrição do cargo em anexo para obter mais informações. Classificação do Cargo: 35-3011.00 - Bartenders. A classificaç"&amp;"ão e descrição do cargo/setor incluem informações gerais sobre a posição, de acordo com o ONET/OES e o Sistema de Classificação Industrial da América do Norte. Consulte as Funções e a Ordem de Serviço para obter mais informações. Requisitos da vaga Experi"&amp;"ência exigida: Sim Meses de experiência exigidos: 6 Requisitos especiais: O contratante considerará para emprego qualquer pessoa que possua pelo menos seis (6) meses de experiência em um ambiente de alta gastronomia ou de grande movimento em um restaurant"&amp;"e sofisticado, resort ou clube privado. Número de horas por semana: 40 Horário de trabalho (início/término): 6h às 14h")</f>
        <v>Os bartenders serão responsáveis ​​por preparar e servir bebidas para sócios e convidados, anotar e registrar pedidos, servir alimentos e bebidas, limpar copos e equipamentos do bar e garantir que o bar e as áreas de trabalho estejam limpos e bem abastecidos. Os bartenders podem precisar ocasionalmente levantar e/ou mover até 23 kg. Horário: 40 horas semanais. O horário de trabalho pode variar e incluir turnos noturnos, fins de semana e feriados. O trabalho pode ser realizado em qualquer dia da semana, de segunda a domingo. Exemplos de turnos: 6h às 14h, 8h às 16h, 14h às 22h ou 15h às 23h. Os horários dos turnos podem variar. Consulte a descrição do cargo em anexo para obter mais informações. Classificação do Cargo: 35-3011.00 - Bartenders. A classificação e descrição do cargo/setor incluem informações gerais sobre a posição, de acordo com o ONET/OES e o Sistema de Classificação Industrial da América do Norte. Consulte as Funções e a Ordem de Serviço para obter mais informações. Requisitos da vaga Experiência exigida: Sim Meses de experiência exigidos: 6 Requisitos especiais: O contratante considerará para emprego qualquer pessoa que possua pelo menos seis (6) meses de experiência em um ambiente de alta gastronomia ou de grande movimento em um restaurante sofisticado, resort ou clube privado. Número de horas por semana: 40 Horário de trabalho (início/término): 6h às 14h</v>
      </c>
    </row>
    <row r="1244" ht="20.25" customHeight="1">
      <c r="A1244" s="3" t="s">
        <v>5526</v>
      </c>
      <c r="B1244" s="3" t="s">
        <v>5357</v>
      </c>
      <c r="C1244" s="3" t="s">
        <v>4241</v>
      </c>
      <c r="D1244" s="3" t="s">
        <v>71</v>
      </c>
      <c r="E1244" s="4" t="s">
        <v>19</v>
      </c>
      <c r="F1244" s="4" t="s">
        <v>20</v>
      </c>
      <c r="G1244" s="4" t="s">
        <v>524</v>
      </c>
      <c r="H1244" s="3" t="s">
        <v>5358</v>
      </c>
      <c r="I1244" s="3" t="s">
        <v>5359</v>
      </c>
      <c r="J1244" s="4">
        <v>17.3</v>
      </c>
      <c r="K1244" s="4">
        <v>12.0</v>
      </c>
      <c r="L1244" s="3" t="s">
        <v>387</v>
      </c>
      <c r="M1244" s="3" t="s">
        <v>5527</v>
      </c>
      <c r="N1244" s="7" t="str">
        <f>IFERROR(__xludf.DUMMYFUNCTION("GOOGLETRANSLATE(L1244, ""en"", ""pt"")"),"Ordem de serviço não disponível")</f>
        <v>Ordem de serviço não disponível</v>
      </c>
      <c r="O1244" s="7" t="str">
        <f>IFERROR(__xludf.DUMMYFUNCTION("IF(M1244="""","""",GOOGLETRANSLATE(M1244,""en"",""pt""))"),"Os cozinheiros serão responsáveis ​​por preparar, temperar e cozinhar sopas, carnes, legumes, sobremesas e outros pratos em um restaurante. Horário: 40 horas semanais. O horário de trabalho pode variar e incluir turnos noturnos, fins de semana e feriados."&amp;" O trabalho pode ser realizado em qualquer dia da semana, de segunda a domingo. Exemplos de turnos: 7h às 15h, 10h às 18h ou 14h às 22h. Os horários dos turnos podem variar. Consulte a descrição da vaga para obter mais informações. Classificação da vaga: "&amp;"35-2014.00 - Cozinheiros, Restaurante. A classificação e a descrição da vaga/setor incluem informações gerais sobre o cargo, de acordo com o ONET/OES e o Sistema de Classificação Industrial da América do Norte (NAICS). Consulte as atribuições e a descriçã"&amp;"o da vaga para obter mais informações. Requisitos da Vaga Experiência Necessária: Sim Meses de Experiência Necessários: 6 Requisitos Especiais: O contratante considerará para emprego qualquer candidato que possua pelo menos seis (6) meses de experiência c"&amp;"ulinária em um ambiente de alta gastronomia ou de grande movimento em um restaurante sofisticado, resort ou clube privado. O candidato deverá se submeter à verificação de antecedentes e ao exame toxicológico pré-admissional, às custas do empregador. Númer"&amp;"o de Horas por Semana: 40 Horário de Trabalho (Início/Término): 7h00 - 15h00")</f>
        <v>Os cozinheiros serão responsáveis ​​por preparar, temperar e cozinhar sopas, carnes, legumes, sobremesas e outros pratos em um restaurante. Horário: 40 horas semanais. O horário de trabalho pode variar e incluir turnos noturnos, fins de semana e feriados. O trabalho pode ser realizado em qualquer dia da semana, de segunda a domingo. Exemplos de turnos: 7h às 15h, 10h às 18h ou 14h às 22h. Os horários dos turnos podem variar. Consulte a descrição da vaga para obter mais informações. Classificação da vaga: 35-2014.00 - Cozinheiros, Restaurante. A classificação e a descrição da vaga/setor incluem informações gerais sobre o cargo, de acordo com o ONET/OES e o Sistema de Classificação Industrial da América do Norte (NAICS). Consulte as atribuições e a descrição da vaga para obter mais informações. Requisitos da Vaga Experiência Necessária: Sim Meses de Experiência Necessários: 6 Requisitos Especiais: O contratante considerará para emprego qualquer candidato que possua pelo menos seis (6) meses de experiência culinária em um ambiente de alta gastronomia ou de grande movimento em um restaurante sofisticado, resort ou clube privado. O candidato deverá se submeter à verificação de antecedentes e ao exame toxicológico pré-admissional, às custas do empregador. Número de Horas por Semana: 40 Horário de Trabalho (Início/Término): 7h00 - 15h00</v>
      </c>
    </row>
    <row r="1245" ht="20.25" customHeight="1">
      <c r="A1245" s="8" t="s">
        <v>5528</v>
      </c>
      <c r="B1245" s="8" t="s">
        <v>5357</v>
      </c>
      <c r="C1245" s="8" t="s">
        <v>4241</v>
      </c>
      <c r="D1245" s="8" t="s">
        <v>71</v>
      </c>
      <c r="E1245" s="9" t="s">
        <v>19</v>
      </c>
      <c r="F1245" s="9" t="s">
        <v>20</v>
      </c>
      <c r="G1245" s="9" t="s">
        <v>524</v>
      </c>
      <c r="H1245" s="8" t="s">
        <v>5358</v>
      </c>
      <c r="I1245" s="8" t="s">
        <v>5359</v>
      </c>
      <c r="J1245" s="9">
        <v>22.56</v>
      </c>
      <c r="K1245" s="9">
        <v>5.0</v>
      </c>
      <c r="L1245" s="8" t="s">
        <v>5529</v>
      </c>
      <c r="M1245" s="8" t="s">
        <v>5530</v>
      </c>
      <c r="N1245" s="7" t="str">
        <f>IFERROR(__xludf.DUMMYFUNCTION("GOOGLETRANSLATE(L1245, ""en"", ""pt"")"),"Capitão da Sala de Jantar")</f>
        <v>Capitão da Sala de Jantar</v>
      </c>
      <c r="O1245" s="7" t="str">
        <f>IFERROR(__xludf.DUMMYFUNCTION("IF(M1245="""","""",GOOGLETRANSLATE(M1245,""en"",""pt""))"),"Os Capitães de Salão serão responsáveis ​​por recepcionar os clientes, preparar as áreas de refeição, inspecionar e manter as roupas de mesa e utensílios de serviço, inspecionar o salão, gerenciar o sistema de reservas e a lista de espera (se aplicável), "&amp;"atender solicitações ou problemas de serviço, anotar e registrar os pedidos dos clientes, servir alimentos e bebidas e limpar e desocupar as mesas conforme necessário. Os Capitães de Salão também serão responsáveis ​​por orientar a equipe de serviço, atri"&amp;"buindo tarefas, supervisionando a execução das atividades diárias e liderando reuniões de equipe, monitorando a qualidade do serviço e fornecendo orientações quando necessário, garantindo que os funcionários sigam os padrões de serviço e segurança, auxili"&amp;"ando no treinamento e apoiando o desenvolvimento da equipe e lidando com as responsabilidades administrativas e de comunicação relacionadas à supervisão da equipe e às operações diárias do restaurante, incluindo a preparação dos documentos operacionais ne"&amp;"cessários e o preenchimento dos relatórios de fim de turno. Podem supervisionar até trinta e cinco (35) funcionários, incluindo Garçons, Auxiliares de Mesa e Entregadores de Comida. Os Capitães de Salão podem precisar levantar e carregar até 23 kg. Horári"&amp;"o: 40 horas semanais. A escala de trabalho pode variar e incluir noites, fins de semana e feriados. O trabalho pode ser realizado em qualquer dia da semana, de segunda a domingo. Exemplos de turnos: 8h às 16h, 10h às 18h ou 14h às 22h. Os horários dos tur"&amp;"nos podem variar. Consulte a descrição da vaga para obter mais informações. Classificação da vaga: 35-1012.00 - Supervisores de Primeira Linha de Preparadores e Atendentes de Alimentos. A classificação e a descrição da vaga/setor incluem informações gerai"&amp;"s sobre o cargo, de acordo com o ONET/OES e o Sistema de Classificação Industrial da América do Norte (NAICS). Consulte as Funções e a Ordem de Serviço para obter mais informações. Requisitos da vaga: Experiência exigida: Sim. Meses de experiência exigido"&amp;"s: 6. Requisitos especiais: O contratante considerará para emprego qualquer candidato que possua pelo menos seis (6) meses de experiência em atendimento em um ambiente de alta gastronomia ou de grande movimento, em um restaurante sofisticado, resort ou cl"&amp;"ube privado. O candidato deverá se submeter à verificação de antecedentes e ao exame toxicológico pré-admissional, às custas do empregador. Número de horas por semana: 40 Horário de trabalho (início/término): 8h00 - 16h00")</f>
        <v>Os Capitães de Salão serão responsáveis ​​por recepcionar os clientes, preparar as áreas de refeição, inspecionar e manter as roupas de mesa e utensílios de serviço, inspecionar o salão, gerenciar o sistema de reservas e a lista de espera (se aplicável), atender solicitações ou problemas de serviço, anotar e registrar os pedidos dos clientes, servir alimentos e bebidas e limpar e desocupar as mesas conforme necessário. Os Capitães de Salão também serão responsáveis ​​por orientar a equipe de serviço, atribuindo tarefas, supervisionando a execução das atividades diárias e liderando reuniões de equipe, monitorando a qualidade do serviço e fornecendo orientações quando necessário, garantindo que os funcionários sigam os padrões de serviço e segurança, auxiliando no treinamento e apoiando o desenvolvimento da equipe e lidando com as responsabilidades administrativas e de comunicação relacionadas à supervisão da equipe e às operações diárias do restaurante, incluindo a preparação dos documentos operacionais necessários e o preenchimento dos relatórios de fim de turno. Podem supervisionar até trinta e cinco (35) funcionários, incluindo Garçons, Auxiliares de Mesa e Entregadores de Comida. Os Capitães de Salão podem precisar levantar e carregar até 23 kg. Horário: 40 horas semanais. A escala de trabalho pode variar e incluir noites, fins de semana e feriados. O trabalho pode ser realizado em qualquer dia da semana, de segunda a domingo. Exemplos de turnos: 8h às 16h, 10h às 18h ou 14h às 22h. Os horários dos turnos podem variar. Consulte a descrição da vaga para obter mais informações. Classificação da vaga: 35-1012.00 - Supervisores de Primeira Linha de Preparadores e Atendentes de Alimentos. A classificação e a descrição da vaga/setor incluem informações gerais sobre o cargo, de acordo com o ONET/OES e o Sistema de Classificação Industrial da América do Norte (NAICS). Consulte as Funções e a Ordem de Serviço para obter mais informações. Requisitos da vaga: Experiência exigida: Sim. Meses de experiência exigidos: 6. Requisitos especiais: O contratante considerará para emprego qualquer candidato que possua pelo menos seis (6) meses de experiência em atendimento em um ambiente de alta gastronomia ou de grande movimento, em um restaurante sofisticado, resort ou clube privado. O candidato deverá se submeter à verificação de antecedentes e ao exame toxicológico pré-admissional, às custas do empregador. Número de horas por semana: 40 Horário de trabalho (início/término): 8h00 - 16h00</v>
      </c>
    </row>
    <row r="1246" ht="20.25" customHeight="1">
      <c r="A1246" s="3" t="s">
        <v>5531</v>
      </c>
      <c r="B1246" s="3" t="s">
        <v>5357</v>
      </c>
      <c r="C1246" s="3" t="s">
        <v>4241</v>
      </c>
      <c r="D1246" s="3" t="s">
        <v>71</v>
      </c>
      <c r="E1246" s="4" t="s">
        <v>44</v>
      </c>
      <c r="F1246" s="4" t="s">
        <v>20</v>
      </c>
      <c r="G1246" s="4" t="s">
        <v>524</v>
      </c>
      <c r="H1246" s="3" t="s">
        <v>5358</v>
      </c>
      <c r="I1246" s="3" t="s">
        <v>5359</v>
      </c>
      <c r="J1246" s="4">
        <v>16.29</v>
      </c>
      <c r="K1246" s="4">
        <v>4.0</v>
      </c>
      <c r="L1246" s="3" t="s">
        <v>5532</v>
      </c>
      <c r="M1246" s="3" t="s">
        <v>5533</v>
      </c>
      <c r="N1246" s="7" t="str">
        <f>IFERROR(__xludf.DUMMYFUNCTION("GOOGLETRANSLATE(L1246, ""en"", ""pt"")"),"Concierge de Serviços para Membros")</f>
        <v>Concierge de Serviços para Membros</v>
      </c>
      <c r="O1246" s="7" t="str">
        <f>IFERROR(__xludf.DUMMYFUNCTION("IF(M1246="""","""",GOOGLETRANSLATE(M1246,""en"",""pt""))"),"***Resposta à Solicitação de Informações*** O trabalho será realizado na recepção de membros dentro do Clube. Os Concierges de Serviços aos Membros também acomodarão membros e convidados no salão de jantar do Clube. ""Auxiliar com reservas"" consiste em a"&amp;"ceitar, confirmar e modificar reservas feitas para jantares, eventos sociais, tênis e croquet. ***Original*** Os Concierges de Serviços aos Membros serão responsáveis ​​por recepcionar e acolher os convidados, auxiliar com reservas, acomodar os membros, o"&amp;"perar o telefone de maneira educada e amigável e monitorar reservas, ligações telefônicas e eventos futuros do clube para informar os membros e a equipe. Os Concierges de Serviços aos Membros podem precisar levantar e carregar até 18 kg. Horário: 40 horas"&amp;" por semana. O horário de trabalho pode variar e incluir noites, fins de semana e feriados. O trabalho pode ser realizado em qualquer dia da semana, de segunda a domingo. Exemplos de turnos: 9h às 17h, 10h às 18h ou 14h às 22h. Os horários dos turnos pode"&amp;"m variar. Consulte a descrição da vaga para obter informações adicionais. Classificação da vaga: 35-9031.00 - Recepcionistas, Restaurante, Lounge e Cafeteria. A classificação e descrição da vaga/setor incluem informações gerais sobre o cargo, de acordo co"&amp;"m o ONET/OES e o Sistema de Classificação Industrial da América do Norte (NAICS). Consulte as atribuições e a ordem de serviço para obter mais informações. Requisitos da vaga: Experiência exigida: Sim. Meses de experiência exigidos: 6. Requisitos especiai"&amp;"s: O contratante considerará para emprego qualquer candidato que possua pelo menos seis (6) meses de experiência em atendimento ao cliente em um hotel de alto padrão, resort ou clube privado. O candidato deverá se submeter à verificação de antecedentes e "&amp;"ao exame toxicológico pré-admissional, às custas do empregador. Número de horas por semana: 40. Horário de trabalho (início/término): 9h às 17h.")</f>
        <v>***Resposta à Solicitação de Informações*** O trabalho será realizado na recepção de membros dentro do Clube. Os Concierges de Serviços aos Membros também acomodarão membros e convidados no salão de jantar do Clube. "Auxiliar com reservas" consiste em aceitar, confirmar e modificar reservas feitas para jantares, eventos sociais, tênis e croquet. ***Original*** Os Concierges de Serviços aos Membros serão responsáveis ​​por recepcionar e acolher os convidados, auxiliar com reservas, acomodar os membros, operar o telefone de maneira educada e amigável e monitorar reservas, ligações telefônicas e eventos futuros do clube para informar os membros e a equipe. Os Concierges de Serviços aos Membros podem precisar levantar e carregar até 18 kg. Horário: 40 horas por semana. O horário de trabalho pode variar e incluir noites, fins de semana e feriados. O trabalho pode ser realizado em qualquer dia da semana, de segunda a domingo. Exemplos de turnos: 9h às 17h, 10h às 18h ou 14h às 22h. Os horários dos turnos podem variar. Consulte a descrição da vaga para obter informações adicionais. Classificação da vaga: 35-9031.00 - Recepcionistas, Restaurante, Lounge e Cafeteria. A classificação e descrição da vaga/setor incluem informações gerais sobre o cargo, de acordo com o ONET/OES e o Sistema de Classificação Industrial da América do Norte (NAICS). Consulte as atribuições e a ordem de serviço para obter mais informações. Requisitos da vaga: Experiência exigida: Sim. Meses de experiência exigidos: 6. Requisitos especiais: O contratante considerará para emprego qualquer candidato que possua pelo menos seis (6) meses de experiência em atendimento ao cliente em um hotel de alto padrão, resort ou clube privado. O candidato deverá se submeter à verificação de antecedentes e ao exame toxicológico pré-admissional, às custas do empregador. Número de horas por semana: 40. Horário de trabalho (início/término): 9h às 17h.</v>
      </c>
    </row>
    <row r="1247" ht="20.25" customHeight="1">
      <c r="A1247" s="8" t="s">
        <v>5534</v>
      </c>
      <c r="B1247" s="8" t="s">
        <v>5535</v>
      </c>
      <c r="C1247" s="8" t="s">
        <v>4241</v>
      </c>
      <c r="D1247" s="8" t="s">
        <v>71</v>
      </c>
      <c r="E1247" s="9" t="s">
        <v>19</v>
      </c>
      <c r="F1247" s="9" t="s">
        <v>20</v>
      </c>
      <c r="G1247" s="9" t="s">
        <v>1662</v>
      </c>
      <c r="H1247" s="8" t="s">
        <v>5536</v>
      </c>
      <c r="I1247" s="8" t="s">
        <v>5537</v>
      </c>
      <c r="J1247" s="9">
        <v>21.0</v>
      </c>
      <c r="K1247" s="9">
        <v>6.0</v>
      </c>
      <c r="L1247" s="8" t="s">
        <v>387</v>
      </c>
      <c r="M1247" s="8" t="s">
        <v>5538</v>
      </c>
      <c r="N1247" s="7" t="str">
        <f>IFERROR(__xludf.DUMMYFUNCTION("GOOGLETRANSLATE(L1247, ""en"", ""pt"")"),"Ordem de serviço não disponível")</f>
        <v>Ordem de serviço não disponível</v>
      </c>
      <c r="O1247" s="7" t="str">
        <f>IFERROR(__xludf.DUMMYFUNCTION("IF(M1247="""","""",GOOGLETRANSLATE(M1247,""en"",""pt""))"),"Os cozinheiros serão responsáveis ​​por preparar, temperar e cozinhar sopas, carnes, legumes, sobremesas e outros pratos em um restaurante, além de lavar a louça e todos os utensílios de cozinha, manualmente ou à máquina, e manter as áreas de trabalho e o"&amp;"s equipamentos da cozinha limpos. Horário: 35 horas semanais. O horário de trabalho pode variar e incluir turnos noturnos, fins de semana e feriados. O trabalho pode ser realizado em qualquer dia da semana, de segunda a domingo. Exemplos de turnos: 10h às"&amp;" 17h ou 14h às 21h. Os horários dos turnos podem variar. Consulte a descrição do cargo em anexo para obter mais informações. Classificação do Cargo: 35-2014.00 - Cozinheiros, Restaurante. A classificação e a descrição do cargo/setor incluem informações ge"&amp;"rais sobre a posição, de acordo com o ONET/OES e o Sistema de Classificação Industrial da América do Norte (NAICS). Consulte as Funções e a Ordem de Serviço para obter mais informações. Requisitos da vaga Experiência necessária: Sim Meses de experiência n"&amp;"ecessários: 12 Requisitos especiais: O contratante considerará para emprego qualquer pessoa que possua pelo menos um (1) ano de experiência culinária em um ambiente de alta gastronomia ou de grande movimento em um restaurante sofisticado, resort ou clube "&amp;"privado. O candidato deverá se submeter à verificação de antecedentes e ao exame toxicológico pré-admissional, às custas do empregador. Número de horas por semana: 35 Horário de trabalho (início/término): 10h às 17h")</f>
        <v>Os cozinheiros serão responsáveis ​​por preparar, temperar e cozinhar sopas, carnes, legumes, sobremesas e outros pratos em um restaurante, além de lavar a louça e todos os utensílios de cozinha, manualmente ou à máquina, e manter as áreas de trabalho e os equipamentos da cozinha limpos. Horário: 35 horas semanais. O horário de trabalho pode variar e incluir turnos noturnos, fins de semana e feriados. O trabalho pode ser realizado em qualquer dia da semana, de segunda a domingo. Exemplos de turnos: 10h às 17h ou 14h às 21h. Os horários dos turnos podem variar. Consulte a descrição do cargo em anexo para obter mais informações. Classificação do Cargo: 35-2014.00 - Cozinheiros, Restaurante. A classificação e a descrição do cargo/setor incluem informações gerais sobre a posição, de acordo com o ONET/OES e o Sistema de Classificação Industrial da América do Norte (NAICS). Consulte as Funções e a Ordem de Serviço para obter mais informações. Requisitos da vaga Experiência necessária: Sim Meses de experiência necessários: 12 Requisitos especiais: O contratante considerará para emprego qualquer pessoa que possua pelo menos um (1) ano de experiência culinária em um ambiente de alta gastronomia ou de grande movimento em um restaurante sofisticado, resort ou clube privado. O candidato deverá se submeter à verificação de antecedentes e ao exame toxicológico pré-admissional, às custas do empregador. Número de horas por semana: 35 Horário de trabalho (início/término): 10h às 17h</v>
      </c>
    </row>
    <row r="1248" ht="20.25" customHeight="1">
      <c r="A1248" s="3" t="s">
        <v>5539</v>
      </c>
      <c r="B1248" s="3" t="s">
        <v>5535</v>
      </c>
      <c r="C1248" s="3" t="s">
        <v>4241</v>
      </c>
      <c r="D1248" s="3" t="s">
        <v>71</v>
      </c>
      <c r="E1248" s="4" t="s">
        <v>19</v>
      </c>
      <c r="F1248" s="4" t="s">
        <v>20</v>
      </c>
      <c r="G1248" s="4" t="s">
        <v>1662</v>
      </c>
      <c r="H1248" s="3" t="s">
        <v>5540</v>
      </c>
      <c r="I1248" s="3" t="s">
        <v>5537</v>
      </c>
      <c r="J1248" s="4">
        <v>22.5</v>
      </c>
      <c r="K1248" s="4">
        <v>8.0</v>
      </c>
      <c r="L1248" s="3" t="s">
        <v>1206</v>
      </c>
      <c r="M1248" s="3" t="s">
        <v>5541</v>
      </c>
      <c r="N1248" s="7" t="str">
        <f>IFERROR(__xludf.DUMMYFUNCTION("GOOGLETRANSLATE(L1248, ""en"", ""pt"")"),"Servidor")</f>
        <v>Servidor</v>
      </c>
      <c r="O1248" s="7" t="str">
        <f>IFERROR(__xludf.DUMMYFUNCTION("IF(M1248="""","""",GOOGLETRANSLATE(M1248,""en"",""pt""))"),"***Resposta à Solicitação de Informações*** Os garçons prepararão e servirão bebidas alcoólicas e não alcoólicas no mesmo turno. Os funcionários nesta função realizarão ambas as tarefas com frequência. ""Montagem e desmontagem de eventos"" - isso consiste"&amp;" em preparar mesas, cadeiras e o salão para eventos. Isso inclui, entre outras coisas, mover cadeiras e colocar talheres, centros de mesa e placas de identificação nas mesas. Não são necessárias ferramentas/equipamentos/materiais adicionais para realizar "&amp;"essas tarefas. ***Original F.a.2*** Os garçons serão responsáveis ​​por recepcionar os clientes, preparar as mesas no salão com utensílios como pratos, copos e talheres, anotar e registrar pedidos, transportar bandejas e pratos, servir alimentos e bebidas"&amp;", preparar e servir bebidas alcoólicas e não alcoólicas, limpar e retirar as mesas e o bar, preparar e desmontar eventos, garantir a satisfação dos clientes durante o serviço de alimentação e relatar quaisquer problemas à gerência, se necessário, e abaste"&amp;"cer o bar conforme necessário. Horário: 35 horas por semana. O horário de trabalho pode variar e incluir noites, fins de semana e feriados. O trabalho pode ser realizado em qualquer dia da semana, de segunda a domingo. Exemplos de turnos: das 10h às 17h, "&amp;"das 15h às 22h ou das 16h às 23h. Os horários dos turnos podem variar. Consulte a descrição do cargo em anexo para obter mais informações. Classificação do Cargo: 35-3011.00 - Bartenders. A classificação e a descrição do cargo/setor incluem informações ge"&amp;"rais sobre a posição, de acordo com o ONET/OES e o Sistema de Classificação Industrial da América do Norte (NAICS). Consulte as Funções e a Ordem de Serviço para obter mais informações. Requisitos do Cargo: Experiência Necessária: Sim. Meses de Experiênci"&amp;"a Necessários: 12. Requisitos Especiais: O contratante considerará para emprego qualquer pessoa que possua pelo menos um (1) ano de experiência em atendimento em um ambiente de alta gastronomia ou de grande movimento, em um restaurante sofisticado, resort"&amp;" ou clube privado. O candidato deverá se submeter à verificação de antecedentes e ao exame toxicológico pré-admissional, às custas do empregador. Número de horas por semana: 35 Horário de trabalho (início/término): 10:00 - 17:00")</f>
        <v>***Resposta à Solicitação de Informações*** Os garçons prepararão e servirão bebidas alcoólicas e não alcoólicas no mesmo turno. Os funcionários nesta função realizarão ambas as tarefas com frequência. "Montagem e desmontagem de eventos" - isso consiste em preparar mesas, cadeiras e o salão para eventos. Isso inclui, entre outras coisas, mover cadeiras e colocar talheres, centros de mesa e placas de identificação nas mesas. Não são necessárias ferramentas/equipamentos/materiais adicionais para realizar essas tarefas. ***Original F.a.2*** Os garçons serão responsáveis ​​por recepcionar os clientes, preparar as mesas no salão com utensílios como pratos, copos e talheres, anotar e registrar pedidos, transportar bandejas e pratos, servir alimentos e bebidas, preparar e servir bebidas alcoólicas e não alcoólicas, limpar e retirar as mesas e o bar, preparar e desmontar eventos, garantir a satisfação dos clientes durante o serviço de alimentação e relatar quaisquer problemas à gerência, se necessário, e abastecer o bar conforme necessário. Horário: 35 horas por semana. O horário de trabalho pode variar e incluir noites, fins de semana e feriados. O trabalho pode ser realizado em qualquer dia da semana, de segunda a domingo. Exemplos de turnos: das 10h às 17h, das 15h às 22h ou das 16h às 23h. Os horários dos turnos podem variar. Consulte a descrição do cargo em anexo para obter mais informações. Classificação do Cargo: 35-3011.00 - Bartenders. A classificação e a descrição do cargo/setor incluem informações gerais sobre a posição, de acordo com o ONET/OES e o Sistema de Classificação Industrial da América do Norte (NAICS). Consulte as Funções e a Ordem de Serviço para obter mais informações. Requisitos do Cargo: Experiência Necessária: Sim. Meses de Experiência Necessários: 12. Requisitos Especiais: O contratante considerará para emprego qualquer pessoa que possua pelo menos um (1) ano de experiência em atendimento em um ambiente de alta gastronomia ou de grande movimento, em um restaurante sofisticado, resort ou clube privado. O candidato deverá se submeter à verificação de antecedentes e ao exame toxicológico pré-admissional, às custas do empregador. Número de horas por semana: 35 Horário de trabalho (início/término): 10:00 - 17:00</v>
      </c>
    </row>
    <row r="1249" ht="20.25" customHeight="1">
      <c r="A1249" s="8" t="s">
        <v>5542</v>
      </c>
      <c r="B1249" s="8" t="s">
        <v>5543</v>
      </c>
      <c r="C1249" s="8" t="s">
        <v>5466</v>
      </c>
      <c r="D1249" s="8" t="s">
        <v>28</v>
      </c>
      <c r="E1249" s="9" t="s">
        <v>44</v>
      </c>
      <c r="F1249" s="9" t="s">
        <v>20</v>
      </c>
      <c r="G1249" s="9" t="s">
        <v>377</v>
      </c>
      <c r="H1249" s="8" t="s">
        <v>5544</v>
      </c>
      <c r="I1249" s="8" t="s">
        <v>5545</v>
      </c>
      <c r="J1249" s="9">
        <v>27.97</v>
      </c>
      <c r="K1249" s="9">
        <v>3.0</v>
      </c>
      <c r="L1249" s="8" t="s">
        <v>406</v>
      </c>
      <c r="M1249" s="8" t="s">
        <v>5546</v>
      </c>
      <c r="N1249" s="7" t="str">
        <f>IFERROR(__xludf.DUMMYFUNCTION("GOOGLETRANSLATE(L1249, ""en"", ""pt"")"),"Trabalhador")</f>
        <v>Trabalhador</v>
      </c>
      <c r="O1249" s="7" t="str">
        <f>IFERROR(__xludf.DUMMYFUNCTION("IF(M1249="""","""",GOOGLETRANSLATE(M1249,""en"",""pt""))"),"***Resposta à Solicitação de Informações*** As vagas que estamos oferecendo exigem a execução das seguintes tarefas no trabalho. Os funcionários devem saber calibrar equipamentos de distribuição de fertilizantes para que os agricultores apliquem a quantid"&amp;"ade correta de fertilizante por hectare. Devem saber como reparar, trocar peças e consertar caixas de engrenagens nesses equipamentos. As funções também incluem a troca de rolamentos e vedações em todos os caminhões e aplicadores de fertilizantes. Trocar "&amp;"e/ou reparar bombas hidráulicas nos caminhões-tanque que entregam o fertilizante aos clientes. Saber usar maçarico de corte e máquina de solda para reparar todos os caminhões-tanque, distribuidores e vagões de fertilizantes pertencentes à cooperativa. As "&amp;"vagas também exigem a habilidade e o conhecimento para realizar a manutenção de motores em todos os equipamentos da cooperativa. As funções dos funcionários também incluem a troca de rolamentos, vedações e o ajuste de correias em transportadores de fertil"&amp;"izantes. ***Original*** Auxiliar os trabalhadores de instalação, manutenção e reparo na manutenção, substituição de peças e reparo de equipamentos industriais. Executar tarefas como fornecer ferramentas, materiais e suprimentos para outros trabalhadores, "&amp;"limpar a área de trabalho, máquinas e ferramentas e segurar materiais ou ferramentas para outros trabalhadores. Classificação da Função: 49-3041.00 - Mecânicos e Técnicos de Manutenção de Equipamentos Agrícolas. A classificação e descrição da função/setor"&amp;" inclui informações gerais sobre o cargo, de acordo com o ONET/OES e o Sistema de Classificação Industrial da América do Norte (NAICS). Consulte as Funções e a Ordem de Serviço para obter mais informações. Requisitos da Função Experiência Necessária: Sim "&amp;"Meses de Experiência Necessários: 3 Requisitos Especiais: O horário de trabalho é das 7h às 17h, de segunda a sexta-feira. Horas extras serão trabalhadas conforme necessário. Horas extras serão pagas após 40 horas semanais. Os funcionários terão até 1 hor"&amp;"a de intervalo para almoço não remunerado durante o expediente. Número de Horas por Semana: 40 Horário de Trabalho (Início/Término): 7h às 17h")</f>
        <v>***Resposta à Solicitação de Informações*** As vagas que estamos oferecendo exigem a execução das seguintes tarefas no trabalho. Os funcionários devem saber calibrar equipamentos de distribuição de fertilizantes para que os agricultores apliquem a quantidade correta de fertilizante por hectare. Devem saber como reparar, trocar peças e consertar caixas de engrenagens nesses equipamentos. As funções também incluem a troca de rolamentos e vedações em todos os caminhões e aplicadores de fertilizantes. Trocar e/ou reparar bombas hidráulicas nos caminhões-tanque que entregam o fertilizante aos clientes. Saber usar maçarico de corte e máquina de solda para reparar todos os caminhões-tanque, distribuidores e vagões de fertilizantes pertencentes à cooperativa. As vagas também exigem a habilidade e o conhecimento para realizar a manutenção de motores em todos os equipamentos da cooperativa. As funções dos funcionários também incluem a troca de rolamentos, vedações e o ajuste de correias em transportadores de fertilizantes. ***Original*** Auxiliar os trabalhadores de instalação, manutenção e reparo na manutenção, substituição de peças e reparo de equipamentos industriais. Executar tarefas como fornecer ferramentas, materiais e suprimentos para outros trabalhadores, limpar a área de trabalho, máquinas e ferramentas e segurar materiais ou ferramentas para outros trabalhadores. Classificação da Função: 49-3041.00 - Mecânicos e Técnicos de Manutenção de Equipamentos Agrícolas. A classificação e descrição da função/setor inclui informações gerais sobre o cargo, de acordo com o ONET/OES e o Sistema de Classificação Industrial da América do Norte (NAICS). Consulte as Funções e a Ordem de Serviço para obter mais informações. Requisitos da Função Experiência Necessária: Sim Meses de Experiência Necessários: 3 Requisitos Especiais: O horário de trabalho é das 7h às 17h, de segunda a sexta-feira. Horas extras serão trabalhadas conforme necessário. Horas extras serão pagas após 40 horas semanais. Os funcionários terão até 1 hora de intervalo para almoço não remunerado durante o expediente. Número de Horas por Semana: 40 Horário de Trabalho (Início/Término): 7h às 17h</v>
      </c>
    </row>
    <row r="1250" ht="20.25" customHeight="1">
      <c r="A1250" s="3" t="s">
        <v>5547</v>
      </c>
      <c r="B1250" s="3" t="s">
        <v>5548</v>
      </c>
      <c r="C1250" s="3" t="s">
        <v>4011</v>
      </c>
      <c r="D1250" s="3" t="s">
        <v>249</v>
      </c>
      <c r="E1250" s="4" t="s">
        <v>19</v>
      </c>
      <c r="F1250" s="4" t="s">
        <v>20</v>
      </c>
      <c r="G1250" s="4" t="s">
        <v>236</v>
      </c>
      <c r="H1250" s="3" t="s">
        <v>5549</v>
      </c>
      <c r="I1250" s="3" t="s">
        <v>5550</v>
      </c>
      <c r="J1250" s="4">
        <v>19.22</v>
      </c>
      <c r="K1250" s="4">
        <v>36.0</v>
      </c>
      <c r="L1250" s="3" t="s">
        <v>59</v>
      </c>
      <c r="M1250" s="3" t="s">
        <v>5551</v>
      </c>
      <c r="N1250" s="7" t="str">
        <f>IFERROR(__xludf.DUMMYFUNCTION("GOOGLETRANSLATE(L1250, ""en"", ""pt"")"),"Trabalhador de paisagismo")</f>
        <v>Trabalhador de paisagismo</v>
      </c>
      <c r="O1250" s="7" t="str">
        <f>IFERROR(__xludf.DUMMYFUNCTION("IF(M1250="""","""",GOOGLETRANSLATE(M1250,""en"",""pt""))"),"Paisagismo e manutenção de terrenos utilizando ferramentas manuais ou elétricas. Os trabalhadores geralmente executam uma variedade de tarefas, que podem incluir qualquer combinação das seguintes: colocação de grama, corte de grama, poda, plantio, rega, f"&amp;"ertilização, escavação, rastelagem, instalação de aspersores e instalação de blocos de concreto pré-moldados sem argamassa. Classificação da função: 37-3011.00 - Trabalhadores de Paisagismo e Manutenção de Terrenos. A classificação e descrição da função/s"&amp;"etor inclui informações gerais sobre o cargo, de acordo com o ONET/OES e o Sistema de Classificação Industrial da América do Norte (NAICS). Consulte as Funções e a Ordem de Serviço para obter mais informações. Requisitos da função: Experiência necessária:"&amp;" Não. Requisitos especiais: Capacidade de levantar e carregar 23 kg (50 libras), disponibilidade para horas extras e trabalho aos fins de semana. Jornada de trabalho de 8 horas. Número de horas por semana: 40. Horário de trabalho (início/término): 7h às 1"&amp;"7h.")</f>
        <v>Paisagismo e manutenção de terrenos utilizando ferramentas manuais ou elétricas. Os trabalhadores geralmente executam uma variedade de tarefas, que podem incluir qualquer combinação das seguintes: colocação de grama, corte de grama, poda, plantio, rega, fertilização, escavação, rastelagem, instalação de aspersores e instalação de blocos de concreto pré-moldados sem argamassa. Classificação da função: 37-3011.00 - Trabalhadores de Paisagismo e Manutenção de Terrenos. A classificação e descrição da função/setor inclui informações gerais sobre o cargo, de acordo com o ONET/OES e o Sistema de Classificação Industrial da América do Norte (NAICS). Consulte as Funções e a Ordem de Serviço para obter mais informações. Requisitos da função: Experiência necessária: Não. Requisitos especiais: Capacidade de levantar e carregar 23 kg (50 libras), disponibilidade para horas extras e trabalho aos fins de semana. Jornada de trabalho de 8 horas. Número de horas por semana: 40. Horário de trabalho (início/término): 7h às 17h.</v>
      </c>
    </row>
    <row r="1251" ht="20.25" customHeight="1">
      <c r="A1251" s="8" t="s">
        <v>5552</v>
      </c>
      <c r="B1251" s="8" t="s">
        <v>5553</v>
      </c>
      <c r="C1251" s="8" t="s">
        <v>4241</v>
      </c>
      <c r="D1251" s="8" t="s">
        <v>71</v>
      </c>
      <c r="E1251" s="9" t="s">
        <v>19</v>
      </c>
      <c r="F1251" s="9" t="s">
        <v>20</v>
      </c>
      <c r="G1251" s="9" t="s">
        <v>384</v>
      </c>
      <c r="H1251" s="8" t="s">
        <v>5497</v>
      </c>
      <c r="I1251" s="8" t="s">
        <v>5498</v>
      </c>
      <c r="J1251" s="9">
        <v>18.0</v>
      </c>
      <c r="K1251" s="9">
        <v>10.0</v>
      </c>
      <c r="L1251" s="8" t="s">
        <v>387</v>
      </c>
      <c r="M1251" s="8" t="s">
        <v>5554</v>
      </c>
      <c r="N1251" s="7" t="str">
        <f>IFERROR(__xludf.DUMMYFUNCTION("GOOGLETRANSLATE(L1251, ""en"", ""pt"")"),"Ordem de serviço não disponível")</f>
        <v>Ordem de serviço não disponível</v>
      </c>
      <c r="O1251" s="7" t="str">
        <f>IFERROR(__xludf.DUMMYFUNCTION("IF(M1251="""","""",GOOGLETRANSLATE(M1251,""en"",""pt""))"),"Os cozinheiros serão responsáveis ​​por preparar, temperar e cozinhar sopas, carnes, legumes, sobremesas e outros pratos em um restaurante. Horário: 35 horas semanais. O horário de trabalho pode variar e incluir turnos noturnos, fins de semana e feriados."&amp;" O trabalho pode ser realizado em qualquer dia da semana, de domingo a sábado. Exemplos de turnos: das 9h às 16h ou das 15h às 22h. Os horários dos turnos podem variar. Consulte a descrição do cargo em anexo para obter mais informações. Classificação do C"&amp;"argo: 35-2014.00 - Cozinheiros, Restaurante. A classificação e a descrição do cargo/setor incluem informações gerais sobre a posição, de acordo com o ONET/OES e o Sistema de Classificação Industrial da América do Norte (NAICS). Consulte as Funções e a Ord"&amp;"em de Serviço para obter mais informações. Requisitos da Vaga Experiência Necessária: Sim Meses de Experiência Necessários: 12 Requisitos Especiais: O contratante considerará para emprego qualquer pessoa que possua pelo menos um (1) ano de experiência cul"&amp;"inária em um ambiente de alta gastronomia ou de grande volume em um restaurante sofisticado, resort ou clube privado. Também deve possuir: conhecimento técnico e experiência na execução dos 5 molhos base; experiência com habilidades precisas em cutelaria,"&amp;" como brunoise fina, tourne, frango aberto e preparo de proteínas; experiência em alta demanda em restaurantes à la carte de alta gastronomia, catering e banquetes; e a capacidade de se comunicar efetivamente em inglês. O candidato deverá se submeter à ve"&amp;"rificação de antecedentes e exame toxicológico pré-admissional, às custas do empregador. Número de Horas por Semana: 35 Horário de Trabalho (Início/Término): 9h00 - 16h00")</f>
        <v>Os cozinheiros serão responsáveis ​​por preparar, temperar e cozinhar sopas, carnes, legumes, sobremesas e outros pratos em um restaurante. Horário: 35 horas semanais. O horário de trabalho pode variar e incluir turnos noturnos, fins de semana e feriados. O trabalho pode ser realizado em qualquer dia da semana, de domingo a sábado. Exemplos de turnos: das 9h às 16h ou das 15h às 22h. Os horários dos turnos podem variar. Consulte a descrição do cargo em anexo para obter mais informações. Classificação do Cargo: 35-2014.00 - Cozinheiros, Restaurante. A classificação e a descrição do cargo/setor incluem informações gerais sobre a posição, de acordo com o ONET/OES e o Sistema de Classificação Industrial da América do Norte (NAICS). Consulte as Funções e a Ordem de Serviço para obter mais informações. Requisitos da Vaga Experiência Necessária: Sim Meses de Experiência Necessários: 12 Requisitos Especiais: O contratante considerará para emprego qualquer pessoa que possua pelo menos um (1) ano de experiência culinária em um ambiente de alta gastronomia ou de grande volume em um restaurante sofisticado, resort ou clube privado. Também deve possuir: conhecimento técnico e experiência na execução dos 5 molhos base; experiência com habilidades precisas em cutelaria, como brunoise fina, tourne, frango aberto e preparo de proteínas; experiência em alta demanda em restaurantes à la carte de alta gastronomia, catering e banquetes; e a capacidade de se comunicar efetivamente em inglês. O candidato deverá se submeter à verificação de antecedentes e exame toxicológico pré-admissional, às custas do empregador. Número de Horas por Semana: 35 Horário de Trabalho (Início/Término): 9h00 - 16h00</v>
      </c>
    </row>
    <row r="1252" ht="20.25" customHeight="1">
      <c r="A1252" s="3" t="s">
        <v>5555</v>
      </c>
      <c r="B1252" s="3" t="s">
        <v>5556</v>
      </c>
      <c r="C1252" s="3" t="s">
        <v>4241</v>
      </c>
      <c r="D1252" s="3" t="s">
        <v>71</v>
      </c>
      <c r="E1252" s="4" t="s">
        <v>19</v>
      </c>
      <c r="F1252" s="4" t="s">
        <v>20</v>
      </c>
      <c r="G1252" s="4" t="s">
        <v>524</v>
      </c>
      <c r="H1252" s="3" t="s">
        <v>5557</v>
      </c>
      <c r="I1252" s="3" t="s">
        <v>5558</v>
      </c>
      <c r="J1252" s="4">
        <v>15.6</v>
      </c>
      <c r="K1252" s="4">
        <v>10.0</v>
      </c>
      <c r="L1252" s="3" t="s">
        <v>5559</v>
      </c>
      <c r="M1252" s="3" t="s">
        <v>5560</v>
      </c>
      <c r="N1252" s="7" t="str">
        <f>IFERROR(__xludf.DUMMYFUNCTION("GOOGLETRANSLATE(L1252, ""en"", ""pt"")"),"Auxiliar de Recreação")</f>
        <v>Auxiliar de Recreação</v>
      </c>
      <c r="O1252" s="7" t="str">
        <f>IFERROR(__xludf.DUMMYFUNCTION("IF(M1252="""","""",GOOGLETRANSLATE(M1252,""en"",""pt""))"),"Os Auxiliares de Recreação serão responsáveis ​​por monitorar e programar as atividades no complexo de tênis, complexo aquático, spa e academia, e complexo de golfe. Os Auxiliares de Recreação manterão os equipamentos recreativos, fornecerão equipamentos "&amp;"para atividades recreativas aos membros, fornecerão informações gerais sobre as instalações, manterão o espaço de trabalho limpo e realizarão a limpeza da área recreativa designada e dos equipamentos esportivos. Os Auxiliares de Recreação prestarão assist"&amp;"ência administrativa aos membros relacionada às ações de marketing do resort, horários de funcionamento e eventos recreativos programados. Horário: 40 horas semanais. O horário de trabalho pode variar e incluir turnos noturnos, fins de semana e feriados. "&amp;"O trabalho pode ser realizado em qualquer dia da semana, de segunda a domingo. Exemplos de turnos: 9h às 17h, 12h às 20h ou 15h às 23h. Os horários dos turnos podem variar. Consulte a descrição da vaga para obter mais informações. Classificação da Função:"&amp;" 39-3091.00 - Atendentes de Parques de Diversões e Recreação. A classificação e descrição da função/setor inclui informações gerais sobre o cargo, de acordo com o ONET/OES e o Sistema de Classificação Industrial da América do Norte (NAICS). Consulte as Fu"&amp;"nções e a Ordem de Serviço para obter mais informações. Requisitos da Função Experiência Necessária: Sim Meses de Experiência Necessários: 3 Requisitos Especiais: O contratante considerará para emprego qualquer pessoa que possua pelo menos três (3) meses "&amp;"de experiência em atendimento em um resort de alto padrão ou clube privado. O candidato deverá se submeter à verificação de antecedentes e ao exame toxicológico pré-admissional, às custas do empregador. Número de Horas por Semana: 40 Horário de Trabalho ("&amp;"Início/Término): 9h00 - 17h00")</f>
        <v>Os Auxiliares de Recreação serão responsáveis ​​por monitorar e programar as atividades no complexo de tênis, complexo aquático, spa e academia, e complexo de golfe. Os Auxiliares de Recreação manterão os equipamentos recreativos, fornecerão equipamentos para atividades recreativas aos membros, fornecerão informações gerais sobre as instalações, manterão o espaço de trabalho limpo e realizarão a limpeza da área recreativa designada e dos equipamentos esportivos. Os Auxiliares de Recreação prestarão assistência administrativa aos membros relacionada às ações de marketing do resort, horários de funcionamento e eventos recreativos programados. Horário: 40 horas semanais. O horário de trabalho pode variar e incluir turnos noturnos, fins de semana e feriados. O trabalho pode ser realizado em qualquer dia da semana, de segunda a domingo. Exemplos de turnos: 9h às 17h, 12h às 20h ou 15h às 23h. Os horários dos turnos podem variar. Consulte a descrição da vaga para obter mais informações. Classificação da Função: 39-3091.00 - Atendentes de Parques de Diversões e Recreação. A classificação e descrição da função/setor inclui informações gerais sobre o cargo, de acordo com o ONET/OES e o Sistema de Classificação Industrial da América do Norte (NAICS). Consulte as Funções e a Ordem de Serviço para obter mais informações. Requisitos da Função Experiência Necessária: Sim Meses de Experiência Necessários: 3 Requisitos Especiais: O contratante considerará para emprego qualquer pessoa que possua pelo menos três (3) meses de experiência em atendimento em um resort de alto padrão ou clube privado. O candidato deverá se submeter à verificação de antecedentes e ao exame toxicológico pré-admissional, às custas do empregador. Número de Horas por Semana: 40 Horário de Trabalho (Início/Término): 9h00 - 17h00</v>
      </c>
    </row>
    <row r="1253" ht="20.25" customHeight="1">
      <c r="A1253" s="8" t="s">
        <v>5561</v>
      </c>
      <c r="B1253" s="8" t="s">
        <v>5562</v>
      </c>
      <c r="C1253" s="8" t="s">
        <v>5563</v>
      </c>
      <c r="D1253" s="8" t="s">
        <v>64</v>
      </c>
      <c r="E1253" s="9" t="s">
        <v>44</v>
      </c>
      <c r="F1253" s="9" t="s">
        <v>20</v>
      </c>
      <c r="G1253" s="9" t="s">
        <v>5564</v>
      </c>
      <c r="H1253" s="8" t="s">
        <v>5565</v>
      </c>
      <c r="I1253" s="8" t="s">
        <v>5566</v>
      </c>
      <c r="J1253" s="9">
        <v>16.95</v>
      </c>
      <c r="K1253" s="9">
        <v>11.0</v>
      </c>
      <c r="L1253" s="8" t="s">
        <v>5567</v>
      </c>
      <c r="M1253" s="8" t="s">
        <v>5568</v>
      </c>
      <c r="N1253" s="7" t="str">
        <f>IFERROR(__xludf.DUMMYFUNCTION("GOOGLETRANSLATE(L1253, ""en"", ""pt"")"),"Abridores de mariscos")</f>
        <v>Abridores de mariscos</v>
      </c>
      <c r="O1253" s="7" t="str">
        <f>IFERROR(__xludf.DUMMYFUNCTION("IF(M1253="""","""",GOOGLETRANSLATE(M1253,""en"",""pt""))"),"Cortar ostras da concha, lavar, selecionar e colocar as ostras em recipientes. Limpar a área de produção e auxiliar conforme necessário. Pagamento por peça produzida poderá ser oferecido, dependendo do salário vigente. Consulte o Adendo em anexo. Classifi"&amp;"cação da Função: 51-3022.00 - Cortadores e Aparadores de Carne, Aves e Peixes. A classificação e descrição da função/setor inclui informações gerais sobre o cargo, de acordo com o ONET/OES e o Sistema de Classificação Industrial da América do Norte (NAICS"&amp;"). Consulte as Funções e a Ordem de Serviço para obter mais informações. Requisitos da Função: Experiência Necessária: Não. Requisitos Especiais: Levantar/carregar até 45 kg. O exame toxicológico pós-acidente será pago pelo empregador. O empregador poderá"&amp;" realizar verificações legais relacionadas ao trabalho, incluindo consultas sobre antecedentes criminais, quando permitido pelas leis federais, estaduais e locais aplicáveis. Qualquer análise de antecedentes criminais será feita individualmente e as decis"&amp;"ões de emprego serão tomadas de forma não discriminatória, em conformidade com as leis aplicáveis ​​e as necessidades da empresa. Não são permitidas doenças infecciosas; alergias a frutos do mar podem ser fatais. Número de horas por semana: 35 Horário de "&amp;"trabalho (início/término): 6h00 - 13h30")</f>
        <v>Cortar ostras da concha, lavar, selecionar e colocar as ostras em recipientes. Limpar a área de produção e auxiliar conforme necessário. Pagamento por peça produzida poderá ser oferecido, dependendo do salário vigente. Consulte o Adendo em anexo. Classificação da Função: 51-3022.00 - Cortadores e Aparadores de Carne, Aves e Peixes. A classificação e descrição da função/setor inclui informações gerais sobre o cargo, de acordo com o ONET/OES e o Sistema de Classificação Industrial da América do Norte (NAICS). Consulte as Funções e a Ordem de Serviço para obter mais informações. Requisitos da Função: Experiência Necessária: Não. Requisitos Especiais: Levantar/carregar até 45 kg. O exame toxicológico pós-acidente será pago pelo empregador. O empregador poderá realizar verificações legais relacionadas ao trabalho, incluindo consultas sobre antecedentes criminais, quando permitido pelas leis federais, estaduais e locais aplicáveis. Qualquer análise de antecedentes criminais será feita individualmente e as decisões de emprego serão tomadas de forma não discriminatória, em conformidade com as leis aplicáveis ​​e as necessidades da empresa. Não são permitidas doenças infecciosas; alergias a frutos do mar podem ser fatais. Número de horas por semana: 35 Horário de trabalho (início/término): 6h00 - 13h30</v>
      </c>
    </row>
    <row r="1254" ht="20.25" customHeight="1">
      <c r="A1254" s="3" t="s">
        <v>5569</v>
      </c>
      <c r="B1254" s="3" t="s">
        <v>5562</v>
      </c>
      <c r="C1254" s="3" t="s">
        <v>5563</v>
      </c>
      <c r="D1254" s="3" t="s">
        <v>64</v>
      </c>
      <c r="E1254" s="4" t="s">
        <v>44</v>
      </c>
      <c r="F1254" s="4" t="s">
        <v>20</v>
      </c>
      <c r="G1254" s="4" t="s">
        <v>5570</v>
      </c>
      <c r="H1254" s="3" t="s">
        <v>5565</v>
      </c>
      <c r="I1254" s="3" t="s">
        <v>5566</v>
      </c>
      <c r="J1254" s="4">
        <v>19.28</v>
      </c>
      <c r="K1254" s="4">
        <v>15.0</v>
      </c>
      <c r="L1254" s="3" t="s">
        <v>3147</v>
      </c>
      <c r="M1254" s="3" t="s">
        <v>5571</v>
      </c>
      <c r="N1254" s="7" t="str">
        <f>IFERROR(__xludf.DUMMYFUNCTION("GOOGLETRANSLATE(L1254, ""en"", ""pt"")"),"Marinheiros de convés de barco de ostras")</f>
        <v>Marinheiros de convés de barco de ostras</v>
      </c>
      <c r="O1254" s="7" t="str">
        <f>IFERROR(__xludf.DUMMYFUNCTION("IF(M1254="""","""",GOOGLETRANSLATE(M1254,""en"",""pt""))"),"Colher e limpar ostras, descarregar e limpar o barco. * Carregar sacos vazios no barco * Preencher fichas diárias para anexar aos sacos de ostras colhidas * Retirar as ostras colhidas da água e colocá-las no barco. * Separar as ostras para garantir que ap"&amp;"enas as de tamanho legal sejam colhidas. * Limpar as ostras utilizando machados para remover as larvas * Descarregar e empilhar as ostras colhidas do barco em paletes designados no cais * Limpar e reabastecer o barco para prepará-lo para a viagem do dia s"&amp;"eguinte. Os marinheiros devem usar: luvas, colete impermeável e botas de borracha (fornecidos pelo empregador). Consulte o Adendo em anexo. Classificação do Cargo: 45-3031.00 - Trabalhadores da Pesca e Caça. A classificação e descrição do cargo/setor incl"&amp;"ui informações gerais sobre a posição, de acordo com o ONET/OES e o Sistema de Classificação Industrial da América do Norte. Consulte as Funções e a Ordem de Serviço para obter mais informações. Requisitos do Cargo Experiência Necessária: Sim Meses de Exp"&amp;"eriência Necessários: 6 Requisitos Especiais: Levantar/carregar até 45 kg. O exame toxicológico pós-acidente é pago pelo empregador. O empregador poderá realizar verificações legais e relacionadas ao trabalho dos candidatos, incluindo consultas sobre ante"&amp;"cedentes criminais, quando permitido pelas leis federais, estaduais e locais aplicáveis. Qualquer análise de antecedentes criminais será feita individualmente e as decisões de contratação serão tomadas de forma não discriminatória, em conformidade com as "&amp;"leis aplicáveis ​​e as necessidades da empresa. Não são permitidas doenças infecciosas; alergias a frutos do mar podem ser fatais. O empregador fornecerá transporte diário do escritório/cais para os locais de trabalho em águas públicas e privadas na costa"&amp;" do Texas. Não há itinerário fixo, pois há vários locais de trabalho. Número de horas por semana: 35. Horário de trabalho (início/término): 7h às 15h.")</f>
        <v>Colher e limpar ostras, descarregar e limpar o barco. * Carregar sacos vazios no barco * Preencher fichas diárias para anexar aos sacos de ostras colhidas * Retirar as ostras colhidas da água e colocá-las no barco. * Separar as ostras para garantir que apenas as de tamanho legal sejam colhidas. * Limpar as ostras utilizando machados para remover as larvas * Descarregar e empilhar as ostras colhidas do barco em paletes designados no cais * Limpar e reabastecer o barco para prepará-lo para a viagem do dia seguinte. Os marinheiros devem usar: luvas, colete impermeável e botas de borracha (fornecidos pelo empregador). Consulte o Adendo em anexo. Classificação do Cargo: 45-3031.00 - Trabalhadores da Pesca e Caça. A classificação e descrição do cargo/setor inclui informações gerais sobre a posição, de acordo com o ONET/OES e o Sistema de Classificação Industrial da América do Norte. Consulte as Funções e a Ordem de Serviço para obter mais informações. Requisitos do Cargo Experiência Necessária: Sim Meses de Experiência Necessários: 6 Requisitos Especiais: Levantar/carregar até 45 kg. O exame toxicológico pós-acidente é pago pelo empregador. O empregador poderá realizar verificações legais e relacionadas ao trabalho dos candidatos, incluindo consultas sobre antecedentes criminais, quando permitido pelas leis federais, estaduais e locais aplicáveis. Qualquer análise de antecedentes criminais será feita individualmente e as decisões de contratação serão tomadas de forma não discriminatória, em conformidade com as leis aplicáveis ​​e as necessidades da empresa. Não são permitidas doenças infecciosas; alergias a frutos do mar podem ser fatais. O empregador fornecerá transporte diário do escritório/cais para os locais de trabalho em águas públicas e privadas na costa do Texas. Não há itinerário fixo, pois há vários locais de trabalho. Número de horas por semana: 35. Horário de trabalho (início/término): 7h às 15h.</v>
      </c>
    </row>
    <row r="1255" ht="20.25" customHeight="1">
      <c r="A1255" s="8" t="s">
        <v>5572</v>
      </c>
      <c r="B1255" s="8" t="s">
        <v>5573</v>
      </c>
      <c r="C1255" s="8" t="s">
        <v>5563</v>
      </c>
      <c r="D1255" s="8" t="s">
        <v>36</v>
      </c>
      <c r="E1255" s="9" t="s">
        <v>19</v>
      </c>
      <c r="F1255" s="9" t="s">
        <v>20</v>
      </c>
      <c r="G1255" s="9" t="s">
        <v>524</v>
      </c>
      <c r="H1255" s="8" t="s">
        <v>5574</v>
      </c>
      <c r="I1255" s="8" t="s">
        <v>5575</v>
      </c>
      <c r="J1255" s="9">
        <v>11.81</v>
      </c>
      <c r="K1255" s="9">
        <v>25.0</v>
      </c>
      <c r="L1255" s="8" t="s">
        <v>3977</v>
      </c>
      <c r="M1255" s="8" t="s">
        <v>5576</v>
      </c>
      <c r="N1255" s="7" t="str">
        <f>IFERROR(__xludf.DUMMYFUNCTION("GOOGLETRANSLATE(L1255, ""en"", ""pt"")"),"Processador de frutos do mar")</f>
        <v>Processador de frutos do mar</v>
      </c>
      <c r="O1255" s="7" t="str">
        <f>IFERROR(__xludf.DUMMYFUNCTION("IF(M1255="""","""",GOOGLETRANSLATE(M1255,""en"",""pt""))"),"§ Os funcionários colocarão os camarões em mesas para descascá-los e removê-los; § Retirar a veia; § Separar e colocar em recipientes; § Embalar com gelo; § Colocar os recipientes em paletes e envolvê-los para envio; § Descartar as cascas de camarão na(s)"&amp;" área(s) designada(s); *Segue uma descrição de trabalho mais detalhada referente às tarefas de carga e descarga: Os funcionários auxiliarão no descarregamento do produto bruto (camarão) de barcos ou caminhões e o colocarão na área de processamento ou em m"&amp;"esas para ser processado. Os funcionários também auxiliarão no carregamento dos produtos acabados em refrigeradores ou congeladores para armazenamento. Os funcionários auxiliarão no carregamento dos produtos acabados em caminhões para envio. Consulte o Ad"&amp;"endo em anexo. Classificação do Cargo: 51-3022.00 - Cortadores e Aparadores de Carne, Aves e Peixes. A classificação e descrição do cargo/setor inclui informações gerais sobre a posição, de acordo com o ONET/OES e o Sistema de Classificação Industrial da "&amp;"América do Norte. Consulte as Funções e a Ordem de Serviço para obter mais informações. Requisitos da vaga Experiência necessária: Não Requisitos especiais: Capacidade de levantar/carregar até 23 kg. O empregador realiza testes toxicológicos aleatórios, p"&amp;"agos pela empresa. O empregador poderá realizar verificações legais relacionadas ao trabalho, incluindo consultas sobre antecedentes criminais, quando permitido pelas leis federais, estaduais e locais aplicáveis. Qualquer análise de antecedentes criminais"&amp;" será feita individualmente e as decisões de contratação serão tomadas de forma não discriminatória, em conformidade com as leis aplicáveis ​​e as necessidades da empresa. Não são permitidas doenças infecciosas; alergias a frutos do mar podem ser fatais. "&amp;"Número de horas por semana: 35 Horário de trabalho (início/término): 7h às 14h")</f>
        <v>§ Os funcionários colocarão os camarões em mesas para descascá-los e removê-los; § Retirar a veia; § Separar e colocar em recipientes; § Embalar com gelo; § Colocar os recipientes em paletes e envolvê-los para envio; § Descartar as cascas de camarão na(s) área(s) designada(s); *Segue uma descrição de trabalho mais detalhada referente às tarefas de carga e descarga: Os funcionários auxiliarão no descarregamento do produto bruto (camarão) de barcos ou caminhões e o colocarão na área de processamento ou em mesas para ser processado. Os funcionários também auxiliarão no carregamento dos produtos acabados em refrigeradores ou congeladores para armazenamento. Os funcionários auxiliarão no carregamento dos produtos acabados em caminhões para envio. Consulte o Adendo em anexo. Classificação do Cargo: 51-3022.00 - Cortadores e Aparadores de Carne, Aves e Peixes. A classificação e descrição do cargo/setor inclui informações gerais sobre a posição, de acordo com o ONET/OES e o Sistema de Classificação Industrial da América do Norte. Consulte as Funções e a Ordem de Serviço para obter mais informações. Requisitos da vaga Experiência necessária: Não Requisitos especiais: Capacidade de levantar/carregar até 23 kg. O empregador realiza testes toxicológicos aleatórios, pagos pela empresa. O empregador poderá realizar verificações legais relacionadas ao trabalho, incluindo consultas sobre antecedentes criminais, quando permitido pelas leis federais, estaduais e locais aplicáveis. Qualquer análise de antecedentes criminais será feita individualmente e as decisões de contratação serão tomadas de forma não discriminatória, em conformidade com as leis aplicáveis ​​e as necessidades da empresa. Não são permitidas doenças infecciosas; alergias a frutos do mar podem ser fatais. Número de horas por semana: 35 Horário de trabalho (início/término): 7h às 14h</v>
      </c>
    </row>
    <row r="1256" ht="20.25" customHeight="1">
      <c r="A1256" s="3" t="s">
        <v>5577</v>
      </c>
      <c r="B1256" s="3" t="s">
        <v>5578</v>
      </c>
      <c r="C1256" s="3" t="s">
        <v>5563</v>
      </c>
      <c r="D1256" s="3" t="s">
        <v>186</v>
      </c>
      <c r="E1256" s="4" t="s">
        <v>19</v>
      </c>
      <c r="F1256" s="4" t="s">
        <v>20</v>
      </c>
      <c r="G1256" s="4" t="s">
        <v>5579</v>
      </c>
      <c r="H1256" s="3" t="s">
        <v>5580</v>
      </c>
      <c r="I1256" s="3" t="s">
        <v>5581</v>
      </c>
      <c r="J1256" s="4">
        <v>15.45</v>
      </c>
      <c r="K1256" s="4">
        <v>130.0</v>
      </c>
      <c r="L1256" s="3" t="s">
        <v>105</v>
      </c>
      <c r="M1256" s="3" t="s">
        <v>5582</v>
      </c>
      <c r="N1256" s="7" t="str">
        <f>IFERROR(__xludf.DUMMYFUNCTION("GOOGLETRANSLATE(L1256, ""en"", ""pt"")"),"Abridores de Ostras")</f>
        <v>Abridores de Ostras</v>
      </c>
      <c r="O1256" s="7" t="str">
        <f>IFERROR(__xludf.DUMMYFUNCTION("IF(M1256="""","""",GOOGLETRANSLATE(M1256,""en"",""pt""))"),"Abrir e retirar a carne das ostras da concha, separar a carne por tamanho/qualidade, preparar as ostras para venda no atacado/varejo, limpar e higienizar as áreas de trabalho e os equipamentos, colocar as ostras em recipientes, selar e embalar as ostras e"&amp;"m recipientes, movimentar, despejar e distribuir o produto cru, retirar as ostras de barcos ou caminhões, ocasionalmente usar equipamentos de movimentação de materiais (lavadora de conchas, balanças e equipamentos para manusear frutos do mar), congelar e "&amp;"colocar as ostras em recipientes. Consulte o Adendo em anexo. Classificação da Função: 51-3022.00 - Cortadores e Aparadores de Carne, Aves e Peixes. A classificação e descrição da função/setor inclui informações gerais sobre o cargo, de acordo com o ONET/"&amp;"OES e o Sistema de Classificação Industrial da América do Norte. Consulte as Funções e a Ordem de Serviço para obter mais informações. Requisitos da Função: Experiência Necessária: Não. Requisitos Especiais: Levantar/carregar até 34 kg. O teste antidrogas"&amp;" é aleatório e pago pelo empregador. O empregador poderá realizar verificações legais e relacionadas ao trabalho dos candidatos, incluindo consultas sobre antecedentes criminais, quando permitido pelas leis federais, estaduais e locais aplicáveis. Qualque"&amp;"r análise de antecedentes criminais será feita individualmente e as decisões de contratação serão tomadas de forma não discriminatória, em conformidade com as leis aplicáveis ​​e as necessidades da empresa. Não são permitidas doenças infecciosas; alergias"&amp;" a frutos do mar podem ser fatais. Número de horas por semana: 35. Horário de trabalho (início/término): 3h00 - 11h30.")</f>
        <v>Abrir e retirar a carne das ostras da concha, separar a carne por tamanho/qualidade, preparar as ostras para venda no atacado/varejo, limpar e higienizar as áreas de trabalho e os equipamentos, colocar as ostras em recipientes, selar e embalar as ostras em recipientes, movimentar, despejar e distribuir o produto cru, retirar as ostras de barcos ou caminhões, ocasionalmente usar equipamentos de movimentação de materiais (lavadora de conchas, balanças e equipamentos para manusear frutos do mar), congelar e colocar as ostras em recipientes. Consulte o Adendo em anexo. Classificação da Função: 51-3022.00 - Cortadores e Aparadores de Carne, Aves e Peixes. A classificação e descrição da função/setor inclui informações gerais sobre o cargo, de acordo com o ONET/OES e o Sistema de Classificação Industrial da América do Norte. Consulte as Funções e a Ordem de Serviço para obter mais informações. Requisitos da Função: Experiência Necessária: Não. Requisitos Especiais: Levantar/carregar até 34 kg. O teste antidrogas é aleatório e pago pelo empregador. O empregador poderá realizar verificações legais e relacionadas ao trabalho dos candidatos, incluindo consultas sobre antecedentes criminais, quando permitido pelas leis federais, estaduais e locais aplicáveis. Qualquer análise de antecedentes criminais será feita individualmente e as decisões de contratação serão tomadas de forma não discriminatória, em conformidade com as leis aplicáveis ​​e as necessidades da empresa. Não são permitidas doenças infecciosas; alergias a frutos do mar podem ser fatais. Número de horas por semana: 35. Horário de trabalho (início/término): 3h00 - 11h30.</v>
      </c>
    </row>
    <row r="1257" ht="20.25" customHeight="1">
      <c r="A1257" s="8" t="s">
        <v>5583</v>
      </c>
      <c r="B1257" s="8" t="s">
        <v>5584</v>
      </c>
      <c r="C1257" s="8" t="s">
        <v>5563</v>
      </c>
      <c r="D1257" s="8" t="s">
        <v>36</v>
      </c>
      <c r="E1257" s="9" t="s">
        <v>19</v>
      </c>
      <c r="F1257" s="9" t="s">
        <v>20</v>
      </c>
      <c r="G1257" s="9" t="s">
        <v>377</v>
      </c>
      <c r="H1257" s="8" t="s">
        <v>5585</v>
      </c>
      <c r="I1257" s="8" t="s">
        <v>5586</v>
      </c>
      <c r="J1257" s="9">
        <v>13.52</v>
      </c>
      <c r="K1257" s="9">
        <v>100.0</v>
      </c>
      <c r="L1257" s="8" t="s">
        <v>5587</v>
      </c>
      <c r="M1257" s="8" t="s">
        <v>5588</v>
      </c>
      <c r="N1257" s="7" t="str">
        <f>IFERROR(__xludf.DUMMYFUNCTION("GOOGLETRANSLATE(L1257, ""en"", ""pt"")"),"Processadores de Ostras")</f>
        <v>Processadores de Ostras</v>
      </c>
      <c r="O1257" s="7" t="str">
        <f>IFERROR(__xludf.DUMMYFUNCTION("IF(M1257="""","""",GOOGLETRANSLATE(M1257,""en"",""pt""))"),"Coloca ostras nas mesas e retira a carne das conchas. Lava, separa e embala a carne das ostras em recipientes para consumo. Limpa e higieniza as estações de abertura de ostras conforme exigido pelas normas de segurança alimentar. Descarta as conchas de os"&amp;"tras nas áreas designadas. Pode ser oferecido pagamento por produção; o valor é determinado com base na tabela salarial vigente. Consulte o Adendo em anexo. Classificação da Função: 51-3022.00 - Cortadores e Aparadores de Carnes, Aves e Peixes. A classifi"&amp;"cação e descrição da função/setor inclui informações gerais sobre o cargo, de acordo com o ONET/OES e o Sistema de Classificação Industrial da América do Norte (NAICS). Consulte as Funções e a Ordem de Serviço para obter mais informações. Requisitos da Fu"&amp;"nção: Experiência Necessária: Não. Requisitos Especiais: Levantar/carregar até 23 kg. O teste antidrogas é aleatório e pago pelo empregador. O empregador poderá realizar verificações legais relacionadas ao trabalho, incluindo consultas sobre antecedentes "&amp;"criminais, quando permitido pelas leis federais, estaduais e locais aplicáveis. Qualquer análise de antecedentes criminais será feita individualmente e as decisões de contratação serão tomadas de forma não discriminatória, em conformidade com as leis apli"&amp;"cáveis ​​e as necessidades da empresa. Não são permitidas doenças infecciosas; alergias a frutos do mar podem ser fatais. Número de horas por semana: 35. Horário de trabalho (início/término): 5h às 14h.")</f>
        <v>Coloca ostras nas mesas e retira a carne das conchas. Lava, separa e embala a carne das ostras em recipientes para consumo. Limpa e higieniza as estações de abertura de ostras conforme exigido pelas normas de segurança alimentar. Descarta as conchas de ostras nas áreas designadas. Pode ser oferecido pagamento por produção; o valor é determinado com base na tabela salarial vigente. Consulte o Adendo em anexo. Classificação da Função: 51-3022.00 - Cortadores e Aparadores de Carnes, Aves e Peixes. A classificação e descrição da função/setor inclui informações gerais sobre o cargo, de acordo com o ONET/OES e o Sistema de Classificação Industrial da América do Norte (NAICS). Consulte as Funções e a Ordem de Serviço para obter mais informações. Requisitos da Função: Experiência Necessária: Não. Requisitos Especiais: Levantar/carregar até 23 kg. O teste antidrogas é aleatório e pago pelo empregador. O empregador poderá realizar verificações legais relacionadas ao trabalho, incluindo consultas sobre antecedentes criminais, quando permitido pelas leis federais, estaduais e locais aplicáveis. Qualquer análise de antecedentes criminais será feita individualmente e as decisões de contratação serão tomadas de forma não discriminatória, em conformidade com as leis aplicáveis ​​e as necessidades da empresa. Não são permitidas doenças infecciosas; alergias a frutos do mar podem ser fatais. Número de horas por semana: 35. Horário de trabalho (início/término): 5h às 14h.</v>
      </c>
    </row>
    <row r="1258" ht="20.25" customHeight="1">
      <c r="A1258" s="3" t="s">
        <v>5589</v>
      </c>
      <c r="B1258" s="3" t="s">
        <v>5418</v>
      </c>
      <c r="C1258" s="3" t="s">
        <v>4241</v>
      </c>
      <c r="D1258" s="3" t="s">
        <v>87</v>
      </c>
      <c r="E1258" s="4" t="s">
        <v>19</v>
      </c>
      <c r="F1258" s="4" t="s">
        <v>20</v>
      </c>
      <c r="G1258" s="4" t="s">
        <v>524</v>
      </c>
      <c r="H1258" s="3" t="s">
        <v>5419</v>
      </c>
      <c r="I1258" s="3" t="s">
        <v>5420</v>
      </c>
      <c r="J1258" s="4">
        <v>12.51</v>
      </c>
      <c r="K1258" s="4">
        <v>2.0</v>
      </c>
      <c r="L1258" s="3" t="s">
        <v>1206</v>
      </c>
      <c r="M1258" s="3" t="s">
        <v>5590</v>
      </c>
      <c r="N1258" s="7" t="str">
        <f>IFERROR(__xludf.DUMMYFUNCTION("GOOGLETRANSLATE(L1258, ""en"", ""pt"")"),"Servidor")</f>
        <v>Servidor</v>
      </c>
      <c r="O1258" s="7" t="str">
        <f>IFERROR(__xludf.DUMMYFUNCTION("IF(M1258="""","""",GOOGLETRANSLATE(M1258,""en"",""pt""))"),"Os garçons serão responsáveis ​​por recepcionar os clientes, preparar as áreas de refeição, anotar e registrar pedidos, transportar bandejas e pratos, servir alimentos e bebidas, limpar e desocupar as mesas, lavar a louça e garantir a limpeza de suas área"&amp;"s de trabalho. Os garçons podem precisar levantar e carregar até 23 kg. Horário: 40 horas semanais. O horário de trabalho pode variar e incluir turnos noturnos, fins de semana e feriados. O trabalho pode ser realizado em qualquer dia da semana, de segunda"&amp;" a domingo. Exemplos de turnos: 7h às 15h, 9h às 17h, 6h30 às 14h30 e 14h às 22h. Os horários dos turnos podem variar. Consulte a descrição do cargo em anexo para obter mais informações. Classificação do Cargo: 35-9021.00 - Lavadores de Louça. A classific"&amp;"ação e descrição do cargo/setor incluem informações gerais sobre a posição, de acordo com o ONET/OES e o Sistema de Classificação Industrial da América do Norte. Consulte as Funções e a Ordem de Serviço para obter mais informações. Requisitos da vaga Expe"&amp;"riência necessária: Sim Meses de experiência necessários: 3 Requisitos especiais: O contratante considerará para emprego qualquer pessoa que possua pelo menos três (3) meses de experiência em um ambiente de alta gastronomia ou de grande movimento em um re"&amp;"staurante sofisticado, resort ou clube privado. Número de horas por semana: 40 Horário de trabalho (início/término): 7h às 15h")</f>
        <v>Os garçons serão responsáveis ​​por recepcionar os clientes, preparar as áreas de refeição, anotar e registrar pedidos, transportar bandejas e pratos, servir alimentos e bebidas, limpar e desocupar as mesas, lavar a louça e garantir a limpeza de suas áreas de trabalho. Os garçons podem precisar levantar e carregar até 23 kg. Horário: 40 horas semanais. O horário de trabalho pode variar e incluir turnos noturnos, fins de semana e feriados. O trabalho pode ser realizado em qualquer dia da semana, de segunda a domingo. Exemplos de turnos: 7h às 15h, 9h às 17h, 6h30 às 14h30 e 14h às 22h. Os horários dos turnos podem variar. Consulte a descrição do cargo em anexo para obter mais informações. Classificação do Cargo: 35-9021.00 - Lavadores de Louça. A classificação e descrição do cargo/setor incluem informações gerais sobre a posição, de acordo com o ONET/OES e o Sistema de Classificação Industrial da América do Norte. Consulte as Funções e a Ordem de Serviço para obter mais informações. Requisitos da vaga Experiência necessária: Sim Meses de experiência necessários: 3 Requisitos especiais: O contratante considerará para emprego qualquer pessoa que possua pelo menos três (3) meses de experiência em um ambiente de alta gastronomia ou de grande movimento em um restaurante sofisticado, resort ou clube privado. Número de horas por semana: 40 Horário de trabalho (início/término): 7h às 15h</v>
      </c>
    </row>
    <row r="1259" ht="20.25" customHeight="1">
      <c r="A1259" s="8" t="s">
        <v>5591</v>
      </c>
      <c r="B1259" s="8" t="s">
        <v>5418</v>
      </c>
      <c r="C1259" s="8" t="s">
        <v>4241</v>
      </c>
      <c r="D1259" s="8" t="s">
        <v>87</v>
      </c>
      <c r="E1259" s="9" t="s">
        <v>19</v>
      </c>
      <c r="F1259" s="9" t="s">
        <v>20</v>
      </c>
      <c r="G1259" s="9" t="s">
        <v>524</v>
      </c>
      <c r="H1259" s="8" t="s">
        <v>5419</v>
      </c>
      <c r="I1259" s="8" t="s">
        <v>5420</v>
      </c>
      <c r="J1259" s="9">
        <v>17.83</v>
      </c>
      <c r="K1259" s="9">
        <v>2.0</v>
      </c>
      <c r="L1259" s="8" t="s">
        <v>5592</v>
      </c>
      <c r="M1259" s="8" t="s">
        <v>5593</v>
      </c>
      <c r="N1259" s="7" t="str">
        <f>IFERROR(__xludf.DUMMYFUNCTION("GOOGLETRANSLATE(L1259, ""en"", ""pt"")"),"Auxiliar de Cozinha")</f>
        <v>Auxiliar de Cozinha</v>
      </c>
      <c r="O1259" s="7" t="str">
        <f>IFERROR(__xludf.DUMMYFUNCTION("IF(M1259="""","""",GOOGLETRANSLATE(M1259,""en"",""pt""))"),"***Resposta à Solicitação de Informações*** O tipo específico de instalação/estabelecimento em que os Auxiliares de Cozinha realizarão as tarefas identificadas no Item F.a.2 são as duas cozinhas do Requerente: a Cozinha da Casa Principal e a Cozinha da Ca"&amp;"sa de Golfe. Essas cozinhas são usadas para preparar alimentos para membros e convidados nos salões de jantar do clube privado. “Descarregar caminhões de entrega de alimentos” – isso consiste em transportar caixas de alimentos e bebidas dos caminhões/veíc"&amp;"ulos de entrega para a câmara fria ou despensa da cozinha. Os funcionários carregarão as caixas fisicamente ou usarão um carrinho de mão quando necessário para realizar essa tarefa. ***Original*** Os Auxiliares de Cozinha serão responsáveis ​​por lavar, d"&amp;"escascar e cortar diversos alimentos, como frutas e legumes, para prepará-los para o cozimento ou serviço, medir ingredientes e limpar e higienizar áreas de trabalho, equipamentos, utensílios, pratos e talheres. Os Auxiliares de Cozinha também auxiliarão "&amp;"na organização e etiquetagem de itens alimentícios em armários de armazenamento, no transporte de suprimentos alimentícios, equipamentos e utensílios de e para o armazenamento e áreas de trabalho, no controle de ingredientes e itens de estoque e no auxíli"&amp;"o ao descarregamento de caminhões de entrega de alimentos. Horário: 40 horas semanais. O horário de trabalho pode variar e incluir turnos noturnos, fins de semana e feriados. O trabalho pode ser realizado em qualquer dia da semana, de segunda a domingo. E"&amp;"xemplos de turnos: 7h às 15h, 9h às 17h, 6h30 às 14h30 e 14h às 22h. Os horários dos turnos podem variar. Consulte a descrição do cargo em anexo para obter mais informações. Classificação do Cargo: 53-7062.00 - Operários e Movimentadores de Carga, Estoque"&amp;" e Materiais. A classificação e descrição do cargo/setor incluem informações gerais sobre a posição, de acordo com o ONET/OES e o Sistema de Classificação Industrial da América do Norte (NAICS). Consulte as Funções e a Ordem de Serviço para obter mais inf"&amp;"ormações. Requisitos da vaga Experiência necessária: Sim Meses de experiência necessários: 12 Requisitos especiais: O contratante considerará para emprego qualquer pessoa que possua pelo menos um (1) ano de experiência em preparação de alimentos ou como l"&amp;"avador de louça em um ambiente de alta gastronomia ou de grande movimento em um restaurante sofisticado, resort ou clube privado. Número de horas por semana: 40 Horário de trabalho (início/término): 7h às 15h")</f>
        <v>***Resposta à Solicitação de Informações*** O tipo específico de instalação/estabelecimento em que os Auxiliares de Cozinha realizarão as tarefas identificadas no Item F.a.2 são as duas cozinhas do Requerente: a Cozinha da Casa Principal e a Cozinha da Casa de Golfe. Essas cozinhas são usadas para preparar alimentos para membros e convidados nos salões de jantar do clube privado. “Descarregar caminhões de entrega de alimentos” – isso consiste em transportar caixas de alimentos e bebidas dos caminhões/veículos de entrega para a câmara fria ou despensa da cozinha. Os funcionários carregarão as caixas fisicamente ou usarão um carrinho de mão quando necessário para realizar essa tarefa. ***Original*** Os Auxiliares de Cozinha serão responsáveis ​​por lavar, descascar e cortar diversos alimentos, como frutas e legumes, para prepará-los para o cozimento ou serviço, medir ingredientes e limpar e higienizar áreas de trabalho, equipamentos, utensílios, pratos e talheres. Os Auxiliares de Cozinha também auxiliarão na organização e etiquetagem de itens alimentícios em armários de armazenamento, no transporte de suprimentos alimentícios, equipamentos e utensílios de e para o armazenamento e áreas de trabalho, no controle de ingredientes e itens de estoque e no auxílio ao descarregamento de caminhões de entrega de alimentos. Horário: 40 horas semanais. O horário de trabalho pode variar e incluir turnos noturnos, fins de semana e feriados. O trabalho pode ser realizado em qualquer dia da semana, de segunda a domingo. Exemplos de turnos: 7h às 15h, 9h às 17h, 6h30 às 14h30 e 14h às 22h. Os horários dos turnos podem variar. Consulte a descrição do cargo em anexo para obter mais informações. Classificação do Cargo: 53-7062.00 - Operários e Movimentadores de Carga, Estoque e Materiais. A classificação e descrição do cargo/setor incluem informações gerais sobre a posição, de acordo com o ONET/OES e o Sistema de Classificação Industrial da América do Norte (NAICS). Consulte as Funções e a Ordem de Serviço para obter mais informações. Requisitos da vaga Experiência necessária: Sim Meses de experiência necessários: 12 Requisitos especiais: O contratante considerará para emprego qualquer pessoa que possua pelo menos um (1) ano de experiência em preparação de alimentos ou como lavador de louça em um ambiente de alta gastronomia ou de grande movimento em um restaurante sofisticado, resort ou clube privado. Número de horas por semana: 40 Horário de trabalho (início/término): 7h às 15h</v>
      </c>
    </row>
    <row r="1260" ht="20.25" customHeight="1">
      <c r="A1260" s="3" t="s">
        <v>5594</v>
      </c>
      <c r="B1260" s="3" t="s">
        <v>5595</v>
      </c>
      <c r="C1260" s="3" t="s">
        <v>5466</v>
      </c>
      <c r="D1260" s="3" t="s">
        <v>28</v>
      </c>
      <c r="E1260" s="4" t="s">
        <v>19</v>
      </c>
      <c r="F1260" s="4" t="s">
        <v>20</v>
      </c>
      <c r="G1260" s="4" t="s">
        <v>377</v>
      </c>
      <c r="H1260" s="3" t="s">
        <v>5596</v>
      </c>
      <c r="I1260" s="3" t="s">
        <v>5597</v>
      </c>
      <c r="J1260" s="4">
        <v>27.3</v>
      </c>
      <c r="K1260" s="4">
        <v>3.0</v>
      </c>
      <c r="L1260" s="3" t="s">
        <v>501</v>
      </c>
      <c r="M1260" s="3" t="s">
        <v>5598</v>
      </c>
      <c r="N1260" s="7" t="str">
        <f>IFERROR(__xludf.DUMMYFUNCTION("GOOGLETRANSLATE(L1260, ""en"", ""pt"")"),"Auxiliar de Manutenção")</f>
        <v>Auxiliar de Manutenção</v>
      </c>
      <c r="O1260" s="7" t="str">
        <f>IFERROR(__xludf.DUMMYFUNCTION("IF(M1260="""","""",GOOGLETRANSLATE(M1260,""en"",""pt""))"),"***Resposta à Solicitação de Informações (RFI)*** A Cora Texas Manufacturing precisa de Auxiliares de Manutenção qualificados para operar e reparar todos os equipamentos de uma usina de açúcar, incluindo: Moinhos ou difusores, utilizados para extrair o ca"&amp;"ldo da cana; Aquecedores de caldo, utilizados para remover partículas finas de bagaço; Clarificadores, que ajudam a separar as impurezas do caldo; Filtros, que separam o caldo turvo em caldo filtrado; Evaporadores, que removem a maior parte da água, engro"&amp;"ssando o caldo; Tachos de vácuo, que fervem a calda densa, processo que desenvolve cristais de açúcar, resultando em uma mistura de cristais de açúcar e melaço; Cristalizadores, utilizados para promover o crescimento e desenvolvimento dos cristais de açúc"&amp;"ar; e Centrífugas, que separam os cristais de açúcar do melaço. O Auxiliar de Manutenção operará qualquer um dos equipamentos listados acima durante a fabricação de açúcar bruto e auxiliará na limpeza, reparo ou substituição de qualquer um dos equipamento"&amp;"s listados, em preparação para a próxima safra. ***Original*** Auxiliar os trabalhadores de instalação, manutenção e reparo na manutenção, substituição de peças e reparo de equipamentos industriais. Executar tarefas como fornecer ferramentas, materiais e "&amp;"suprimentos para outros trabalhadores, limpar a área de trabalho, máquinas e ferramentas, e segurar materiais ou ferramentas para outros trabalhadores durante a época da colheita e após a colheita, em preparação para a próxima temporada. Classificação do "&amp;"Cargo: 51-9012.00 - Preparadores, Operadores e Auxiliares de Máquinas de Separação, Filtragem, Clarificação, Precipitação e Destilação. A classificação e descrição do cargo/setor inclui informações gerais sobre a posição, de acordo com o ONET/OES e o Sist"&amp;"ema de Classificação Industrial da América do Norte. Consulte as Funções e a Ordem de Serviço para obter mais informações. Requisitos do Cargo Experiência Necessária: Sim Meses de Experiência Necessários: 3 Requisitos Especiais: Disponibilidade para traba"&amp;"lhar 7 dias por semana, em turnos variáveis ​​de 8 e 10-12 horas (11h-19h; 19h-3h; 3h-11h) ou (11h-23h; 23h-11h). Jornada de trabalho de 56 horas semanais ou mais, com pagamento de horas extras após 40 horas semanais durante e após a temporada de colheita"&amp;". A jornada de 40 horas semanais será mantida após a temporada de colheita até o término do contrato. Horas extras conforme a necessidade após a temporada de colheita. Os trabalhadores terão 30 minutos de intervalo para almoço remunerado durante o expedie"&amp;"nte. Número de horas por semana: 56. Horário de trabalho (início/término): 11h às 19h.")</f>
        <v>***Resposta à Solicitação de Informações (RFI)*** A Cora Texas Manufacturing precisa de Auxiliares de Manutenção qualificados para operar e reparar todos os equipamentos de uma usina de açúcar, incluindo: Moinhos ou difusores, utilizados para extrair o caldo da cana; Aquecedores de caldo, utilizados para remover partículas finas de bagaço; Clarificadores, que ajudam a separar as impurezas do caldo; Filtros, que separam o caldo turvo em caldo filtrado; Evaporadores, que removem a maior parte da água, engrossando o caldo; Tachos de vácuo, que fervem a calda densa, processo que desenvolve cristais de açúcar, resultando em uma mistura de cristais de açúcar e melaço; Cristalizadores, utilizados para promover o crescimento e desenvolvimento dos cristais de açúcar; e Centrífugas, que separam os cristais de açúcar do melaço. O Auxiliar de Manutenção operará qualquer um dos equipamentos listados acima durante a fabricação de açúcar bruto e auxiliará na limpeza, reparo ou substituição de qualquer um dos equipamentos listados, em preparação para a próxima safra. ***Original*** Auxiliar os trabalhadores de instalação, manutenção e reparo na manutenção, substituição de peças e reparo de equipamentos industriais. Executar tarefas como fornecer ferramentas, materiais e suprimentos para outros trabalhadores, limpar a área de trabalho, máquinas e ferramentas, e segurar materiais ou ferramentas para outros trabalhadores durante a época da colheita e após a colheita, em preparação para a próxima temporada. Classificação do Cargo: 51-9012.00 - Preparadores, Operadores e Auxiliares de Máquinas de Separação, Filtragem, Clarificação, Precipitação e Destilação. A classificação e descrição do cargo/setor inclui informações gerais sobre a posição, de acordo com o ONET/OES e o Sistema de Classificação Industrial da América do Norte. Consulte as Funções e a Ordem de Serviço para obter mais informações. Requisitos do Cargo Experiência Necessária: Sim Meses de Experiência Necessários: 3 Requisitos Especiais: Disponibilidade para trabalhar 7 dias por semana, em turnos variáveis ​​de 8 e 10-12 horas (11h-19h; 19h-3h; 3h-11h) ou (11h-23h; 23h-11h). Jornada de trabalho de 56 horas semanais ou mais, com pagamento de horas extras após 40 horas semanais durante e após a temporada de colheita. A jornada de 40 horas semanais será mantida após a temporada de colheita até o término do contrato. Horas extras conforme a necessidade após a temporada de colheita. Os trabalhadores terão 30 minutos de intervalo para almoço remunerado durante o expediente. Número de horas por semana: 56. Horário de trabalho (início/término): 11h às 19h.</v>
      </c>
    </row>
    <row r="1261" ht="20.25" customHeight="1">
      <c r="A1261" s="8" t="s">
        <v>5599</v>
      </c>
      <c r="B1261" s="8" t="s">
        <v>5595</v>
      </c>
      <c r="C1261" s="8" t="s">
        <v>5466</v>
      </c>
      <c r="D1261" s="8" t="s">
        <v>28</v>
      </c>
      <c r="E1261" s="9" t="s">
        <v>19</v>
      </c>
      <c r="F1261" s="9" t="s">
        <v>20</v>
      </c>
      <c r="G1261" s="9" t="s">
        <v>94</v>
      </c>
      <c r="H1261" s="8" t="s">
        <v>5596</v>
      </c>
      <c r="I1261" s="8" t="s">
        <v>5597</v>
      </c>
      <c r="J1261" s="9">
        <v>17.43</v>
      </c>
      <c r="K1261" s="9">
        <v>1.0</v>
      </c>
      <c r="L1261" s="8" t="s">
        <v>5600</v>
      </c>
      <c r="M1261" s="8" t="s">
        <v>5601</v>
      </c>
      <c r="N1261" s="7" t="str">
        <f>IFERROR(__xludf.DUMMYFUNCTION("GOOGLETRANSLATE(L1261, ""en"", ""pt"")"),"Químico de bancada")</f>
        <v>Químico de bancada</v>
      </c>
      <c r="O1261" s="7" t="str">
        <f>IFERROR(__xludf.DUMMYFUNCTION("IF(M1261="""","""",GOOGLETRANSLATE(M1261,""en"",""pt""))"),"Auxiliar nas análises de produtos e subprodutos do açúcar em todas as etapas do controle do processo de cana-de-açúcar, utilizando métodos e instrumentos padrão de laboratório. Classificação da vaga: 19-4012.00 - Técnicos Agrícolas. A classificação e desc"&amp;"rição da vaga/setor inclui informações gerais sobre o cargo, de acordo com o ONET/OES e o Sistema de Classificação Industrial da América do Norte (NAICS). Consulte as atribuições e a Ordem de Serviço para obter mais informações. Requisitos da vaga: Experi"&amp;"ência exigida: Sim. Meses de experiência exigidos: 3. Requisitos especiais: Disponibilidade para trabalhar 7 dias por semana, em turnos variados de 8 e 10-12 horas (11h-19h; 19h-3h; 3h-11h) ou (11h-23h; 23h-11h); mais de 56 horas semanais, com pagamento d"&amp;"e horas extras após 40 horas semanais durante e após a safra. A carga horária de 40 horas semanais será mantida após a safra até o término do contrato. Horas extras conforme necessário após a safra. Os funcionários terão 30 minutos de intervalo para almoç"&amp;"o remunerado durante o expediente. Número de horas por semana: 56. Horário de trabalho (início/término): 11h às 19h.")</f>
        <v>Auxiliar nas análises de produtos e subprodutos do açúcar em todas as etapas do controle do processo de cana-de-açúcar, utilizando métodos e instrumentos padrão de laboratório. Classificação da vaga: 19-4012.00 - Técnicos Agrícolas. A classificação e descrição da vaga/setor inclui informações gerais sobre o cargo, de acordo com o ONET/OES e o Sistema de Classificação Industrial da América do Norte (NAICS). Consulte as atribuições e a Ordem de Serviço para obter mais informações. Requisitos da vaga: Experiência exigida: Sim. Meses de experiência exigidos: 3. Requisitos especiais: Disponibilidade para trabalhar 7 dias por semana, em turnos variados de 8 e 10-12 horas (11h-19h; 19h-3h; 3h-11h) ou (11h-23h; 23h-11h); mais de 56 horas semanais, com pagamento de horas extras após 40 horas semanais durante e após a safra. A carga horária de 40 horas semanais será mantida após a safra até o término do contrato. Horas extras conforme necessário após a safra. Os funcionários terão 30 minutos de intervalo para almoço remunerado durante o expediente. Número de horas por semana: 56. Horário de trabalho (início/término): 11h às 19h.</v>
      </c>
    </row>
    <row r="1262" ht="20.25" customHeight="1">
      <c r="A1262" s="3" t="s">
        <v>5602</v>
      </c>
      <c r="B1262" s="3" t="s">
        <v>5595</v>
      </c>
      <c r="C1262" s="3" t="s">
        <v>5466</v>
      </c>
      <c r="D1262" s="3" t="s">
        <v>28</v>
      </c>
      <c r="E1262" s="4" t="s">
        <v>19</v>
      </c>
      <c r="F1262" s="4" t="s">
        <v>20</v>
      </c>
      <c r="G1262" s="4" t="s">
        <v>94</v>
      </c>
      <c r="H1262" s="3" t="s">
        <v>5596</v>
      </c>
      <c r="I1262" s="3" t="s">
        <v>5597</v>
      </c>
      <c r="J1262" s="4">
        <v>16.26</v>
      </c>
      <c r="K1262" s="4">
        <v>3.0</v>
      </c>
      <c r="L1262" s="3" t="s">
        <v>5603</v>
      </c>
      <c r="M1262" s="3" t="s">
        <v>5604</v>
      </c>
      <c r="N1262" s="7" t="str">
        <f>IFERROR(__xludf.DUMMYFUNCTION("GOOGLETRANSLATE(L1262, ""en"", ""pt"")"),"Caldeira de açúcar C")</f>
        <v>Caldeira de açúcar C</v>
      </c>
      <c r="O1262" s="7" t="str">
        <f>IFERROR(__xludf.DUMMYFUNCTION("IF(M1262="""","""",GOOGLETRANSLATE(M1262,""en"",""pt""))"),"Auxiliar na operação de máquinas de cozimento a vácuo aquecidas a vapor, máquinas de cozimento em lote e cristalização para a fabricação de açúcar bruto durante a época da colheita, ajustando os medidores de temperatura e pressão nas máquinas de cozimento"&amp;" para produzir açúcar e realizando trabalhos relacionados à fervura do açúcar, conforme necessário ou designado. Classificação do Cargo: 51-3093.00 - Operadores e Auxiliares de Máquinas de Cozimento de Alimentos. A classificação e descrição do cargo/setor"&amp;" inclui informações gerais sobre a posição, de acordo com o ONET/OES e o Sistema de Classificação Industrial da América do Norte. Consulte as Funções e a Ordem de Serviço para obter mais informações. Requisitos do Cargo Experiência Necessária: Sim Meses d"&amp;"e Experiência Necessários: 3 Requisitos Especiais: Disponibilidade para trabalhar 7 dias por semana, em turnos variados de 8 e 10-12 horas (11h-19h; 19h-3h; 3h-11h) ou (11h-23h; 23h-11h); mais de 56 horas semanais, com pagamento de horas extras após 40 ho"&amp;"ras semanais durante e após a época da colheita. Serão oferecidas 40 horas semanais após a temporada de colheita até o término do contrato. Horas extras conforme necessário após a temporada de colheita. Os trabalhadores terão 30 minutos de intervalo para "&amp;"almoço remunerado durante o expediente. Número de horas por semana: 56. Horário de trabalho (início/término): 11h às 19h.")</f>
        <v>Auxiliar na operação de máquinas de cozimento a vácuo aquecidas a vapor, máquinas de cozimento em lote e cristalização para a fabricação de açúcar bruto durante a época da colheita, ajustando os medidores de temperatura e pressão nas máquinas de cozimento para produzir açúcar e realizando trabalhos relacionados à fervura do açúcar, conforme necessário ou designado. Classificação do Cargo: 51-3093.00 - Operadores e Auxiliares de Máquinas de Cozimento de Alimentos. A classificação e descrição do cargo/setor inclui informações gerais sobre a posição, de acordo com o ONET/OES e o Sistema de Classificação Industrial da América do Norte. Consulte as Funções e a Ordem de Serviço para obter mais informações. Requisitos do Cargo Experiência Necessária: Sim Meses de Experiência Necessários: 3 Requisitos Especiais: Disponibilidade para trabalhar 7 dias por semana, em turnos variados de 8 e 10-12 horas (11h-19h; 19h-3h; 3h-11h) ou (11h-23h; 23h-11h); mais de 56 horas semanais, com pagamento de horas extras após 40 horas semanais durante e após a época da colheita. Serão oferecidas 40 horas semanais após a temporada de colheita até o término do contrato. Horas extras conforme necessário após a temporada de colheita. Os trabalhadores terão 30 minutos de intervalo para almoço remunerado durante o expediente. Número de horas por semana: 56. Horário de trabalho (início/término): 11h às 19h.</v>
      </c>
    </row>
    <row r="1263" ht="20.25" customHeight="1">
      <c r="A1263" s="8" t="s">
        <v>5605</v>
      </c>
      <c r="B1263" s="8" t="s">
        <v>5595</v>
      </c>
      <c r="C1263" s="8" t="s">
        <v>5466</v>
      </c>
      <c r="D1263" s="8" t="s">
        <v>28</v>
      </c>
      <c r="E1263" s="9" t="s">
        <v>44</v>
      </c>
      <c r="F1263" s="9" t="s">
        <v>20</v>
      </c>
      <c r="G1263" s="9" t="s">
        <v>94</v>
      </c>
      <c r="H1263" s="8" t="s">
        <v>5596</v>
      </c>
      <c r="I1263" s="8" t="s">
        <v>5597</v>
      </c>
      <c r="J1263" s="9">
        <v>19.26</v>
      </c>
      <c r="K1263" s="9">
        <v>2.0</v>
      </c>
      <c r="L1263" s="8" t="s">
        <v>5606</v>
      </c>
      <c r="M1263" s="8" t="s">
        <v>5607</v>
      </c>
      <c r="N1263" s="7" t="str">
        <f>IFERROR(__xludf.DUMMYFUNCTION("GOOGLETRANSLATE(L1263, ""en"", ""pt"")"),"Queimador de bagaço")</f>
        <v>Queimador de bagaço</v>
      </c>
      <c r="O1263" s="7" t="str">
        <f>IFERROR(__xludf.DUMMYFUNCTION("IF(M1263="""","""",GOOGLETRANSLATE(M1263,""en"",""pt""))"),"Auxiliar na queima de bagaço em caldeiras, na limpeza e no esvaziamento das caldeiras durante a época da colheita. Classificação da vaga: 51-9198.00 - Auxiliares de Produção. A classificação e descrição da vaga/setor inclui informações gerais sobre o carg"&amp;"o, de acordo com o ONET/OES e o Sistema de Classificação Industrial da América do Norte (NAICS). Consulte as Funções e a Ordem de Serviço para obter mais informações. Requisitos da vaga: Experiência exigida: Sim. Meses de experiência exigidos: 3. Requisit"&amp;"os especiais: Disponibilidade para trabalhar 7 dias por semana, em turnos variados de 8 e 10 a 12 horas (11h-19h; 19h-3h; 3h-11h) ou (11h-23h; 23h-11h); mais de 56 horas semanais, com pagamento de horas extras após 40 horas semanais durante e após a época"&amp;" da colheita. A carga horária de 40 horas semanais será mantida após a época da colheita até o término do contrato. Horas extras conforme necessário após a época da colheita. Os funcionários terão 30 minutos de intervalo para almoço remunerado durante o e"&amp;"xpediente. Número de horas por semana: 56. Horário de trabalho (início/término): 11h às 19h.")</f>
        <v>Auxiliar na queima de bagaço em caldeiras, na limpeza e no esvaziamento das caldeiras durante a época da colheita. Classificação da vaga: 51-9198.00 - Auxiliares de Produção. A classificação e descrição da vaga/setor inclui informações gerais sobre o cargo, de acordo com o ONET/OES e o Sistema de Classificação Industrial da América do Norte (NAICS). Consulte as Funções e a Ordem de Serviço para obter mais informações. Requisitos da vaga: Experiência exigida: Sim. Meses de experiência exigidos: 3. Requisitos especiais: Disponibilidade para trabalhar 7 dias por semana, em turnos variados de 8 e 10 a 12 horas (11h-19h; 19h-3h; 3h-11h) ou (11h-23h; 23h-11h); mais de 56 horas semanais, com pagamento de horas extras após 40 horas semanais durante e após a época da colheita. A carga horária de 40 horas semanais será mantida após a época da colheita até o término do contrato. Horas extras conforme necessário após a época da colheita. Os funcionários terão 30 minutos de intervalo para almoço remunerado durante o expediente. Número de horas por semana: 56. Horário de trabalho (início/término): 11h às 19h.</v>
      </c>
    </row>
    <row r="1264" ht="20.25" customHeight="1">
      <c r="A1264" s="3" t="s">
        <v>5608</v>
      </c>
      <c r="B1264" s="3" t="s">
        <v>5609</v>
      </c>
      <c r="C1264" s="3" t="s">
        <v>4247</v>
      </c>
      <c r="D1264" s="3" t="s">
        <v>64</v>
      </c>
      <c r="E1264" s="4" t="s">
        <v>19</v>
      </c>
      <c r="F1264" s="4" t="s">
        <v>20</v>
      </c>
      <c r="G1264" s="4" t="s">
        <v>229</v>
      </c>
      <c r="H1264" s="3" t="s">
        <v>5610</v>
      </c>
      <c r="I1264" s="3" t="s">
        <v>5611</v>
      </c>
      <c r="J1264" s="4">
        <v>14.43</v>
      </c>
      <c r="K1264" s="4">
        <v>44.0</v>
      </c>
      <c r="L1264" s="3" t="s">
        <v>5612</v>
      </c>
      <c r="M1264" s="3" t="s">
        <v>5613</v>
      </c>
      <c r="N1264" s="7" t="str">
        <f>IFERROR(__xludf.DUMMYFUNCTION("GOOGLETRANSLATE(L1264, ""en"", ""pt"")"),"35-3023.00 Atendentes de Fast Food e Balcão – Concessão Móvel de Alimentos")</f>
        <v>35-3023.00 Atendentes de Fast Food e Balcão – Concessão Móvel de Alimentos</v>
      </c>
      <c r="O1264" s="7" t="str">
        <f>IFERROR(__xludf.DUMMYFUNCTION("IF(M1264="""","""",GOOGLETRANSLATE(M1264,""en"",""pt""))"),"Executar diversas tarefas de atendimento em barracas de comida móveis. Organizar mesas e decorações de acordo com as instruções. Comunicar-se com os clientes sobre os pedidos. Receber pagamentos dos clientes. Servir comidas, bebidas ou sobremesas aos clie"&amp;"ntes. Preparar os itens do cardápio diário e cozinhar alimentos e bebidas simples, utilizando as devidas precauções e medidas de segurança. Limpar e organizar as áreas de alimentação, serviço e cozinha. Realizar tarefas de limpeza para manter os equipamen"&amp;"tos e instalações higienizados. Classificação da vaga: 35-2019.00 - Cozinheiros, Outros. A classificação e descrição da vaga/setor incluem informações gerais sobre o cargo, de acordo com o ONET/OES e o Sistema de Classificação Industrial da América do Nor"&amp;"te. Consulte as Funções e a Ordem de Serviço para obter mais informações. Requisitos da vaga: Experiência exigida: Não. Requisitos especiais: Testes aleatórios de drogas e verificação de antecedentes criminais após a contratação podem ser exigidos, sem cu"&amp;"sto para o trabalhador. A vaga exige que o candidato seja qualificado, esteja pronto, disposto, apto e disponível para desempenhar as funções durante todo o período de emprego nos locais de trabalho designados e para seguir as normas do local de trabalho."&amp;" Número de horas por semana: 35 Horário de trabalho (início/término): 13h00 - 21h00")</f>
        <v>Executar diversas tarefas de atendimento em barracas de comida móveis. Organizar mesas e decorações de acordo com as instruções. Comunicar-se com os clientes sobre os pedidos. Receber pagamentos dos clientes. Servir comidas, bebidas ou sobremesas aos clientes. Preparar os itens do cardápio diário e cozinhar alimentos e bebidas simples, utilizando as devidas precauções e medidas de segurança. Limpar e organizar as áreas de alimentação, serviço e cozinha. Realizar tarefas de limpeza para manter os equipamentos e instalações higienizados. Classificação da vaga: 35-2019.00 - Cozinheiros, Outros. A classificação e descrição da vaga/setor incluem informações gerais sobre o cargo, de acordo com o ONET/OES e o Sistema de Classificação Industrial da América do Norte. Consulte as Funções e a Ordem de Serviço para obter mais informações. Requisitos da vaga: Experiência exigida: Não. Requisitos especiais: Testes aleatórios de drogas e verificação de antecedentes criminais após a contratação podem ser exigidos, sem custo para o trabalhador. A vaga exige que o candidato seja qualificado, esteja pronto, disposto, apto e disponível para desempenhar as funções durante todo o período de emprego nos locais de trabalho designados e para seguir as normas do local de trabalho. Número de horas por semana: 35 Horário de trabalho (início/término): 13h00 - 21h00</v>
      </c>
    </row>
    <row r="1265" ht="20.25" customHeight="1">
      <c r="A1265" s="8" t="s">
        <v>5614</v>
      </c>
      <c r="B1265" s="8" t="s">
        <v>5106</v>
      </c>
      <c r="C1265" s="8" t="s">
        <v>4241</v>
      </c>
      <c r="D1265" s="8" t="s">
        <v>71</v>
      </c>
      <c r="E1265" s="9" t="s">
        <v>19</v>
      </c>
      <c r="F1265" s="9" t="s">
        <v>20</v>
      </c>
      <c r="G1265" s="9" t="s">
        <v>5107</v>
      </c>
      <c r="H1265" s="8" t="s">
        <v>5108</v>
      </c>
      <c r="I1265" s="8" t="s">
        <v>5109</v>
      </c>
      <c r="J1265" s="9">
        <v>16.8</v>
      </c>
      <c r="K1265" s="9">
        <v>2.0</v>
      </c>
      <c r="L1265" s="8" t="s">
        <v>5615</v>
      </c>
      <c r="M1265" s="8" t="s">
        <v>5616</v>
      </c>
      <c r="N1265" s="7" t="str">
        <f>IFERROR(__xludf.DUMMYFUNCTION("GOOGLETRANSLATE(L1265, ""en"", ""pt"")"),"Concierge de estilo de vida")</f>
        <v>Concierge de estilo de vida</v>
      </c>
      <c r="O1265" s="7" t="str">
        <f>IFERROR(__xludf.DUMMYFUNCTION("IF(M1265="""","""",GOOGLETRANSLATE(M1265,""en"",""pt""))"),"Os Concierges de Estilo de Vida serão responsáveis ​​por prestar assistência aos membros, incluindo recepcioná-los e fornecer serviços personalizados, como auxílio com roupas, raquetes, calçados, acessórios e encomendas especiais. Promoverão programas, cl"&amp;"ínicas, eventos, aulas e atividades especiais de esportes com raquete para incentivar a participação dos membros. Gerenciarão as reservas de aulas particulares e atualizarão os agendamentos com precisão usando a plataforma digital de agendamento do clube."&amp;" Manterão os padrões de apresentação das mercadorias, reabastecerão o estoque e apoiarão a aparência e organização geral da loja de artigos de tênis. Proporcionarão uma presença acolhedora de concierge na academia e serão o primeiro ponto de contato para "&amp;"membros e visitantes que frequentam as instalações de fitness e spa. Atenderão telefonemas, e-mails e consultas presenciais de forma rápida e eficiente. Agendarão, modificarão e cancelarão serviços de spa, aulas de ginástica e sessões de treinamento pesso"&amp;"al. Processarão pagamentos, aplicarão descontos, conciliarão transações e auxiliarão no controle de estoque de produtos de varejo e spa. Proporcionarão uma presença acolhedora de concierge na área da piscina e auxiliarão os membros com informações gerais,"&amp;" coordenação de serviços e necessidades diárias. Auxiliar na gestão e coordenação de reservas de spa, tênis e atividades de lazer, incluindo agendamento de consultas, horários de quadra e serviços especiais; confirmar horários com membros e convidados; e "&amp;"garantir que todas as reservas sejam inseridas com precisão e comunicadas aos departamentos apropriados. Trabalhar com os membros para agendar serviços de spa ou partidas de tênis. Apoiar a promoção e comunicação de programas, eventos e atividades de spa,"&amp;" fitness e tênis por meio de diversos canais (e-mail, newsletters, painéis digitais e interações presenciais); fornecer informações claras e oportunas aos membros sobre horários, alterações e ofertas. Apoiar os procedimentos de abertura e fechamento e com"&amp;"unicar alterações de horários, preferências dos membros e solicitações especiais de forma clara com os membros da equipe. Os procedimentos de abertura incluem preparar as áreas de spa, fitness, tênis e piscina para as operações diárias, garantindo que tod"&amp;"os os espaços estejam limpos, organizados e totalmente abastecidos; organizar estações de trabalho, áreas de check-in e comodidades; revisar a programação diária de reservas, aulas e eventos; coordenar com os membros da equipe e outros departamentos (spa,"&amp;" tênis, alimentos e bebidas) para garantir a prontidão; e garantir que todos os sistemas (plataformas de reservas, telefones, ferramentas de comunicação) estejam operacionais. Os procedimentos de fechamento incluem auxiliar nas responsabilidades de final "&amp;"de expediente, como conciliar reservas e registros de atividades diárias, proteger informações confidenciais, desligar sistemas, organizar e preparar as áreas de trabalho e garantir que todos os espaços estejam limpos e prontos para o dia seguinte; report"&amp;"ar quaisquer problemas, necessidades de manutenção ou feedback dos hóspedes à gerência. Horário: 40 horas semanais. O horário de trabalho pode variar e incluir turnos noturnos, fins de semana e feriados. O trabalho pode ser realizado em qualquer dia da se"&amp;"mana, de segunda a domingo. Exemplos de turnos: das 6h às 14h ou das 10h às 18h. Os horários dos turnos podem variar. Consulte a descrição do cargo em anexo para obter mais informações. Classificação do Cargo: 39-3091.00 - Atendentes de Parques de Diversõ"&amp;"es e Recreação. A classificação e descrição do cargo/setor incluem informações gerais sobre a posição, de acordo com o ONET/OES e o Sistema de Classificação Industrial da América do Norte (NAICS). Consulte as Funções e a Ordem de Serviço para obter mais i"&amp;"nformações. Requisitos da vaga Experiência exigida: Sim Meses de experiência exigidos: 6 Requisitos especiais: O contratante considerará para emprego qualquer pessoa que possua pelo menos seis (6) meses de experiência em atendimento ao cliente em um resor"&amp;"t de alto padrão ou clube privado. O candidato deverá se submeter à verificação de antecedentes e ao exame toxicológico pré-admissional, às custas do empregador. Número de horas por semana: 40 Horário de trabalho (início/término): 6h às 14h")</f>
        <v>Os Concierges de Estilo de Vida serão responsáveis ​​por prestar assistência aos membros, incluindo recepcioná-los e fornecer serviços personalizados, como auxílio com roupas, raquetes, calçados, acessórios e encomendas especiais. Promoverão programas, clínicas, eventos, aulas e atividades especiais de esportes com raquete para incentivar a participação dos membros. Gerenciarão as reservas de aulas particulares e atualizarão os agendamentos com precisão usando a plataforma digital de agendamento do clube. Manterão os padrões de apresentação das mercadorias, reabastecerão o estoque e apoiarão a aparência e organização geral da loja de artigos de tênis. Proporcionarão uma presença acolhedora de concierge na academia e serão o primeiro ponto de contato para membros e visitantes que frequentam as instalações de fitness e spa. Atenderão telefonemas, e-mails e consultas presenciais de forma rápida e eficiente. Agendarão, modificarão e cancelarão serviços de spa, aulas de ginástica e sessões de treinamento pessoal. Processarão pagamentos, aplicarão descontos, conciliarão transações e auxiliarão no controle de estoque de produtos de varejo e spa. Proporcionarão uma presença acolhedora de concierge na área da piscina e auxiliarão os membros com informações gerais, coordenação de serviços e necessidades diárias. Auxiliar na gestão e coordenação de reservas de spa, tênis e atividades de lazer, incluindo agendamento de consultas, horários de quadra e serviços especiais; confirmar horários com membros e convidados; e garantir que todas as reservas sejam inseridas com precisão e comunicadas aos departamentos apropriados. Trabalhar com os membros para agendar serviços de spa ou partidas de tênis. Apoiar a promoção e comunicação de programas, eventos e atividades de spa, fitness e tênis por meio de diversos canais (e-mail, newsletters, painéis digitais e interações presenciais); fornecer informações claras e oportunas aos membros sobre horários, alterações e ofertas. Apoiar os procedimentos de abertura e fechamento e comunicar alterações de horários, preferências dos membros e solicitações especiais de forma clara com os membros da equipe. Os procedimentos de abertura incluem preparar as áreas de spa, fitness, tênis e piscina para as operações diárias, garantindo que todos os espaços estejam limpos, organizados e totalmente abastecidos; organizar estações de trabalho, áreas de check-in e comodidades; revisar a programação diária de reservas, aulas e eventos; coordenar com os membros da equipe e outros departamentos (spa, tênis, alimentos e bebidas) para garantir a prontidão; e garantir que todos os sistemas (plataformas de reservas, telefones, ferramentas de comunicação) estejam operacionais. Os procedimentos de fechamento incluem auxiliar nas responsabilidades de final de expediente, como conciliar reservas e registros de atividades diárias, proteger informações confidenciais, desligar sistemas, organizar e preparar as áreas de trabalho e garantir que todos os espaços estejam limpos e prontos para o dia seguinte; reportar quaisquer problemas, necessidades de manutenção ou feedback dos hóspedes à gerência. Horário: 40 horas semanais. O horário de trabalho pode variar e incluir turnos noturnos, fins de semana e feriados. O trabalho pode ser realizado em qualquer dia da semana, de segunda a domingo. Exemplos de turnos: das 6h às 14h ou das 10h às 18h. Os horários dos turnos podem variar. Consulte a descrição do cargo em anexo para obter mais informações. Classificação do Cargo: 39-3091.00 - Atendentes de Parques de Diversões e Recreação. A classificação e descrição do cargo/setor incluem informações gerais sobre a posição, de acordo com o ONET/OES e o Sistema de Classificação Industrial da América do Norte (NAICS). Consulte as Funções e a Ordem de Serviço para obter mais informações. Requisitos da vaga Experiência exigida: Sim Meses de experiência exigidos: 6 Requisitos especiais: O contratante considerará para emprego qualquer pessoa que possua pelo menos seis (6) meses de experiência em atendimento ao cliente em um resort de alto padrão ou clube privado. O candidato deverá se submeter à verificação de antecedentes e ao exame toxicológico pré-admissional, às custas do empregador. Número de horas por semana: 40 Horário de trabalho (início/término): 6h às 14h</v>
      </c>
    </row>
    <row r="1266" ht="20.25" customHeight="1">
      <c r="A1266" s="3" t="s">
        <v>5617</v>
      </c>
      <c r="B1266" s="3" t="s">
        <v>5618</v>
      </c>
      <c r="C1266" s="3" t="s">
        <v>1030</v>
      </c>
      <c r="D1266" s="3" t="s">
        <v>64</v>
      </c>
      <c r="E1266" s="4" t="s">
        <v>19</v>
      </c>
      <c r="F1266" s="4" t="s">
        <v>20</v>
      </c>
      <c r="G1266" s="4" t="s">
        <v>118</v>
      </c>
      <c r="H1266" s="3" t="s">
        <v>5619</v>
      </c>
      <c r="I1266" s="3" t="s">
        <v>5620</v>
      </c>
      <c r="J1266" s="4">
        <v>22.61</v>
      </c>
      <c r="K1266" s="4">
        <v>20.0</v>
      </c>
      <c r="L1266" s="3" t="s">
        <v>5621</v>
      </c>
      <c r="M1266" s="3" t="s">
        <v>5622</v>
      </c>
      <c r="N1266" s="7" t="str">
        <f>IFERROR(__xludf.DUMMYFUNCTION("GOOGLETRANSLATE(L1266, ""en"", ""pt"")"),"Podadores de árvores, podadores de galhos e trabalhadores de paisagismo")</f>
        <v>Podadores de árvores, podadores de galhos e trabalhadores de paisagismo</v>
      </c>
      <c r="O1266" s="7" t="str">
        <f>IFERROR(__xludf.DUMMYFUNCTION("IF(M1266="""","""",GOOGLETRANSLATE(M1266,""en"",""pt""))"),"Limpar áreas com materiais lenhosos e herbáceos, como tocos de árvores, árvores caídas e galhos, utilizando minicarregadeiras (Kubota SSV65P, 3.200 kg, 64 HP, dimensões com caçamba 3,35 x 2,13 x 1,83 m). Cortar galhos mortos e em excesso das árvores. Carr"&amp;"egar detritos e lixo em caminhões e transportá-los para descarte. Operar equipamentos de trituração e alimentação de galhos e arbustos nas máquinas. Necessário ser capaz de carregar e descarregar equipamentos e materiais. O trabalho será realizado em gram"&amp;"ados de construções residenciais e não envolve escalada. Envolve o carregamento e descarregamento de ferramentas, suprimentos e equipamentos com peso de até 23 kg. Envolve trabalho ao ar livre em todos os tipos de clima. Envolve ficar em pé, sentado ou ca"&amp;"minhando por longos períodos. Envolve agachar-se ou curvar-se com frequência. Envolve movimentos repetitivos. Teste de drogas pós-contratação/pago pelo empregador. Verificação de antecedentes pós-contratação/paga pelo empregador. Possibilidade de aumento "&amp;"salarial com base no desempenho, bônus, horas extras e trabalho aos sábados, conforme necessário. Transporte fornecido para vários locais de trabalho a partir de uma localização central em Ponder, TX. Intervalos de 60 minutos não remunerados ao longo do d"&amp;"ia. O horário de trabalho diário pode variar entre os horários de início e término listados, dependendo das condições climáticas ou das tarefas atribuídas. Classificação do Cargo: 37-3019.00 - Trabalhadores de Manutenção de Jardins, Outros. A classificaçã"&amp;"o e descrição do cargo/setor incluem informações gerais sobre a posição, de acordo com o ONET/OES e o Sistema de Classificação Industrial da América do Norte (NAICS). Consulte as Funções e a Ordem de Serviço para obter mais informações. Requisitos do Carg"&amp;"o: Experiência Necessária: Não. Número de Horas por Semana: 40. Horário de Trabalho (Início/Término): 7h às 18h.")</f>
        <v>Limpar áreas com materiais lenhosos e herbáceos, como tocos de árvores, árvores caídas e galhos, utilizando minicarregadeiras (Kubota SSV65P, 3.200 kg, 64 HP, dimensões com caçamba 3,35 x 2,13 x 1,83 m). Cortar galhos mortos e em excesso das árvores. Carregar detritos e lixo em caminhões e transportá-los para descarte. Operar equipamentos de trituração e alimentação de galhos e arbustos nas máquinas. Necessário ser capaz de carregar e descarregar equipamentos e materiais. O trabalho será realizado em gramados de construções residenciais e não envolve escalada. Envolve o carregamento e descarregamento de ferramentas, suprimentos e equipamentos com peso de até 23 kg. Envolve trabalho ao ar livre em todos os tipos de clima. Envolve ficar em pé, sentado ou caminhando por longos períodos. Envolve agachar-se ou curvar-se com frequência. Envolve movimentos repetitivos. Teste de drogas pós-contratação/pago pelo empregador. Verificação de antecedentes pós-contratação/paga pelo empregador. Possibilidade de aumento salarial com base no desempenho, bônus, horas extras e trabalho aos sábados, conforme necessário. Transporte fornecido para vários locais de trabalho a partir de uma localização central em Ponder, TX. Intervalos de 60 minutos não remunerados ao longo do dia. O horário de trabalho diário pode variar entre os horários de início e término listados, dependendo das condições climáticas ou das tarefas atribuídas. Classificação do Cargo: 37-3019.00 - Trabalhadores de Manutenção de Jardins, Outros. A classificação e descrição do cargo/setor incluem informações gerais sobre a posição, de acordo com o ONET/OES e o Sistema de Classificação Industrial da América do Norte (NAICS). Consulte as Funções e a Ordem de Serviço para obter mais informações. Requisitos do Cargo: Experiência Necessária: Não. Número de Horas por Semana: 40. Horário de Trabalho (Início/Término): 7h às 18h.</v>
      </c>
    </row>
    <row r="1267" ht="20.25" customHeight="1">
      <c r="A1267" s="8" t="s">
        <v>5623</v>
      </c>
      <c r="B1267" s="8" t="s">
        <v>5624</v>
      </c>
      <c r="C1267" s="8" t="s">
        <v>5625</v>
      </c>
      <c r="D1267" s="8" t="s">
        <v>87</v>
      </c>
      <c r="E1267" s="9" t="s">
        <v>44</v>
      </c>
      <c r="F1267" s="9" t="s">
        <v>20</v>
      </c>
      <c r="G1267" s="9" t="s">
        <v>524</v>
      </c>
      <c r="H1267" s="8" t="s">
        <v>5626</v>
      </c>
      <c r="I1267" s="8" t="s">
        <v>5627</v>
      </c>
      <c r="J1267" s="9">
        <v>14.95</v>
      </c>
      <c r="K1267" s="9">
        <v>4.0</v>
      </c>
      <c r="L1267" s="8" t="s">
        <v>5628</v>
      </c>
      <c r="M1267" s="8" t="s">
        <v>5629</v>
      </c>
      <c r="N1267" s="7" t="str">
        <f>IFERROR(__xludf.DUMMYFUNCTION("GOOGLETRANSLATE(L1267, ""en"", ""pt"")"),"Faxineiro/zelador")</f>
        <v>Faxineiro/zelador</v>
      </c>
      <c r="O1267" s="7" t="str">
        <f>IFERROR(__xludf.DUMMYFUNCTION("IF(M1267="""","""",GOOGLETRANSLATE(M1267,""en"",""pt""))"),"Executar tarefas gerais de limpeza em edifícios comerciais e escritórios, incluindo varrer, passar pano, aspirar, tirar o pó, higienizar banheiros e esvaziar lixeiras. Manter a limpeza das áreas comuns e repor os materiais de limpeza conforme necessário. "&amp;"Seguir os procedimentos de segurança e limpeza estabelecidos. Classificação da vaga: 37-2011.00 - Zeladores e Faxineiros, exceto empregadas domésticas e auxiliares de limpeza. A classificação e descrição da vaga/setor incluem informações gerais sobre o ca"&amp;"rgo, de acordo com o ONET/OES e o Sistema de Classificação Industrial da América do Norte (NAICS). Consulte as Funções e a Ordem de Serviço para obter mais informações. Requisitos da vaga Experiência necessária: Não Requisitos especiais: 1. Aprovação na v"&amp;"erificação de antecedentes pré-emprego. 2. Capacidade de levantar objetos pesados. 3. Carteira de habilitação sem restrições é desejável. 4. Carteira de habilitação sem restrições é desejável, mas não obrigatória. A data prevista para início das atividade"&amp;"s é 1º de outubro de 2026 e término em 26 de maio de 2027. A área geográfica de atuação é Hilton Head, Carolina do Sul. O treinamento será fornecido no local de trabalho. O empregador fará todos os descontos exigidos por lei no contracheque do trabalhador"&amp;". Se o trabalhador tiver cumprido 50% do período do contrato de trabalho, o empregador pagará diretamente e/ou reembolsará o trabalhador pelas despesas de transporte e alimentação do local de recrutamento até o local de trabalho. Ao término do contrato de"&amp;" trabalho ou em caso de demissão antecipada, o empregador fornecerá ou pagará os custos razoáveis ​​de transporte e alimentação do trabalhador para o retorno para casa ou para o local de onde ele partiu para trabalhar, exceto nos casos em que o trabalhado"&amp;"r não retornar devido a um novo emprego com outro empregador. O empregador pagará diretamente e/ou reembolsará o trabalhador por todos os custos razoáveis ​​de transporte e alimentação de ida durante a primeira semana de trabalho. O empregador pagará dire"&amp;"tamente e/ou reembolsará o trabalhador por todos os custos razoáveis ​​de transporte e alimentação de ida durante a última semana de trabalho. O valor do pagamento ou reembolso do transporte será equivalente ao da transportadora mais econômica e razoável "&amp;"para as distâncias envolvidas. Será fornecida uma diária de subsistência no valor de US$ 16,78 por dia durante a viagem, até um máximo de US$ 68,00 por dia, mediante apresentação de recibos. O empregador garante oferecer trabalho por um número de horas eq"&amp;"uivalente a pelo menos três quartos dos dias úteis em cada período de 12 semanas do período total de emprego. O empregador reembolsará o trabalhador na primeira semana de trabalho por todas as taxas de visto, processamento de visto, travessia de fronteira"&amp;" e outras taxas relacionadas, incluindo as exigidas pelo governo, incorridas pelo trabalhador. O empregador também fornecerá aos trabalhadores com visto H-2B, sem custo ou depósito, todas as ferramentas, suprimentos e equipamentos necessários para o desem"&amp;"penho das funções atribuídas. Número de horas por semana: 40. Horário de trabalho (início/término): 15h00 - 00h00.")</f>
        <v>Executar tarefas gerais de limpeza em edifícios comerciais e escritórios, incluindo varrer, passar pano, aspirar, tirar o pó, higienizar banheiros e esvaziar lixeiras. Manter a limpeza das áreas comuns e repor os materiais de limpeza conforme necessário. Seguir os procedimentos de segurança e limpeza estabelecidos. Classificação da vaga: 37-2011.00 - Zeladores e Faxineiros, exceto empregadas domésticas e auxiliares de limpeza. A classificação e descrição da vaga/setor incluem informações gerais sobre o cargo, de acordo com o ONET/OES e o Sistema de Classificação Industrial da América do Norte (NAICS). Consulte as Funções e a Ordem de Serviço para obter mais informações. Requisitos da vaga Experiência necessária: Não Requisitos especiais: 1. Aprovação na verificação de antecedentes pré-emprego. 2. Capacidade de levantar objetos pesados. 3. Carteira de habilitação sem restrições é desejável. 4. Carteira de habilitação sem restrições é desejável, mas não obrigatória. A data prevista para início das atividades é 1º de outubro de 2026 e término em 26 de maio de 2027. A área geográfica de atuação é Hilton Head, Carolina do Sul. O treinamento será fornecido no local de trabalho. O empregador fará todos os descontos exigidos por lei no contracheque do trabalhador. Se o trabalhador tiver cumprido 50% do período do contrato de trabalho, o empregador pagará diretamente e/ou reembolsará o trabalhador pelas despesas de transporte e alimentação do local de recrutamento até o local de trabalho. Ao término do contrato de trabalho ou em caso de demissão antecipada, o empregador fornecerá ou pagará os custos razoáveis ​​de transporte e alimentação do trabalhador para o retorno para casa ou para o local de onde ele partiu para trabalhar, exceto nos casos em que o trabalhador não retornar devido a um novo emprego com outro empregador. O empregador pagará diretamente e/ou reembolsará o trabalhador por todos os custos razoáveis ​​de transporte e alimentação de ida durante a primeira semana de trabalho. O empregador pagará diretamente e/ou reembolsará o trabalhador por todos os custos razoáveis ​​de transporte e alimentação de ida durante a última semana de trabalho. O valor do pagamento ou reembolso do transporte será equivalente ao da transportadora mais econômica e razoável para as distâncias envolvidas. Será fornecida uma diária de subsistência no valor de US$ 16,78 por dia durante a viagem, até um máximo de US$ 68,00 por dia, mediante apresentação de recibos. O empregador garante oferecer trabalho por um número de horas equivalente a pelo menos três quartos dos dias úteis em cada período de 12 semanas do período total de emprego. O empregador reembolsará o trabalhador na primeira semana de trabalho por todas as taxas de visto, processamento de visto, travessia de fronteira e outras taxas relacionadas, incluindo as exigidas pelo governo, incorridas pelo trabalhador. O empregador também fornecerá aos trabalhadores com visto H-2B, sem custo ou depósito, todas as ferramentas, suprimentos e equipamentos necessários para o desempenho das funções atribuídas. Número de horas por semana: 40. Horário de trabalho (início/término): 15h00 - 00h00.</v>
      </c>
    </row>
    <row r="1268" ht="20.25" customHeight="1">
      <c r="A1268" s="3" t="s">
        <v>5630</v>
      </c>
      <c r="B1268" s="3" t="s">
        <v>5631</v>
      </c>
      <c r="C1268" s="3" t="s">
        <v>5466</v>
      </c>
      <c r="D1268" s="3" t="s">
        <v>28</v>
      </c>
      <c r="E1268" s="4" t="s">
        <v>19</v>
      </c>
      <c r="F1268" s="4" t="s">
        <v>20</v>
      </c>
      <c r="G1268" s="4" t="s">
        <v>94</v>
      </c>
      <c r="H1268" s="3" t="s">
        <v>5473</v>
      </c>
      <c r="I1268" s="3" t="s">
        <v>5474</v>
      </c>
      <c r="J1268" s="4">
        <v>30.72</v>
      </c>
      <c r="K1268" s="4">
        <v>1.0</v>
      </c>
      <c r="L1268" s="3" t="s">
        <v>5632</v>
      </c>
      <c r="M1268" s="3" t="s">
        <v>5633</v>
      </c>
      <c r="N1268" s="7" t="str">
        <f>IFERROR(__xludf.DUMMYFUNCTION("GOOGLETRANSLATE(L1268, ""en"", ""pt"")"),"Técnico Analista de Açúcar")</f>
        <v>Técnico Analista de Açúcar</v>
      </c>
      <c r="O1268" s="7" t="str">
        <f>IFERROR(__xludf.DUMMYFUNCTION("IF(M1268="""","""",GOOGLETRANSLATE(M1268,""en"",""pt""))"),"Um Técnico Analista de Açúcar analisa açúcar bruto e caldo de cana para a produção de açúcar bruto a partir da cana-de-açúcar. Ele utiliza os seguintes equipamentos para confirmar a cor, o teor de açúcar e garantir que o produto final atenda aos níveis co"&amp;"rretos de pH, Brix, pol, amido, dextrana, redução de açúcar, bagacillo e cor. Os equipamentos utilizados para realizar esse processo são: hidrômetro, espectrofotômetro, turbidímetro, condutivímetro, estufa a vácuo e medidor de pH. Este profissional trabal"&amp;"ha no laboratório, manipulando amostras de açúcar durante todo o processo de produção do açúcar bruto. Classificação da Função: 19-1012.00 - Cientistas e Tecnólogos de Alimentos. A classificação e descrição da função/indústria incluem informações gerais s"&amp;"obre o cargo, de acordo com o ONET/OES e o Sistema de Classificação Industrial da América do Norte (NAICS). Consulte as Atribuições e a Ordem de Serviço para obter mais informações. Requisitos da vaga Experiência necessária: Sim Meses de experiência neces"&amp;"sários: 6 Requisitos especiais: Disponibilidade para trabalhar 7 dias por semana, em turnos variáveis ​​de 12 horas (12h-00h; 00h-12h); horas extras pagas após 48 horas semanais durante a temporada de colheita; 40 horas semanais após a temporada de colhei"&amp;"ta até o término do contrato. Horas extras conforme necessário após a temporada de colheita. Os trabalhadores terão 30 minutos de intervalo para almoço remunerado durante o expediente. Um auxílio-alimentação semanal será fornecido ao trabalhador. Número d"&amp;"e horas por semana: 84 Horário de trabalho (início/término): 12h - 00h")</f>
        <v>Um Técnico Analista de Açúcar analisa açúcar bruto e caldo de cana para a produção de açúcar bruto a partir da cana-de-açúcar. Ele utiliza os seguintes equipamentos para confirmar a cor, o teor de açúcar e garantir que o produto final atenda aos níveis corretos de pH, Brix, pol, amido, dextrana, redução de açúcar, bagacillo e cor. Os equipamentos utilizados para realizar esse processo são: hidrômetro, espectrofotômetro, turbidímetro, condutivímetro, estufa a vácuo e medidor de pH. Este profissional trabalha no laboratório, manipulando amostras de açúcar durante todo o processo de produção do açúcar bruto. Classificação da Função: 19-1012.00 - Cientistas e Tecnólogos de Alimentos. A classificação e descrição da função/indústria incluem informações gerais sobre o cargo, de acordo com o ONET/OES e o Sistema de Classificação Industrial da América do Norte (NAICS). Consulte as Atribuições e a Ordem de Serviço para obter mais informações. Requisitos da vaga Experiência necessária: Sim Meses de experiência necessários: 6 Requisitos especiais: Disponibilidade para trabalhar 7 dias por semana, em turnos variáveis ​​de 12 horas (12h-00h; 00h-12h); horas extras pagas após 48 horas semanais durante a temporada de colheita; 40 horas semanais após a temporada de colheita até o término do contrato. Horas extras conforme necessário após a temporada de colheita. Os trabalhadores terão 30 minutos de intervalo para almoço remunerado durante o expediente. Um auxílio-alimentação semanal será fornecido ao trabalhador. Número de horas por semana: 84 Horário de trabalho (início/término): 12h - 00h</v>
      </c>
    </row>
    <row r="1269" ht="20.25" customHeight="1">
      <c r="A1269" s="8" t="s">
        <v>5634</v>
      </c>
      <c r="B1269" s="8" t="s">
        <v>5631</v>
      </c>
      <c r="C1269" s="8" t="s">
        <v>5466</v>
      </c>
      <c r="D1269" s="8" t="s">
        <v>28</v>
      </c>
      <c r="E1269" s="9" t="s">
        <v>19</v>
      </c>
      <c r="F1269" s="9" t="s">
        <v>20</v>
      </c>
      <c r="G1269" s="9" t="s">
        <v>94</v>
      </c>
      <c r="H1269" s="8" t="s">
        <v>5473</v>
      </c>
      <c r="I1269" s="8" t="s">
        <v>5474</v>
      </c>
      <c r="J1269" s="9">
        <v>22.66</v>
      </c>
      <c r="K1269" s="9">
        <v>8.0</v>
      </c>
      <c r="L1269" s="8" t="s">
        <v>2213</v>
      </c>
      <c r="M1269" s="8" t="s">
        <v>5635</v>
      </c>
      <c r="N1269" s="7" t="str">
        <f>IFERROR(__xludf.DUMMYFUNCTION("GOOGLETRANSLATE(L1269, ""en"", ""pt"")"),"Operador de caminhão e trator industrial")</f>
        <v>Operador de caminhão e trator industrial</v>
      </c>
      <c r="O1269" s="7" t="str">
        <f>IFERROR(__xludf.DUMMYFUNCTION("IF(M1269="""","""",GOOGLETRANSLATE(M1269,""en"",""pt""))"),"Operar um trator (trator com pá carregadeira) no pátio da usina, transportando a cana-de-açúcar colhida do local onde o agricultor a descarregou até a fábrica para iniciar o processo de beneficiamento. Este operador de trator opera a pá carregadeira somen"&amp;"te no pátio da usina, nunca em vias públicas. Uma usina recebe aproximadamente 12.000 toneladas de cana-de-açúcar colhida por dia. Os caminhões dos agricultores são pesados ​​e descarregados em um local designado, de onde o operador do trator transporta a"&amp;" cana colhida até a usina, tudo isso nas imediações da usina de açúcar. Este processo funciona 24 horas por dia, 7 dias por semana, durante a safra de colheita e beneficiamento da cana-de-açúcar. A manutenção básica da pá carregadeira (trator) pode inclui"&amp;"r a verificação dos níveis de fluidos, abastecimento de combustível, verificação do nível de óleo e lubrificação das peças mecânicas. A pá carregadeira é limpa diariamente, removendo-se os detritos com vassouras, toalhas, mangueira de água ou manualmente."&amp;" Classificação da Função: 53-7051.00 - Operadores de Caminhões e Tratores Industriais. A classificação e descrição da função/indústria inclui informações gerais sobre o cargo, de acordo com o ONET/OES e o Sistema de Classificação Industrial da América do "&amp;"Norte (NAICS). Consulte as Funções e a Ordem de Serviço para obter mais informações. Requisitos da Função Experiência Necessária: Sim Meses de Experiência Necessários: 3 Requisitos Especiais: Disponibilidade para trabalhar 7 dias por semana, em turnos var"&amp;"iáveis ​​de 12 horas (12h-00h; 00h-12h); horas extras pagas após 48 horas semanais durante a temporada de colheita; 40 horas semanais após a temporada de colheita até o término do contrato. Horas extras conforme necessário após a temporada de colheita. Os"&amp;" trabalhadores terão 30 minutos de intervalo para almoço remunerado durante o expediente. Um auxílio-alimentação semanal será fornecido ao trabalhador. Número de Horas por Semana: 84 Horário de Trabalho (Início/Término): 12:00 - 00:00")</f>
        <v>Operar um trator (trator com pá carregadeira) no pátio da usina, transportando a cana-de-açúcar colhida do local onde o agricultor a descarregou até a fábrica para iniciar o processo de beneficiamento. Este operador de trator opera a pá carregadeira somente no pátio da usina, nunca em vias públicas. Uma usina recebe aproximadamente 12.000 toneladas de cana-de-açúcar colhida por dia. Os caminhões dos agricultores são pesados ​​e descarregados em um local designado, de onde o operador do trator transporta a cana colhida até a usina, tudo isso nas imediações da usina de açúcar. Este processo funciona 24 horas por dia, 7 dias por semana, durante a safra de colheita e beneficiamento da cana-de-açúcar. A manutenção básica da pá carregadeira (trator) pode incluir a verificação dos níveis de fluidos, abastecimento de combustível, verificação do nível de óleo e lubrificação das peças mecânicas. A pá carregadeira é limpa diariamente, removendo-se os detritos com vassouras, toalhas, mangueira de água ou manualmente. Classificação da Função: 53-7051.00 - Operadores de Caminhões e Tratores Industriais. A classificação e descrição da função/indústria inclui informações gerais sobre o cargo, de acordo com o ONET/OES e o Sistema de Classificação Industrial da América do Norte (NAICS). Consulte as Funções e a Ordem de Serviço para obter mais informações. Requisitos da Função Experiência Necessária: Sim Meses de Experiência Necessários: 3 Requisitos Especiais: Disponibilidade para trabalhar 7 dias por semana, em turnos variáveis ​​de 12 horas (12h-00h; 00h-12h); horas extras pagas após 48 horas semanais durante a temporada de colheita; 40 horas semanais após a temporada de colheita até o término do contrato. Horas extras conforme necessário após a temporada de colheita. Os trabalhadores terão 30 minutos de intervalo para almoço remunerado durante o expediente. Um auxílio-alimentação semanal será fornecido ao trabalhador. Número de Horas por Semana: 84 Horário de Trabalho (Início/Término): 12:00 - 00:00</v>
      </c>
    </row>
    <row r="1270" ht="20.25" customHeight="1">
      <c r="A1270" s="3" t="s">
        <v>5636</v>
      </c>
      <c r="B1270" s="3" t="s">
        <v>5631</v>
      </c>
      <c r="C1270" s="3" t="s">
        <v>5466</v>
      </c>
      <c r="D1270" s="3" t="s">
        <v>28</v>
      </c>
      <c r="E1270" s="4" t="s">
        <v>44</v>
      </c>
      <c r="F1270" s="4" t="s">
        <v>20</v>
      </c>
      <c r="G1270" s="4" t="s">
        <v>94</v>
      </c>
      <c r="H1270" s="3" t="s">
        <v>5473</v>
      </c>
      <c r="I1270" s="3" t="s">
        <v>5474</v>
      </c>
      <c r="J1270" s="4">
        <v>16.26</v>
      </c>
      <c r="K1270" s="4">
        <v>2.0</v>
      </c>
      <c r="L1270" s="3" t="s">
        <v>5603</v>
      </c>
      <c r="M1270" s="3" t="s">
        <v>5637</v>
      </c>
      <c r="N1270" s="7" t="str">
        <f>IFERROR(__xludf.DUMMYFUNCTION("GOOGLETRANSLATE(L1270, ""en"", ""pt"")"),"Caldeira de açúcar C")</f>
        <v>Caldeira de açúcar C</v>
      </c>
      <c r="O1270" s="7" t="str">
        <f>IFERROR(__xludf.DUMMYFUNCTION("IF(M1270="""","""",GOOGLETRANSLATE(M1270,""en"",""pt""))"),"Auxiliar na operação de máquinas de cozimento a vácuo aquecidas a vapor, máquinas de cozimento em lote e cristalização para a fabricação de açúcar bruto durante a época da colheita, ajustando os medidores de temperatura e pressão nas máquinas de cozimento"&amp;" para produzir açúcar e realizando trabalhos relacionados à fervura do açúcar, conforme necessário ou designado. Classificação do Cargo: 51-3093.00 - Operadores e Auxiliares de Máquinas de Cozimento de Alimentos. A classificação e descrição do cargo/setor"&amp;" inclui informações gerais sobre a posição, de acordo com o ONET/OES e o Sistema de Classificação Industrial da América do Norte. Consulte as Funções e a Ordem de Serviço para obter mais informações. Requisitos do Cargo Experiência Necessária: Sim Meses d"&amp;"e Experiência Necessários: 3 Requisitos Especiais: Disponibilidade para trabalhar 7 dias por semana, em turnos variáveis ​​de 12 horas (12h-00h; 00h-12h); horas extras pagas após 48 horas semanais durante a época da colheita; 40 horas semanais após a époc"&amp;"a da colheita até o término do contrato. Horas extras conforme necessário após a época da colheita. Os trabalhadores terão 30 minutos de intervalo para almoço remunerado durante o expediente. Um auxílio-alimentação semanal será fornecido ao trabalhador. N"&amp;"úmero de horas por semana: 84 Horário de trabalho (início/término): 12:00 - 00:00")</f>
        <v>Auxiliar na operação de máquinas de cozimento a vácuo aquecidas a vapor, máquinas de cozimento em lote e cristalização para a fabricação de açúcar bruto durante a época da colheita, ajustando os medidores de temperatura e pressão nas máquinas de cozimento para produzir açúcar e realizando trabalhos relacionados à fervura do açúcar, conforme necessário ou designado. Classificação do Cargo: 51-3093.00 - Operadores e Auxiliares de Máquinas de Cozimento de Alimentos. A classificação e descrição do cargo/setor inclui informações gerais sobre a posição, de acordo com o ONET/OES e o Sistema de Classificação Industrial da América do Norte. Consulte as Funções e a Ordem de Serviço para obter mais informações. Requisitos do Cargo Experiência Necessária: Sim Meses de Experiência Necessários: 3 Requisitos Especiais: Disponibilidade para trabalhar 7 dias por semana, em turnos variáveis ​​de 12 horas (12h-00h; 00h-12h); horas extras pagas após 48 horas semanais durante a época da colheita; 40 horas semanais após a época da colheita até o término do contrato. Horas extras conforme necessário após a época da colheita. Os trabalhadores terão 30 minutos de intervalo para almoço remunerado durante o expediente. Um auxílio-alimentação semanal será fornecido ao trabalhador. Número de horas por semana: 84 Horário de trabalho (início/término): 12:00 - 00:00</v>
      </c>
    </row>
    <row r="1271" ht="20.25" customHeight="1">
      <c r="A1271" s="8" t="s">
        <v>5638</v>
      </c>
      <c r="B1271" s="8" t="s">
        <v>5639</v>
      </c>
      <c r="C1271" s="8"/>
      <c r="D1271" s="8" t="s">
        <v>87</v>
      </c>
      <c r="E1271" s="9" t="s">
        <v>19</v>
      </c>
      <c r="F1271" s="9" t="s">
        <v>20</v>
      </c>
      <c r="G1271" s="9" t="s">
        <v>3339</v>
      </c>
      <c r="H1271" s="8" t="s">
        <v>5640</v>
      </c>
      <c r="I1271" s="8" t="s">
        <v>5641</v>
      </c>
      <c r="J1271" s="9">
        <v>17.87</v>
      </c>
      <c r="K1271" s="9">
        <v>21.0</v>
      </c>
      <c r="L1271" s="8" t="s">
        <v>5642</v>
      </c>
      <c r="M1271" s="8" t="s">
        <v>5643</v>
      </c>
      <c r="N1271" s="7" t="str">
        <f>IFERROR(__xludf.DUMMYFUNCTION("GOOGLETRANSLATE(L1271, ""en"", ""pt"")"),"Trabalhador Florestal")</f>
        <v>Trabalhador Florestal</v>
      </c>
      <c r="O1271" s="7" t="str">
        <f>IFERROR(__xludf.DUMMYFUNCTION("IF(M1271="""","""",GOOGLETRANSLATE(M1271,""en"",""pt""))"),"O trabalhador irá rastelar e enfardar agulhas de pinheiro do solo da floresta. As agulhas de pinheiro são um produto paisagístico comum em lojas, viveiros e utilizado por paisagistas. Essas agulhas provêm de árvores florestais. A seguir, descreve-se o pro"&amp;"cesso de coleta das agulhas de pinheiro. O trabalhador utilizará um rastelo, um forcado e uma enfardadeira de caixa (uma caixa metálica com rodas). Esta caixa não possui motor, sistema hidráulico ou sensores. Todo o trabalho é realizado manualmente. A for"&amp;"mação de um fardo consiste em rastelar montes de agulhas de pinheiro, que normalmente variam de 30 a 50 fardos. O trabalhador então leva a enfardadeira até o monte de agulhas. Em seguida, ele coloca duas cordas na parte superior da enfardadeira, passando-"&amp;"as por dentro e pelas aberturas da porta. Após a colocação das cordas, o trabalhador começa a adicionar as agulhas de pinheiro dentro da caixa. O êmbolo montado na enfardadeira será inserido no interior puxando a alavanca para baixo. As agulhas de pinheir"&amp;"o serão adicionadas e compactadas continuamente até que a tensão desejada seja sentida na alavanca do êmbolo. O operador então levará a alavanca para trás, removendo-a da parte superior da enfardadeira. Após isso, a porta será destravada e aberta, e um fa"&amp;"rdo de agulhas de pinheiro será retirado da enfardadeira. Assim se completa um fardo de agulhas de pinheiro. As agulhas de pinheiro são então empilhadas em um caminhão baú que será usado para transportá-las até o cliente. ANCINHAMENTO E ENFARDAMENTO DE AG"&amp;"ULHAS DE PINHEIRO (AGULHAS DE PINHEIRO SÃO UM PRODUTO DE PAISAGISMO) AGULHAS DE PINHEIRO SÃO O PRODUTO DE PAISAGISMO QUE VOCÊ VÊ COMUMENTE EM LOJAS, VIVEIROS E SÃO COMUMENTE USADAS POR PAISAGISTAS. Os campos onde as agulhas de pinheiro são rasteladas e en"&amp;"fardadas ficam no condado de Chesterfield, na Carolina do Sul. O equipamento específico usado pelos trabalhadores da H2B está listado abaixo: ancinho de leque, forcado e enfardadeira de caixa (uma enfardadeira de caixa é uma caixa de metal com rodas. Não "&amp;"há motor, sistema hidráulico ou sensores nesta caixa). Todo o trabalho é feito manualmente. A construção do fardo consiste em rastelar pilhas de agulhas de pinheiro. As pilhas normalmente variam de 30 a 50 fardos. O trabalhador da H2B então move a enfarda"&amp;"deira de caixa sobre uma pilha de agulhas de pinheiro. O trabalhador então colocará duas cordas na parte superior da enfardadeira, passando-as pela parte interna e pelas aberturas da porta. Após a fixação das cordas, o trabalhador começará a adicionar agu"&amp;"lhas de pinheiro na parte interna da caixa. O êmbolo montado na enfardadeira será inserido na parte interna puxando a alavanca para baixo. As agulhas de pinheiro serão adicionadas e compactadas continuamente pelo êmbolo até que a tensão desejada seja sent"&amp;"ida na alavanca. O trabalhador então moverá a alavanca para trás, removendo-a da parte superior do fardo. Após isso, a porta será destrancada, aberta e um fardo de agulhas de pinheiro será retirado da enfardadeira e empilhado. Isso completa um fardo de ag"&amp;"ulhas de pinheiro. O fardo será então colocado em um caminhão baú usado para transportar as agulhas de pinheiro aos clientes. Classificação da vaga: 45-4011.00 - Trabalhadores Florestais e de Conservação. A classificação e descrição da vaga/setor incluem "&amp;"informações gerais sobre o cargo, de acordo com o ONET/OES e o Sistema de Classificação Industrial da América do Norte. Consulte as atribuições e a ordem de serviço para obter mais informações. Requisitos da vaga: Experiência necessária: Não. Número de ho"&amp;"ras por semana: 40. Horário de trabalho (início/término): 7h às 16h.")</f>
        <v>O trabalhador irá rastelar e enfardar agulhas de pinheiro do solo da floresta. As agulhas de pinheiro são um produto paisagístico comum em lojas, viveiros e utilizado por paisagistas. Essas agulhas provêm de árvores florestais. A seguir, descreve-se o processo de coleta das agulhas de pinheiro. O trabalhador utilizará um rastelo, um forcado e uma enfardadeira de caixa (uma caixa metálica com rodas). Esta caixa não possui motor, sistema hidráulico ou sensores. Todo o trabalho é realizado manualmente. A formação de um fardo consiste em rastelar montes de agulhas de pinheiro, que normalmente variam de 30 a 50 fardos. O trabalhador então leva a enfardadeira até o monte de agulhas. Em seguida, ele coloca duas cordas na parte superior da enfardadeira, passando-as por dentro e pelas aberturas da porta. Após a colocação das cordas, o trabalhador começa a adicionar as agulhas de pinheiro dentro da caixa. O êmbolo montado na enfardadeira será inserido no interior puxando a alavanca para baixo. As agulhas de pinheiro serão adicionadas e compactadas continuamente até que a tensão desejada seja sentida na alavanca do êmbolo. O operador então levará a alavanca para trás, removendo-a da parte superior da enfardadeira. Após isso, a porta será destravada e aberta, e um fardo de agulhas de pinheiro será retirado da enfardadeira. Assim se completa um fardo de agulhas de pinheiro. As agulhas de pinheiro são então empilhadas em um caminhão baú que será usado para transportá-las até o cliente. ANCINHAMENTO E ENFARDAMENTO DE AGULHAS DE PINHEIRO (AGULHAS DE PINHEIRO SÃO UM PRODUTO DE PAISAGISMO) AGULHAS DE PINHEIRO SÃO O PRODUTO DE PAISAGISMO QUE VOCÊ VÊ COMUMENTE EM LOJAS, VIVEIROS E SÃO COMUMENTE USADAS POR PAISAGISTAS. Os campos onde as agulhas de pinheiro são rasteladas e enfardadas ficam no condado de Chesterfield, na Carolina do Sul. O equipamento específico usado pelos trabalhadores da H2B está listado abaixo: ancinho de leque, forcado e enfardadeira de caixa (uma enfardadeira de caixa é uma caixa de metal com rodas. Não há motor, sistema hidráulico ou sensores nesta caixa). Todo o trabalho é feito manualmente. A construção do fardo consiste em rastelar pilhas de agulhas de pinheiro. As pilhas normalmente variam de 30 a 50 fardos. O trabalhador da H2B então move a enfardadeira de caixa sobre uma pilha de agulhas de pinheiro. O trabalhador então colocará duas cordas na parte superior da enfardadeira, passando-as pela parte interna e pelas aberturas da porta. Após a fixação das cordas, o trabalhador começará a adicionar agulhas de pinheiro na parte interna da caixa. O êmbolo montado na enfardadeira será inserido na parte interna puxando a alavanca para baixo. As agulhas de pinheiro serão adicionadas e compactadas continuamente pelo êmbolo até que a tensão desejada seja sentida na alavanca. O trabalhador então moverá a alavanca para trás, removendo-a da parte superior do fardo. Após isso, a porta será destrancada, aberta e um fardo de agulhas de pinheiro será retirado da enfardadeira e empilhado. Isso completa um fardo de agulhas de pinheiro. O fardo será então colocado em um caminhão baú usado para transportar as agulhas de pinheiro aos clientes. Classificação da vaga: 45-4011.00 - Trabalhadores Florestais e de Conservação. A classificação e descrição da vaga/setor incluem informações gerais sobre o cargo, de acordo com o ONET/OES e o Sistema de Classificação Industrial da América do Norte. Consulte as atribuições e a ordem de serviço para obter mais informações. Requisitos da vaga: Experiência necessária: Não. Número de horas por semana: 40. Horário de trabalho (início/término): 7h às 16h.</v>
      </c>
    </row>
    <row r="1272" ht="20.25" customHeight="1">
      <c r="A1272" s="3" t="s">
        <v>5644</v>
      </c>
      <c r="B1272" s="3" t="s">
        <v>5477</v>
      </c>
      <c r="C1272" s="3" t="s">
        <v>4241</v>
      </c>
      <c r="D1272" s="3" t="s">
        <v>71</v>
      </c>
      <c r="E1272" s="4" t="s">
        <v>19</v>
      </c>
      <c r="F1272" s="4" t="s">
        <v>20</v>
      </c>
      <c r="G1272" s="4" t="s">
        <v>437</v>
      </c>
      <c r="H1272" s="3" t="s">
        <v>5478</v>
      </c>
      <c r="I1272" s="3" t="s">
        <v>5479</v>
      </c>
      <c r="J1272" s="4">
        <v>26.5</v>
      </c>
      <c r="K1272" s="4">
        <v>2.0</v>
      </c>
      <c r="L1272" s="3" t="s">
        <v>5645</v>
      </c>
      <c r="M1272" s="3" t="s">
        <v>5646</v>
      </c>
      <c r="N1272" s="7" t="str">
        <f>IFERROR(__xludf.DUMMYFUNCTION("GOOGLETRANSLATE(L1272, ""en"", ""pt"")"),"Capitão de Banquetes")</f>
        <v>Capitão de Banquetes</v>
      </c>
      <c r="O1272" s="7" t="str">
        <f>IFERROR(__xludf.DUMMYFUNCTION("IF(M1272="""","""",GOOGLETRANSLATE(M1272,""en"",""pt""))"),"Os Capitães de Banquete serão responsáveis ​​por liderar e supervisionar a equipe de banquetes durante os eventos para garantir que o serviço seja executado de acordo com os padrões do Clube, auxiliando o Diretor de Eventos na montagem do evento, incluind"&amp;"o a disposição dos assentos, a coordenação com a equipe da cozinha para o serviço de alimentação em tempo hábil e a garantia de que todos os equipamentos estejam no lugar e funcionando corretamente, incluindo equipamentos de serviço de alimentação, como r"&amp;"echauds, caixas térmicas, caldeirões de sopa e utensílios de servir; elementos de mesa e jantar, como mesas e cadeiras de banquete, toalhas de mesa, louças, centros de mesa e marcadores de lugar; e equipamentos relacionados a eventos, incluindo sistemas d"&amp;"e áudio e vídeo, púlpitos, bandejas de serviço e carrinhos de louça; monitorar o andamento do evento; permanecer no local após os eventos para revisar os registros de pedidos e serviços a fim de identificar quaisquer discrepâncias ou erros; trabalhar com "&amp;"o departamento de contabilidade ou faturamento para corrigir quaisquer erros e garantir que todas as cobranças sejam precisas e processadas corretamente; garantir que todas as cobranças relacionadas ao evento sejam inseridas corretamente e conciliar quais"&amp;"quer problemas para evitar erros nos lançamentos financeiros na manhã seguinte; manter registros detalhados de discrepâncias e soluções e fornecer feedback para melhoria contínua nos processos de gerenciamento de eventos e faturamento; conduzir sessões de"&amp;" treinamento regulares para garantir que a equipe esteja familiarizada com as expectativas do evento, protocolos de serviço e padrões da empresa; atribuir tarefas à equipe de banquetes durante os eventos; supervisionar o estoque para eventos de banquetes,"&amp;" garantindo que todos os itens necessários, como roupas de mesa, talheres, copos e decorações, estejam disponíveis e em boas condições; e preencher relatórios após cada evento, incluindo feedback detalhado sobre o desempenho do evento, equipe e qualidade "&amp;"do serviço. Pode supervisionar até doze (12) Garçons de Banquete e Auxiliares de Garçom. Horário: 35 horas por semana. O horário de trabalho pode variar e incluir turnos noturnos, fins de semana e feriados. O trabalho pode ser realizado em qualquer dia da"&amp;" semana, de segunda a domingo. Exemplos de turnos: 8h às 15h ou 14h às 21h. Os horários dos turnos podem variar. Consulte a descrição do cargo em anexo para obter mais informações. Classificação do Cargo: 35-1012.00 - Supervisores de Primeira Linha de Pre"&amp;"paradores e Servidores de Alimentos. A classificação e descrição do cargo/setor incluem informações gerais sobre a posição, de acordo com o ONET/OES e o Sistema de Classificação Industrial da América do Norte (NAICS). Consulte as Funções e a Ordem de Serv"&amp;"iço para obter mais informações. Requisitos do Cargo Experiência Necessária: Sim Meses de Experiência Necessários: 6 Requisitos Especiais: O contratante considerará para emprego qualquer pessoa que possua pelo menos seis (6) meses de experiência em superv"&amp;"isão de banquetes em um ambiente de alta gastronomia ou de grande movimento, em um restaurante sofisticado, resort ou clube privado. O candidato deverá se submeter à verificação de antecedentes e ao exame toxicológico pré-admissional, às custas do emprega"&amp;"dor. Número de horas por semana: 35 Horário de trabalho (início/término): 8h00 - 15h00")</f>
        <v>Os Capitães de Banquete serão responsáveis ​​por liderar e supervisionar a equipe de banquetes durante os eventos para garantir que o serviço seja executado de acordo com os padrões do Clube, auxiliando o Diretor de Eventos na montagem do evento, incluindo a disposição dos assentos, a coordenação com a equipe da cozinha para o serviço de alimentação em tempo hábil e a garantia de que todos os equipamentos estejam no lugar e funcionando corretamente, incluindo equipamentos de serviço de alimentação, como rechauds, caixas térmicas, caldeirões de sopa e utensílios de servir; elementos de mesa e jantar, como mesas e cadeiras de banquete, toalhas de mesa, louças, centros de mesa e marcadores de lugar; e equipamentos relacionados a eventos, incluindo sistemas de áudio e vídeo, púlpitos, bandejas de serviço e carrinhos de louça; monitorar o andamento do evento; permanecer no local após os eventos para revisar os registros de pedidos e serviços a fim de identificar quaisquer discrepâncias ou erros; trabalhar com o departamento de contabilidade ou faturamento para corrigir quaisquer erros e garantir que todas as cobranças sejam precisas e processadas corretamente; garantir que todas as cobranças relacionadas ao evento sejam inseridas corretamente e conciliar quaisquer problemas para evitar erros nos lançamentos financeiros na manhã seguinte; manter registros detalhados de discrepâncias e soluções e fornecer feedback para melhoria contínua nos processos de gerenciamento de eventos e faturamento; conduzir sessões de treinamento regulares para garantir que a equipe esteja familiarizada com as expectativas do evento, protocolos de serviço e padrões da empresa; atribuir tarefas à equipe de banquetes durante os eventos; supervisionar o estoque para eventos de banquetes, garantindo que todos os itens necessários, como roupas de mesa, talheres, copos e decorações, estejam disponíveis e em boas condições; e preencher relatórios após cada evento, incluindo feedback detalhado sobre o desempenho do evento, equipe e qualidade do serviço. Pode supervisionar até doze (12) Garçons de Banquete e Auxiliares de Garçom. Horário: 35 horas por semana. O horário de trabalho pode variar e incluir turnos noturnos, fins de semana e feriados. O trabalho pode ser realizado em qualquer dia da semana, de segunda a domingo. Exemplos de turnos: 8h às 15h ou 14h às 21h. Os horários dos turnos podem variar. Consulte a descrição do cargo em anexo para obter mais informações. Classificação do Cargo: 35-1012.00 - Supervisores de Primeira Linha de Preparadores e Servidores de Alimentos. A classificação e descrição do cargo/setor incluem informações gerais sobre a posição, de acordo com o ONET/OES e o Sistema de Classificação Industrial da América do Norte (NAICS). Consulte as Funções e a Ordem de Serviço para obter mais informações. Requisitos do Cargo Experiência Necessária: Sim Meses de Experiência Necessários: 6 Requisitos Especiais: O contratante considerará para emprego qualquer pessoa que possua pelo menos seis (6) meses de experiência em supervisão de banquetes em um ambiente de alta gastronomia ou de grande movimento, em um restaurante sofisticado, resort ou clube privado. O candidato deverá se submeter à verificação de antecedentes e ao exame toxicológico pré-admissional, às custas do empregador. Número de horas por semana: 35 Horário de trabalho (início/término): 8h00 - 15h00</v>
      </c>
    </row>
    <row r="1273" ht="20.25" customHeight="1">
      <c r="A1273" s="8" t="s">
        <v>5647</v>
      </c>
      <c r="B1273" s="8" t="s">
        <v>5477</v>
      </c>
      <c r="C1273" s="8" t="s">
        <v>4241</v>
      </c>
      <c r="D1273" s="8" t="s">
        <v>71</v>
      </c>
      <c r="E1273" s="9" t="s">
        <v>19</v>
      </c>
      <c r="F1273" s="9" t="s">
        <v>20</v>
      </c>
      <c r="G1273" s="9" t="s">
        <v>437</v>
      </c>
      <c r="H1273" s="8" t="s">
        <v>5478</v>
      </c>
      <c r="I1273" s="8" t="s">
        <v>5479</v>
      </c>
      <c r="J1273" s="9">
        <v>26.5</v>
      </c>
      <c r="K1273" s="9">
        <v>2.0</v>
      </c>
      <c r="L1273" s="8" t="s">
        <v>3315</v>
      </c>
      <c r="M1273" s="8" t="s">
        <v>5648</v>
      </c>
      <c r="N1273" s="7" t="str">
        <f>IFERROR(__xludf.DUMMYFUNCTION("GOOGLETRANSLATE(L1273, ""en"", ""pt"")"),"Supervisor do refeitório")</f>
        <v>Supervisor do refeitório</v>
      </c>
      <c r="O1273" s="7" t="str">
        <f>IFERROR(__xludf.DUMMYFUNCTION("IF(M1273="""","""",GOOGLETRANSLATE(M1273,""en"",""pt""))"),"O(A) Supervisor(a) do Salão de Jantar será responsável por recepcionar os clientes, gerenciar o sistema de reservas e a lista de espera, se aplicável, anotar e registrar os pedidos dos clientes, servir alimentos e bebidas, limpar e desocupar as mesas conf"&amp;"orme necessário, manter a roupa de mesa e os utensílios de serviço em bom estado, e preparar as mesas no salão de jantar de acordo com os padrões de serviço de alta gastronomia, colocando e alinhando utensílios como pratos de apresentação, talheres especí"&amp;"ficos para cada prato, taças de vinho e água e toalhas de mesa dobradas; polir e inspecionar copos, talheres e pratos; organizar mesas, cadeiras e utensílios com base nas reservas, plantas do salão e preferências dos membros; abastecer e organizar os pont"&amp;"os de serviço com talheres polidos, roupa de mesa e utensílios de serviço; colocar pratos de pão, facas de manteiga e condimentos conforme necessário; e realizar uma inspeção final do salão de jantar para garantir a limpeza, o espaçamento adequado e a con"&amp;"formidade com os padrões de serviço do clube antes do início do serviço. Pode supervisionar até doze (12) Garçons(as). Os(As) Supervisores(as) do Salão de Jantar podem precisar levantar e carregar até 23 kg. Horário: 35 horas por semana. O horário de trab"&amp;"alho pode variar e incluir noites, fins de semana e feriados. O trabalho pode ser realizado em qualquer dia da semana, de segunda a domingo. Exemplos de turnos: 8h às 15h ou 14h às 21h. Os horários dos turnos podem variar. Consulte a descrição do cargo em"&amp;" anexo para obter mais informações. Classificação do Cargo: 35-1012.00 - Supervisores de Primeira Linha de Preparadores e Servidores de Alimentos. A classificação e descrição do cargo/setor incluem informações gerais sobre a posição, de acordo com o ONET/"&amp;"OES e o Sistema de Classificação Industrial da América do Norte (NAICS). Consulte as Funções e a Ordem de Serviço para obter mais informações. Requisitos do Cargo Experiência Necessária: Sim Meses de Experiência Necessários: 6 Requisitos Especiais: O cont"&amp;"ratante considerará para emprego qualquer pessoa que possua pelo menos seis (6) meses de experiência em atendimento em um ambiente de alta gastronomia ou de grande movimento, em um restaurante sofisticado, resort ou clube privado. O candidato deverá se su"&amp;"bmeter à verificação de antecedentes e ao exame toxicológico pré-admissional, às custas do empregador. Número de horas por semana: 35 Horário de trabalho (início/término): 8h00 - 15h00")</f>
        <v>O(A) Supervisor(a) do Salão de Jantar será responsável por recepcionar os clientes, gerenciar o sistema de reservas e a lista de espera, se aplicável, anotar e registrar os pedidos dos clientes, servir alimentos e bebidas, limpar e desocupar as mesas conforme necessário, manter a roupa de mesa e os utensílios de serviço em bom estado, e preparar as mesas no salão de jantar de acordo com os padrões de serviço de alta gastronomia, colocando e alinhando utensílios como pratos de apresentação, talheres específicos para cada prato, taças de vinho e água e toalhas de mesa dobradas; polir e inspecionar copos, talheres e pratos; organizar mesas, cadeiras e utensílios com base nas reservas, plantas do salão e preferências dos membros; abastecer e organizar os pontos de serviço com talheres polidos, roupa de mesa e utensílios de serviço; colocar pratos de pão, facas de manteiga e condimentos conforme necessário; e realizar uma inspeção final do salão de jantar para garantir a limpeza, o espaçamento adequado e a conformidade com os padrões de serviço do clube antes do início do serviço. Pode supervisionar até doze (12) Garçons(as). Os(As) Supervisores(as) do Salão de Jantar podem precisar levantar e carregar até 23 kg. Horário: 35 horas por semana. O horário de trabalho pode variar e incluir noites, fins de semana e feriados. O trabalho pode ser realizado em qualquer dia da semana, de segunda a domingo. Exemplos de turnos: 8h às 15h ou 14h às 21h. Os horários dos turnos podem variar. Consulte a descrição do cargo em anexo para obter mais informações. Classificação do Cargo: 35-1012.00 - Supervisores de Primeira Linha de Preparadores e Servidores de Alimentos. A classificação e descrição do cargo/setor incluem informações gerais sobre a posição, de acordo com o ONET/OES e o Sistema de Classificação Industrial da América do Norte (NAICS). Consulte as Funções e a Ordem de Serviço para obter mais informações. Requisitos do Cargo Experiência Necessária: Sim Meses de Experiência Necessários: 6 Requisitos Especiais: O contratante considerará para emprego qualquer pessoa que possua pelo menos seis (6) meses de experiência em atendimento em um ambiente de alta gastronomia ou de grande movimento, em um restaurante sofisticado, resort ou clube privado. O candidato deverá se submeter à verificação de antecedentes e ao exame toxicológico pré-admissional, às custas do empregador. Número de horas por semana: 35 Horário de trabalho (início/término): 8h00 - 15h00</v>
      </c>
    </row>
    <row r="1274" ht="20.25" customHeight="1">
      <c r="A1274" s="3" t="s">
        <v>5649</v>
      </c>
      <c r="B1274" s="3" t="s">
        <v>5650</v>
      </c>
      <c r="C1274" s="3" t="s">
        <v>4241</v>
      </c>
      <c r="D1274" s="3" t="s">
        <v>71</v>
      </c>
      <c r="E1274" s="4" t="s">
        <v>19</v>
      </c>
      <c r="F1274" s="4" t="s">
        <v>20</v>
      </c>
      <c r="G1274" s="4" t="s">
        <v>212</v>
      </c>
      <c r="H1274" s="3" t="s">
        <v>5651</v>
      </c>
      <c r="I1274" s="3" t="s">
        <v>5652</v>
      </c>
      <c r="J1274" s="4">
        <v>18.94</v>
      </c>
      <c r="K1274" s="4">
        <v>24.0</v>
      </c>
      <c r="L1274" s="3" t="s">
        <v>1206</v>
      </c>
      <c r="M1274" s="3" t="s">
        <v>5653</v>
      </c>
      <c r="N1274" s="7" t="str">
        <f>IFERROR(__xludf.DUMMYFUNCTION("GOOGLETRANSLATE(L1274, ""en"", ""pt"")"),"Servidor")</f>
        <v>Servidor</v>
      </c>
      <c r="O1274" s="7" t="str">
        <f>IFERROR(__xludf.DUMMYFUNCTION("IF(M1274="""","""",GOOGLETRANSLATE(M1274,""en"",""pt""))"),"***Resposta à Solicitação de Informações*** A montagem e desmontagem das áreas de refeição consiste em colocar e retirar utensílios de mesa, como talheres, saleiros e pimenteiros, e centros de mesa, e ocasionalmente mover e reorganizar cadeiras e mesas de"&amp;" acordo com as necessidades do restaurante. O requerente emprega funcionários específicos para a montagem de banquetes, além dos garçons, que realizam a maior parte da montagem e desmontagem das áreas de refeição. As ferramentas/equipamentos utilizados pa"&amp;"ra realizar essas tarefas incluem o uso ocasional de um carrinho para cadeiras ou um carrinho para mesas. ***Original*** Os garçons serão responsáveis ​​por recepcionar os clientes, montar e desmontar as áreas de refeição, anotar e registrar pedidos, tran"&amp;"sportar bandejas e pratos, servir alimentos e bebidas, limpar e retirar as mesas e fornecer aos nossos membros um serviço exemplar. Horário: 35 horas por semana. O horário de trabalho pode variar e incluir turnos noturnos, fins de semana e feriados. O tra"&amp;"balho pode ser realizado em qualquer dia da semana, de segunda a domingo. Exemplos de turnos: das 9h às 16h ou das 16h às 23h. O horário de trabalho pode variar. Consulte a descrição da vaga em anexo para obter mais informações. Classificação da vaga: 53-"&amp;"7062.00 - Operários e Movimentadores de Carga, Estoque e Materiais. A classificação e descrição da vaga/setor inclui informações gerais sobre o cargo, de acordo com o ONET/OES e o Sistema de Classificação Industrial da América do Norte (NAICS). Consulte a"&amp;"s Funções e a Ordem de Serviço para obter mais informações. Requisitos da vaga Experiência exigida: Sim Meses de experiência exigidos: 6 Requisitos especiais: O contratante considerará para emprego qualquer pessoa que possua pelo menos seis (6) meses de e"&amp;"xperiência em atendimento ao público em um ambiente de alta gastronomia ou de grande movimento, em um restaurante sofisticado, resort ou clube privado. O candidato deverá se submeter à verificação de antecedentes e ao exame toxicológico pré-admissional, à"&amp;"s custas do empregador. Ex-funcionários estão isentos da verificação de antecedentes e do exame toxicológico se forem recontratados dentro de seis (6) meses após o término do contrato. Número de horas por semana: 35 Horário de trabalho (início/término): 9"&amp;"h às 16h")</f>
        <v>***Resposta à Solicitação de Informações*** A montagem e desmontagem das áreas de refeição consiste em colocar e retirar utensílios de mesa, como talheres, saleiros e pimenteiros, e centros de mesa, e ocasionalmente mover e reorganizar cadeiras e mesas de acordo com as necessidades do restaurante. O requerente emprega funcionários específicos para a montagem de banquetes, além dos garçons, que realizam a maior parte da montagem e desmontagem das áreas de refeição. As ferramentas/equipamentos utilizados para realizar essas tarefas incluem o uso ocasional de um carrinho para cadeiras ou um carrinho para mesas. ***Original*** Os garçons serão responsáveis ​​por recepcionar os clientes, montar e desmontar as áreas de refeição, anotar e registrar pedidos, transportar bandejas e pratos, servir alimentos e bebidas, limpar e retirar as mesas e fornecer aos nossos membros um serviço exemplar. Horário: 35 horas por semana. O horário de trabalho pode variar e incluir turnos noturnos, fins de semana e feriados. O trabalho pode ser realizado em qualquer dia da semana, de segunda a domingo. Exemplos de turnos: das 9h às 16h ou das 16h às 23h. O horário de trabalho pode variar. Consulte a descrição da vaga em anexo para obter mais informações. Classificação da vaga: 53-7062.00 - Operários e Movimentadores de Carga, Estoque e Materiais. A classificação e descrição da vaga/setor inclui informações gerais sobre o cargo, de acordo com o ONET/OES e o Sistema de Classificação Industrial da América do Norte (NAICS). Consulte as Funções e a Ordem de Serviço para obter mais informações. Requisitos da vaga Experiência exigida: Sim Meses de experiência exigidos: 6 Requisitos especiais: O contratante considerará para emprego qualquer pessoa que possua pelo menos seis (6) meses de experiência em atendimento ao público em um ambiente de alta gastronomia ou de grande movimento, em um restaurante sofisticado, resort ou clube privado. O candidato deverá se submeter à verificação de antecedentes e ao exame toxicológico pré-admissional, às custas do empregador. Ex-funcionários estão isentos da verificação de antecedentes e do exame toxicológico se forem recontratados dentro de seis (6) meses após o término do contrato. Número de horas por semana: 35 Horário de trabalho (início/término): 9h às 16h</v>
      </c>
    </row>
    <row r="1275" ht="20.25" customHeight="1">
      <c r="A1275" s="8" t="s">
        <v>5654</v>
      </c>
      <c r="B1275" s="8" t="s">
        <v>5650</v>
      </c>
      <c r="C1275" s="8" t="s">
        <v>4241</v>
      </c>
      <c r="D1275" s="8" t="s">
        <v>71</v>
      </c>
      <c r="E1275" s="9" t="s">
        <v>19</v>
      </c>
      <c r="F1275" s="9" t="s">
        <v>20</v>
      </c>
      <c r="G1275" s="9" t="s">
        <v>212</v>
      </c>
      <c r="H1275" s="8" t="s">
        <v>5651</v>
      </c>
      <c r="I1275" s="8" t="s">
        <v>5652</v>
      </c>
      <c r="J1275" s="9">
        <v>19.0</v>
      </c>
      <c r="K1275" s="9">
        <v>16.0</v>
      </c>
      <c r="L1275" s="8" t="s">
        <v>387</v>
      </c>
      <c r="M1275" s="8" t="s">
        <v>5655</v>
      </c>
      <c r="N1275" s="7" t="str">
        <f>IFERROR(__xludf.DUMMYFUNCTION("GOOGLETRANSLATE(L1275, ""en"", ""pt"")"),"Ordem de serviço não disponível")</f>
        <v>Ordem de serviço não disponível</v>
      </c>
      <c r="O1275" s="7" t="str">
        <f>IFERROR(__xludf.DUMMYFUNCTION("IF(M1275="""","""",GOOGLETRANSLATE(M1275,""en"",""pt""))"),"Os cozinheiros serão responsáveis ​​por preparar, temperar e cozinhar sopas, carnes, legumes, sobremesas e outros pratos em um restaurante. Horário: 35 horas semanais. O horário de trabalho pode variar e incluir turnos noturnos, fins de semana e feriados."&amp;" O trabalho pode ser realizado em qualquer dia da semana, de segunda a domingo. Exemplos de turnos: das 6h às 13h ou das 14h às 21h. Os horários dos turnos podem variar. Consulte a descrição do cargo em anexo para obter mais informações. Classificação do "&amp;"Cargo: 35-2014.00 - Cozinheiros, Restaurante. A classificação e a descrição do cargo/setor incluem informações gerais sobre a posição, de acordo com o ONET/OES e o Sistema de Classificação Industrial da América do Norte. Consulte as Funções e a Ordem de S"&amp;"erviço para obter mais informações. Requisitos do Cargo Experiência Necessária: Sim Meses de Experiência Necessários: 6 Requisitos Especiais: O contratante considerará para emprego qualquer pessoa que possua pelo menos seis (6) meses de experiência culiná"&amp;"ria em um ambiente de alta gastronomia ou de grande movimento, em um restaurante sofisticado, resort ou clube privado. O candidato deverá se submeter à verificação de antecedentes e ao exame toxicológico pré-admissional, às custas do empregador. Ex-funcio"&amp;"nários estão isentos da verificação de antecedentes e do exame toxicológico caso tenham sido recontratados em até seis (6) meses após o término do contrato. Número de horas semanais: 35. Horário de trabalho (início/término): 6h às 13h.")</f>
        <v>Os cozinheiros serão responsáveis ​​por preparar, temperar e cozinhar sopas, carnes, legumes, sobremesas e outros pratos em um restaurante. Horário: 35 horas semanais. O horário de trabalho pode variar e incluir turnos noturnos, fins de semana e feriados. O trabalho pode ser realizado em qualquer dia da semana, de segunda a domingo. Exemplos de turnos: das 6h às 13h ou das 14h às 21h. Os horários dos turnos podem variar. Consulte a descrição do cargo em anexo para obter mais informações. Classificação do Cargo: 35-2014.00 - Cozinheiros, Restaurante. A classificação e a descrição do cargo/setor incluem informações gerais sobre a posição, de acordo com o ONET/OES e o Sistema de Classificação Industrial da América do Norte. Consulte as Funções e a Ordem de Serviço para obter mais informações. Requisitos do Cargo Experiência Necessária: Sim Meses de Experiência Necessários: 6 Requisitos Especiais: O contratante considerará para emprego qualquer pessoa que possua pelo menos seis (6) meses de experiência culinária em um ambiente de alta gastronomia ou de grande movimento, em um restaurante sofisticado, resort ou clube privado. O candidato deverá se submeter à verificação de antecedentes e ao exame toxicológico pré-admissional, às custas do empregador. Ex-funcionários estão isentos da verificação de antecedentes e do exame toxicológico caso tenham sido recontratados em até seis (6) meses após o término do contrato. Número de horas semanais: 35. Horário de trabalho (início/término): 6h às 13h.</v>
      </c>
    </row>
    <row r="1276" ht="20.25" customHeight="1">
      <c r="A1276" s="3" t="s">
        <v>5656</v>
      </c>
      <c r="B1276" s="3" t="s">
        <v>5650</v>
      </c>
      <c r="C1276" s="3" t="s">
        <v>4241</v>
      </c>
      <c r="D1276" s="3" t="s">
        <v>71</v>
      </c>
      <c r="E1276" s="4" t="s">
        <v>44</v>
      </c>
      <c r="F1276" s="4" t="s">
        <v>20</v>
      </c>
      <c r="G1276" s="4" t="s">
        <v>212</v>
      </c>
      <c r="H1276" s="3" t="s">
        <v>5651</v>
      </c>
      <c r="I1276" s="3" t="s">
        <v>5652</v>
      </c>
      <c r="J1276" s="4">
        <v>38.04</v>
      </c>
      <c r="K1276" s="4">
        <v>1.0</v>
      </c>
      <c r="L1276" s="3" t="s">
        <v>5657</v>
      </c>
      <c r="M1276" s="3" t="s">
        <v>5658</v>
      </c>
      <c r="N1276" s="7" t="str">
        <f>IFERROR(__xludf.DUMMYFUNCTION("GOOGLETRANSLATE(L1276, ""en"", ""pt"")"),"Gerente de Alimentos e Bebidas")</f>
        <v>Gerente de Alimentos e Bebidas</v>
      </c>
      <c r="O1276" s="7" t="str">
        <f>IFERROR(__xludf.DUMMYFUNCTION("IF(M1276="""","""",GOOGLETRANSLATE(M1276,""en"",""pt""))"),"O Gerente de Alimentos e Bebidas será responsável por dirigir as operações diárias do Restaurante Principal e de todas as outras áreas de serviço de alimentação. Isso inclui desenvolver políticas e procedimentos operacionais padrão para todos os pontos de"&amp;" venda e responsabilizar os funcionários para que alcancem esses padrões regularmente, auxiliar na contratação, treinamento, supervisão e avaliação da equipe do restaurante, conduzir reuniões diárias antes das refeições, comunicando informações específica"&amp;"s à equipe, garantir a montagem e desmontagem adequadas de cada refeição, manter todos os equipamentos em boas condições, manter contato regular com os membros e ajudar a garantir a máxima satisfação dos membros por meio de interações regulares, incluindo"&amp;" responder a perguntas, buscar feedback, resolver problemas, supervisionar os serviços e a limpeza e apresentar as instalações do Clube aos visitantes. Também será responsável por auxiliar na elaboração e monitoramento do orçamento. Direcionar os procedim"&amp;"entos de ação corretiva necessários para ajudar a garantir que as metas orçamentárias sejam atingidas e monitorar os procedimentos internos de controle de custos; pesquisar novos produtos de alimentos e bebidas e desenvolver uma análise de seus custos/ben"&amp;"efícios; coordenar e trabalhar com todos os departamentos na programação de alimentos e bebidas e coordenar a comunicação sobre alimentos e bebidas com o Gerente de Catering e Eventos Sociais ou o Gerente de Banquetes; supervisionar alguns eventos especia"&amp;"is em conjunto com o Gerente de Catering e Eventos Sociais, o Gerente de Banquetes ou o Diretor para garantir que todas as atividades planejadas atendam e superem as expectativas dos membros/convidados. Também será responsável por participar de inspeções "&amp;"contínuas nas instalações, em todos os salões de jantar e áreas de serviço, para garantir que a limpeza, a segurança e outros padrões esperados sejam consistentemente atingidos; revisar todos os acidentes e garantir que a documentação apropriada seja pree"&amp;"nchida e distribuída adequadamente; aconselhar e orientar a equipe sobre problemas de desempenho e reclamações, resolvendo-os por meio de medidas disciplinares progressivas documentadas; participar de reuniões semanais do departamento de alimentos e bebid"&amp;"as, Ordens de Serviço de Banquetes (BEO) e reuniões de gerentes; e auxiliar na supervisão do sistema de ponto de venda (PDV) JONAS, o que inclui ajudar na adição de botões e garantir a continuidade do sistema para o serviço. Poderá supervisionar até vinte"&amp;" (20) garçons, auxiliares de garçom e entregadores de comida. Os gerentes de alimentos e bebidas precisam ser capazes de levantar e/ou mover até 11 kg. Horário: 35 horas por semana. O horário de trabalho pode variar e incluir noites, fins de semana e feri"&amp;"ados. O trabalho pode ser realizado em qualquer dia da semana, de segunda a domingo. Exemplos de turnos: 9h às 16h, 12h às 19h ou 15h às 22h. Os horários dos turnos podem variar. Consulte a descrição do cargo em anexo para obter mais informações. Classifi"&amp;"cação do Cargo: 11-9051.00 - Gerentes de Serviços de Alimentação. A classificação e descrição do cargo/setor incluem informações gerais sobre a posição, de acordo com o ONET/OES e o Sistema de Classificação Industrial da América do Norte. Consulte as Funç"&amp;"ões e a Ordem de Serviço para obter mais informações. Requisitos do Cargo Experiência Necessária: Sim Meses de Experiência Necessários: 12 Requisitos Especiais: O Requerente considerará para emprego qualquer pessoa que possua pelo menos um (1) ano de expe"&amp;"riência em um ambiente de alta gastronomia ou de grande movimento em um restaurante de alto padrão, resort ou clube privado. O candidato deve se submeter à verificação de antecedentes e ao exame toxicológico pré-emprego, às custas do empregador. Ex-funcio"&amp;"nários estão isentos da verificação de antecedentes e do exame toxicológico se forem recontratados dentro de seis (6) meses após a rescisão do contrato. Número de horas por semana: 35 Horário de trabalho (início/término): 9h00 - 16h00")</f>
        <v>O Gerente de Alimentos e Bebidas será responsável por dirigir as operações diárias do Restaurante Principal e de todas as outras áreas de serviço de alimentação. Isso inclui desenvolver políticas e procedimentos operacionais padrão para todos os pontos de venda e responsabilizar os funcionários para que alcancem esses padrões regularmente, auxiliar na contratação, treinamento, supervisão e avaliação da equipe do restaurante, conduzir reuniões diárias antes das refeições, comunicando informações específicas à equipe, garantir a montagem e desmontagem adequadas de cada refeição, manter todos os equipamentos em boas condições, manter contato regular com os membros e ajudar a garantir a máxima satisfação dos membros por meio de interações regulares, incluindo responder a perguntas, buscar feedback, resolver problemas, supervisionar os serviços e a limpeza e apresentar as instalações do Clube aos visitantes. Também será responsável por auxiliar na elaboração e monitoramento do orçamento. Direcionar os procedimentos de ação corretiva necessários para ajudar a garantir que as metas orçamentárias sejam atingidas e monitorar os procedimentos internos de controle de custos; pesquisar novos produtos de alimentos e bebidas e desenvolver uma análise de seus custos/benefícios; coordenar e trabalhar com todos os departamentos na programação de alimentos e bebidas e coordenar a comunicação sobre alimentos e bebidas com o Gerente de Catering e Eventos Sociais ou o Gerente de Banquetes; supervisionar alguns eventos especiais em conjunto com o Gerente de Catering e Eventos Sociais, o Gerente de Banquetes ou o Diretor para garantir que todas as atividades planejadas atendam e superem as expectativas dos membros/convidados. Também será responsável por participar de inspeções contínuas nas instalações, em todos os salões de jantar e áreas de serviço, para garantir que a limpeza, a segurança e outros padrões esperados sejam consistentemente atingidos; revisar todos os acidentes e garantir que a documentação apropriada seja preenchida e distribuída adequadamente; aconselhar e orientar a equipe sobre problemas de desempenho e reclamações, resolvendo-os por meio de medidas disciplinares progressivas documentadas; participar de reuniões semanais do departamento de alimentos e bebidas, Ordens de Serviço de Banquetes (BEO) e reuniões de gerentes; e auxiliar na supervisão do sistema de ponto de venda (PDV) JONAS, o que inclui ajudar na adição de botões e garantir a continuidade do sistema para o serviço. Poderá supervisionar até vinte (20) garçons, auxiliares de garçom e entregadores de comida. Os gerentes de alimentos e bebidas precisam ser capazes de levantar e/ou mover até 11 kg. Horário: 35 horas por semana. O horário de trabalho pode variar e incluir noites, fins de semana e feriados. O trabalho pode ser realizado em qualquer dia da semana, de segunda a domingo. Exemplos de turnos: 9h às 16h, 12h às 19h ou 15h às 22h. Os horários dos turnos podem variar. Consulte a descrição do cargo em anexo para obter mais informações. Classificação do Cargo: 11-9051.00 - Gerentes de Serviços de Alimentação. A classificação e descrição do cargo/setor incluem informações gerais sobre a posição, de acordo com o ONET/OES e o Sistema de Classificação Industrial da América do Norte. Consulte as Funções e a Ordem de Serviço para obter mais informações. Requisitos do Cargo Experiência Necessária: Sim Meses de Experiência Necessários: 12 Requisitos Especiais: O Requerente considerará para emprego qualquer pessoa que possua pelo menos um (1) ano de experiência em um ambiente de alta gastronomia ou de grande movimento em um restaurante de alto padrão, resort ou clube privado. O candidato deve se submeter à verificação de antecedentes e ao exame toxicológico pré-emprego, às custas do empregador. Ex-funcionários estão isentos da verificação de antecedentes e do exame toxicológico se forem recontratados dentro de seis (6) meses após a rescisão do contrato. Número de horas por semana: 35 Horário de trabalho (início/término): 9h00 - 16h00</v>
      </c>
    </row>
    <row r="1277" ht="20.25" customHeight="1">
      <c r="A1277" s="8" t="s">
        <v>5659</v>
      </c>
      <c r="B1277" s="8" t="s">
        <v>5660</v>
      </c>
      <c r="C1277" s="8" t="s">
        <v>4247</v>
      </c>
      <c r="D1277" s="8" t="s">
        <v>71</v>
      </c>
      <c r="E1277" s="9" t="s">
        <v>19</v>
      </c>
      <c r="F1277" s="9" t="s">
        <v>20</v>
      </c>
      <c r="G1277" s="9" t="s">
        <v>5661</v>
      </c>
      <c r="H1277" s="8" t="s">
        <v>5662</v>
      </c>
      <c r="I1277" s="8" t="s">
        <v>5663</v>
      </c>
      <c r="J1277" s="9">
        <v>13.1</v>
      </c>
      <c r="K1277" s="9">
        <v>252.0</v>
      </c>
      <c r="L1277" s="8" t="s">
        <v>5664</v>
      </c>
      <c r="M1277" s="8" t="s">
        <v>5665</v>
      </c>
      <c r="N1277" s="7" t="str">
        <f>IFERROR(__xludf.DUMMYFUNCTION("GOOGLETRANSLATE(L1277, ""en"", ""pt"")"),"Atendente de Diversão e Recreação – Parque de Diversões Itinerante")</f>
        <v>Atendente de Diversão e Recreação – Parque de Diversões Itinerante</v>
      </c>
      <c r="O1277" s="7" t="str">
        <f>IFERROR(__xludf.DUMMYFUNCTION("IF(M1277="""","""",GOOGLETRANSLATE(M1277,""en"",""pt""))"),"***Resposta à Solicitação de Informações*** Os funcionários não prepararão nem cozinharão nenhum alimento do zero. A seguir, alguns exemplos de alimentos que podem ser oferecidos ao público: Cachorro-quente de milho: Cachorros-quentes de milho congelados,"&amp;" pré-empanados e pré-espetados. Eles são colocados na fritadeira. O temporizador da fritadeira reservado para os cachorros-quentes de milho é pré-programado e, quando atingem o tempo adequado, a cesta se eleva para permitir que o óleo escorra. Eles são co"&amp;"locados em um rechaud no balcão da frente, sob uma lâmpada de aquecimento. Quando um cliente pede um ou mais cachorros-quentes de milho, eles são retirados do rechaud e colocados em uma travessa de tamanho adequado. São entregues ao cliente, que se dirige"&amp;" ao quiosque para adicionar condimentos e pegar guardanapos ou talheres, se necessário. Algodão-doce: O algodão-doce é uma combinação de açúcar e um produto comercial conhecido como flossine, que adiciona cor e sabor ao produto final. Uma máquina de algod"&amp;"ão-doce comercial, também conhecida como fio dental, é ligada e aquecida. O açúcar e o fio dental são misturados nas proporções adequadas e, quando a máquina atinge a temperatura correta, o funcionário despeja lentamente a mistura, usando um copo pequeno "&amp;"ou uma colher medidora, no elemento de aquecimento central. Isso produz fios de algodão-doce que se formam ao redor do centro da máquina. O funcionário gira lentamente o cone de papel de algodão-doce dentro da tigela grande para capturar e formar o que a "&amp;"maioria das pessoas reconhece como algodão-doce. Em seguida, o algodão-doce é colocado em um saco plástico, fechado com um pequeno laço e armazenado em local seco até que um cliente faça um pedido. Bebidas de máquina: Sacos de gelo são abertos e o gelo é "&amp;"despejado manualmente no reservatório na parte superior do dispensador e no recipiente de gelo. Quando um pedido é feito, o funcionário prepara a bebida no tamanho e sabor adequados e coloca uma tampa de plástico no copo. O funcionário coloca a bebida na "&amp;"área de serviço para que outro funcionário, em contato direto com o cliente, possa entregar a(s) bebida(s) juntamente com o restante do pedido. ***Original F.a.2*** Executar diversas tarefas em um parque de diversões itinerante, montando, desmontando e op"&amp;"erando equipamentos (brinquedos, jogos e/ou barracas de comida). Pode vender ingressos e cobrar taxas dos clientes; fornecer informações sobre as instalações, regras e regulamentos; direcionar os clientes aos brinquedos, assentos ou atrações; monitorar as"&amp;" atividades para garantir o cumprimento das regras e procedimentos de segurança; auxiliar os clientes na entrada ou saída dos brinquedos; limpar brinquedos, barracas, instalações ou terrenos; inspecionar equipamentos para detectar desgaste e danos e reali"&amp;"zar pequenos reparos, ajustes ou tarefas de manutenção, como lubrificação de peças; fixar dispositivos de segurança para os clientes ou fornecer instruções sobre como fixá-los; anunciar ou descrever as atrações do parque de diversões para atrair clientes "&amp;"para jogos e/ou outras formas de entretenimento; e vender e servir bebidas e lanches aos clientes. Classificação da vaga: 35-2019.00 - Cozinheiros, Outros. A classificação e descrição da vaga/setor inclui informações gerais sobre o cargo, de acordo com o "&amp;"ONET/OES e o Sistema de Classificação Industrial da América do Norte. Consulte as Funções e a Ordem de Serviço para obter mais informações. Requisitos da vaga Experiência exigida: Não Requisitos especiais: Testes aleatórios de drogas e verificação de ante"&amp;"cedentes criminais após a contratação poderão ser exigidos, sem custo para o trabalhador. A vaga exige que o candidato seja qualificado, esteja pronto, disposto, apto e disponível para desempenhar as funções durante todo o período de emprego nos locais de"&amp;" trabalho designados; e para seguir as normas da empresa. Número de horas por semana: 40 Horário de trabalho (início/término): 13h às 22h")</f>
        <v>***Resposta à Solicitação de Informações*** Os funcionários não prepararão nem cozinharão nenhum alimento do zero. A seguir, alguns exemplos de alimentos que podem ser oferecidos ao público: Cachorro-quente de milho: Cachorros-quentes de milho congelados, pré-empanados e pré-espetados. Eles são colocados na fritadeira. O temporizador da fritadeira reservado para os cachorros-quentes de milho é pré-programado e, quando atingem o tempo adequado, a cesta se eleva para permitir que o óleo escorra. Eles são colocados em um rechaud no balcão da frente, sob uma lâmpada de aquecimento. Quando um cliente pede um ou mais cachorros-quentes de milho, eles são retirados do rechaud e colocados em uma travessa de tamanho adequado. São entregues ao cliente, que se dirige ao quiosque para adicionar condimentos e pegar guardanapos ou talheres, se necessário. Algodão-doce: O algodão-doce é uma combinação de açúcar e um produto comercial conhecido como flossine, que adiciona cor e sabor ao produto final. Uma máquina de algodão-doce comercial, também conhecida como fio dental, é ligada e aquecida. O açúcar e o fio dental são misturados nas proporções adequadas e, quando a máquina atinge a temperatura correta, o funcionário despeja lentamente a mistura, usando um copo pequeno ou uma colher medidora, no elemento de aquecimento central. Isso produz fios de algodão-doce que se formam ao redor do centro da máquina. O funcionário gira lentamente o cone de papel de algodão-doce dentro da tigela grande para capturar e formar o que a maioria das pessoas reconhece como algodão-doce. Em seguida, o algodão-doce é colocado em um saco plástico, fechado com um pequeno laço e armazenado em local seco até que um cliente faça um pedido. Bebidas de máquina: Sacos de gelo são abertos e o gelo é despejado manualmente no reservatório na parte superior do dispensador e no recipiente de gelo. Quando um pedido é feito, o funcionário prepara a bebida no tamanho e sabor adequados e coloca uma tampa de plástico no copo. O funcionário coloca a bebida na área de serviço para que outro funcionário, em contato direto com o cliente, possa entregar a(s) bebida(s) juntamente com o restante do pedido. ***Original F.a.2*** Executar diversas tarefas em um parque de diversões itinerante, montando, desmontando e operando equipamentos (brinquedos, jogos e/ou barracas de comida). Pode vender ingressos e cobrar taxas dos clientes; fornecer informações sobre as instalações, regras e regulamentos; direcionar os clientes aos brinquedos, assentos ou atrações; monitorar as atividades para garantir o cumprimento das regras e procedimentos de segurança; auxiliar os clientes na entrada ou saída dos brinquedos; limpar brinquedos, barracas, instalações ou terrenos; inspecionar equipamentos para detectar desgaste e danos e realizar pequenos reparos, ajustes ou tarefas de manutenção, como lubrificação de peças; fixar dispositivos de segurança para os clientes ou fornecer instruções sobre como fixá-los; anunciar ou descrever as atrações do parque de diversões para atrair clientes para jogos e/ou outras formas de entretenimento; e vender e servir bebidas e lanches aos clientes. Classificação da vaga: 35-2019.00 - Cozinheiros, Outros. A classificação e descrição da vaga/setor inclui informações gerais sobre o cargo, de acordo com o ONET/OES e o Sistema de Classificação Industrial da América do Norte. Consulte as Funções e a Ordem de Serviço para obter mais informações. Requisitos da vaga Experiência exigida: Não Requisitos especiais: Testes aleatórios de drogas e verificação de antecedentes criminais após a contratação poderão ser exigidos, sem custo para o trabalhador. A vaga exige que o candidato seja qualificado, esteja pronto, disposto, apto e disponível para desempenhar as funções durante todo o período de emprego nos locais de trabalho designados; e para seguir as normas da empresa. Número de horas por semana: 40 Horário de trabalho (início/término): 13h às 22h</v>
      </c>
    </row>
    <row r="1278" ht="20.25" customHeight="1">
      <c r="A1278" s="3" t="s">
        <v>5666</v>
      </c>
      <c r="B1278" s="3" t="s">
        <v>5667</v>
      </c>
      <c r="C1278" s="3" t="s">
        <v>4247</v>
      </c>
      <c r="D1278" s="3" t="s">
        <v>71</v>
      </c>
      <c r="E1278" s="4" t="s">
        <v>19</v>
      </c>
      <c r="F1278" s="4" t="s">
        <v>20</v>
      </c>
      <c r="G1278" s="4" t="s">
        <v>118</v>
      </c>
      <c r="H1278" s="3" t="s">
        <v>5668</v>
      </c>
      <c r="I1278" s="3" t="s">
        <v>5669</v>
      </c>
      <c r="J1278" s="4">
        <v>18.2</v>
      </c>
      <c r="K1278" s="4">
        <v>22.0</v>
      </c>
      <c r="L1278" s="3" t="s">
        <v>4250</v>
      </c>
      <c r="M1278" s="3" t="s">
        <v>4251</v>
      </c>
      <c r="N1278" s="7" t="str">
        <f>IFERROR(__xludf.DUMMYFUNCTION("GOOGLETRANSLATE(L1278, ""en"", ""pt"")"),"49-9098: Ajudantes — Trabalhos de instalação, manutenção e reparo")</f>
        <v>49-9098: Ajudantes — Trabalhos de instalação, manutenção e reparo</v>
      </c>
      <c r="O1278" s="7" t="str">
        <f>IFERROR(__xludf.DUMMYFUNCTION("IF(M1278="""","""",GOOGLETRANSLATE(M1278,""en"",""pt""))"),"Auxiliar os trabalhadores de instalação, manutenção e reparo na manutenção, substituição de peças e reparo de veículos, máquinas industriais e equipamentos elétricos e eletrônicos. Executar tarefas como fornecer ferramentas, materiais e suprimentos para o"&amp;"utros trabalhadores; limpar a área de trabalho, máquinas e ferramentas; e segurar materiais ou ferramentas para outros trabalhadores. Classificação da vaga: 49-9098.00 - Auxiliares - Trabalhadores de Instalação, Manutenção e Reparo. A classificação e desc"&amp;"rição da vaga/setor inclui informações gerais sobre a posição, de acordo com o ONET/OES e o Sistema de Classificação Industrial da América do Norte (NAICS). Consulte as Funções e a Ordem de Serviço para obter mais informações. Requisitos da vaga: Experiên"&amp;"cia exigida: Não. Requisitos especiais: Testes aleatórios de drogas e verificação de antecedentes criminais após a contratação podem ser exigidos, sem custo para o trabalhador. A vaga exige que o candidato seja qualificado, esteja pronto, disposto, apto e"&amp;" disponível para trabalhar durante todo o período de emprego no local de trabalho designado; para firmar e cumprir o contrato de trabalho; e para seguir as normas do local de trabalho. Número de horas por semana: 35. Horário de trabalho (início/término): "&amp;"8h. - 16:00")</f>
        <v>Auxiliar os trabalhadores de instalação, manutenção e reparo na manutenção, substituição de peças e reparo de veículos, máquinas industriais e equipamentos elétricos e eletrônicos. Executar tarefas como fornecer ferramentas, materiais e suprimentos para outros trabalhadores; limpar a área de trabalho, máquinas e ferramentas; e segurar materiais ou ferramentas para outros trabalhadores. Classificação da vaga: 49-9098.00 - Auxiliares - Trabalhadores de Instalação, Manutenção e Reparo. A classificação e descrição da vaga/setor inclui informações gerais sobre a posição, de acordo com o ONET/OES e o Sistema de Classificação Industrial da América do Norte (NAICS). Consulte as Funções e a Ordem de Serviço para obter mais informações. Requisitos da vaga: Experiência exigida: Não. Requisitos especiais: Testes aleatórios de drogas e verificação de antecedentes criminais após a contratação podem ser exigidos, sem custo para o trabalhador. A vaga exige que o candidato seja qualificado, esteja pronto, disposto, apto e disponível para trabalhar durante todo o período de emprego no local de trabalho designado; para firmar e cumprir o contrato de trabalho; e para seguir as normas do local de trabalho. Número de horas por semana: 35. Horário de trabalho (início/término): 8h. - 16:00</v>
      </c>
    </row>
    <row r="1279" ht="20.25" customHeight="1">
      <c r="A1279" s="8" t="s">
        <v>5670</v>
      </c>
      <c r="B1279" s="8" t="s">
        <v>5671</v>
      </c>
      <c r="C1279" s="8" t="s">
        <v>4241</v>
      </c>
      <c r="D1279" s="8" t="s">
        <v>71</v>
      </c>
      <c r="E1279" s="9" t="s">
        <v>19</v>
      </c>
      <c r="F1279" s="9" t="s">
        <v>20</v>
      </c>
      <c r="G1279" s="9" t="s">
        <v>384</v>
      </c>
      <c r="H1279" s="8" t="s">
        <v>5672</v>
      </c>
      <c r="I1279" s="8" t="s">
        <v>5673</v>
      </c>
      <c r="J1279" s="9">
        <v>21.48</v>
      </c>
      <c r="K1279" s="9">
        <v>14.0</v>
      </c>
      <c r="L1279" s="8" t="s">
        <v>1206</v>
      </c>
      <c r="M1279" s="8" t="s">
        <v>5674</v>
      </c>
      <c r="N1279" s="7" t="str">
        <f>IFERROR(__xludf.DUMMYFUNCTION("GOOGLETRANSLATE(L1279, ""en"", ""pt"")"),"Servidor")</f>
        <v>Servidor</v>
      </c>
      <c r="O1279" s="7" t="str">
        <f>IFERROR(__xludf.DUMMYFUNCTION("IF(M1279="""","""",GOOGLETRANSLATE(M1279,""en"",""pt""))"),"***Resposta à Solicitação de Informações*** “Montagem e/ou desmontagem ocasional de eventos” – isso consiste em mover e posicionar mesas de jantar e cadeiras de salão de acordo com a planta baixa, realocar mesas de buffet dentro do salão de jantar para e "&amp;"de áreas de armazenamento adjacentes, montar estações de bebidas (por exemplo, com dispensadores de bebidas e copos) e devolver mesas, cadeiras e equipamentos à área de armazenamento após os eventos. “Ferramentas, equipamentos e materiais utilizados” – is"&amp;"so inclui carrinhos para cadeiras (carrinhos com rodinhas para cadeiras de salão empilhadas) e carrinhos para movimentação de mesas (carrinhos com rodinhas para mesas), sendo os demais itens movidos manualmente, levantando e carregando. Não são utilizadas"&amp;" ferramentas elétricas ou equipamentos mecanizados. ***Original*** Os garçons serão responsáveis ​​por recepcionar e acomodar os clientes, organizar todas as áreas de refeição (incluindo à la carte e banquetes), anotar e registrar pedidos, transportar ban"&amp;"dejas e pratos, preparar bebidas alcoólicas e não alcoólicas, servir alimentos e bebidas, limpar e retirar as mesas, ocasionalmente montar e/ou desmontar eventos de banquetes, compreender e operar o sistema de ponto de venda (PDV) e apoiar os colegas dura"&amp;"nte períodos de grande movimento, a fim de atender aos padrões de serviço. Horário: 35 horas semanais. O horário de trabalho pode variar e incluir noites, fins de semana e feriados. O trabalho pode ser realizado em qualquer dia da semana, de segunda a dom"&amp;"ingo. Exemplos de turnos: das 10h às 17h ou das 15h às 22h. Os horários dos turnos podem variar. Consulte a descrição da vaga para obter mais informações. Classificação da vaga: 35-3011.00 - Bartenders. A classificação e descrição da vaga/setor incluem in"&amp;"formações gerais sobre o cargo, de acordo com o ONET/OES e o Sistema de Classificação Industrial da América do Norte. Consulte a Descrição das Funções e a Ordem de Serviço para obter mais informações. Requisitos da Vaga Experiência Necessária: Sim Meses d"&amp;"e Experiência Necessários: 3 Requisitos Especiais: O contratante considerará para emprego qualquer pessoa que possua pelo menos três (3) meses de experiência em atendimento em um ambiente de alta gastronomia ou de grande movimento em um restaurante sofist"&amp;"icado, resort ou clube privado. Novos candidatos e funcionários que retornam após mais de um ano de afastamento devem se submeter a uma verificação de antecedentes pré-admissional, custeada pelo empregador. Todos os candidatos devem se submeter a um exame"&amp;" toxicológico pré-admissional, custeado pelo empregador. Número de Horas por Semana: 35 Horário de Trabalho (Início/Término): 10h00 - 17h00")</f>
        <v>***Resposta à Solicitação de Informações*** “Montagem e/ou desmontagem ocasional de eventos” – isso consiste em mover e posicionar mesas de jantar e cadeiras de salão de acordo com a planta baixa, realocar mesas de buffet dentro do salão de jantar para e de áreas de armazenamento adjacentes, montar estações de bebidas (por exemplo, com dispensadores de bebidas e copos) e devolver mesas, cadeiras e equipamentos à área de armazenamento após os eventos. “Ferramentas, equipamentos e materiais utilizados” – isso inclui carrinhos para cadeiras (carrinhos com rodinhas para cadeiras de salão empilhadas) e carrinhos para movimentação de mesas (carrinhos com rodinhas para mesas), sendo os demais itens movidos manualmente, levantando e carregando. Não são utilizadas ferramentas elétricas ou equipamentos mecanizados. ***Original*** Os garçons serão responsáveis ​​por recepcionar e acomodar os clientes, organizar todas as áreas de refeição (incluindo à la carte e banquetes), anotar e registrar pedidos, transportar bandejas e pratos, preparar bebidas alcoólicas e não alcoólicas, servir alimentos e bebidas, limpar e retirar as mesas, ocasionalmente montar e/ou desmontar eventos de banquetes, compreender e operar o sistema de ponto de venda (PDV) e apoiar os colegas durante períodos de grande movimento, a fim de atender aos padrões de serviço. Horário: 35 horas semanais. O horário de trabalho pode variar e incluir noites, fins de semana e feriados. O trabalho pode ser realizado em qualquer dia da semana, de segunda a domingo. Exemplos de turnos: das 10h às 17h ou das 15h às 22h. Os horários dos turnos podem variar. Consulte a descrição da vaga para obter mais informações. Classificação da vaga: 35-3011.00 - Bartenders. A classificação e descrição da vaga/setor incluem informações gerais sobre o cargo, de acordo com o ONET/OES e o Sistema de Classificação Industrial da América do Norte. Consulte a Descrição das Funções e a Ordem de Serviço para obter mais informações. Requisitos da Vaga Experiência Necessária: Sim Meses de Experiência Necessários: 3 Requisitos Especiais: O contratante considerará para emprego qualquer pessoa que possua pelo menos três (3) meses de experiência em atendimento em um ambiente de alta gastronomia ou de grande movimento em um restaurante sofisticado, resort ou clube privado. Novos candidatos e funcionários que retornam após mais de um ano de afastamento devem se submeter a uma verificação de antecedentes pré-admissional, custeada pelo empregador. Todos os candidatos devem se submeter a um exame toxicológico pré-admissional, custeado pelo empregador. Número de Horas por Semana: 35 Horário de Trabalho (Início/Término): 10h00 - 17h00</v>
      </c>
    </row>
    <row r="1280" ht="20.25" customHeight="1">
      <c r="A1280" s="3" t="s">
        <v>5675</v>
      </c>
      <c r="B1280" s="3" t="s">
        <v>5671</v>
      </c>
      <c r="C1280" s="3" t="s">
        <v>4241</v>
      </c>
      <c r="D1280" s="3" t="s">
        <v>71</v>
      </c>
      <c r="E1280" s="4" t="s">
        <v>19</v>
      </c>
      <c r="F1280" s="4" t="s">
        <v>20</v>
      </c>
      <c r="G1280" s="4" t="s">
        <v>384</v>
      </c>
      <c r="H1280" s="3" t="s">
        <v>5672</v>
      </c>
      <c r="I1280" s="3" t="s">
        <v>5673</v>
      </c>
      <c r="J1280" s="4">
        <v>17.0</v>
      </c>
      <c r="K1280" s="4">
        <v>10.0</v>
      </c>
      <c r="L1280" s="3" t="s">
        <v>5135</v>
      </c>
      <c r="M1280" s="3" t="s">
        <v>5676</v>
      </c>
      <c r="N1280" s="7" t="str">
        <f>IFERROR(__xludf.DUMMYFUNCTION("GOOGLETRANSLATE(L1280, ""en"", ""pt"")"),"Assistente de Garçom")</f>
        <v>Assistente de Garçom</v>
      </c>
      <c r="O1280" s="7" t="str">
        <f>IFERROR(__xludf.DUMMYFUNCTION("IF(M1280="""","""",GOOGLETRANSLATE(M1280,""en"",""pt""))"),"Os Auxiliares de Garçom serão responsáveis ​​por recepcionar os clientes, preparar as áreas de refeição, arrumar as mesas, limpar e retirar os pratos, servir água e café aos clientes e servir comida quando os garçons ou garçonetes precisarem de ajuda, lev"&amp;"ar os pratos, auxiliar ocasionalmente na montagem e/ou desmontagem de eventos de banquetes, limpar e retirar os pratos, compreender e operar o sistema de Ponto de Venda (PDV), enrolar os talheres e polir os talheres. Horário: 35 horas semanais. O horário "&amp;"de trabalho pode variar e incluir turnos noturnos, fins de semana e feriados. O trabalho pode ser realizado em qualquer dia da semana, de segunda a domingo. Exemplos de turnos: 10h às 17h, 15h às 22h. Os horários dos turnos podem variar. Consulte a descri"&amp;"ção do cargo em anexo para obter mais informações. Classificação do Cargo: 35-9011.00 - Atendentes de Salão e Cafeteria e Auxiliares de Bar. A classificação e descrição do cargo/setor inclui informações gerais sobre a posição, de acordo com o ONET/OES e o"&amp;" Sistema de Classificação Industrial da América do Norte. Consulte a Descrição das Funções e a Ordem de Serviço para obter mais informações. Requisitos da Vaga Experiência Necessária: Sim Meses de Experiência Necessários: 3 Requisitos Especiais: O contrat"&amp;"ante considerará para emprego qualquer pessoa que possua pelo menos três (3) meses de experiência em um ambiente de alta gastronomia ou de grande movimento em um restaurante de luxo, resort, hotel ou clube privado. Novos candidatos e funcionários que reto"&amp;"rnam após mais de um ano de afastamento devem se submeter a uma verificação de antecedentes pré-admissional, custeada pelo empregador. Todos os candidatos devem se submeter a um exame toxicológico pré-admissional, custeado pelo empregador. Número de Horas"&amp;" por Semana: 35 Horário de Trabalho (Início/Término): 10:00 - 17:00")</f>
        <v>Os Auxiliares de Garçom serão responsáveis ​​por recepcionar os clientes, preparar as áreas de refeição, arrumar as mesas, limpar e retirar os pratos, servir água e café aos clientes e servir comida quando os garçons ou garçonetes precisarem de ajuda, levar os pratos, auxiliar ocasionalmente na montagem e/ou desmontagem de eventos de banquetes, limpar e retirar os pratos, compreender e operar o sistema de Ponto de Venda (PDV), enrolar os talheres e polir os talheres. Horário: 35 horas semanais. O horário de trabalho pode variar e incluir turnos noturnos, fins de semana e feriados. O trabalho pode ser realizado em qualquer dia da semana, de segunda a domingo. Exemplos de turnos: 10h às 17h, 15h às 22h. Os horários dos turnos podem variar. Consulte a descrição do cargo em anexo para obter mais informações. Classificação do Cargo: 35-9011.00 - Atendentes de Salão e Cafeteria e Auxiliares de Bar. A classificação e descrição do cargo/setor inclui informações gerais sobre a posição, de acordo com o ONET/OES e o Sistema de Classificação Industrial da América do Norte. Consulte a Descrição das Funções e a Ordem de Serviço para obter mais informações. Requisitos da Vaga Experiência Necessária: Sim Meses de Experiência Necessários: 3 Requisitos Especiais: O contratante considerará para emprego qualquer pessoa que possua pelo menos três (3) meses de experiência em um ambiente de alta gastronomia ou de grande movimento em um restaurante de luxo, resort, hotel ou clube privado. Novos candidatos e funcionários que retornam após mais de um ano de afastamento devem se submeter a uma verificação de antecedentes pré-admissional, custeada pelo empregador. Todos os candidatos devem se submeter a um exame toxicológico pré-admissional, custeado pelo empregador. Número de Horas por Semana: 35 Horário de Trabalho (Início/Término): 10:00 - 17:00</v>
      </c>
    </row>
    <row r="1281" ht="20.25" customHeight="1">
      <c r="A1281" s="8" t="s">
        <v>5677</v>
      </c>
      <c r="B1281" s="8" t="s">
        <v>5671</v>
      </c>
      <c r="C1281" s="8" t="s">
        <v>4241</v>
      </c>
      <c r="D1281" s="8" t="s">
        <v>71</v>
      </c>
      <c r="E1281" s="9" t="s">
        <v>19</v>
      </c>
      <c r="F1281" s="9" t="s">
        <v>20</v>
      </c>
      <c r="G1281" s="9" t="s">
        <v>384</v>
      </c>
      <c r="H1281" s="8" t="s">
        <v>5672</v>
      </c>
      <c r="I1281" s="8" t="s">
        <v>5673</v>
      </c>
      <c r="J1281" s="9">
        <v>20.0</v>
      </c>
      <c r="K1281" s="9">
        <v>17.0</v>
      </c>
      <c r="L1281" s="8" t="s">
        <v>387</v>
      </c>
      <c r="M1281" s="8" t="s">
        <v>5678</v>
      </c>
      <c r="N1281" s="7" t="str">
        <f>IFERROR(__xludf.DUMMYFUNCTION("GOOGLETRANSLATE(L1281, ""en"", ""pt"")"),"Ordem de serviço não disponível")</f>
        <v>Ordem de serviço não disponível</v>
      </c>
      <c r="O1281" s="7" t="str">
        <f>IFERROR(__xludf.DUMMYFUNCTION("IF(M1281="""","""",GOOGLETRANSLATE(M1281,""en"",""pt""))"),"Os cozinheiros serão responsáveis ​​por preparar, temperar e cozinhar sopas, carnes, legumes, sobremesas e outros pratos em um restaurante. Horário: 35 horas semanais. O horário de trabalho pode variar e incluir turnos noturnos, fins de semana e feriados."&amp;" O trabalho pode ser realizado em qualquer dia da semana, de segunda a domingo. Exemplos de turnos: das 7h às 14h, das 9h às 16h ou das 15h às 22h. Os horários dos turnos podem variar. Consulte a descrição do cargo em anexo para obter mais informações. Cl"&amp;"assificação do Cargo: 35-2014.00 - Cozinheiros, Restaurante. A classificação e a descrição do cargo/setor incluem informações gerais sobre a posição, de acordo com o ONET/OES e o Sistema de Classificação Industrial da América do Norte (NAICS). Consulte as"&amp;" Funções e a Ordem de Serviço para obter mais informações. Requisitos da Vaga Experiência Necessária: Sim Meses de Experiência Necessários: 12 Requisitos Especiais: O contratante considerará para emprego qualquer pessoa que possua pelo menos um (1) ano de"&amp;" experiência culinária em um ambiente de alta gastronomia ou de grande movimento em um restaurante sofisticado, resort ou clube privado. Novos candidatos e funcionários que retornam após mais de um ano de afastamento devem se submeter a uma verificação de"&amp;" antecedentes pré-admissional, custeada pelo empregador. Todos os candidatos devem se submeter a um exame toxicológico pré-admissional, custeado pelo empregador. Número de Horas por Semana: 35 Horário de Trabalho (Início/Término): 7h00 - 14h00")</f>
        <v>Os cozinheiros serão responsáveis ​​por preparar, temperar e cozinhar sopas, carnes, legumes, sobremesas e outros pratos em um restaurante. Horário: 35 horas semanais. O horário de trabalho pode variar e incluir turnos noturnos, fins de semana e feriados. O trabalho pode ser realizado em qualquer dia da semana, de segunda a domingo. Exemplos de turnos: das 7h às 14h, das 9h às 16h ou das 15h às 22h. Os horários dos turnos podem variar. Consulte a descrição do cargo em anexo para obter mais informações. Classificação do Cargo: 35-2014.00 - Cozinheiros, Restaurante. A classificação e a descrição do cargo/setor incluem informações gerais sobre a posição, de acordo com o ONET/OES e o Sistema de Classificação Industrial da América do Norte (NAICS). Consulte as Funções e a Ordem de Serviço para obter mais informações. Requisitos da Vaga Experiência Necessária: Sim Meses de Experiência Necessários: 12 Requisitos Especiais: O contratante considerará para emprego qualquer pessoa que possua pelo menos um (1) ano de experiência culinária em um ambiente de alta gastronomia ou de grande movimento em um restaurante sofisticado, resort ou clube privado. Novos candidatos e funcionários que retornam após mais de um ano de afastamento devem se submeter a uma verificação de antecedentes pré-admissional, custeada pelo empregador. Todos os candidatos devem se submeter a um exame toxicológico pré-admissional, custeado pelo empregador. Número de Horas por Semana: 35 Horário de Trabalho (Início/Término): 7h00 - 14h00</v>
      </c>
    </row>
    <row r="1282" ht="20.25" customHeight="1">
      <c r="A1282" s="3" t="s">
        <v>5679</v>
      </c>
      <c r="B1282" s="3" t="s">
        <v>5680</v>
      </c>
      <c r="C1282" s="3" t="s">
        <v>4247</v>
      </c>
      <c r="D1282" s="3" t="s">
        <v>64</v>
      </c>
      <c r="E1282" s="4" t="s">
        <v>19</v>
      </c>
      <c r="F1282" s="4" t="s">
        <v>20</v>
      </c>
      <c r="G1282" s="4" t="s">
        <v>5681</v>
      </c>
      <c r="H1282" s="3" t="s">
        <v>5682</v>
      </c>
      <c r="I1282" s="3" t="s">
        <v>5683</v>
      </c>
      <c r="J1282" s="4">
        <v>16.22</v>
      </c>
      <c r="K1282" s="4">
        <v>15.0</v>
      </c>
      <c r="L1282" s="3" t="s">
        <v>4250</v>
      </c>
      <c r="M1282" s="3" t="s">
        <v>4251</v>
      </c>
      <c r="N1282" s="7" t="str">
        <f>IFERROR(__xludf.DUMMYFUNCTION("GOOGLETRANSLATE(L1282, ""en"", ""pt"")"),"49-9098: Ajudantes — Trabalhos de instalação, manutenção e reparo")</f>
        <v>49-9098: Ajudantes — Trabalhos de instalação, manutenção e reparo</v>
      </c>
      <c r="O1282" s="7" t="str">
        <f>IFERROR(__xludf.DUMMYFUNCTION("IF(M1282="""","""",GOOGLETRANSLATE(M1282,""en"",""pt""))"),"Auxiliar os trabalhadores de instalação, manutenção e reparo na manutenção, substituição de peças e reparo de veículos, máquinas industriais e equipamentos elétricos e eletrônicos. Executar tarefas como fornecer ferramentas, materiais e suprimentos para o"&amp;"utros trabalhadores; limpar a área de trabalho, máquinas e ferramentas; e segurar materiais ou ferramentas para outros trabalhadores. Classificação da vaga: 49-9098.00 - Auxiliares - Trabalhadores de Instalação, Manutenção e Reparo. A classificação e desc"&amp;"rição da vaga/setor inclui informações gerais sobre a posição, de acordo com o ONET/OES e o Sistema de Classificação Industrial da América do Norte (NAICS). Consulte as Funções e a Ordem de Serviço para obter mais informações. Requisitos da vaga: Experiên"&amp;"cia exigida: Não. Requisitos especiais: Testes aleatórios de drogas e verificação de antecedentes criminais após a contratação podem ser exigidos, sem custo para o trabalhador. A vaga exige que o candidato seja qualificado, esteja pronto, disposto, apto e"&amp;" disponível para trabalhar durante todo o período de emprego no local de trabalho designado; para firmar e cumprir o contrato de trabalho; e para seguir as normas do local de trabalho. Número de horas por semana: 35. Horário de trabalho (início/término): "&amp;"8h. - 16:00")</f>
        <v>Auxiliar os trabalhadores de instalação, manutenção e reparo na manutenção, substituição de peças e reparo de veículos, máquinas industriais e equipamentos elétricos e eletrônicos. Executar tarefas como fornecer ferramentas, materiais e suprimentos para outros trabalhadores; limpar a área de trabalho, máquinas e ferramentas; e segurar materiais ou ferramentas para outros trabalhadores. Classificação da vaga: 49-9098.00 - Auxiliares - Trabalhadores de Instalação, Manutenção e Reparo. A classificação e descrição da vaga/setor inclui informações gerais sobre a posição, de acordo com o ONET/OES e o Sistema de Classificação Industrial da América do Norte (NAICS). Consulte as Funções e a Ordem de Serviço para obter mais informações. Requisitos da vaga: Experiência exigida: Não. Requisitos especiais: Testes aleatórios de drogas e verificação de antecedentes criminais após a contratação podem ser exigidos, sem custo para o trabalhador. A vaga exige que o candidato seja qualificado, esteja pronto, disposto, apto e disponível para trabalhar durante todo o período de emprego no local de trabalho designado; para firmar e cumprir o contrato de trabalho; e para seguir as normas do local de trabalho. Número de horas por semana: 35. Horário de trabalho (início/término): 8h. - 16:00</v>
      </c>
    </row>
    <row r="1283" ht="20.25" customHeight="1">
      <c r="A1283" s="8" t="s">
        <v>5684</v>
      </c>
      <c r="B1283" s="8" t="s">
        <v>5685</v>
      </c>
      <c r="C1283" s="8" t="s">
        <v>4241</v>
      </c>
      <c r="D1283" s="8" t="s">
        <v>71</v>
      </c>
      <c r="E1283" s="9" t="s">
        <v>19</v>
      </c>
      <c r="F1283" s="9" t="s">
        <v>20</v>
      </c>
      <c r="G1283" s="9" t="s">
        <v>384</v>
      </c>
      <c r="H1283" s="8" t="s">
        <v>5686</v>
      </c>
      <c r="I1283" s="8" t="s">
        <v>5687</v>
      </c>
      <c r="J1283" s="9">
        <v>20.0</v>
      </c>
      <c r="K1283" s="9">
        <v>12.0</v>
      </c>
      <c r="L1283" s="8" t="s">
        <v>586</v>
      </c>
      <c r="M1283" s="8" t="s">
        <v>5688</v>
      </c>
      <c r="N1283" s="7" t="str">
        <f>IFERROR(__xludf.DUMMYFUNCTION("GOOGLETRANSLATE(L1283, ""en"", ""pt"")"),"Cozinheiro de linha")</f>
        <v>Cozinheiro de linha</v>
      </c>
      <c r="O1283" s="7" t="str">
        <f>IFERROR(__xludf.DUMMYFUNCTION("IF(M1283="""","""",GOOGLETRANSLATE(M1283,""en"",""pt""))"),"Os cozinheiros de linha serão responsáveis ​​por preparar, temperar e cozinhar sopas, carnes, legumes, sobremesas e outros itens alimentícios em um restaurante. Horário: 40 horas semanais. O horário de trabalho pode variar e incluir turnos noturnos, fins "&amp;"de semana e feriados. O trabalho pode ser realizado em qualquer dia da semana, de segunda a domingo. Exemplos de turnos: das 9h às 17h, das 12h às 20h ou das 13h às 21h. Os horários dos turnos podem variar. Consulte a descrição do cargo em anexo para obte"&amp;"r mais informações. Classificação do cargo: 35-2014.00 - Cozinheiros, Restaurante. A classificação e a descrição do cargo/setor incluem informações gerais sobre a posição, de acordo com o ONET/OES e o Sistema de Classificação Industrial da América do Nort"&amp;"e. Consulte as Funções e a Ordem de Serviço para obter mais informações. Requisitos da Vaga Experiência Necessária: Sim Meses de Experiência Necessários: 6 Requisitos Especiais: O contratante considerará para emprego qualquer pessoa que possua pelo menos "&amp;"seis (6) meses de experiência culinária em um ambiente de alta gastronomia ou de grande movimento em um restaurante sofisticado, resort ou clube privado. O candidato deverá se submeter à verificação de antecedentes e ao exame toxicológico pré-admissional,"&amp;" às custas do empregador. Número de Horas por Semana: 40 Horário de Trabalho (Início/Término): 9h00 - 17h00")</f>
        <v>Os cozinheiros de linha serão responsáveis ​​por preparar, temperar e cozinhar sopas, carnes, legumes, sobremesas e outros itens alimentícios em um restaurante. Horário: 40 horas semanais. O horário de trabalho pode variar e incluir turnos noturnos, fins de semana e feriados. O trabalho pode ser realizado em qualquer dia da semana, de segunda a domingo. Exemplos de turnos: das 9h às 17h, das 12h às 20h ou das 13h às 21h. Os horários dos turnos podem variar. Consulte a descrição do cargo em anexo para obter mais informações. Classificação do cargo: 35-2014.00 - Cozinheiros, Restaurante. A classificação e a descrição do cargo/setor incluem informações gerais sobre a posição, de acordo com o ONET/OES e o Sistema de Classificação Industrial da América do Norte. Consulte as Funções e a Ordem de Serviço para obter mais informações. Requisitos da Vaga Experiência Necessária: Sim Meses de Experiência Necessários: 6 Requisitos Especiais: O contratante considerará para emprego qualquer pessoa que possua pelo menos seis (6) meses de experiência culinária em um ambiente de alta gastronomia ou de grande movimento em um restaurante sofisticado, resort ou clube privado. O candidato deverá se submeter à verificação de antecedentes e ao exame toxicológico pré-admissional, às custas do empregador. Número de Horas por Semana: 40 Horário de Trabalho (Início/Término): 9h00 - 17h00</v>
      </c>
    </row>
    <row r="1284" ht="20.25" customHeight="1">
      <c r="A1284" s="3" t="s">
        <v>5689</v>
      </c>
      <c r="B1284" s="3" t="s">
        <v>5685</v>
      </c>
      <c r="C1284" s="3" t="s">
        <v>4241</v>
      </c>
      <c r="D1284" s="3" t="s">
        <v>71</v>
      </c>
      <c r="E1284" s="4" t="s">
        <v>19</v>
      </c>
      <c r="F1284" s="4" t="s">
        <v>20</v>
      </c>
      <c r="G1284" s="4" t="s">
        <v>384</v>
      </c>
      <c r="H1284" s="3" t="s">
        <v>5686</v>
      </c>
      <c r="I1284" s="3" t="s">
        <v>5687</v>
      </c>
      <c r="J1284" s="4">
        <v>20.13</v>
      </c>
      <c r="K1284" s="4">
        <v>19.0</v>
      </c>
      <c r="L1284" s="3" t="s">
        <v>1206</v>
      </c>
      <c r="M1284" s="3" t="s">
        <v>5690</v>
      </c>
      <c r="N1284" s="7" t="str">
        <f>IFERROR(__xludf.DUMMYFUNCTION("GOOGLETRANSLATE(L1284, ""en"", ""pt"")"),"Servidor")</f>
        <v>Servidor</v>
      </c>
      <c r="O1284" s="7" t="str">
        <f>IFERROR(__xludf.DUMMYFUNCTION("IF(M1284="""","""",GOOGLETRANSLATE(M1284,""en"",""pt""))"),"Os garçons serão responsáveis ​​por preparar as áreas de refeição, anotar e registrar os pedidos dos clientes, transportar bandejas, servir comida, preparar e servir bebidas, além de limpar e retirar as mesas. Horário: 40 horas semanais. A escala de traba"&amp;"lho pode variar e incluir turnos noturnos, fins de semana e feriados. O trabalho pode ser realizado em qualquer dia da semana, de segunda a domingo. Exemplos de turnos: das 10h às 18h, das 12h às 20h ou das 14h às 22h. Os horários dos turnos podem variar."&amp;" Consulte a descrição da vaga em anexo para obter mais informações. Classificação da vaga: 35-3031.00 - Garçons e Garçonetes. A classificação e descrição da vaga/setor incluem informações gerais sobre o cargo, de acordo com o ONET/OES e o Sistema de Class"&amp;"ificação Industrial da América do Norte (NAICS). Consulte as Funções e a Ordem de Serviço para obter mais informações. Requisitos da vaga Experiência necessária: Sim Meses de experiência necessários: 6 Requisitos especiais: O contratante considerará para "&amp;"emprego qualquer pessoa que possua pelo menos seis (6) meses de experiência em atendimento ao público em um ambiente de alta gastronomia ou de grande movimento, em um restaurante sofisticado, resort ou clube privado. O candidato deverá se submeter à verif"&amp;"icação de antecedentes e ao exame toxicológico pré-admissional, às custas do empregador. Número de horas por semana: 40 Horário de trabalho (início/término): 10h às 18h")</f>
        <v>Os garçons serão responsáveis ​​por preparar as áreas de refeição, anotar e registrar os pedidos dos clientes, transportar bandejas, servir comida, preparar e servir bebidas, além de limpar e retirar as mesas. Horário: 40 horas semanais. A escala de trabalho pode variar e incluir turnos noturnos, fins de semana e feriados. O trabalho pode ser realizado em qualquer dia da semana, de segunda a domingo. Exemplos de turnos: das 10h às 18h, das 12h às 20h ou das 14h às 22h. Os horários dos turnos podem variar. Consulte a descrição da vaga em anexo para obter mais informações. Classificação da vaga: 35-3031.00 - Garçons e Garçonetes. A classificação e descrição da vaga/setor incluem informações gerais sobre o cargo, de acordo com o ONET/OES e o Sistema de Classificação Industrial da América do Norte (NAICS). Consulte as Funções e a Ordem de Serviço para obter mais informações. Requisitos da vaga Experiência necessária: Sim Meses de experiência necessários: 6 Requisitos especiais: O contratante considerará para emprego qualquer pessoa que possua pelo menos seis (6) meses de experiência em atendimento ao público em um ambiente de alta gastronomia ou de grande movimento, em um restaurante sofisticado, resort ou clube privado. O candidato deverá se submeter à verificação de antecedentes e ao exame toxicológico pré-admissional, às custas do empregador. Número de horas por semana: 40 Horário de trabalho (início/término): 10h às 18h</v>
      </c>
    </row>
    <row r="1285" ht="20.25" customHeight="1">
      <c r="A1285" s="8" t="s">
        <v>5691</v>
      </c>
      <c r="B1285" s="8" t="s">
        <v>5692</v>
      </c>
      <c r="C1285" s="8" t="s">
        <v>4247</v>
      </c>
      <c r="D1285" s="8" t="s">
        <v>64</v>
      </c>
      <c r="E1285" s="9" t="s">
        <v>19</v>
      </c>
      <c r="F1285" s="9" t="s">
        <v>20</v>
      </c>
      <c r="G1285" s="9" t="s">
        <v>5693</v>
      </c>
      <c r="H1285" s="8" t="s">
        <v>5694</v>
      </c>
      <c r="I1285" s="8" t="s">
        <v>5695</v>
      </c>
      <c r="J1285" s="9">
        <v>19.08</v>
      </c>
      <c r="K1285" s="9">
        <v>40.0</v>
      </c>
      <c r="L1285" s="8" t="s">
        <v>4250</v>
      </c>
      <c r="M1285" s="8" t="s">
        <v>5696</v>
      </c>
      <c r="N1285" s="7" t="str">
        <f>IFERROR(__xludf.DUMMYFUNCTION("GOOGLETRANSLATE(L1285, ""en"", ""pt"")"),"49-9098: Ajudantes — Trabalhos de instalação, manutenção e reparo")</f>
        <v>49-9098: Ajudantes — Trabalhos de instalação, manutenção e reparo</v>
      </c>
      <c r="O1285" s="7" t="str">
        <f>IFERROR(__xludf.DUMMYFUNCTION("IF(M1285="""","""",GOOGLETRANSLATE(M1285,""en"",""pt""))"),"Funções do Cargo: Auxiliar os trabalhadores de instalação, manutenção e reparo na manutenção, substituição de peças e reparo de veículos, máquinas industriais e equipamentos elétricos e eletrônicos. Executar tarefas como fornecer ferramentas, materiais e "&amp;"suprimentos para outros trabalhadores; limpar a área de trabalho, máquinas e ferramentas; e segurar materiais ou ferramentas para outros trabalhadores. Classificação do Cargo: 49-9098.00 - Auxiliares - Trabalhadores de Instalação, Manutenção e Reparo. A c"&amp;"lassificação e descrição do cargo/setor inclui informações gerais sobre a posição, de acordo com o ONET/OES e o Sistema de Classificação Industrial da América do Norte (NAICS). Consulte as Funções do Cargo e a Ordem de Serviço para obter mais informações."&amp;" Requisitos do Cargo: Experiência Necessária: Não. Requisitos Especiais: Testes aleatórios de drogas e verificação de antecedentes criminais após a contratação podem ser exigidos, sem custo para o trabalhador. O cargo exige que o candidato seja qualificad"&amp;"o, esteja pronto, disposto, apto e disponível para desempenhar as funções durante todo o período de emprego no local de trabalho designado; para firmar e cumprir o contrato de trabalho; e para seguir as normas do local de trabalho. Número de Horas por Sem"&amp;"ana: 35. Horário de Trabalho (Início/Término): 8h00. - 16:00")</f>
        <v>Funções do Cargo: Auxiliar os trabalhadores de instalação, manutenção e reparo na manutenção, substituição de peças e reparo de veículos, máquinas industriais e equipamentos elétricos e eletrônicos. Executar tarefas como fornecer ferramentas, materiais e suprimentos para outros trabalhadores; limpar a área de trabalho, máquinas e ferramentas; e segurar materiais ou ferramentas para outros trabalhadores. Classificação do Cargo: 49-9098.00 - Auxiliares - Trabalhadores de Instalação, Manutenção e Reparo. A classificação e descrição do cargo/setor inclui informações gerais sobre a posição, de acordo com o ONET/OES e o Sistema de Classificação Industrial da América do Norte (NAICS). Consulte as Funções do Cargo e a Ordem de Serviço para obter mais informações. Requisitos do Cargo: Experiência Necessária: Não. Requisitos Especiais: Testes aleatórios de drogas e verificação de antecedentes criminais após a contratação podem ser exigidos, sem custo para o trabalhador. O cargo exige que o candidato seja qualificado, esteja pronto, disposto, apto e disponível para desempenhar as funções durante todo o período de emprego no local de trabalho designado; para firmar e cumprir o contrato de trabalho; e para seguir as normas do local de trabalho. Número de Horas por Semana: 35. Horário de Trabalho (Início/Término): 8h00. - 16:00</v>
      </c>
    </row>
    <row r="1286" ht="20.25" customHeight="1">
      <c r="A1286" s="3" t="s">
        <v>5697</v>
      </c>
      <c r="B1286" s="3" t="s">
        <v>5556</v>
      </c>
      <c r="C1286" s="3" t="s">
        <v>4241</v>
      </c>
      <c r="D1286" s="3" t="s">
        <v>71</v>
      </c>
      <c r="E1286" s="4" t="s">
        <v>19</v>
      </c>
      <c r="F1286" s="4" t="s">
        <v>20</v>
      </c>
      <c r="G1286" s="4" t="s">
        <v>524</v>
      </c>
      <c r="H1286" s="3" t="s">
        <v>5557</v>
      </c>
      <c r="I1286" s="3" t="s">
        <v>5558</v>
      </c>
      <c r="J1286" s="4">
        <v>22.56</v>
      </c>
      <c r="K1286" s="4">
        <v>8.0</v>
      </c>
      <c r="L1286" s="3" t="s">
        <v>4654</v>
      </c>
      <c r="M1286" s="3" t="s">
        <v>5698</v>
      </c>
      <c r="N1286" s="7" t="str">
        <f>IFERROR(__xludf.DUMMYFUNCTION("GOOGLETRANSLATE(L1286, ""en"", ""pt"")"),"Capitão do servidor")</f>
        <v>Capitão do servidor</v>
      </c>
      <c r="O1286" s="7" t="str">
        <f>IFERROR(__xludf.DUMMYFUNCTION("IF(M1286="""","""",GOOGLETRANSLATE(M1286,""en"",""pt""))"),"Os Capitães de Garçons serão responsáveis ​​por supervisionar a equipe de atendimento de alimentos e bebidas, o que inclui auxiliar na condução de reuniões de turno, revisar os pratos e bebidas especiais do dia, auxiliar a equipe na manutenção dos padrões"&amp;" de serviço, lidar com problemas e reclamações de clientes, realizar treinamentos de desempenho e aplicar medidas disciplinares quando necessário, processar relatórios de fechamento do dia e procedimentos de fechamento, e garantir que todo o trabalho de a"&amp;"bertura e fechamento seja concluído durante o turno. Podem supervisionar até vinte (20) Garçons/Garçonetes. Horário: 40 horas semanais. A escala de trabalho pode variar e incluir turnos noturnos, fins de semana e feriados. O trabalho pode ser realizado em"&amp;" qualquer dia da semana, de segunda a domingo. Exemplos de turnos: 9h às 17h, 12h às 20h ou 15h às 23h. Os horários dos turnos podem variar. Consulte a descrição da vaga para obter mais informações. Classificação da Função: 35-1012.00 - Supervisores de Pr"&amp;"imeira Linha de Preparadores e Servidores de Alimentos. A classificação e descrição da função/setor inclui informações gerais sobre o cargo, de acordo com o ONET/OES e o Sistema de Classificação Industrial da América do Norte (NAICS). Consulte as Funções "&amp;"e a Ordem de Serviço para obter mais informações. Requisitos da Função Experiência Necessária: Sim Meses de Experiência Necessários: 6 Requisitos Especiais: O contratante considerará para emprego qualquer pessoa que possua pelo menos seis (6) meses de exp"&amp;"eriência em um ambiente de alta gastronomia ou de grande movimento em um restaurante sofisticado, resort ou clube privado. O candidato deverá se submeter à verificação de antecedentes e ao exame toxicológico pré-admissional, às custas do empregador. Númer"&amp;"o de Horas por Semana: 40 Horário de Trabalho (Início/Término): 9h00 - 17h00")</f>
        <v>Os Capitães de Garçons serão responsáveis ​​por supervisionar a equipe de atendimento de alimentos e bebidas, o que inclui auxiliar na condução de reuniões de turno, revisar os pratos e bebidas especiais do dia, auxiliar a equipe na manutenção dos padrões de serviço, lidar com problemas e reclamações de clientes, realizar treinamentos de desempenho e aplicar medidas disciplinares quando necessário, processar relatórios de fechamento do dia e procedimentos de fechamento, e garantir que todo o trabalho de abertura e fechamento seja concluído durante o turno. Podem supervisionar até vinte (20) Garçons/Garçonetes. Horário: 40 horas semanais. A escala de trabalho pode variar e incluir turnos noturnos, fins de semana e feriados. O trabalho pode ser realizado em qualquer dia da semana, de segunda a domingo. Exemplos de turnos: 9h às 17h, 12h às 20h ou 15h às 23h. Os horários dos turnos podem variar. Consulte a descrição da vaga para obter mais informações. Classificação da Função: 35-1012.00 - Supervisores de Primeira Linha de Preparadores e Servidores de Alimentos. A classificação e descrição da função/setor inclui informações gerais sobre o cargo, de acordo com o ONET/OES e o Sistema de Classificação Industrial da América do Norte (NAICS). Consulte as Funções e a Ordem de Serviço para obter mais informações. Requisitos da Função Experiência Necessária: Sim Meses de Experiência Necessários: 6 Requisitos Especiais: O contratante considerará para emprego qualquer pessoa que possua pelo menos seis (6) meses de experiência em um ambiente de alta gastronomia ou de grande movimento em um restaurante sofisticado, resort ou clube privado. O candidato deverá se submeter à verificação de antecedentes e ao exame toxicológico pré-admissional, às custas do empregador. Número de Horas por Semana: 40 Horário de Trabalho (Início/Término): 9h00 - 17h00</v>
      </c>
    </row>
    <row r="1287" ht="20.25" customHeight="1">
      <c r="A1287" s="8" t="s">
        <v>5699</v>
      </c>
      <c r="B1287" s="8" t="s">
        <v>5556</v>
      </c>
      <c r="C1287" s="8" t="s">
        <v>4241</v>
      </c>
      <c r="D1287" s="8" t="s">
        <v>71</v>
      </c>
      <c r="E1287" s="9" t="s">
        <v>19</v>
      </c>
      <c r="F1287" s="9" t="s">
        <v>20</v>
      </c>
      <c r="G1287" s="9" t="s">
        <v>524</v>
      </c>
      <c r="H1287" s="8" t="s">
        <v>5557</v>
      </c>
      <c r="I1287" s="8" t="s">
        <v>5558</v>
      </c>
      <c r="J1287" s="9">
        <v>15.6</v>
      </c>
      <c r="K1287" s="9">
        <v>8.0</v>
      </c>
      <c r="L1287" s="8" t="s">
        <v>5700</v>
      </c>
      <c r="M1287" s="8" t="s">
        <v>5701</v>
      </c>
      <c r="N1287" s="7" t="str">
        <f>IFERROR(__xludf.DUMMYFUNCTION("GOOGLETRANSLATE(L1287, ""en"", ""pt"")"),"Atendente sazonal de golfe e carrinhos")</f>
        <v>Atendente sazonal de golfe e carrinhos</v>
      </c>
      <c r="O1287" s="7" t="str">
        <f>IFERROR(__xludf.DUMMYFUNCTION("IF(M1287="""","""",GOOGLETRANSLATE(M1287,""en"",""pt""))"),"Os atendentes sazonais de golfe e carrinhos serão responsáveis ​​por prestar assistência aos sócios, incluindo recepcioná-los e auxiliá-los no check-in, responder a perguntas, transportar equipamentos e preparar os carrinhos de golfe e as estações de prát"&amp;"ica para uso dos sócios. Horário: 40 horas semanais. O horário de trabalho pode variar e incluir turnos noturnos, fins de semana e feriados. O trabalho pode ser realizado em qualquer dia da semana, de segunda a domingo. Exemplos de turnos: 9h às 17h, 12h "&amp;"às 20h ou 15h às 23h. Os horários dos turnos podem variar. Consulte a descrição da vaga para obter mais informações. Classificação da vaga: 39-3091.00 - Atendentes de Diversão e Recreação. A classificação e a descrição da vaga/setor incluem informações ge"&amp;"rais sobre o cargo, de acordo com o ONET/OES e o Sistema de Classificação Industrial da América do Norte (NAICS). Consulte as atribuições e a ordem de serviço para obter mais informações. Requisitos da vaga Experiência necessária: Sim Meses de experiência"&amp;" necessários: 3 Requisitos especiais: O contratante considerará para emprego qualquer pessoa que possua pelo menos três (3) meses de experiência em atendimento ao cliente relacionada ao golfe em um hotel de alto padrão, resort, clube privado ou ambiente t"&amp;"urístico. O candidato deverá se submeter à verificação de antecedentes e ao exame toxicológico pré-admissional, às custas do empregador. Número de horas por semana: 40 Horário de trabalho (início/término): 9h às 17h")</f>
        <v>Os atendentes sazonais de golfe e carrinhos serão responsáveis ​​por prestar assistência aos sócios, incluindo recepcioná-los e auxiliá-los no check-in, responder a perguntas, transportar equipamentos e preparar os carrinhos de golfe e as estações de prática para uso dos sócios. Horário: 40 horas semanais. O horário de trabalho pode variar e incluir turnos noturnos, fins de semana e feriados. O trabalho pode ser realizado em qualquer dia da semana, de segunda a domingo. Exemplos de turnos: 9h às 17h, 12h às 20h ou 15h às 23h. Os horários dos turnos podem variar. Consulte a descrição da vaga para obter mais informações. Classificação da vaga: 39-3091.00 - Atendentes de Diversão e Recreação. A classificação e a descrição da vaga/setor incluem informações gerais sobre o cargo, de acordo com o ONET/OES e o Sistema de Classificação Industrial da América do Norte (NAICS). Consulte as atribuições e a ordem de serviço para obter mais informações. Requisitos da vaga Experiência necessária: Sim Meses de experiência necessários: 3 Requisitos especiais: O contratante considerará para emprego qualquer pessoa que possua pelo menos três (3) meses de experiência em atendimento ao cliente relacionada ao golfe em um hotel de alto padrão, resort, clube privado ou ambiente turístico. O candidato deverá se submeter à verificação de antecedentes e ao exame toxicológico pré-admissional, às custas do empregador. Número de horas por semana: 40 Horário de trabalho (início/término): 9h às 17h</v>
      </c>
    </row>
    <row r="1288" ht="20.25" customHeight="1">
      <c r="A1288" s="3" t="s">
        <v>5702</v>
      </c>
      <c r="B1288" s="3" t="s">
        <v>5556</v>
      </c>
      <c r="C1288" s="3" t="s">
        <v>4241</v>
      </c>
      <c r="D1288" s="3" t="s">
        <v>71</v>
      </c>
      <c r="E1288" s="4" t="s">
        <v>19</v>
      </c>
      <c r="F1288" s="4" t="s">
        <v>20</v>
      </c>
      <c r="G1288" s="4" t="s">
        <v>524</v>
      </c>
      <c r="H1288" s="3" t="s">
        <v>5557</v>
      </c>
      <c r="I1288" s="3" t="s">
        <v>5558</v>
      </c>
      <c r="J1288" s="4">
        <v>15.0</v>
      </c>
      <c r="K1288" s="4">
        <v>9.0</v>
      </c>
      <c r="L1288" s="3" t="s">
        <v>527</v>
      </c>
      <c r="M1288" s="3" t="s">
        <v>5703</v>
      </c>
      <c r="N1288" s="7" t="str">
        <f>IFERROR(__xludf.DUMMYFUNCTION("GOOGLETRANSLATE(L1288, ""en"", ""pt"")"),"máquina de lavar louça")</f>
        <v>máquina de lavar louça</v>
      </c>
      <c r="O1288" s="7" t="str">
        <f>IFERROR(__xludf.DUMMYFUNCTION("IF(M1288="""","""",GOOGLETRANSLATE(M1288,""en"",""pt""))"),"***Resposta à Solicitação de Informações*** As tarefas específicas que os Auxiliares de Cozinha realizarão durante o apoio à montagem de eventos incluem separar e contar louças, copos e talheres, além de reunir rechauds, equipamentos de buffet e caixas té"&amp;"rmicas, garantindo que estejam limpos e prontos para uso pela equipe do evento. Além dos itens mencionados acima, as ferramentas, equipamentos e materiais utilizados para essas tarefas incluem panos de polimento para copos, detergentes, sanitizantes e des"&amp;"engordurantes. Os Auxiliares de Cozinha também utilizarão máquinas de lavar louça e lava-copos para lavar a louça para os eventos. Eles transportarão alguns desses itens da cozinha para o salão de banquetes utilizando carrinhos, racks e plataformas rolant"&amp;"es. ***Original*** Os Auxiliares de Cozinha serão responsáveis ​​por manter a limpeza e a organização de todas as áreas da cozinha e de serviço, incluindo lavar pratos, panelas, utensílios e equipamentos de cozinha, varrer, passar pano e remover o lixo, g"&amp;"arantindo que todas as cozinhas, áreas de lavagem de louça e espaços de armazenamento permaneçam limpos e higienizados. Os auxiliares de cozinha também ajudarão a localizar equipamentos de cozinha, organizar o estoque e apoiar a montagem de eventos, prepa"&amp;"rando louças, copos, mesas e buffets. Horário: 40 horas semanais. O horário de trabalho pode variar e incluir turnos noturnos, fins de semana e feriados. O trabalho pode ser realizado em qualquer dia da semana, de segunda a domingo. Exemplos de turnos: 10"&amp;"h às 18h, 14h às 22h ou 15h às 23h. Os horários dos turnos podem variar. Consulte a descrição da vaga para obter mais informações. Classificação da vaga: 35-9021.00 - Auxiliares de Cozinha. A classificação e descrição da vaga/setor incluem informações ger"&amp;"ais sobre o cargo, de acordo com o ONET/OES e o Sistema de Classificação Industrial da América do Norte (NAICS). Consulte as atribuições e a ordem de serviço para obter mais informações. Requisitos da vaga Experiência exigida: Sim Meses de experiência exi"&amp;"gidos: 3 Requisitos especiais: O contratante considerará para emprego qualquer pessoa que possua pelo menos três (3) meses de experiência em um hotel de luxo, resort ou clube privado. O candidato deverá se submeter à verificação de antecedentes e ao exame"&amp;" toxicológico pré-admissional, às custas do empregador. Número de horas por semana: 40 Horário de trabalho (início/término): 10h às 18h")</f>
        <v>***Resposta à Solicitação de Informações*** As tarefas específicas que os Auxiliares de Cozinha realizarão durante o apoio à montagem de eventos incluem separar e contar louças, copos e talheres, além de reunir rechauds, equipamentos de buffet e caixas térmicas, garantindo que estejam limpos e prontos para uso pela equipe do evento. Além dos itens mencionados acima, as ferramentas, equipamentos e materiais utilizados para essas tarefas incluem panos de polimento para copos, detergentes, sanitizantes e desengordurantes. Os Auxiliares de Cozinha também utilizarão máquinas de lavar louça e lava-copos para lavar a louça para os eventos. Eles transportarão alguns desses itens da cozinha para o salão de banquetes utilizando carrinhos, racks e plataformas rolantes. ***Original*** Os Auxiliares de Cozinha serão responsáveis ​​por manter a limpeza e a organização de todas as áreas da cozinha e de serviço, incluindo lavar pratos, panelas, utensílios e equipamentos de cozinha, varrer, passar pano e remover o lixo, garantindo que todas as cozinhas, áreas de lavagem de louça e espaços de armazenamento permaneçam limpos e higienizados. Os auxiliares de cozinha também ajudarão a localizar equipamentos de cozinha, organizar o estoque e apoiar a montagem de eventos, preparando louças, copos, mesas e buffets. Horário: 40 horas semanais. O horário de trabalho pode variar e incluir turnos noturnos, fins de semana e feriados. O trabalho pode ser realizado em qualquer dia da semana, de segunda a domingo. Exemplos de turnos: 10h às 18h, 14h às 22h ou 15h às 23h. Os horários dos turnos podem variar. Consulte a descrição da vaga para obter mais informações. Classificação da vaga: 35-9021.00 - Auxiliares de Cozinha. A classificação e descrição da vaga/setor incluem informações gerais sobre o cargo, de acordo com o ONET/OES e o Sistema de Classificação Industrial da América do Norte (NAICS). Consulte as atribuições e a ordem de serviço para obter mais informações. Requisitos da vaga Experiência exigida: Sim Meses de experiência exigidos: 3 Requisitos especiais: O contratante considerará para emprego qualquer pessoa que possua pelo menos três (3) meses de experiência em um hotel de luxo, resort ou clube privado. O candidato deverá se submeter à verificação de antecedentes e ao exame toxicológico pré-admissional, às custas do empregador. Número de horas por semana: 40 Horário de trabalho (início/término): 10h às 18h</v>
      </c>
    </row>
    <row r="1289" ht="20.25" customHeight="1">
      <c r="A1289" s="8" t="s">
        <v>5704</v>
      </c>
      <c r="B1289" s="8" t="s">
        <v>5556</v>
      </c>
      <c r="C1289" s="8" t="s">
        <v>4241</v>
      </c>
      <c r="D1289" s="8" t="s">
        <v>71</v>
      </c>
      <c r="E1289" s="9" t="s">
        <v>19</v>
      </c>
      <c r="F1289" s="9" t="s">
        <v>20</v>
      </c>
      <c r="G1289" s="9" t="s">
        <v>524</v>
      </c>
      <c r="H1289" s="8" t="s">
        <v>5557</v>
      </c>
      <c r="I1289" s="8" t="s">
        <v>5558</v>
      </c>
      <c r="J1289" s="9">
        <v>18.71</v>
      </c>
      <c r="K1289" s="9">
        <v>80.0</v>
      </c>
      <c r="L1289" s="8" t="s">
        <v>5705</v>
      </c>
      <c r="M1289" s="8" t="s">
        <v>5706</v>
      </c>
      <c r="N1289" s="7" t="str">
        <f>IFERROR(__xludf.DUMMYFUNCTION("GOOGLETRANSLATE(L1289, ""en"", ""pt"")"),"Garçons e garçonetes de alimentos e bebidas")</f>
        <v>Garçons e garçonetes de alimentos e bebidas</v>
      </c>
      <c r="O1289" s="7" t="str">
        <f>IFERROR(__xludf.DUMMYFUNCTION("IF(M1289="""","""",GOOGLETRANSLATE(M1289,""en"",""pt""))"),"O(A) Garçom/Garçonete será responsável por recepcionar os clientes, preparar as áreas de refeição, anotar e registrar pedidos, transportar bandejas e pratos, servir alimentos e bebidas, limpar e retirar mesas, proporcionar um excelente atendimento ao clie"&amp;"nte, entregar as contas e receber pagamentos, cooperar e se comunicar com toda a equipe de atendimento e cozinha, e seguir todas as normas e regulamentos do departamento de saúde e as diretrizes de atendimento ao cliente. Horário: 40 horas semanais. A esc"&amp;"ala de trabalho pode variar e incluir turnos noturnos, fins de semana e feriados. O trabalho pode ser realizado em qualquer dia da semana, de segunda a domingo. Exemplos de turnos: 10h às 18h, 14h às 22h ou 15h às 23h. Os horários dos turnos podem variar."&amp;" Consulte a descrição da vaga para obter mais informações. Classificação da vaga: 35-3031.00 - Garçons e Garçonetes. A classificação e descrição da vaga/setor incluem informações gerais sobre o cargo, de acordo com o ONET/OES e o Sistema de Classificação "&amp;"Industrial da América do Norte (NAICS). Consulte a Descrição das Funções e a Ordem de Serviço para obter mais informações. Requisitos da Vaga Experiência Necessária: Sim Meses de Experiência Necessários: 3 Requisitos Especiais: O contratante considerará p"&amp;"ara emprego qualquer pessoa que possua pelo menos três (3) meses de experiência em um ambiente de alta gastronomia ou de grande movimento em um restaurante sofisticado, resort ou clube privado. O candidato deverá se submeter à verificação de antecedentes "&amp;"e ao exame toxicológico pré-admissional, às custas do empregador. Número de Horas por Semana: 40 Horário de Trabalho (Início/Término): 10:00 - 18:00")</f>
        <v>O(A) Garçom/Garçonete será responsável por recepcionar os clientes, preparar as áreas de refeição, anotar e registrar pedidos, transportar bandejas e pratos, servir alimentos e bebidas, limpar e retirar mesas, proporcionar um excelente atendimento ao cliente, entregar as contas e receber pagamentos, cooperar e se comunicar com toda a equipe de atendimento e cozinha, e seguir todas as normas e regulamentos do departamento de saúde e as diretrizes de atendimento ao cliente. Horário: 40 horas semanais. A escala de trabalho pode variar e incluir turnos noturnos, fins de semana e feriados. O trabalho pode ser realizado em qualquer dia da semana, de segunda a domingo. Exemplos de turnos: 10h às 18h, 14h às 22h ou 15h às 23h. Os horários dos turnos podem variar. Consulte a descrição da vaga para obter mais informações. Classificação da vaga: 35-3031.00 - Garçons e Garçonetes. A classificação e descrição da vaga/setor incluem informações gerais sobre o cargo, de acordo com o ONET/OES e o Sistema de Classificação Industrial da América do Norte (NAICS). Consulte a Descrição das Funções e a Ordem de Serviço para obter mais informações. Requisitos da Vaga Experiência Necessária: Sim Meses de Experiência Necessários: 3 Requisitos Especiais: O contratante considerará para emprego qualquer pessoa que possua pelo menos três (3) meses de experiência em um ambiente de alta gastronomia ou de grande movimento em um restaurante sofisticado, resort ou clube privado. O candidato deverá se submeter à verificação de antecedentes e ao exame toxicológico pré-admissional, às custas do empregador. Número de Horas por Semana: 40 Horário de Trabalho (Início/Término): 10:00 - 18:00</v>
      </c>
    </row>
    <row r="1290" ht="20.25" customHeight="1">
      <c r="A1290" s="3" t="s">
        <v>5707</v>
      </c>
      <c r="B1290" s="3" t="s">
        <v>5556</v>
      </c>
      <c r="C1290" s="3" t="s">
        <v>4241</v>
      </c>
      <c r="D1290" s="3" t="s">
        <v>71</v>
      </c>
      <c r="E1290" s="4" t="s">
        <v>44</v>
      </c>
      <c r="F1290" s="4" t="s">
        <v>20</v>
      </c>
      <c r="G1290" s="4" t="s">
        <v>524</v>
      </c>
      <c r="H1290" s="3" t="s">
        <v>5557</v>
      </c>
      <c r="I1290" s="3" t="s">
        <v>5558</v>
      </c>
      <c r="J1290" s="4">
        <v>17.91</v>
      </c>
      <c r="K1290" s="4">
        <v>28.0</v>
      </c>
      <c r="L1290" s="3" t="s">
        <v>586</v>
      </c>
      <c r="M1290" s="3" t="s">
        <v>5708</v>
      </c>
      <c r="N1290" s="7" t="str">
        <f>IFERROR(__xludf.DUMMYFUNCTION("GOOGLETRANSLATE(L1290, ""en"", ""pt"")"),"Cozinheiro de linha")</f>
        <v>Cozinheiro de linha</v>
      </c>
      <c r="O1290" s="7" t="str">
        <f>IFERROR(__xludf.DUMMYFUNCTION("IF(M1290="""","""",GOOGLETRANSLATE(M1290,""en"",""pt""))"),"***Resposta à Solicitação de Informações*** As tarefas específicas que os Cozinheiros de Linha desempenharão ao auxiliar na montagem de estações de comida e buffets incluem transportar os alimentos preparados para os locais do buffet, posicionar rechauds "&amp;"e equipamentos de servir, organizar a apresentação dos alimentos, repor alimentos e suprimentos conforme necessário e garantir que as estações permaneçam limpas, organizadas e prontas para o serviço. As ferramentas, equipamentos e materiais que os Cozinhe"&amp;"iros de Linha usarão para auxiliar na montagem de estações de comida e buffets incluem carrinhos, bandejas, rechauds, utensílios de servir, panelas, pratos, tigelas e equipamentos de buffet. ***Original*** Os Cozinheiros de Linha serão responsáveis ​​por "&amp;"preparar, temperar e cozinhar sopas, carnes, legumes, sobremesas e outros alimentos em um restaurante, auxiliar na montagem de estações de comida e buffets e manter suas áreas de trabalho limpas. Horário: 40 horas por semana. O horário de trabalho pode va"&amp;"riar e incluir turnos noturnos, fins de semana e feriados. O trabalho pode ser realizado em qualquer dia da semana, de segunda a domingo. Exemplos de turnos: 9h às 17h, 12h às 20h ou 15h às 23h. Os horários dos turnos podem variar. Consulte a descrição da"&amp;" vaga para obter mais informações. Classificação da vaga: 35-9011.00 - Atendentes de Salão e Cafeteria e Auxiliares de Bar. A classificação e descrição da vaga/setor incluem informações gerais sobre o cargo, de acordo com o ONET/OES e o Sistema de Classif"&amp;"icação Industrial da América do Norte (NAICS). Consulte as Funções e a Ordem de Serviço para obter mais informações. Requisitos da vaga: Experiência exigida: Sim. Meses de experiência exigidos: 6. Requisitos especiais: O contratante considerará para empre"&amp;"go qualquer pessoa que possua pelo menos seis (6) meses de experiência culinária em um ambiente de alta gastronomia ou de grande movimento, em um restaurante sofisticado, resort ou clube privado. O candidato deverá se submeter à verificação de antecedente"&amp;"s e ao exame toxicológico pré-admissional, às custas do empregador. Número de horas por semana: 40 Horário de trabalho (início/término): 9h00 - 17h00")</f>
        <v>***Resposta à Solicitação de Informações*** As tarefas específicas que os Cozinheiros de Linha desempenharão ao auxiliar na montagem de estações de comida e buffets incluem transportar os alimentos preparados para os locais do buffet, posicionar rechauds e equipamentos de servir, organizar a apresentação dos alimentos, repor alimentos e suprimentos conforme necessário e garantir que as estações permaneçam limpas, organizadas e prontas para o serviço. As ferramentas, equipamentos e materiais que os Cozinheiros de Linha usarão para auxiliar na montagem de estações de comida e buffets incluem carrinhos, bandejas, rechauds, utensílios de servir, panelas, pratos, tigelas e equipamentos de buffet. ***Original*** Os Cozinheiros de Linha serão responsáveis ​​por preparar, temperar e cozinhar sopas, carnes, legumes, sobremesas e outros alimentos em um restaurante, auxiliar na montagem de estações de comida e buffets e manter suas áreas de trabalho limpas. Horário: 40 horas por semana. O horário de trabalho pode variar e incluir turnos noturnos, fins de semana e feriados. O trabalho pode ser realizado em qualquer dia da semana, de segunda a domingo. Exemplos de turnos: 9h às 17h, 12h às 20h ou 15h às 23h. Os horários dos turnos podem variar. Consulte a descrição da vaga para obter mais informações. Classificação da vaga: 35-9011.00 - Atendentes de Salão e Cafeteria e Auxiliares de Bar. A classificação e descrição da vaga/setor incluem informações gerais sobre o cargo, de acordo com o ONET/OES e o Sistema de Classificação Industrial da América do Norte (NAICS). Consulte as Funções e a Ordem de Serviço para obter mais informações. Requisitos da vaga: Experiência exigida: Sim. Meses de experiência exigidos: 6. Requisitos especiais: O contratante considerará para emprego qualquer pessoa que possua pelo menos seis (6) meses de experiência culinária em um ambiente de alta gastronomia ou de grande movimento, em um restaurante sofisticado, resort ou clube privado. O candidato deverá se submeter à verificação de antecedentes e ao exame toxicológico pré-admissional, às custas do empregador. Número de horas por semana: 40 Horário de trabalho (início/término): 9h00 - 17h00</v>
      </c>
    </row>
    <row r="1291" ht="20.25" customHeight="1">
      <c r="A1291" s="8" t="s">
        <v>5709</v>
      </c>
      <c r="B1291" s="8" t="s">
        <v>5556</v>
      </c>
      <c r="C1291" s="8" t="s">
        <v>4241</v>
      </c>
      <c r="D1291" s="8" t="s">
        <v>71</v>
      </c>
      <c r="E1291" s="9" t="s">
        <v>44</v>
      </c>
      <c r="F1291" s="9" t="s">
        <v>20</v>
      </c>
      <c r="G1291" s="9" t="s">
        <v>524</v>
      </c>
      <c r="H1291" s="8" t="s">
        <v>5557</v>
      </c>
      <c r="I1291" s="8" t="s">
        <v>5558</v>
      </c>
      <c r="J1291" s="9">
        <v>19.51</v>
      </c>
      <c r="K1291" s="9">
        <v>8.0</v>
      </c>
      <c r="L1291" s="8" t="s">
        <v>1684</v>
      </c>
      <c r="M1291" s="8" t="s">
        <v>5710</v>
      </c>
      <c r="N1291" s="7" t="str">
        <f>IFERROR(__xludf.DUMMYFUNCTION("GOOGLETRANSLATE(L1291, ""en"", ""pt"")"),"Barman")</f>
        <v>Barman</v>
      </c>
      <c r="O1291" s="7" t="str">
        <f>IFERROR(__xludf.DUMMYFUNCTION("IF(M1291="""","""",GOOGLETRANSLATE(M1291,""en"",""pt""))"),"Os bartenders serão responsáveis ​​por preparar e servir bebidas para sócios e convidados, anotar e registrar pedidos, servir comidas e bebidas, organizar a área do bar, limpar copos e equipamentos, e garantir que o bar e as áreas de trabalho estejam limp"&amp;"os e bem abastecidos. Horário: 40 horas semanais. A escala de trabalho pode variar e incluir turnos noturnos, fins de semana e feriados. O trabalho pode ser realizado em qualquer dia da semana, de segunda a domingo. Exemplos de turnos: 9h às 17h, 12h às 2"&amp;"0h ou 15h às 23h. Os horários dos turnos podem variar. Consulte a descrição da vaga para obter mais informações. Classificação da vaga: 35-3011.00 - Bartenders. A classificação e descrição da vaga/setor incluem informações gerais sobre o cargo, de acordo "&amp;"com o ONET/OES e o Sistema de Classificação Industrial da América do Norte (NAICS). Consulte as atribuições e a descrição da vaga para obter mais informações. Requisitos da vaga Experiência necessária: Sim Meses de experiência necessários: 3 Requisitos es"&amp;"peciais: O contratante considerará para emprego qualquer pessoa que possua pelo menos três (3) meses de experiência em um ambiente de alta gastronomia ou de grande movimento em um restaurante sofisticado, resort ou clube privado. O candidato deverá se sub"&amp;"meter à verificação de antecedentes e ao exame toxicológico pré-admissional, às custas do empregador. Número de horas por semana: 40 Horário de trabalho (início/término): 9h às 17h")</f>
        <v>Os bartenders serão responsáveis ​​por preparar e servir bebidas para sócios e convidados, anotar e registrar pedidos, servir comidas e bebidas, organizar a área do bar, limpar copos e equipamentos, e garantir que o bar e as áreas de trabalho estejam limpos e bem abastecidos. Horário: 40 horas semanais. A escala de trabalho pode variar e incluir turnos noturnos, fins de semana e feriados. O trabalho pode ser realizado em qualquer dia da semana, de segunda a domingo. Exemplos de turnos: 9h às 17h, 12h às 20h ou 15h às 23h. Os horários dos turnos podem variar. Consulte a descrição da vaga para obter mais informações. Classificação da vaga: 35-3011.00 - Bartenders. A classificação e descrição da vaga/setor incluem informações gerais sobre o cargo, de acordo com o ONET/OES e o Sistema de Classificação Industrial da América do Norte (NAICS). Consulte as atribuições e a descrição da vaga para obter mais informações. Requisitos da vaga Experiência necessária: Sim Meses de experiência necessários: 3 Requisitos especiais: O contratante considerará para emprego qualquer pessoa que possua pelo menos três (3) meses de experiência em um ambiente de alta gastronomia ou de grande movimento em um restaurante sofisticado, resort ou clube privado. O candidato deverá se submeter à verificação de antecedentes e ao exame toxicológico pré-admissional, às custas do empregador. Número de horas por semana: 40 Horário de trabalho (início/término): 9h às 17h</v>
      </c>
    </row>
    <row r="1292" ht="20.25" customHeight="1">
      <c r="A1292" s="3" t="s">
        <v>5711</v>
      </c>
      <c r="B1292" s="3" t="s">
        <v>5712</v>
      </c>
      <c r="C1292" s="3" t="s">
        <v>4241</v>
      </c>
      <c r="D1292" s="3" t="s">
        <v>71</v>
      </c>
      <c r="E1292" s="4" t="s">
        <v>19</v>
      </c>
      <c r="F1292" s="4" t="s">
        <v>20</v>
      </c>
      <c r="G1292" s="4" t="s">
        <v>524</v>
      </c>
      <c r="H1292" s="3" t="s">
        <v>5713</v>
      </c>
      <c r="I1292" s="3" t="s">
        <v>5714</v>
      </c>
      <c r="J1292" s="4">
        <v>20.13</v>
      </c>
      <c r="K1292" s="4">
        <v>30.0</v>
      </c>
      <c r="L1292" s="3" t="s">
        <v>1206</v>
      </c>
      <c r="M1292" s="3" t="s">
        <v>5715</v>
      </c>
      <c r="N1292" s="7" t="str">
        <f>IFERROR(__xludf.DUMMYFUNCTION("GOOGLETRANSLATE(L1292, ""en"", ""pt"")"),"Servidor")</f>
        <v>Servidor</v>
      </c>
      <c r="O1292" s="7" t="str">
        <f>IFERROR(__xludf.DUMMYFUNCTION("IF(M1292="""","""",GOOGLETRANSLATE(M1292,""en"",""pt""))"),"Os garçons serão responsáveis ​​por recepcionar os clientes, preparar as áreas de refeição, anotar e registrar pedidos, transportar bandejas e pratos, servir comidas e bebidas, e limpar e retirar as mesas. Os garçons deverão ter conhecimento de coquetéis "&amp;"clássicos, vinhos, bebidas especiais e de todo o cardápio, incluindo os pratos do dia. Os garçons auxiliarão na montagem e desmontagem do salão para o serviço regular e eventos especiais (incluindo a organização de mesas e cadeiras de acordo com a planta "&amp;"do restaurante e a arrumação das mesas). É necessário ser capaz de alcançar, curvar-se, agachar-se, ficar em pé e levantar até 23 kg. Horário: 40 horas semanais. A escala de trabalho pode variar e incluir turnos noturnos, fins de semana e feriados. O trab"&amp;"alho pode ser realizado em qualquer dia da semana, de segunda a domingo. Exemplos de turnos: 9h às 17h, 8h às 16h, 13h às 21h ou 14h às 22h. Os horários dos turnos podem variar. Consulte a descrição da vaga em anexo para obter mais detalhes. Classificação"&amp;" da Função: 35-3031.00 - Garçons e Garçonetes. A classificação e descrição da função/setor inclui informações gerais sobre o cargo, de acordo com o ONET/OES e o Sistema de Classificação Industrial da América do Norte. Consulte as Funções e a Ordem de Serv"&amp;"iço para obter mais informações. Requisitos da Função Experiência Necessária: Sim Meses de Experiência Necessários: 3 Requisitos Especiais: O contratante considerará para emprego qualquer pessoa que possua pelo menos três (3) meses de experiência em um am"&amp;"biente de alta gastronomia ou de grande movimento em um restaurante sofisticado, resort ou clube privado. O candidato deverá se submeter à verificação de antecedentes e ao exame toxicológico pré-admissional, às custas do empregador. Número de Horas por Se"&amp;"mana: 40 Horário de Trabalho (Início/Término): 9h00 - 17h00")</f>
        <v>Os garçons serão responsáveis ​​por recepcionar os clientes, preparar as áreas de refeição, anotar e registrar pedidos, transportar bandejas e pratos, servir comidas e bebidas, e limpar e retirar as mesas. Os garçons deverão ter conhecimento de coquetéis clássicos, vinhos, bebidas especiais e de todo o cardápio, incluindo os pratos do dia. Os garçons auxiliarão na montagem e desmontagem do salão para o serviço regular e eventos especiais (incluindo a organização de mesas e cadeiras de acordo com a planta do restaurante e a arrumação das mesas). É necessário ser capaz de alcançar, curvar-se, agachar-se, ficar em pé e levantar até 23 kg. Horário: 40 horas semanais. A escala de trabalho pode variar e incluir turnos noturnos, fins de semana e feriados. O trabalho pode ser realizado em qualquer dia da semana, de segunda a domingo. Exemplos de turnos: 9h às 17h, 8h às 16h, 13h às 21h ou 14h às 22h. Os horários dos turnos podem variar. Consulte a descrição da vaga em anexo para obter mais detalhes. Classificação da Função: 35-3031.00 - Garçons e Garçonetes. A classificação e descrição da função/setor inclui informações gerais sobre o cargo, de acordo com o ONET/OES e o Sistema de Classificação Industrial da América do Norte. Consulte as Funções e a Ordem de Serviço para obter mais informações. Requisitos da Função Experiência Necessária: Sim Meses de Experiência Necessários: 3 Requisitos Especiais: O contratante considerará para emprego qualquer pessoa que possua pelo menos três (3) meses de experiência em um ambiente de alta gastronomia ou de grande movimento em um restaurante sofisticado, resort ou clube privado. O candidato deverá se submeter à verificação de antecedentes e ao exame toxicológico pré-admissional, às custas do empregador. Número de Horas por Semana: 40 Horário de Trabalho (Início/Término): 9h00 - 17h00</v>
      </c>
    </row>
    <row r="1293" ht="20.25" customHeight="1">
      <c r="A1293" s="8" t="s">
        <v>5716</v>
      </c>
      <c r="B1293" s="8" t="s">
        <v>5712</v>
      </c>
      <c r="C1293" s="8" t="s">
        <v>4241</v>
      </c>
      <c r="D1293" s="8" t="s">
        <v>71</v>
      </c>
      <c r="E1293" s="9" t="s">
        <v>19</v>
      </c>
      <c r="F1293" s="9" t="s">
        <v>20</v>
      </c>
      <c r="G1293" s="9" t="s">
        <v>524</v>
      </c>
      <c r="H1293" s="8" t="s">
        <v>5713</v>
      </c>
      <c r="I1293" s="8" t="s">
        <v>5714</v>
      </c>
      <c r="J1293" s="9">
        <v>16.0</v>
      </c>
      <c r="K1293" s="9">
        <v>6.0</v>
      </c>
      <c r="L1293" s="8" t="s">
        <v>3312</v>
      </c>
      <c r="M1293" s="8" t="s">
        <v>5717</v>
      </c>
      <c r="N1293" s="7" t="str">
        <f>IFERROR(__xludf.DUMMYFUNCTION("GOOGLETRANSLATE(L1293, ""en"", ""pt"")"),"Anfitrião/anfitriã")</f>
        <v>Anfitrião/anfitriã</v>
      </c>
      <c r="O1293" s="7" t="str">
        <f>IFERROR(__xludf.DUMMYFUNCTION("IF(M1293="""","""",GOOGLETRANSLATE(M1293,""en"",""pt""))"),"Os recepcionistas serão responsáveis ​​por recepcionar os clientes, acomodá-los às mesas e ajudar a garantir a qualidade das instalações e do serviço, mantendo registros precisos dos clientes, suas preferências e ocasiões especiais. Os recepcionistas forn"&amp;"ecerão os cardápios aos clientes, os encaminharão às mesas de acordo com suas necessidades e seguindo o sistema de rodízio para que os garçons recebam um número adequado de clientes, atenderão telefonemas e responderão a perguntas, receberão e registrarão"&amp;" as reservas dos clientes, conversarão com os clientes para garantir a satisfação com a comida e o serviço, inspecionarão as áreas de refeição e serviço para garantir a limpeza e a organização adequadas, informarão os clientes sobre as especialidades e os"&amp;" destaques do estabelecimento e manterão contato com a equipe da cozinha, a gerência, os garçons e os clientes para garantir que os detalhes da experiência gastronômica sejam tratados adequadamente e que as preocupações dos clientes sejam atendidas. Horár"&amp;"io: 40 horas semanais. O horário de trabalho pode variar e incluir noites, fins de semana e feriados. O trabalho pode ser realizado em qualquer dia da semana, de segunda a domingo. Exemplos de turnos: das 9h às 17h ou das 14h às 22h. Os horários dos turno"&amp;"s podem variar. Consulte a descrição da vaga em anexo para obter mais detalhes. Classificação da vaga: 35-9031.00 - Recepcionistas, Restaurante, Lounge e Cafeteria. A classificação e descrição da vaga/setor incluem informações gerais sobre o cargo, de aco"&amp;"rdo com o ONET/OES e o Sistema de Classificação Industrial da América do Norte (NAICS). Consulte as Funções e a Ordem de Serviço para obter mais informações. Requisitos da vaga Experiência exigida: Sim Meses de experiência exigidos: 6 Requisitos especiais"&amp;": O contratante considerará para emprego qualquer pessoa que possua pelo menos seis (6) meses de experiência em atendimento ao cliente em um ambiente de alta gastronomia ou de grande movimento, em um restaurante sofisticado, resort ou clube privado. O can"&amp;"didato deverá se submeter à verificação de antecedentes e ao exame toxicológico pré-admissional, às custas do empregador. Número de horas por semana: 40 Horário de trabalho (início/término): 9h às 17h.")</f>
        <v>Os recepcionistas serão responsáveis ​​por recepcionar os clientes, acomodá-los às mesas e ajudar a garantir a qualidade das instalações e do serviço, mantendo registros precisos dos clientes, suas preferências e ocasiões especiais. Os recepcionistas fornecerão os cardápios aos clientes, os encaminharão às mesas de acordo com suas necessidades e seguindo o sistema de rodízio para que os garçons recebam um número adequado de clientes, atenderão telefonemas e responderão a perguntas, receberão e registrarão as reservas dos clientes, conversarão com os clientes para garantir a satisfação com a comida e o serviço, inspecionarão as áreas de refeição e serviço para garantir a limpeza e a organização adequadas, informarão os clientes sobre as especialidades e os destaques do estabelecimento e manterão contato com a equipe da cozinha, a gerência, os garçons e os clientes para garantir que os detalhes da experiência gastronômica sejam tratados adequadamente e que as preocupações dos clientes sejam atendidas. Horário: 40 horas semanais. O horário de trabalho pode variar e incluir noites, fins de semana e feriados. O trabalho pode ser realizado em qualquer dia da semana, de segunda a domingo. Exemplos de turnos: das 9h às 17h ou das 14h às 22h. Os horários dos turnos podem variar. Consulte a descrição da vaga em anexo para obter mais detalhes. Classificação da vaga: 35-9031.00 - Recepcionistas, Restaurante, Lounge e Cafeteria. A classificação e descrição da vaga/setor incluem informações gerais sobre o cargo, de acordo com o ONET/OES e o Sistema de Classificação Industrial da América do Norte (NAICS). Consulte as Funções e a Ordem de Serviço para obter mais informações. Requisitos da vaga Experiência exigida: Sim Meses de experiência exigidos: 6 Requisitos especiais: O contratante considerará para emprego qualquer pessoa que possua pelo menos seis (6) meses de experiência em atendimento ao cliente em um ambiente de alta gastronomia ou de grande movimento, em um restaurante sofisticado, resort ou clube privado. O candidato deverá se submeter à verificação de antecedentes e ao exame toxicológico pré-admissional, às custas do empregador. Número de horas por semana: 40 Horário de trabalho (início/término): 9h às 17h.</v>
      </c>
    </row>
    <row r="1294" ht="20.25" customHeight="1">
      <c r="A1294" s="3" t="s">
        <v>5718</v>
      </c>
      <c r="B1294" s="3" t="s">
        <v>5712</v>
      </c>
      <c r="C1294" s="3" t="s">
        <v>4241</v>
      </c>
      <c r="D1294" s="3" t="s">
        <v>71</v>
      </c>
      <c r="E1294" s="4" t="s">
        <v>19</v>
      </c>
      <c r="F1294" s="4" t="s">
        <v>20</v>
      </c>
      <c r="G1294" s="4" t="s">
        <v>524</v>
      </c>
      <c r="H1294" s="3" t="s">
        <v>5713</v>
      </c>
      <c r="I1294" s="3" t="s">
        <v>5714</v>
      </c>
      <c r="J1294" s="4">
        <v>20.0</v>
      </c>
      <c r="K1294" s="4">
        <v>30.0</v>
      </c>
      <c r="L1294" s="3" t="s">
        <v>586</v>
      </c>
      <c r="M1294" s="3" t="s">
        <v>5719</v>
      </c>
      <c r="N1294" s="7" t="str">
        <f>IFERROR(__xludf.DUMMYFUNCTION("GOOGLETRANSLATE(L1294, ""en"", ""pt"")"),"Cozinheiro de linha")</f>
        <v>Cozinheiro de linha</v>
      </c>
      <c r="O1294" s="7" t="str">
        <f>IFERROR(__xludf.DUMMYFUNCTION("IF(M1294="""","""",GOOGLETRANSLATE(M1294,""en"",""pt""))"),"Os cozinheiros de linha serão responsáveis ​​por preparar, temperar e cozinhar sopas, carnes, legumes, sobremesas e outros itens alimentícios em um restaurante. Eles também garantirão que os protocolos de armazenamento adequados sejam seguidos de acordo c"&amp;"om as normas da empresa e do estado, auxiliarão no treinamento de novos membros da equipe de cozinha nos procedimentos da estação e nos padrões do Clube, e apoiarão eventos especiais e banquetes, trabalhando na estação de alimentos designada, participando"&amp;" do briefing pré-evento, preparando a estação com facas, utensílios e outros suprimentos para preparo/serviço de alimentos, preparando e servindo os alimentos na estação e limpando e organizando a estação após o evento. Horário: 40 horas semanais. O horár"&amp;"io de trabalho pode variar e incluir turnos noturnos, fins de semana e feriados. O trabalho pode ser realizado em qualquer dia da semana, de segunda a domingo. Exemplos de turnos: 9h às 17h, 14h às 22h, 8h às 16h ou 13h às 21h. Os horários dos turnos pode"&amp;"m variar. Consulte a descrição do cargo em anexo para obter mais detalhes. Classificação da Função: 35-2014.00 - Cozinheiros, Restaurante. A classificação e descrição da função/setor inclui informações gerais sobre o cargo, de acordo com o ONET/OES e o Si"&amp;"stema de Classificação Industrial da América do Norte. Consulte as Funções e a Ordem de Serviço para obter mais informações. Requisitos da Função Experiência Necessária: Sim Meses de Experiência Necessários: 6 Requisitos Especiais: O contratante considera"&amp;"rá para emprego qualquer pessoa que possua pelo menos seis (6) meses de experiência culinária em um ambiente de alta gastronomia ou de grande movimento, em um restaurante sofisticado, resort ou clube privado. O candidato deverá se submeter à verificação d"&amp;"e antecedentes e ao exame toxicológico pré-admissional, às custas do empregador. Número de Horas por Semana: 40 Horário de Trabalho (Início/Término): 9h00 - 17h00")</f>
        <v>Os cozinheiros de linha serão responsáveis ​​por preparar, temperar e cozinhar sopas, carnes, legumes, sobremesas e outros itens alimentícios em um restaurante. Eles também garantirão que os protocolos de armazenamento adequados sejam seguidos de acordo com as normas da empresa e do estado, auxiliarão no treinamento de novos membros da equipe de cozinha nos procedimentos da estação e nos padrões do Clube, e apoiarão eventos especiais e banquetes, trabalhando na estação de alimentos designada, participando do briefing pré-evento, preparando a estação com facas, utensílios e outros suprimentos para preparo/serviço de alimentos, preparando e servindo os alimentos na estação e limpando e organizando a estação após o evento. Horário: 40 horas semanais. O horário de trabalho pode variar e incluir turnos noturnos, fins de semana e feriados. O trabalho pode ser realizado em qualquer dia da semana, de segunda a domingo. Exemplos de turnos: 9h às 17h, 14h às 22h, 8h às 16h ou 13h às 21h. Os horários dos turnos podem variar. Consulte a descrição do cargo em anexo para obter mais detalhes. Classificação da Função: 35-2014.00 - Cozinheiros, Restaurante. A classificação e descrição da função/setor inclui informações gerais sobre o cargo, de acordo com o ONET/OES e o Sistema de Classificação Industrial da América do Norte. Consulte as Funções e a Ordem de Serviço para obter mais informações. Requisitos da Função Experiência Necessária: Sim Meses de Experiência Necessários: 6 Requisitos Especiais: O contratante considerará para emprego qualquer pessoa que possua pelo menos seis (6) meses de experiência culinária em um ambiente de alta gastronomia ou de grande movimento, em um restaurante sofisticado, resort ou clube privado. O candidato deverá se submeter à verificação de antecedentes e ao exame toxicológico pré-admissional, às custas do empregador. Número de Horas por Semana: 40 Horário de Trabalho (Início/Término): 9h00 - 17h00</v>
      </c>
    </row>
    <row r="1295" ht="20.25" customHeight="1">
      <c r="A1295" s="8" t="s">
        <v>5720</v>
      </c>
      <c r="B1295" s="8" t="s">
        <v>5712</v>
      </c>
      <c r="C1295" s="8" t="s">
        <v>4241</v>
      </c>
      <c r="D1295" s="8" t="s">
        <v>71</v>
      </c>
      <c r="E1295" s="9" t="s">
        <v>19</v>
      </c>
      <c r="F1295" s="9" t="s">
        <v>20</v>
      </c>
      <c r="G1295" s="9" t="s">
        <v>524</v>
      </c>
      <c r="H1295" s="8" t="s">
        <v>5713</v>
      </c>
      <c r="I1295" s="8" t="s">
        <v>5714</v>
      </c>
      <c r="J1295" s="9">
        <v>25.0</v>
      </c>
      <c r="K1295" s="9">
        <v>6.0</v>
      </c>
      <c r="L1295" s="8" t="s">
        <v>2826</v>
      </c>
      <c r="M1295" s="8" t="s">
        <v>5721</v>
      </c>
      <c r="N1295" s="7" t="str">
        <f>IFERROR(__xludf.DUMMYFUNCTION("GOOGLETRANSLATE(L1295, ""en"", ""pt"")"),"Supervisor de Cozinha")</f>
        <v>Supervisor de Cozinha</v>
      </c>
      <c r="O1295" s="7" t="str">
        <f>IFERROR(__xludf.DUMMYFUNCTION("IF(M1295="""","""",GOOGLETRANSLATE(M1295,""en"",""pt""))"),"Os Supervisores de Cozinha serão responsáveis ​​pelo preparo, tempero e cozimento de sopas, carnes, legumes, sobremesas e outros itens alimentícios em um restaurante. Os Supervisores de Cozinha supervisionarão a operação diária da cozinha e da equipe, gar"&amp;"antirão que as refeições sejam preparadas e servidas no horário, auxiliarão na supervisão da sanitização e higiene, garantirão que os protocolos de armazenamento adequados sejam seguidos de acordo com as normas da empresa e do estado, auxiliarão no treina"&amp;"mento de novos membros da equipe de cozinha nos procedimentos da estação e nos padrões do Clube e auxiliarão no trabalho de preparação diária, conforme necessário. Podem supervisionar até trinta e três (33) Cozinheiros de Linha. Horário: 40 horas por sema"&amp;"na. O horário de trabalho pode variar e incluir turnos noturnos, fins de semana e feriados. O trabalho pode ser realizado em qualquer dia da semana, de segunda a domingo. Exemplos de turnos: 7h às 15h, 10h às 18h ou 14h às 22h. Os horários dos turnos pode"&amp;"m variar. Consulte a descrição do cargo em anexo para obter mais detalhes. Classificação da Função: 35-1012.00 - Supervisores de Primeira Linha de Preparadores e Servidores de Alimentos. A classificação e descrição da função/setor inclui informações gerai"&amp;"s sobre o cargo, de acordo com o ONET/OES e o Sistema de Classificação Industrial da América do Norte (NAICS). Consulte as Funções e a Ordem de Serviço para obter mais informações. Requisitos da Função Experiência Necessária: Sim Meses de Experiência Nece"&amp;"ssários: 12 Requisitos Especiais: O contratante considerará para emprego qualquer pessoa que possua pelo menos um (1) ano de experiência como supervisor em um restaurante de alto padrão, hotel, resort ou clube privado. O candidato deverá se submeter à ver"&amp;"ificação de antecedentes e ao exame toxicológico pré-admissional, às custas do empregador. Número de Horas por Semana: 40 Horário de Trabalho (Início/Término): 7h00 - 15h00")</f>
        <v>Os Supervisores de Cozinha serão responsáveis ​​pelo preparo, tempero e cozimento de sopas, carnes, legumes, sobremesas e outros itens alimentícios em um restaurante. Os Supervisores de Cozinha supervisionarão a operação diária da cozinha e da equipe, garantirão que as refeições sejam preparadas e servidas no horário, auxiliarão na supervisão da sanitização e higiene, garantirão que os protocolos de armazenamento adequados sejam seguidos de acordo com as normas da empresa e do estado, auxiliarão no treinamento de novos membros da equipe de cozinha nos procedimentos da estação e nos padrões do Clube e auxiliarão no trabalho de preparação diária, conforme necessário. Podem supervisionar até trinta e três (33) Cozinheiros de Linha. Horário: 40 horas por semana. O horário de trabalho pode variar e incluir turnos noturnos, fins de semana e feriados. O trabalho pode ser realizado em qualquer dia da semana, de segunda a domingo. Exemplos de turnos: 7h às 15h, 10h às 18h ou 14h às 22h. Os horários dos turnos podem variar. Consulte a descrição do cargo em anexo para obter mais detalhes. Classificação da Função: 35-1012.00 - Supervisores de Primeira Linha de Preparadores e Servidores de Alimentos. A classificação e descrição da função/setor inclui informações gerais sobre o cargo, de acordo com o ONET/OES e o Sistema de Classificação Industrial da América do Norte (NAICS). Consulte as Funções e a Ordem de Serviço para obter mais informações. Requisitos da Função Experiência Necessária: Sim Meses de Experiência Necessários: 12 Requisitos Especiais: O contratante considerará para emprego qualquer pessoa que possua pelo menos um (1) ano de experiência como supervisor em um restaurante de alto padrão, hotel, resort ou clube privado. O candidato deverá se submeter à verificação de antecedentes e ao exame toxicológico pré-admissional, às custas do empregador. Número de Horas por Semana: 40 Horário de Trabalho (Início/Término): 7h00 - 15h00</v>
      </c>
    </row>
    <row r="1296" ht="20.25" customHeight="1">
      <c r="A1296" s="3" t="s">
        <v>5722</v>
      </c>
      <c r="B1296" s="3" t="s">
        <v>5712</v>
      </c>
      <c r="C1296" s="3" t="s">
        <v>4241</v>
      </c>
      <c r="D1296" s="3" t="s">
        <v>71</v>
      </c>
      <c r="E1296" s="4" t="s">
        <v>19</v>
      </c>
      <c r="F1296" s="4" t="s">
        <v>20</v>
      </c>
      <c r="G1296" s="4" t="s">
        <v>524</v>
      </c>
      <c r="H1296" s="3" t="s">
        <v>5713</v>
      </c>
      <c r="I1296" s="3" t="s">
        <v>5714</v>
      </c>
      <c r="J1296" s="4">
        <v>15.0</v>
      </c>
      <c r="K1296" s="4">
        <v>10.0</v>
      </c>
      <c r="L1296" s="3" t="s">
        <v>5723</v>
      </c>
      <c r="M1296" s="3" t="s">
        <v>5724</v>
      </c>
      <c r="N1296" s="7" t="str">
        <f>IFERROR(__xludf.DUMMYFUNCTION("GOOGLETRANSLATE(L1296, ""en"", ""pt"")"),"Atendente de Recreação")</f>
        <v>Atendente de Recreação</v>
      </c>
      <c r="O1296" s="7" t="str">
        <f>IFERROR(__xludf.DUMMYFUNCTION("IF(M1296="""","""",GOOGLETRANSLATE(M1296,""en"",""pt""))"),"Os Monitores de Recreação serão responsáveis ​​por compreender e fazer cumprir todas as políticas, regras e regulamentos do Clube, explicando as políticas aos sócios e convidados (e comunicando o descumprimento das políticas à liderança), monitorando toda"&amp;"s as áreas da praia, garantindo a segurança e o conforto dos convidados e sócios, fazendo cumprir as regras afixadas, instalando e mantendo toalhas, cadeiras de praia, guarda-sóis e outras comodidades, limpando as áreas da praia, mantendo todas as áreas p"&amp;"úblicas das instalações da praia e mantendo a limpeza e a organização em todas as áreas de trabalho. Os Monitores de Recreação auxiliarão no planejamento, organização e condução de atividades infantis apropriadas na praia, incluindo jogos, artes e artesan"&amp;"ato, atividades na areia, auxiliando os sócios com equipamentos de esportes aquáticos, como pranchas de stand-up paddle, caiaques e coletes salva-vidas, e garantindo a correta instalação, instrução, monitoramento, segurança, armazenamento e devolução dos "&amp;"equipamentos. Os Monitores de Recreação também deverão recolher prontamente alimentos e bebidas das cadeiras e mesas da praia. É necessário ser capaz de alcançar, curvar-se, agachar-se, ficar em pé e levantar até 23 kg. Horário: 40 horas por semana. O hor"&amp;"ário de trabalho pode variar e incluir noites, fins de semana e feriados. O trabalho pode ser realizado em qualquer dia da semana, de segunda a domingo. Exemplos de turnos: das 7h às 15h ou das 14h às 22h. Os horários dos turnos podem variar. Consulte a d"&amp;"escrição do cargo em anexo para obter mais detalhes. Classificação do Cargo: 39-3091.00 - Atendentes de Diversão e Recreação. A classificação e a descrição do cargo/setor incluem informações gerais sobre a posição, de acordo com o ONET/OES e o Sistema de "&amp;"Classificação Industrial da América do Norte (NAICS). Consulte as Funções e a Ordem de Serviço para obter mais informações. Requisitos do Cargo Experiência Necessária: Não. Requisitos Especiais: Não é necessária experiência. Experiência anterior em áreas "&amp;"à beira-mar em hotéis de luxo, resorts ou clubes privados é preferencial, mas não obrigatória. O candidato deverá se submeter à verificação de antecedentes e ao exame toxicológico pré-admissional, às custas do empregador. Número de Horas por Semana: 40. H"&amp;"orário de Trabalho (Início/Término): 7h às 15h.")</f>
        <v>Os Monitores de Recreação serão responsáveis ​​por compreender e fazer cumprir todas as políticas, regras e regulamentos do Clube, explicando as políticas aos sócios e convidados (e comunicando o descumprimento das políticas à liderança), monitorando todas as áreas da praia, garantindo a segurança e o conforto dos convidados e sócios, fazendo cumprir as regras afixadas, instalando e mantendo toalhas, cadeiras de praia, guarda-sóis e outras comodidades, limpando as áreas da praia, mantendo todas as áreas públicas das instalações da praia e mantendo a limpeza e a organização em todas as áreas de trabalho. Os Monitores de Recreação auxiliarão no planejamento, organização e condução de atividades infantis apropriadas na praia, incluindo jogos, artes e artesanato, atividades na areia, auxiliando os sócios com equipamentos de esportes aquáticos, como pranchas de stand-up paddle, caiaques e coletes salva-vidas, e garantindo a correta instalação, instrução, monitoramento, segurança, armazenamento e devolução dos equipamentos. Os Monitores de Recreação também deverão recolher prontamente alimentos e bebidas das cadeiras e mesas da praia. É necessário ser capaz de alcançar, curvar-se, agachar-se, ficar em pé e levantar até 23 kg. Horário: 40 horas por semana. O horário de trabalho pode variar e incluir noites, fins de semana e feriados. O trabalho pode ser realizado em qualquer dia da semana, de segunda a domingo. Exemplos de turnos: das 7h às 15h ou das 14h às 22h. Os horários dos turnos podem variar. Consulte a descrição do cargo em anexo para obter mais detalhes. Classificação do Cargo: 39-3091.00 - Atendentes de Diversão e Recreação. A classificação e a descrição do cargo/setor incluem informações gerais sobre a posição, de acordo com o ONET/OES e o Sistema de Classificação Industrial da América do Norte (NAICS). Consulte as Funções e a Ordem de Serviço para obter mais informações. Requisitos do Cargo Experiência Necessária: Não. Requisitos Especiais: Não é necessária experiência. Experiência anterior em áreas à beira-mar em hotéis de luxo, resorts ou clubes privados é preferencial, mas não obrigatória. O candidato deverá se submeter à verificação de antecedentes e ao exame toxicológico pré-admissional, às custas do empregador. Número de Horas por Semana: 40. Horário de Trabalho (Início/Término): 7h às 15h.</v>
      </c>
    </row>
    <row r="1297" ht="20.25" customHeight="1">
      <c r="A1297" s="8" t="s">
        <v>5725</v>
      </c>
      <c r="B1297" s="8" t="s">
        <v>5712</v>
      </c>
      <c r="C1297" s="8" t="s">
        <v>4241</v>
      </c>
      <c r="D1297" s="8" t="s">
        <v>71</v>
      </c>
      <c r="E1297" s="9" t="s">
        <v>19</v>
      </c>
      <c r="F1297" s="9" t="s">
        <v>20</v>
      </c>
      <c r="G1297" s="9" t="s">
        <v>524</v>
      </c>
      <c r="H1297" s="8" t="s">
        <v>5713</v>
      </c>
      <c r="I1297" s="8" t="s">
        <v>5714</v>
      </c>
      <c r="J1297" s="9">
        <v>19.05</v>
      </c>
      <c r="K1297" s="9">
        <v>18.0</v>
      </c>
      <c r="L1297" s="8" t="s">
        <v>1690</v>
      </c>
      <c r="M1297" s="8" t="s">
        <v>5726</v>
      </c>
      <c r="N1297" s="7" t="str">
        <f>IFERROR(__xludf.DUMMYFUNCTION("GOOGLETRANSLATE(L1297, ""en"", ""pt"")"),"Atendente de Sala de Jantar")</f>
        <v>Atendente de Sala de Jantar</v>
      </c>
      <c r="O1297" s="7" t="str">
        <f>IFERROR(__xludf.DUMMYFUNCTION("IF(M1297="""","""",GOOGLETRANSLATE(M1297,""en"",""pt""))"),"Os Auxiliares de Salão serão responsáveis ​​por limpar e retirar as mesas, transportar bandejas e pratos da cozinha ou do balcão de serviço para servir alimentos e bebidas aos clientes, repor café, água, pão, manteiga e outros itens de mesa, e comunicar-s"&amp;"e com os Garçons sobre o status das mesas, o tempo de espera e as necessidades dos clientes. Os Auxiliares de Salão auxiliarão na montagem e desmontagem do salão para o serviço regular e eventos especiais (incluindo a organização de mesas e cadeiras de ac"&amp;"ordo com a planta do salão e a arrumação das mesas) e também manterão a limpeza e a organização dos salões, estações de serviço e áreas de serviço. É necessário ser capaz de alcançar, curvar-se, agachar-se, ficar em pé e levantar até 23 kg. Horário: 40 ho"&amp;"ras por semana. O horário de trabalho pode variar e incluir turnos noturnos, fins de semana e feriados. O trabalho pode ser realizado em qualquer dia da semana, de segunda a domingo. Exemplos de turnos: 8h às 16h ou 13h às 21h. Os horários dos turnos pode"&amp;"m variar. Consulte a descrição do cargo em anexo para obter mais detalhes. Classificação da Função: 53-7062.00 - Operários e Movimentadores de Carga, Estoque e Materiais. A classificação e descrição da função/setor inclui informações gerais sobre o cargo,"&amp;" de acordo com o ONET/OES e o Sistema de Classificação Industrial da América do Norte (NAICS). Consulte as Funções e a Ordem de Serviço para obter mais informações. Requisitos da Função Experiência Necessária: Sim Meses de Experiência Necessários: 3 Requi"&amp;"sitos Especiais: O contratante considerará para emprego qualquer pessoa que possua pelo menos três (3) meses de experiência em um hotel de alto padrão, resort ou clube privado. O candidato deverá se submeter à verificação de antecedentes e ao exame toxico"&amp;"lógico pré-admissional, às custas do empregador. Número de Horas por Semana: 40 Horário de Trabalho (Início/Término): 8h00 - 16h00")</f>
        <v>Os Auxiliares de Salão serão responsáveis ​​por limpar e retirar as mesas, transportar bandejas e pratos da cozinha ou do balcão de serviço para servir alimentos e bebidas aos clientes, repor café, água, pão, manteiga e outros itens de mesa, e comunicar-se com os Garçons sobre o status das mesas, o tempo de espera e as necessidades dos clientes. Os Auxiliares de Salão auxiliarão na montagem e desmontagem do salão para o serviço regular e eventos especiais (incluindo a organização de mesas e cadeiras de acordo com a planta do salão e a arrumação das mesas) e também manterão a limpeza e a organização dos salões, estações de serviço e áreas de serviço. É necessário ser capaz de alcançar, curvar-se, agachar-se, ficar em pé e levantar até 23 kg. Horário: 40 horas por semana. O horário de trabalho pode variar e incluir turnos noturnos, fins de semana e feriados. O trabalho pode ser realizado em qualquer dia da semana, de segunda a domingo. Exemplos de turnos: 8h às 16h ou 13h às 21h. Os horários dos turnos podem variar. Consulte a descrição do cargo em anexo para obter mais detalhes. Classificação da Função: 53-7062.00 - Operários e Movimentadores de Carga, Estoque e Materiais. A classificação e descrição da função/setor inclui informações gerais sobre o cargo, de acordo com o ONET/OES e o Sistema de Classificação Industrial da América do Norte (NAICS). Consulte as Funções e a Ordem de Serviço para obter mais informações. Requisitos da Função Experiência Necessária: Sim Meses de Experiência Necessários: 3 Requisitos Especiais: O contratante considerará para emprego qualquer pessoa que possua pelo menos três (3) meses de experiência em um hotel de alto padrão, resort ou clube privado. O candidato deverá se submeter à verificação de antecedentes e ao exame toxicológico pré-admissional, às custas do empregador. Número de Horas por Semana: 40 Horário de Trabalho (Início/Término): 8h00 - 16h00</v>
      </c>
    </row>
    <row r="1298" ht="20.25" customHeight="1">
      <c r="A1298" s="3" t="s">
        <v>5727</v>
      </c>
      <c r="B1298" s="3" t="s">
        <v>5712</v>
      </c>
      <c r="C1298" s="3" t="s">
        <v>4241</v>
      </c>
      <c r="D1298" s="3" t="s">
        <v>71</v>
      </c>
      <c r="E1298" s="4" t="s">
        <v>19</v>
      </c>
      <c r="F1298" s="4" t="s">
        <v>20</v>
      </c>
      <c r="G1298" s="4" t="s">
        <v>524</v>
      </c>
      <c r="H1298" s="3" t="s">
        <v>5713</v>
      </c>
      <c r="I1298" s="3" t="s">
        <v>5714</v>
      </c>
      <c r="J1298" s="4">
        <v>21.48</v>
      </c>
      <c r="K1298" s="4">
        <v>9.0</v>
      </c>
      <c r="L1298" s="3" t="s">
        <v>1684</v>
      </c>
      <c r="M1298" s="3" t="s">
        <v>5728</v>
      </c>
      <c r="N1298" s="7" t="str">
        <f>IFERROR(__xludf.DUMMYFUNCTION("GOOGLETRANSLATE(L1298, ""en"", ""pt"")"),"Barman")</f>
        <v>Barman</v>
      </c>
      <c r="O1298" s="7" t="str">
        <f>IFERROR(__xludf.DUMMYFUNCTION("IF(M1298="""","""",GOOGLETRANSLATE(M1298,""en"",""pt""))"),"Os bartenders serão responsáveis ​​por preparar e servir bebidas para sócios e convidados, limpar copos e equipamentos do bar e garantir que o bar e as áreas de trabalho estejam limpos e bem abastecidos. Os bartenders receberão e registrarão pedidos, mant"&amp;"endo conhecimento de coquetéis clássicos, vinhos, cervejas, bebidas especiais e todos os cardápios de comidas, incluindo os pratos do dia. É necessário ser capaz de alcançar, curvar-se, agachar-se, ficar em pé e levantar até 23 kg. Horário: 40 horas por s"&amp;"emana. O horário de trabalho pode variar e incluir turnos noturnos, fins de semana e feriados. O trabalho pode ser realizado em qualquer dia da semana, de segunda a domingo. Exemplos de turnos: 9h às 17h, 14h às 22h, 8h às 16h ou 13h às 21h. Os horários d"&amp;"os turnos podem variar. Consulte a descrição do cargo em anexo para obter mais detalhes. Classificação da Função: 35-3011.00 - Bartenders. A classificação e descrição da função/setor inclui informações gerais sobre o cargo, de acordo com o ONET/OES e o Si"&amp;"stema de Classificação Industrial da América do Norte. Consulte as Funções e a Ordem de Serviço para obter mais informações. Requisitos da Função: Experiência Necessária: Sim. Meses de Experiência Necessários: 6. Requisitos Especiais: O contratante consid"&amp;"erará para emprego qualquer pessoa que possua pelo menos seis (6) meses de experiência em um ambiente de alta gastronomia ou de grande movimento, em um restaurante sofisticado, resort ou clube privado. O candidato deve ter pelo menos 18 anos de idade. O c"&amp;"andidato deverá se submeter a uma verificação de antecedentes e exame toxicológico pré-admissional, às custas do empregador. Número de Horas por Semana: 40. Horário de Trabalho (Início/Término): 9h às 17h.")</f>
        <v>Os bartenders serão responsáveis ​​por preparar e servir bebidas para sócios e convidados, limpar copos e equipamentos do bar e garantir que o bar e as áreas de trabalho estejam limpos e bem abastecidos. Os bartenders receberão e registrarão pedidos, mantendo conhecimento de coquetéis clássicos, vinhos, cervejas, bebidas especiais e todos os cardápios de comidas, incluindo os pratos do dia. É necessário ser capaz de alcançar, curvar-se, agachar-se, ficar em pé e levantar até 23 kg. Horário: 40 horas por semana. O horário de trabalho pode variar e incluir turnos noturnos, fins de semana e feriados. O trabalho pode ser realizado em qualquer dia da semana, de segunda a domingo. Exemplos de turnos: 9h às 17h, 14h às 22h, 8h às 16h ou 13h às 21h. Os horários dos turnos podem variar. Consulte a descrição do cargo em anexo para obter mais detalhes. Classificação da Função: 35-3011.00 - Bartenders. A classificação e descrição da função/setor inclui informações gerais sobre o cargo, de acordo com o ONET/OES e o Sistema de Classificação Industrial da América do Norte. Consulte as Funções e a Ordem de Serviço para obter mais informações. Requisitos da Função: Experiência Necessária: Sim. Meses de Experiência Necessários: 6. Requisitos Especiais: O contratante considerará para emprego qualquer pessoa que possua pelo menos seis (6) meses de experiência em um ambiente de alta gastronomia ou de grande movimento, em um restaurante sofisticado, resort ou clube privado. O candidato deve ter pelo menos 18 anos de idade. O candidato deverá se submeter a uma verificação de antecedentes e exame toxicológico pré-admissional, às custas do empregador. Número de Horas por Semana: 40. Horário de Trabalho (Início/Término): 9h às 17h.</v>
      </c>
    </row>
    <row r="1299" ht="20.25" customHeight="1">
      <c r="A1299" s="8" t="s">
        <v>5729</v>
      </c>
      <c r="B1299" s="8" t="s">
        <v>5712</v>
      </c>
      <c r="C1299" s="8" t="s">
        <v>4241</v>
      </c>
      <c r="D1299" s="8" t="s">
        <v>71</v>
      </c>
      <c r="E1299" s="9" t="s">
        <v>44</v>
      </c>
      <c r="F1299" s="9" t="s">
        <v>20</v>
      </c>
      <c r="G1299" s="9" t="s">
        <v>524</v>
      </c>
      <c r="H1299" s="8" t="s">
        <v>5713</v>
      </c>
      <c r="I1299" s="8" t="s">
        <v>5714</v>
      </c>
      <c r="J1299" s="9">
        <v>25.0</v>
      </c>
      <c r="K1299" s="9">
        <v>6.0</v>
      </c>
      <c r="L1299" s="8" t="s">
        <v>3315</v>
      </c>
      <c r="M1299" s="8" t="s">
        <v>5730</v>
      </c>
      <c r="N1299" s="7" t="str">
        <f>IFERROR(__xludf.DUMMYFUNCTION("GOOGLETRANSLATE(L1299, ""en"", ""pt"")"),"Supervisor do refeitório")</f>
        <v>Supervisor do refeitório</v>
      </c>
      <c r="O1299" s="7" t="str">
        <f>IFERROR(__xludf.DUMMYFUNCTION("IF(M1299="""","""",GOOGLETRANSLATE(M1299,""en"",""pt""))"),"Os Supervisores de Salão serão responsáveis ​​por supervisionar as operações diárias do salão para manter a qualidade do serviço de acordo com os padrões do Clube, liderando, orientando e apoiando Garçons, Bartenders e Atendentes de Salão, além de recepci"&amp;"onar sócios e convidados e solucionar quaisquer problemas relacionados ao serviço. Os Supervisores de Salão monitorarão a limpeza do salão, coordenarão a comunicação entre o salão e a cozinha, apoiarão e supervisionarão eventos e funções especiais e auxil"&amp;"iarão no treinamento de novos membros da equipe em relação aos padrões e procedimentos de serviço. Os Supervisores de Salão auxiliarão a gerência com o planejamento de horários, relatórios de desempenho e controle de frequência, e farão cumprir as polític"&amp;"as de segurança alimentar, higiene e serviço de bebidas alcoólicas, em conformidade com as diretrizes do Clube. Podem supervisionar até setenta e cinco (75) Atendentes de Salão, Garçons, Bartenders e Recepcionistas. Horário: 40 horas semanais. O horário d"&amp;"e trabalho pode variar e incluir turnos noturnos, fins de semana e feriados. O trabalho pode ser realizado em qualquer dia da semana, de segunda a domingo. Exemplos de turnos: 9h às 17h, 8h às 16h, 13h às 21h ou 14h às 22h. Os horários dos turnos podem va"&amp;"riar. Consulte a descrição do cargo em anexo para obter mais detalhes. Classificação do Cargo: 35-1012.00 - Supervisores de Primeira Linha de Preparadores e Servidores de Alimentos. A classificação e descrição do cargo/setor incluem informações gerais sob"&amp;"re a posição, de acordo com o ONET/OES e o Sistema de Classificação Industrial da América do Norte (NAICS). Consulte as Funções e a Ordem de Serviço para obter mais informações. Requisitos do Cargo Experiência Necessária: Sim Meses de Experiência Necessár"&amp;"ios: 12 Requisitos Especiais: O contratante considerará para emprego qualquer pessoa que possua pelo menos um (1) ano de experiência como supervisor em um restaurante de alto padrão, hotel, resort ou clube privado. O candidato deverá se submeter à verific"&amp;"ação de antecedentes e ao exame toxicológico pré-admissional, às custas do empregador. Número de horas por semana: 40 Horário de trabalho (início/término): 9h00 - 17h00")</f>
        <v>Os Supervisores de Salão serão responsáveis ​​por supervisionar as operações diárias do salão para manter a qualidade do serviço de acordo com os padrões do Clube, liderando, orientando e apoiando Garçons, Bartenders e Atendentes de Salão, além de recepcionar sócios e convidados e solucionar quaisquer problemas relacionados ao serviço. Os Supervisores de Salão monitorarão a limpeza do salão, coordenarão a comunicação entre o salão e a cozinha, apoiarão e supervisionarão eventos e funções especiais e auxiliarão no treinamento de novos membros da equipe em relação aos padrões e procedimentos de serviço. Os Supervisores de Salão auxiliarão a gerência com o planejamento de horários, relatórios de desempenho e controle de frequência, e farão cumprir as políticas de segurança alimentar, higiene e serviço de bebidas alcoólicas, em conformidade com as diretrizes do Clube. Podem supervisionar até setenta e cinco (75) Atendentes de Salão, Garçons, Bartenders e Recepcionistas. Horário: 40 horas semanais. O horário de trabalho pode variar e incluir turnos noturnos, fins de semana e feriados. O trabalho pode ser realizado em qualquer dia da semana, de segunda a domingo. Exemplos de turnos: 9h às 17h, 8h às 16h, 13h às 21h ou 14h às 22h. Os horários dos turnos podem variar. Consulte a descrição do cargo em anexo para obter mais detalhes. Classificação do Cargo: 35-1012.00 - Supervisores de Primeira Linha de Preparadores e Servidores de Alimentos. A classificação e descrição do cargo/setor incluem informações gerais sobre a posição, de acordo com o ONET/OES e o Sistema de Classificação Industrial da América do Norte (NAICS). Consulte as Funções e a Ordem de Serviço para obter mais informações. Requisitos do Cargo Experiência Necessária: Sim Meses de Experiência Necessários: 12 Requisitos Especiais: O contratante considerará para emprego qualquer pessoa que possua pelo menos um (1) ano de experiência como supervisor em um restaurante de alto padrão, hotel, resort ou clube privado. O candidato deverá se submeter à verificação de antecedentes e ao exame toxicológico pré-admissional, às custas do empregador. Número de horas por semana: 40 Horário de trabalho (início/término): 9h00 - 17h00</v>
      </c>
    </row>
    <row r="1300" ht="20.25" customHeight="1">
      <c r="A1300" s="3" t="s">
        <v>5731</v>
      </c>
      <c r="B1300" s="3" t="s">
        <v>5732</v>
      </c>
      <c r="C1300" s="3" t="s">
        <v>4247</v>
      </c>
      <c r="D1300" s="3" t="s">
        <v>532</v>
      </c>
      <c r="E1300" s="4" t="s">
        <v>19</v>
      </c>
      <c r="F1300" s="4" t="s">
        <v>20</v>
      </c>
      <c r="G1300" s="4" t="s">
        <v>4371</v>
      </c>
      <c r="H1300" s="3" t="s">
        <v>5733</v>
      </c>
      <c r="I1300" s="3" t="s">
        <v>5734</v>
      </c>
      <c r="J1300" s="4">
        <v>21.12</v>
      </c>
      <c r="K1300" s="4">
        <v>10.0</v>
      </c>
      <c r="L1300" s="3" t="s">
        <v>4250</v>
      </c>
      <c r="M1300" s="3" t="s">
        <v>4251</v>
      </c>
      <c r="N1300" s="7" t="str">
        <f>IFERROR(__xludf.DUMMYFUNCTION("GOOGLETRANSLATE(L1300, ""en"", ""pt"")"),"49-9098: Ajudantes — Trabalhos de instalação, manutenção e reparo")</f>
        <v>49-9098: Ajudantes — Trabalhos de instalação, manutenção e reparo</v>
      </c>
      <c r="O1300" s="7" t="str">
        <f>IFERROR(__xludf.DUMMYFUNCTION("IF(M1300="""","""",GOOGLETRANSLATE(M1300,""en"",""pt""))"),"Auxiliar os trabalhadores de instalação, manutenção e reparo na manutenção, substituição de peças e reparo de veículos, máquinas industriais e equipamentos elétricos e eletrônicos. Executar tarefas como fornecer ferramentas, materiais e suprimentos para o"&amp;"utros trabalhadores; limpar a área de trabalho, máquinas e ferramentas; e segurar materiais ou ferramentas para outros trabalhadores. Classificação da vaga: 49-9098.00 - Auxiliares - Trabalhadores de Instalação, Manutenção e Reparo. A classificação e desc"&amp;"rição da vaga/setor inclui informações gerais sobre a posição, de acordo com o ONET/OES e o Sistema de Classificação Industrial da América do Norte (NAICS). Consulte as Funções e a Ordem de Serviço para obter mais informações. Requisitos da vaga: Experiên"&amp;"cia exigida: Não. Requisitos especiais: Testes aleatórios de drogas e verificação de antecedentes criminais após a contratação podem ser exigidos, sem custo para o trabalhador. A vaga exige que o candidato seja qualificado, esteja pronto, disposto, apto e"&amp;" disponível para trabalhar durante todo o período de emprego no local de trabalho designado; para firmar e cumprir o contrato de trabalho; e para seguir as normas do local de trabalho. Número de horas por semana: 35. Horário de trabalho (início/término): "&amp;"8h. - 16:00")</f>
        <v>Auxiliar os trabalhadores de instalação, manutenção e reparo na manutenção, substituição de peças e reparo de veículos, máquinas industriais e equipamentos elétricos e eletrônicos. Executar tarefas como fornecer ferramentas, materiais e suprimentos para outros trabalhadores; limpar a área de trabalho, máquinas e ferramentas; e segurar materiais ou ferramentas para outros trabalhadores. Classificação da vaga: 49-9098.00 - Auxiliares - Trabalhadores de Instalação, Manutenção e Reparo. A classificação e descrição da vaga/setor inclui informações gerais sobre a posição, de acordo com o ONET/OES e o Sistema de Classificação Industrial da América do Norte (NAICS). Consulte as Funções e a Ordem de Serviço para obter mais informações. Requisitos da vaga: Experiência exigida: Não. Requisitos especiais: Testes aleatórios de drogas e verificação de antecedentes criminais após a contratação podem ser exigidos, sem custo para o trabalhador. A vaga exige que o candidato seja qualificado, esteja pronto, disposto, apto e disponível para trabalhar durante todo o período de emprego no local de trabalho designado; para firmar e cumprir o contrato de trabalho; e para seguir as normas do local de trabalho. Número de horas por semana: 35. Horário de trabalho (início/término): 8h. - 16:00</v>
      </c>
    </row>
    <row r="1301" ht="20.25" customHeight="1">
      <c r="A1301" s="8" t="s">
        <v>5735</v>
      </c>
      <c r="B1301" s="8" t="s">
        <v>5736</v>
      </c>
      <c r="C1301" s="8" t="s">
        <v>5737</v>
      </c>
      <c r="D1301" s="8" t="s">
        <v>596</v>
      </c>
      <c r="E1301" s="9" t="s">
        <v>19</v>
      </c>
      <c r="F1301" s="9" t="s">
        <v>20</v>
      </c>
      <c r="G1301" s="9" t="s">
        <v>5738</v>
      </c>
      <c r="H1301" s="8" t="s">
        <v>5739</v>
      </c>
      <c r="I1301" s="8" t="s">
        <v>5740</v>
      </c>
      <c r="J1301" s="9">
        <v>19.45</v>
      </c>
      <c r="K1301" s="9">
        <v>15.0</v>
      </c>
      <c r="L1301" s="8" t="s">
        <v>59</v>
      </c>
      <c r="M1301" s="8" t="s">
        <v>5741</v>
      </c>
      <c r="N1301" s="7" t="str">
        <f>IFERROR(__xludf.DUMMYFUNCTION("GOOGLETRANSLATE(L1301, ""en"", ""pt"")"),"Trabalhador de paisagismo")</f>
        <v>Trabalhador de paisagismo</v>
      </c>
      <c r="O1301" s="7" t="str">
        <f>IFERROR(__xludf.DUMMYFUNCTION("IF(M1301="""","""",GOOGLETRANSLATE(M1301,""en"",""pt""))"),"Movimentar terra, equipamentos, carrinhos de mão, cultivadores e materiais; cavar buracos para plantas, árvores e valas de drenagem; instalar materiais de paisagismo; rastelar; varrer; regar; podar; aplicar cobertura morta; capinar; limpar; cortar grama; "&amp;"aparar grama. Classificação da função: 37-3011.00 - Trabalhadores de Paisagismo e Manutenção de Jardins. A classificação e descrição da função/setor inclui informações gerais sobre o cargo, de acordo com o ONET/OES e o Sistema de Classificação Industrial "&amp;"da América do Norte. Consulte as Funções e a Ordem de Serviço para obter mais informações. Requisitos da função: Experiência necessária: Não. Requisitos especiais: Capacidade de levantar 38 kg; capacidade de trabalhar em diversas condições climáticas, de "&amp;"-4°C a 35°C, incluindo chuva, granizo, neve e vento. De segunda a sexta-feira, podendo haver necessidade de trabalhar alguns sábados; horário variável; horário de término variável; horas extras variáveis. Número de horas por semana: 40. Horário de trabalh"&amp;"o (início/término): 7h às 16h.")</f>
        <v>Movimentar terra, equipamentos, carrinhos de mão, cultivadores e materiais; cavar buracos para plantas, árvores e valas de drenagem; instalar materiais de paisagismo; rastelar; varrer; regar; podar; aplicar cobertura morta; capinar; limpar; cortar grama; aparar grama. Classificação da função: 37-3011.00 - Trabalhadores de Paisagismo e Manutenção de Jardins. A classificação e descrição da função/setor inclui informações gerais sobre o cargo, de acordo com o ONET/OES e o Sistema de Classificação Industrial da América do Norte. Consulte as Funções e a Ordem de Serviço para obter mais informações. Requisitos da função: Experiência necessária: Não. Requisitos especiais: Capacidade de levantar 38 kg; capacidade de trabalhar em diversas condições climáticas, de -4°C a 35°C, incluindo chuva, granizo, neve e vento. De segunda a sexta-feira, podendo haver necessidade de trabalhar alguns sábados; horário variável; horário de término variável; horas extras variáveis. Número de horas por semana: 40. Horário de trabalho (início/término): 7h às 16h.</v>
      </c>
    </row>
    <row r="1302" ht="20.25" customHeight="1">
      <c r="A1302" s="3" t="s">
        <v>5742</v>
      </c>
      <c r="B1302" s="3" t="s">
        <v>5743</v>
      </c>
      <c r="C1302" s="3" t="s">
        <v>5625</v>
      </c>
      <c r="D1302" s="3" t="s">
        <v>4521</v>
      </c>
      <c r="E1302" s="4" t="s">
        <v>19</v>
      </c>
      <c r="F1302" s="4" t="s">
        <v>20</v>
      </c>
      <c r="G1302" s="4" t="s">
        <v>345</v>
      </c>
      <c r="H1302" s="3" t="s">
        <v>5744</v>
      </c>
      <c r="I1302" s="3" t="s">
        <v>5745</v>
      </c>
      <c r="J1302" s="4">
        <v>20.72</v>
      </c>
      <c r="K1302" s="4">
        <v>2.0</v>
      </c>
      <c r="L1302" s="3" t="s">
        <v>586</v>
      </c>
      <c r="M1302" s="3" t="s">
        <v>5746</v>
      </c>
      <c r="N1302" s="7" t="str">
        <f>IFERROR(__xludf.DUMMYFUNCTION("GOOGLETRANSLATE(L1302, ""en"", ""pt"")"),"Cozinheiro de linha")</f>
        <v>Cozinheiro de linha</v>
      </c>
      <c r="O1302" s="7" t="str">
        <f>IFERROR(__xludf.DUMMYFUNCTION("IF(M1302="""","""",GOOGLETRANSLATE(M1302,""en"",""pt""))"),"A BERN LLC, localizada em Woodstock, VT, busca cozinheiros de linha temporários em tempo integral, com a descrição e os requisitos abaixo. Os cozinheiros de linha são responsáveis ​​pelo preparo, tempero e cozimento de uma variedade de itens do cardápio, "&amp;"incluindo, entre outros, pizzas, sanduíches, hambúrgueres, sopas, carnes, legumes e sobremesas. As funções incluem a organização das estações de trabalho, o preparo dos ingredientes e a garantia da limpeza antes, durante e após o serviço, incluindo a lava"&amp;"gem de pratos e utensílios utilizados no preparo dos alimentos. Os cozinheiros de linha criarão pratos especiais diários, auxiliarão no pedido de estoque, gerenciarão o recebimento e a realização de pedidos e coletarão o lixo. Eles também servirão como el"&amp;"o entre a cozinha e o salão, comunicando informações sobre ingredientes, disponibilidade e tempos de preparo dos pratos para a equipe de atendimento. Os cozinheiros de linha devem manter uma postura profissional e constante durante os períodos de maior mo"&amp;"vimento. Devem se reportar ao proprietário, ao chef e ao gerente conforme necessário e seguir todos os protocolos da cozinha. Requisitos: O candidato deve: - Submeter-se à verificação de antecedentes pré-emprego. - Ser capaz de fornecer pelo menos uma ref"&amp;"erência de experiência profissional anterior. - Mínimo de 3 meses de experiência em cozinha de restaurante. - Capacidade de se comunicar em inglês. Classificação da vaga: 35-2014.00 - Cozinheiros, Restaurante. A classificação e descrição da vaga/setor inc"&amp;"luem informações gerais sobre o cargo, de acordo com o ONET/OES e o Sistema de Classificação Industrial da América do Norte (NAICS). Consulte as Funções e a Ordem de Serviço para obter mais informações. Requisitos da vaga Experiência necessária: Sim Meses"&amp;" de experiência necessários: 3 Requisitos especiais: 1. Aprovação na verificação de antecedentes pré-emprego. 2. Capacidade de fornecer pelo menos uma referência de empregos anteriores. 3. Capacidade de se comunicar em inglês. A data prevista para início "&amp;"das atividades é 1º de outubro de 2026 e término em 30 de abril de 2027. A área geográfica de atuação é Woodstock, Vermont. Treinamento no local de trabalho será oferecido. O empregador fará todos os descontos exigidos por lei no contracheque do trabalhad"&amp;"or. Se o trabalhador cumprir 50% do período do contrato de trabalho, o empregador pagará diretamente e/ou reembolsará o trabalhador pelas despesas de transporte e alimentação do local de recrutamento até o local de trabalho. Ao término do contrato de trab"&amp;"alho ou em caso de demissão antecipada, o empregador fornecerá ou pagará ao trabalhador os custos razoáveis ​​de transporte e alimentação de retorno para casa ou para o local de onde o trabalhador partiu originalmente para trabalhar, exceto nos casos em q"&amp;"ue o trabalhador não retornar devido a um novo emprego com outro empregador. O empregador pagará diretamente e/ou reembolsará o trabalhador por todos os custos razoáveis ​​de transporte e alimentação de ida durante a primeira semana de trabalho. O emprega"&amp;"dor pagará diretamente e/ou reembolsará o trabalhador por todos os custos razoáveis ​​de transporte e alimentação de ida durante a última semana de trabalho. O valor do pagamento ou reembolso do transporte será equivalente ao da transportadora mais econôm"&amp;"ica e razoável para as distâncias envolvidas. Será fornecida uma diária de alimentação no valor de US$ 16,78 por dia durante o deslocamento, até um máximo de US$ 68,00 por dia, mediante apresentação de recibos. O empregador garante oferecer trabalho por u"&amp;"m número de horas equivalente a pelo menos três quartos dos dias úteis em cada período de 12 semanas do período total de emprego. O empregador reembolsará o trabalhador na primeira semana de trabalho por todas as taxas de visto, processamento de visto, tr"&amp;"avessia de fronteira e outras taxas relacionadas, incluindo aquelas exigidas pelo governo, incorridas pelo trabalhador. O empregador também fornecerá aos trabalhadores com visto H-2B, sem custo ou depósito, todas as ferramentas, suprimentos e equipamentos"&amp;" necessários para o desempenho das funções atribuídas. Número de horas por semana: 40. Horário de trabalho (início/término): 10h às 20h.")</f>
        <v>A BERN LLC, localizada em Woodstock, VT, busca cozinheiros de linha temporários em tempo integral, com a descrição e os requisitos abaixo. Os cozinheiros de linha são responsáveis ​​pelo preparo, tempero e cozimento de uma variedade de itens do cardápio, incluindo, entre outros, pizzas, sanduíches, hambúrgueres, sopas, carnes, legumes e sobremesas. As funções incluem a organização das estações de trabalho, o preparo dos ingredientes e a garantia da limpeza antes, durante e após o serviço, incluindo a lavagem de pratos e utensílios utilizados no preparo dos alimentos. Os cozinheiros de linha criarão pratos especiais diários, auxiliarão no pedido de estoque, gerenciarão o recebimento e a realização de pedidos e coletarão o lixo. Eles também servirão como elo entre a cozinha e o salão, comunicando informações sobre ingredientes, disponibilidade e tempos de preparo dos pratos para a equipe de atendimento. Os cozinheiros de linha devem manter uma postura profissional e constante durante os períodos de maior movimento. Devem se reportar ao proprietário, ao chef e ao gerente conforme necessário e seguir todos os protocolos da cozinha. Requisitos: O candidato deve: - Submeter-se à verificação de antecedentes pré-emprego. - Ser capaz de fornecer pelo menos uma referência de experiência profissional anterior. - Mínimo de 3 meses de experiência em cozinha de restaurante. - Capacidade de se comunicar em inglês. Classificação da vaga: 35-2014.00 - Cozinheiros, Restaurante. A classificação e descrição da vaga/setor incluem informações gerais sobre o cargo, de acordo com o ONET/OES e o Sistema de Classificação Industrial da América do Norte (NAICS). Consulte as Funções e a Ordem de Serviço para obter mais informações. Requisitos da vaga Experiência necessária: Sim Meses de experiência necessários: 3 Requisitos especiais: 1. Aprovação na verificação de antecedentes pré-emprego. 2. Capacidade de fornecer pelo menos uma referência de empregos anteriores. 3. Capacidade de se comunicar em inglês. A data prevista para início das atividades é 1º de outubro de 2026 e término em 30 de abril de 2027. A área geográfica de atuação é Woodstock, Vermont. Treinamento no local de trabalho será oferecido. O empregador fará todos os descontos exigidos por lei no contracheque do trabalhador. Se o trabalhador cumprir 50% do período do contrato de trabalho, o empregador pagará diretamente e/ou reembolsará o trabalhador pelas despesas de transporte e alimentação do local de recrutamento até o local de trabalho. Ao término do contrato de trabalho ou em caso de demissão antecipada, o empregador fornecerá ou pagará ao trabalhador os custos razoáveis ​​de transporte e alimentação de retorno para casa ou para o local de onde o trabalhador partiu originalmente para trabalhar, exceto nos casos em que o trabalhador não retornar devido a um novo emprego com outro empregador. O empregador pagará diretamente e/ou reembolsará o trabalhador por todos os custos razoáveis ​​de transporte e alimentação de ida durante a primeira semana de trabalho. O empregador pagará diretamente e/ou reembolsará o trabalhador por todos os custos razoáveis ​​de transporte e alimentação de ida durante a última semana de trabalho. O valor do pagamento ou reembolso do transporte será equivalente ao da transportadora mais econômica e razoável para as distâncias envolvidas. Será fornecida uma diária de alimentação no valor de US$ 16,78 por dia durante o deslocamento, até um máximo de US$ 68,00 por dia, mediante apresentação de recibos. O empregador garante oferecer trabalho por um número de horas equivalente a pelo menos três quartos dos dias úteis em cada período de 12 semanas do período total de emprego. O empregador reembolsará o trabalhador na primeira semana de trabalho por todas as taxas de visto, processamento de visto, travessia de fronteira e outras taxas relacionadas, incluindo aquelas exigidas pelo governo, incorridas pelo trabalhador. O empregador também fornecerá aos trabalhadores com visto H-2B, sem custo ou depósito, todas as ferramentas, suprimentos e equipamentos necessários para o desempenho das funções atribuídas. Número de horas por semana: 40. Horário de trabalho (início/término): 10h às 20h.</v>
      </c>
    </row>
    <row r="1303" ht="20.25" customHeight="1">
      <c r="A1303" s="8" t="s">
        <v>5747</v>
      </c>
      <c r="B1303" s="8" t="s">
        <v>5748</v>
      </c>
      <c r="C1303" s="8" t="s">
        <v>5749</v>
      </c>
      <c r="D1303" s="8" t="s">
        <v>992</v>
      </c>
      <c r="E1303" s="9" t="s">
        <v>19</v>
      </c>
      <c r="F1303" s="9" t="s">
        <v>20</v>
      </c>
      <c r="G1303" s="9" t="s">
        <v>1791</v>
      </c>
      <c r="H1303" s="8" t="s">
        <v>5750</v>
      </c>
      <c r="I1303" s="8" t="s">
        <v>5751</v>
      </c>
      <c r="J1303" s="9">
        <v>21.91</v>
      </c>
      <c r="K1303" s="9">
        <v>9.0</v>
      </c>
      <c r="L1303" s="8" t="s">
        <v>59</v>
      </c>
      <c r="M1303" s="8" t="s">
        <v>5752</v>
      </c>
      <c r="N1303" s="7" t="str">
        <f>IFERROR(__xludf.DUMMYFUNCTION("GOOGLETRANSLATE(L1303, ""en"", ""pt"")"),"Trabalhador de paisagismo")</f>
        <v>Trabalhador de paisagismo</v>
      </c>
      <c r="O1303" s="7" t="str">
        <f>IFERROR(__xludf.DUMMYFUNCTION("IF(M1303="""","""",GOOGLETRANSLATE(M1303,""en"",""pt""))"),"Serviços gerais de poda, capina, corte de grama, operação de cortadores de grama, abertura de covas para plantas, árvores e arbustos, instalação de materiais paisagísticos como cobertura morta, terra vegetal e plantas, espalhamento de cobertura morta, ras"&amp;"telamento de gramados, varrição de folhas e aparas de grama, aparo de bordas de canteiros e limpeza. Classificação da vaga: 37-3011.00 - Trabalhadores de Paisagismo e Manutenção de Jardins. A classificação e descrição da vaga/setor inclui informações gera"&amp;"is sobre o cargo, de acordo com o ONET/OES e o Sistema de Classificação Industrial da América do Norte (NAICS). Consulte as Funções e a Ordem de Serviço para obter mais informações. Requisitos da vaga: Experiência necessária: Não. Requisitos especiais: De"&amp;" segunda a sexta-feira, com possibilidade de trabalho aos sábados, horário variável e horas extras variáveis. Capacidade de levantar 23 kg. Número de horas por semana: 40. Horário de trabalho (início/término): 7h às 16h.")</f>
        <v>Serviços gerais de poda, capina, corte de grama, operação de cortadores de grama, abertura de covas para plantas, árvores e arbustos, instalação de materiais paisagísticos como cobertura morta, terra vegetal e plantas, espalhamento de cobertura morta, rastelamento de gramados, varrição de folhas e aparas de grama, aparo de bordas de canteiros e limpeza. Classificação da vaga: 37-3011.00 - Trabalhadores de Paisagismo e Manutenção de Jardins. A classificação e descrição da vaga/setor inclui informações gerais sobre o cargo, de acordo com o ONET/OES e o Sistema de Classificação Industrial da América do Norte (NAICS). Consulte as Funções e a Ordem de Serviço para obter mais informações. Requisitos da vaga: Experiência necessária: Não. Requisitos especiais: De segunda a sexta-feira, com possibilidade de trabalho aos sábados, horário variável e horas extras variáveis. Capacidade de levantar 23 kg. Número de horas por semana: 40. Horário de trabalho (início/término): 7h às 16h.</v>
      </c>
    </row>
    <row r="1304" ht="20.25" customHeight="1">
      <c r="A1304" s="3" t="s">
        <v>5753</v>
      </c>
      <c r="B1304" s="3" t="s">
        <v>5754</v>
      </c>
      <c r="C1304" s="3" t="s">
        <v>5755</v>
      </c>
      <c r="D1304" s="3" t="s">
        <v>28</v>
      </c>
      <c r="E1304" s="4" t="s">
        <v>44</v>
      </c>
      <c r="F1304" s="4" t="s">
        <v>20</v>
      </c>
      <c r="G1304" s="4" t="s">
        <v>29</v>
      </c>
      <c r="H1304" s="3" t="s">
        <v>5756</v>
      </c>
      <c r="I1304" s="3" t="s">
        <v>5757</v>
      </c>
      <c r="J1304" s="4">
        <v>17.17</v>
      </c>
      <c r="K1304" s="4">
        <v>110.0</v>
      </c>
      <c r="L1304" s="3" t="s">
        <v>321</v>
      </c>
      <c r="M1304" s="3" t="s">
        <v>5758</v>
      </c>
      <c r="N1304" s="7" t="str">
        <f>IFERROR(__xludf.DUMMYFUNCTION("GOOGLETRANSLATE(L1304, ""en"", ""pt"")"),"Trabalhadores de paisagismo")</f>
        <v>Trabalhadores de paisagismo</v>
      </c>
      <c r="O1304" s="7" t="str">
        <f>IFERROR(__xludf.DUMMYFUNCTION("IF(M1304="""","""",GOOGLETRANSLATE(M1304,""en"",""pt""))"),"Plantio/remoção de diversos tipos de plantas (flores sazonais, anuais, arbustos, árvores etc.), preparação de canteiros e jardins para irrigação de gramados, espalhamento de cobertura morta, terra e capina manual, corte de grama, aparo de bordas, colocaçã"&amp;"o de barbante, poda, adubação, controle de doenças e insetos, manutenção do sistema de drenagem e irrigação. Utilizar e manter equipamentos e ferramentas (ex: pás, enxadas, aparadores, cortadores de grama, roçadeiras, etc. (quando houver tempo disponível)"&amp;"). Realizar manutenção básica em equipamentos, manter a área de trabalho limpa, remover lixo/detritos. Classificação da vaga: 37-3011.00 - Trabalhadores de Paisagismo e Manutenção de Jardins. A classificação e descrição da vaga/setor inclui informações ge"&amp;"rais sobre o cargo, de acordo com o ONET/OES e o Sistema de Classificação Industrial da América do Norte. Consulte as Funções e a Ordem de Serviço para obter mais informações. Requisitos da vaga: Experiência necessária: Não. Requisitos especiais: CAPACIDA"&amp;"DE DE: LEVANTAR 23 KG, FICAR EM PÉ, ANDAR, AJOELHAR, DOBRAR, ALCANÇAR ACIMA DA CABEÇA/NÍVEL DO SOLO POR LONGOS PERÍODOS DE TEMPO, TRABALHAR EM TODOS OS TIPOS DE CONDIÇÕES CLIMÁTICAS (CALARO EXTREMO, FRIO EXTREMO E CHUVA). APÓS A CONTRATAÇÃO, O TRABALHADOR"&amp;" PODERÁ SER SUBMETIDO A UM TESTE DE DROGAS ALEATÓRIO, SEM CUSTO PARA O TRABALHADOR. SE O TESTE FOR POSITIVO OU NÃO, O TRABALHADOR PODERÁ SER SUBMETIDO A APROVAÇÃO. A recusa em realizar os testes pode resultar em rescisão imediata do contrato de trabalho. "&amp;"É necessário realizar o teste antidrogas pré-admissional (sem custo para o funcionário) e passar pela verificação de antecedentes (sem custo para o funcionário). O horário de trabalho padrão é das 7h às 16h, de segunda a sexta-feira; trabalho aos sábados "&amp;"e domingos será exigido quando necessário. O empregador oferecerá 35 horas semanais. Horas extras são oferecidas, mas não garantidas. O empregador poderá oferecer mais horas do que o horário de trabalho estipulado, dependendo do clima, das necessidades da"&amp;" empresa e de outras condições. Calor extremo, frio intenso e chuva podem afetar o número exato de horas semanais. Horário de trabalho (início/término): 7h às 16h.")</f>
        <v>Plantio/remoção de diversos tipos de plantas (flores sazonais, anuais, arbustos, árvores etc.), preparação de canteiros e jardins para irrigação de gramados, espalhamento de cobertura morta, terra e capina manual, corte de grama, aparo de bordas, colocação de barbante, poda, adubação, controle de doenças e insetos, manutenção do sistema de drenagem e irrigação. Utilizar e manter equipamentos e ferramentas (ex: pás, enxadas, aparadores, cortadores de grama, roçadeiras, etc. (quando houver tempo disponível)). Realizar manutenção básica em equipamentos, manter a área de trabalho limpa, remover lixo/detritos. Classificação da vaga: 37-3011.00 - Trabalhadores de Paisagismo e Manutenção de Jardins. A classificação e descrição da vaga/setor inclui informações gerais sobre o cargo, de acordo com o ONET/OES e o Sistema de Classificação Industrial da América do Norte. Consulte as Funções e a Ordem de Serviço para obter mais informações. Requisitos da vaga: Experiência necessária: Não. Requisitos especiais: CAPACIDADE DE: LEVANTAR 23 KG, FICAR EM PÉ, ANDAR, AJOELHAR, DOBRAR, ALCANÇAR ACIMA DA CABEÇA/NÍVEL DO SOLO POR LONGOS PERÍODOS DE TEMPO, TRABALHAR EM TODOS OS TIPOS DE CONDIÇÕES CLIMÁTICAS (CALARO EXTREMO, FRIO EXTREMO E CHUVA). APÓS A CONTRATAÇÃO, O TRABALHADOR PODERÁ SER SUBMETIDO A UM TESTE DE DROGAS ALEATÓRIO, SEM CUSTO PARA O TRABALHADOR. SE O TESTE FOR POSITIVO OU NÃO, O TRABALHADOR PODERÁ SER SUBMETIDO A APROVAÇÃO. A recusa em realizar os testes pode resultar em rescisão imediata do contrato de trabalho. É necessário realizar o teste antidrogas pré-admissional (sem custo para o funcionário) e passar pela verificação de antecedentes (sem custo para o funcionário). O horário de trabalho padrão é das 7h às 16h, de segunda a sexta-feira; trabalho aos sábados e domingos será exigido quando necessário. O empregador oferecerá 35 horas semanais. Horas extras são oferecidas, mas não garantidas. O empregador poderá oferecer mais horas do que o horário de trabalho estipulado, dependendo do clima, das necessidades da empresa e de outras condições. Calor extremo, frio intenso e chuva podem afetar o número exato de horas semanais. Horário de trabalho (início/término): 7h às 16h.</v>
      </c>
    </row>
    <row r="1305" ht="20.25" customHeight="1">
      <c r="A1305" s="8" t="s">
        <v>5759</v>
      </c>
      <c r="B1305" s="8" t="s">
        <v>5760</v>
      </c>
      <c r="C1305" s="8" t="s">
        <v>5761</v>
      </c>
      <c r="D1305" s="8" t="s">
        <v>109</v>
      </c>
      <c r="E1305" s="9" t="s">
        <v>19</v>
      </c>
      <c r="F1305" s="9" t="s">
        <v>20</v>
      </c>
      <c r="G1305" s="9" t="s">
        <v>377</v>
      </c>
      <c r="H1305" s="8" t="s">
        <v>5762</v>
      </c>
      <c r="I1305" s="8" t="s">
        <v>5763</v>
      </c>
      <c r="J1305" s="9">
        <v>23.09</v>
      </c>
      <c r="K1305" s="9">
        <v>40.0</v>
      </c>
      <c r="L1305" s="8" t="s">
        <v>5764</v>
      </c>
      <c r="M1305" s="8" t="s">
        <v>5765</v>
      </c>
      <c r="N1305" s="7" t="str">
        <f>IFERROR(__xludf.DUMMYFUNCTION("GOOGLETRANSLATE(L1305, ""en"", ""pt"")"),"Auxiliar de Produção")</f>
        <v>Auxiliar de Produção</v>
      </c>
      <c r="O1305" s="7" t="str">
        <f>IFERROR(__xludf.DUMMYFUNCTION("IF(M1305="""","""",GOOGLETRANSLATE(M1305,""en"",""pt""))"),"Os funcionários auxiliarão os operários na fabricação de floreiras e estatuetas de concreto para áreas externas, preenchendo manualmente os moldes com concreto; examinarão os produtos para verificar a conformidade com os padrões de qualidade; movimentarão"&amp;", carregarão e descarregarão os produtos com carrinhos de mão e/ou paleteiras manuais; contarão, marcarão e etiquetarão os produtos; embalarão os produtos em grandes caixas de papelão com lascas de madeira e fecharão com cintas; limparão as áreas de traba"&amp;"lho; poderão operar ferramentas manuais de esmerilhamento e/ou furadeira elétrica para juntas e para abrir moldes. Classificação da vaga: 51-9195.00 - Moldadores, Modeladores e Fundidores, exceto Metal e Plástico. A classificação e a descrição da vaga/set"&amp;"or incluem informações gerais sobre o cargo, de acordo com o ONET/OES e o Sistema de Classificação Industrial da América do Norte (NAICS). Consulte as Funções e a Ordem de Serviço para obter mais informações. Requisitos da vaga: Experiência necessária: Nã"&amp;"o. Requisitos especiais: Capacidade de levantar 32 kg. De segunda a sexta-feira, podendo haver necessidade de trabalhar aos sábados, das 6h às 14h15 (horário variável). Disponibilidade para trabalhar em alguns feriados, com possibilidade de horas extras ("&amp;"horário variável). Testes aleatórios de drogas durante o emprego. Todos os testes de drogas são realizados independentemente da cidadania ou do status imigratório do funcionário, e todos os custos são pagos pela empresa. Consulte o documento adicional em "&amp;"anexo para obter mais detalhes sobre a administração de nossa política de testes de drogas. Número de horas por semana: 40. Horário de trabalho (início/término): 7h00 - 15h15.")</f>
        <v>Os funcionários auxiliarão os operários na fabricação de floreiras e estatuetas de concreto para áreas externas, preenchendo manualmente os moldes com concreto; examinarão os produtos para verificar a conformidade com os padrões de qualidade; movimentarão, carregarão e descarregarão os produtos com carrinhos de mão e/ou paleteiras manuais; contarão, marcarão e etiquetarão os produtos; embalarão os produtos em grandes caixas de papelão com lascas de madeira e fecharão com cintas; limparão as áreas de trabalho; poderão operar ferramentas manuais de esmerilhamento e/ou furadeira elétrica para juntas e para abrir moldes. Classificação da vaga: 51-9195.00 - Moldadores, Modeladores e Fundidores, exceto Metal e Plástico. A classificação e a descrição da vaga/setor incluem informações gerais sobre o cargo, de acordo com o ONET/OES e o Sistema de Classificação Industrial da América do Norte (NAICS). Consulte as Funções e a Ordem de Serviço para obter mais informações. Requisitos da vaga: Experiência necessária: Não. Requisitos especiais: Capacidade de levantar 32 kg. De segunda a sexta-feira, podendo haver necessidade de trabalhar aos sábados, das 6h às 14h15 (horário variável). Disponibilidade para trabalhar em alguns feriados, com possibilidade de horas extras (horário variável). Testes aleatórios de drogas durante o emprego. Todos os testes de drogas são realizados independentemente da cidadania ou do status imigratório do funcionário, e todos os custos são pagos pela empresa. Consulte o documento adicional em anexo para obter mais detalhes sobre a administração de nossa política de testes de drogas. Número de horas por semana: 40. Horário de trabalho (início/término): 7h00 - 15h15.</v>
      </c>
    </row>
    <row r="1306" ht="20.25" customHeight="1">
      <c r="A1306" s="3" t="s">
        <v>5766</v>
      </c>
      <c r="B1306" s="3" t="s">
        <v>5767</v>
      </c>
      <c r="C1306" s="3" t="s">
        <v>5563</v>
      </c>
      <c r="D1306" s="3" t="s">
        <v>36</v>
      </c>
      <c r="E1306" s="4" t="s">
        <v>44</v>
      </c>
      <c r="F1306" s="4" t="s">
        <v>20</v>
      </c>
      <c r="G1306" s="4" t="s">
        <v>307</v>
      </c>
      <c r="H1306" s="3" t="s">
        <v>5585</v>
      </c>
      <c r="I1306" s="3" t="s">
        <v>5586</v>
      </c>
      <c r="J1306" s="4">
        <v>10.87</v>
      </c>
      <c r="K1306" s="4">
        <v>100.0</v>
      </c>
      <c r="L1306" s="3" t="s">
        <v>5768</v>
      </c>
      <c r="M1306" s="3" t="s">
        <v>5769</v>
      </c>
      <c r="N1306" s="7" t="str">
        <f>IFERROR(__xludf.DUMMYFUNCTION("GOOGLETRANSLATE(L1306, ""en"", ""pt"")"),"Processadores de caranguejo")</f>
        <v>Processadores de caranguejo</v>
      </c>
      <c r="O1306" s="7" t="str">
        <f>IFERROR(__xludf.DUMMYFUNCTION("IF(M1306="""","""",GOOGLETRANSLATE(M1306,""en"",""pt""))"),"Código SOC: 51-3093.00 — Operadores e Auxiliares de Máquinas de Cozimento de Alimentos • Cozinhar caranguejos inteiros no vapor • Cozinhar frutos do mar usando vaporizadores/caldeiras Código SOC: 51-3022 — Cortadores e Aparadores de Carne, Aves e Peixes •"&amp;" Limpar e selecionar caranguejos • Desossar e quebrar frutos do mar • Separar a carne por tamanho/qualidade • Preparar frutos do mar para venda no atacado/varejo • Limpar e higienizar áreas de trabalho e equipamentos • Manter a conformidade com os regulam"&amp;"entos de segurança alimentar Código SOC: 53-7064 — Embaladores e Acondicionadores Manuais • Pesar, contar e medir o produto • Colocar frutos do mar em recipientes • Selar, colocar gelo e embalar os produtos • Montar caixas Código SOC: 53-7062 — Operários "&amp;"e Movimentadores de Carga, Estoque e Materiais Manuais • Mover, despejar e distribuir o produto • Realizar trabalhos no cais • Remover caranguejos de barcos ou caminhões • Carregar produtos acabados em caminhões • Usar equipamentos de movimentação de mate"&amp;"riais (ocasionalmente) • Colocar o produto cru em mesas de processamento • Congelar e retirar caranguejos com pás Veja o anexo Adendo. Classificação da Função: 51-3093.00 - Operadores e Auxiliares de Máquinas de Cozimento de Alimentos. A classificação e d"&amp;"escrição da função/setor inclui informações gerais sobre o cargo, conforme o ONET/OES e o Sistema de Classificação Industrial da América do Norte (NAICS). Consulte as Funções e a Ordem de Serviço para obter mais informações. Requisitos da Função: Experiên"&amp;"cia Necessária: Não. Requisitos Especiais: Capacidade de levantar/carregar até 23 kg. O exame toxicológico, pago pelo empregador, será realizado após a contratação e de forma aleatória. O empregador poderá realizar verificações legais relacionadas ao trab"&amp;"alho, incluindo consultas sobre antecedentes criminais, quando permitido pelas leis federais, estaduais e locais aplicáveis. Qualquer análise de antecedentes criminais será feita individualmente e as decisões de contratação serão tomadas de forma não disc"&amp;"riminatória, em conformidade com as leis aplicáveis ​​e as necessidades da empresa. Não são permitidas doenças infecciosas; alergias a frutos do mar podem ser fatais. Número de Horas por Semana: 40. Horário de Trabalho (Início/Término): 5h às 14h.")</f>
        <v>Código SOC: 51-3093.00 — Operadores e Auxiliares de Máquinas de Cozimento de Alimentos • Cozinhar caranguejos inteiros no vapor • Cozinhar frutos do mar usando vaporizadores/caldeiras Código SOC: 51-3022 — Cortadores e Aparadores de Carne, Aves e Peixes • Limpar e selecionar caranguejos • Desossar e quebrar frutos do mar • Separar a carne por tamanho/qualidade • Preparar frutos do mar para venda no atacado/varejo • Limpar e higienizar áreas de trabalho e equipamentos • Manter a conformidade com os regulamentos de segurança alimentar Código SOC: 53-7064 — Embaladores e Acondicionadores Manuais • Pesar, contar e medir o produto • Colocar frutos do mar em recipientes • Selar, colocar gelo e embalar os produtos • Montar caixas Código SOC: 53-7062 — Operários e Movimentadores de Carga, Estoque e Materiais Manuais • Mover, despejar e distribuir o produto • Realizar trabalhos no cais • Remover caranguejos de barcos ou caminhões • Carregar produtos acabados em caminhões • Usar equipamentos de movimentação de materiais (ocasionalmente) • Colocar o produto cru em mesas de processamento • Congelar e retirar caranguejos com pás Veja o anexo Adendo. Classificação da Função: 51-3093.00 - Operadores e Auxiliares de Máquinas de Cozimento de Alimentos. A classificação e descrição da função/setor inclui informações gerais sobre o cargo, conforme o ONET/OES e o Sistema de Classificação Industrial da América do Norte (NAICS). Consulte as Funções e a Ordem de Serviço para obter mais informações. Requisitos da Função: Experiência Necessária: Não. Requisitos Especiais: Capacidade de levantar/carregar até 23 kg. O exame toxicológico, pago pelo empregador, será realizado após a contratação e de forma aleatória. O empregador poderá realizar verificações legais relacionadas ao trabalho, incluindo consultas sobre antecedentes criminais, quando permitido pelas leis federais, estaduais e locais aplicáveis. Qualquer análise de antecedentes criminais será feita individualmente e as decisões de contratação serão tomadas de forma não discriminatória, em conformidade com as leis aplicáveis ​​e as necessidades da empresa. Não são permitidas doenças infecciosas; alergias a frutos do mar podem ser fatais. Número de Horas por Semana: 40. Horário de Trabalho (Início/Término): 5h às 14h.</v>
      </c>
    </row>
    <row r="1307" ht="20.25" customHeight="1">
      <c r="A1307" s="8" t="s">
        <v>5770</v>
      </c>
      <c r="B1307" s="8" t="s">
        <v>5771</v>
      </c>
      <c r="C1307" s="8" t="s">
        <v>5772</v>
      </c>
      <c r="D1307" s="8" t="s">
        <v>2068</v>
      </c>
      <c r="E1307" s="9" t="s">
        <v>19</v>
      </c>
      <c r="F1307" s="9" t="s">
        <v>20</v>
      </c>
      <c r="G1307" s="9" t="s">
        <v>377</v>
      </c>
      <c r="H1307" s="8" t="s">
        <v>5773</v>
      </c>
      <c r="I1307" s="8" t="s">
        <v>5774</v>
      </c>
      <c r="J1307" s="9">
        <v>27.69</v>
      </c>
      <c r="K1307" s="9">
        <v>20.0</v>
      </c>
      <c r="L1307" s="8" t="s">
        <v>4985</v>
      </c>
      <c r="M1307" s="8" t="s">
        <v>5775</v>
      </c>
      <c r="N1307" s="7" t="str">
        <f>IFERROR(__xludf.DUMMYFUNCTION("GOOGLETRANSLATE(L1307, ""en"", ""pt"")"),"Instalador de Azulejos")</f>
        <v>Instalador de Azulejos</v>
      </c>
      <c r="O1307" s="7" t="str">
        <f>IFERROR(__xludf.DUMMYFUNCTION("IF(M1307="""","""",GOOGLETRANSLATE(M1307,""en"",""pt""))"),"Cortar e moldar azulejos corretamente para garantir que se encaixem em torno de obstáculos, cantos apertados e espaços irregulares, utilizando ferramentas elétricas e manuais. Preparar as bases para os azulejos utilizando concreto, gesso, massa adesiva, c"&amp;"imento, cola ou argamassa, com ferramentas como réguas de nivelamento, pincéis e desempenadeiras. Alinhar e endireitar os azulejos com réguas, níveis e esquadros para garantir padrões uniformes e precisos. Cortar, instalar, polir e dar acabamento em grani"&amp;"to e mármore, garantindo precisão durante o processo de instalação para resultados duradouros. Preparar diversas superfícies para o revestimento com material impermeabilizante ou tela metálica e limpando-as adequadamente. Criar designs decorativos em pare"&amp;"des e pisos, assentando mosaicos em cozinhas, banheiros e salas de estar. Encaixar os azulejos cuidadosamente com ferramentas para aderirem à base, tomando cuidado para não quebrá-los ou danificá-los. Seguir plantas com precisão e marcar e medir as superf"&amp;"ícies que precisam ser revestidas para determinar a melhor forma de executar o trabalho. Classificação da função: 47-2044.00 - Assentadores de Azulejos e Pedras. A classificação e descrição da função/indústria inclui informações gerais sobre o cargo, de a"&amp;"cordo com o ONET/OES e o Sistema de Classificação Industrial da América do Norte. Consulte a Descrição das Funções e a Ordem de Serviço para obter mais informações. Requisitos da Vaga Experiência Necessária: Sim Meses de Experiência Necessários: 6 Requisi"&amp;"tos Especiais: LEVANTAMENTO DE PESO LONGOS PERÍODOS DE TEMPO EM PÉ, DE JOELHOS E/OU CURVAS POEIRA NAS ÁREAS DE TRABALHO TRABALHO EM CONDIÇÕES CLIMÁTICAS ADVERSAS, ESPECIALMENTE SOB O SOL Número de Horas por Semana: 40 Horário de Trabalho (Início/Término):"&amp;" 7h00 - 16h00")</f>
        <v>Cortar e moldar azulejos corretamente para garantir que se encaixem em torno de obstáculos, cantos apertados e espaços irregulares, utilizando ferramentas elétricas e manuais. Preparar as bases para os azulejos utilizando concreto, gesso, massa adesiva, cimento, cola ou argamassa, com ferramentas como réguas de nivelamento, pincéis e desempenadeiras. Alinhar e endireitar os azulejos com réguas, níveis e esquadros para garantir padrões uniformes e precisos. Cortar, instalar, polir e dar acabamento em granito e mármore, garantindo precisão durante o processo de instalação para resultados duradouros. Preparar diversas superfícies para o revestimento com material impermeabilizante ou tela metálica e limpando-as adequadamente. Criar designs decorativos em paredes e pisos, assentando mosaicos em cozinhas, banheiros e salas de estar. Encaixar os azulejos cuidadosamente com ferramentas para aderirem à base, tomando cuidado para não quebrá-los ou danificá-los. Seguir plantas com precisão e marcar e medir as superfícies que precisam ser revestidas para determinar a melhor forma de executar o trabalho. Classificação da função: 47-2044.00 - Assentadores de Azulejos e Pedras. A classificação e descrição da função/indústria inclui informações gerais sobre o cargo, de acordo com o ONET/OES e o Sistema de Classificação Industrial da América do Norte. Consulte a Descrição das Funções e a Ordem de Serviço para obter mais informações. Requisitos da Vaga Experiência Necessária: Sim Meses de Experiência Necessários: 6 Requisitos Especiais: LEVANTAMENTO DE PESO LONGOS PERÍODOS DE TEMPO EM PÉ, DE JOELHOS E/OU CURVAS POEIRA NAS ÁREAS DE TRABALHO TRABALHO EM CONDIÇÕES CLIMÁTICAS ADVERSAS, ESPECIALMENTE SOB O SOL Número de Horas por Semana: 40 Horário de Trabalho (Início/Término): 7h00 - 16h00</v>
      </c>
    </row>
    <row r="1308" ht="20.25" customHeight="1">
      <c r="A1308" s="3" t="s">
        <v>5776</v>
      </c>
      <c r="B1308" s="3" t="s">
        <v>5777</v>
      </c>
      <c r="C1308" s="3" t="s">
        <v>5755</v>
      </c>
      <c r="D1308" s="3" t="s">
        <v>28</v>
      </c>
      <c r="E1308" s="4" t="s">
        <v>19</v>
      </c>
      <c r="F1308" s="4" t="s">
        <v>20</v>
      </c>
      <c r="G1308" s="4" t="s">
        <v>29</v>
      </c>
      <c r="H1308" s="3" t="s">
        <v>5756</v>
      </c>
      <c r="I1308" s="3" t="s">
        <v>5778</v>
      </c>
      <c r="J1308" s="4">
        <v>17.17</v>
      </c>
      <c r="K1308" s="4">
        <v>70.0</v>
      </c>
      <c r="L1308" s="3" t="s">
        <v>5779</v>
      </c>
      <c r="M1308" s="3" t="s">
        <v>5780</v>
      </c>
      <c r="N1308" s="7" t="str">
        <f>IFERROR(__xludf.DUMMYFUNCTION("GOOGLETRANSLATE(L1308, ""en"", ""pt"")"),"Trabalhadores de paisagismo")</f>
        <v>Trabalhadores de paisagismo</v>
      </c>
      <c r="O1308" s="7" t="str">
        <f>IFERROR(__xludf.DUMMYFUNCTION("IF(M1308="""","""",GOOGLETRANSLATE(M1308,""en"",""pt""))"),"Plantio/remoção de diversos tipos de plantas (flores sazonais, anuais, arbustos, árvores etc.), preparação de canteiros e jardins para irrigação de gramados, espalhamento de cobertura morta e terra, capina manual, corte de grama, aparo de bordas, colocaçã"&amp;"o de barbante, poda, adubação, controle de doenças e insetos, manutenção do sistema de drenagem e irrigação. Utilizar e manter equipamentos e ferramentas (ex: pás, enxadas, aparadores, cortadores de grama, roçadeiras, etc.) quando houver tempo disponível."&amp;" Realizar manutenção básica em equipamentos, manter a área de trabalho limpa e remover lixo/detritos. Classificação da função: 37-3011.00 - Trabalhadores de Paisagismo e Manutenção de Áreas Verdes. A classificação e descrição da função/setor incluem infor"&amp;"mações gerais sobre o cargo, de acordo com o ONET/OES e o Sistema de Classificação Industrial da América do Norte (NAICS). Consulte as Funções e a Ordem de Serviço para obter mais informações. Requisitos da função: Experiência necessária: Não. Requisitos "&amp;"especiais: Capacidade de se curvar, alcançar o nível do solo ou acima da cabeça, ficar em pé, caminhar e ajoelhar por longos períodos; capacidade de levantar de 13 a 23 kg; capacidade de trabalhar em todas as condições climáticas, incluindo calor extremo,"&amp;" frio ou chuva. Capacidade de subir escadas de 2,4 a 4,8 metros e trabalhar em alturas elevadas. O funcionário deverá estar disponível para trabalhar nos fins de semana após a contratação. Poderá ser submetido a um teste toxicológico aleatório, sem custos"&amp;" para o funcionário. Um resultado positivo ou a recusa em cumprir o teste poderá resultar em rescisão do contrato. Dias e horários de trabalho previstos por semana: O horário de trabalho padrão é das 7h às 16h, de segunda a sexta-feira; trabalho aos sábad"&amp;"os e domingos será necessário, quando aplicável. O empregador oferecerá 35 horas semanais. Horas extras são oferecidas, mas o funcionário deverá se deslocar diariamente para diversos locais de trabalho, incluindo residências particulares e propriedades co"&amp;"merciais. Número de horas por semana: 35. Horário de trabalho (início/término): 7h às 16h.")</f>
        <v>Plantio/remoção de diversos tipos de plantas (flores sazonais, anuais, arbustos, árvores etc.), preparação de canteiros e jardins para irrigação de gramados, espalhamento de cobertura morta e terra, capina manual, corte de grama, aparo de bordas, colocação de barbante, poda, adubação, controle de doenças e insetos, manutenção do sistema de drenagem e irrigação. Utilizar e manter equipamentos e ferramentas (ex: pás, enxadas, aparadores, cortadores de grama, roçadeiras, etc.) quando houver tempo disponível. Realizar manutenção básica em equipamentos, manter a área de trabalho limpa e remover lixo/detritos. Classificação da função: 37-3011.00 - Trabalhadores de Paisagismo e Manutenção de Áreas Verdes. A classificação e descrição da função/setor incluem informações gerais sobre o cargo, de acordo com o ONET/OES e o Sistema de Classificação Industrial da América do Norte (NAICS). Consulte as Funções e a Ordem de Serviço para obter mais informações. Requisitos da função: Experiência necessária: Não. Requisitos especiais: Capacidade de se curvar, alcançar o nível do solo ou acima da cabeça, ficar em pé, caminhar e ajoelhar por longos períodos; capacidade de levantar de 13 a 23 kg; capacidade de trabalhar em todas as condições climáticas, incluindo calor extremo, frio ou chuva. Capacidade de subir escadas de 2,4 a 4,8 metros e trabalhar em alturas elevadas. O funcionário deverá estar disponível para trabalhar nos fins de semana após a contratação. Poderá ser submetido a um teste toxicológico aleatório, sem custos para o funcionário. Um resultado positivo ou a recusa em cumprir o teste poderá resultar em rescisão do contrato. Dias e horários de trabalho previstos por semana: O horário de trabalho padrão é das 7h às 16h, de segunda a sexta-feira; trabalho aos sábados e domingos será necessário, quando aplicável. O empregador oferecerá 35 horas semanais. Horas extras são oferecidas, mas o funcionário deverá se deslocar diariamente para diversos locais de trabalho, incluindo residências particulares e propriedades comerciais. Número de horas por semana: 35. Horário de trabalho (início/término): 7h às 16h.</v>
      </c>
    </row>
    <row r="1309" ht="20.25" customHeight="1">
      <c r="A1309" s="8" t="s">
        <v>5781</v>
      </c>
      <c r="B1309" s="8" t="s">
        <v>5782</v>
      </c>
      <c r="C1309" s="8" t="s">
        <v>5563</v>
      </c>
      <c r="D1309" s="8" t="s">
        <v>186</v>
      </c>
      <c r="E1309" s="9" t="s">
        <v>44</v>
      </c>
      <c r="F1309" s="9" t="s">
        <v>20</v>
      </c>
      <c r="G1309" s="9" t="s">
        <v>524</v>
      </c>
      <c r="H1309" s="8" t="s">
        <v>5783</v>
      </c>
      <c r="I1309" s="8" t="s">
        <v>5784</v>
      </c>
      <c r="J1309" s="9">
        <v>15.45</v>
      </c>
      <c r="K1309" s="9">
        <v>60.0</v>
      </c>
      <c r="L1309" s="8" t="s">
        <v>105</v>
      </c>
      <c r="M1309" s="8" t="s">
        <v>5785</v>
      </c>
      <c r="N1309" s="7" t="str">
        <f>IFERROR(__xludf.DUMMYFUNCTION("GOOGLETRANSLATE(L1309, ""en"", ""pt"")"),"Abridores de Ostras")</f>
        <v>Abridores de Ostras</v>
      </c>
      <c r="O1309" s="7" t="str">
        <f>IFERROR(__xludf.DUMMYFUNCTION("IF(M1309="""","""",GOOGLETRANSLATE(M1309,""en"",""pt""))"),"Abrir e retirar a carne das ostras da concha, separar a carne por tamanho/qualidade, preparar as ostras para venda no atacado/varejo, limpar e higienizar as áreas de trabalho e os equipamentos, colocar as ostras em recipientes, selar e embalar as ostras e"&amp;"m recipientes, movimentar, despejar e distribuir o produto cru, retirar as ostras de barcos ou caminhões, ocasionalmente usar equipamentos de movimentação de materiais (lavadora de conchas, balanças e equipamentos para manusear frutos do mar), congelar e "&amp;"colocar as ostras em recipientes. Consulte o Adendo em anexo. Classificação da Função: 51-3022.00 - Cortadores e Aparadores de Carne, Aves e Peixes. A classificação e descrição da função/setor inclui informações gerais sobre o cargo, de acordo com o ONET/"&amp;"OES e o Sistema de Classificação Industrial da América do Norte. Consulte as Funções e a Ordem de Serviço para obter mais informações. Requisitos da Função: Experiência Necessária: Não. Requisitos Especiais: Levantar/carregar até 34 kg. O exame toxicológi"&amp;"co, pago pelo empregador, será realizado após a contratação, em caso de suspeita. O empregador poderá realizar verificações legais e relacionadas ao trabalho dos candidatos, incluindo consultas sobre antecedentes criminais, quando permitido pelas leis fed"&amp;"erais, estaduais e locais aplicáveis. Qualquer análise de antecedentes criminais será feita individualmente e as decisões de contratação serão tomadas de forma não discriminatória, em conformidade com as leis aplicáveis ​​e as necessidades da empresa. Não"&amp;" são permitidas doenças infecciosas; alergias a frutos do mar podem ser fatais. Número de horas por semana: 35. Horário de trabalho (início/término): 7h às 13h.")</f>
        <v>Abrir e retirar a carne das ostras da concha, separar a carne por tamanho/qualidade, preparar as ostras para venda no atacado/varejo, limpar e higienizar as áreas de trabalho e os equipamentos, colocar as ostras em recipientes, selar e embalar as ostras em recipientes, movimentar, despejar e distribuir o produto cru, retirar as ostras de barcos ou caminhões, ocasionalmente usar equipamentos de movimentação de materiais (lavadora de conchas, balanças e equipamentos para manusear frutos do mar), congelar e colocar as ostras em recipientes. Consulte o Adendo em anexo. Classificação da Função: 51-3022.00 - Cortadores e Aparadores de Carne, Aves e Peixes. A classificação e descrição da função/setor inclui informações gerais sobre o cargo, de acordo com o ONET/OES e o Sistema de Classificação Industrial da América do Norte. Consulte as Funções e a Ordem de Serviço para obter mais informações. Requisitos da Função: Experiência Necessária: Não. Requisitos Especiais: Levantar/carregar até 34 kg. O exame toxicológico, pago pelo empregador, será realizado após a contratação, em caso de suspeita. O empregador poderá realizar verificações legais e relacionadas ao trabalho dos candidatos, incluindo consultas sobre antecedentes criminais, quando permitido pelas leis federais, estaduais e locais aplicáveis. Qualquer análise de antecedentes criminais será feita individualmente e as decisões de contratação serão tomadas de forma não discriminatória, em conformidade com as leis aplicáveis ​​e as necessidades da empresa. Não são permitidas doenças infecciosas; alergias a frutos do mar podem ser fatais. Número de horas por semana: 35. Horário de trabalho (início/término): 7h às 13h.</v>
      </c>
    </row>
    <row r="1310" ht="20.25" customHeight="1">
      <c r="A1310" s="3" t="s">
        <v>5786</v>
      </c>
      <c r="B1310" s="3" t="s">
        <v>5787</v>
      </c>
      <c r="C1310" s="3" t="s">
        <v>5563</v>
      </c>
      <c r="D1310" s="3" t="s">
        <v>36</v>
      </c>
      <c r="E1310" s="4" t="s">
        <v>44</v>
      </c>
      <c r="F1310" s="4" t="s">
        <v>20</v>
      </c>
      <c r="G1310" s="4" t="s">
        <v>524</v>
      </c>
      <c r="H1310" s="3" t="s">
        <v>5788</v>
      </c>
      <c r="I1310" s="3" t="s">
        <v>5789</v>
      </c>
      <c r="J1310" s="4">
        <v>13.52</v>
      </c>
      <c r="K1310" s="4">
        <v>28.0</v>
      </c>
      <c r="L1310" s="3" t="s">
        <v>5587</v>
      </c>
      <c r="M1310" s="3" t="s">
        <v>5790</v>
      </c>
      <c r="N1310" s="7" t="str">
        <f>IFERROR(__xludf.DUMMYFUNCTION("GOOGLETRANSLATE(L1310, ""en"", ""pt"")"),"Processadores de Ostras")</f>
        <v>Processadores de Ostras</v>
      </c>
      <c r="O1310" s="7" t="str">
        <f>IFERROR(__xludf.DUMMYFUNCTION("IF(M1310="""","""",GOOGLETRANSLATE(M1310,""en"",""pt""))"),"Código SOC: 51-3022 — Cortadores e Aparadores de Carne, Aves e Peixes • Limpar e abrir ostras • Separar a carne por tamanho/qualidade • Preparar frutos do mar para venda no atacado/varejo • Limpar e higienizar áreas de trabalho e equipamentos • Manter a c"&amp;"onformidade com as normas de segurança alimentar Código SOC: 53-7064 — Embaladores e Operadores de Embalagens Manuais • Pesar, contar e medir o produto • Colocar frutos do mar em recipientes • Selar, colocar gelo e embalar os produtos • Montar caixas Códi"&amp;"go SOC: 53-7062 — Operários e Movimentadores de Carga, Estoque e Materiais Manuais • Mover, despejar e distribuir o produto • Realizar trabalhos no cais • Retirar ostras de barcos ou caminhões • Carregar produtos acabados em caminhões • Usar equipamentos "&amp;"de movimentação de materiais (ocasionalmente) • Colocar o produto cru em mesas de processamento • Congelar e retirar ostras com pá Consulte o Adendo anexo Classificação de Cargos: 51-3022.00 - Cortadores e Aparadores de Carne, Aves e Peixes A classificaçã"&amp;"o de cargo/setor e A descrição inclui informações gerais sobre a posição, de acordo com o ONET/OES e o Sistema de Classificação Industrial da América do Norte (NAICS). Consulte as Funções e a Ordem de Serviço para obter mais informações. Requisitos da Vag"&amp;"a Experiência Necessária: Não Requisitos Especiais: Levantar/carregar até 23 kg. O empregador pagará o exame toxicológico após a contratação, em caso de suspeita. O empregador poderá realizar verificações legais relacionadas ao trabalho, incluindo consult"&amp;"as sobre antecedentes criminais, quando permitido pelas leis federais, estaduais e locais aplicáveis. Qualquer análise de antecedentes criminais será feita individualmente e as decisões de contratação serão tomadas de forma não discriminatória, em conform"&amp;"idade com as leis aplicáveis ​​e as necessidades da empresa. Não são permitidas doenças infecciosas; alergias a frutos do mar podem ser fatais. Número de Horas por Semana: 40 Horário de Trabalho (Início/Término): 6h às 14h")</f>
        <v>Código SOC: 51-3022 — Cortadores e Aparadores de Carne, Aves e Peixes • Limpar e abrir ostras • Separar a carne por tamanho/qualidade • Preparar frutos do mar para venda no atacado/varejo • Limpar e higienizar áreas de trabalho e equipamentos • Manter a conformidade com as normas de segurança alimentar Código SOC: 53-7064 — Embaladores e Operadores de Embalagens Manuais • Pesar, contar e medir o produto • Colocar frutos do mar em recipientes • Selar, colocar gelo e embalar os produtos • Montar caixas Código SOC: 53-7062 — Operários e Movimentadores de Carga, Estoque e Materiais Manuais • Mover, despejar e distribuir o produto • Realizar trabalhos no cais • Retirar ostras de barcos ou caminhões • Carregar produtos acabados em caminhões • Usar equipamentos de movimentação de materiais (ocasionalmente) • Colocar o produto cru em mesas de processamento • Congelar e retirar ostras com pá Consulte o Adendo anexo Classificação de Cargos: 51-3022.00 - Cortadores e Aparadores de Carne, Aves e Peixes A classificação de cargo/setor e A descrição inclui informações gerais sobre a posição, de acordo com o ONET/OES e o Sistema de Classificação Industrial da América do Norte (NAICS). Consulte as Funções e a Ordem de Serviço para obter mais informações. Requisitos da Vaga Experiência Necessária: Não Requisitos Especiais: Levantar/carregar até 23 kg. O empregador pagará o exame toxicológico após a contratação, em caso de suspeita. O empregador poderá realizar verificações legais relacionadas ao trabalho, incluindo consultas sobre antecedentes criminais, quando permitido pelas leis federais, estaduais e locais aplicáveis. Qualquer análise de antecedentes criminais será feita individualmente e as decisões de contratação serão tomadas de forma não discriminatória, em conformidade com as leis aplicáveis ​​e as necessidades da empresa. Não são permitidas doenças infecciosas; alergias a frutos do mar podem ser fatais. Número de Horas por Semana: 40 Horário de Trabalho (Início/Término): 6h às 14h</v>
      </c>
    </row>
    <row r="1311" ht="20.25" customHeight="1">
      <c r="A1311" s="8" t="s">
        <v>5791</v>
      </c>
      <c r="B1311" s="8" t="s">
        <v>5792</v>
      </c>
      <c r="C1311" s="8"/>
      <c r="D1311" s="8" t="s">
        <v>28</v>
      </c>
      <c r="E1311" s="9" t="s">
        <v>44</v>
      </c>
      <c r="F1311" s="9" t="s">
        <v>20</v>
      </c>
      <c r="G1311" s="9" t="s">
        <v>212</v>
      </c>
      <c r="H1311" s="8" t="s">
        <v>5793</v>
      </c>
      <c r="I1311" s="8" t="s">
        <v>5794</v>
      </c>
      <c r="J1311" s="9">
        <v>20.15</v>
      </c>
      <c r="K1311" s="9">
        <v>40.0</v>
      </c>
      <c r="L1311" s="8" t="s">
        <v>5795</v>
      </c>
      <c r="M1311" s="8" t="s">
        <v>5796</v>
      </c>
      <c r="N1311" s="7" t="str">
        <f>IFERROR(__xludf.DUMMYFUNCTION("GOOGLETRANSLATE(L1311, ""en"", ""pt"")"),"Trabalhadores temporários em fábrica de frutos do mar")</f>
        <v>Trabalhadores temporários em fábrica de frutos do mar</v>
      </c>
      <c r="O1311" s="7" t="str">
        <f>IFERROR(__xludf.DUMMYFUNCTION("IF(M1311="""","""",GOOGLETRANSLATE(M1311,""en"",""pt""))"),"A Dulac Oyster &amp; Seafood, LLC precisa de quarenta (40) trabalhadores sazonais para a nossa fábrica de processamento de ostras, localizada em 4310 Grand Caillou Road, Houma, Louisiana 70363, na Paróquia de Terrebonne, durante a temporada de ostras. Início:"&amp;" 1º de outubro de 2026 a 1º de junho de 2027. Os trabalhadores trabalharão 40 horas por semana em regime de turnos rotativos. Não há previsão de horas extras. Pagamento semanal. Funções: Os trabalhadores receberão, selecionarão, inspecionarão, limparão, p"&amp;"rocessarão, abrirão, embalarão e prepararão ostras para distribuição comercial. Os trabalhadores selecionarão as ostras vivas recebidas por tamanho, condição da concha, cor, qualidade e comercialização, utilizando mesas de classificação, esteiras vibratór"&amp;"ias, mesas vibratórias ou manualmente. Os trabalhadores selecionados abrirão as ostras utilizando facas para ostras e outras ferramentas manuais, mantendo a qualidade do produto e minimizando o desperdício. Os funcionários lavarão, esfregarão, enxaguarão "&amp;"e limparão ostras e conchas de ostras usando mangueiras de água de alta pressão, tambores rotativos, escovas e outros equipamentos de limpeza para remover lama, algas e detritos. Os funcionários inspecionarão, apararão, enxaguarão e prepararão a carne da "&amp;"ostra para embalagem, mantendo os padrões de segurança alimentar, higiene e controle de qualidade. Os funcionários pesarão, selarão a vácuo, embalarão, colocarão gelo, etiquetarão e prepararão os produtos de ostra acabados para envio a restaurantes, ataca"&amp;"distas, varejistas, distribuidores, fabricantes e outros clientes comerciais. Os funcionários carregarão, descarregarão, movimentarão, empilharão e transportarão ostras, materiais de embalagem, recipientes, gelo e suprimentos por toda a unidade de process"&amp;"amento usando carrinhos de mão, paleteiras, carrinhos de transporte e equipamentos similares de movimentação de materiais. Os funcionários limparão e higienizarão as estações de trabalho, sistemas de esteiras, mesas de processamento, ferramentas, equipame"&amp;"ntos, recipientes e áreas de produção ao longo de cada dia de trabalho. Os funcionários devem executar as tarefas atribuídas de acordo com os procedimentos de segurança do empregador e os requisitos aplicáveis ​​de segurança alimentar e higiene. O trabalh"&amp;"o é realizado em ambiente interno, frio, úmido e com alta umidade, típico de uma fábrica de processamento de frutos do mar, e exige longos períodos em pé, movimentos repetitivos das mãos, flexão, alcance, levantamento, transporte, empurrar, puxar e manuse"&amp;"io eficiente de produtos de frutos do mar durante toda a jornada de trabalho. Todos os descontos exigidos por lei serão feitos nos contracheques dos trabalhadores. O empregador utilizará uma semana de trabalho como padrão para o cálculo dos salários devid"&amp;"os. O salário oferecido aos trabalhadores com visto H-2B, trabalhadores americanos e todos os demais trabalhadores em empregos similares será igual ou superior ao maior salário aplicável, incluindo o salário vigente ou o salário mínimo federal, estadual o"&amp;"u local aplicável, conforme exigido por lei. O empregador garante oferecer trabalho por um número de horas equivalente a pelo menos três quartos (3/4) dos dias úteis em cada período de 12 semanas do período total de emprego, conforme exigido pela norma 20"&amp;" CFR 655.20(f). Os trabalhadores com visto H-2B serão reembolsados ​​durante a primeira semana de trabalho por todas as taxas de processamento de visto, taxas de travessia de fronteira e outras taxas exigidas pelo governo, exceto taxas de passaporte, de a"&amp;"cordo com 20 CFR 655.20(j)(1)(i). O transporte e a subsistência do local de onde o trabalhador vem para trabalhar para o empregador serão fornecidos ou reembolsados ​​durante a primeira semana de trabalho para trabalhadores com visto H-2B e trabalhadores "&amp;"americanos que não se deslocam diariamente para o trabalho, incluindo refeições e hospedagem quando necessário, conforme exigido por 20 CFR 655.20(j)(1)(i). Ao término do contrato de trabalho, ou caso o trabalhador seja dispensado antecipadamente, o empre"&amp;"gador fornecerá ou pagará os custos razoáveis ​​de transporte de retorno e subsistência diária do trabalhador para o local de onde ele partiu originalmente para trabalhar para o empregador ou para o próximo empregador certificado H-2B do trabalhador, quan"&amp;"do aplicável, de acordo com 20 CFR 655.20(j)(1)(ii). O empregador não pagará transporte de retorno nem subsistência para trabalhadores que abandonarem o emprego voluntariamente ou forem demitidos por justa causa, de acordo com as normas aplicáveis. Classi"&amp;"ficação da vaga: 45-2041.00 - Classificadores e Selecionadores de Produtos Agrícolas. A classificação e descrição da vaga/setor inclui informações gerais sobre o cargo, conforme o ONET/OES e o Sistema de Classificação Industrial da América do Norte (NAICS"&amp;"). Consulte as Funções e a Ordem de Serviço para obter mais informações. Requisitos da vaga: Experiência exigida: Sim. Meses de experiência exigidos: 3. Requisitos especiais: Os candidatos devem possuir no mínimo três (3) meses de experiência comprovada e"&amp;"m processamento de frutos do mar. Não é exigida escolaridade. Os trabalhadores devem ter disponibilidade para trabalhar em turnos rotativos, incluindo diurnos, vespertinos, noturnos e de fim de semana, conforme designado. A jornada de trabalho normal cons"&amp;"iste em aproximadamente 40 horas semanais, com turnos rotativos de segunda a sexta-feira (das 6h às 14h, das 14h às 22h ou das 22h às 6h) e sábados em turnos rotativos de cinco horas (das 6h às 11h, das 11h às 16h, das 16h às 21h, das 21h às 2h ou das 2h "&amp;"às 7h). Os funcionários devem ser capazes de permanecer em pé por longos períodos e realizar movimentos repetitivos com as mãos, além de se curvar, alcançar, levantar, carregar, empurrar e puxar durante o desempenho das funções atribuídas. O trabalho é re"&amp;"alizado em ambiente interno, frio, úmido e com alta umidade, típico de uma fábrica de processamento de frutos do mar. O empregador fornecerá, sem custos ou depósitos, todas as ferramentas, suprimentos, equipamentos, uniformes e equipamentos de proteção in"&amp;"dividual necessários para a execução do trabalho, incluindo luvas impermeáveis, botas impermeáveis, aventais, toucas, roupas de proteção, protetores auriculares (quando necessário) e quaisquer outros equipamentos de segurança indispensáveis ​​para o desem"&amp;"penho seguro das funções atribuídas. Todos os trabalhadores contratados, incluindo trabalhadores com visto H-2B e aqueles em empregos similares, deverão preencher o Formulário I-9, Verificação de Elegibilidade para Emprego, e apresentar documentação que c"&amp;"omprove sua identidade e autorização para trabalhar nos Estados Unidos, conforme exigido pela legislação federal. Número de horas semanais: 40. Horário de trabalho (início/término): 14h às 22h.")</f>
        <v>A Dulac Oyster &amp; Seafood, LLC precisa de quarenta (40) trabalhadores sazonais para a nossa fábrica de processamento de ostras, localizada em 4310 Grand Caillou Road, Houma, Louisiana 70363, na Paróquia de Terrebonne, durante a temporada de ostras. Início: 1º de outubro de 2026 a 1º de junho de 2027. Os trabalhadores trabalharão 40 horas por semana em regime de turnos rotativos. Não há previsão de horas extras. Pagamento semanal. Funções: Os trabalhadores receberão, selecionarão, inspecionarão, limparão, processarão, abrirão, embalarão e prepararão ostras para distribuição comercial. Os trabalhadores selecionarão as ostras vivas recebidas por tamanho, condição da concha, cor, qualidade e comercialização, utilizando mesas de classificação, esteiras vibratórias, mesas vibratórias ou manualmente. Os trabalhadores selecionados abrirão as ostras utilizando facas para ostras e outras ferramentas manuais, mantendo a qualidade do produto e minimizando o desperdício. Os funcionários lavarão, esfregarão, enxaguarão e limparão ostras e conchas de ostras usando mangueiras de água de alta pressão, tambores rotativos, escovas e outros equipamentos de limpeza para remover lama, algas e detritos. Os funcionários inspecionarão, apararão, enxaguarão e prepararão a carne da ostra para embalagem, mantendo os padrões de segurança alimentar, higiene e controle de qualidade. Os funcionários pesarão, selarão a vácuo, embalarão, colocarão gelo, etiquetarão e prepararão os produtos de ostra acabados para envio a restaurantes, atacadistas, varejistas, distribuidores, fabricantes e outros clientes comerciais. Os funcionários carregarão, descarregarão, movimentarão, empilharão e transportarão ostras, materiais de embalagem, recipientes, gelo e suprimentos por toda a unidade de processamento usando carrinhos de mão, paleteiras, carrinhos de transporte e equipamentos similares de movimentação de materiais. Os funcionários limparão e higienizarão as estações de trabalho, sistemas de esteiras, mesas de processamento, ferramentas, equipamentos, recipientes e áreas de produção ao longo de cada dia de trabalho. Os funcionários devem executar as tarefas atribuídas de acordo com os procedimentos de segurança do empregador e os requisitos aplicáveis ​​de segurança alimentar e higiene. O trabalho é realizado em ambiente interno, frio, úmido e com alta umidade, típico de uma fábrica de processamento de frutos do mar, e exige longos períodos em pé, movimentos repetitivos das mãos, flexão, alcance, levantamento, transporte, empurrar, puxar e manuseio eficiente de produtos de frutos do mar durante toda a jornada de trabalho. Todos os descontos exigidos por lei serão feitos nos contracheques dos trabalhadores. O empregador utilizará uma semana de trabalho como padrão para o cálculo dos salários devidos. O salário oferecido aos trabalhadores com visto H-2B, trabalhadores americanos e todos os demais trabalhadores em empregos similares será igual ou superior ao maior salário aplicável, incluindo o salário vigente ou o salário mínimo federal, estadual ou local aplicável, conforme exigido por lei. O empregador garante oferecer trabalho por um número de horas equivalente a pelo menos três quartos (3/4) dos dias úteis em cada período de 12 semanas do período total de emprego, conforme exigido pela norma 20 CFR 655.20(f). Os trabalhadores com visto H-2B serão reembolsados ​​durante a primeira semana de trabalho por todas as taxas de processamento de visto, taxas de travessia de fronteira e outras taxas exigidas pelo governo, exceto taxas de passaporte, de acordo com 20 CFR 655.20(j)(1)(i). O transporte e a subsistência do local de onde o trabalhador vem para trabalhar para o empregador serão fornecidos ou reembolsados ​​durante a primeira semana de trabalho para trabalhadores com visto H-2B e trabalhadores americanos que não se deslocam diariamente para o trabalho, incluindo refeições e hospedagem quando necessário, conforme exigido por 20 CFR 655.20(j)(1)(i). Ao término do contrato de trabalho, ou caso o trabalhador seja dispensado antecipadamente, o empregador fornecerá ou pagará os custos razoáveis ​​de transporte de retorno e subsistência diária do trabalhador para o local de onde ele partiu originalmente para trabalhar para o empregador ou para o próximo empregador certificado H-2B do trabalhador, quando aplicável, de acordo com 20 CFR 655.20(j)(1)(ii). O empregador não pagará transporte de retorno nem subsistência para trabalhadores que abandonarem o emprego voluntariamente ou forem demitidos por justa causa, de acordo com as normas aplicáveis. Classificação da vaga: 45-2041.00 - Classificadores e Selecionadores de Produtos Agrícolas. A classificação e descrição da vaga/setor inclui informações gerais sobre o cargo, conforme o ONET/OES e o Sistema de Classificação Industrial da América do Norte (NAICS). Consulte as Funções e a Ordem de Serviço para obter mais informações. Requisitos da vaga: Experiência exigida: Sim. Meses de experiência exigidos: 3. Requisitos especiais: Os candidatos devem possuir no mínimo três (3) meses de experiência comprovada em processamento de frutos do mar. Não é exigida escolaridade. Os trabalhadores devem ter disponibilidade para trabalhar em turnos rotativos, incluindo diurnos, vespertinos, noturnos e de fim de semana, conforme designado. A jornada de trabalho normal consiste em aproximadamente 40 horas semanais, com turnos rotativos de segunda a sexta-feira (das 6h às 14h, das 14h às 22h ou das 22h às 6h) e sábados em turnos rotativos de cinco horas (das 6h às 11h, das 11h às 16h, das 16h às 21h, das 21h às 2h ou das 2h às 7h). Os funcionários devem ser capazes de permanecer em pé por longos períodos e realizar movimentos repetitivos com as mãos, além de se curvar, alcançar, levantar, carregar, empurrar e puxar durante o desempenho das funções atribuídas. O trabalho é realizado em ambiente interno, frio, úmido e com alta umidade, típico de uma fábrica de processamento de frutos do mar. O empregador fornecerá, sem custos ou depósitos, todas as ferramentas, suprimentos, equipamentos, uniformes e equipamentos de proteção individual necessários para a execução do trabalho, incluindo luvas impermeáveis, botas impermeáveis, aventais, toucas, roupas de proteção, protetores auriculares (quando necessário) e quaisquer outros equipamentos de segurança indispensáveis ​​para o desempenho seguro das funções atribuídas. Todos os trabalhadores contratados, incluindo trabalhadores com visto H-2B e aqueles em empregos similares, deverão preencher o Formulário I-9, Verificação de Elegibilidade para Emprego, e apresentar documentação que comprove sua identidade e autorização para trabalhar nos Estados Unidos, conforme exigido pela legislação federal. Número de horas semanais: 40. Horário de trabalho (início/término): 14h às 22h.</v>
      </c>
    </row>
    <row r="1312" ht="20.25" customHeight="1">
      <c r="A1312" s="3" t="s">
        <v>5797</v>
      </c>
      <c r="B1312" s="3" t="s">
        <v>5798</v>
      </c>
      <c r="C1312" s="3" t="s">
        <v>5799</v>
      </c>
      <c r="D1312" s="3" t="s">
        <v>36</v>
      </c>
      <c r="E1312" s="4" t="s">
        <v>19</v>
      </c>
      <c r="F1312" s="4" t="s">
        <v>20</v>
      </c>
      <c r="G1312" s="4" t="s">
        <v>5800</v>
      </c>
      <c r="H1312" s="3" t="s">
        <v>5801</v>
      </c>
      <c r="I1312" s="3" t="s">
        <v>5802</v>
      </c>
      <c r="J1312" s="4">
        <v>21.3</v>
      </c>
      <c r="K1312" s="4">
        <v>4.0</v>
      </c>
      <c r="L1312" s="3" t="s">
        <v>5803</v>
      </c>
      <c r="M1312" s="3" t="s">
        <v>5804</v>
      </c>
      <c r="N1312" s="7" t="str">
        <f>IFERROR(__xludf.DUMMYFUNCTION("GOOGLETRANSLATE(L1312, ""en"", ""pt"")"),"Mestres Gravadores")</f>
        <v>Mestres Gravadores</v>
      </c>
      <c r="O1312" s="7" t="str">
        <f>IFERROR(__xludf.DUMMYFUNCTION("IF(M1312="""","""",GOOGLETRANSLATE(M1312,""en"",""pt""))"),"Habilidade para entalhar desenhos detalhados em metal, utilizando metais preciosos como prata e ouro (90% prata/ouro, 10% bronze para joalheria). Os desenhos são entalhados manualmente com uma ferramenta de aço de alta qualidade chamada buril. O buril é p"&amp;"ressionado manualmente para criar o(s) desenho(s) desejado(s) no metal. Habilidade para operar máquina pneumática de fundo para criar o acabamento fosco em fivelas. Habilidade para desenhar e elaborar arabescos necessários antes da gravação das peças. Cla"&amp;"ssificação da Função: 51-9194.00 - Gravadores e Entalhadores. A classificação e descrição da função/indústria incluem informações gerais sobre o cargo, de acordo com o ONET/OES e o Sistema de Classificação Industrial da América do Norte. Consulte as Funçõ"&amp;"es e a Ordem de Serviço para obter mais informações. Requisitos da Função: Experiência Necessária: Sim. Meses de Experiência Necessária: 6. Número de Horas por Semana: 40. Horário de Trabalho (Início/Término): 7h às 16h.")</f>
        <v>Habilidade para entalhar desenhos detalhados em metal, utilizando metais preciosos como prata e ouro (90% prata/ouro, 10% bronze para joalheria). Os desenhos são entalhados manualmente com uma ferramenta de aço de alta qualidade chamada buril. O buril é pressionado manualmente para criar o(s) desenho(s) desejado(s) no metal. Habilidade para operar máquina pneumática de fundo para criar o acabamento fosco em fivelas. Habilidade para desenhar e elaborar arabescos necessários antes da gravação das peças. Classificação da Função: 51-9194.00 - Gravadores e Entalhadores. A classificação e descrição da função/indústria incluem informações gerais sobre o cargo, de acordo com o ONET/OES e o Sistema de Classificação Industrial da América do Norte. Consulte as Funções e a Ordem de Serviço para obter mais informações. Requisitos da Função: Experiência Necessária: Sim. Meses de Experiência Necessária: 6. Número de Horas por Semana: 40. Horário de Trabalho (Início/Término): 7h às 16h.</v>
      </c>
    </row>
    <row r="1313" ht="20.25" customHeight="1">
      <c r="A1313" s="8" t="s">
        <v>5805</v>
      </c>
      <c r="B1313" s="8" t="s">
        <v>5806</v>
      </c>
      <c r="C1313" s="8" t="s">
        <v>4247</v>
      </c>
      <c r="D1313" s="8" t="s">
        <v>55</v>
      </c>
      <c r="E1313" s="9" t="s">
        <v>44</v>
      </c>
      <c r="F1313" s="9" t="s">
        <v>20</v>
      </c>
      <c r="G1313" s="9" t="s">
        <v>118</v>
      </c>
      <c r="H1313" s="8" t="s">
        <v>5807</v>
      </c>
      <c r="I1313" s="8" t="s">
        <v>5808</v>
      </c>
      <c r="J1313" s="9">
        <v>25.52</v>
      </c>
      <c r="K1313" s="9">
        <v>33.0</v>
      </c>
      <c r="L1313" s="8" t="s">
        <v>4250</v>
      </c>
      <c r="M1313" s="8" t="s">
        <v>5809</v>
      </c>
      <c r="N1313" s="7" t="str">
        <f>IFERROR(__xludf.DUMMYFUNCTION("GOOGLETRANSLATE(L1313, ""en"", ""pt"")"),"49-9098: Ajudantes — Trabalhos de instalação, manutenção e reparo")</f>
        <v>49-9098: Ajudantes — Trabalhos de instalação, manutenção e reparo</v>
      </c>
      <c r="O1313" s="7" t="str">
        <f>IFERROR(__xludf.DUMMYFUNCTION("IF(M1313="""","""",GOOGLETRANSLATE(M1313,""en"",""pt""))"),"***2ª resposta à RFI*** Tarefas executadas em veículos: Limpeza. Ferramentas utilizadas: Pode-se usar vassoura, pano e sabão. Tarefas executadas em máquinas industriais. Para esclarecer, as máquinas industriais incluem brinquedos de parques de diversões, "&amp;"trailers de venda de alimentos e equipamentos relacionados. Substituição de peças defeituosas ou desgastadas, como lâmpadas, interruptores, correias e mangueiras. Lixar, raspar e limpar superfícies e estruturas para manter a aparência e evitar ferrugem ou"&amp;" deterioração. Ferramentas utilizadas: Pode-se usar as seguintes ferramentas, equipamentos e materiais ao executar as tarefas atribuídas: Chaves de boca, jogos de soquetes e catracas, chaves de fenda, alicates, martelos, alavancas, trena, chaves ajustávei"&amp;"s, lixa, lápis e luvas. Serão utilizadas escadas, aspiradores de pó e equipamentos e suprimentos de limpeza, como esponjas, panos e sabão. Tarefas executadas em equipamentos elétricos e eletrônicos. Para esclarecer, os equipamentos elétricos e eletrônicos"&amp;" nos quais será trabalhado incluem os sistemas de som e as caixas de controle presentes nos brinquedos de parques de diversões. As tarefas incluem a limpeza de poeira e detritos que possam ter se acumulado no sistema, a substituição de lâmpadas e a coloca"&amp;"ção de abraçadeiras ou fixadores similares na fiação. Ferramentas: Podem ser utilizadas as seguintes ferramentas, equipamentos e materiais para a execução das tarefas: chaves, conjuntos de soquetes e catracas, chaves de fenda, alicates, martelos, alavanca"&amp;"s, trena, chaves ajustáveis, lixa, latas de ar comprimido, lápis e luvas. Serão utilizadas escadas, aspiradores de pó e equipamentos e materiais de limpeza, como esponjas, panos e sabão. ***1ª resposta à RFI*** Tarefas específicas e ferramentas utilizadas"&amp;" para a execução dessas tarefas: Os trabalhadores auxiliarão na montagem, inspeção e desmontagem para reparo e reforma de brinquedos de parques de diversões, trailers de alimentação e equipamentos relacionados. Substituirão peças defeituosas ou desgastada"&amp;"s, como lâmpadas, interruptores, correias e mangueiras. Lixarão, rasparão e limparão superfícies e estruturas para manter a aparência e evitar ferrugem ou deterioração. Verificarão e substituirão lâmpadas, soquetes, fusíveis e luminárias conforme necessár"&amp;"io. Limpar e manter as áreas de trabalho. Os trabalhadores podem usar as seguintes ferramentas, equipamentos e materiais ao executar as tarefas atribuídas: chaves, conjuntos de soquetes e catracas, chaves de fenda, alicates, martelos, alavancas, trena, ch"&amp;"aves ajustáveis, lixa, lápis e luvas. Eles usarão escadas, aspiradores de pó e equipamentos e suprimentos de limpeza, como esponjas, panos e sabão. Nenhum trabalho será realizado em veículos, máquinas industriais ou equipamentos elétricos e eletrônicos. N"&amp;"enhum trabalho será realizado em motores a diesel. ***Original*** Auxiliar os trabalhadores de instalação, manutenção e reparo na manutenção, substituição de peças e reparo de veículos, máquinas industriais e equipamentos elétricos e eletrônicos. Executar"&amp;" tarefas como fornecer ferramentas, materiais e suprimentos para outros trabalhadores; limpar a área de trabalho, máquinas e ferramentas; e segurar materiais ou ferramentas para outros trabalhadores. Classificação do Cargo: 49-9071.00 - Trabalhadores de M"&amp;"anutenção e Reparo, Geral. A classificação e descrição do cargo/setor inclui informações gerais sobre a posição da ONET/OES e do Sistema de Classificação Industrial da América do Norte. Consulte as Funções do Cargo e a Ordem de Serviço para obter mais inf"&amp;"ormações. Requisitos da vaga Experiência necessária: Não Requisitos especiais: Testes aleatórios de drogas e verificação de antecedentes criminais após a contratação poderão ser exigidos, sem custo para o trabalhador. A vaga exige que o candidato seja qua"&amp;"lificado, esteja pronto, disposto, apto e disponível para desempenhar as funções durante todo o período de emprego no local de trabalho designado; para firmar e cumprir o contrato de trabalho; e para seguir as normas da empresa. Número de horas por semana"&amp;": 35 Horário de trabalho (início/término): 8h às 16h")</f>
        <v>***2ª resposta à RFI*** Tarefas executadas em veículos: Limpeza. Ferramentas utilizadas: Pode-se usar vassoura, pano e sabão. Tarefas executadas em máquinas industriais. Para esclarecer, as máquinas industriais incluem brinquedos de parques de diversões, trailers de venda de alimentos e equipamentos relacionados. Substituição de peças defeituosas ou desgastadas, como lâmpadas, interruptores, correias e mangueiras. Lixar, raspar e limpar superfícies e estruturas para manter a aparência e evitar ferrugem ou deterioração. Ferramentas utilizadas: Pode-se usar as seguintes ferramentas, equipamentos e materiais ao executar as tarefas atribuídas: Chaves de boca, jogos de soquetes e catracas, chaves de fenda, alicates, martelos, alavancas, trena, chaves ajustáveis, lixa, lápis e luvas. Serão utilizadas escadas, aspiradores de pó e equipamentos e suprimentos de limpeza, como esponjas, panos e sabão. Tarefas executadas em equipamentos elétricos e eletrônicos. Para esclarecer, os equipamentos elétricos e eletrônicos nos quais será trabalhado incluem os sistemas de som e as caixas de controle presentes nos brinquedos de parques de diversões. As tarefas incluem a limpeza de poeira e detritos que possam ter se acumulado no sistema, a substituição de lâmpadas e a colocação de abraçadeiras ou fixadores similares na fiação. Ferramentas: Podem ser utilizadas as seguintes ferramentas, equipamentos e materiais para a execução das tarefas: chaves, conjuntos de soquetes e catracas, chaves de fenda, alicates, martelos, alavancas, trena, chaves ajustáveis, lixa, latas de ar comprimido, lápis e luvas. Serão utilizadas escadas, aspiradores de pó e equipamentos e materiais de limpeza, como esponjas, panos e sabão. ***1ª resposta à RFI*** Tarefas específicas e ferramentas utilizadas para a execução dessas tarefas: Os trabalhadores auxiliarão na montagem, inspeção e desmontagem para reparo e reforma de brinquedos de parques de diversões, trailers de alimentação e equipamentos relacionados. Substituirão peças defeituosas ou desgastadas, como lâmpadas, interruptores, correias e mangueiras. Lixarão, rasparão e limparão superfícies e estruturas para manter a aparência e evitar ferrugem ou deterioração. Verificarão e substituirão lâmpadas, soquetes, fusíveis e luminárias conforme necessário. Limpar e manter as áreas de trabalho. Os trabalhadores podem usar as seguintes ferramentas, equipamentos e materiais ao executar as tarefas atribuídas: chaves, conjuntos de soquetes e catracas, chaves de fenda, alicates, martelos, alavancas, trena, chaves ajustáveis, lixa, lápis e luvas. Eles usarão escadas, aspiradores de pó e equipamentos e suprimentos de limpeza, como esponjas, panos e sabão. Nenhum trabalho será realizado em veículos, máquinas industriais ou equipamentos elétricos e eletrônicos. Nenhum trabalho será realizado em motores a diesel. ***Original*** Auxiliar os trabalhadores de instalação, manutenção e reparo na manutenção, substituição de peças e reparo de veículos, máquinas industriais e equipamentos elétricos e eletrônicos. Executar tarefas como fornecer ferramentas, materiais e suprimentos para outros trabalhadores; limpar a área de trabalho, máquinas e ferramentas; e segurar materiais ou ferramentas para outros trabalhadores. Classificação do Cargo: 49-9071.00 - Trabalhadores de Manutenção e Reparo, Geral. A classificação e descrição do cargo/setor inclui informações gerais sobre a posição da ONET/OES e do Sistema de Classificação Industrial da América do Norte. Consulte as Funções do Cargo e a Ordem de Serviço para obter mais informações. Requisitos da vaga Experiência necessária: Não Requisitos especiais: Testes aleatórios de drogas e verificação de antecedentes criminais após a contratação poderão ser exigidos, sem custo para o trabalhador. A vaga exige que o candidato seja qualificado, esteja pronto, disposto, apto e disponível para desempenhar as funções durante todo o período de emprego no local de trabalho designado; para firmar e cumprir o contrato de trabalho; e para seguir as normas da empresa. Número de horas por semana: 35 Horário de trabalho (início/término): 8h às 16h</v>
      </c>
    </row>
    <row r="1314" ht="20.25" customHeight="1">
      <c r="A1314" s="3" t="s">
        <v>5810</v>
      </c>
      <c r="B1314" s="3" t="s">
        <v>5811</v>
      </c>
      <c r="C1314" s="3" t="s">
        <v>4247</v>
      </c>
      <c r="D1314" s="3" t="s">
        <v>1297</v>
      </c>
      <c r="E1314" s="4" t="s">
        <v>19</v>
      </c>
      <c r="F1314" s="4" t="s">
        <v>20</v>
      </c>
      <c r="G1314" s="4" t="s">
        <v>369</v>
      </c>
      <c r="H1314" s="3" t="s">
        <v>5812</v>
      </c>
      <c r="I1314" s="3" t="s">
        <v>5813</v>
      </c>
      <c r="J1314" s="4">
        <v>23.47</v>
      </c>
      <c r="K1314" s="4">
        <v>10.0</v>
      </c>
      <c r="L1314" s="3" t="s">
        <v>4250</v>
      </c>
      <c r="M1314" s="3" t="s">
        <v>5814</v>
      </c>
      <c r="N1314" s="7" t="str">
        <f>IFERROR(__xludf.DUMMYFUNCTION("GOOGLETRANSLATE(L1314, ""en"", ""pt"")"),"49-9098: Ajudantes — Trabalhos de instalação, manutenção e reparo")</f>
        <v>49-9098: Ajudantes — Trabalhos de instalação, manutenção e reparo</v>
      </c>
      <c r="O1314" s="7" t="str">
        <f>IFERROR(__xludf.DUMMYFUNCTION("IF(M1314="""","""",GOOGLETRANSLATE(M1314,""en"",""pt""))"),"***2ª resposta à RFI*** Tarefas executadas em veículos: Limpeza. Ferramentas utilizadas: Pode-se usar vassoura, pano e sabão. Tarefas executadas em máquinas industriais. Para esclarecer, as máquinas industriais incluem brinquedos de parques de diversões, "&amp;"trailers de venda de alimentos e equipamentos relacionados. Substituição de peças defeituosas ou desgastadas, como lâmpadas, interruptores, correias e mangueiras. Lixar, raspar e limpar superfícies e estruturas para manter a aparência e evitar ferrugem ou"&amp;" deterioração. Ferramentas utilizadas: Pode-se usar as seguintes ferramentas, equipamentos e materiais ao executar as tarefas atribuídas: Chaves de boca, jogos de soquetes e catracas, chaves de fenda, alicates, martelos, alavancas, trena, chaves ajustávei"&amp;"s, lixa, lápis e luvas. Serão utilizadas escadas, aspiradores de pó e equipamentos e suprimentos de limpeza, como esponjas, panos e sabão. Tarefas executadas em equipamentos elétricos e eletrônicos. Para esclarecer, os equipamentos elétricos e eletrônicos"&amp;" nos quais será trabalhado incluem os sistemas de som e as caixas de controle presentes nos brinquedos de parques de diversões. As tarefas incluem a limpeza de poeira e detritos que possam ter se acumulado no sistema, a substituição de lâmpadas e a coloca"&amp;"ção de abraçadeiras ou fixadores similares na fiação. Ferramentas: Podem ser utilizadas as seguintes ferramentas, equipamentos e materiais para a execução das tarefas: chaves, conjuntos de soquetes e catracas, chaves de fenda, alicates, martelos, alavanca"&amp;"s, trena, chaves ajustáveis, lixa, latas de ar comprimido, lápis e luvas. Serão utilizadas escadas, aspiradores de pó e equipamentos e materiais de limpeza, como esponjas, panos e sabão. ***1ª resposta à RFI*** Tarefas específicas e ferramentas utilizadas"&amp;" para a execução dessas tarefas: Os trabalhadores auxiliarão na montagem, inspeção e desmontagem para reparo e reforma de brinquedos de parques de diversões, trailers de alimentação e equipamentos relacionados. Substituirão peças defeituosas ou desgastada"&amp;"s, como lâmpadas, interruptores, correias e mangueiras. Lixarão, rasparão e limparão superfícies e estruturas para manter a aparência e evitar ferrugem ou deterioração. Verificarão e substituirão lâmpadas, soquetes, fusíveis e luminárias conforme necessár"&amp;"io. Limpar e manter as áreas de trabalho. Os trabalhadores podem usar as seguintes ferramentas, equipamentos e materiais ao executar as tarefas atribuídas: chaves, conjuntos de soquetes e catracas, chaves de fenda, alicates, martelos, alavancas, trena, ch"&amp;"aves ajustáveis, lixa, lápis e luvas. Eles usarão escadas, aspiradores de pó e equipamentos e suprimentos de limpeza, como esponjas, panos e sabão. Não serão realizados serviços em veículos, máquinas industriais ou equipamentos elétricos e eletrônicos, ap"&amp;"enas em brinquedos de parques de diversões, trailers de concessão de alimentos e equipamentos relacionados. Nenhum trabalho será realizado em motores a diesel. O trabalho será realizado no ""Quartel de Inverno"" do parque de diversões, onde os equipamento"&amp;"s são estacionados quando não estão em operação. ***Original*** Auxiliar os trabalhadores de instalação, manutenção e reparo na manutenção, substituição de peças e reparo de veículos, máquinas industriais e equipamentos elétricos e eletrônicos. Executar t"&amp;"arefas como fornecer ferramentas, materiais e suprimentos para outros trabalhadores; limpar a área de trabalho, máquinas e ferramentas; e segurar materiais ou ferramentas para outros trabalhadores. Classificação da Função: 49-9071.00 - Trabalhadores de Ma"&amp;"nutenção e Reparo, Geral. A classificação e descrição da função/setor inclui informações gerais sobre o cargo, conforme o ONET/OES e o Sistema de Classificação Industrial da América do Norte (NAICS). Consulte as Funções e a Ordem de Serviço para obter mai"&amp;"s informações. Requisitos da Função Experiência Necessária: Não. Requisitos Especiais: Testes aleatórios de drogas e verificação de antecedentes criminais após a contratação podem ser exigidos, sem custo para o trabalhador. A função exige que o candidato "&amp;"seja qualificado, esteja pronto, disposto, apto e disponível para desempenhar suas funções durante todo o período de emprego no local de trabalho designado; para firmar e cumprir o contrato de trabalho; e para seguir as normas do local de trabalho. Número"&amp;" de Horas por Semana: 35. Horário de Trabalho (Início/Término): 8h às 16h.")</f>
        <v>***2ª resposta à RFI*** Tarefas executadas em veículos: Limpeza. Ferramentas utilizadas: Pode-se usar vassoura, pano e sabão. Tarefas executadas em máquinas industriais. Para esclarecer, as máquinas industriais incluem brinquedos de parques de diversões, trailers de venda de alimentos e equipamentos relacionados. Substituição de peças defeituosas ou desgastadas, como lâmpadas, interruptores, correias e mangueiras. Lixar, raspar e limpar superfícies e estruturas para manter a aparência e evitar ferrugem ou deterioração. Ferramentas utilizadas: Pode-se usar as seguintes ferramentas, equipamentos e materiais ao executar as tarefas atribuídas: Chaves de boca, jogos de soquetes e catracas, chaves de fenda, alicates, martelos, alavancas, trena, chaves ajustáveis, lixa, lápis e luvas. Serão utilizadas escadas, aspiradores de pó e equipamentos e suprimentos de limpeza, como esponjas, panos e sabão. Tarefas executadas em equipamentos elétricos e eletrônicos. Para esclarecer, os equipamentos elétricos e eletrônicos nos quais será trabalhado incluem os sistemas de som e as caixas de controle presentes nos brinquedos de parques de diversões. As tarefas incluem a limpeza de poeira e detritos que possam ter se acumulado no sistema, a substituição de lâmpadas e a colocação de abraçadeiras ou fixadores similares na fiação. Ferramentas: Podem ser utilizadas as seguintes ferramentas, equipamentos e materiais para a execução das tarefas: chaves, conjuntos de soquetes e catracas, chaves de fenda, alicates, martelos, alavancas, trena, chaves ajustáveis, lixa, latas de ar comprimido, lápis e luvas. Serão utilizadas escadas, aspiradores de pó e equipamentos e materiais de limpeza, como esponjas, panos e sabão. ***1ª resposta à RFI*** Tarefas específicas e ferramentas utilizadas para a execução dessas tarefas: Os trabalhadores auxiliarão na montagem, inspeção e desmontagem para reparo e reforma de brinquedos de parques de diversões, trailers de alimentação e equipamentos relacionados. Substituirão peças defeituosas ou desgastadas, como lâmpadas, interruptores, correias e mangueiras. Lixarão, rasparão e limparão superfícies e estruturas para manter a aparência e evitar ferrugem ou deterioração. Verificarão e substituirão lâmpadas, soquetes, fusíveis e luminárias conforme necessário. Limpar e manter as áreas de trabalho. Os trabalhadores podem usar as seguintes ferramentas, equipamentos e materiais ao executar as tarefas atribuídas: chaves, conjuntos de soquetes e catracas, chaves de fenda, alicates, martelos, alavancas, trena, chaves ajustáveis, lixa, lápis e luvas. Eles usarão escadas, aspiradores de pó e equipamentos e suprimentos de limpeza, como esponjas, panos e sabão. Não serão realizados serviços em veículos, máquinas industriais ou equipamentos elétricos e eletrônicos, apenas em brinquedos de parques de diversões, trailers de concessão de alimentos e equipamentos relacionados. Nenhum trabalho será realizado em motores a diesel. O trabalho será realizado no "Quartel de Inverno" do parque de diversões, onde os equipamentos são estacionados quando não estão em operação. ***Original*** Auxiliar os trabalhadores de instalação, manutenção e reparo na manutenção, substituição de peças e reparo de veículos, máquinas industriais e equipamentos elétricos e eletrônicos. Executar tarefas como fornecer ferramentas, materiais e suprimentos para outros trabalhadores; limpar a área de trabalho, máquinas e ferramentas; e segurar materiais ou ferramentas para outros trabalhadores. Classificação da Função: 49-9071.00 - Trabalhadores de Manutenção e Reparo, Geral. A classificação e descrição da função/setor inclui informações gerais sobre o cargo, conforme o ONET/OES e o Sistema de Classificação Industrial da América do Norte (NAICS). Consulte as Funções e a Ordem de Serviço para obter mais informações. Requisitos da Função Experiência Necessária: Não. Requisitos Especiais: Testes aleatórios de drogas e verificação de antecedentes criminais após a contratação podem ser exigidos, sem custo para o trabalhador. A função exige que o candidato seja qualificado, esteja pronto, disposto, apto e disponível para desempenhar suas funções durante todo o período de emprego no local de trabalho designado; para firmar e cumprir o contrato de trabalho; e para seguir as normas do local de trabalho. Número de Horas por Semana: 35. Horário de Trabalho (Início/Término): 8h às 16h.</v>
      </c>
    </row>
    <row r="1315" ht="20.25" customHeight="1">
      <c r="A1315" s="8" t="s">
        <v>5815</v>
      </c>
      <c r="B1315" s="8" t="s">
        <v>5816</v>
      </c>
      <c r="C1315" s="8" t="s">
        <v>5563</v>
      </c>
      <c r="D1315" s="8" t="s">
        <v>36</v>
      </c>
      <c r="E1315" s="9" t="s">
        <v>19</v>
      </c>
      <c r="F1315" s="9" t="s">
        <v>20</v>
      </c>
      <c r="G1315" s="9" t="s">
        <v>524</v>
      </c>
      <c r="H1315" s="8" t="s">
        <v>5788</v>
      </c>
      <c r="I1315" s="8" t="s">
        <v>5789</v>
      </c>
      <c r="J1315" s="9">
        <v>13.52</v>
      </c>
      <c r="K1315" s="9">
        <v>27.0</v>
      </c>
      <c r="L1315" s="8" t="s">
        <v>105</v>
      </c>
      <c r="M1315" s="8" t="s">
        <v>5790</v>
      </c>
      <c r="N1315" s="7" t="str">
        <f>IFERROR(__xludf.DUMMYFUNCTION("GOOGLETRANSLATE(L1315, ""en"", ""pt"")"),"Abridores de Ostras")</f>
        <v>Abridores de Ostras</v>
      </c>
      <c r="O1315" s="7" t="str">
        <f>IFERROR(__xludf.DUMMYFUNCTION("IF(M1315="""","""",GOOGLETRANSLATE(M1315,""en"",""pt""))"),"Código SOC: 51-3022 — Cortadores e Aparadores de Carne, Aves e Peixes • Limpar e abrir ostras • Separar a carne por tamanho/qualidade • Preparar frutos do mar para venda no atacado/varejo • Limpar e higienizar áreas de trabalho e equipamentos • Manter a c"&amp;"onformidade com as normas de segurança alimentar Código SOC: 53-7064 — Embaladores e Operadores de Embalagens Manuais • Pesar, contar e medir o produto • Colocar frutos do mar em recipientes • Selar, colocar gelo e embalar os produtos • Montar caixas Códi"&amp;"go SOC: 53-7062 — Operários e Movimentadores de Carga, Estoque e Materiais Manuais • Mover, despejar e distribuir o produto • Realizar trabalhos no cais • Retirar ostras de barcos ou caminhões • Carregar produtos acabados em caminhões • Usar equipamentos "&amp;"de movimentação de materiais (ocasionalmente) • Colocar o produto cru em mesas de processamento • Congelar e retirar ostras com pá Consulte o Adendo anexo Classificação de Cargos: 51-3022.00 - Cortadores e Aparadores de Carne, Aves e Peixes A classificaçã"&amp;"o de cargo/setor e A descrição inclui informações gerais sobre a posição, de acordo com o ONET/OES e o Sistema de Classificação Industrial da América do Norte (NAICS). Consulte as Funções e a Ordem de Serviço para obter mais informações. Requisitos da Vag"&amp;"a Experiência Necessária: Não Requisitos Especiais: Levantar/carregar até 23 kg. O empregador pagará o exame toxicológico após a contratação, em caso de suspeita. O empregador poderá realizar verificações legais relacionadas ao trabalho, incluindo consult"&amp;"as sobre antecedentes criminais, quando permitido pelas leis federais, estaduais e locais aplicáveis. Qualquer análise de antecedentes criminais será feita individualmente e as decisões de contratação serão tomadas de forma não discriminatória, em conform"&amp;"idade com as leis aplicáveis ​​e as necessidades da empresa. Não são permitidas doenças infecciosas; alergias a frutos do mar podem ser fatais. Número de Horas por Semana: 40 Horário de Trabalho (Início/Término): 6h às 14h")</f>
        <v>Código SOC: 51-3022 — Cortadores e Aparadores de Carne, Aves e Peixes • Limpar e abrir ostras • Separar a carne por tamanho/qualidade • Preparar frutos do mar para venda no atacado/varejo • Limpar e higienizar áreas de trabalho e equipamentos • Manter a conformidade com as normas de segurança alimentar Código SOC: 53-7064 — Embaladores e Operadores de Embalagens Manuais • Pesar, contar e medir o produto • Colocar frutos do mar em recipientes • Selar, colocar gelo e embalar os produtos • Montar caixas Código SOC: 53-7062 — Operários e Movimentadores de Carga, Estoque e Materiais Manuais • Mover, despejar e distribuir o produto • Realizar trabalhos no cais • Retirar ostras de barcos ou caminhões • Carregar produtos acabados em caminhões • Usar equipamentos de movimentação de materiais (ocasionalmente) • Colocar o produto cru em mesas de processamento • Congelar e retirar ostras com pá Consulte o Adendo anexo Classificação de Cargos: 51-3022.00 - Cortadores e Aparadores de Carne, Aves e Peixes A classificação de cargo/setor e A descrição inclui informações gerais sobre a posição, de acordo com o ONET/OES e o Sistema de Classificação Industrial da América do Norte (NAICS). Consulte as Funções e a Ordem de Serviço para obter mais informações. Requisitos da Vaga Experiência Necessária: Não Requisitos Especiais: Levantar/carregar até 23 kg. O empregador pagará o exame toxicológico após a contratação, em caso de suspeita. O empregador poderá realizar verificações legais relacionadas ao trabalho, incluindo consultas sobre antecedentes criminais, quando permitido pelas leis federais, estaduais e locais aplicáveis. Qualquer análise de antecedentes criminais será feita individualmente e as decisões de contratação serão tomadas de forma não discriminatória, em conformidade com as leis aplicáveis ​​e as necessidades da empresa. Não são permitidas doenças infecciosas; alergias a frutos do mar podem ser fatais. Número de Horas por Semana: 40 Horário de Trabalho (Início/Término): 6h às 14h</v>
      </c>
    </row>
    <row r="1316" ht="20.25" customHeight="1">
      <c r="A1316" s="3" t="s">
        <v>5817</v>
      </c>
      <c r="B1316" s="3" t="s">
        <v>5818</v>
      </c>
      <c r="C1316" s="3" t="s">
        <v>5563</v>
      </c>
      <c r="D1316" s="3" t="s">
        <v>36</v>
      </c>
      <c r="E1316" s="4" t="s">
        <v>19</v>
      </c>
      <c r="F1316" s="4" t="s">
        <v>20</v>
      </c>
      <c r="G1316" s="4" t="s">
        <v>524</v>
      </c>
      <c r="H1316" s="3" t="s">
        <v>5788</v>
      </c>
      <c r="I1316" s="3" t="s">
        <v>5789</v>
      </c>
      <c r="J1316" s="4">
        <v>10.89</v>
      </c>
      <c r="K1316" s="4">
        <v>30.0</v>
      </c>
      <c r="L1316" s="3" t="s">
        <v>5819</v>
      </c>
      <c r="M1316" s="3" t="s">
        <v>5820</v>
      </c>
      <c r="N1316" s="7" t="str">
        <f>IFERROR(__xludf.DUMMYFUNCTION("GOOGLETRANSLATE(L1316, ""en"", ""pt"")"),"Processadores de frutos do mar/processadores de camarão")</f>
        <v>Processadores de frutos do mar/processadores de camarão</v>
      </c>
      <c r="O1316" s="7" t="str">
        <f>IFERROR(__xludf.DUMMYFUNCTION("IF(M1316="""","""",GOOGLETRANSLATE(M1316,""en"",""pt""))"),"Os funcionários colocarão os camarões em mesas para serem decapitados, descascados, limpos, separados e colocados em recipientes; embalados com gelo; colocados em paletes e embalados para envio; descartados as cascas de camarão em áreas designadas; levant"&amp;"ar e carregar até 23 kg. *Segue uma descrição de trabalho mais detalhada referente às tarefas de carga e descarga: Os funcionários auxiliarão no descarregamento do produto bruto (camarão) de barcos ou caminhões e o colocarão na área de processamento ou em"&amp;" mesas para ser processado. Os funcionários também auxiliarão no carregamento dos produtos acabados em refrigeradores ou congeladores para armazenamento. Os funcionários auxiliarão no carregamento dos produtos acabados em caminhões para envio. Consulte o "&amp;"Adendo em anexo. Classificação do Cargo: 51-3022.00 - Cortadores e Aparadores de Carne, Aves e Peixes. A classificação e descrição do cargo/setor inclui informações gerais sobre a posição, de acordo com o ONET/OES e o Sistema de Classificação Industrial d"&amp;"a América do Norte. Consulte as Funções e a Ordem de Serviço para obter mais informações. Requisitos do Cargo Experiência Necessária: Não. Requisitos Especiais: Levantar/carregar até 23 kg. O exame toxicológico, pago pelo empregador, será realizado após a"&amp;" contratação, em caso de suspeita. O empregador poderá realizar verificações legais e relacionadas ao trabalho, incluindo consultas sobre antecedentes criminais, quando permitido pelas leis federais, estaduais e locais aplicáveis. Qualquer análise de ante"&amp;"cedentes criminais será feita individualmente e as decisões de contratação serão tomadas de forma não discriminatória, em conformidade com as leis aplicáveis ​​e as necessidades da empresa. Não são permitidas doenças infecciosas; alergias a frutos do mar "&amp;"podem ser fatais. Número de horas por semana: 40. Horário de trabalho (início/término): 6h às 14h.")</f>
        <v>Os funcionários colocarão os camarões em mesas para serem decapitados, descascados, limpos, separados e colocados em recipientes; embalados com gelo; colocados em paletes e embalados para envio; descartados as cascas de camarão em áreas designadas; levantar e carregar até 23 kg. *Segue uma descrição de trabalho mais detalhada referente às tarefas de carga e descarga: Os funcionários auxiliarão no descarregamento do produto bruto (camarão) de barcos ou caminhões e o colocarão na área de processamento ou em mesas para ser processado. Os funcionários também auxiliarão no carregamento dos produtos acabados em refrigeradores ou congeladores para armazenamento. Os funcionários auxiliarão no carregamento dos produtos acabados em caminhões para envio. Consulte o Adendo em anexo. Classificação do Cargo: 51-3022.00 - Cortadores e Aparadores de Carne, Aves e Peixes. A classificação e descrição do cargo/setor inclui informações gerais sobre a posição, de acordo com o ONET/OES e o Sistema de Classificação Industrial da América do Norte. Consulte as Funções e a Ordem de Serviço para obter mais informações. Requisitos do Cargo Experiência Necessária: Não. Requisitos Especiais: Levantar/carregar até 23 kg. O exame toxicológico, pago pelo empregador, será realizado após a contratação, em caso de suspeita. O empregador poderá realizar verificações legais e relacionadas ao trabalho, incluindo consultas sobre antecedentes criminais, quando permitido pelas leis federais, estaduais e locais aplicáveis. Qualquer análise de antecedentes criminais será feita individualmente e as decisões de contratação serão tomadas de forma não discriminatória, em conformidade com as leis aplicáveis ​​e as necessidades da empresa. Não são permitidas doenças infecciosas; alergias a frutos do mar podem ser fatais. Número de horas por semana: 40. Horário de trabalho (início/término): 6h às 14h.</v>
      </c>
    </row>
    <row r="1317" ht="20.25" customHeight="1">
      <c r="A1317" s="8" t="s">
        <v>5821</v>
      </c>
      <c r="B1317" s="8" t="s">
        <v>5822</v>
      </c>
      <c r="C1317" s="8" t="s">
        <v>5563</v>
      </c>
      <c r="D1317" s="8" t="s">
        <v>403</v>
      </c>
      <c r="E1317" s="9" t="s">
        <v>44</v>
      </c>
      <c r="F1317" s="9" t="s">
        <v>20</v>
      </c>
      <c r="G1317" s="9" t="s">
        <v>65</v>
      </c>
      <c r="H1317" s="8" t="s">
        <v>5823</v>
      </c>
      <c r="I1317" s="8" t="s">
        <v>5824</v>
      </c>
      <c r="J1317" s="9">
        <v>16.82</v>
      </c>
      <c r="K1317" s="9">
        <v>15.0</v>
      </c>
      <c r="L1317" s="8" t="s">
        <v>5825</v>
      </c>
      <c r="M1317" s="8" t="s">
        <v>5826</v>
      </c>
      <c r="N1317" s="7" t="str">
        <f>IFERROR(__xludf.DUMMYFUNCTION("GOOGLETRANSLATE(L1317, ""en"", ""pt"")"),"Processadores de frutos do mar / Catadores de caranguejos")</f>
        <v>Processadores de frutos do mar / Catadores de caranguejos</v>
      </c>
      <c r="O1317" s="7" t="str">
        <f>IFERROR(__xludf.DUMMYFUNCTION("IF(M1317="""","""",GOOGLETRANSLATE(M1317,""en"",""pt""))"),"Sob supervisão direta, os Processadores de Frutos do Mar/Apanhadores de Caranguejo irão cozinhar no vapor, limpar e separar caranguejos inteiros, pesar, separar a carne processada por tamanho ou qualidade e colocá-la em recipientes, selar, contar, medir, "&amp;"colocar gelo, desossar, embalar, cozinhar, quebrar, processar frutos do mar e preparar pedidos para venda no atacado/varejo. Limpar e preparar o local de trabalho e os equipamentos para atender a todas as normas estaduais e federais de segurança alimentar"&amp;", carregar/descarregar, podendo ocasionalmente usar equipamentos de movimentação de materiais, despejar, mover, trabalhar no cais, congelar, retirar caranguejos com pá, grampear e montar caixas. Os trabalhadores auxiliarão no descarregamento do produto br"&amp;"uto (caranguejos) de barcos ou caminhões e o colocarão na área de processamento ou em mesas para serem processados. Os trabalhadores também auxiliarão no carregamento dos produtos acabados em caminhões para envio. Poderá ser oferecido pagamento por produç"&amp;"ão; o valor será determinado com base na tabela salarial vigente. Consulte o Adendo em anexo. Classificação da Função: 51-3022.00 - Cortadores e Aparadores de Carne, Aves e Peixes. A classificação e descrição da função/setor inclui informações gerais sobr"&amp;"e o cargo, de acordo com o ONET/OES e o Sistema de Classificação Industrial da América do Norte (NAICS). Consulte as Funções e a Ordem de Serviço para obter mais informações. Requisitos da Função: Experiência Necessária: Não. Requisitos Especiais: Capacid"&amp;"ade de levantar/carregar até 23 kg. O empregador mantém um ambiente de trabalho livre do uso de drogas ilícitas, álcool e substâncias controladas não autorizadas. É proibido o uso, a posse, a venda ou estar sob a influência de drogas ilícitas ou álcool du"&amp;"rante o horário de trabalho ou nas dependências do empregador. O empregador poderá realizar verificações legais relacionadas ao trabalho, incluindo consultas sobre antecedentes criminais, quando permitido pelas leis federais, estaduais e locais aplicáveis"&amp;". Qualquer análise de antecedentes criminais será feita individualmente e as decisões de emprego serão tomadas de forma não discriminatória, em conformidade com as leis aplicáveis ​​e as necessidades da empresa. Não é permitido o uso de doenças infecciosa"&amp;"s; alergias a frutos do mar podem ser fatais. Número de horas por semana: 40 Horário de trabalho (início/término): 5h00 - 13h30")</f>
        <v>Sob supervisão direta, os Processadores de Frutos do Mar/Apanhadores de Caranguejo irão cozinhar no vapor, limpar e separar caranguejos inteiros, pesar, separar a carne processada por tamanho ou qualidade e colocá-la em recipientes, selar, contar, medir, colocar gelo, desossar, embalar, cozinhar, quebrar, processar frutos do mar e preparar pedidos para venda no atacado/varejo. Limpar e preparar o local de trabalho e os equipamentos para atender a todas as normas estaduais e federais de segurança alimentar, carregar/descarregar, podendo ocasionalmente usar equipamentos de movimentação de materiais, despejar, mover, trabalhar no cais, congelar, retirar caranguejos com pá, grampear e montar caixas. Os trabalhadores auxiliarão no descarregamento do produto bruto (caranguejos) de barcos ou caminhões e o colocarão na área de processamento ou em mesas para serem processados. Os trabalhadores também auxiliarão no carregamento dos produtos acabados em caminhões para envio. Poderá ser oferecido pagamento por produção; o valor será determinado com base na tabela salarial vigente. Consulte o Adendo em anexo. Classificação da Função: 51-3022.00 - Cortadores e Aparadores de Carne, Aves e Peixes. A classificação e descrição da função/setor inclui informações gerais sobre o cargo, de acordo com o ONET/OES e o Sistema de Classificação Industrial da América do Norte (NAICS). Consulte as Funções e a Ordem de Serviço para obter mais informações. Requisitos da Função: Experiência Necessária: Não. Requisitos Especiais: Capacidade de levantar/carregar até 23 kg. O empregador mantém um ambiente de trabalho livre do uso de drogas ilícitas, álcool e substâncias controladas não autorizadas. É proibido o uso, a posse, a venda ou estar sob a influência de drogas ilícitas ou álcool durante o horário de trabalho ou nas dependências do empregador. O empregador poderá realizar verificações legais relacionadas ao trabalho, incluindo consultas sobre antecedentes criminais, quando permitido pelas leis federais, estaduais e locais aplicáveis. Qualquer análise de antecedentes criminais será feita individualmente e as decisões de emprego serão tomadas de forma não discriminatória, em conformidade com as leis aplicáveis ​​e as necessidades da empresa. Não é permitido o uso de doenças infecciosas; alergias a frutos do mar podem ser fatais. Número de horas por semana: 40 Horário de trabalho (início/término): 5h00 - 13h30</v>
      </c>
    </row>
    <row r="1318" ht="20.25" customHeight="1">
      <c r="A1318" s="3" t="s">
        <v>5827</v>
      </c>
      <c r="B1318" s="3" t="s">
        <v>5828</v>
      </c>
      <c r="C1318" s="3"/>
      <c r="D1318" s="3" t="s">
        <v>1103</v>
      </c>
      <c r="E1318" s="4" t="s">
        <v>44</v>
      </c>
      <c r="F1318" s="4" t="s">
        <v>20</v>
      </c>
      <c r="G1318" s="4" t="s">
        <v>345</v>
      </c>
      <c r="H1318" s="3" t="s">
        <v>5829</v>
      </c>
      <c r="I1318" s="3" t="s">
        <v>5830</v>
      </c>
      <c r="J1318" s="4">
        <v>30.0</v>
      </c>
      <c r="K1318" s="4">
        <v>8.0</v>
      </c>
      <c r="L1318" s="3" t="s">
        <v>5831</v>
      </c>
      <c r="M1318" s="3" t="s">
        <v>5832</v>
      </c>
      <c r="N1318" s="7" t="str">
        <f>IFERROR(__xludf.DUMMYFUNCTION("GOOGLETRANSLATE(L1318, ""en"", ""pt"")"),"Netgunner")</f>
        <v>Netgunner</v>
      </c>
      <c r="O1318" s="7" t="str">
        <f>IFERROR(__xludf.DUMMYFUNCTION("IF(M1318="""","""",GOOGLETRANSLATE(M1318,""en"",""pt""))"),"O operador de rede utilizará um lançador de rede/dardo a partir de um helicóptero. As tarefas também incluem o manejo de animais em terra, coleta de amostras de sangue, embalagem de redes e manutenção de equipamentos. O operador de rede dirigirá o caminhã"&amp;"o e auxiliará no abastecimento do helicóptero. Classificação da função: 53-3032.00 - Motoristas de Caminhão Pesado e Caminhão-Trator. A classificação e descrição da função/setor incluem informações gerais sobre o cargo, de acordo com o ONET/OES e o Sistem"&amp;"a de Classificação Industrial da América do Norte (NAICS). Consulte as Funções e a Ordem de Serviço para obter mais informações. Requisitos da função: Experiência necessária: Sim. Meses de experiência necessários: 24. Requisitos especiais: O lançamento de"&amp;" rede é uma função altamente especializada e perigosa que exige anos de experiência, bem como um estilo de vida incomum. O operador de rede trabalha em estreita colaboração com um piloto especializado e deve ter experiência e conhecimento nesse tipo de tr"&amp;"abalho. Isso é imprescindível para a segurança da equipe. O operador de rede deve ter experiência em técnicas de manejo e captura; coleta de amostras biológicas, colocação de coleiras de rádio, marcação auricular; registro por GPS e coleta e registro de m"&amp;"edidas corporais. O artilheiro de rede deve ter experiência em operar aeronaves MD500 ou helicópteros Hughes 300 e R44 e ser capaz de levantar até 90 kg. A equipe viajará por semanas em áreas remotas. Número de horas por semana: 40. Horário de trabalho (i"&amp;"nício/término): 7h às 16h.")</f>
        <v>O operador de rede utilizará um lançador de rede/dardo a partir de um helicóptero. As tarefas também incluem o manejo de animais em terra, coleta de amostras de sangue, embalagem de redes e manutenção de equipamentos. O operador de rede dirigirá o caminhão e auxiliará no abastecimento do helicóptero. Classificação da função: 53-3032.00 - Motoristas de Caminhão Pesado e Caminhão-Trator. A classificação e descrição da função/setor incluem informações gerais sobre o cargo, de acordo com o ONET/OES e o Sistema de Classificação Industrial da América do Norte (NAICS). Consulte as Funções e a Ordem de Serviço para obter mais informações. Requisitos da função: Experiência necessária: Sim. Meses de experiência necessários: 24. Requisitos especiais: O lançamento de rede é uma função altamente especializada e perigosa que exige anos de experiência, bem como um estilo de vida incomum. O operador de rede trabalha em estreita colaboração com um piloto especializado e deve ter experiência e conhecimento nesse tipo de trabalho. Isso é imprescindível para a segurança da equipe. O operador de rede deve ter experiência em técnicas de manejo e captura; coleta de amostras biológicas, colocação de coleiras de rádio, marcação auricular; registro por GPS e coleta e registro de medidas corporais. O artilheiro de rede deve ter experiência em operar aeronaves MD500 ou helicópteros Hughes 300 e R44 e ser capaz de levantar até 90 kg. A equipe viajará por semanas em áreas remotas. Número de horas por semana: 40. Horário de trabalho (início/término): 7h às 16h.</v>
      </c>
    </row>
    <row r="1319" ht="20.25" customHeight="1">
      <c r="A1319" s="8" t="s">
        <v>5833</v>
      </c>
      <c r="B1319" s="8" t="s">
        <v>5834</v>
      </c>
      <c r="C1319" s="8" t="s">
        <v>5563</v>
      </c>
      <c r="D1319" s="8" t="s">
        <v>64</v>
      </c>
      <c r="E1319" s="9" t="s">
        <v>19</v>
      </c>
      <c r="F1319" s="9" t="s">
        <v>20</v>
      </c>
      <c r="G1319" s="9" t="s">
        <v>377</v>
      </c>
      <c r="H1319" s="8" t="s">
        <v>5835</v>
      </c>
      <c r="I1319" s="8" t="s">
        <v>5836</v>
      </c>
      <c r="J1319" s="9">
        <v>14.84</v>
      </c>
      <c r="K1319" s="9">
        <v>40.0</v>
      </c>
      <c r="L1319" s="8" t="s">
        <v>105</v>
      </c>
      <c r="M1319" s="8" t="s">
        <v>5837</v>
      </c>
      <c r="N1319" s="7" t="str">
        <f>IFERROR(__xludf.DUMMYFUNCTION("GOOGLETRANSLATE(L1319, ""en"", ""pt"")"),"Abridores de Ostras")</f>
        <v>Abridores de Ostras</v>
      </c>
      <c r="O1319" s="7" t="str">
        <f>IFERROR(__xludf.DUMMYFUNCTION("IF(M1319="""","""",GOOGLETRANSLATE(M1319,""en"",""pt""))"),"Obter e distribuir ostras; usar ferramenta para abrir ostras e remover as ostras das conchas; descartar as conchas; separar a carne processada e colocá-la em recipientes; auxiliar na limpeza da fábrica ao final do turno. Poderá ser oferecido pagamento por"&amp;" peça produzida; o valor é determinado pelo salário mínimo vigente garantido. Consulte o adendo em anexo. Classificação da vaga: 51-3022.00 - Cortadores e Aparadores de Carne, Aves e Peixes. A classificação e descrição da vaga/setor incluem informações ge"&amp;"rais sobre o cargo, de acordo com o ONET/OES e o Sistema de Classificação Industrial da América do Norte (NAICS). Consulte as Funções e a Ordem de Serviço para obter mais informações. Requisitos da vaga: Experiência exigida: Não. Requisitos especiais: Lev"&amp;"antar/carregar até 45 kg. O empregador mantém um ambiente de trabalho livre do uso de drogas ilícitas, álcool e substâncias controladas não autorizadas. O uso, a posse, a venda ou o estar sob a influência de drogas ilícitas ou álcool durante o horário de "&amp;"trabalho ou nas dependências do empregador são proibidos. O empregador poderá realizar verificações legais relacionadas ao trabalho dos candidatos, incluindo consultas sobre antecedentes criminais, quando permitido pelas leis federais, estaduais e locais "&amp;"aplicáveis. Qualquer análise de antecedentes criminais será feita individualmente e as decisões de contratação serão tomadas de forma não discriminatória, em conformidade com as leis aplicáveis ​​e as necessidades da empresa. Não são permitidas doenças in"&amp;"fecciosas; alergias a frutos do mar podem ser fatais. Número de horas por semana: 35. Horário de trabalho (início/término): 5h30 às 14h30.")</f>
        <v>Obter e distribuir ostras; usar ferramenta para abrir ostras e remover as ostras das conchas; descartar as conchas; separar a carne processada e colocá-la em recipientes; auxiliar na limpeza da fábrica ao final do turno. Poderá ser oferecido pagamento por peça produzida; o valor é determinado pelo salário mínimo vigente garantido. Consulte o adendo em anexo. Classificação da vaga: 51-3022.00 - Cortadores e Aparadores de Carne, Aves e Peixes. A classificação e descrição da vaga/setor incluem informações gerais sobre o cargo, de acordo com o ONET/OES e o Sistema de Classificação Industrial da América do Norte (NAICS). Consulte as Funções e a Ordem de Serviço para obter mais informações. Requisitos da vaga: Experiência exigida: Não. Requisitos especiais: Levantar/carregar até 45 kg. O empregador mantém um ambiente de trabalho livre do uso de drogas ilícitas, álcool e substâncias controladas não autorizadas. O uso, a posse, a venda ou o estar sob a influência de drogas ilícitas ou álcool durante o horário de trabalho ou nas dependências do empregador são proibidos. O empregador poderá realizar verificações legais relacionadas ao trabalho dos candidatos, incluindo consultas sobre antecedentes criminais, quando permitido pelas leis federais, estaduais e locais aplicáveis. Qualquer análise de antecedentes criminais será feita individualmente e as decisões de contratação serão tomadas de forma não discriminatória, em conformidade com as leis aplicáveis ​​e as necessidades da empresa. Não são permitidas doenças infecciosas; alergias a frutos do mar podem ser fatais. Número de horas por semana: 35. Horário de trabalho (início/término): 5h30 às 14h30.</v>
      </c>
    </row>
    <row r="1320" ht="20.25" customHeight="1">
      <c r="A1320" s="3" t="s">
        <v>5838</v>
      </c>
      <c r="B1320" s="3" t="s">
        <v>5839</v>
      </c>
      <c r="C1320" s="3" t="s">
        <v>1030</v>
      </c>
      <c r="D1320" s="3" t="s">
        <v>64</v>
      </c>
      <c r="E1320" s="4" t="s">
        <v>44</v>
      </c>
      <c r="F1320" s="4" t="s">
        <v>20</v>
      </c>
      <c r="G1320" s="4" t="s">
        <v>4332</v>
      </c>
      <c r="H1320" s="10" t="s">
        <v>5840</v>
      </c>
      <c r="I1320" s="3" t="s">
        <v>5841</v>
      </c>
      <c r="J1320" s="4">
        <v>18.42</v>
      </c>
      <c r="K1320" s="4">
        <v>6.0</v>
      </c>
      <c r="L1320" s="3" t="s">
        <v>59</v>
      </c>
      <c r="M1320" s="3" t="s">
        <v>5842</v>
      </c>
      <c r="N1320" s="7" t="str">
        <f>IFERROR(__xludf.DUMMYFUNCTION("GOOGLETRANSLATE(L1320, ""en"", ""pt"")"),"Trabalhador de paisagismo")</f>
        <v>Trabalhador de paisagismo</v>
      </c>
      <c r="O1320" s="7" t="str">
        <f>IFERROR(__xludf.DUMMYFUNCTION("IF(M1320="""","""",GOOGLETRANSLATE(M1320,""en"",""pt""))"),"Cortar, aparar, regar e aparar a grama; recolher e soprar folhas; cavar buracos e valas com pás, com profundidade/largura máxima de 90 cm, para plantio; arrancar e cortar ervas daninhas, podar e transportar terra vegetal e cobertura morta. Inclui o carreg"&amp;"amento e descarregamento de ferramentas, suprimentos e equipamentos com peso de até 23 kg. Envolve trabalho ao ar livre em todos os tipos de clima. Envolve ficar em pé, sentado ou caminhando por longos períodos. Envolve agachar-se ou curvar-se com frequên"&amp;"cia. Envolve movimentos repetitivos. Exame toxicológico pós-contratação/pago pelo empregador. Verificação de antecedentes criminais pós-contratação/paga pelo empregador. Possibilidade de aumento salarial com base no desempenho, bônus, horas extras e traba"&amp;"lho aos sábados, conforme necessário. Transporte fornecido para vários locais de trabalho a partir da localização central em Lucas, TX. Intervalos de 60 minutos não remunerados ao longo do dia. A jornada diária pode variar entre os horários de início e té"&amp;"rmino listados, dependendo do clima ou das tarefas atribuídas. Classificação da Função: 37-3011.00 - Trabalhadores de Paisagismo e Manutenção de Jardins. A classificação e descrição da função/setor inclui informações gerais sobre o cargo, conforme o ONET/"&amp;"OES e o Sistema de Classificação Industrial da América do Norte (NAICS). Consulte as Funções e a Ordem de Serviço para obter mais informações. Requisitos da Função: Experiência Necessária: Não. Requisitos Especiais: Nenhum. Número de Horas por Semana: 40."&amp;" Horário de Trabalho (Início/Término): 6h às 21h.")</f>
        <v>Cortar, aparar, regar e aparar a grama; recolher e soprar folhas; cavar buracos e valas com pás, com profundidade/largura máxima de 90 cm, para plantio; arrancar e cortar ervas daninhas, podar e transportar terra vegetal e cobertura morta. Inclui o carregamento e descarregamento de ferramentas, suprimentos e equipamentos com peso de até 23 kg. Envolve trabalho ao ar livre em todos os tipos de clima. Envolve ficar em pé, sentado ou caminhando por longos períodos. Envolve agachar-se ou curvar-se com frequência. Envolve movimentos repetitivos. Exame toxicológico pós-contratação/pago pelo empregador. Verificação de antecedentes criminais pós-contratação/paga pelo empregador. Possibilidade de aumento salarial com base no desempenho, bônus, horas extras e trabalho aos sábados, conforme necessário. Transporte fornecido para vários locais de trabalho a partir da localização central em Lucas, TX. Intervalos de 60 minutos não remunerados ao longo do dia. A jornada diária pode variar entre os horários de início e término listados, dependendo do clima ou das tarefas atribuídas. Classificação da Função: 37-3011.00 - Trabalhadores de Paisagismo e Manutenção de Jardins. A classificação e descrição da função/setor inclui informações gerais sobre o cargo, conforme o ONET/OES e o Sistema de Classificação Industrial da América do Norte (NAICS). Consulte as Funções e a Ordem de Serviço para obter mais informações. Requisitos da Função: Experiência Necessária: Não. Requisitos Especiais: Nenhum. Número de Horas por Semana: 40. Horário de Trabalho (Início/Término): 6h às 21h.</v>
      </c>
    </row>
    <row r="1321" ht="20.25" customHeight="1">
      <c r="A1321" s="8" t="s">
        <v>5843</v>
      </c>
      <c r="B1321" s="8" t="s">
        <v>5844</v>
      </c>
      <c r="C1321" s="8" t="s">
        <v>4011</v>
      </c>
      <c r="D1321" s="8" t="s">
        <v>109</v>
      </c>
      <c r="E1321" s="9" t="s">
        <v>44</v>
      </c>
      <c r="F1321" s="9" t="s">
        <v>20</v>
      </c>
      <c r="G1321" s="9" t="s">
        <v>56</v>
      </c>
      <c r="H1321" s="8" t="s">
        <v>5549</v>
      </c>
      <c r="I1321" s="8" t="s">
        <v>5550</v>
      </c>
      <c r="J1321" s="9">
        <v>17.61</v>
      </c>
      <c r="K1321" s="9">
        <v>8.0</v>
      </c>
      <c r="L1321" s="8" t="s">
        <v>1568</v>
      </c>
      <c r="M1321" s="8" t="s">
        <v>4173</v>
      </c>
      <c r="N1321" s="7" t="str">
        <f>IFERROR(__xludf.DUMMYFUNCTION("GOOGLETRANSLATE(L1321, ""en"", ""pt"")"),"Membro da Equipe de Paisagismo")</f>
        <v>Membro da Equipe de Paisagismo</v>
      </c>
      <c r="O1321" s="7" t="str">
        <f>IFERROR(__xludf.DUMMYFUNCTION("IF(M1321="""","""",GOOGLETRANSLATE(M1321,""en"",""pt""))"),"Paisagismo e manutenção de terrenos utilizando ferramentas manuais ou elétricas. Os trabalhadores geralmente executam uma variedade de tarefas, que podem incluir qualquer combinação das seguintes: colocação de grama, corte de grama, poda, plantio, irrigaç"&amp;"ão, fertilização, escavação, rastelagem, instalação de sprinklers e instalação de blocos de concreto pré-moldados sem argamassa. Classificação da função: 37-3011.00 - Trabalhadores de Paisagismo e Manutenção de Terrenos. A classificação e descrição da fun"&amp;"ção/setor incluem informações gerais sobre o cargo, de acordo com o ONET/OES e o Sistema de Classificação Industrial da América do Norte (NAICS). Consulte as Funções e a Ordem de Serviço para obter mais informações. Requisitos da função: Experiência neces"&amp;"sária: Não. Requisitos especiais: Capacidade de levantar e carregar 23 kg, jornada de trabalho de 8 horas, disponibilidade para horas extras e trabalho aos fins de semana. Número de horas por semana: 40. Horário de trabalho (início/término): 7h às 16h.")</f>
        <v>Paisagismo e manutenção de terrenos utilizando ferramentas manuais ou elétricas. Os trabalhadores geralmente executam uma variedade de tarefas, que podem incluir qualquer combinação das seguintes: colocação de grama, corte de grama, poda, plantio, irrigação, fertilização, escavação, rastelagem, instalação de sprinklers e instalação de blocos de concreto pré-moldados sem argamassa. Classificação da função: 37-3011.00 - Trabalhadores de Paisagismo e Manutenção de Terrenos. A classificação e descrição da função/setor incluem informações gerais sobre o cargo, de acordo com o ONET/OES e o Sistema de Classificação Industrial da América do Norte (NAICS). Consulte as Funções e a Ordem de Serviço para obter mais informações. Requisitos da função: Experiência necessária: Não. Requisitos especiais: Capacidade de levantar e carregar 23 kg, jornada de trabalho de 8 horas, disponibilidade para horas extras e trabalho aos fins de semana. Número de horas por semana: 40. Horário de trabalho (início/término): 7h às 16h.</v>
      </c>
    </row>
    <row r="1322" ht="20.25" customHeight="1">
      <c r="A1322" s="3" t="s">
        <v>5845</v>
      </c>
      <c r="B1322" s="3" t="s">
        <v>5846</v>
      </c>
      <c r="C1322" s="3" t="s">
        <v>5563</v>
      </c>
      <c r="D1322" s="3" t="s">
        <v>992</v>
      </c>
      <c r="E1322" s="4" t="s">
        <v>19</v>
      </c>
      <c r="F1322" s="4" t="s">
        <v>20</v>
      </c>
      <c r="G1322" s="4" t="s">
        <v>5681</v>
      </c>
      <c r="H1322" s="3" t="s">
        <v>5847</v>
      </c>
      <c r="I1322" s="3" t="s">
        <v>5848</v>
      </c>
      <c r="J1322" s="4">
        <v>27.56</v>
      </c>
      <c r="K1322" s="4">
        <v>5.0</v>
      </c>
      <c r="L1322" s="3" t="s">
        <v>996</v>
      </c>
      <c r="M1322" s="3" t="s">
        <v>5849</v>
      </c>
      <c r="N1322" s="7" t="str">
        <f>IFERROR(__xludf.DUMMYFUNCTION("GOOGLETRANSLATE(L1322, ""en"", ""pt"")"),"Instalador/decorador")</f>
        <v>Instalador/decorador</v>
      </c>
      <c r="O1322" s="7" t="str">
        <f>IFERROR(__xludf.DUMMYFUNCTION("IF(M1322="""","""",GOOGLETRANSLATE(M1322,""en"",""pt""))"),"Organizar e transportar luzes de Natal de baixa tensão, clipes de montagem de plástico, decorações, escadas, ferramentas e suprimentos do depósito para os locais de trabalho. Ajustar, testar e substituir luzes e decorações de Natal em telhados, cercas, es"&amp;"truturas, árvores e arbustos, conforme solicitação do cliente. Segurar, auxiliar ou fornecer luzes de Natal de baixa tensão, clipes de montagem de plástico, decorações, escadas extensíveis e de mão, vara de instalação com gancho e suprimentos para outros "&amp;"instaladores. Ajustar extensões elétricas e temporizadores automáticos. Remover, organizar, embalar e armazenar luzes e decorações de Natal após a temporada de festas. Limpar e manter o local de trabalho e outras atividades relacionadas à instalação/decor"&amp;"ação, conforme SOC/OES 49-9098. Consulte o Adendo em anexo. Classificação do Cargo: 49-9099.00 - Trabalhadores de Instalação, Manutenção e Reparo, Outros. A classificação e descrição do cargo/setor inclui informações gerais sobre a posição, de acordo com "&amp;"o ONET/OES e o Sistema de Classificação Industrial da América do Norte. Consulte as Funções e a Ordem de Serviço para obter mais informações. Requisitos da vaga Experiência necessária: Não. Requisitos especiais: Deve ser capaz de levantar/carregar 32 kg. "&amp;"O empregador mantém um ambiente de trabalho livre do uso de drogas ilícitas, álcool e substâncias controladas não autorizadas. O uso, a posse, a venda ou o estado de embriaguez sob o efeito de drogas ilícitas ou álcool durante o horário de trabalho ou nas"&amp;" dependências do empregador são proibidos. Número de horas por semana: 35. Horário de trabalho (início/término): 7h30 às 14h.")</f>
        <v>Organizar e transportar luzes de Natal de baixa tensão, clipes de montagem de plástico, decorações, escadas, ferramentas e suprimentos do depósito para os locais de trabalho. Ajustar, testar e substituir luzes e decorações de Natal em telhados, cercas, estruturas, árvores e arbustos, conforme solicitação do cliente. Segurar, auxiliar ou fornecer luzes de Natal de baixa tensão, clipes de montagem de plástico, decorações, escadas extensíveis e de mão, vara de instalação com gancho e suprimentos para outros instaladores. Ajustar extensões elétricas e temporizadores automáticos. Remover, organizar, embalar e armazenar luzes e decorações de Natal após a temporada de festas. Limpar e manter o local de trabalho e outras atividades relacionadas à instalação/decoração, conforme SOC/OES 49-9098. Consulte o Adendo em anexo. Classificação do Cargo: 49-9099.00 - Trabalhadores de Instalação, Manutenção e Reparo, Outros. A classificação e descrição do cargo/setor inclui informações gerais sobre a posição, de acordo com o ONET/OES e o Sistema de Classificação Industrial da América do Norte. Consulte as Funções e a Ordem de Serviço para obter mais informações. Requisitos da vaga Experiência necessária: Não. Requisitos especiais: Deve ser capaz de levantar/carregar 32 kg. O empregador mantém um ambiente de trabalho livre do uso de drogas ilícitas, álcool e substâncias controladas não autorizadas. O uso, a posse, a venda ou o estado de embriaguez sob o efeito de drogas ilícitas ou álcool durante o horário de trabalho ou nas dependências do empregador são proibidos. Número de horas por semana: 35. Horário de trabalho (início/término): 7h30 às 14h.</v>
      </c>
    </row>
    <row r="1323" ht="20.25" customHeight="1">
      <c r="A1323" s="8" t="s">
        <v>5850</v>
      </c>
      <c r="B1323" s="8" t="s">
        <v>5851</v>
      </c>
      <c r="C1323" s="8" t="s">
        <v>5852</v>
      </c>
      <c r="D1323" s="8" t="s">
        <v>64</v>
      </c>
      <c r="E1323" s="9" t="s">
        <v>19</v>
      </c>
      <c r="F1323" s="9" t="s">
        <v>20</v>
      </c>
      <c r="G1323" s="9" t="s">
        <v>524</v>
      </c>
      <c r="H1323" s="8" t="s">
        <v>5853</v>
      </c>
      <c r="I1323" s="8" t="s">
        <v>5854</v>
      </c>
      <c r="J1323" s="9">
        <v>14.32</v>
      </c>
      <c r="K1323" s="9">
        <v>4.0</v>
      </c>
      <c r="L1323" s="8" t="s">
        <v>5855</v>
      </c>
      <c r="M1323" s="8" t="s">
        <v>5856</v>
      </c>
      <c r="N1323" s="7" t="str">
        <f>IFERROR(__xludf.DUMMYFUNCTION("GOOGLETRANSLATE(L1323, ""en"", ""pt"")"),"Equipe do restaurante")</f>
        <v>Equipe do restaurante</v>
      </c>
      <c r="O1323" s="7" t="str">
        <f>IFERROR(__xludf.DUMMYFUNCTION("IF(M1323="""","""",GOOGLETRANSLATE(M1323,""en"",""pt""))"),"Preparar os alimentos e a cozinha para o dia; picar, cortar e retirar alimentos das câmaras frigoríficas, repor o estoque. Preparar e cozinhar alimentos/refeições sob encomenda, de acordo com as receitas. Limpar as áreas de trabalho, equipamentos, utensíl"&amp;"ios, pratos, etc.; fechar a cozinha ao final do expediente, limpando, descartando alimentos e resíduos e desligando todos os equipamentos. Classificação da vaga: 35-2014.00 - Cozinheiros, Restaurante. A classificação e descrição da vaga/setor incluem info"&amp;"rmações gerais sobre o cargo, de acordo com o ONET/OES e o Sistema de Classificação Industrial da América do Norte (NAICS). Consulte as Funções e a Ordem de Serviço para obter mais informações. Requisitos da vaga: Experiência necessária: Não. Requisitos e"&amp;"speciais: Capacidade de levantar 11 kg, capacidade de ler pedidos, disponibilidade de segunda a domingo, horário variável, turnos rotativos, possibilidade de horas extras variáveis. Número de horas por semana: 38. Horário de trabalho (início/término): 14h"&amp;" às 22h.")</f>
        <v>Preparar os alimentos e a cozinha para o dia; picar, cortar e retirar alimentos das câmaras frigoríficas, repor o estoque. Preparar e cozinhar alimentos/refeições sob encomenda, de acordo com as receitas. Limpar as áreas de trabalho, equipamentos, utensílios, pratos, etc.; fechar a cozinha ao final do expediente, limpando, descartando alimentos e resíduos e desligando todos os equipamentos. Classificação da vaga: 35-2014.00 - Cozinheiros, Restaurante. A classificação e descrição da vaga/setor incluem informações gerais sobre o cargo, de acordo com o ONET/OES e o Sistema de Classificação Industrial da América do Norte (NAICS). Consulte as Funções e a Ordem de Serviço para obter mais informações. Requisitos da vaga: Experiência necessária: Não. Requisitos especiais: Capacidade de levantar 11 kg, capacidade de ler pedidos, disponibilidade de segunda a domingo, horário variável, turnos rotativos, possibilidade de horas extras variáveis. Número de horas por semana: 38. Horário de trabalho (início/término): 14h às 22h.</v>
      </c>
    </row>
    <row r="1324" ht="20.25" customHeight="1">
      <c r="A1324" s="3" t="s">
        <v>5857</v>
      </c>
      <c r="B1324" s="3" t="s">
        <v>5858</v>
      </c>
      <c r="C1324" s="3" t="s">
        <v>4507</v>
      </c>
      <c r="D1324" s="3" t="s">
        <v>271</v>
      </c>
      <c r="E1324" s="4" t="s">
        <v>19</v>
      </c>
      <c r="F1324" s="4" t="s">
        <v>20</v>
      </c>
      <c r="G1324" s="4" t="s">
        <v>155</v>
      </c>
      <c r="H1324" s="3" t="s">
        <v>5859</v>
      </c>
      <c r="I1324" s="3" t="s">
        <v>5860</v>
      </c>
      <c r="J1324" s="4">
        <v>19.42</v>
      </c>
      <c r="K1324" s="4">
        <v>12.0</v>
      </c>
      <c r="L1324" s="3" t="s">
        <v>5861</v>
      </c>
      <c r="M1324" s="3" t="s">
        <v>5862</v>
      </c>
      <c r="N1324" s="7" t="str">
        <f>IFERROR(__xludf.DUMMYFUNCTION("GOOGLETRANSLATE(L1324, ""en"", ""pt"")"),"Trabalhador de transplante")</f>
        <v>Trabalhador de transplante</v>
      </c>
      <c r="O1324" s="7" t="str">
        <f>IFERROR(__xludf.DUMMYFUNCTION("IF(M1324="""","""",GOOGLETRANSLATE(M1324,""en"",""pt""))"),"Transplantar árvores ou arbustos e instalá-los nas propriedades dos clientes. Extrair árvores ou arbustos do solo, cuidar dos sistemas radiculares estabelecidos, podar raízes, envolver o torrão de raízes em juta ou vaso e amarrar os galhos para preparar a"&amp;" plantação. Carregar e descarregar árvores e arbustos, terra, cobertura morta, ferramentas manuais e materiais de paisagismo. Cavar buracos, separar o solo se necessário, instalar árvores ou arbustos, preencher buracos, colocar estacas e executar tarefas "&amp;"relacionadas ao paisagismo, como rastelar, aplicar cobertura morta e regar. Classificação da vaga: 37-3011.00 - Trabalhadores de Paisagismo e Manutenção de Áreas Verdes. A classificação e descrição da vaga/setor incluem informações gerais sobre o cargo, d"&amp;"e acordo com o ONET/OES e o Sistema de Classificação Industrial da América do Norte. Consulte as Funções e a Ordem de Serviço para obter mais informações. Requisitos da vaga: Experiência necessária: Não. Requisitos especiais: Deve ser capaz de levantar/ca"&amp;"rregar 23 kg quando necessário. Deslocamento para locais de clientes nos condados de Maricopa e Pinal, no Arizona. TRABALHO AOS SÁBADOS OBRIGATÓRIO, QUANDO NECESSÁRIO. O horário de trabalho pode variar e horas extras podem ser necessárias, dependendo das "&amp;"condições climáticas e das necessidades do projeto. Número de horas por semana: 40. Horário de trabalho (início/término): 6h às 14h30.")</f>
        <v>Transplantar árvores ou arbustos e instalá-los nas propriedades dos clientes. Extrair árvores ou arbustos do solo, cuidar dos sistemas radiculares estabelecidos, podar raízes, envolver o torrão de raízes em juta ou vaso e amarrar os galhos para preparar a plantação. Carregar e descarregar árvores e arbustos, terra, cobertura morta, ferramentas manuais e materiais de paisagismo. Cavar buracos, separar o solo se necessário, instalar árvores ou arbustos, preencher buracos, colocar estacas e executar tarefas relacionadas ao paisagismo, como rastelar, aplicar cobertura morta e regar. Classificação da vaga: 37-3011.00 - Trabalhadores de Paisagismo e Manutenção de Áreas Verdes. A classificação e descrição da vaga/setor incluem informações gerais sobre o cargo, de acordo com o ONET/OES e o Sistema de Classificação Industrial da América do Norte. Consulte as Funções e a Ordem de Serviço para obter mais informações. Requisitos da vaga: Experiência necessária: Não. Requisitos especiais: Deve ser capaz de levantar/carregar 23 kg quando necessário. Deslocamento para locais de clientes nos condados de Maricopa e Pinal, no Arizona. TRABALHO AOS SÁBADOS OBRIGATÓRIO, QUANDO NECESSÁRIO. O horário de trabalho pode variar e horas extras podem ser necessárias, dependendo das condições climáticas e das necessidades do projeto. Número de horas por semana: 40. Horário de trabalho (início/término): 6h às 14h30.</v>
      </c>
    </row>
    <row r="1325" ht="20.25" customHeight="1">
      <c r="A1325" s="8" t="s">
        <v>5863</v>
      </c>
      <c r="B1325" s="8" t="s">
        <v>5864</v>
      </c>
      <c r="C1325" s="8" t="s">
        <v>4507</v>
      </c>
      <c r="D1325" s="8" t="s">
        <v>271</v>
      </c>
      <c r="E1325" s="9" t="s">
        <v>19</v>
      </c>
      <c r="F1325" s="9" t="s">
        <v>20</v>
      </c>
      <c r="G1325" s="9" t="s">
        <v>155</v>
      </c>
      <c r="H1325" s="8" t="s">
        <v>5859</v>
      </c>
      <c r="I1325" s="8" t="s">
        <v>5860</v>
      </c>
      <c r="J1325" s="9">
        <v>18.04</v>
      </c>
      <c r="K1325" s="9">
        <v>8.0</v>
      </c>
      <c r="L1325" s="8" t="s">
        <v>5861</v>
      </c>
      <c r="M1325" s="8" t="s">
        <v>5865</v>
      </c>
      <c r="N1325" s="7" t="str">
        <f>IFERROR(__xludf.DUMMYFUNCTION("GOOGLETRANSLATE(L1325, ""en"", ""pt"")"),"Trabalhador de transplante")</f>
        <v>Trabalhador de transplante</v>
      </c>
      <c r="O1325" s="7" t="str">
        <f>IFERROR(__xludf.DUMMYFUNCTION("IF(M1325="""","""",GOOGLETRANSLATE(M1325,""en"",""pt""))"),"Transplantar árvores ou arbustos e instalá-los em propriedades de clientes. Extrair árvores ou arbustos do solo, cuidar dos sistemas radiculares estabelecidos, podar raízes, envolver o torrão de raízes em juta ou vaso e amarrar os galhos para preparar a p"&amp;"lantação. Carregar e descarregar árvores e arbustos, terra, cobertura morta, ferramentas manuais e materiais de paisagismo. Cavar buracos, separar o solo se necessário, instalar árvores ou arbustos, preencher buracos, colocar estacas e executar tarefas re"&amp;"lacionadas ao paisagismo, como rastelar, aplicar cobertura morta e regar. Classificação da vaga: 37-3011.00 - Trabalhadores de Paisagismo e Manutenção de Áreas Verdes. A classificação e descrição da vaga/setor incluem informações gerais sobre o cargo, de "&amp;"acordo com o ONET/OES e o Sistema de Classificação Industrial da América do Norte. Consulte as Funções e a Ordem de Serviço para obter mais informações. Requisitos da vaga: Experiência necessária: Não. Requisitos especiais: Deve ser capaz de levantar/carr"&amp;"egar 23 kg quando necessário. Deslocamento para locais de clientes para instalações no Condado de Pima, Arizona. TRABALHO AOS SÁBADOS OBRIGATÓRIO, QUANDO NECESSÁRIO. O horário de trabalho pode variar e horas extras podem ser necessárias, dependendo das co"&amp;"ndições climáticas e das necessidades do projeto. Número de horas por semana: 40. Horário de trabalho (início/término): 6h às 14h30.")</f>
        <v>Transplantar árvores ou arbustos e instalá-los em propriedades de clientes. Extrair árvores ou arbustos do solo, cuidar dos sistemas radiculares estabelecidos, podar raízes, envolver o torrão de raízes em juta ou vaso e amarrar os galhos para preparar a plantação. Carregar e descarregar árvores e arbustos, terra, cobertura morta, ferramentas manuais e materiais de paisagismo. Cavar buracos, separar o solo se necessário, instalar árvores ou arbustos, preencher buracos, colocar estacas e executar tarefas relacionadas ao paisagismo, como rastelar, aplicar cobertura morta e regar. Classificação da vaga: 37-3011.00 - Trabalhadores de Paisagismo e Manutenção de Áreas Verdes. A classificação e descrição da vaga/setor incluem informações gerais sobre o cargo, de acordo com o ONET/OES e o Sistema de Classificação Industrial da América do Norte. Consulte as Funções e a Ordem de Serviço para obter mais informações. Requisitos da vaga: Experiência necessária: Não. Requisitos especiais: Deve ser capaz de levantar/carregar 23 kg quando necessário. Deslocamento para locais de clientes para instalações no Condado de Pima, Arizona. TRABALHO AOS SÁBADOS OBRIGATÓRIO, QUANDO NECESSÁRIO. O horário de trabalho pode variar e horas extras podem ser necessárias, dependendo das condições climáticas e das necessidades do projeto. Número de horas por semana: 40. Horário de trabalho (início/término): 6h às 14h30.</v>
      </c>
    </row>
    <row r="1326" ht="20.25" customHeight="1">
      <c r="A1326" s="3" t="s">
        <v>5866</v>
      </c>
      <c r="B1326" s="3" t="s">
        <v>5867</v>
      </c>
      <c r="C1326" s="3" t="s">
        <v>4507</v>
      </c>
      <c r="D1326" s="3" t="s">
        <v>532</v>
      </c>
      <c r="E1326" s="4" t="s">
        <v>19</v>
      </c>
      <c r="F1326" s="4" t="s">
        <v>20</v>
      </c>
      <c r="G1326" s="4" t="s">
        <v>155</v>
      </c>
      <c r="H1326" s="3" t="s">
        <v>5859</v>
      </c>
      <c r="I1326" s="3" t="s">
        <v>5860</v>
      </c>
      <c r="J1326" s="4">
        <v>21.52</v>
      </c>
      <c r="K1326" s="4">
        <v>5.0</v>
      </c>
      <c r="L1326" s="3" t="s">
        <v>5861</v>
      </c>
      <c r="M1326" s="3" t="s">
        <v>5868</v>
      </c>
      <c r="N1326" s="7" t="str">
        <f>IFERROR(__xludf.DUMMYFUNCTION("GOOGLETRANSLATE(L1326, ""en"", ""pt"")"),"Trabalhador de transplante")</f>
        <v>Trabalhador de transplante</v>
      </c>
      <c r="O1326" s="7" t="str">
        <f>IFERROR(__xludf.DUMMYFUNCTION("IF(M1326="""","""",GOOGLETRANSLATE(M1326,""en"",""pt""))"),"Transplantar árvores ou arbustos e instalá-los em propriedades de clientes. Extrair árvores ou arbustos do solo, cuidar dos sistemas radiculares estabelecidos, podar raízes, envolver o torrão de raízes em juta ou vaso e amarrar os galhos para preparar a á"&amp;"rvore para o transporte. Carregar e descarregar árvores e arbustos, terra, cobertura morta, ferramentas manuais e materiais de paisagismo. Cavar buracos, separar o solo se necessário, instalar árvores ou arbustos, preencher buracos, colocar estacas e exec"&amp;"utar tarefas relacionadas ao paisagismo, como rastelar, colocar cobertura morta e regar. Classificação do Cargo: 37-3011.00 - Trabalhadores de Paisagismo e Manutenção de Áreas Verdes. A classificação e descrição do cargo/setor incluem informações gerais s"&amp;"obre a posição, de acordo com o ONET/OES e o Sistema de Classificação Industrial da América do Norte. Consulte as Funções e a Ordem de Serviço para obter mais informações. Requisitos do Cargo Experiência Necessária: Não Requisitos Especiais: Deve ser capa"&amp;"z de levantar/carregar 23 kg quando necessário. Deslocamento para locais de clientes para instalações na região metropolitana de San Diego-Chula Vista-Carlsbad, CA. Trabalho aos sábados, quando necessário. O horário de trabalho pode variar e horas extras "&amp;"podem ser necessárias dependendo das condições climáticas e das necessidades do projeto. Número de horas por semana: 40. Horário de trabalho (início/término): 6h às 14h30.")</f>
        <v>Transplantar árvores ou arbustos e instalá-los em propriedades de clientes. Extrair árvores ou arbustos do solo, cuidar dos sistemas radiculares estabelecidos, podar raízes, envolver o torrão de raízes em juta ou vaso e amarrar os galhos para preparar a árvore para o transporte. Carregar e descarregar árvores e arbustos, terra, cobertura morta, ferramentas manuais e materiais de paisagismo. Cavar buracos, separar o solo se necessário, instalar árvores ou arbustos, preencher buracos, colocar estacas e executar tarefas relacionadas ao paisagismo, como rastelar, colocar cobertura morta e regar. Classificação do Cargo: 37-3011.00 - Trabalhadores de Paisagismo e Manutenção de Áreas Verdes. A classificação e descrição do cargo/setor incluem informações gerais sobre a posição, de acordo com o ONET/OES e o Sistema de Classificação Industrial da América do Norte. Consulte as Funções e a Ordem de Serviço para obter mais informações. Requisitos do Cargo Experiência Necessária: Não Requisitos Especiais: Deve ser capaz de levantar/carregar 23 kg quando necessário. Deslocamento para locais de clientes para instalações na região metropolitana de San Diego-Chula Vista-Carlsbad, CA. Trabalho aos sábados, quando necessário. O horário de trabalho pode variar e horas extras podem ser necessárias dependendo das condições climáticas e das necessidades do projeto. Número de horas por semana: 40. Horário de trabalho (início/término): 6h às 14h30.</v>
      </c>
    </row>
    <row r="1327" ht="20.25" customHeight="1">
      <c r="A1327" s="8" t="s">
        <v>5869</v>
      </c>
      <c r="B1327" s="8" t="s">
        <v>5870</v>
      </c>
      <c r="C1327" s="8" t="s">
        <v>4507</v>
      </c>
      <c r="D1327" s="8" t="s">
        <v>71</v>
      </c>
      <c r="E1327" s="9" t="s">
        <v>44</v>
      </c>
      <c r="F1327" s="9" t="s">
        <v>20</v>
      </c>
      <c r="G1327" s="9" t="s">
        <v>155</v>
      </c>
      <c r="H1327" s="8" t="s">
        <v>5859</v>
      </c>
      <c r="I1327" s="8" t="s">
        <v>5860</v>
      </c>
      <c r="J1327" s="9">
        <v>19.3</v>
      </c>
      <c r="K1327" s="9">
        <v>4.0</v>
      </c>
      <c r="L1327" s="8" t="s">
        <v>5861</v>
      </c>
      <c r="M1327" s="8" t="s">
        <v>5871</v>
      </c>
      <c r="N1327" s="7" t="str">
        <f>IFERROR(__xludf.DUMMYFUNCTION("GOOGLETRANSLATE(L1327, ""en"", ""pt"")"),"Trabalhador de transplante")</f>
        <v>Trabalhador de transplante</v>
      </c>
      <c r="O1327" s="7" t="str">
        <f>IFERROR(__xludf.DUMMYFUNCTION("IF(M1327="""","""",GOOGLETRANSLATE(M1327,""en"",""pt""))"),"Transplantar árvores ou arbustos e instalá-los em propriedades de clientes. Extrair árvores ou arbustos do solo, cuidar dos sistemas radiculares estabelecidos, podar raízes, envolver o torrão de raízes em juta ou vaso e amarrar os galhos para preparar a p"&amp;"lantação. Carregar e descarregar árvores e arbustos, terra, cobertura morta, ferramentas manuais e materiais de paisagismo. Cavar buracos, separar o solo se necessário, instalar árvores ou arbustos, preencher buracos, colocar estacas e executar tarefas re"&amp;"lacionadas ao paisagismo, como rastelar, aplicar cobertura morta e regar. Classificação da vaga: 37-3011.00 - Trabalhadores de Paisagismo e Manutenção de Áreas Verdes. A classificação e descrição da vaga/setor incluem informações gerais sobre o cargo, de "&amp;"acordo com o ONET/OES e o Sistema de Classificação Industrial da América do Norte (NAICS). Consulte as Funções e a Ordem de Serviço para obter mais informações. Requisitos da vaga: Experiência necessária: Não. Requisitos especiais: Deve ser capaz de levan"&amp;"tar/carregar 23 kg quando necessário. Deslocamento para locais de clientes para instalações na região metropolitana de Naples-Marco Island, Flórida. Trabalho aos sábados, quando necessário. O horário de trabalho pode variar e horas extras podem ser necess"&amp;"árias dependendo das condições climáticas e das necessidades do projeto. Número de horas por semana: 40. Horário de trabalho (início/término): 6h às 14h30.")</f>
        <v>Transplantar árvores ou arbustos e instalá-los em propriedades de clientes. Extrair árvores ou arbustos do solo, cuidar dos sistemas radiculares estabelecidos, podar raízes, envolver o torrão de raízes em juta ou vaso e amarrar os galhos para preparar a plantação. Carregar e descarregar árvores e arbustos, terra, cobertura morta, ferramentas manuais e materiais de paisagismo. Cavar buracos, separar o solo se necessário, instalar árvores ou arbustos, preencher buracos, colocar estacas e executar tarefas relacionadas ao paisagismo, como rastelar, aplicar cobertura morta e regar. Classificação da vaga: 37-3011.00 - Trabalhadores de Paisagismo e Manutenção de Áreas Verdes. A classificação e descrição da vaga/setor incluem informações gerais sobre o cargo, de acordo com o ONET/OES e o Sistema de Classificação Industrial da América do Norte (NAICS). Consulte as Funções e a Ordem de Serviço para obter mais informações. Requisitos da vaga: Experiência necessária: Não. Requisitos especiais: Deve ser capaz de levantar/carregar 23 kg quando necessário. Deslocamento para locais de clientes para instalações na região metropolitana de Naples-Marco Island, Flórida. Trabalho aos sábados, quando necessário. O horário de trabalho pode variar e horas extras podem ser necessárias dependendo das condições climáticas e das necessidades do projeto. Número de horas por semana: 40. Horário de trabalho (início/término): 6h às 14h30.</v>
      </c>
    </row>
    <row r="1328" ht="20.25" customHeight="1">
      <c r="A1328" s="3" t="s">
        <v>5872</v>
      </c>
      <c r="B1328" s="3" t="s">
        <v>5873</v>
      </c>
      <c r="C1328" s="3" t="s">
        <v>4507</v>
      </c>
      <c r="D1328" s="3" t="s">
        <v>71</v>
      </c>
      <c r="E1328" s="4" t="s">
        <v>19</v>
      </c>
      <c r="F1328" s="4" t="s">
        <v>20</v>
      </c>
      <c r="G1328" s="4" t="s">
        <v>155</v>
      </c>
      <c r="H1328" s="3" t="s">
        <v>5859</v>
      </c>
      <c r="I1328" s="3" t="s">
        <v>5860</v>
      </c>
      <c r="J1328" s="4">
        <v>18.25</v>
      </c>
      <c r="K1328" s="4">
        <v>4.0</v>
      </c>
      <c r="L1328" s="3" t="s">
        <v>5861</v>
      </c>
      <c r="M1328" s="3" t="s">
        <v>5874</v>
      </c>
      <c r="N1328" s="7" t="str">
        <f>IFERROR(__xludf.DUMMYFUNCTION("GOOGLETRANSLATE(L1328, ""en"", ""pt"")"),"Trabalhador de transplante")</f>
        <v>Trabalhador de transplante</v>
      </c>
      <c r="O1328" s="7" t="str">
        <f>IFERROR(__xludf.DUMMYFUNCTION("IF(M1328="""","""",GOOGLETRANSLATE(M1328,""en"",""pt""))"),"Transplantar árvores ou arbustos e instalá-los em propriedades de clientes. Extrair árvores ou arbustos do solo, cuidar dos sistemas radiculares estabelecidos, podar raízes, envolver o torrão de raízes em juta ou vaso e amarrar os galhos para preparar a á"&amp;"rvore para o transporte. Carregar e descarregar árvores e arbustos, terra, cobertura morta, ferramentas manuais e materiais de paisagismo. Cavar buracos, separar o solo se necessário, instalar árvores ou arbustos, preencher buracos, colocar estacas e exec"&amp;"utar tarefas relacionadas ao paisagismo, como rastelar, colocar cobertura morta e regar. Classificação do Cargo: 37-3011.00 - Trabalhadores de Paisagismo e Manutenção de Áreas Verdes. A classificação e descrição do cargo/setor incluem informações gerais s"&amp;"obre a posição, de acordo com o ONET/OES e o Sistema de Classificação Industrial da América do Norte. Consulte as Funções e a Ordem de Serviço para obter mais informações. Requisitos do Cargo Experiência Necessária: Não Requisitos Especiais: Deve ser capa"&amp;"z de levantar/carregar 23 kg quando necessário. Deslocamento para locais de clientes para instalações na região metropolitana de Miami-Fort Lauderdale-West Palm Beach, FL. Trabalho aos sábados, quando necessário. O horário de trabalho pode variar e horas "&amp;"extras podem ser necessárias dependendo das condições climáticas e das necessidades do projeto. Número de horas por semana: 40. Horário de trabalho (início/término): 6h às 14h30.")</f>
        <v>Transplantar árvores ou arbustos e instalá-los em propriedades de clientes. Extrair árvores ou arbustos do solo, cuidar dos sistemas radiculares estabelecidos, podar raízes, envolver o torrão de raízes em juta ou vaso e amarrar os galhos para preparar a árvore para o transporte. Carregar e descarregar árvores e arbustos, terra, cobertura morta, ferramentas manuais e materiais de paisagismo. Cavar buracos, separar o solo se necessário, instalar árvores ou arbustos, preencher buracos, colocar estacas e executar tarefas relacionadas ao paisagismo, como rastelar, colocar cobertura morta e regar. Classificação do Cargo: 37-3011.00 - Trabalhadores de Paisagismo e Manutenção de Áreas Verdes. A classificação e descrição do cargo/setor incluem informações gerais sobre a posição, de acordo com o ONET/OES e o Sistema de Classificação Industrial da América do Norte. Consulte as Funções e a Ordem de Serviço para obter mais informações. Requisitos do Cargo Experiência Necessária: Não Requisitos Especiais: Deve ser capaz de levantar/carregar 23 kg quando necessário. Deslocamento para locais de clientes para instalações na região metropolitana de Miami-Fort Lauderdale-West Palm Beach, FL. Trabalho aos sábados, quando necessário. O horário de trabalho pode variar e horas extras podem ser necessárias dependendo das condições climáticas e das necessidades do projeto. Número de horas por semana: 40. Horário de trabalho (início/término): 6h às 14h30.</v>
      </c>
    </row>
    <row r="1329" ht="20.25" customHeight="1">
      <c r="A1329" s="8" t="s">
        <v>5875</v>
      </c>
      <c r="B1329" s="8" t="s">
        <v>5876</v>
      </c>
      <c r="C1329" s="8" t="s">
        <v>4507</v>
      </c>
      <c r="D1329" s="8" t="s">
        <v>71</v>
      </c>
      <c r="E1329" s="9" t="s">
        <v>19</v>
      </c>
      <c r="F1329" s="9" t="s">
        <v>20</v>
      </c>
      <c r="G1329" s="9" t="s">
        <v>155</v>
      </c>
      <c r="H1329" s="8" t="s">
        <v>5859</v>
      </c>
      <c r="I1329" s="8" t="s">
        <v>5860</v>
      </c>
      <c r="J1329" s="9">
        <v>17.82</v>
      </c>
      <c r="K1329" s="9">
        <v>4.0</v>
      </c>
      <c r="L1329" s="8" t="s">
        <v>5861</v>
      </c>
      <c r="M1329" s="8" t="s">
        <v>5877</v>
      </c>
      <c r="N1329" s="7" t="str">
        <f>IFERROR(__xludf.DUMMYFUNCTION("GOOGLETRANSLATE(L1329, ""en"", ""pt"")"),"Trabalhador de transplante")</f>
        <v>Trabalhador de transplante</v>
      </c>
      <c r="O1329" s="7" t="str">
        <f>IFERROR(__xludf.DUMMYFUNCTION("IF(M1329="""","""",GOOGLETRANSLATE(M1329,""en"",""pt""))"),"Transplantar árvores ou arbustos e instalá-los em propriedades de clientes. Extrair árvores ou arbustos do solo, cuidar dos sistemas radiculares estabelecidos, podar raízes, envolver o torrão de raízes em juta ou vaso e amarrar os galhos para preparar a á"&amp;"rvore para o transporte. Carregar e descarregar árvores e arbustos, terra, cobertura morta, ferramentas manuais e materiais de paisagismo. Cavar buracos, separar o solo se necessário, instalar árvores ou arbustos, preencher buracos, colocar estacas e exec"&amp;"utar tarefas relacionadas ao paisagismo, como rastelar, colocar cobertura morta e regar. Classificação do Cargo: 37-3011.00 - Trabalhadores de Paisagismo e Manutenção de Áreas Verdes. A classificação e descrição do cargo/setor incluem informações gerais s"&amp;"obre a posição, de acordo com o ONET/OES e o Sistema de Classificação Industrial da América do Norte. Consulte as Funções e a Ordem de Serviço para obter mais informações. Requisitos do Cargo Experiência Necessária: Não Requisitos Especiais: Deve ser capa"&amp;"z de levantar/carregar 23 kg quando necessário. Deslocamento para locais de clientes para instalações na região metropolitana de Orlando-Kissimmee-Sanford, FL. Trabalho aos sábados, quando necessário. O horário de trabalho pode variar e horas extras podem"&amp;" ser necessárias dependendo das condições climáticas e das necessidades do projeto. Número de horas por semana: 40. Horário de trabalho (início/término): 6h às 14h30.")</f>
        <v>Transplantar árvores ou arbustos e instalá-los em propriedades de clientes. Extrair árvores ou arbustos do solo, cuidar dos sistemas radiculares estabelecidos, podar raízes, envolver o torrão de raízes em juta ou vaso e amarrar os galhos para preparar a árvore para o transporte. Carregar e descarregar árvores e arbustos, terra, cobertura morta, ferramentas manuais e materiais de paisagismo. Cavar buracos, separar o solo se necessário, instalar árvores ou arbustos, preencher buracos, colocar estacas e executar tarefas relacionadas ao paisagismo, como rastelar, colocar cobertura morta e regar. Classificação do Cargo: 37-3011.00 - Trabalhadores de Paisagismo e Manutenção de Áreas Verdes. A classificação e descrição do cargo/setor incluem informações gerais sobre a posição, de acordo com o ONET/OES e o Sistema de Classificação Industrial da América do Norte. Consulte as Funções e a Ordem de Serviço para obter mais informações. Requisitos do Cargo Experiência Necessária: Não Requisitos Especiais: Deve ser capaz de levantar/carregar 23 kg quando necessário. Deslocamento para locais de clientes para instalações na região metropolitana de Orlando-Kissimmee-Sanford, FL. Trabalho aos sábados, quando necessário. O horário de trabalho pode variar e horas extras podem ser necessárias dependendo das condições climáticas e das necessidades do projeto. Número de horas por semana: 40. Horário de trabalho (início/término): 6h às 14h30.</v>
      </c>
    </row>
    <row r="1330" ht="20.25" customHeight="1">
      <c r="A1330" s="3" t="s">
        <v>5878</v>
      </c>
      <c r="B1330" s="3" t="s">
        <v>5879</v>
      </c>
      <c r="C1330" s="3" t="s">
        <v>4507</v>
      </c>
      <c r="D1330" s="3" t="s">
        <v>64</v>
      </c>
      <c r="E1330" s="4" t="s">
        <v>44</v>
      </c>
      <c r="F1330" s="4" t="s">
        <v>20</v>
      </c>
      <c r="G1330" s="4" t="s">
        <v>155</v>
      </c>
      <c r="H1330" s="3" t="s">
        <v>5859</v>
      </c>
      <c r="I1330" s="3" t="s">
        <v>5860</v>
      </c>
      <c r="J1330" s="4">
        <v>16.38</v>
      </c>
      <c r="K1330" s="4">
        <v>15.0</v>
      </c>
      <c r="L1330" s="3" t="s">
        <v>5861</v>
      </c>
      <c r="M1330" s="3" t="s">
        <v>5880</v>
      </c>
      <c r="N1330" s="7" t="str">
        <f>IFERROR(__xludf.DUMMYFUNCTION("GOOGLETRANSLATE(L1330, ""en"", ""pt"")"),"Trabalhador de transplante")</f>
        <v>Trabalhador de transplante</v>
      </c>
      <c r="O1330" s="7" t="str">
        <f>IFERROR(__xludf.DUMMYFUNCTION("IF(M1330="""","""",GOOGLETRANSLATE(M1330,""en"",""pt""))"),"Transplantar árvores ou arbustos e instalá-los em propriedades de clientes. Extrair árvores ou arbustos do solo, cuidar dos sistemas radiculares estabelecidos, podar raízes, envolver o torrão de raízes em juta ou vaso e amarrar os galhos para preparar a p"&amp;"lantação. Carregar e descarregar árvores e arbustos, terra, cobertura morta, ferramentas manuais e materiais de paisagismo. Cavar buracos, separar o solo se necessário, instalar árvores ou arbustos, preencher buracos, colocar estacas e executar tarefas re"&amp;"lacionadas ao paisagismo, como rastelar, aplicar cobertura morta e regar. Classificação da vaga: 37-3011.00 - Trabalhadores de Paisagismo e Manutenção de Áreas Verdes. A classificação e descrição da vaga/setor incluem informações gerais sobre o cargo, de "&amp;"acordo com o ONET/OES e o Sistema de Classificação Industrial da América do Norte (NAICS). Consulte as Funções e a Ordem de Serviço para obter mais informações. Requisitos da vaga: Experiência necessária: Não. Requisitos especiais: Deve ser capaz de levan"&amp;"tar/carregar 23 kg quando necessário. Deslocamento para locais de clientes para instalações no Condado de Wharton, Texas. Trabalho aos sábados, quando necessário. O horário de trabalho pode variar e horas extras podem ser necessárias, dependendo das condi"&amp;"ções climáticas e da necessidade do projeto. Número de horas por semana: 40 Horário de trabalho (início/término): 6h00 - 14h30")</f>
        <v>Transplantar árvores ou arbustos e instalá-los em propriedades de clientes. Extrair árvores ou arbustos do solo, cuidar dos sistemas radiculares estabelecidos, podar raízes, envolver o torrão de raízes em juta ou vaso e amarrar os galhos para preparar a plantação. Carregar e descarregar árvores e arbustos, terra, cobertura morta, ferramentas manuais e materiais de paisagismo. Cavar buracos, separar o solo se necessário, instalar árvores ou arbustos, preencher buracos, colocar estacas e executar tarefas relacionadas ao paisagismo, como rastelar, aplicar cobertura morta e regar. Classificação da vaga: 37-3011.00 - Trabalhadores de Paisagismo e Manutenção de Áreas Verdes. A classificação e descrição da vaga/setor incluem informações gerais sobre o cargo, de acordo com o ONET/OES e o Sistema de Classificação Industrial da América do Norte (NAICS). Consulte as Funções e a Ordem de Serviço para obter mais informações. Requisitos da vaga: Experiência necessária: Não. Requisitos especiais: Deve ser capaz de levantar/carregar 23 kg quando necessário. Deslocamento para locais de clientes para instalações no Condado de Wharton, Texas. Trabalho aos sábados, quando necessário. O horário de trabalho pode variar e horas extras podem ser necessárias, dependendo das condições climáticas e da necessidade do projeto. Número de horas por semana: 40 Horário de trabalho (início/término): 6h00 - 14h30</v>
      </c>
    </row>
    <row r="1331" ht="20.25" customHeight="1">
      <c r="A1331" s="8" t="s">
        <v>5881</v>
      </c>
      <c r="B1331" s="8" t="s">
        <v>5882</v>
      </c>
      <c r="C1331" s="8" t="s">
        <v>4507</v>
      </c>
      <c r="D1331" s="8" t="s">
        <v>532</v>
      </c>
      <c r="E1331" s="9" t="s">
        <v>19</v>
      </c>
      <c r="F1331" s="9" t="s">
        <v>20</v>
      </c>
      <c r="G1331" s="9" t="s">
        <v>155</v>
      </c>
      <c r="H1331" s="8" t="s">
        <v>5859</v>
      </c>
      <c r="I1331" s="8" t="s">
        <v>5860</v>
      </c>
      <c r="J1331" s="9">
        <v>20.98</v>
      </c>
      <c r="K1331" s="9">
        <v>15.0</v>
      </c>
      <c r="L1331" s="8" t="s">
        <v>5861</v>
      </c>
      <c r="M1331" s="8" t="s">
        <v>5883</v>
      </c>
      <c r="N1331" s="7" t="str">
        <f>IFERROR(__xludf.DUMMYFUNCTION("GOOGLETRANSLATE(L1331, ""en"", ""pt"")"),"Trabalhador de transplante")</f>
        <v>Trabalhador de transplante</v>
      </c>
      <c r="O1331" s="7" t="str">
        <f>IFERROR(__xludf.DUMMYFUNCTION("IF(M1331="""","""",GOOGLETRANSLATE(M1331,""en"",""pt""))"),"Transplantar árvores ou arbustos e instalá-los em propriedades de clientes. Extrair árvores ou arbustos do solo, cuidar dos sistemas radiculares estabelecidos, podar raízes, envolver o torrão de raízes em juta ou vaso e amarrar os galhos para preparar a p"&amp;"lantação. Carregar e descarregar árvores e arbustos, terra, cobertura morta, ferramentas manuais e materiais de paisagismo. Cavar buracos, separar o solo se necessário, instalar árvores ou arbustos, preencher buracos, colocar estacas e executar tarefas re"&amp;"lacionadas ao paisagismo, como rastelar, aplicar cobertura morta e regar. Classificação da vaga: 37-3011.00 - Trabalhadores de Paisagismo e Manutenção de Áreas Verdes. A classificação e descrição da vaga/setor incluem informações gerais sobre o cargo, de "&amp;"acordo com o ONET/OES e o Sistema de Classificação Industrial da América do Norte (NAICS). Consulte as Funções e a Ordem de Serviço para obter mais informações. Requisitos da vaga: Experiência necessária: Não. Requisitos especiais: Deve ser capaz de levan"&amp;"tar/carregar 23 kg quando necessário. Deslocamento para locais de clientes para instalações no Condado de Riverside, Califórnia. Trabalho aos sábados, quando necessário. O horário de trabalho pode variar e horas extras podem ser necessárias, dependendo da"&amp;"s condições climáticas e da necessidade do projeto. Número de horas por semana: 40 Horário de trabalho (início/término): 6h00 - 14h30")</f>
        <v>Transplantar árvores ou arbustos e instalá-los em propriedades de clientes. Extrair árvores ou arbustos do solo, cuidar dos sistemas radiculares estabelecidos, podar raízes, envolver o torrão de raízes em juta ou vaso e amarrar os galhos para preparar a plantação. Carregar e descarregar árvores e arbustos, terra, cobertura morta, ferramentas manuais e materiais de paisagismo. Cavar buracos, separar o solo se necessário, instalar árvores ou arbustos, preencher buracos, colocar estacas e executar tarefas relacionadas ao paisagismo, como rastelar, aplicar cobertura morta e regar. Classificação da vaga: 37-3011.00 - Trabalhadores de Paisagismo e Manutenção de Áreas Verdes. A classificação e descrição da vaga/setor incluem informações gerais sobre o cargo, de acordo com o ONET/OES e o Sistema de Classificação Industrial da América do Norte (NAICS). Consulte as Funções e a Ordem de Serviço para obter mais informações. Requisitos da vaga: Experiência necessária: Não. Requisitos especiais: Deve ser capaz de levantar/carregar 23 kg quando necessário. Deslocamento para locais de clientes para instalações no Condado de Riverside, Califórnia. Trabalho aos sábados, quando necessário. O horário de trabalho pode variar e horas extras podem ser necessárias, dependendo das condições climáticas e da necessidade do projeto. Número de horas por semana: 40 Horário de trabalho (início/término): 6h00 - 14h30</v>
      </c>
    </row>
    <row r="1332" ht="20.25" customHeight="1">
      <c r="A1332" s="3" t="s">
        <v>5884</v>
      </c>
      <c r="B1332" s="3" t="s">
        <v>5885</v>
      </c>
      <c r="C1332" s="3" t="s">
        <v>5563</v>
      </c>
      <c r="D1332" s="3" t="s">
        <v>403</v>
      </c>
      <c r="E1332" s="4" t="s">
        <v>19</v>
      </c>
      <c r="F1332" s="4" t="s">
        <v>20</v>
      </c>
      <c r="G1332" s="4" t="s">
        <v>181</v>
      </c>
      <c r="H1332" s="3" t="s">
        <v>5886</v>
      </c>
      <c r="I1332" s="3" t="s">
        <v>5887</v>
      </c>
      <c r="J1332" s="4">
        <v>16.82</v>
      </c>
      <c r="K1332" s="4">
        <v>18.0</v>
      </c>
      <c r="L1332" s="3" t="s">
        <v>5825</v>
      </c>
      <c r="M1332" s="3" t="s">
        <v>5888</v>
      </c>
      <c r="N1332" s="7" t="str">
        <f>IFERROR(__xludf.DUMMYFUNCTION("GOOGLETRANSLATE(L1332, ""en"", ""pt"")"),"Processadores de frutos do mar / Catadores de caranguejos")</f>
        <v>Processadores de frutos do mar / Catadores de caranguejos</v>
      </c>
      <c r="O1332" s="7" t="str">
        <f>IFERROR(__xludf.DUMMYFUNCTION("IF(M1332="""","""",GOOGLETRANSLATE(M1332,""en"",""pt""))"),"Sob supervisão direta, os Processadores de Frutos do Mar/Apanhadores de Caranguejo irão cozinhar no vapor, limpar e separar caranguejos inteiros; pesar, separar a carne processada por tamanho ou qualidade e colocá-la em recipientes; selar, contar, medir, "&amp;"colocar gelo, desossar, embalar, cozinhar, quebrar e processar frutos do mar, preparando pedidos para venda no atacado/varejo; limpar e preparar o local de trabalho e os equipamentos para atender a todas as normas estaduais e federais de segurança aliment"&amp;"ar; carregar/descarregar; ocasionalmente, utilizar equipamentos de movimentação de materiais; despejar, mover, trabalhar no cais; congelar, retirar caranguejos com pá; grampear e montar caixas. Os trabalhadores auxiliarão no descarregamento do produto bru"&amp;"to (caranguejos de barcos ou caminhões) e o colocarão na área de processamento ou nas mesas para serem processados. Os trabalhadores também auxiliarão no carregamento dos produtos acabados nos caminhões para envio. Poderá ser oferecido pagamento por produ"&amp;"ção; o valor será determinado com base na tabela salarial vigente. Consulte o Adendo em anexo. Classificação da Função: 51-3022.00 - Cortadores e Aparadores de Carne, Aves e Peixes. A classificação e descrição da função/setor inclui informações gerais sob"&amp;"re o cargo, de acordo com o ONET/OES e o Sistema de Classificação Industrial da América do Norte (NAICS). Consulte as Funções e a Ordem de Serviço para obter mais informações. Requisitos da Função Experiência Necessária: Não. Requisitos Especiais: Capacid"&amp;"ade de levantar/carregar até 23 kg. O exame toxicológico pós-acidente será pago pelo empregador. O empregador poderá realizar verificações legais relacionadas ao trabalho, incluindo consultas sobre antecedentes criminais, quando permitido pelas leis feder"&amp;"ais, estaduais e locais aplicáveis. Qualquer análise de antecedentes criminais será feita individualmente e as decisões de contratação serão tomadas de forma não discriminatória, em conformidade com as leis aplicáveis ​​e as necessidades da empresa. Proib"&amp;"ido o contato com pessoas com doenças infecciosas; alergias a frutos do mar podem ser fatais. Número de Horas por Semana: 35. Horário de Trabalho (Início/Término): 6h00 - 14h30.")</f>
        <v>Sob supervisão direta, os Processadores de Frutos do Mar/Apanhadores de Caranguejo irão cozinhar no vapor, limpar e separar caranguejos inteiros; pesar, separar a carne processada por tamanho ou qualidade e colocá-la em recipientes; selar, contar, medir, colocar gelo, desossar, embalar, cozinhar, quebrar e processar frutos do mar, preparando pedidos para venda no atacado/varejo; limpar e preparar o local de trabalho e os equipamentos para atender a todas as normas estaduais e federais de segurança alimentar; carregar/descarregar; ocasionalmente, utilizar equipamentos de movimentação de materiais; despejar, mover, trabalhar no cais; congelar, retirar caranguejos com pá; grampear e montar caixas. Os trabalhadores auxiliarão no descarregamento do produto bruto (caranguejos de barcos ou caminhões) e o colocarão na área de processamento ou nas mesas para serem processados. Os trabalhadores também auxiliarão no carregamento dos produtos acabados nos caminhões para envio. Poderá ser oferecido pagamento por produção; o valor será determinado com base na tabela salarial vigente. Consulte o Adendo em anexo. Classificação da Função: 51-3022.00 - Cortadores e Aparadores de Carne, Aves e Peixes. A classificação e descrição da função/setor inclui informações gerais sobre o cargo, de acordo com o ONET/OES e o Sistema de Classificação Industrial da América do Norte (NAICS). Consulte as Funções e a Ordem de Serviço para obter mais informações. Requisitos da Função Experiência Necessária: Não. Requisitos Especiais: Capacidade de levantar/carregar até 23 kg. O exame toxicológico pós-acidente será pago pelo empregador. O empregador poderá realizar verificações legais relacionadas ao trabalho, incluindo consultas sobre antecedentes criminais, quando permitido pelas leis federais, estaduais e locais aplicáveis. Qualquer análise de antecedentes criminais será feita individualmente e as decisões de contratação serão tomadas de forma não discriminatória, em conformidade com as leis aplicáveis ​​e as necessidades da empresa. Proibido o contato com pessoas com doenças infecciosas; alergias a frutos do mar podem ser fatais. Número de Horas por Semana: 35. Horário de Trabalho (Início/Término): 6h00 - 14h30.</v>
      </c>
    </row>
    <row r="1333" ht="20.25" customHeight="1">
      <c r="A1333" s="8" t="s">
        <v>5889</v>
      </c>
      <c r="B1333" s="8" t="s">
        <v>5890</v>
      </c>
      <c r="C1333" s="8" t="s">
        <v>4241</v>
      </c>
      <c r="D1333" s="8" t="s">
        <v>71</v>
      </c>
      <c r="E1333" s="9" t="s">
        <v>19</v>
      </c>
      <c r="F1333" s="9" t="s">
        <v>20</v>
      </c>
      <c r="G1333" s="9" t="s">
        <v>524</v>
      </c>
      <c r="H1333" s="8" t="s">
        <v>5891</v>
      </c>
      <c r="I1333" s="8" t="s">
        <v>5892</v>
      </c>
      <c r="J1333" s="9">
        <v>18.42</v>
      </c>
      <c r="K1333" s="9">
        <v>31.0</v>
      </c>
      <c r="L1333" s="8" t="s">
        <v>1206</v>
      </c>
      <c r="M1333" s="8" t="s">
        <v>5893</v>
      </c>
      <c r="N1333" s="7" t="str">
        <f>IFERROR(__xludf.DUMMYFUNCTION("GOOGLETRANSLATE(L1333, ""en"", ""pt"")"),"Servidor")</f>
        <v>Servidor</v>
      </c>
      <c r="O1333" s="7" t="str">
        <f>IFERROR(__xludf.DUMMYFUNCTION("IF(M1333="""","""",GOOGLETRANSLATE(M1333,""en"",""pt""))"),"Os garçons serão responsáveis ​​por recepcionar os clientes, fornecer-lhes os cardápios, preparar o salão, encaminhar os clientes às mesas adequadas às suas necessidades, anotar e registrar os pedidos, transportar bandejas e pratos, servir bebidas alcoóli"&amp;"cas e não alcoólicas e servir alimentos e bebidas. Horário: 35 horas semanais. A escala de trabalho pode variar e incluir turnos noturnos, fins de semana e feriados. O trabalho pode ser realizado em qualquer dia da semana, de segunda a domingo. Exemplos d"&amp;"e turnos: 9h às 16h, 15h às 22h ou 8h às 15h. Os horários dos turnos podem variar. Consulte a descrição da vaga em anexo para obter mais informações. Classificação da vaga: 35-3031.00 - Garçons e Garçonetes. A classificação e descrição da vaga/setor inclu"&amp;"em informações gerais sobre o cargo, de acordo com o ONET/OES e o Sistema de Classificação Industrial da América do Norte (NAICS). Consulte as Funções e a Ordem de Serviço para obter mais informações. Requisitos da vaga Experiência necessária: Sim Meses d"&amp;"e experiência necessários: 1 Requisitos especiais: O contratante considerará para emprego qualquer pessoa que possua pelo menos um (1) mês de experiência em um ambiente de alta gastronomia ou de grande movimento em um restaurante sofisticado, resort ou cl"&amp;"ube privado. O candidato deverá se submeter à verificação de antecedentes e ao exame toxicológico pré-admissional, às custas do empregador. Número de horas por semana: 35 Horário de trabalho (início/término): 9h às 16h")</f>
        <v>Os garçons serão responsáveis ​​por recepcionar os clientes, fornecer-lhes os cardápios, preparar o salão, encaminhar os clientes às mesas adequadas às suas necessidades, anotar e registrar os pedidos, transportar bandejas e pratos, servir bebidas alcoólicas e não alcoólicas e servir alimentos e bebidas. Horário: 35 horas semanais. A escala de trabalho pode variar e incluir turnos noturnos, fins de semana e feriados. O trabalho pode ser realizado em qualquer dia da semana, de segunda a domingo. Exemplos de turnos: 9h às 16h, 15h às 22h ou 8h às 15h. Os horários dos turnos podem variar. Consulte a descrição da vaga em anexo para obter mais informações. Classificação da vaga: 35-3031.00 - Garçons e Garçonetes. A classificação e descrição da vaga/setor incluem informações gerais sobre o cargo, de acordo com o ONET/OES e o Sistema de Classificação Industrial da América do Norte (NAICS). Consulte as Funções e a Ordem de Serviço para obter mais informações. Requisitos da vaga Experiência necessária: Sim Meses de experiência necessários: 1 Requisitos especiais: O contratante considerará para emprego qualquer pessoa que possua pelo menos um (1) mês de experiência em um ambiente de alta gastronomia ou de grande movimento em um restaurante sofisticado, resort ou clube privado. O candidato deverá se submeter à verificação de antecedentes e ao exame toxicológico pré-admissional, às custas do empregador. Número de horas por semana: 35 Horário de trabalho (início/término): 9h às 16h</v>
      </c>
    </row>
    <row r="1334" ht="20.25" customHeight="1">
      <c r="A1334" s="3" t="s">
        <v>5894</v>
      </c>
      <c r="B1334" s="3" t="s">
        <v>5890</v>
      </c>
      <c r="C1334" s="3" t="s">
        <v>4241</v>
      </c>
      <c r="D1334" s="3" t="s">
        <v>71</v>
      </c>
      <c r="E1334" s="4" t="s">
        <v>19</v>
      </c>
      <c r="F1334" s="4" t="s">
        <v>20</v>
      </c>
      <c r="G1334" s="4" t="s">
        <v>524</v>
      </c>
      <c r="H1334" s="3" t="s">
        <v>5891</v>
      </c>
      <c r="I1334" s="3" t="s">
        <v>5892</v>
      </c>
      <c r="J1334" s="4">
        <v>24.4</v>
      </c>
      <c r="K1334" s="4">
        <v>2.0</v>
      </c>
      <c r="L1334" s="3" t="s">
        <v>5895</v>
      </c>
      <c r="M1334" s="3" t="s">
        <v>5896</v>
      </c>
      <c r="N1334" s="7" t="str">
        <f>IFERROR(__xludf.DUMMYFUNCTION("GOOGLETRANSLATE(L1334, ""en"", ""pt"")"),"Profissional de tênis")</f>
        <v>Profissional de tênis</v>
      </c>
      <c r="O1334" s="7" t="str">
        <f>IFERROR(__xludf.DUMMYFUNCTION("IF(M1334="""","""",GOOGLETRANSLATE(M1334,""en"",""pt""))"),"Os profissionais de tênis serão responsáveis ​​por ministrar aulas e clínicas para sócios e convidados sobre as técnicas e estratégias de tênis e pickleball, sob a supervisão do Diretor de Raquetes e Recreação. Deverão recepcionar e atender os sócios dura"&amp;"nte o expediente. Isso inclui vendas na loja de artigos esportivos, atendimento na recepção (incluindo a cobrança de aulas de tênis/pickleball e compras na loja, como roupas e produtos), organização de jogos, atendimento telefônico e trabalho no computado"&amp;"r (reservas de quadras e aulas de tênis e pickleball) para contribuir com o sucesso do programa de tênis. Organizarão os horários de treinos e campeonatos com os capitães e dirigentes, escalando os sócios para jogar, convidando sócios de outros clubes par"&amp;"a partidas e torneios e elaborando a programação. Deverão garantir a organização das quadras, dos jogadores, das equipes adversárias e do fornecimento de lanches. Assistirão e comentarão partidas. Auxiliarão na organização de todos os torneios e eventos d"&amp;"o clube. Compartilhar as tarefas diárias de manutenção das quadras, incluindo o preparo das quadras de tênis/pickleball, utilizando um rastelo de aço e uma ferramenta de marcação, e assumir todas as responsabilidades nos dias de folga do técnico de instal"&amp;"ações, que consistem em manter a limpeza das instalações e das quadras. Encordoar raquetes quando necessário e realizar pequenos reparos. Oferecer atendimento cortês, rápido e profissional a todos os membros e convidados. Horário: 35 horas semanais. O hor"&amp;"ário de trabalho pode variar e incluir noites, fins de semana e feriados. O trabalho pode ser realizado em qualquer dia da semana, de segunda a domingo. Exemplos de turnos: 6h às 13h, 7h às 14h ou 8h às 15h. Consulte a descrição do cargo em anexo para obt"&amp;"er mais informações. Classificação do cargo: 25-3021.00 - Professores de Autodesenvolvimento. A classificação e a descrição do cargo/setor incluem informações gerais sobre a posição, de acordo com o ONET/OES e o Sistema de Classificação Industrial da Amér"&amp;"ica do Norte. Consulte a Descrição das Funções e a Ordem de Serviço para obter mais informações. Requisitos da Vaga Experiência Necessária: Sim Meses de Experiência Necessários: 12 Requisitos Especiais: O contratante considerará para emprego qualquer pess"&amp;"oa que possua diploma de Ensino Médio, certificado de conclusão do Ensino Médio (GED) ou equivalente, e pelo menos um (1) ano de experiência ensinando tênis e pickleball. Certificação pela Racquet Sports Professionals Association (RSPA) como Instrutor de "&amp;"Tênis Nível 1. (Caso não possua certificação, deverá realizar e ser aprovado no teste nos primeiros três meses de emprego). O candidato deverá se submeter à verificação de antecedentes e ao exame toxicológico pré-admissional, às custas do empregador. Núme"&amp;"ro de Horas por Semana: 35 Horário de Trabalho (Início/Término): 6h00 - 13h00")</f>
        <v>Os profissionais de tênis serão responsáveis ​​por ministrar aulas e clínicas para sócios e convidados sobre as técnicas e estratégias de tênis e pickleball, sob a supervisão do Diretor de Raquetes e Recreação. Deverão recepcionar e atender os sócios durante o expediente. Isso inclui vendas na loja de artigos esportivos, atendimento na recepção (incluindo a cobrança de aulas de tênis/pickleball e compras na loja, como roupas e produtos), organização de jogos, atendimento telefônico e trabalho no computador (reservas de quadras e aulas de tênis e pickleball) para contribuir com o sucesso do programa de tênis. Organizarão os horários de treinos e campeonatos com os capitães e dirigentes, escalando os sócios para jogar, convidando sócios de outros clubes para partidas e torneios e elaborando a programação. Deverão garantir a organização das quadras, dos jogadores, das equipes adversárias e do fornecimento de lanches. Assistirão e comentarão partidas. Auxiliarão na organização de todos os torneios e eventos do clube. Compartilhar as tarefas diárias de manutenção das quadras, incluindo o preparo das quadras de tênis/pickleball, utilizando um rastelo de aço e uma ferramenta de marcação, e assumir todas as responsabilidades nos dias de folga do técnico de instalações, que consistem em manter a limpeza das instalações e das quadras. Encordoar raquetes quando necessário e realizar pequenos reparos. Oferecer atendimento cortês, rápido e profissional a todos os membros e convidados. Horário: 35 horas semanais. O horário de trabalho pode variar e incluir noites, fins de semana e feriados. O trabalho pode ser realizado em qualquer dia da semana, de segunda a domingo. Exemplos de turnos: 6h às 13h, 7h às 14h ou 8h às 15h. Consulte a descrição do cargo em anexo para obter mais informações. Classificação do cargo: 25-3021.00 - Professores de Autodesenvolvimento. A classificação e a descrição do cargo/setor incluem informações gerais sobre a posição, de acordo com o ONET/OES e o Sistema de Classificação Industrial da América do Norte. Consulte a Descrição das Funções e a Ordem de Serviço para obter mais informações. Requisitos da Vaga Experiência Necessária: Sim Meses de Experiência Necessários: 12 Requisitos Especiais: O contratante considerará para emprego qualquer pessoa que possua diploma de Ensino Médio, certificado de conclusão do Ensino Médio (GED) ou equivalente, e pelo menos um (1) ano de experiência ensinando tênis e pickleball. Certificação pela Racquet Sports Professionals Association (RSPA) como Instrutor de Tênis Nível 1. (Caso não possua certificação, deverá realizar e ser aprovado no teste nos primeiros três meses de emprego). O candidato deverá se submeter à verificação de antecedentes e ao exame toxicológico pré-admissional, às custas do empregador. Número de Horas por Semana: 35 Horário de Trabalho (Início/Término): 6h00 - 13h00</v>
      </c>
    </row>
    <row r="1335" ht="20.25" customHeight="1">
      <c r="A1335" s="8" t="s">
        <v>5897</v>
      </c>
      <c r="B1335" s="8" t="s">
        <v>5898</v>
      </c>
      <c r="C1335" s="8" t="s">
        <v>4241</v>
      </c>
      <c r="D1335" s="8" t="s">
        <v>71</v>
      </c>
      <c r="E1335" s="9" t="s">
        <v>19</v>
      </c>
      <c r="F1335" s="9" t="s">
        <v>20</v>
      </c>
      <c r="G1335" s="9" t="s">
        <v>524</v>
      </c>
      <c r="H1335" s="8" t="s">
        <v>5891</v>
      </c>
      <c r="I1335" s="8" t="s">
        <v>5892</v>
      </c>
      <c r="J1335" s="9">
        <v>18.0</v>
      </c>
      <c r="K1335" s="9">
        <v>20.0</v>
      </c>
      <c r="L1335" s="8" t="s">
        <v>586</v>
      </c>
      <c r="M1335" s="8" t="s">
        <v>5899</v>
      </c>
      <c r="N1335" s="7" t="str">
        <f>IFERROR(__xludf.DUMMYFUNCTION("GOOGLETRANSLATE(L1335, ""en"", ""pt"")"),"Cozinheiro de linha")</f>
        <v>Cozinheiro de linha</v>
      </c>
      <c r="O1335" s="7" t="str">
        <f>IFERROR(__xludf.DUMMYFUNCTION("IF(M1335="""","""",GOOGLETRANSLATE(M1335,""en"",""pt""))"),"Os cozinheiros serão responsáveis ​​por preparar, temperar e cozinhar sopas, carnes, legumes, sobremesas e outros itens alimentícios em um restaurante. Horário: 35 horas semanais. O horário de trabalho pode variar e incluir turnos noturnos, fins de semana"&amp;" e feriados. O trabalho pode ser realizado em qualquer dia da semana, de segunda a domingo. Exemplos de turnos: 8h às 15h, 14h às 21h ou 7h às 14h. Os horários dos turnos podem variar. Consulte a descrição do cargo em anexo para obter mais informações. Cl"&amp;"assificação do cargo: 35-2014.00 - Cozinheiros, Restaurante. A classificação e a descrição do cargo/setor incluem informações gerais sobre a posição, de acordo com o ONET/OES e o Sistema de Classificação Industrial da América do Norte. Consulte as Funções"&amp;" e a Ordem de Serviço para obter mais informações. Requisitos da Vaga Experiência Necessária: Sim Meses de Experiência Necessários: 6 Requisitos Especiais: O contratante considerará para emprego qualquer pessoa que possua pelo menos seis (6) meses de expe"&amp;"riência culinária em um ambiente de alta gastronomia ou de grande movimento em um restaurante sofisticado, resort ou clube privado. O candidato deverá se submeter à verificação de antecedentes e ao exame toxicológico pré-admissional, às custas do empregad"&amp;"or. Número de Horas por Semana: 35 Horário de Trabalho (Início/Término): 8h00 - 15h00")</f>
        <v>Os cozinheiros serão responsáveis ​​por preparar, temperar e cozinhar sopas, carnes, legumes, sobremesas e outros itens alimentícios em um restaurante. Horário: 35 horas semanais. O horário de trabalho pode variar e incluir turnos noturnos, fins de semana e feriados. O trabalho pode ser realizado em qualquer dia da semana, de segunda a domingo. Exemplos de turnos: 8h às 15h, 14h às 21h ou 7h às 14h. Os horários dos turnos podem variar. Consulte a descrição do cargo em anexo para obter mais informações. Classificação do cargo: 35-2014.00 - Cozinheiros, Restaurante. A classificação e a descrição do cargo/setor incluem informações gerais sobre a posição, de acordo com o ONET/OES e o Sistema de Classificação Industrial da América do Norte. Consulte as Funções e a Ordem de Serviço para obter mais informações. Requisitos da Vaga Experiência Necessária: Sim Meses de Experiência Necessários: 6 Requisitos Especiais: O contratante considerará para emprego qualquer pessoa que possua pelo menos seis (6) meses de experiência culinária em um ambiente de alta gastronomia ou de grande movimento em um restaurante sofisticado, resort ou clube privado. O candidato deverá se submeter à verificação de antecedentes e ao exame toxicológico pré-admissional, às custas do empregador. Número de Horas por Semana: 35 Horário de Trabalho (Início/Término): 8h00 - 15h00</v>
      </c>
    </row>
    <row r="1336" ht="20.25" customHeight="1">
      <c r="A1336" s="3" t="s">
        <v>5900</v>
      </c>
      <c r="B1336" s="3" t="s">
        <v>5901</v>
      </c>
      <c r="C1336" s="3" t="s">
        <v>5563</v>
      </c>
      <c r="D1336" s="3" t="s">
        <v>36</v>
      </c>
      <c r="E1336" s="4" t="s">
        <v>19</v>
      </c>
      <c r="F1336" s="4" t="s">
        <v>20</v>
      </c>
      <c r="G1336" s="4" t="s">
        <v>5693</v>
      </c>
      <c r="H1336" s="3" t="s">
        <v>5902</v>
      </c>
      <c r="I1336" s="3" t="s">
        <v>5903</v>
      </c>
      <c r="J1336" s="4">
        <v>10.89</v>
      </c>
      <c r="K1336" s="4">
        <v>26.0</v>
      </c>
      <c r="L1336" s="3" t="s">
        <v>5904</v>
      </c>
      <c r="M1336" s="3" t="s">
        <v>5905</v>
      </c>
      <c r="N1336" s="7" t="str">
        <f>IFERROR(__xludf.DUMMYFUNCTION("GOOGLETRANSLATE(L1336, ""en"", ""pt"")"),"Processadores de camarão")</f>
        <v>Processadores de camarão</v>
      </c>
      <c r="O1336" s="7" t="str">
        <f>IFERROR(__xludf.DUMMYFUNCTION("IF(M1336="""","""",GOOGLETRANSLATE(M1336,""en"",""pt""))"),"Os funcionários colocarão os camarões em mesas para serem decapitados, descascados, limpos, selecionados e colocados em recipientes; embalarão com gelo; colocarão os recipientes em paletes e os envolverão para envio; descartarão as cascas de camarão em ár"&amp;"eas designadas; levantarão/carregarão até 23 kg. *Segue uma descrição de trabalho mais detalhada referente às tarefas de carga e descarga: Os funcionários auxiliarão na descarga do produto bruto (camarão) de barcos ou caminhões e o colocarão na área de pr"&amp;"ocessamento ou em mesas para ser processado. Os funcionários também auxiliarão no carregamento dos produtos acabados em refrigeradores ou congeladores para armazenamento. Os funcionários auxiliarão no carregamento dos produtos acabados em caminhões para e"&amp;"nvio. Aumento/bônus a critério do empregador, dependendo dos níveis de produção, experiência e/ou desempenho. O empregador fornece transporte de ida e volta para todas as unidades de produção. Não há itinerário envolvido, pois o deslocamento é apenas entr"&amp;"e as unidades localizadas no Condado de Pamlico, em 66 Cross Rd, Grantsboro, NC e 28 North First St., Vandemere, NC. Consulte o Adendo em anexo. Classificação da Função: 51-3022.00 - Cortadores e Aparadores de Carne, Aves e Peixes. A classificação e descr"&amp;"ição da função/setor inclui informações gerais sobre o cargo, de acordo com o ONET/OES e o Sistema de Classificação Industrial da América do Norte (NAICS). Consulte as Funções e a Ordem de Serviço para obter mais informações. Requisitos da Função: Experiê"&amp;"ncia Necessária: Não. Requisitos Especiais: Capacidade de levantar/carregar até 23 kg. O empregador mantém um ambiente de trabalho livre do uso de drogas ilícitas, álcool e substâncias controladas não autorizadas. É proibido o uso, a posse, a venda ou est"&amp;"ar sob a influência de drogas ilícitas ou álcool durante o horário de trabalho ou nas dependências do empregador. O empregador poderá realizar verificações legais relacionadas ao trabalho, incluindo consultas sobre antecedentes criminais, quando permitido"&amp;" pelas leis federais, estaduais e locais aplicáveis. Qualquer análise de antecedentes criminais será feita individualmente e as decisões de emprego serão tomadas de forma não discriminatória, em conformidade com as leis aplicáveis ​​e as necessidades da e"&amp;"mpresa. Não são permitidas doenças infecciosas; alergias a frutos do mar podem ser fatais. O empregador fornece transporte de ida e volta para todas as unidades fabris. Não há itinerário a ser definido, pois o deslocamento se limita às unidades localizada"&amp;"s no Condado de Pamlico, nos endereços 66 Cross Rd, Grantsboro, NC e 28 North First St., Vandemere, NC. Número de horas semanais: 35. Horário de trabalho (início/término): 6h às 14h.")</f>
        <v>Os funcionários colocarão os camarões em mesas para serem decapitados, descascados, limpos, selecionados e colocados em recipientes; embalarão com gelo; colocarão os recipientes em paletes e os envolverão para envio; descartarão as cascas de camarão em áreas designadas; levantarão/carregarão até 23 kg. *Segue uma descrição de trabalho mais detalhada referente às tarefas de carga e descarga: Os funcionários auxiliarão na descarga do produto bruto (camarão) de barcos ou caminhões e o colocarão na área de processamento ou em mesas para ser processado. Os funcionários também auxiliarão no carregamento dos produtos acabados em refrigeradores ou congeladores para armazenamento. Os funcionários auxiliarão no carregamento dos produtos acabados em caminhões para envio. Aumento/bônus a critério do empregador, dependendo dos níveis de produção, experiência e/ou desempenho. O empregador fornece transporte de ida e volta para todas as unidades de produção. Não há itinerário envolvido, pois o deslocamento é apenas entre as unidades localizadas no Condado de Pamlico, em 66 Cross Rd, Grantsboro, NC e 28 North First St., Vandemere, NC. Consulte o Adendo em anexo. Classificação da Função: 51-3022.00 - Cortadores e Aparadores de Carne, Aves e Peixes. A classificação e descrição da função/setor inclui informações gerais sobre o cargo, de acordo com o ONET/OES e o Sistema de Classificação Industrial da América do Norte (NAICS). Consulte as Funções e a Ordem de Serviço para obter mais informações. Requisitos da Função: Experiência Necessária: Não. Requisitos Especiais: Capacidade de levantar/carregar até 23 kg. O empregador mantém um ambiente de trabalho livre do uso de drogas ilícitas, álcool e substâncias controladas não autorizadas. É proibido o uso, a posse, a venda ou estar sob a influência de drogas ilícitas ou álcool durante o horário de trabalho ou nas dependências do empregador. O empregador poderá realizar verificações legais relacionadas ao trabalho, incluindo consultas sobre antecedentes criminais, quando permitido pelas leis federais, estaduais e locais aplicáveis. Qualquer análise de antecedentes criminais será feita individualmente e as decisões de emprego serão tomadas de forma não discriminatória, em conformidade com as leis aplicáveis ​​e as necessidades da empresa. Não são permitidas doenças infecciosas; alergias a frutos do mar podem ser fatais. O empregador fornece transporte de ida e volta para todas as unidades fabris. Não há itinerário a ser definido, pois o deslocamento se limita às unidades localizadas no Condado de Pamlico, nos endereços 66 Cross Rd, Grantsboro, NC e 28 North First St., Vandemere, NC. Número de horas semanais: 35. Horário de trabalho (início/término): 6h às 14h.</v>
      </c>
    </row>
    <row r="1337" ht="20.25" customHeight="1">
      <c r="A1337" s="8" t="s">
        <v>5906</v>
      </c>
      <c r="B1337" s="8" t="s">
        <v>5907</v>
      </c>
      <c r="C1337" s="8" t="s">
        <v>4247</v>
      </c>
      <c r="D1337" s="8" t="s">
        <v>36</v>
      </c>
      <c r="E1337" s="9" t="s">
        <v>19</v>
      </c>
      <c r="F1337" s="9" t="s">
        <v>20</v>
      </c>
      <c r="G1337" s="9" t="s">
        <v>404</v>
      </c>
      <c r="H1337" s="8" t="s">
        <v>5908</v>
      </c>
      <c r="I1337" s="8" t="s">
        <v>5909</v>
      </c>
      <c r="J1337" s="9">
        <v>20.11</v>
      </c>
      <c r="K1337" s="9">
        <v>13.0</v>
      </c>
      <c r="L1337" s="8" t="s">
        <v>4250</v>
      </c>
      <c r="M1337" s="8" t="s">
        <v>5910</v>
      </c>
      <c r="N1337" s="7" t="str">
        <f>IFERROR(__xludf.DUMMYFUNCTION("GOOGLETRANSLATE(L1337, ""en"", ""pt"")"),"49-9098: Ajudantes — Trabalhos de instalação, manutenção e reparo")</f>
        <v>49-9098: Ajudantes — Trabalhos de instalação, manutenção e reparo</v>
      </c>
      <c r="O1337" s="7" t="str">
        <f>IFERROR(__xludf.DUMMYFUNCTION("IF(M1337="""","""",GOOGLETRANSLATE(M1337,""en"",""pt""))"),"***2ª resposta à RFI*** Tarefas executadas em veículos: Limpeza. Ferramentas utilizadas: Pode-se usar vassoura, pano e sabão. Tarefas executadas em máquinas industriais. Para esclarecer, as máquinas industriais incluem brinquedos de parques de diversões, "&amp;"trailers de venda de alimentos e equipamentos relacionados. Substituição de peças defeituosas ou desgastadas, como lâmpadas, interruptores, correias e mangueiras. Lixar, raspar e limpar superfícies e estruturas para manter a aparência e evitar ferrugem ou"&amp;" deterioração. Ferramentas utilizadas: Pode-se usar as seguintes ferramentas, equipamentos e materiais ao executar as tarefas atribuídas: Chaves de boca, jogos de soquetes e catracas, chaves de fenda, alicates, martelos, alavancas, trena, chaves ajustávei"&amp;"s, lixa, lápis e luvas. Serão utilizadas escadas, aspiradores de pó e equipamentos e suprimentos de limpeza, como esponjas, panos e sabão. Tarefas executadas em equipamentos elétricos e eletrônicos. Para esclarecer, os equipamentos elétricos e eletrônicos"&amp;" nos quais será trabalhado incluem os sistemas de som e as caixas de controle presentes nos brinquedos de parques de diversões. As tarefas incluem a limpeza de poeira e detritos que possam ter se acumulado no sistema, a substituição de lâmpadas e a coloca"&amp;"ção de abraçadeiras ou fixadores similares na fiação. Ferramentas: Podem ser utilizadas as seguintes ferramentas, equipamentos e materiais para a execução das tarefas: chaves, conjuntos de soquetes e catracas, chaves de fenda, alicates, martelos, alavanca"&amp;"s, trena, chaves ajustáveis, lixa, latas de ar comprimido, lápis e luvas. Serão utilizadas escadas, aspiradores de pó e equipamentos e materiais de limpeza, como esponjas, panos e sabão. ***1ª resposta à RFI*** Tarefas específicas e ferramentas utilizadas"&amp;" para a execução dessas tarefas: Os trabalhadores auxiliarão na montagem e desmontagem, para fins de revisão e reparo, de brinquedos de parques de diversões, trailers de alimentação e equipamentos relacionados. Substituirão peças defeituosas ou desgastada"&amp;"s, como lâmpadas, interruptores, correias e mangueiras. Lixarão, rasparão e limparão trailers, superfícies e estruturas metálicas para manter a aparência e evitar ferrugem ou deterioração. Verificarão e substituirão lâmpadas, soquetes, fusíveis e luminári"&amp;"as, conforme necessário. Limpar e manter as áreas de trabalho. Os trabalhadores podem usar as seguintes ferramentas, equipamentos e materiais ao executar as tarefas atribuídas: chaves, conjuntos de soquetes e catracas, chaves de fenda, alicates, martelos,"&amp;" alavancas, trena, chaves ajustáveis, lixa, lápis e luvas. Eles usarão escadas, aspiradores de pó e equipamentos e suprimentos de limpeza, como esponjas, panos e sabão. Não serão realizados serviços em veículos, máquinas industriais ou equipamentos elétri"&amp;"cos e eletrônicos, apenas em brinquedos de parques de diversões, trailers de alimentação e equipamentos relacionados. Nenhum trabalho será realizado em motores a diesel. ***Original*** Auxiliar os trabalhadores de instalação, manutenção e reparo na manute"&amp;"nção, substituição de peças e reparo de veículos, máquinas industriais e equipamentos elétricos e eletrônicos. Executar tarefas como fornecer ferramentas, materiais e suprimentos para outros trabalhadores; limpar a área de trabalho, máquinas e ferramentas"&amp;"; e segurar materiais ou ferramentas para outros trabalhadores. Classificação da Função: 49-9071.00 - Trabalhadores de Manutenção e Reparo, Geral. A classificação e descrição da função/setor inclui informações gerais sobre o cargo, conforme o ONET/OES e o"&amp;" Sistema de Classificação Industrial da América do Norte (NAICS). Consulte as Funções e a Ordem de Serviço para obter mais informações. Requisitos da Função Experiência Necessária: Não. Requisitos Especiais: Testes aleatórios de drogas e verificação de an"&amp;"tecedentes criminais após a contratação podem ser exigidos, sem custo para o trabalhador. A função exige que o candidato seja qualificado, esteja pronto, disposto, apto e disponível para desempenhar suas funções durante todo o período de emprego nos locai"&amp;"s de trabalho designados; e para seguir as normas do local de trabalho. Número de Horas por Semana: 35. Horário de Trabalho (Início/Término): 8h00 - 16h00.")</f>
        <v>***2ª resposta à RFI*** Tarefas executadas em veículos: Limpeza. Ferramentas utilizadas: Pode-se usar vassoura, pano e sabão. Tarefas executadas em máquinas industriais. Para esclarecer, as máquinas industriais incluem brinquedos de parques de diversões, trailers de venda de alimentos e equipamentos relacionados. Substituição de peças defeituosas ou desgastadas, como lâmpadas, interruptores, correias e mangueiras. Lixar, raspar e limpar superfícies e estruturas para manter a aparência e evitar ferrugem ou deterioração. Ferramentas utilizadas: Pode-se usar as seguintes ferramentas, equipamentos e materiais ao executar as tarefas atribuídas: Chaves de boca, jogos de soquetes e catracas, chaves de fenda, alicates, martelos, alavancas, trena, chaves ajustáveis, lixa, lápis e luvas. Serão utilizadas escadas, aspiradores de pó e equipamentos e suprimentos de limpeza, como esponjas, panos e sabão. Tarefas executadas em equipamentos elétricos e eletrônicos. Para esclarecer, os equipamentos elétricos e eletrônicos nos quais será trabalhado incluem os sistemas de som e as caixas de controle presentes nos brinquedos de parques de diversões. As tarefas incluem a limpeza de poeira e detritos que possam ter se acumulado no sistema, a substituição de lâmpadas e a colocação de abraçadeiras ou fixadores similares na fiação. Ferramentas: Podem ser utilizadas as seguintes ferramentas, equipamentos e materiais para a execução das tarefas: chaves, conjuntos de soquetes e catracas, chaves de fenda, alicates, martelos, alavancas, trena, chaves ajustáveis, lixa, latas de ar comprimido, lápis e luvas. Serão utilizadas escadas, aspiradores de pó e equipamentos e materiais de limpeza, como esponjas, panos e sabão. ***1ª resposta à RFI*** Tarefas específicas e ferramentas utilizadas para a execução dessas tarefas: Os trabalhadores auxiliarão na montagem e desmontagem, para fins de revisão e reparo, de brinquedos de parques de diversões, trailers de alimentação e equipamentos relacionados. Substituirão peças defeituosas ou desgastadas, como lâmpadas, interruptores, correias e mangueiras. Lixarão, rasparão e limparão trailers, superfícies e estruturas metálicas para manter a aparência e evitar ferrugem ou deterioração. Verificarão e substituirão lâmpadas, soquetes, fusíveis e luminárias, conforme necessário. Limpar e manter as áreas de trabalho. Os trabalhadores podem usar as seguintes ferramentas, equipamentos e materiais ao executar as tarefas atribuídas: chaves, conjuntos de soquetes e catracas, chaves de fenda, alicates, martelos, alavancas, trena, chaves ajustáveis, lixa, lápis e luvas. Eles usarão escadas, aspiradores de pó e equipamentos e suprimentos de limpeza, como esponjas, panos e sabão. Não serão realizados serviços em veículos, máquinas industriais ou equipamentos elétricos e eletrônicos, apenas em brinquedos de parques de diversões, trailers de alimentação e equipamentos relacionados. Nenhum trabalho será realizado em motores a diesel. ***Original*** Auxiliar os trabalhadores de instalação, manutenção e reparo na manutenção, substituição de peças e reparo de veículos, máquinas industriais e equipamentos elétricos e eletrônicos. Executar tarefas como fornecer ferramentas, materiais e suprimentos para outros trabalhadores; limpar a área de trabalho, máquinas e ferramentas; e segurar materiais ou ferramentas para outros trabalhadores. Classificação da Função: 49-9071.00 - Trabalhadores de Manutenção e Reparo, Geral. A classificação e descrição da função/setor inclui informações gerais sobre o cargo, conforme o ONET/OES e o Sistema de Classificação Industrial da América do Norte (NAICS). Consulte as Funções e a Ordem de Serviço para obter mais informações. Requisitos da Função Experiência Necessária: Não. Requisitos Especiais: Testes aleatórios de drogas e verificação de antecedentes criminais após a contratação podem ser exigidos, sem custo para o trabalhador. A função exige que o candidato seja qualificado, esteja pronto, disposto, apto e disponível para desempenhar suas funções durante todo o período de emprego nos locais de trabalho designados; e para seguir as normas do local de trabalho. Número de Horas por Semana: 35. Horário de Trabalho (Início/Término): 8h00 - 16h00.</v>
      </c>
    </row>
    <row r="1338" ht="20.25" customHeight="1">
      <c r="A1338" s="3" t="s">
        <v>5911</v>
      </c>
      <c r="B1338" s="3" t="s">
        <v>5912</v>
      </c>
      <c r="C1338" s="3" t="s">
        <v>4247</v>
      </c>
      <c r="D1338" s="3" t="s">
        <v>64</v>
      </c>
      <c r="E1338" s="4" t="s">
        <v>44</v>
      </c>
      <c r="F1338" s="4" t="s">
        <v>20</v>
      </c>
      <c r="G1338" s="4" t="s">
        <v>56</v>
      </c>
      <c r="H1338" s="3" t="s">
        <v>5913</v>
      </c>
      <c r="I1338" s="3" t="s">
        <v>5914</v>
      </c>
      <c r="J1338" s="4">
        <v>11.15</v>
      </c>
      <c r="K1338" s="4">
        <v>24.0</v>
      </c>
      <c r="L1338" s="3" t="s">
        <v>5664</v>
      </c>
      <c r="M1338" s="3" t="s">
        <v>5915</v>
      </c>
      <c r="N1338" s="7" t="str">
        <f>IFERROR(__xludf.DUMMYFUNCTION("GOOGLETRANSLATE(L1338, ""en"", ""pt"")"),"Atendente de Diversão e Recreação – Parque de Diversões Itinerante")</f>
        <v>Atendente de Diversão e Recreação – Parque de Diversões Itinerante</v>
      </c>
      <c r="O1338" s="7" t="str">
        <f>IFERROR(__xludf.DUMMYFUNCTION("IF(M1338="""","""",GOOGLETRANSLATE(M1338,""en"",""pt""))"),"Executar diversas tarefas em um parque de diversões itinerante, montando, desmontando e operando brinquedos. Pode vender ingressos e cobrar taxas dos clientes; fornecer informações sobre as instalações, regras e regulamentos; direcionar os clientes aos br"&amp;"inquedos, assentos ou atrações; monitorar as atividades para garantir o cumprimento das regras e procedimentos de segurança; auxiliar os clientes na entrada ou saída dos brinquedos; limpar brinquedos, barracas, instalações ou terrenos; inspecionar equipam"&amp;"entos para detectar desgaste e danos e realizar pequenos reparos, ajustes ou tarefas de manutenção, como lubrificação de peças; fixar dispositivos de segurança para os clientes ou fornecer instruções sobre como fixá-los. Classificação da vaga: 39-3091.00 "&amp;"- Atendentes de Parques de Diversões e Recreação. A classificação e descrição da vaga/setor incluem informações gerais sobre o cargo, de acordo com o ONET/OES e o Sistema de Classificação Industrial da América do Norte. Consulte as Funções e a Ordem de Se"&amp;"rviço para obter mais informações. Requisitos da vaga: Experiência exigida: Não. Requisitos especiais: Testes aleatórios de drogas e verificação de antecedentes criminais após a contratação podem ser exigidos, sem custo para o trabalhador. A vaga exige qu"&amp;"e o candidato seja qualificado, esteja pronto, disposto, apto e disponível para desempenhar suas funções durante todo o período de emprego nos locais de trabalho designados, além de seguir as normas da empresa. Número de horas semanais: 35. Horário de tra"&amp;"balho (início/término): 13h às 21h.")</f>
        <v>Executar diversas tarefas em um parque de diversões itinerante, montando, desmontando e operando brinquedos. Pode vender ingressos e cobrar taxas dos clientes; fornecer informações sobre as instalações, regras e regulamentos; direcionar os clientes aos brinquedos, assentos ou atrações; monitorar as atividades para garantir o cumprimento das regras e procedimentos de segurança; auxiliar os clientes na entrada ou saída dos brinquedos; limpar brinquedos, barracas, instalações ou terrenos; inspecionar equipamentos para detectar desgaste e danos e realizar pequenos reparos, ajustes ou tarefas de manutenção, como lubrificação de peças; fixar dispositivos de segurança para os clientes ou fornecer instruções sobre como fixá-los. Classificação da vaga: 39-3091.00 - Atendentes de Parques de Diversões e Recreação. A classificação e descrição da vaga/setor incluem informações gerais sobre o cargo, de acordo com o ONET/OES e o Sistema de Classificação Industrial da América do Norte. Consulte as Funções e a Ordem de Serviço para obter mais informações. Requisitos da vaga: Experiência exigida: Não. Requisitos especiais: Testes aleatórios de drogas e verificação de antecedentes criminais após a contratação podem ser exigidos, sem custo para o trabalhador. A vaga exige que o candidato seja qualificado, esteja pronto, disposto, apto e disponível para desempenhar suas funções durante todo o período de emprego nos locais de trabalho designados, além de seguir as normas da empresa. Número de horas semanais: 35. Horário de trabalho (início/término): 13h às 21h.</v>
      </c>
    </row>
    <row r="1339" ht="20.25" customHeight="1">
      <c r="A1339" s="8" t="s">
        <v>5916</v>
      </c>
      <c r="B1339" s="8" t="s">
        <v>5917</v>
      </c>
      <c r="C1339" s="8" t="s">
        <v>5563</v>
      </c>
      <c r="D1339" s="8" t="s">
        <v>186</v>
      </c>
      <c r="E1339" s="9" t="s">
        <v>44</v>
      </c>
      <c r="F1339" s="9" t="s">
        <v>20</v>
      </c>
      <c r="G1339" s="9" t="s">
        <v>80</v>
      </c>
      <c r="H1339" s="8" t="s">
        <v>5918</v>
      </c>
      <c r="I1339" s="8" t="s">
        <v>5919</v>
      </c>
      <c r="J1339" s="9">
        <v>15.45</v>
      </c>
      <c r="K1339" s="9">
        <v>20.0</v>
      </c>
      <c r="L1339" s="8" t="s">
        <v>105</v>
      </c>
      <c r="M1339" s="8" t="s">
        <v>5920</v>
      </c>
      <c r="N1339" s="7" t="str">
        <f>IFERROR(__xludf.DUMMYFUNCTION("GOOGLETRANSLATE(L1339, ""en"", ""pt"")"),"Abridores de Ostras")</f>
        <v>Abridores de Ostras</v>
      </c>
      <c r="O1339" s="7" t="str">
        <f>IFERROR(__xludf.DUMMYFUNCTION("IF(M1339="""","""",GOOGLETRANSLATE(M1339,""en"",""pt""))"),"Abrir e retirar a carne das ostras da concha, separar a carne por tamanho/qualidade, preparar as ostras para venda no atacado/varejo, limpar e higienizar as áreas de trabalho e os equipamentos, colocar as ostras em recipientes, selar e embalar as ostras e"&amp;"m recipientes, movimentar, despejar e distribuir o produto cru, retirar as ostras de barcos ou caminhões, ocasionalmente usar equipamentos de movimentação de materiais (lavadora de conchas, balanças e equipamentos para manusear frutos do mar), congelar e "&amp;"colocar as ostras em recipientes. Consulte o Adendo em anexo. Classificação da Função: 51-3022.00 - Cortadores e Aparadores de Carne, Aves e Peixes. A classificação e descrição da função/setor inclui informações gerais sobre o cargo, de acordo com o ONET/"&amp;"OES e o Sistema de Classificação Industrial da América do Norte. Consulte as Funções e a Ordem de Serviço para obter mais informações. Requisitos da Função: Experiência Necessária: Não. Requisitos Especiais: Levantar/carregar até 34 kg. O empregador manté"&amp;"m um ambiente de trabalho livre do uso de drogas ilícitas, álcool e substâncias controladas não autorizadas. É proibido o uso, a posse, a venda ou o estado de embriaguez sob o efeito de drogas ilícitas ou álcool durante o horário de trabalho ou nas depend"&amp;"ências do empregador. O empregador poderá realizar verificações legais e relacionadas ao trabalho, incluindo a verificação de antecedentes criminais, quando permitido pelas leis federais, estaduais e locais aplicáveis. Qualquer análise de antecedentes cri"&amp;"minais será feita individualmente e as decisões de contratação serão tomadas de forma não discriminatória, em conformidade com as leis aplicáveis ​​e as necessidades da empresa. Não são permitidas doenças infecciosas; alergias a frutos do mar podem ser fa"&amp;"tais. Número de horas por semana: 44. Horário de trabalho (início/término): 6h às 14h.")</f>
        <v>Abrir e retirar a carne das ostras da concha, separar a carne por tamanho/qualidade, preparar as ostras para venda no atacado/varejo, limpar e higienizar as áreas de trabalho e os equipamentos, colocar as ostras em recipientes, selar e embalar as ostras em recipientes, movimentar, despejar e distribuir o produto cru, retirar as ostras de barcos ou caminhões, ocasionalmente usar equipamentos de movimentação de materiais (lavadora de conchas, balanças e equipamentos para manusear frutos do mar), congelar e colocar as ostras em recipientes. Consulte o Adendo em anexo. Classificação da Função: 51-3022.00 - Cortadores e Aparadores de Carne, Aves e Peixes. A classificação e descrição da função/setor inclui informações gerais sobre o cargo, de acordo com o ONET/OES e o Sistema de Classificação Industrial da América do Norte. Consulte as Funções e a Ordem de Serviço para obter mais informações. Requisitos da Função: Experiência Necessária: Não. Requisitos Especiais: Levantar/carregar até 34 kg. O empregador mantém um ambiente de trabalho livre do uso de drogas ilícitas, álcool e substâncias controladas não autorizadas. É proibido o uso, a posse, a venda ou o estado de embriaguez sob o efeito de drogas ilícitas ou álcool durante o horário de trabalho ou nas dependências do empregador. O empregador poderá realizar verificações legais e relacionadas ao trabalho, incluindo a verificação de antecedentes criminais, quando permitido pelas leis federais, estaduais e locais aplicáveis. Qualquer análise de antecedentes criminais será feita individualmente e as decisões de contratação serão tomadas de forma não discriminatória, em conformidade com as leis aplicáveis ​​e as necessidades da empresa. Não são permitidas doenças infecciosas; alergias a frutos do mar podem ser fatais. Número de horas por semana: 44. Horário de trabalho (início/término): 6h às 14h.</v>
      </c>
    </row>
    <row r="1340" ht="20.25" customHeight="1">
      <c r="A1340" s="3" t="s">
        <v>5921</v>
      </c>
      <c r="B1340" s="3" t="s">
        <v>5922</v>
      </c>
      <c r="C1340" s="3" t="s">
        <v>5563</v>
      </c>
      <c r="D1340" s="3" t="s">
        <v>36</v>
      </c>
      <c r="E1340" s="4" t="s">
        <v>19</v>
      </c>
      <c r="F1340" s="4" t="s">
        <v>20</v>
      </c>
      <c r="G1340" s="4" t="s">
        <v>377</v>
      </c>
      <c r="H1340" s="3" t="s">
        <v>5923</v>
      </c>
      <c r="I1340" s="3" t="s">
        <v>5924</v>
      </c>
      <c r="J1340" s="4">
        <v>13.52</v>
      </c>
      <c r="K1340" s="4">
        <v>40.0</v>
      </c>
      <c r="L1340" s="3" t="s">
        <v>5925</v>
      </c>
      <c r="M1340" s="3" t="s">
        <v>5926</v>
      </c>
      <c r="N1340" s="7" t="str">
        <f>IFERROR(__xludf.DUMMYFUNCTION("GOOGLETRANSLATE(L1340, ""en"", ""pt"")"),"Processador de frutos do mar/processador de caranguejos")</f>
        <v>Processador de frutos do mar/processador de caranguejos</v>
      </c>
      <c r="O1340" s="7" t="str">
        <f>IFERROR(__xludf.DUMMYFUNCTION("IF(M1340="""","""",GOOGLETRANSLATE(M1340,""en"",""pt""))"),"Código SOC: 51-3022 — Cortadores e Aparadores de Carne, Aves e Peixes • Limpar e abrir ostras • Separar a carne por tamanho/qualidade • Preparar frutos do mar para venda no atacado/varejo • Limpar e higienizar áreas de trabalho e equipamentos • Manter a c"&amp;"onformidade com as normas de segurança alimentar Código SOC: 53-7064 — Embaladores e Operadores de Embalagens Manuais • Pesar, contar e medir o produto • Colocar frutos do mar em recipientes • Selar, colocar gelo e embalar os produtos • Montar caixas Códi"&amp;"go SOC: 53-7062 — Operários e Movimentadores de Carga, Estoque e Materiais Manuais • Movimentar, descarregar e distribuir o produto • Realizar trabalhos no cais • Retirar ostras de barcos ou caminhões • Carregar produtos acabados em caminhões • Utilizar e"&amp;"quipamentos de movimentação de materiais (ocasionalmente) • Colocar o produto cru em mesas de processamento • Congelar e retirar ostras com pás. Consulte o Adendo em anexo. Classificação da Função: 51-3022.00 - Cortadores e Aparadores de Carne, Aves e Pei"&amp;"xes. A classificação e descrição da função/setor inclui informações gerais sobre o cargo, de acordo com o ONET/OES e o Sistema de Classificação Industrial da América do Norte (NAICS). Consulte as Funções e a Ordem de Serviço para obter mais informações. R"&amp;"equisitos da Função: Experiência Necessária: Não. Requisitos Especiais: Capacidade de levantar/carregar até 23 kg. O empregador mantém um ambiente de trabalho livre do uso de drogas ilícitas, álcool e substâncias controladas não autorizadas. É proibido o "&amp;"uso, a posse, a venda ou estar sob a influência de drogas ilícitas ou álcool durante o horário de trabalho ou nas dependências do empregador. O empregador poderá realizar verificações legais relacionadas ao trabalho, incluindo consultas sobre antecedentes"&amp;" criminais, quando permitido pelas leis federais, estaduais e locais aplicáveis. Qualquer análise de antecedentes criminais será feita individualmente e as decisões de emprego serão tomadas de forma não discriminatória, em conformidade com as leis aplicáv"&amp;"eis ​​e as necessidades da empresa. Não é permitido o uso de doenças infecciosas; alergias a frutos do mar podem ser fatais. Número de horas por semana: 40 Horário de trabalho (início/término): 8h30 - 16h00")</f>
        <v>Código SOC: 51-3022 — Cortadores e Aparadores de Carne, Aves e Peixes • Limpar e abrir ostras • Separar a carne por tamanho/qualidade • Preparar frutos do mar para venda no atacado/varejo • Limpar e higienizar áreas de trabalho e equipamentos • Manter a conformidade com as normas de segurança alimentar Código SOC: 53-7064 — Embaladores e Operadores de Embalagens Manuais • Pesar, contar e medir o produto • Colocar frutos do mar em recipientes • Selar, colocar gelo e embalar os produtos • Montar caixas Código SOC: 53-7062 — Operários e Movimentadores de Carga, Estoque e Materiais Manuais • Movimentar, descarregar e distribuir o produto • Realizar trabalhos no cais • Retirar ostras de barcos ou caminhões • Carregar produtos acabados em caminhões • Utilizar equipamentos de movimentação de materiais (ocasionalmente) • Colocar o produto cru em mesas de processamento • Congelar e retirar ostras com pás. Consulte o Adendo em anexo. Classificação da Função: 51-3022.00 - Cortadores e Aparadores de Carne, Aves e Peixes. A classificação e descrição da função/setor inclui informações gerais sobre o cargo, de acordo com o ONET/OES e o Sistema de Classificação Industrial da América do Norte (NAICS). Consulte as Funções e a Ordem de Serviço para obter mais informações. Requisitos da Função: Experiência Necessária: Não. Requisitos Especiais: Capacidade de levantar/carregar até 23 kg. O empregador mantém um ambiente de trabalho livre do uso de drogas ilícitas, álcool e substâncias controladas não autorizadas. É proibido o uso, a posse, a venda ou estar sob a influência de drogas ilícitas ou álcool durante o horário de trabalho ou nas dependências do empregador. O empregador poderá realizar verificações legais relacionadas ao trabalho, incluindo consultas sobre antecedentes criminais, quando permitido pelas leis federais, estaduais e locais aplicáveis. Qualquer análise de antecedentes criminais será feita individualmente e as decisões de emprego serão tomadas de forma não discriminatória, em conformidade com as leis aplicáveis ​​e as necessidades da empresa. Não é permitido o uso de doenças infecciosas; alergias a frutos do mar podem ser fatais. Número de horas por semana: 40 Horário de trabalho (início/término): 8h30 - 16h00</v>
      </c>
    </row>
    <row r="1341" ht="20.25" customHeight="1">
      <c r="A1341" s="8" t="s">
        <v>5927</v>
      </c>
      <c r="B1341" s="8" t="s">
        <v>5928</v>
      </c>
      <c r="C1341" s="8" t="s">
        <v>5563</v>
      </c>
      <c r="D1341" s="8" t="s">
        <v>403</v>
      </c>
      <c r="E1341" s="9" t="s">
        <v>19</v>
      </c>
      <c r="F1341" s="9" t="s">
        <v>20</v>
      </c>
      <c r="G1341" s="9" t="s">
        <v>307</v>
      </c>
      <c r="H1341" s="8" t="s">
        <v>5929</v>
      </c>
      <c r="I1341" s="8" t="s">
        <v>5930</v>
      </c>
      <c r="J1341" s="9">
        <v>16.82</v>
      </c>
      <c r="K1341" s="9">
        <v>10.0</v>
      </c>
      <c r="L1341" s="8" t="s">
        <v>5825</v>
      </c>
      <c r="M1341" s="8" t="s">
        <v>5931</v>
      </c>
      <c r="N1341" s="7" t="str">
        <f>IFERROR(__xludf.DUMMYFUNCTION("GOOGLETRANSLATE(L1341, ""en"", ""pt"")"),"Processadores de frutos do mar / Catadores de caranguejos")</f>
        <v>Processadores de frutos do mar / Catadores de caranguejos</v>
      </c>
      <c r="O1341" s="7" t="str">
        <f>IFERROR(__xludf.DUMMYFUNCTION("IF(M1341="""","""",GOOGLETRANSLATE(M1341,""en"",""pt""))"),"Cozinhar, limpar e selecionar caranguejos inteiros, pesar, separar a carne processada por tamanho ou qualidade e colocá-la em recipientes, selar, contar, medir, colocar gelo, desossar, embalar, cozinhar, quebrar, processar frutos do mar e preparar pedidos"&amp;" para venda no atacado/varejo. Limpar e preparar o local de trabalho e os equipamentos para atender a todas as normas estaduais e federais de segurança alimentar, carregar/descarregar, podendo haver uso ocasional de equipamentos de movimentação de materia"&amp;"is, despejar, mover, trabalhar no cais, congelar, retirar caranguejos com pá, grampear e montar caixas. Os trabalhadores auxiliarão na remoção do produto cru (caranguejos) de barcos ou caminhões e na colocação na área de processamento ou em mesas para ser"&amp;"em processadas. Os trabalhadores também auxiliarão na colocação dos produtos acabados em caminhões para envio. Pode ser oferecido pagamento por peça; a taxa é determinada com base no salário vigente. Consulte o Adendo em anexo. Classificação do Cargo: 51-"&amp;"3022.00 - Cortadores e Aparadores de Carne, Aves e Peixes. A classificação e descrição do cargo/setor inclui informações gerais sobre a posição da ONET/OES e do Sistema de Classificação Industrial da América do Norte. Consulte a Descrição das Funções e a "&amp;"Ordem de Serviço para obter mais informações. Requisitos da Vaga Experiência Necessária: Não Requisitos Especiais: Levantar/carregar até 23 kg. O empregador mantém um ambiente de trabalho livre do uso de drogas ilícitas, álcool e substâncias controladas n"&amp;"ão autorizadas. É proibido o uso, a posse, a venda ou estar sob a influência de drogas ilícitas ou álcool durante o horário de trabalho ou nas dependências do empregador. O empregador poderá realizar verificações legais relacionadas ao trabalho, incluindo"&amp;" consultas sobre antecedentes criminais, quando permitido pelas leis federais, estaduais e locais aplicáveis. Qualquer análise de antecedentes criminais será feita individualmente e as decisões de contratação serão tomadas de forma não discriminatória, em"&amp;" conformidade com as leis aplicáveis ​​e as necessidades da empresa. Não são permitidas doenças infecciosas; alergias a frutos do mar podem ser fatais. Número de Horas por Semana: 40 Horário de Trabalho (Início/Término): 5h00 - 13h30.")</f>
        <v>Cozinhar, limpar e selecionar caranguejos inteiros, pesar, separar a carne processada por tamanho ou qualidade e colocá-la em recipientes, selar, contar, medir, colocar gelo, desossar, embalar, cozinhar, quebrar, processar frutos do mar e preparar pedidos para venda no atacado/varejo. Limpar e preparar o local de trabalho e os equipamentos para atender a todas as normas estaduais e federais de segurança alimentar, carregar/descarregar, podendo haver uso ocasional de equipamentos de movimentação de materiais, despejar, mover, trabalhar no cais, congelar, retirar caranguejos com pá, grampear e montar caixas. Os trabalhadores auxiliarão na remoção do produto cru (caranguejos) de barcos ou caminhões e na colocação na área de processamento ou em mesas para serem processadas. Os trabalhadores também auxiliarão na colocação dos produtos acabados em caminhões para envio. Pode ser oferecido pagamento por peça; a taxa é determinada com base no salário vigente. Consulte o Adendo em anexo. Classificação do Cargo: 51-3022.00 - Cortadores e Aparadores de Carne, Aves e Peixes. A classificação e descrição do cargo/setor inclui informações gerais sobre a posição da ONET/OES e do Sistema de Classificação Industrial da América do Norte. Consulte a Descrição das Funções e a Ordem de Serviço para obter mais informações. Requisitos da Vaga Experiência Necessária: Não Requisitos Especiais: Levantar/carregar até 23 kg. O empregador mantém um ambiente de trabalho livre do uso de drogas ilícitas, álcool e substâncias controladas não autorizadas. É proibido o uso, a posse, a venda ou estar sob a influência de drogas ilícitas ou álcool durante o horário de trabalho ou nas dependências do empregador. O empregador poderá realizar verificações legais relacionadas ao trabalho, incluindo consultas sobre antecedentes criminais, quando permitido pelas leis federais, estaduais e locais aplicáveis. Qualquer análise de antecedentes criminais será feita individualmente e as decisões de contratação serão tomadas de forma não discriminatória, em conformidade com as leis aplicáveis ​​e as necessidades da empresa. Não são permitidas doenças infecciosas; alergias a frutos do mar podem ser fatais. Número de Horas por Semana: 40 Horário de Trabalho (Início/Término): 5h00 - 13h30.</v>
      </c>
    </row>
    <row r="1342" ht="20.25" customHeight="1">
      <c r="A1342" s="3" t="s">
        <v>5932</v>
      </c>
      <c r="B1342" s="3" t="s">
        <v>5933</v>
      </c>
      <c r="C1342" s="3" t="s">
        <v>5563</v>
      </c>
      <c r="D1342" s="3" t="s">
        <v>28</v>
      </c>
      <c r="E1342" s="4" t="s">
        <v>44</v>
      </c>
      <c r="F1342" s="4" t="s">
        <v>20</v>
      </c>
      <c r="G1342" s="4" t="s">
        <v>80</v>
      </c>
      <c r="H1342" s="3" t="s">
        <v>5934</v>
      </c>
      <c r="I1342" s="3" t="s">
        <v>5935</v>
      </c>
      <c r="J1342" s="4">
        <v>24.39</v>
      </c>
      <c r="K1342" s="4">
        <v>30.0</v>
      </c>
      <c r="L1342" s="3" t="s">
        <v>447</v>
      </c>
      <c r="M1342" s="3" t="s">
        <v>5936</v>
      </c>
      <c r="N1342" s="7" t="str">
        <f>IFERROR(__xludf.DUMMYFUNCTION("GOOGLETRANSLATE(L1342, ""en"", ""pt"")"),"Marinheiro de convés de barco de ostras")</f>
        <v>Marinheiro de convés de barco de ostras</v>
      </c>
      <c r="O1342" s="7" t="str">
        <f>IFERROR(__xludf.DUMMYFUNCTION("IF(M1342="""","""",GOOGLETRANSLATE(M1342,""en"",""pt""))"),"Os trabalhadores levantam sacos de ostras manualmente e os colocam em uma esteira transportadora. Usam as mãos para separar as ostras por tamanho e qualidade, removendo as danificadas, pequenas, mortas ou indesejáveis. Usam um machado para abrir as ostras"&amp;" e colocam a carne em recipientes, também por tamanho ou qualidade. Um pincel é usado para pintar os barcos. Cordas são usadas para amarrar e reparar dragas. Selecionam ostras, lavam e limpam os barcos, pintam os barcos, reparam as dragas e limpam a área "&amp;"de trabalho após o descarregamento das ostras. Consulte o Adendo em anexo. Classificação da Função: 45-3031.00 - Trabalhadores da Pesca e Caça. A classificação e descrição da função/setor inclui informações gerais sobre o cargo, de acordo com o ONET/OES e"&amp;" o Sistema de Classificação Industrial da América do Norte. Consulte as Funções e a Ordem de Serviço para obter mais informações. Requisitos da Função: Experiência Necessária: Não. Requisitos Especiais: Levantar ou carregar até 50 kg. O exame toxicológico"&amp;", pago pelo empregador, será realizado após a contratação, em caso de suspeita. Vagas apenas para novos contratados - É necessário o pagamento da taxa de verificação de antecedentes criminais após a contratação. Não são permitidas doenças infecciosas; ale"&amp;"rgias a frutos do mar podem ser fatais. Número de horas por semana: 35. Horário de trabalho (início/término): 6h às 14h.")</f>
        <v>Os trabalhadores levantam sacos de ostras manualmente e os colocam em uma esteira transportadora. Usam as mãos para separar as ostras por tamanho e qualidade, removendo as danificadas, pequenas, mortas ou indesejáveis. Usam um machado para abrir as ostras e colocam a carne em recipientes, também por tamanho ou qualidade. Um pincel é usado para pintar os barcos. Cordas são usadas para amarrar e reparar dragas. Selecionam ostras, lavam e limpam os barcos, pintam os barcos, reparam as dragas e limpam a área de trabalho após o descarregamento das ostras. Consulte o Adendo em anexo. Classificação da Função: 45-3031.00 - Trabalhadores da Pesca e Caça. A classificação e descrição da função/setor inclui informações gerais sobre o cargo, de acordo com o ONET/OES e o Sistema de Classificação Industrial da América do Norte. Consulte as Funções e a Ordem de Serviço para obter mais informações. Requisitos da Função: Experiência Necessária: Não. Requisitos Especiais: Levantar ou carregar até 50 kg. O exame toxicológico, pago pelo empregador, será realizado após a contratação, em caso de suspeita. Vagas apenas para novos contratados - É necessário o pagamento da taxa de verificação de antecedentes criminais após a contratação. Não são permitidas doenças infecciosas; alergias a frutos do mar podem ser fatais. Número de horas por semana: 35. Horário de trabalho (início/término): 6h às 14h.</v>
      </c>
    </row>
    <row r="1343" ht="20.25" customHeight="1">
      <c r="A1343" s="8" t="s">
        <v>5937</v>
      </c>
      <c r="B1343" s="8" t="s">
        <v>5938</v>
      </c>
      <c r="C1343" s="8" t="s">
        <v>4241</v>
      </c>
      <c r="D1343" s="8" t="s">
        <v>71</v>
      </c>
      <c r="E1343" s="9" t="s">
        <v>44</v>
      </c>
      <c r="F1343" s="9" t="s">
        <v>20</v>
      </c>
      <c r="G1343" s="9" t="s">
        <v>80</v>
      </c>
      <c r="H1343" s="8" t="s">
        <v>5939</v>
      </c>
      <c r="I1343" s="8" t="s">
        <v>5940</v>
      </c>
      <c r="J1343" s="9">
        <v>17.42</v>
      </c>
      <c r="K1343" s="9">
        <v>12.0</v>
      </c>
      <c r="L1343" s="8" t="s">
        <v>354</v>
      </c>
      <c r="M1343" s="8" t="s">
        <v>5941</v>
      </c>
      <c r="N1343" s="7" t="str">
        <f>IFERROR(__xludf.DUMMYFUNCTION("GOOGLETRANSLATE(L1343, ""en"", ""pt"")"),"Governanta")</f>
        <v>Governanta</v>
      </c>
      <c r="O1343" s="7" t="str">
        <f>IFERROR(__xludf.DUMMYFUNCTION("IF(M1343="""","""",GOOGLETRANSLATE(M1343,""en"",""pt""))"),"Os(As) camareiros(as) serão responsáveis ​​pela limpeza e manutenção de todos os quartos, suítes e áreas comuns internas do Hyatt House Naples 5th Avenue, incluindo aspirar pisos, tirar o pó, repor roupas de cama e toalhas, desinfetar banheiros e lavar ja"&amp;"nelas. Horário: 35 horas semanais. O horário de trabalho pode variar e incluir turnos noturnos, fins de semana e feriados. O trabalho pode ser realizado em qualquer dia da semana, de segunda a domingo. Exemplos de turnos: 8h30 às 15h30, 9h30 às 16h30 ou 1"&amp;"6h às 23h. Os horários dos turnos podem variar. Consulte a Descrição da Vaga para obter mais informações. Classificação da Vaga: 37-2012.00 - Camareiros(as) e Auxiliares de Limpeza. A classificação e descrição da vaga/setor inclui informações gerais sobre"&amp;" o cargo, de acordo com o ONET/OES e o Sistema de Classificação Industrial da América do Norte (NAICS). Consulte as Funções e a Ordem de Serviço para obter mais informações. Requisitos da vaga Experiência exigida: Sim Meses de experiência exigidos: 3 Requ"&amp;"isitos especiais: O contratante considerará para emprego qualquer pessoa que possua pelo menos três (3) meses de experiência em um hotel de luxo, resort ou clube privado. Número de horas por semana: 35 Horário de trabalho (início/término): 8h30 - 15h30")</f>
        <v>Os(As) camareiros(as) serão responsáveis ​​pela limpeza e manutenção de todos os quartos, suítes e áreas comuns internas do Hyatt House Naples 5th Avenue, incluindo aspirar pisos, tirar o pó, repor roupas de cama e toalhas, desinfetar banheiros e lavar janelas. Horário: 35 horas semanais. O horário de trabalho pode variar e incluir turnos noturnos, fins de semana e feriados. O trabalho pode ser realizado em qualquer dia da semana, de segunda a domingo. Exemplos de turnos: 8h30 às 15h30, 9h30 às 16h30 ou 16h às 23h. Os horários dos turnos podem variar. Consulte a Descrição da Vaga para obter mais informações. Classificação da Vaga: 37-2012.00 - Camareiros(as) e Auxiliares de Limpeza. A classificação e descrição da vaga/setor inclui informações gerais sobre o cargo, de acordo com o ONET/OES e o Sistema de Classificação Industrial da América do Norte (NAICS). Consulte as Funções e a Ordem de Serviço para obter mais informações. Requisitos da vaga Experiência exigida: Sim Meses de experiência exigidos: 3 Requisitos especiais: O contratante considerará para emprego qualquer pessoa que possua pelo menos três (3) meses de experiência em um hotel de luxo, resort ou clube privado. Número de horas por semana: 35 Horário de trabalho (início/término): 8h30 - 15h30</v>
      </c>
    </row>
    <row r="1344" ht="20.25" customHeight="1">
      <c r="A1344" s="3" t="s">
        <v>5942</v>
      </c>
      <c r="B1344" s="3" t="s">
        <v>5943</v>
      </c>
      <c r="C1344" s="3" t="s">
        <v>5563</v>
      </c>
      <c r="D1344" s="3" t="s">
        <v>36</v>
      </c>
      <c r="E1344" s="4" t="s">
        <v>44</v>
      </c>
      <c r="F1344" s="4" t="s">
        <v>20</v>
      </c>
      <c r="G1344" s="4" t="s">
        <v>377</v>
      </c>
      <c r="H1344" s="3" t="s">
        <v>5944</v>
      </c>
      <c r="I1344" s="3" t="s">
        <v>5945</v>
      </c>
      <c r="J1344" s="4">
        <v>13.52</v>
      </c>
      <c r="K1344" s="4">
        <v>30.0</v>
      </c>
      <c r="L1344" s="3" t="s">
        <v>5587</v>
      </c>
      <c r="M1344" s="3" t="s">
        <v>5946</v>
      </c>
      <c r="N1344" s="7" t="str">
        <f>IFERROR(__xludf.DUMMYFUNCTION("GOOGLETRANSLATE(L1344, ""en"", ""pt"")"),"Processadores de Ostras")</f>
        <v>Processadores de Ostras</v>
      </c>
      <c r="O1344" s="7" t="str">
        <f>IFERROR(__xludf.DUMMYFUNCTION("IF(M1344="""","""",GOOGLETRANSLATE(M1344,""en"",""pt""))"),"Código SOC: 51-3022 — Cortadores e Aparadores de Carne, Aves e Peixes • Limpar e abrir ostras • Separar a carne por tamanho/qualidade • Preparar frutos do mar para venda no atacado/varejo • Limpar e higienizar áreas de trabalho e equipamentos • Manter a c"&amp;"onformidade com as normas de segurança alimentar Código SOC: 53-7064 — Embaladores e Operadores de Embalagens Manuais • Pesar, contar e medir o produto • Colocar frutos do mar em recipientes • Selar, colocar gelo e embalar os produtos • Montar caixas Códi"&amp;"go SOC: 53-7062 — Operários e Movimentadores de Carga, Estoque e Materiais Manuais • Movimentar, descarregar e distribuir o produto • Realizar trabalhos no cais • Retirar ostras de barcos ou caminhões • Carregar produtos acabados em caminhões • Utilizar e"&amp;"quipamentos de movimentação de materiais (ocasionalmente) • Colocar o produto cru em mesas de processamento • Congelar e retirar ostras com pás. Consulte o Adendo em anexo. Classificação da Função: 51-3022.00 - Cortadores e Aparadores de Carne, Aves e Pei"&amp;"xes. A classificação e descrição da função/setor inclui informações gerais sobre o cargo, de acordo com o ONET/OES e o Sistema de Classificação Industrial da América do Norte (NAICS). Consulte as Funções e a Ordem de Serviço para obter mais informações. R"&amp;"equisitos da Função: Experiência Necessária: Não. Requisitos Especiais: Capacidade de levantar/carregar até 23 kg. O empregador mantém um ambiente de trabalho livre do uso de drogas ilícitas, álcool e substâncias controladas não autorizadas. É proibido o "&amp;"uso, a posse, a venda ou estar sob a influência de drogas ilícitas ou álcool durante o horário de trabalho ou nas dependências do empregador. O empregador poderá realizar verificações legais relacionadas ao trabalho, incluindo consultas sobre antecedentes"&amp;" criminais, quando permitido pelas leis federais, estaduais e locais aplicáveis. Qualquer análise de antecedentes criminais será feita individualmente e as decisões de emprego serão tomadas de forma não discriminatória, em conformidade com as leis aplicáv"&amp;"eis ​​e as necessidades da empresa. Não é permitido o uso de doenças infecciosas; alergias a frutos do mar podem ser fatais. Número de horas por semana: 35 Horário de trabalho (início/término): 6h00 - 14h00")</f>
        <v>Código SOC: 51-3022 — Cortadores e Aparadores de Carne, Aves e Peixes • Limpar e abrir ostras • Separar a carne por tamanho/qualidade • Preparar frutos do mar para venda no atacado/varejo • Limpar e higienizar áreas de trabalho e equipamentos • Manter a conformidade com as normas de segurança alimentar Código SOC: 53-7064 — Embaladores e Operadores de Embalagens Manuais • Pesar, contar e medir o produto • Colocar frutos do mar em recipientes • Selar, colocar gelo e embalar os produtos • Montar caixas Código SOC: 53-7062 — Operários e Movimentadores de Carga, Estoque e Materiais Manuais • Movimentar, descarregar e distribuir o produto • Realizar trabalhos no cais • Retirar ostras de barcos ou caminhões • Carregar produtos acabados em caminhões • Utilizar equipamentos de movimentação de materiais (ocasionalmente) • Colocar o produto cru em mesas de processamento • Congelar e retirar ostras com pás. Consulte o Adendo em anexo. Classificação da Função: 51-3022.00 - Cortadores e Aparadores de Carne, Aves e Peixes. A classificação e descrição da função/setor inclui informações gerais sobre o cargo, de acordo com o ONET/OES e o Sistema de Classificação Industrial da América do Norte (NAICS). Consulte as Funções e a Ordem de Serviço para obter mais informações. Requisitos da Função: Experiência Necessária: Não. Requisitos Especiais: Capacidade de levantar/carregar até 23 kg. O empregador mantém um ambiente de trabalho livre do uso de drogas ilícitas, álcool e substâncias controladas não autorizadas. É proibido o uso, a posse, a venda ou estar sob a influência de drogas ilícitas ou álcool durante o horário de trabalho ou nas dependências do empregador. O empregador poderá realizar verificações legais relacionadas ao trabalho, incluindo consultas sobre antecedentes criminais, quando permitido pelas leis federais, estaduais e locais aplicáveis. Qualquer análise de antecedentes criminais será feita individualmente e as decisões de emprego serão tomadas de forma não discriminatória, em conformidade com as leis aplicáveis ​​e as necessidades da empresa. Não é permitido o uso de doenças infecciosas; alergias a frutos do mar podem ser fatais. Número de horas por semana: 35 Horário de trabalho (início/término): 6h00 - 14h00</v>
      </c>
    </row>
    <row r="1345" ht="20.25" customHeight="1">
      <c r="A1345" s="8" t="s">
        <v>5947</v>
      </c>
      <c r="B1345" s="8" t="s">
        <v>5948</v>
      </c>
      <c r="C1345" s="8" t="s">
        <v>4247</v>
      </c>
      <c r="D1345" s="8" t="s">
        <v>64</v>
      </c>
      <c r="E1345" s="9" t="s">
        <v>19</v>
      </c>
      <c r="F1345" s="9" t="s">
        <v>20</v>
      </c>
      <c r="G1345" s="9" t="s">
        <v>5949</v>
      </c>
      <c r="H1345" s="8" t="s">
        <v>5950</v>
      </c>
      <c r="I1345" s="8" t="s">
        <v>5951</v>
      </c>
      <c r="J1345" s="9">
        <v>13.55</v>
      </c>
      <c r="K1345" s="9">
        <v>130.0</v>
      </c>
      <c r="L1345" s="8" t="s">
        <v>5664</v>
      </c>
      <c r="M1345" s="8" t="s">
        <v>5952</v>
      </c>
      <c r="N1345" s="7" t="str">
        <f>IFERROR(__xludf.DUMMYFUNCTION("GOOGLETRANSLATE(L1345, ""en"", ""pt"")"),"Atendente de Diversão e Recreação – Parque de Diversões Itinerante")</f>
        <v>Atendente de Diversão e Recreação – Parque de Diversões Itinerante</v>
      </c>
      <c r="O1345" s="7" t="str">
        <f>IFERROR(__xludf.DUMMYFUNCTION("IF(M1345="""","""",GOOGLETRANSLATE(M1345,""en"",""pt""))"),"***2ª resposta à RFI*** Montagem de brinquedos de parque de diversões, barracas de comida e jogos. Os equipamentos móveis de diversão são projetados para serem montados e desmontados manualmente com ferramentas simples, como chaves de fenda, alicates, mar"&amp;"telos de borracha, chaves inglesas e catracas. Os equipamentos possuem sistema hidráulico integrado para levantar e abaixar toldos, braços e plataformas. Não são necessários equipamentos adicionais. A operação consiste em abrir o portão de entrada, instru"&amp;"ir os clientes sobre os procedimentos de segurança, garantir que seus cintos de segurança estejam no lugar, pressionar o botão para iniciar o brinquedo programado e, em seguida, garantir que os clientes saiam do brinquedo antes que o próximo grupo entre. "&amp;"As barracas de comida envolvem receber o pedido do cliente, receber o pagamento, preparar os itens alimentícios conforme detalhado anteriormente e entregar o pagamento ao cliente. As barracas de jogos envolvem explicar as regras dos jogos ao cliente, rece"&amp;"ber o pagamento, dar o troco e iniciar o jogo. Limpeza de brinquedos, barracas, instalações ou terrenos. Varrer, lavar com mangueira, lavar, recolher o lixo. Realizar pequenos reparos. Substituir peças defeituosas ou desgastadas, como lâmpadas, interrupto"&amp;"res, correias e mangueiras. Os funcionários podem usar as seguintes ferramentas, equipamentos e materiais ao executar as tarefas atribuídas: chaves, conjuntos de soquetes e catracas, chaves de fenda, alicates, martelos, trena e chaves ajustáveis. Eles usa"&amp;"rão escadas, aspiradores de pó e equipamentos e suprimentos de limpeza, como esponjas, panos e sabão. ***1ª resposta à RFI*** Informações específicas sobre o tipo de alimentos preparados, tarefas envolvidas, equipamentos e ferramentas utilizados. Nenhum i"&amp;"tem alimentício é preparado do zero. Bebidas de máquina: No início do turno, o funcionário abrirá sacos de gelo (normalmente de 4,5 a 9 kg, gelo em cubos) no reservatório na parte superior do dispensador e no recipiente de gelo. Quando um pedido chegar, o"&amp;" funcionário preparará a bebida no tamanho e sabor adequados e colocará uma tampa de plástico no copo. O funcionário colocará a bebida na área de serviço para que outro funcionário, em contato direto com o cliente, possa entregar a(s) bebida(s) ao cliente"&amp;", juntamente com o restante do pedido. Salsichas, cachorros-quentes e hambúrgueres. Todas as carnes vêm pré-embaladas. Quaisquer vegetais/acompanhamentos que sejam grelhados com os itens também são pré-embalados (limpos e cortados em pedaços pequenos). As"&amp;" carnes e os vegetais são colocados na chapa, utilizando-se pinças para colocá-los e uma espátula para virá-los. Azeite é adicionado à chapa. Parte da chapa é mantida em fogo alto para grelhar as carnes, parte em fogo médio para grelhar os vegetais e outr"&amp;"as partes em temperatura baixa para manter as carnes e os vegetais aquecidos até serem colocados nas bandejas de servir. Quando um cliente faz um pedido, um funcionário diferente utiliza pinças ou luvas para pegar o pão (pãozinho ou pão de hambúrguer), a "&amp;"carne (hambúrguer ou salsicha) e os acompanhamentos adequados e colocá-los no prato de servir. ***Original*** Executar diversas tarefas em um parque de diversões itinerante, montando, desmontando e operando equipamentos (brinquedos, jogos e/ou barracas de"&amp;" comida). Pode vender ingressos e cobrar taxas dos clientes; fornecer informações sobre as instalações, regras e regulamentos; direcionar os clientes aos brinquedos, assentos ou atrações; monitorar as atividades para garantir o cumprimento das regras e pr"&amp;"ocedimentos de segurança; auxiliar os clientes na entrada ou saída dos brinquedos; limpar brinquedos, barracas, instalações ou terrenos; inspecionar equipamentos para detectar desgaste e danos e realizar pequenos reparos, ajustes ou tarefas de manutenção,"&amp;" como lubrificação de peças; fixar dispositivos de segurança para os clientes ou fornecer instruções sobre como fixá-los; anunciar ou descrever as atrações do parque de diversões para atrair clientes para jogos e/ou outras formas de entretenimento; e vend"&amp;"er e servir bebidas e lanches aos clientes. Classificação da vaga: 35-2019.00 - Cozinheiros, Outros. A classificação e descrição da vaga/setor inclui informações gerais sobre o cargo, de acordo com o ONET/OES e o Sistema de Classificação Industrial da Amé"&amp;"rica do Norte. Consulte as Funções e a Ordem de Serviço para obter mais informações. Requisitos da vaga Experiência exigida: Não Requisitos especiais: Testes aleatórios de drogas e verificação de antecedentes criminais após a contratação poderão ser exigi"&amp;"dos, sem custo para o trabalhador. A vaga exige que o candidato seja qualificado, esteja pronto, disposto, apto e disponível para desempenhar as funções durante todo o período de emprego nos locais de trabalho designados; e para seguir as normas da empres"&amp;"a. Número de horas por semana: 40 Horário de trabalho (início/término): 13h às 22h")</f>
        <v>***2ª resposta à RFI*** Montagem de brinquedos de parque de diversões, barracas de comida e jogos. Os equipamentos móveis de diversão são projetados para serem montados e desmontados manualmente com ferramentas simples, como chaves de fenda, alicates, martelos de borracha, chaves inglesas e catracas. Os equipamentos possuem sistema hidráulico integrado para levantar e abaixar toldos, braços e plataformas. Não são necessários equipamentos adicionais. A operação consiste em abrir o portão de entrada, instruir os clientes sobre os procedimentos de segurança, garantir que seus cintos de segurança estejam no lugar, pressionar o botão para iniciar o brinquedo programado e, em seguida, garantir que os clientes saiam do brinquedo antes que o próximo grupo entre. As barracas de comida envolvem receber o pedido do cliente, receber o pagamento, preparar os itens alimentícios conforme detalhado anteriormente e entregar o pagamento ao cliente. As barracas de jogos envolvem explicar as regras dos jogos ao cliente, receber o pagamento, dar o troco e iniciar o jogo. Limpeza de brinquedos, barracas, instalações ou terrenos. Varrer, lavar com mangueira, lavar, recolher o lixo. Realizar pequenos reparos. Substituir peças defeituosas ou desgastadas, como lâmpadas, interruptores, correias e mangueiras. Os funcionários podem usar as seguintes ferramentas, equipamentos e materiais ao executar as tarefas atribuídas: chaves, conjuntos de soquetes e catracas, chaves de fenda, alicates, martelos, trena e chaves ajustáveis. Eles usarão escadas, aspiradores de pó e equipamentos e suprimentos de limpeza, como esponjas, panos e sabão. ***1ª resposta à RFI*** Informações específicas sobre o tipo de alimentos preparados, tarefas envolvidas, equipamentos e ferramentas utilizados. Nenhum item alimentício é preparado do zero. Bebidas de máquina: No início do turno, o funcionário abrirá sacos de gelo (normalmente de 4,5 a 9 kg, gelo em cubos) no reservatório na parte superior do dispensador e no recipiente de gelo. Quando um pedido chegar, o funcionário preparará a bebida no tamanho e sabor adequados e colocará uma tampa de plástico no copo. O funcionário colocará a bebida na área de serviço para que outro funcionário, em contato direto com o cliente, possa entregar a(s) bebida(s) ao cliente, juntamente com o restante do pedido. Salsichas, cachorros-quentes e hambúrgueres. Todas as carnes vêm pré-embaladas. Quaisquer vegetais/acompanhamentos que sejam grelhados com os itens também são pré-embalados (limpos e cortados em pedaços pequenos). As carnes e os vegetais são colocados na chapa, utilizando-se pinças para colocá-los e uma espátula para virá-los. Azeite é adicionado à chapa. Parte da chapa é mantida em fogo alto para grelhar as carnes, parte em fogo médio para grelhar os vegetais e outras partes em temperatura baixa para manter as carnes e os vegetais aquecidos até serem colocados nas bandejas de servir. Quando um cliente faz um pedido, um funcionário diferente utiliza pinças ou luvas para pegar o pão (pãozinho ou pão de hambúrguer), a carne (hambúrguer ou salsicha) e os acompanhamentos adequados e colocá-los no prato de servir. ***Original*** Executar diversas tarefas em um parque de diversões itinerante, montando, desmontando e operando equipamentos (brinquedos, jogos e/ou barracas de comida). Pode vender ingressos e cobrar taxas dos clientes; fornecer informações sobre as instalações, regras e regulamentos; direcionar os clientes aos brinquedos, assentos ou atrações; monitorar as atividades para garantir o cumprimento das regras e procedimentos de segurança; auxiliar os clientes na entrada ou saída dos brinquedos; limpar brinquedos, barracas, instalações ou terrenos; inspecionar equipamentos para detectar desgaste e danos e realizar pequenos reparos, ajustes ou tarefas de manutenção, como lubrificação de peças; fixar dispositivos de segurança para os clientes ou fornecer instruções sobre como fixá-los; anunciar ou descrever as atrações do parque de diversões para atrair clientes para jogos e/ou outras formas de entretenimento; e vender e servir bebidas e lanches aos clientes. Classificação da vaga: 35-2019.00 - Cozinheiros, Outros. A classificação e descrição da vaga/setor inclui informações gerais sobre o cargo, de acordo com o ONET/OES e o Sistema de Classificação Industrial da América do Norte. Consulte as Funções e a Ordem de Serviço para obter mais informações. Requisitos da vaga Experiência exigida: Não Requisitos especiais: Testes aleatórios de drogas e verificação de antecedentes criminais após a contratação poderão ser exigidos, sem custo para o trabalhador. A vaga exige que o candidato seja qualificado, esteja pronto, disposto, apto e disponível para desempenhar as funções durante todo o período de emprego nos locais de trabalho designados; e para seguir as normas da empresa. Número de horas por semana: 40 Horário de trabalho (início/término): 13h às 22h</v>
      </c>
    </row>
    <row r="1346" ht="20.25" customHeight="1">
      <c r="A1346" s="3" t="s">
        <v>5953</v>
      </c>
      <c r="B1346" s="3" t="s">
        <v>5954</v>
      </c>
      <c r="C1346" s="3" t="s">
        <v>4247</v>
      </c>
      <c r="D1346" s="3" t="s">
        <v>71</v>
      </c>
      <c r="E1346" s="4" t="s">
        <v>19</v>
      </c>
      <c r="F1346" s="4" t="s">
        <v>20</v>
      </c>
      <c r="G1346" s="4" t="s">
        <v>5693</v>
      </c>
      <c r="H1346" s="3" t="s">
        <v>5955</v>
      </c>
      <c r="I1346" s="3" t="s">
        <v>5669</v>
      </c>
      <c r="J1346" s="4">
        <v>19.28</v>
      </c>
      <c r="K1346" s="4">
        <v>26.0</v>
      </c>
      <c r="L1346" s="3" t="s">
        <v>5664</v>
      </c>
      <c r="M1346" s="3" t="s">
        <v>5956</v>
      </c>
      <c r="N1346" s="7" t="str">
        <f>IFERROR(__xludf.DUMMYFUNCTION("GOOGLETRANSLATE(L1346, ""en"", ""pt"")"),"Atendente de Diversão e Recreação – Parque de Diversões Itinerante")</f>
        <v>Atendente de Diversão e Recreação – Parque de Diversões Itinerante</v>
      </c>
      <c r="O1346" s="7" t="str">
        <f>IFERROR(__xludf.DUMMYFUNCTION("IF(M1346="""","""",GOOGLETRANSLATE(M1346,""en"",""pt""))"),"***Resposta à Solicitação de Informações*** O funcionário não preparará alimentos do zero. Bolinhos de Funil: A Gold Medal Products vende a mistura pronta. Seguindo as instruções impressas na embalagem da mistura, o funcionário despejará a mistura, juntam"&amp;"ente com o líquido apropriado, no misturador de massa comercial. Após a massa ser misturada, uma porção será colocada em um recipiente dosador. Uma fritadeira conterá óleo de cozinha na temperatura adequada. O funcionário despejará lentamente a massa do r"&amp;"ecipiente dosador na fritadeira, de modo que os fios de massa se unam, formando um bolinho de funil. Quando um lado do bolinho estiver dourado, o funcionário usará uma escumadeira grande para virá-lo. Quando o bolinho estiver dourado dos dois lados, ele u"&amp;"sará uma escumadeira grande para retirá-lo da fritadeira e colocá-lo em um rechaud sob uma lâmpada de aquecimento. Após o cliente fazer o pedido, o funcionário usará uma pinça para colocar o bolinho em uma travessa e adicionará a cobertura escolhida, como"&amp;" açúcar de confeiteiro, chantilly ou compota, e entregará o bolinho ao cliente. Oreos Fritas: A mesma massa usada para os funnel cakes seria utilizada para fritar as Oreos®. O funcionário despejaria a massa em um pequeno rechaud. As Oreos seriam pegas com"&amp;" uma mão enluvada, mergulhadas na massa para serem empanadas e, em seguida, fritas no óleo quente da fritadeira. Elas flutuariam até a superfície, seriam retiradas com uma escumadeira e colocadas em um pequeno rechaud sob a lâmpada de aquecimento. Após o "&amp;"cliente fazer o pedido, o funcionário usaria uma pinça para colocar as Oreos fritas em um recipiente de servir, adicionaria a cobertura escolhida e entregaria o produto ao cliente. Refrigerante de Máquina: Esses funcionários NÃO serviriam bebidas alcoólic"&amp;"as. Para preparar um refrigerante de máquina, o funcionário pegaria o copo do tamanho adequado, usaria uma concha de gelo para colocar gelo no copo (a menos que o cliente tenha pedido sem gelo), colocaria o copo sob o bico, pressionaria o copo contra a al"&amp;"avanca e o encheria. Pegaria uma tampa do suporte e a colocaria sobre o copo. ***Original F.a.2*** Executar diversas tarefas em um parque de diversões itinerante, montando, desmontando e operando equipamentos (brinquedos, jogos e/ou barracas de comida). P"&amp;"ode vender ingressos e cobrar taxas dos clientes; fornecer informações sobre as instalações, regras e regulamentos; direcionar os clientes aos brinquedos, assentos ou atrações; monitorar as atividades para garantir o cumprimento das regras e procedimentos"&amp;" de segurança; auxiliar os clientes na entrada ou saída dos brinquedos; limpar brinquedos, barracas, instalações ou terrenos; inspecionar equipamentos para detectar desgaste e danos e realizar pequenos reparos, ajustes ou tarefas de manutenção, como lubri"&amp;"ficação de peças; fixar dispositivos de segurança para os clientes ou fornecer instruções sobre como fixá-los; anunciar ou descrever as atrações do parque de diversões para atrair clientes para jogos e/ou outras formas de entretenimento; e vender e servir"&amp;" bebidas e lanches aos clientes. Classificação da vaga: 35-2019.00 - Cozinheiros, Outros. A classificação e descrição da vaga/setor inclui informações gerais sobre o cargo, de acordo com o ONET/OES e o Sistema de Classificação Industrial da América do Nor"&amp;"te. Consulte as Funções e a Ordem de Serviço para obter mais informações. Requisitos da vaga Experiência exigida: Não Requisitos especiais: Testes aleatórios de drogas e verificação de antecedentes criminais após a contratação poderão ser exigidos, sem cu"&amp;"sto para o trabalhador. A vaga exige que o candidato seja qualificado, esteja pronto, disposto, apto e disponível para desempenhar as funções durante todo o período de emprego nos locais de trabalho designados; e para seguir as normas da empresa. Número d"&amp;"e horas por semana: 40 Horário de trabalho (início/término): 13h às 22h")</f>
        <v>***Resposta à Solicitação de Informações*** O funcionário não preparará alimentos do zero. Bolinhos de Funil: A Gold Medal Products vende a mistura pronta. Seguindo as instruções impressas na embalagem da mistura, o funcionário despejará a mistura, juntamente com o líquido apropriado, no misturador de massa comercial. Após a massa ser misturada, uma porção será colocada em um recipiente dosador. Uma fritadeira conterá óleo de cozinha na temperatura adequada. O funcionário despejará lentamente a massa do recipiente dosador na fritadeira, de modo que os fios de massa se unam, formando um bolinho de funil. Quando um lado do bolinho estiver dourado, o funcionário usará uma escumadeira grande para virá-lo. Quando o bolinho estiver dourado dos dois lados, ele usará uma escumadeira grande para retirá-lo da fritadeira e colocá-lo em um rechaud sob uma lâmpada de aquecimento. Após o cliente fazer o pedido, o funcionário usará uma pinça para colocar o bolinho em uma travessa e adicionará a cobertura escolhida, como açúcar de confeiteiro, chantilly ou compota, e entregará o bolinho ao cliente. Oreos Fritas: A mesma massa usada para os funnel cakes seria utilizada para fritar as Oreos®. O funcionário despejaria a massa em um pequeno rechaud. As Oreos seriam pegas com uma mão enluvada, mergulhadas na massa para serem empanadas e, em seguida, fritas no óleo quente da fritadeira. Elas flutuariam até a superfície, seriam retiradas com uma escumadeira e colocadas em um pequeno rechaud sob a lâmpada de aquecimento. Após o cliente fazer o pedido, o funcionário usaria uma pinça para colocar as Oreos fritas em um recipiente de servir, adicionaria a cobertura escolhida e entregaria o produto ao cliente. Refrigerante de Máquina: Esses funcionários NÃO serviriam bebidas alcoólicas. Para preparar um refrigerante de máquina, o funcionário pegaria o copo do tamanho adequado, usaria uma concha de gelo para colocar gelo no copo (a menos que o cliente tenha pedido sem gelo), colocaria o copo sob o bico, pressionaria o copo contra a alavanca e o encheria. Pegaria uma tampa do suporte e a colocaria sobre o copo. ***Original F.a.2*** Executar diversas tarefas em um parque de diversões itinerante, montando, desmontando e operando equipamentos (brinquedos, jogos e/ou barracas de comida). Pode vender ingressos e cobrar taxas dos clientes; fornecer informações sobre as instalações, regras e regulamentos; direcionar os clientes aos brinquedos, assentos ou atrações; monitorar as atividades para garantir o cumprimento das regras e procedimentos de segurança; auxiliar os clientes na entrada ou saída dos brinquedos; limpar brinquedos, barracas, instalações ou terrenos; inspecionar equipamentos para detectar desgaste e danos e realizar pequenos reparos, ajustes ou tarefas de manutenção, como lubrificação de peças; fixar dispositivos de segurança para os clientes ou fornecer instruções sobre como fixá-los; anunciar ou descrever as atrações do parque de diversões para atrair clientes para jogos e/ou outras formas de entretenimento; e vender e servir bebidas e lanches aos clientes. Classificação da vaga: 35-2019.00 - Cozinheiros, Outros. A classificação e descrição da vaga/setor inclui informações gerais sobre o cargo, de acordo com o ONET/OES e o Sistema de Classificação Industrial da América do Norte. Consulte as Funções e a Ordem de Serviço para obter mais informações. Requisitos da vaga Experiência exigida: Não Requisitos especiais: Testes aleatórios de drogas e verificação de antecedentes criminais após a contratação poderão ser exigidos, sem custo para o trabalhador. A vaga exige que o candidato seja qualificado, esteja pronto, disposto, apto e disponível para desempenhar as funções durante todo o período de emprego nos locais de trabalho designados; e para seguir as normas da empresa. Número de horas por semana: 40 Horário de trabalho (início/término): 13h às 22h</v>
      </c>
    </row>
    <row r="1347" ht="20.25" customHeight="1">
      <c r="A1347" s="8" t="s">
        <v>5957</v>
      </c>
      <c r="B1347" s="8" t="s">
        <v>5958</v>
      </c>
      <c r="C1347" s="8" t="s">
        <v>5563</v>
      </c>
      <c r="D1347" s="8" t="s">
        <v>64</v>
      </c>
      <c r="E1347" s="9" t="s">
        <v>19</v>
      </c>
      <c r="F1347" s="9" t="s">
        <v>20</v>
      </c>
      <c r="G1347" s="9" t="s">
        <v>80</v>
      </c>
      <c r="H1347" s="8" t="s">
        <v>5959</v>
      </c>
      <c r="I1347" s="8" t="s">
        <v>5960</v>
      </c>
      <c r="J1347" s="9">
        <v>19.43</v>
      </c>
      <c r="K1347" s="9">
        <v>30.0</v>
      </c>
      <c r="L1347" s="8" t="s">
        <v>2484</v>
      </c>
      <c r="M1347" s="8" t="s">
        <v>5961</v>
      </c>
      <c r="N1347" s="7" t="str">
        <f>IFERROR(__xludf.DUMMYFUNCTION("GOOGLETRANSLATE(L1347, ""en"", ""pt"")"),"Marinheiros")</f>
        <v>Marinheiros</v>
      </c>
      <c r="O1347" s="7" t="str">
        <f>IFERROR(__xludf.DUMMYFUNCTION("IF(M1347="""","""",GOOGLETRANSLATE(M1347,""en"",""pt""))"),"Fixar dispositivos de ancoragem ao cabo, lança e guincho. Carregar/descarregar equipamentos e suprimentos. Pescar/dragar ostras (fixar redes e linhas, recolher a pesca), selecionar, limpar a pesca, descartar ostras, transplantar ostras, armazenar e descar"&amp;"regar ostras. Lavar o convés, equipamentos, câmara frigorífica e cabine. Selecionar, limpar e devolver ostras indesejáveis ​​e de tamanho ilegal à baía. Colocar tubos de PVC e/ou marcadores de ostras em áreas de cultivo privadas. Transplantar ostras, conc"&amp;"has e pedras. Prender e remover as amarras da embarcação no cais e de outras embarcações. Executar qualquer combinação das seguintes tarefas a bordo da embarcação de pesca: vigiar, pilotar e vigiar a casa de máquinas. Carregar/descarregar sacos de ostras "&amp;"da embarcação para a câmara frigorífica do cais e/ou caminhões de carga. O marinheiro de convés da embarcação de pesca de ostras deve cumprir todos os procedimentos de segurança da Guarda Costeira dos EUA e todas as leis do TPWD e LDWF. Consulte o Adendo "&amp;"em anexo. Classificação da Função: 53-7062.00 - Operários e Movimentadores de Carga, Estoque e Materiais. A classificação e descrição da função/setor inclui informações gerais sobre o cargo, de acordo com o ONET/OES e o Sistema de Classificação Industrial"&amp;" da América do Norte (NAICS). Consulte as Funções e a Ordem de Serviço para obter mais informações. Requisitos da Função Experiência Necessária: Sim Meses de Experiência Necessários: 3 Requisitos Especiais: Levantar/carregar até 50 kg. O empregador realiz"&amp;"ará um teste antidrogas após a contratação, em caso de suspeita, pago pelo empregador. O empregador poderá realizar verificações legais relacionadas ao trabalho, incluindo consultas sobre antecedentes criminais, quando permitido pelas leis federais, estad"&amp;"uais e locais aplicáveis. Qualquer análise de antecedentes criminais será feita individualmente e as decisões de emprego serão tomadas de forma não discriminatória, em conformidade com as leis aplicáveis ​​e as necessidades da empresa. O empregador realiz"&amp;"ará testes aleatórios de alcoolemia, pagos pelo empregador. Após a contratação, os funcionários serão solicitados a divulgar quaisquer pedidos de indenização por lesões. É necessário ter três meses de experiência como marinheiro em barco de pesca de ostra"&amp;"s. Não pode ter doenças infecciosas; alergias a frutos do mar podem ser fatais. Número de horas por semana: 40 Horário de trabalho (início/término): 7h00 - 15h30")</f>
        <v>Fixar dispositivos de ancoragem ao cabo, lança e guincho. Carregar/descarregar equipamentos e suprimentos. Pescar/dragar ostras (fixar redes e linhas, recolher a pesca), selecionar, limpar a pesca, descartar ostras, transplantar ostras, armazenar e descarregar ostras. Lavar o convés, equipamentos, câmara frigorífica e cabine. Selecionar, limpar e devolver ostras indesejáveis ​​e de tamanho ilegal à baía. Colocar tubos de PVC e/ou marcadores de ostras em áreas de cultivo privadas. Transplantar ostras, conchas e pedras. Prender e remover as amarras da embarcação no cais e de outras embarcações. Executar qualquer combinação das seguintes tarefas a bordo da embarcação de pesca: vigiar, pilotar e vigiar a casa de máquinas. Carregar/descarregar sacos de ostras da embarcação para a câmara frigorífica do cais e/ou caminhões de carga. O marinheiro de convés da embarcação de pesca de ostras deve cumprir todos os procedimentos de segurança da Guarda Costeira dos EUA e todas as leis do TPWD e LDWF. Consulte o Adendo em anexo. Classificação da Função: 53-7062.00 - Operários e Movimentadores de Carga, Estoque e Materiais. A classificação e descrição da função/setor inclui informações gerais sobre o cargo, de acordo com o ONET/OES e o Sistema de Classificação Industrial da América do Norte (NAICS). Consulte as Funções e a Ordem de Serviço para obter mais informações. Requisitos da Função Experiência Necessária: Sim Meses de Experiência Necessários: 3 Requisitos Especiais: Levantar/carregar até 50 kg. O empregador realizará um teste antidrogas após a contratação, em caso de suspeita, pago pelo empregador. O empregador poderá realizar verificações legais relacionadas ao trabalho, incluindo consultas sobre antecedentes criminais, quando permitido pelas leis federais, estaduais e locais aplicáveis. Qualquer análise de antecedentes criminais será feita individualmente e as decisões de emprego serão tomadas de forma não discriminatória, em conformidade com as leis aplicáveis ​​e as necessidades da empresa. O empregador realizará testes aleatórios de alcoolemia, pagos pelo empregador. Após a contratação, os funcionários serão solicitados a divulgar quaisquer pedidos de indenização por lesões. É necessário ter três meses de experiência como marinheiro em barco de pesca de ostras. Não pode ter doenças infecciosas; alergias a frutos do mar podem ser fatais. Número de horas por semana: 40 Horário de trabalho (início/término): 7h00 - 15h30</v>
      </c>
    </row>
    <row r="1348" ht="20.25" customHeight="1">
      <c r="A1348" s="3" t="s">
        <v>5962</v>
      </c>
      <c r="B1348" s="3" t="s">
        <v>5963</v>
      </c>
      <c r="C1348" s="3" t="s">
        <v>5563</v>
      </c>
      <c r="D1348" s="3" t="s">
        <v>403</v>
      </c>
      <c r="E1348" s="4" t="s">
        <v>19</v>
      </c>
      <c r="F1348" s="4" t="s">
        <v>20</v>
      </c>
      <c r="G1348" s="4" t="s">
        <v>65</v>
      </c>
      <c r="H1348" s="3" t="s">
        <v>5964</v>
      </c>
      <c r="I1348" s="3" t="s">
        <v>5965</v>
      </c>
      <c r="J1348" s="4">
        <v>16.82</v>
      </c>
      <c r="K1348" s="4">
        <v>27.0</v>
      </c>
      <c r="L1348" s="3" t="s">
        <v>5825</v>
      </c>
      <c r="M1348" s="3" t="s">
        <v>5966</v>
      </c>
      <c r="N1348" s="7" t="str">
        <f>IFERROR(__xludf.DUMMYFUNCTION("GOOGLETRANSLATE(L1348, ""en"", ""pt"")"),"Processadores de frutos do mar / Catadores de caranguejos")</f>
        <v>Processadores de frutos do mar / Catadores de caranguejos</v>
      </c>
      <c r="O1348" s="7" t="str">
        <f>IFERROR(__xludf.DUMMYFUNCTION("IF(M1348="""","""",GOOGLETRANSLATE(M1348,""en"",""pt""))"),"Sob supervisão direta, os Processadores de Frutos do Mar/Apanhadores de Caranguejo irão cozinhar no vapor, limpar e separar caranguejos inteiros, pesar, separar a carne processada por tamanho ou qualidade e colocá-la em recipientes, selar, contar, medir, "&amp;"colocar gelo, desossar, embalar, cozinhar, quebrar, processar frutos do mar e preparar pedidos para venda no atacado/varejo. Limpar e preparar o local de trabalho e os equipamentos para atender a todas as normas estaduais e federais de segurança alimentar"&amp;", carregar/descarregar, podendo ocasionalmente usar equipamentos de movimentação de materiais, despejar, mover, trabalhar no cais, congelar, retirar caranguejos com pá, grampear e montar caixas. Os trabalhadores auxiliarão no descarregamento do produto br"&amp;"uto (caranguejos de barcos ou caminhões) e o colocarão na área de processamento ou nas mesas para serem processados. Os trabalhadores também auxiliarão no carregamento dos produtos acabados em caminhões para envio. Poderá ser oferecido pagamento por produ"&amp;"ção; o valor será determinado com base na tabela salarial vigente. Consulte o Adendo em anexo. Classificação da Função: 51-3022.00 - Cortadores e Aparadores de Carne, Aves e Peixes. A classificação e descrição da função/setor inclui informações gerais sob"&amp;"re o cargo, de acordo com o ONET/OES e o Sistema de Classificação Industrial da América do Norte (NAICS). Consulte as Funções e a Ordem de Serviço para obter mais informações. Requisitos da Função: Experiência Necessária: Não. Requisitos Especiais: Capaci"&amp;"dade de levantar/carregar até 23 kg. O empregador mantém um ambiente de trabalho livre do uso de drogas ilícitas, álcool e substâncias controladas não autorizadas. É proibido o uso, a posse, a venda ou estar sob a influência de drogas ilícitas ou álcool d"&amp;"urante o horário de trabalho ou nas dependências do empregador. O empregador poderá realizar verificações legais relacionadas ao trabalho, incluindo consultas sobre antecedentes criminais, quando permitido pelas leis federais, estaduais e locais aplicávei"&amp;"s. Qualquer análise de antecedentes criminais será feita individualmente e as decisões de emprego serão tomadas de forma não discriminatória, em conformidade com as leis aplicáveis ​​e as necessidades da empresa. Não é permitido o uso de doenças infeccios"&amp;"as; alergias a frutos do mar podem ser fatais. Número de horas por semana: 35 Horário de trabalho (início/término): 5h00 - 13h00")</f>
        <v>Sob supervisão direta, os Processadores de Frutos do Mar/Apanhadores de Caranguejo irão cozinhar no vapor, limpar e separar caranguejos inteiros, pesar, separar a carne processada por tamanho ou qualidade e colocá-la em recipientes, selar, contar, medir, colocar gelo, desossar, embalar, cozinhar, quebrar, processar frutos do mar e preparar pedidos para venda no atacado/varejo. Limpar e preparar o local de trabalho e os equipamentos para atender a todas as normas estaduais e federais de segurança alimentar, carregar/descarregar, podendo ocasionalmente usar equipamentos de movimentação de materiais, despejar, mover, trabalhar no cais, congelar, retirar caranguejos com pá, grampear e montar caixas. Os trabalhadores auxiliarão no descarregamento do produto bruto (caranguejos de barcos ou caminhões) e o colocarão na área de processamento ou nas mesas para serem processados. Os trabalhadores também auxiliarão no carregamento dos produtos acabados em caminhões para envio. Poderá ser oferecido pagamento por produção; o valor será determinado com base na tabela salarial vigente. Consulte o Adendo em anexo. Classificação da Função: 51-3022.00 - Cortadores e Aparadores de Carne, Aves e Peixes. A classificação e descrição da função/setor inclui informações gerais sobre o cargo, de acordo com o ONET/OES e o Sistema de Classificação Industrial da América do Norte (NAICS). Consulte as Funções e a Ordem de Serviço para obter mais informações. Requisitos da Função: Experiência Necessária: Não. Requisitos Especiais: Capacidade de levantar/carregar até 23 kg. O empregador mantém um ambiente de trabalho livre do uso de drogas ilícitas, álcool e substâncias controladas não autorizadas. É proibido o uso, a posse, a venda ou estar sob a influência de drogas ilícitas ou álcool durante o horário de trabalho ou nas dependências do empregador. O empregador poderá realizar verificações legais relacionadas ao trabalho, incluindo consultas sobre antecedentes criminais, quando permitido pelas leis federais, estaduais e locais aplicáveis. Qualquer análise de antecedentes criminais será feita individualmente e as decisões de emprego serão tomadas de forma não discriminatória, em conformidade com as leis aplicáveis ​​e as necessidades da empresa. Não é permitido o uso de doenças infecciosas; alergias a frutos do mar podem ser fatais. Número de horas por semana: 35 Horário de trabalho (início/término): 5h00 - 13h00</v>
      </c>
    </row>
    <row r="1349" ht="20.25" customHeight="1">
      <c r="A1349" s="8" t="s">
        <v>5967</v>
      </c>
      <c r="B1349" s="8" t="s">
        <v>5968</v>
      </c>
      <c r="C1349" s="8" t="s">
        <v>4247</v>
      </c>
      <c r="D1349" s="8" t="s">
        <v>403</v>
      </c>
      <c r="E1349" s="9" t="s">
        <v>44</v>
      </c>
      <c r="F1349" s="9" t="s">
        <v>20</v>
      </c>
      <c r="G1349" s="9" t="s">
        <v>345</v>
      </c>
      <c r="H1349" s="8" t="s">
        <v>5969</v>
      </c>
      <c r="I1349" s="8" t="s">
        <v>5970</v>
      </c>
      <c r="J1349" s="9">
        <v>18.27</v>
      </c>
      <c r="K1349" s="9">
        <v>65.0</v>
      </c>
      <c r="L1349" s="8" t="s">
        <v>4250</v>
      </c>
      <c r="M1349" s="8" t="s">
        <v>4251</v>
      </c>
      <c r="N1349" s="7" t="str">
        <f>IFERROR(__xludf.DUMMYFUNCTION("GOOGLETRANSLATE(L1349, ""en"", ""pt"")"),"49-9098: Ajudantes — Trabalhos de instalação, manutenção e reparo")</f>
        <v>49-9098: Ajudantes — Trabalhos de instalação, manutenção e reparo</v>
      </c>
      <c r="O1349" s="7" t="str">
        <f>IFERROR(__xludf.DUMMYFUNCTION("IF(M1349="""","""",GOOGLETRANSLATE(M1349,""en"",""pt""))"),"Auxiliar os trabalhadores de instalação, manutenção e reparo na manutenção, substituição de peças e reparo de veículos, máquinas industriais e equipamentos elétricos e eletrônicos. Executar tarefas como fornecer ferramentas, materiais e suprimentos para o"&amp;"utros trabalhadores; limpar a área de trabalho, máquinas e ferramentas; e segurar materiais ou ferramentas para outros trabalhadores. Classificação da vaga: 49-9098.00 - Auxiliares - Trabalhadores de Instalação, Manutenção e Reparo. A classificação e desc"&amp;"rição da vaga/setor inclui informações gerais sobre a posição, de acordo com o ONET/OES e o Sistema de Classificação Industrial da América do Norte (NAICS). Consulte as Funções e a Ordem de Serviço para obter mais informações. Requisitos da vaga: Experiên"&amp;"cia exigida: Não. Requisitos especiais: Testes aleatórios de drogas e verificação de antecedentes criminais após a contratação podem ser exigidos, sem custo para o trabalhador. A vaga exige que o candidato seja qualificado, esteja pronto, disposto, apto e"&amp;" disponível para trabalhar durante todo o período de emprego no local de trabalho designado; para firmar e cumprir o contrato de trabalho; e para seguir as normas do local de trabalho. Número de horas por semana: 35. Horário de trabalho (início/término): "&amp;"8h. - 16:00")</f>
        <v>Auxiliar os trabalhadores de instalação, manutenção e reparo na manutenção, substituição de peças e reparo de veículos, máquinas industriais e equipamentos elétricos e eletrônicos. Executar tarefas como fornecer ferramentas, materiais e suprimentos para outros trabalhadores; limpar a área de trabalho, máquinas e ferramentas; e segurar materiais ou ferramentas para outros trabalhadores. Classificação da vaga: 49-9098.00 - Auxiliares - Trabalhadores de Instalação, Manutenção e Reparo. A classificação e descrição da vaga/setor inclui informações gerais sobre a posição, de acordo com o ONET/OES e o Sistema de Classificação Industrial da América do Norte (NAICS). Consulte as Funções e a Ordem de Serviço para obter mais informações. Requisitos da vaga: Experiência exigida: Não. Requisitos especiais: Testes aleatórios de drogas e verificação de antecedentes criminais após a contratação podem ser exigidos, sem custo para o trabalhador. A vaga exige que o candidato seja qualificado, esteja pronto, disposto, apto e disponível para trabalhar durante todo o período de emprego no local de trabalho designado; para firmar e cumprir o contrato de trabalho; e para seguir as normas do local de trabalho. Número de horas por semana: 35. Horário de trabalho (início/término): 8h. - 16:00</v>
      </c>
    </row>
    <row r="1350" ht="20.25" customHeight="1">
      <c r="A1350" s="3" t="s">
        <v>5971</v>
      </c>
      <c r="B1350" s="3" t="s">
        <v>5972</v>
      </c>
      <c r="C1350" s="3" t="s">
        <v>5625</v>
      </c>
      <c r="D1350" s="3" t="s">
        <v>4521</v>
      </c>
      <c r="E1350" s="4" t="s">
        <v>19</v>
      </c>
      <c r="F1350" s="4" t="s">
        <v>20</v>
      </c>
      <c r="G1350" s="4" t="s">
        <v>345</v>
      </c>
      <c r="H1350" s="3" t="s">
        <v>5973</v>
      </c>
      <c r="I1350" s="3" t="s">
        <v>5974</v>
      </c>
      <c r="J1350" s="4">
        <v>20.72</v>
      </c>
      <c r="K1350" s="4">
        <v>5.0</v>
      </c>
      <c r="L1350" s="3" t="s">
        <v>586</v>
      </c>
      <c r="M1350" s="3" t="s">
        <v>5975</v>
      </c>
      <c r="N1350" s="7" t="str">
        <f>IFERROR(__xludf.DUMMYFUNCTION("GOOGLETRANSLATE(L1350, ""en"", ""pt"")"),"Cozinheiro de linha")</f>
        <v>Cozinheiro de linha</v>
      </c>
      <c r="O1350" s="7" t="str">
        <f>IFERROR(__xludf.DUMMYFUNCTION("IF(M1350="""","""",GOOGLETRANSLATE(M1350,""en"",""pt""))"),"Os cozinheiros de linha são responsáveis ​​por cozinhar, preparar a linha de produção, organizar as estações de trabalho e realizar a limpeza, incluindo lavar a louça e os utensílios usados ​​no preparo dos alimentos antes, durante e após o serviço. Eles "&amp;"são encarregados de preparar, temperar e cozinhar sopas, carnes, legumes, sobremesas e outros pratos do restaurante. Os cozinheiros de linha também criam os pratos especiais do dia e garantem a qualidade dos produtos preparados e servidos. Outras responsa"&amp;"bilidades incluem a remoção do lixo, o recebimento de pedidos, o gerenciamento do estoque após as entregas e a atuação como auxiliares de serviço. Desempenham um papel fundamental na orientação de novos funcionários da cozinha e atuam como elo entre a coz"&amp;"inha e o salão, compartilhando informações importantes sobre os ingredientes dos pratos, as quantidades disponíveis e outros detalhes relevantes. Os cozinheiros de linha se reportam ao proprietário, ao chef e ao gerente, e espera-se que mantenham uma post"&amp;"ura firme e profissional em situações de alta pressão, demonstrando liderança e espírito de equipe. Os cozinheiros de linha qualificados receberão treinamento em até quatro estações, se aplicável: Grelha, Fritadeira, Salteado/Médio e Garde Manger. Classif"&amp;"icação da vaga: 35-2014.00 - Cozinheiros(as) de Restaurante. A classificação e descrição da vaga/setor inclui informações gerais sobre o cargo, de acordo com o ONET/OES e o Sistema de Classificação Industrial da América do Norte (NAICS). Consulte as Funçõ"&amp;"es e a Ordem de Serviço para obter mais informações. Requisitos da vaga: Experiência exigida: Sim. Meses de experiência exigidos: 6. Requisitos especiais: Aprovação na verificação de antecedentes pré-emprego; apresentação de pelo menos uma referência de e"&amp;"xperiência profissional anterior; pelo menos 6 meses de experiência em cozinha de restaurante; capacidade de se comunicar em inglês. A data prevista para início das atividades é 1º de outubro de 2026 e término em 30 de abril de 2027. A área geográfica de "&amp;"atuação é Ludlow, Vermont. Treinamento no local de trabalho será oferecido. O empregador fará todos os descontos obrigatórios por lei no contracheque do(a) trabalhador(a). Caso o(a) trabalhador(a) complete 50% do período do contrato de trabalho, o emprega"&amp;"dor pagará diretamente e/ou reembolsará o(a) trabalhador(a) pelas despesas de transporte e alimentação do local de recrutamento até o local de trabalho. Ao término do contrato de trabalho ou em caso de demissão antecipada, o empregador fornecerá ou pagará"&amp;" ao trabalhador os custos razoáveis ​​de transporte e alimentação de retorno para casa ou para o local de onde o trabalhador partiu para trabalhar, exceto nos casos em que o trabalhador não retornar devido a um novo emprego com outro empregador. O emprega"&amp;"dor pagará diretamente e/ou reembolsará o trabalhador por todos os custos razoáveis ​​de transporte e alimentação de ida durante a primeira semana de trabalho. O empregador pagará diretamente e/ou reembolsará o trabalhador por todos os custos razoáveis ​​"&amp;"de transporte e alimentação de ida durante a última semana de trabalho. O valor do pagamento ou reembolso do transporte será equivalente ao da transportadora mais econômica e razoável para as distâncias envolvidas. Será fornecida uma diária de alimentação"&amp;" no valor de US$ 16,78 por dia durante o deslocamento, até um máximo de US$ 68,00 por dia, mediante apresentação de recibos. O empregador garante oferecer trabalho por um número de horas equivalente a pelo menos três quartos dos dias úteis em cada período"&amp;" de 12 semanas do período total de emprego. O empregador reembolsará o trabalhador na primeira semana de trabalho por todas as taxas de visto, processamento de visto, travessia de fronteira e outras taxas relacionadas, incluindo aquelas exigidas pelo gove"&amp;"rno, incorridas pelo trabalhador. O empregador também fornecerá aos trabalhadores com visto H-2B, sem custo ou depósito, todas as ferramentas, suprimentos e equipamentos necessários para o desempenho das funções atribuídas. Número de horas por semana: 40."&amp;" Horário de trabalho (início/término): 13h00 - 21h00.")</f>
        <v>Os cozinheiros de linha são responsáveis ​​por cozinhar, preparar a linha de produção, organizar as estações de trabalho e realizar a limpeza, incluindo lavar a louça e os utensílios usados ​​no preparo dos alimentos antes, durante e após o serviço. Eles são encarregados de preparar, temperar e cozinhar sopas, carnes, legumes, sobremesas e outros pratos do restaurante. Os cozinheiros de linha também criam os pratos especiais do dia e garantem a qualidade dos produtos preparados e servidos. Outras responsabilidades incluem a remoção do lixo, o recebimento de pedidos, o gerenciamento do estoque após as entregas e a atuação como auxiliares de serviço. Desempenham um papel fundamental na orientação de novos funcionários da cozinha e atuam como elo entre a cozinha e o salão, compartilhando informações importantes sobre os ingredientes dos pratos, as quantidades disponíveis e outros detalhes relevantes. Os cozinheiros de linha se reportam ao proprietário, ao chef e ao gerente, e espera-se que mantenham uma postura firme e profissional em situações de alta pressão, demonstrando liderança e espírito de equipe. Os cozinheiros de linha qualificados receberão treinamento em até quatro estações, se aplicável: Grelha, Fritadeira, Salteado/Médio e Garde Manger. Classificação da vaga: 35-2014.00 - Cozinheiros(as) de Restaurante. A classificação e descrição da vaga/setor inclui informações gerais sobre o cargo, de acordo com o ONET/OES e o Sistema de Classificação Industrial da América do Norte (NAICS). Consulte as Funções e a Ordem de Serviço para obter mais informações. Requisitos da vaga: Experiência exigida: Sim. Meses de experiência exigidos: 6. Requisitos especiais: Aprovação na verificação de antecedentes pré-emprego; apresentação de pelo menos uma referência de experiência profissional anterior; pelo menos 6 meses de experiência em cozinha de restaurante; capacidade de se comunicar em inglês. A data prevista para início das atividades é 1º de outubro de 2026 e término em 30 de abril de 2027. A área geográfica de atuação é Ludlow, Vermont. Treinamento no local de trabalho será oferecido. O empregador fará todos os descontos obrigatórios por lei no contracheque do(a) trabalhador(a). Caso o(a) trabalhador(a) complete 50% do período do contrato de trabalho, o empregador pagará diretamente e/ou reembolsará o(a) trabalhador(a) pelas despesas de transporte e alimentação do local de recrutamento até o local de trabalho. Ao término do contrato de trabalho ou em caso de demissão antecipada, o empregador fornecerá ou pagará ao trabalhador os custos razoáveis ​​de transporte e alimentação de retorno para casa ou para o local de onde o trabalhador partiu para trabalhar, exceto nos casos em que o trabalhador não retornar devido a um novo emprego com outro empregador. O empregador pagará diretamente e/ou reembolsará o trabalhador por todos os custos razoáveis ​​de transporte e alimentação de ida durante a primeira semana de trabalho. O empregador pagará diretamente e/ou reembolsará o trabalhador por todos os custos razoáveis ​​de transporte e alimentação de ida durante a última semana de trabalho. O valor do pagamento ou reembolso do transporte será equivalente ao da transportadora mais econômica e razoável para as distâncias envolvidas. Será fornecida uma diária de alimentação no valor de US$ 16,78 por dia durante o deslocamento, até um máximo de US$ 68,00 por dia, mediante apresentação de recibos. O empregador garante oferecer trabalho por um número de horas equivalente a pelo menos três quartos dos dias úteis em cada período de 12 semanas do período total de emprego. O empregador reembolsará o trabalhador na primeira semana de trabalho por todas as taxas de visto, processamento de visto, travessia de fronteira e outras taxas relacionadas, incluindo aquelas exigidas pelo governo, incorridas pelo trabalhador. O empregador também fornecerá aos trabalhadores com visto H-2B, sem custo ou depósito, todas as ferramentas, suprimentos e equipamentos necessários para o desempenho das funções atribuídas. Número de horas por semana: 40. Horário de trabalho (início/término): 13h00 - 21h00.</v>
      </c>
    </row>
    <row r="1351" ht="20.25" customHeight="1">
      <c r="A1351" s="8" t="s">
        <v>5976</v>
      </c>
      <c r="B1351" s="8" t="s">
        <v>5977</v>
      </c>
      <c r="C1351" s="8"/>
      <c r="D1351" s="8" t="s">
        <v>28</v>
      </c>
      <c r="E1351" s="9" t="s">
        <v>19</v>
      </c>
      <c r="F1351" s="9" t="s">
        <v>20</v>
      </c>
      <c r="G1351" s="9" t="s">
        <v>212</v>
      </c>
      <c r="H1351" s="8" t="s">
        <v>5978</v>
      </c>
      <c r="I1351" s="8" t="s">
        <v>5979</v>
      </c>
      <c r="J1351" s="9">
        <v>17.47</v>
      </c>
      <c r="K1351" s="9">
        <v>25.0</v>
      </c>
      <c r="L1351" s="8" t="s">
        <v>5980</v>
      </c>
      <c r="M1351" s="8" t="s">
        <v>5981</v>
      </c>
      <c r="N1351" s="7" t="str">
        <f>IFERROR(__xludf.DUMMYFUNCTION("GOOGLETRANSLATE(L1351, ""en"", ""pt"")"),"Limpadores de plantas sazonais")</f>
        <v>Limpadores de plantas sazonais</v>
      </c>
      <c r="O1351" s="7" t="str">
        <f>IFERROR(__xludf.DUMMYFUNCTION("IF(M1351="""","""",GOOGLETRANSLATE(M1351,""en"",""pt""))"),"A Abbey's Cleaning Services, LLC busca vinte e cinco (25) funcionários temporários em tempo integral para a função de Auxiliar de Limpeza em instalações de processamento de frutos do mar e ostras localizadas na Paróquia de Terrebonne, Louisiana, no períod"&amp;"o de 1º de outubro de 2026 a 1º de junho de 2027. Os funcionários trabalharão quarenta (40) horas semanais em regime de escala rotativa. Não há previsão de horas extras. O pagamento será semanal. O empregador utilizará uma semana de trabalho como padrão p"&amp;"ara o cálculo dos salários devidos. Os Auxiliares de Limpeza serão responsáveis ​​pela limpeza, higienização e desinfecção das instalações de processamento de frutos do mar e ostras durante a temporada de ostras, a fim de manter a conformidade com os padr"&amp;"ões de segurança alimentar e higiene. As tarefas incluem lavar e pulverizar paredes, tetos, pisos, ralos, mesas de abertura de ostras, esteiras transportadoras, balanças, estações de trabalho, linhas de processamento, áreas de espera, pias de lavagem de t"&amp;"rês compartimentos e outras superfícies em contato com alimentos. Os funcionários irão limpar e desinfetar os equipamentos e sistemas de processamento de ostras antes, durante e após os turnos de produção, utilizando pulverizadores de pressão, mangueiras,"&amp;" equipamentos de limpeza industrial, agentes de limpeza e desinfecção não tóxicos, esfregões industriais, rodos, escovas e outras ferramentas de limpeza. Os funcionários removerão resíduos de ostras, lama, conchas, líquidos, graxa, detritos e materiais de"&amp;"scartados de pisos, paredes, tetos, equipamentos, câmaras frigoríficas, caminhões refrigerados, áreas de armazenamento e salas de processamento para manter condições de trabalho sanitárias. Os funcionários limparão e desinfetarão câmaras frigoríficas vazi"&amp;"as, caminhões refrigerados, áreas de processamento, áreas de carregamento, salas de armazenamento, áreas de trabalho dos funcionários, estações de espera e superfícies de trabalho antes e depois de cada turno de produção. Os funcionários manusearão os pro"&amp;"dutos químicos de limpeza com segurança, de acordo com os procedimentos de segurança do empregador, e seguirão todos os requisitos de segurança alimentar, sanitária e de segurança no trabalho. Os funcionários devem usar os equipamentos de proteção individ"&amp;"ual fornecidos pelo empregador, incluindo botas impermeáveis, luvas, roupas de proteção, proteção facial e outros equipamentos de segurança necessários. Os funcionários poderão ser alocados em diferentes funções de limpeza, de acordo com as necessidades o"&amp;"peracionais. O trabalho é realizado em ambientes internos, frios, úmidos e com alta umidade, típicos do processamento de frutos do mar. A função exige ficar em pé e caminhar por longos períodos, agachar, curvar-se, ajoelhar-se, alcançar, realizar moviment"&amp;"os repetitivos de limpeza, empurrar, puxar e levantar e carregar até 23 kg (50 libras) durante toda a jornada de trabalho. O empregador fornecerá todos os produtos de limpeza, agentes sanitizantes, suprimentos, equipamentos, ferramentas, equipamentos de p"&amp;"roteção individual e materiais necessários para o desempenho das funções, sem custo para os trabalhadores. O empregador fornecerá transporte diário gratuito aos trabalhadores, desde a central de despacho localizada em 4889 West Main Street, Houma, Louisia"&amp;"na 70360, ou da acomodação fornecida pelo empregador localizada em 202 North Main Project Road, Schriever, Louisiana 70395, até o local de trabalho, e transporte de retorno para a central de despacho ou acomodação fornecida pelo empregador ao final de cad"&amp;"a dia de trabalho. Há transporte público disponível até a central de despacho. O período de emprego previsto será superior a cento e vinte (120) dias. O empregador garante oferecer emprego por um número total de horas de trabalho equivalente a pelo menos "&amp;"três quartos (3/4) dos dias úteis em cada período de doze (12) semanas do período total de emprego, conforme exigido pelas regulamentações H-2B aplicáveis. Os trabalhadores H-2B serão reembolsados ​​durante a primeira semana de trabalho por todas as taxas"&amp;" de processamento de visto, taxas de travessia de fronteira e outras despesas obrigatórias do governo, exceto taxas de passaporte. O transporte e a subsistência diária do local de origem do trabalhador para o trabalho serão fornecidos ou reembolsados ​​de"&amp;" acordo com as regulamentações H-2B aplicáveis. Classificação do Cargo: 53-7061.00 - Limpeza de Veículos e Equipamentos. A classificação e descrição do cargo/setor incluem informações gerais sobre a posição, conforme o ONET/OES e o Sistema de Classificaçã"&amp;"o Industrial da América do Norte. Consulte as Funções e a Ordem de Serviço para obter mais informações. Requisitos do Cargo Experiência Necessária: Sim Meses de Experiência Necessários: 3 Requisitos Especiais: São necessários três (3) meses de experiência"&amp;" profissional na área. Não é exigida formação acadêmica. Os candidatos devem ser capazes de permanecer em pé por longos períodos, realizar tarefas repetitivas de limpeza, trabalhar em turnos rotativos diurnos, noturnos e de fim de semana, e levantar e car"&amp;"regar até 23 kg. O trabalho é realizado em ambientes internos frios, úmidos e com alta umidade, típicos de processamento de frutos do mar. Os trabalhadores devem estar disponíveis durante todo o período de emprego. Todos os contratados devem preencher o F"&amp;"ormulário I-9 e fornecer documentação que comprove sua identidade e autorização para trabalhar nos Estados Unidos, conforme exigido pela legislação federal. Número de horas por semana: 40. Horário de trabalho (início/término): 14h às 22h.")</f>
        <v>A Abbey's Cleaning Services, LLC busca vinte e cinco (25) funcionários temporários em tempo integral para a função de Auxiliar de Limpeza em instalações de processamento de frutos do mar e ostras localizadas na Paróquia de Terrebonne, Louisiana, no período de 1º de outubro de 2026 a 1º de junho de 2027. Os funcionários trabalharão quarenta (40) horas semanais em regime de escala rotativa. Não há previsão de horas extras. O pagamento será semanal. O empregador utilizará uma semana de trabalho como padrão para o cálculo dos salários devidos. Os Auxiliares de Limpeza serão responsáveis ​​pela limpeza, higienização e desinfecção das instalações de processamento de frutos do mar e ostras durante a temporada de ostras, a fim de manter a conformidade com os padrões de segurança alimentar e higiene. As tarefas incluem lavar e pulverizar paredes, tetos, pisos, ralos, mesas de abertura de ostras, esteiras transportadoras, balanças, estações de trabalho, linhas de processamento, áreas de espera, pias de lavagem de três compartimentos e outras superfícies em contato com alimentos. Os funcionários irão limpar e desinfetar os equipamentos e sistemas de processamento de ostras antes, durante e após os turnos de produção, utilizando pulverizadores de pressão, mangueiras, equipamentos de limpeza industrial, agentes de limpeza e desinfecção não tóxicos, esfregões industriais, rodos, escovas e outras ferramentas de limpeza. Os funcionários removerão resíduos de ostras, lama, conchas, líquidos, graxa, detritos e materiais descartados de pisos, paredes, tetos, equipamentos, câmaras frigoríficas, caminhões refrigerados, áreas de armazenamento e salas de processamento para manter condições de trabalho sanitárias. Os funcionários limparão e desinfetarão câmaras frigoríficas vazias, caminhões refrigerados, áreas de processamento, áreas de carregamento, salas de armazenamento, áreas de trabalho dos funcionários, estações de espera e superfícies de trabalho antes e depois de cada turno de produção. Os funcionários manusearão os produtos químicos de limpeza com segurança, de acordo com os procedimentos de segurança do empregador, e seguirão todos os requisitos de segurança alimentar, sanitária e de segurança no trabalho. Os funcionários devem usar os equipamentos de proteção individual fornecidos pelo empregador, incluindo botas impermeáveis, luvas, roupas de proteção, proteção facial e outros equipamentos de segurança necessários. Os funcionários poderão ser alocados em diferentes funções de limpeza, de acordo com as necessidades operacionais. O trabalho é realizado em ambientes internos, frios, úmidos e com alta umidade, típicos do processamento de frutos do mar. A função exige ficar em pé e caminhar por longos períodos, agachar, curvar-se, ajoelhar-se, alcançar, realizar movimentos repetitivos de limpeza, empurrar, puxar e levantar e carregar até 23 kg (50 libras) durante toda a jornada de trabalho. O empregador fornecerá todos os produtos de limpeza, agentes sanitizantes, suprimentos, equipamentos, ferramentas, equipamentos de proteção individual e materiais necessários para o desempenho das funções, sem custo para os trabalhadores. O empregador fornecerá transporte diário gratuito aos trabalhadores, desde a central de despacho localizada em 4889 West Main Street, Houma, Louisiana 70360, ou da acomodação fornecida pelo empregador localizada em 202 North Main Project Road, Schriever, Louisiana 70395, até o local de trabalho, e transporte de retorno para a central de despacho ou acomodação fornecida pelo empregador ao final de cada dia de trabalho. Há transporte público disponível até a central de despacho. O período de emprego previsto será superior a cento e vinte (120) dias. O empregador garante oferecer emprego por um número total de horas de trabalho equivalente a pelo menos três quartos (3/4) dos dias úteis em cada período de doze (12) semanas do período total de emprego, conforme exigido pelas regulamentações H-2B aplicáveis. Os trabalhadores H-2B serão reembolsados ​​durante a primeira semana de trabalho por todas as taxas de processamento de visto, taxas de travessia de fronteira e outras despesas obrigatórias do governo, exceto taxas de passaporte. O transporte e a subsistência diária do local de origem do trabalhador para o trabalho serão fornecidos ou reembolsados ​​de acordo com as regulamentações H-2B aplicáveis. Classificação do Cargo: 53-7061.00 - Limpeza de Veículos e Equipamentos. A classificação e descrição do cargo/setor incluem informações gerais sobre a posição, conforme o ONET/OES e o Sistema de Classificação Industrial da América do Norte. Consulte as Funções e a Ordem de Serviço para obter mais informações. Requisitos do Cargo Experiência Necessária: Sim Meses de Experiência Necessários: 3 Requisitos Especiais: São necessários três (3) meses de experiência profissional na área. Não é exigida formação acadêmica. Os candidatos devem ser capazes de permanecer em pé por longos períodos, realizar tarefas repetitivas de limpeza, trabalhar em turnos rotativos diurnos, noturnos e de fim de semana, e levantar e carregar até 23 kg. O trabalho é realizado em ambientes internos frios, úmidos e com alta umidade, típicos de processamento de frutos do mar. Os trabalhadores devem estar disponíveis durante todo o período de emprego. Todos os contratados devem preencher o Formulário I-9 e fornecer documentação que comprove sua identidade e autorização para trabalhar nos Estados Unidos, conforme exigido pela legislação federal. Número de horas por semana: 40. Horário de trabalho (início/término): 14h às 22h.</v>
      </c>
    </row>
    <row r="1352" ht="20.25" customHeight="1">
      <c r="A1352" s="3" t="s">
        <v>5982</v>
      </c>
      <c r="B1352" s="3" t="s">
        <v>5983</v>
      </c>
      <c r="C1352" s="3" t="s">
        <v>5625</v>
      </c>
      <c r="D1352" s="3" t="s">
        <v>4521</v>
      </c>
      <c r="E1352" s="4" t="s">
        <v>19</v>
      </c>
      <c r="F1352" s="4" t="s">
        <v>20</v>
      </c>
      <c r="G1352" s="4" t="s">
        <v>404</v>
      </c>
      <c r="H1352" s="3" t="s">
        <v>5984</v>
      </c>
      <c r="I1352" s="3" t="s">
        <v>5985</v>
      </c>
      <c r="J1352" s="4">
        <v>18.0</v>
      </c>
      <c r="K1352" s="4">
        <v>5.0</v>
      </c>
      <c r="L1352" s="3" t="s">
        <v>5986</v>
      </c>
      <c r="M1352" s="3" t="s">
        <v>5987</v>
      </c>
      <c r="N1352" s="7" t="str">
        <f>IFERROR(__xludf.DUMMYFUNCTION("GOOGLETRANSLATE(L1352, ""en"", ""pt"")"),"Limpeza de Quartos")</f>
        <v>Limpeza de Quartos</v>
      </c>
      <c r="O1352" s="7" t="str">
        <f>IFERROR(__xludf.DUMMYFUNCTION("IF(M1352="""","""",GOOGLETRANSLATE(M1352,""en"",""pt""))"),"Deveres e Responsabilidades: • Limpar e desinfetar quartos, banheiros, cozinhas e salas de estar de casas de aluguel para temporada. • Trocar lençóis e toalhas; repor itens de higiene pessoal e produtos de papel. • Aspirar carpetes e tapetes; varrer e pas"&amp;"sar pano em pisos. • Esvaziar lixeiras e recipientes de reciclagem e descartar o lixo corretamente. • Realizar tarefas de lavanderia, incluindo lavar, secar, dobrar e organizar roupas de cama e banho. • Reportar quaisquer problemas de manutenção, danos ou"&amp;" itens faltantes aos supervisores. • Garantir que as propriedades estejam prontas para receber hóspedes, tanto em aparência quanto em limpeza. • Seguir os procedimentos de segurança e as listas de verificação de limpeza. Ferramentas e Equipamentos Utiliza"&amp;"dos: • Produtos de limpeza e desinfetantes (limpadores multiuso, limpadores de banheiro, desengordurantes, etc.) • Aspiradores de pó (verticais ou de mochila) • Esfregões (comuns e de microfibra), vassouras e pás de lixo • Baldes e borrifadores • Panos de"&amp;" microfibra, esponjas e escovas de limpeza • Máquinas de lavar e secar roupa • Equipamentos de proteção individual (luvas, máscaras, aventais, conforme necessário) • Carrinhos ou sacolas para transportar roupas de cama e materiais de limpeza Classificação"&amp;" da Função: 37-2012.00 - Empregadas Domésticas e Auxiliares de Limpeza A classificação e descrição da função/setor inclui informações gerais sobre o cargo, de acordo com o ONET/OES e o Sistema de Classificação Industrial da América do Norte. Consulte as F"&amp;"unções e a Ordem de Serviço para obter mais informações. Requisitos da Função Experiência Necessária: Sim Meses de Experiência Necessária: 6 Requisitos Especiais: Habilidades Organizacionais Habilidades de Limpeza Número de Horas por Semana: 48 Horário de"&amp;" Trabalho (Início/Término): 9h30 - 17h30")</f>
        <v>Deveres e Responsabilidades: • Limpar e desinfetar quartos, banheiros, cozinhas e salas de estar de casas de aluguel para temporada. • Trocar lençóis e toalhas; repor itens de higiene pessoal e produtos de papel. • Aspirar carpetes e tapetes; varrer e passar pano em pisos. • Esvaziar lixeiras e recipientes de reciclagem e descartar o lixo corretamente. • Realizar tarefas de lavanderia, incluindo lavar, secar, dobrar e organizar roupas de cama e banho. • Reportar quaisquer problemas de manutenção, danos ou itens faltantes aos supervisores. • Garantir que as propriedades estejam prontas para receber hóspedes, tanto em aparência quanto em limpeza. • Seguir os procedimentos de segurança e as listas de verificação de limpeza. Ferramentas e Equipamentos Utilizados: • Produtos de limpeza e desinfetantes (limpadores multiuso, limpadores de banheiro, desengordurantes, etc.) • Aspiradores de pó (verticais ou de mochila) • Esfregões (comuns e de microfibra), vassouras e pás de lixo • Baldes e borrifadores • Panos de microfibra, esponjas e escovas de limpeza • Máquinas de lavar e secar roupa • Equipamentos de proteção individual (luvas, máscaras, aventais, conforme necessário) • Carrinhos ou sacolas para transportar roupas de cama e materiais de limpeza Classificação da Função: 37-2012.00 - Empregadas Domésticas e Auxiliares de Limpeza A classificação e descrição da função/setor inclui informações gerais sobre o cargo, de acordo com o ONET/OES e o Sistema de Classificação Industrial da América do Norte. Consulte as Funções e a Ordem de Serviço para obter mais informações. Requisitos da Função Experiência Necessária: Sim Meses de Experiência Necessária: 6 Requisitos Especiais: Habilidades Organizacionais Habilidades de Limpeza Número de Horas por Semana: 48 Horário de Trabalho (Início/Término): 9h30 - 17h30</v>
      </c>
    </row>
    <row r="1353" ht="20.25" customHeight="1">
      <c r="A1353" s="8" t="s">
        <v>5988</v>
      </c>
      <c r="B1353" s="8" t="s">
        <v>5989</v>
      </c>
      <c r="C1353" s="8" t="s">
        <v>5990</v>
      </c>
      <c r="D1353" s="8" t="s">
        <v>18</v>
      </c>
      <c r="E1353" s="9" t="s">
        <v>44</v>
      </c>
      <c r="F1353" s="9" t="s">
        <v>20</v>
      </c>
      <c r="G1353" s="9" t="s">
        <v>5991</v>
      </c>
      <c r="H1353" s="8" t="s">
        <v>5992</v>
      </c>
      <c r="I1353" s="8" t="s">
        <v>5993</v>
      </c>
      <c r="J1353" s="9">
        <v>15.3</v>
      </c>
      <c r="K1353" s="9">
        <v>1.0</v>
      </c>
      <c r="L1353" s="8" t="s">
        <v>387</v>
      </c>
      <c r="M1353" s="8" t="s">
        <v>5994</v>
      </c>
      <c r="N1353" s="7" t="str">
        <f>IFERROR(__xludf.DUMMYFUNCTION("GOOGLETRANSLATE(L1353, ""en"", ""pt"")"),"Ordem de serviço não disponível")</f>
        <v>Ordem de serviço não disponível</v>
      </c>
      <c r="O1353" s="7" t="str">
        <f>IFERROR(__xludf.DUMMYFUNCTION("IF(M1353="""","""",GOOGLETRANSLATE(M1353,""en"",""pt""))"),"Sob a supervisão da mãe, a babá cuidará de uma criança de 1 ano, com a responsabilidade adicional de cuidar de um recém-nascido após o nascimento do segundo filho em outubro. A babá trocará fraldas e manterá rotinas de higiene adequadas, como trocas a cad"&amp;"a 2-3 horas, limpeza e banho da criança, além de garantir roupas limpas e práticas de higiene seguras. A babá preparará e limpará mamadeiras, incluindo o preparo de fórmulas ou o manuseio de leite materno extraído, a esterilização das mamadeiras e o armaz"&amp;"enamento adequado dos utensílios de alimentação. A babá preparará refeições e lanches apropriados para a idade da criança, como frutas macias, legumes e alimentos que possam ser comidos com as mãos, adequados para crianças pequenas, garantindo práticas se"&amp;"guras de alimentação. A babá planejará e participará de atividades lúdicas e recreativas diárias para o desenvolvimento cognitivo, emocional e físico, como ler histórias, cantar músicas, praticar palavras e sons básicos e supervisionar brincadeiras estrut"&amp;"uradas dentro e fora de casa. A babá seguirá e manterá a rotina diária estabelecida da criança, incluindo alimentação, sonecas e atividades, como despertar pela manhã, refeições programadas, sonecas da tarde e rotina para dormir. A babá monitorará a segur"&amp;"ança e o bem-estar da criança em todos os momentos e fornecerá supervisão atenta no ambiente doméstico, incluindo supervisão constante durante o tempo de brincadeira e garantindo um espaço seguro e livre de perigos. A babá auxiliará no transporte da crian"&amp;"ça entre Nashville e Gallatin, conforme necessário devido à agenda de trabalho da família, incluindo colocar a criança em uma cadeirinha de carro apropriada e garantir condições seguras de viagem. Classificação da vaga: 39-9011.01 - Babás. A classificação"&amp;" e descrição da vaga/setor incluem informações gerais sobre o cargo de acordo com o ONET/OES e o Sistema de Classificação Industrial da América do Norte. Consulte as Funções e a Ordem de Serviço para obter mais informações. Requisitos da vaga: Experiência"&amp;" necessária: Sim. Meses de experiência necessários: 12. Requisitos especiais: Certificação válida de RCP e Primeiros Socorros. Deve ser capaz de levantar até 23 kg e ficar em pé segurando um bebê por um período prolongado. O trabalho será realizado de dom"&amp;"ingo a sábado, das 6h ou 8h às 17h ou 23h, dependendo das necessidades da família. O(A) trabalhador(a) terá um dia e meio de folga por semana, de acordo com a rotina da família, sendo meio dia na sexta-feira e um dia inteiro no sábado. Número de horas por"&amp;" semana: 48. Horário de trabalho (início/término): 8h às 17h.")</f>
        <v>Sob a supervisão da mãe, a babá cuidará de uma criança de 1 ano, com a responsabilidade adicional de cuidar de um recém-nascido após o nascimento do segundo filho em outubro. A babá trocará fraldas e manterá rotinas de higiene adequadas, como trocas a cada 2-3 horas, limpeza e banho da criança, além de garantir roupas limpas e práticas de higiene seguras. A babá preparará e limpará mamadeiras, incluindo o preparo de fórmulas ou o manuseio de leite materno extraído, a esterilização das mamadeiras e o armazenamento adequado dos utensílios de alimentação. A babá preparará refeições e lanches apropriados para a idade da criança, como frutas macias, legumes e alimentos que possam ser comidos com as mãos, adequados para crianças pequenas, garantindo práticas seguras de alimentação. A babá planejará e participará de atividades lúdicas e recreativas diárias para o desenvolvimento cognitivo, emocional e físico, como ler histórias, cantar músicas, praticar palavras e sons básicos e supervisionar brincadeiras estruturadas dentro e fora de casa. A babá seguirá e manterá a rotina diária estabelecida da criança, incluindo alimentação, sonecas e atividades, como despertar pela manhã, refeições programadas, sonecas da tarde e rotina para dormir. A babá monitorará a segurança e o bem-estar da criança em todos os momentos e fornecerá supervisão atenta no ambiente doméstico, incluindo supervisão constante durante o tempo de brincadeira e garantindo um espaço seguro e livre de perigos. A babá auxiliará no transporte da criança entre Nashville e Gallatin, conforme necessário devido à agenda de trabalho da família, incluindo colocar a criança em uma cadeirinha de carro apropriada e garantir condições seguras de viagem. Classificação da vaga: 39-9011.01 - Babás. A classificação e descrição da vaga/setor incluem informações gerais sobre o cargo de acordo com o ONET/OES e o Sistema de Classificação Industrial da América do Norte. Consulte as Funções e a Ordem de Serviço para obter mais informações. Requisitos da vaga: Experiência necessária: Sim. Meses de experiência necessários: 12. Requisitos especiais: Certificação válida de RCP e Primeiros Socorros. Deve ser capaz de levantar até 23 kg e ficar em pé segurando um bebê por um período prolongado. O trabalho será realizado de domingo a sábado, das 6h ou 8h às 17h ou 23h, dependendo das necessidades da família. O(A) trabalhador(a) terá um dia e meio de folga por semana, de acordo com a rotina da família, sendo meio dia na sexta-feira e um dia inteiro no sábado. Número de horas por semana: 48. Horário de trabalho (início/término): 8h às 17h.</v>
      </c>
    </row>
    <row r="1354" ht="20.25" customHeight="1">
      <c r="A1354" s="3" t="s">
        <v>5995</v>
      </c>
      <c r="B1354" s="3" t="s">
        <v>5996</v>
      </c>
      <c r="C1354" s="3" t="s">
        <v>5990</v>
      </c>
      <c r="D1354" s="3" t="s">
        <v>28</v>
      </c>
      <c r="E1354" s="4" t="s">
        <v>19</v>
      </c>
      <c r="F1354" s="4" t="s">
        <v>20</v>
      </c>
      <c r="G1354" s="4" t="s">
        <v>377</v>
      </c>
      <c r="H1354" s="3" t="s">
        <v>5997</v>
      </c>
      <c r="I1354" s="3" t="s">
        <v>5998</v>
      </c>
      <c r="J1354" s="4">
        <v>17.14</v>
      </c>
      <c r="K1354" s="4">
        <v>10.0</v>
      </c>
      <c r="L1354" s="3" t="s">
        <v>5999</v>
      </c>
      <c r="M1354" s="3" t="s">
        <v>6000</v>
      </c>
      <c r="N1354" s="7" t="str">
        <f>IFERROR(__xludf.DUMMYFUNCTION("GOOGLETRANSLATE(L1354, ""en"", ""pt"")"),"Auxiliar de Garçom/Auxiliar de Garçom")</f>
        <v>Auxiliar de Garçom/Auxiliar de Garçom</v>
      </c>
      <c r="O1354" s="7" t="str">
        <f>IFERROR(__xludf.DUMMYFUNCTION("IF(M1354="""","""",GOOGLETRANSLATE(M1354,""en"",""pt""))"),"***Resposta à Solicitação de Informações*** O Auxiliar de Garçom/Garçom de Alimentos e Bebidas auxiliará na montagem de salões de banquetes e estações de buffet para eventos, reuniões, casamentos e outras funções do hotel. As tarefas incluem organizar mes"&amp;"as, cadeiras, toalhas de mesa, talheres, equipamentos de buffet, como mesas de banquete, rechauds e aquecedores de alimentos, e estações de bebidas de acordo com as especificações do evento. O funcionário poderá organizar os itens de serviço de alimentaçã"&amp;"o, repor os suprimentos do buffet, como encher os rechauds com comida quente e substituir bandejas/travessas vazias por comida fresca durante os eventos, e auxiliar na desmontagem das mesas e suprimentos e na limpeza após o término do evento. As ferrament"&amp;"as, equipamentos e materiais utilizados podem incluir o uso das mãos e braços para carregar e mover mesas de banquete, cadeiras, carrinhos de toalhas de mesa, bandejas, rechauds, utensílios de servir, dispensadores de bebidas, louças, copos, carrinhos, ma"&amp;"teriais de limpeza, como spray desinfetante e soluções sanitizantes, limpador multiuso para mesas e balcões, lenços umedecidos desinfetantes, sacos de lixo e pequenas ferramentas manuais utilizadas para a montagem e desmontagem das atividades nos salões d"&amp;"e jantar. O Auxiliar de Garçom/Garçonete de Alimentos e Bebidas auxiliará na reposição de suprimentos do bar e do salão, incluindo copos, gelo, guarnições, misturas, guardanapos e bebidas. O funcionário poderá ajudar a manter a limpeza do bar e da área do"&amp;" restaurante, removendo copos usados, limpando balcões, lavando utensílios e equipamentos do bar e descartando o lixo. Outras funções podem incluir levar suprimentos das áreas de armazenamento da cozinha para o bar e auxiliar na organização do estoque e d"&amp;"as estações de trabalho durante o serviço. ***Original*** O Auxiliar de Garçom/Garçonete de Alimentos e Bebidas contribui para a eficiência das operações do restaurante, bar, banquetes e serviço de quarto, oferecendo um serviço rápido e cortês e garantind"&amp;"o a satisfação dos clientes. O funcionário anota os pedidos de comida e bebida dos clientes, serve os itens de maneira rápida e cortês e prepara as contas detalhadas para pagamento. O funcionário recepciona e acompanha os clientes até as mesas, prepara e "&amp;"limpa as mesas, atende os clientes sentados nos balcões e auxilia na montagem de banquetes e buffets. A função também pode incluir operar caixa registradora, processar pagamentos e verificar a identificação dos clientes para garantir o cumprimento dos req"&amp;"uisitos de idade para o serviço de bebidas alcoólicas, conforme necessário. O funcionário mantém a limpeza e a organização das áreas de refeição, repõe os suprimentos e auxilia os garçons e bartenders durante os horários de pico. Classificação da função: "&amp;"53-7062.00 - Operários e Movimentadores de Carga, Estoque e Materiais. A classificação e a descrição da função/setor incluem informações gerais sobre o cargo, de acordo com o ONET/OES e o Sistema de Classificação Industrial da América do Norte (NAICS). Co"&amp;"nsulte as Funções e a Ordem de Serviço para obter mais informações. Requisitos da vaga Experiência necessária: Sim Meses de experiência necessários: 3 Requisitos especiais: A escala de trabalho será de quarta a domingo, com turnos de 8 horas. O turno da m"&amp;"anhã começa às 6h e o da tarde às 14h. A escala e os turnos podem variar de acordo com as necessidades da empresa. Segunda e terça-feira são os dias de folga. Número de horas por semana: 40 Horário de trabalho (início/término): 6h - 14h00")</f>
        <v>***Resposta à Solicitação de Informações*** O Auxiliar de Garçom/Garçom de Alimentos e Bebidas auxiliará na montagem de salões de banquetes e estações de buffet para eventos, reuniões, casamentos e outras funções do hotel. As tarefas incluem organizar mesas, cadeiras, toalhas de mesa, talheres, equipamentos de buffet, como mesas de banquete, rechauds e aquecedores de alimentos, e estações de bebidas de acordo com as especificações do evento. O funcionário poderá organizar os itens de serviço de alimentação, repor os suprimentos do buffet, como encher os rechauds com comida quente e substituir bandejas/travessas vazias por comida fresca durante os eventos, e auxiliar na desmontagem das mesas e suprimentos e na limpeza após o término do evento. As ferramentas, equipamentos e materiais utilizados podem incluir o uso das mãos e braços para carregar e mover mesas de banquete, cadeiras, carrinhos de toalhas de mesa, bandejas, rechauds, utensílios de servir, dispensadores de bebidas, louças, copos, carrinhos, materiais de limpeza, como spray desinfetante e soluções sanitizantes, limpador multiuso para mesas e balcões, lenços umedecidos desinfetantes, sacos de lixo e pequenas ferramentas manuais utilizadas para a montagem e desmontagem das atividades nos salões de jantar. O Auxiliar de Garçom/Garçonete de Alimentos e Bebidas auxiliará na reposição de suprimentos do bar e do salão, incluindo copos, gelo, guarnições, misturas, guardanapos e bebidas. O funcionário poderá ajudar a manter a limpeza do bar e da área do restaurante, removendo copos usados, limpando balcões, lavando utensílios e equipamentos do bar e descartando o lixo. Outras funções podem incluir levar suprimentos das áreas de armazenamento da cozinha para o bar e auxiliar na organização do estoque e das estações de trabalho durante o serviço. ***Original*** O Auxiliar de Garçom/Garçonete de Alimentos e Bebidas contribui para a eficiência das operações do restaurante, bar, banquetes e serviço de quarto, oferecendo um serviço rápido e cortês e garantindo a satisfação dos clientes. O funcionário anota os pedidos de comida e bebida dos clientes, serve os itens de maneira rápida e cortês e prepara as contas detalhadas para pagamento. O funcionário recepciona e acompanha os clientes até as mesas, prepara e limpa as mesas, atende os clientes sentados nos balcões e auxilia na montagem de banquetes e buffets. A função também pode incluir operar caixa registradora, processar pagamentos e verificar a identificação dos clientes para garantir o cumprimento dos requisitos de idade para o serviço de bebidas alcoólicas, conforme necessário. O funcionário mantém a limpeza e a organização das áreas de refeição, repõe os suprimentos e auxilia os garçons e bartenders durante os horários de pico. Classificação da função: 53-7062.00 - Operários e Movimentadores de Carga, Estoque e Materiais. A classificação e a descrição da função/setor incluem informações gerais sobre o cargo, de acordo com o ONET/OES e o Sistema de Classificação Industrial da América do Norte (NAICS). Consulte as Funções e a Ordem de Serviço para obter mais informações. Requisitos da vaga Experiência necessária: Sim Meses de experiência necessários: 3 Requisitos especiais: A escala de trabalho será de quarta a domingo, com turnos de 8 horas. O turno da manhã começa às 6h e o da tarde às 14h. A escala e os turnos podem variar de acordo com as necessidades da empresa. Segunda e terça-feira são os dias de folga. Número de horas por semana: 40 Horário de trabalho (início/término): 6h - 14h00</v>
      </c>
    </row>
    <row r="1355" ht="20.25" customHeight="1">
      <c r="A1355" s="8" t="s">
        <v>6001</v>
      </c>
      <c r="B1355" s="8" t="s">
        <v>5996</v>
      </c>
      <c r="C1355" s="8" t="s">
        <v>5990</v>
      </c>
      <c r="D1355" s="8" t="s">
        <v>28</v>
      </c>
      <c r="E1355" s="9" t="s">
        <v>44</v>
      </c>
      <c r="F1355" s="9" t="s">
        <v>20</v>
      </c>
      <c r="G1355" s="9" t="s">
        <v>377</v>
      </c>
      <c r="H1355" s="8" t="s">
        <v>5997</v>
      </c>
      <c r="I1355" s="8" t="s">
        <v>5998</v>
      </c>
      <c r="J1355" s="9">
        <v>14.95</v>
      </c>
      <c r="K1355" s="9">
        <v>10.0</v>
      </c>
      <c r="L1355" s="8" t="s">
        <v>6002</v>
      </c>
      <c r="M1355" s="8" t="s">
        <v>6003</v>
      </c>
      <c r="N1355" s="7" t="str">
        <f>IFERROR(__xludf.DUMMYFUNCTION("GOOGLETRANSLATE(L1355, ""en"", ""pt"")"),"Lavanderia/limpeza")</f>
        <v>Lavanderia/limpeza</v>
      </c>
      <c r="O1355" s="7" t="str">
        <f>IFERROR(__xludf.DUMMYFUNCTION("IF(M1355="""","""",GOOGLETRANSLATE(M1355,""en"",""pt""))"),"***Resposta à Solicitação de Informações*** O(A) funcionário(a) será responsável por lavar, secar, dobrar, organizar e transportar itens de lavanderia do hotel, incluindo lençóis, toalhas, roupões de banho, panos de limpeza e uniformes dos funcionários, q"&amp;"uando necessário. Realizará também limpeza profunda e tarefas de manutenção nos quartos e áreas comuns. As tarefas incluem aspirar carpetes, lavar pisos, tirar o pó de móveis e acessórios, limpar janelas e espelhos, higienizar banheiros, polir superfícies"&amp;", remover o lixo, trocar lençóis e repor suprimentos nos quartos. As ferramentas, equipamentos e materiais utilizados podem incluir aspiradores de pó, esfregões, vassouras, carrinhos de limpeza, panos de microfibra, escovas, baldes, equipamentos de limpez"&amp;"a de pisos, máquinas de lavar roupa, produtos químicos de limpeza, desinfetantes, limpa-vidros e equipamentos de proteção individual, como luvas. ***Original*** O(A) Camareiro(a) é responsável por garantir que os quartos, corredores e áreas comuns do hote"&amp;"l estejam limpos, confortáveis ​​e bem conservados. O(A) funcionário(a) realiza a lavanderia e a limpeza dos quartos diariamente, de acordo com os procedimentos operacionais padrão do hotel, arrumando as camas, trocando a roupa de cama, repondo os itens d"&amp;"e higiene, aspirando os carpetes, tirando o pó dos móveis, higienizando os banheiros e recolhendo o lixo. O(A) funcionário(a) também abastece os carrinhos com itens de higiene e produtos de limpeza, seguindo sempre os padrões de segurança da empresa. Em c"&amp;"asos específicos, esta função também é responsável por realizar a manutenção periódica e a limpeza profunda dos quartos, como esfregar o chão, lavar carpetes e polir acessórios. Classificação da vaga: 37-2012.00 - Camareiras e Auxiliares de Limpeza. A cla"&amp;"ssificação e a descrição da vaga/setor incluem informações gerais sobre o cargo, de acordo com o ONET/OES e o Sistema de Classificação Industrial da América do Norte. Consulte as Funções e a Ordem de Serviço para obter mais informações. Requisitos da vaga"&amp;": Experiência necessária: Sim. Meses de experiência necessários: 3. Requisitos especiais: O horário de trabalho será de segunda a domingo, em turnos de 8 horas, das 9h às 17h30, com intervalo de 30 minutos. Folgas às terças e quartas-feiras. Número de hor"&amp;"as por semana: 40. Horário de trabalho (início/término): 9h00 - 17h30.")</f>
        <v>***Resposta à Solicitação de Informações*** O(A) funcionário(a) será responsável por lavar, secar, dobrar, organizar e transportar itens de lavanderia do hotel, incluindo lençóis, toalhas, roupões de banho, panos de limpeza e uniformes dos funcionários, quando necessário. Realizará também limpeza profunda e tarefas de manutenção nos quartos e áreas comuns. As tarefas incluem aspirar carpetes, lavar pisos, tirar o pó de móveis e acessórios, limpar janelas e espelhos, higienizar banheiros, polir superfícies, remover o lixo, trocar lençóis e repor suprimentos nos quartos. As ferramentas, equipamentos e materiais utilizados podem incluir aspiradores de pó, esfregões, vassouras, carrinhos de limpeza, panos de microfibra, escovas, baldes, equipamentos de limpeza de pisos, máquinas de lavar roupa, produtos químicos de limpeza, desinfetantes, limpa-vidros e equipamentos de proteção individual, como luvas. ***Original*** O(A) Camareiro(a) é responsável por garantir que os quartos, corredores e áreas comuns do hotel estejam limpos, confortáveis ​​e bem conservados. O(A) funcionário(a) realiza a lavanderia e a limpeza dos quartos diariamente, de acordo com os procedimentos operacionais padrão do hotel, arrumando as camas, trocando a roupa de cama, repondo os itens de higiene, aspirando os carpetes, tirando o pó dos móveis, higienizando os banheiros e recolhendo o lixo. O(A) funcionário(a) também abastece os carrinhos com itens de higiene e produtos de limpeza, seguindo sempre os padrões de segurança da empresa. Em casos específicos, esta função também é responsável por realizar a manutenção periódica e a limpeza profunda dos quartos, como esfregar o chão, lavar carpetes e polir acessórios. Classificação da vaga: 37-2012.00 - Camareiras e Auxiliares de Limpeza. A classificação e a descrição da vaga/setor incluem informações gerais sobre o cargo, de acordo com o ONET/OES e o Sistema de Classificação Industrial da América do Norte. Consulte as Funções e a Ordem de Serviço para obter mais informações. Requisitos da vaga: Experiência necessária: Sim. Meses de experiência necessários: 3. Requisitos especiais: O horário de trabalho será de segunda a domingo, em turnos de 8 horas, das 9h às 17h30, com intervalo de 30 minutos. Folgas às terças e quartas-feiras. Número de horas por semana: 40. Horário de trabalho (início/término): 9h00 - 17h30.</v>
      </c>
    </row>
    <row r="1356" ht="20.25" customHeight="1">
      <c r="A1356" s="3" t="s">
        <v>6004</v>
      </c>
      <c r="B1356" s="3" t="s">
        <v>5996</v>
      </c>
      <c r="C1356" s="3" t="s">
        <v>5990</v>
      </c>
      <c r="D1356" s="3" t="s">
        <v>28</v>
      </c>
      <c r="E1356" s="4" t="s">
        <v>44</v>
      </c>
      <c r="F1356" s="4" t="s">
        <v>20</v>
      </c>
      <c r="G1356" s="4" t="s">
        <v>437</v>
      </c>
      <c r="H1356" s="3" t="s">
        <v>5997</v>
      </c>
      <c r="I1356" s="3" t="s">
        <v>5998</v>
      </c>
      <c r="J1356" s="4">
        <v>15.42</v>
      </c>
      <c r="K1356" s="4">
        <v>10.0</v>
      </c>
      <c r="L1356" s="3" t="s">
        <v>387</v>
      </c>
      <c r="M1356" s="3" t="s">
        <v>6005</v>
      </c>
      <c r="N1356" s="7" t="str">
        <f>IFERROR(__xludf.DUMMYFUNCTION("GOOGLETRANSLATE(L1356, ""en"", ""pt"")"),"Ordem de serviço não disponível")</f>
        <v>Ordem de serviço não disponível</v>
      </c>
      <c r="O1356" s="7" t="str">
        <f>IFERROR(__xludf.DUMMYFUNCTION("IF(M1356="""","""",GOOGLETRANSLATE(M1356,""en"",""pt""))"),"O cozinheiro é responsável pelo preparo e cozimento de alimentos para diversas áreas de serviço, incluindo restaurante, café, serviço de quarto, refeitório de funcionários e banquetes. A função segue receitas padronizadas e diretrizes de porções para gara"&amp;"ntir qualidade e consistência. O cozinheiro organiza e abastece as estações de trabalho com os suprimentos necessários, prepara os itens do cardápio utilizando diversas técnicas e garante que cada prato seja apresentado de forma atraente e apetitosa. O co"&amp;"zinheiro mantém a limpeza, a higiene e a segurança na cozinha e nas áreas de trabalho, monitorando as temperaturas dos alimentos, manuseando utensílios e equipamentos de forma adequada e seguindo as normas de segurança alimentar. O cozinheiro também é res"&amp;"ponsável por minimizar o desperdício de alimentos, revisar o estoque de alimentos de forma eficiente e maximizar a relação custo/produção. Classificação da função: 35-2014.00 - Cozinheiros, Restaurante. A classificação e a descrição da função/setor inclue"&amp;"m informações gerais sobre o cargo, de acordo com o ONET/OES e o Sistema de Classificação Industrial da América do Norte. Consulte as atribuições e a ordem de serviço para obter mais informações. Requisitos da vaga Experiência necessária: Sim Meses de exp"&amp;"eriência necessários: 12 Requisitos especiais: Deve ser capaz de ficar em pé por longos períodos e trabalhar em um ambiente de cozinha quente e dinâmico. Os cozinheiros também devem ser capazes de levantar 23 kg. O horário de trabalho é de segunda a domin"&amp;"go, com turnos de 8 horas, sendo o turno da manhã com início às 6h e o turno da tarde com início às 14h. O horário poderá sofrer alterações de acordo com as necessidades da empresa. Quarta e quinta-feira são os dias de folga. Número de horas por semana: 4"&amp;"0 Horário de trabalho (início/término): 6h às 14h")</f>
        <v>O cozinheiro é responsável pelo preparo e cozimento de alimentos para diversas áreas de serviço, incluindo restaurante, café, serviço de quarto, refeitório de funcionários e banquetes. A função segue receitas padronizadas e diretrizes de porções para garantir qualidade e consistência. O cozinheiro organiza e abastece as estações de trabalho com os suprimentos necessários, prepara os itens do cardápio utilizando diversas técnicas e garante que cada prato seja apresentado de forma atraente e apetitosa. O cozinheiro mantém a limpeza, a higiene e a segurança na cozinha e nas áreas de trabalho, monitorando as temperaturas dos alimentos, manuseando utensílios e equipamentos de forma adequada e seguindo as normas de segurança alimentar. O cozinheiro também é responsável por minimizar o desperdício de alimentos, revisar o estoque de alimentos de forma eficiente e maximizar a relação custo/produção. Classificação da função: 35-2014.00 - Cozinheiros, Restaurante. A classificação e a descrição da função/setor incluem informações gerais sobre o cargo, de acordo com o ONET/OES e o Sistema de Classificação Industrial da América do Norte. Consulte as atribuições e a ordem de serviço para obter mais informações. Requisitos da vaga Experiência necessária: Sim Meses de experiência necessários: 12 Requisitos especiais: Deve ser capaz de ficar em pé por longos períodos e trabalhar em um ambiente de cozinha quente e dinâmico. Os cozinheiros também devem ser capazes de levantar 23 kg. O horário de trabalho é de segunda a domingo, com turnos de 8 horas, sendo o turno da manhã com início às 6h e o turno da tarde com início às 14h. O horário poderá sofrer alterações de acordo com as necessidades da empresa. Quarta e quinta-feira são os dias de folga. Número de horas por semana: 40 Horário de trabalho (início/término): 6h às 14h</v>
      </c>
    </row>
    <row r="1357" ht="20.25" customHeight="1">
      <c r="A1357" s="8" t="s">
        <v>6006</v>
      </c>
      <c r="B1357" s="8" t="s">
        <v>6007</v>
      </c>
      <c r="C1357" s="8" t="s">
        <v>5852</v>
      </c>
      <c r="D1357" s="8" t="s">
        <v>64</v>
      </c>
      <c r="E1357" s="9" t="s">
        <v>19</v>
      </c>
      <c r="F1357" s="9" t="s">
        <v>20</v>
      </c>
      <c r="G1357" s="9" t="s">
        <v>377</v>
      </c>
      <c r="H1357" s="8" t="s">
        <v>6008</v>
      </c>
      <c r="I1357" s="8" t="s">
        <v>6009</v>
      </c>
      <c r="J1357" s="9">
        <v>13.13</v>
      </c>
      <c r="K1357" s="9">
        <v>10.0</v>
      </c>
      <c r="L1357" s="8" t="s">
        <v>354</v>
      </c>
      <c r="M1357" s="8" t="s">
        <v>6010</v>
      </c>
      <c r="N1357" s="7" t="str">
        <f>IFERROR(__xludf.DUMMYFUNCTION("GOOGLETRANSLATE(L1357, ""en"", ""pt"")"),"Governanta")</f>
        <v>Governanta</v>
      </c>
      <c r="O1357" s="7" t="str">
        <f>IFERROR(__xludf.DUMMYFUNCTION("IF(M1357="""","""",GOOGLETRANSLATE(M1357,""en"",""pt""))"),"Limpar quartos, remover lençóis e toalhas sujas e o lixo. Fazer a cama com lençóis e cobertores limpos, tirar o pó, limpar os móveis e remover detritos. Aspirar, varrer e passar pano em todo o piso. Limpar banheiros, incluindo vaso sanitário, pia, chuveir"&amp;"o, bancada e pisos. Reabastecer o depósito e os carrinhos com toalhas, amenidades, sacos de lixo e materiais de apoio. Limpar áreas comuns e cozinhas. Classificação da vaga: 37-2012.00 - Camareiras e Auxiliares de Limpeza. A classificação e descrição da v"&amp;"aga/setor inclui informações gerais sobre o cargo, de acordo com o ONET/OES e o Sistema de Classificação Industrial da América do Norte. Consulte as Funções e a Ordem de Serviço para obter mais informações. Requisitos da vaga: Experiência necessária: Não."&amp;" Requisitos especiais: Capacidade de levantar 11 kg, de segunda a domingo, escala rotativa, média de 40 horas semanais, horário variável, horas extras variáveis. Número de horas por semana: 40. Horário de trabalho (início/término): 8h às 16h30.")</f>
        <v>Limpar quartos, remover lençóis e toalhas sujas e o lixo. Fazer a cama com lençóis e cobertores limpos, tirar o pó, limpar os móveis e remover detritos. Aspirar, varrer e passar pano em todo o piso. Limpar banheiros, incluindo vaso sanitário, pia, chuveiro, bancada e pisos. Reabastecer o depósito e os carrinhos com toalhas, amenidades, sacos de lixo e materiais de apoio. Limpar áreas comuns e cozinhas. Classificação da vaga: 37-2012.00 - Camareiras e Auxiliares de Limpeza. A classificação e descrição da vaga/setor inclui informações gerais sobre o cargo, de acordo com o ONET/OES e o Sistema de Classificação Industrial da América do Norte. Consulte as Funções e a Ordem de Serviço para obter mais informações. Requisitos da vaga: Experiência necessária: Não. Requisitos especiais: Capacidade de levantar 11 kg, de segunda a domingo, escala rotativa, média de 40 horas semanais, horário variável, horas extras variáveis. Número de horas por semana: 40. Horário de trabalho (início/término): 8h às 16h30.</v>
      </c>
    </row>
    <row r="1358" ht="20.25" customHeight="1">
      <c r="A1358" s="8" t="s">
        <v>6011</v>
      </c>
      <c r="B1358" s="8" t="s">
        <v>6012</v>
      </c>
      <c r="C1358" s="8" t="s">
        <v>63</v>
      </c>
      <c r="D1358" s="8" t="s">
        <v>1978</v>
      </c>
      <c r="E1358" s="9" t="s">
        <v>19</v>
      </c>
      <c r="F1358" s="9" t="s">
        <v>20</v>
      </c>
      <c r="G1358" s="9" t="s">
        <v>313</v>
      </c>
      <c r="H1358" s="14" t="s">
        <v>6013</v>
      </c>
      <c r="I1358" s="8" t="s">
        <v>6014</v>
      </c>
      <c r="J1358" s="9">
        <v>30.81</v>
      </c>
      <c r="K1358" s="9">
        <v>30.0</v>
      </c>
      <c r="L1358" s="8" t="s">
        <v>6015</v>
      </c>
      <c r="M1358" s="8" t="s">
        <v>6016</v>
      </c>
      <c r="N1358" s="7" t="str">
        <f>IFERROR(__xludf.DUMMYFUNCTION("GOOGLETRANSLATE(L1358, ""en"", ""pt"")"),"Operadores de Máquinas")</f>
        <v>Operadores de Máquinas</v>
      </c>
      <c r="O1358" s="7" t="str">
        <f>IFERROR(__xludf.DUMMYFUNCTION("IF(M1358="""","""",GOOGLETRANSLATE(M1358,""en"",""pt""))"),"Operar e cuidar de máquinas e usar ferramentas manuais para produzir, movimentar e aparar pedra bruta e produtos de pedra acabados. Levantar/transportar produtos manualmente. Contar/empilhar/classificar materiais em paletes para embalagem e envio. Os trab"&amp;"alhadores operarão diversas máquinas de corte de pedra que cortam e moldam a pedra. Eles usarão guilhotinas hidráulicas, serras de pedra, furadeiras, martelos, britadeiras, ferramentas manuais e cunhas de corte para moldar a pedra até que esteja pronta pa"&amp;"ra paletização. Levantar e transportar produtos manualmente. Em alguns casos, os trabalhadores usarão controles para operar máquinas para movimentar a pedra para que outros trabalhadores a moldem. ***Resposta à RFI*** Espera-se que os trabalhadores desta "&amp;"função utilizem os seguintes tipos de máquinas e ferramentas: 1. Alimentar as máquinas de corte, as esteiras transportadoras ou as lâminas de corte com matéria-prima, rosqueando, guiando, empurrando ou girando volantes. 2. Movimentar matéria-prima ou suca"&amp;"ta para dentro e para fora das máquinas manualmente ou usando carrinhos, transpaleteiras ou empilhadeiras. 3. Levantar matérias-primas, produtos acabados e itens embalados, manualmente ou usando guindastes. 4. Transferir produtos acabados, matérias-primas"&amp;", ferramentas ou equipamentos entre as áreas de armazenamento e de trabalho das fábricas e armazéns, manualmente ou utilizando carrinhos de mão ou empilhadeiras. Classificação da Função: 53-7041.00 - Operadores de Guincho e Talha. A classificação e descri"&amp;"ção da função/setor inclui informações gerais sobre o cargo, de acordo com o ONET/OES e o Sistema de Classificação Industrial da América do Norte (NAICS). Consulte as Funções e a Ordem de Serviço para obter mais informações. Requisitos da Função Experiênc"&amp;"ia Necessária: Não. Requisitos Especiais: Deve ser capaz de levantar/carregar 45 kg, quando necessário. Trabalho aos sábados, quando necessário. Testes toxicológicos pós-contratação, em caso de suspeita de uso e após acidente, são obrigatórios para trabal"&amp;"hadores estrangeiros e nacionais. O empregador pode oferecer mais horas de trabalho do que as estipuladas, dependendo do clima, das necessidades da empresa e de outras condições. Calor extremo, frio, chuva ou seca podem afetar o horário de trabalho exato."&amp;" Número de Horas por Semana: 40. Horário de Trabalho (Início/Término): 7h30 - 16h.")</f>
        <v>Operar e cuidar de máquinas e usar ferramentas manuais para produzir, movimentar e aparar pedra bruta e produtos de pedra acabados. Levantar/transportar produtos manualmente. Contar/empilhar/classificar materiais em paletes para embalagem e envio. Os trabalhadores operarão diversas máquinas de corte de pedra que cortam e moldam a pedra. Eles usarão guilhotinas hidráulicas, serras de pedra, furadeiras, martelos, britadeiras, ferramentas manuais e cunhas de corte para moldar a pedra até que esteja pronta para paletização. Levantar e transportar produtos manualmente. Em alguns casos, os trabalhadores usarão controles para operar máquinas para movimentar a pedra para que outros trabalhadores a moldem. ***Resposta à RFI*** Espera-se que os trabalhadores desta função utilizem os seguintes tipos de máquinas e ferramentas: 1. Alimentar as máquinas de corte, as esteiras transportadoras ou as lâminas de corte com matéria-prima, rosqueando, guiando, empurrando ou girando volantes. 2. Movimentar matéria-prima ou sucata para dentro e para fora das máquinas manualmente ou usando carrinhos, transpaleteiras ou empilhadeiras. 3. Levantar matérias-primas, produtos acabados e itens embalados, manualmente ou usando guindastes. 4. Transferir produtos acabados, matérias-primas, ferramentas ou equipamentos entre as áreas de armazenamento e de trabalho das fábricas e armazéns, manualmente ou utilizando carrinhos de mão ou empilhadeiras. Classificação da Função: 53-7041.00 - Operadores de Guincho e Talha. A classificação e descrição da função/setor inclui informações gerais sobre o cargo, de acordo com o ONET/OES e o Sistema de Classificação Industrial da América do Norte (NAICS). Consulte as Funções e a Ordem de Serviço para obter mais informações. Requisitos da Função Experiência Necessária: Não. Requisitos Especiais: Deve ser capaz de levantar/carregar 45 kg, quando necessário. Trabalho aos sábados, quando necessário. Testes toxicológicos pós-contratação, em caso de suspeita de uso e após acidente, são obrigatórios para trabalhadores estrangeiros e nacionais. O empregador pode oferecer mais horas de trabalho do que as estipuladas, dependendo do clima, das necessidades da empresa e de outras condições. Calor extremo, frio, chuva ou seca podem afetar o horário de trabalho exato. Número de Horas por Semana: 40. Horário de Trabalho (Início/Término): 7h30 - 16h.</v>
      </c>
    </row>
    <row r="1359" ht="20.25" customHeight="1">
      <c r="A1359" s="8" t="s">
        <v>6017</v>
      </c>
      <c r="B1359" s="8" t="s">
        <v>6018</v>
      </c>
      <c r="C1359" s="8" t="s">
        <v>5563</v>
      </c>
      <c r="D1359" s="8" t="s">
        <v>28</v>
      </c>
      <c r="E1359" s="9" t="s">
        <v>19</v>
      </c>
      <c r="F1359" s="9" t="s">
        <v>20</v>
      </c>
      <c r="G1359" s="9" t="s">
        <v>80</v>
      </c>
      <c r="H1359" s="8" t="s">
        <v>6019</v>
      </c>
      <c r="I1359" s="8" t="s">
        <v>6020</v>
      </c>
      <c r="J1359" s="9">
        <v>24.39</v>
      </c>
      <c r="K1359" s="9">
        <v>25.0</v>
      </c>
      <c r="L1359" s="8" t="s">
        <v>1849</v>
      </c>
      <c r="M1359" s="8" t="s">
        <v>6021</v>
      </c>
      <c r="N1359" s="7" t="str">
        <f>IFERROR(__xludf.DUMMYFUNCTION("GOOGLETRANSLATE(L1359, ""en"", ""pt"")"),"Marinheiro")</f>
        <v>Marinheiro</v>
      </c>
      <c r="O1359" s="7" t="str">
        <f>IFERROR(__xludf.DUMMYFUNCTION("IF(M1359="""","""",GOOGLETRANSLATE(M1359,""en"",""pt""))"),"***Resposta à Solicitação de Informações*** Os trabalhadores podem ser solicitados a lavar barcos com lavadora de alta pressão. Podem ser solicitados a lixar ou esmerilhar usando uma lixadeira ou esmerilhadeira. Podem ser solicitados a fazer pequenos repa"&amp;"ros, como trocar filtros de combustível, onde uma chave inglesa seria usada. Os marinheiros auxiliarão em projetos de manutenção e reparos para preparar os barcos. Eles poderão ser solicitados a realizar tarefas como pintar com pincel, lixar a tinta com l"&amp;"ixa para preparação da pintura, lubrificar guinchos com graxa e pregar tábuas do convés com martelo. ***F.a.2 Original*** Conectar dispositivos de equipamentos ao cabo, lança e guincho. Carregar/descarregar equipamentos e suprimentos. Pescar/dragar ostras"&amp;" (fixar redes e linhas, puxar a pesca), separar, limpar a pesca, descartar ostras, transplantar ostras, armazenar e descarregar ostras. Lavar o convés, equipamentos, caixa térmica e cabine. Separar, limpar e devolver ostras indesejáveis ​​e de tamanho ile"&amp;"gal à baía. Instalar tubos de PVC e/ou marcadores de ostras em áreas de cultivo privadas. Transplantar ostras, conchas e pedras. Fixar e remover cabos de amarração de embarcações, tanto no cais quanto em outras embarcações. O trabalho no estaleiro inclui "&amp;"limpeza da embarcação, lixamento, pintura, lubrificação, ajuste e pequenos reparos no motor e equipamentos. Realizar manutenção, reparos e serviços gerais em barcos de pesca de ostras, docas e estaleiros. Executar qualquer combinação das seguintes tarefas"&amp;" a bordo da embarcação de pesca: vigia, leme e turnos na casa de máquinas. Carregar/descarregar sacos de ostras da embarcação para o refrigerador do cais e/ou caminhões de carga. Os marinheiros devem conhecer e cumprir todos os procedimentos de segurança "&amp;"da Guarda Costeira dos EUA e todas as leis do Departamento de Parques e Vida Selvagem do Texas. Consulte o adendo anexo. Classificação da função: 45-3031.00 - Trabalhadores da Pesca e Caça. A classificação e descrição da função/setor inclui informações ge"&amp;"rais sobre o cargo, conforme o ONET/OES e o Sistema de Classificação Industrial da América do Norte. Consulte as Funções e a Ordem de Serviço para obter mais informações. Requisitos da vaga Experiência necessária: Não Requisitos especiais: Levantar/carreg"&amp;"ar até 45 kg. Sem experiência/Sem escolaridade. Treinamento de 1 dia no local de trabalho fornecido. Teste antidrogas pago pelo empregador em caso de suspeita. O empregador poderá realizar verificações legais relacionadas ao trabalho, incluindo consultas "&amp;"sobre antecedentes criminais, quando permitido pelas leis federais, estaduais e locais aplicáveis. Qualquer análise de antecedentes criminais será feita individualmente e as decisões de emprego serão tomadas de forma não discriminatória, em conformidade c"&amp;"om as leis aplicáveis ​​e as necessidades da empresa. Não são permitidas doenças infecciosas; alergias a frutos do mar podem ser fatais. Número de horas por semana: 35 Horário de trabalho (início/término): 6h às 14h")</f>
        <v>***Resposta à Solicitação de Informações*** Os trabalhadores podem ser solicitados a lavar barcos com lavadora de alta pressão. Podem ser solicitados a lixar ou esmerilhar usando uma lixadeira ou esmerilhadeira. Podem ser solicitados a fazer pequenos reparos, como trocar filtros de combustível, onde uma chave inglesa seria usada. Os marinheiros auxiliarão em projetos de manutenção e reparos para preparar os barcos. Eles poderão ser solicitados a realizar tarefas como pintar com pincel, lixar a tinta com lixa para preparação da pintura, lubrificar guinchos com graxa e pregar tábuas do convés com martelo. ***F.a.2 Original*** Conectar dispositivos de equipamentos ao cabo, lança e guincho. Carregar/descarregar equipamentos e suprimentos. Pescar/dragar ostras (fixar redes e linhas, puxar a pesca), separar, limpar a pesca, descartar ostras, transplantar ostras, armazenar e descarregar ostras. Lavar o convés, equipamentos, caixa térmica e cabine. Separar, limpar e devolver ostras indesejáveis ​​e de tamanho ilegal à baía. Instalar tubos de PVC e/ou marcadores de ostras em áreas de cultivo privadas. Transplantar ostras, conchas e pedras. Fixar e remover cabos de amarração de embarcações, tanto no cais quanto em outras embarcações. O trabalho no estaleiro inclui limpeza da embarcação, lixamento, pintura, lubrificação, ajuste e pequenos reparos no motor e equipamentos. Realizar manutenção, reparos e serviços gerais em barcos de pesca de ostras, docas e estaleiros. Executar qualquer combinação das seguintes tarefas a bordo da embarcação de pesca: vigia, leme e turnos na casa de máquinas. Carregar/descarregar sacos de ostras da embarcação para o refrigerador do cais e/ou caminhões de carga. Os marinheiros devem conhecer e cumprir todos os procedimentos de segurança da Guarda Costeira dos EUA e todas as leis do Departamento de Parques e Vida Selvagem do Texas. Consulte o adendo anexo. Classificação da função: 45-3031.00 - Trabalhadores da Pesca e Caça. A classificação e descrição da função/setor inclui informações gerais sobre o cargo, conforme o ONET/OES e o Sistema de Classificação Industrial da América do Norte. Consulte as Funções e a Ordem de Serviço para obter mais informações. Requisitos da vaga Experiência necessária: Não Requisitos especiais: Levantar/carregar até 45 kg. Sem experiência/Sem escolaridade. Treinamento de 1 dia no local de trabalho fornecido. Teste antidrogas pago pelo empregador em caso de suspeita. O empregador poderá realizar verificações legais relacionadas ao trabalho, incluindo consultas sobre antecedentes criminais, quando permitido pelas leis federais, estaduais e locais aplicáveis. Qualquer análise de antecedentes criminais será feita individualmente e as decisões de emprego serão tomadas de forma não discriminatória, em conformidade com as leis aplicáveis ​​e as necessidades da empresa. Não são permitidas doenças infecciosas; alergias a frutos do mar podem ser fatais. Número de horas por semana: 35 Horário de trabalho (início/término): 6h às 14h</v>
      </c>
    </row>
    <row r="1360" ht="20.25" customHeight="1">
      <c r="A1360" s="3" t="s">
        <v>6022</v>
      </c>
      <c r="B1360" s="3" t="s">
        <v>6023</v>
      </c>
      <c r="C1360" s="3" t="s">
        <v>6024</v>
      </c>
      <c r="D1360" s="3" t="s">
        <v>532</v>
      </c>
      <c r="E1360" s="4" t="s">
        <v>19</v>
      </c>
      <c r="F1360" s="4" t="s">
        <v>20</v>
      </c>
      <c r="G1360" s="4" t="s">
        <v>110</v>
      </c>
      <c r="H1360" s="3" t="s">
        <v>6025</v>
      </c>
      <c r="I1360" s="3" t="s">
        <v>6026</v>
      </c>
      <c r="J1360" s="4">
        <v>16.65</v>
      </c>
      <c r="K1360" s="4">
        <v>65.0</v>
      </c>
      <c r="L1360" s="3" t="s">
        <v>4443</v>
      </c>
      <c r="M1360" s="3" t="s">
        <v>6027</v>
      </c>
      <c r="N1360" s="7" t="str">
        <f>IFERROR(__xludf.DUMMYFUNCTION("GOOGLETRANSLATE(L1360, ""en"", ""pt"")"),"Atendente de parque de diversões")</f>
        <v>Atendente de parque de diversões</v>
      </c>
      <c r="O1360" s="7" t="str">
        <f>IFERROR(__xludf.DUMMYFUNCTION("IF(M1360="""","""",GOOGLETRANSLATE(M1360,""en"",""pt""))"),"Montar, desmontar, operar e manter equipamentos; operar jogos, recolher bilhetes/taxas; dar troco; auxiliar os clientes. Requisitos da vaga: Capacidade de levantar 23 kg. É necessário ter capacidade para levantar peso e mobilidade física. É preciso viajar"&amp;" para todos os locais, com transporte fornecido pelo empregador. • Não é necessário ter formação ou experiência prévia. • Treinamento no local de trabalho oferecido. Classificação da vaga: 39-3091.00 - Atendentes de Parques de Diversões e Recreação. A cla"&amp;"ssificação e descrição da vaga/setor incluem informações gerais sobre o cargo, de acordo com o ONET/OES e o Sistema de Classificação Industrial da América do Norte (NAICS). Consulte as Funções e a Ordem de Serviço para obter mais informações. Requisitos d"&amp;"a vaga: Experiência necessária: Não. Requisitos especiais: Horário de trabalho: Os horários, escalas e dias variam bastante. Normalmente de quarta a domingo, das 16h às 23h. Geralmente de 35 a 45 horas semanais, podendo chegar a 60 horas semanais. As nece"&amp;"ssidades de trabalho (ou seja, horas, dias, escala, local e funções) variam. As necessidades de trabalho estão sujeitas às práticas do setor e não são garantidas por dia, semana, horário, local ou trabalhador, por exemplo, em caso de cancelamentos por chu"&amp;"va, breves períodos sem eventos programados, datas e horários de eventos definidos em acordo com o patrocinador e sujeitos a alterações (com base em condições climáticas adversas, horário de funcionamento, dia da semana, público, tamanho do evento, calend"&amp;"ário escolar, quantidade de equipamentos em operação, equipe, etc.) e cancelamentos imprevistos. Em caso de eventos simultâneos aprovados, as necessidades de trabalho podem exigir ajustes na escala de trabalho dos trabalhadores. Requisitos do trabalho: Te"&amp;"stes aleatórios de drogas e verificação de antecedentes criminais após a contratação podem ser exigidos pelo empregador, sem custo para o trabalhador. O trabalho exige que o candidato seja qualificado, autorizado, esteja pronto, disposto, apto e disponíve"&amp;"l para trabalhar durante todo o período de emprego nos locais de trabalho designados, mesmo em condições climáticas adversas; atenda aos nossos padrões de verificação ou testes; firme e cumpra qualquer contrato de trabalho e contrato de locação de moradia"&amp;"; siga as regras do local de trabalho, de reclamações e de moradia. O procedimento de reclamações exige que os trabalhadores relatem quaisquer ameaças ou descumprimento dos termos e condições de trabalho; e atendam aos padrões de desempenho do trabalho. T"&amp;"rabalho externo em todas as condições climáticas. A vaga exige que o candidato obtenha e apresente comprovante de todas as autorizações governamentais necessárias para exercer a função, como o visto de trabalho H-2B para trabalhadores estrangeiros. O vist"&amp;"o H-2B será emitido pelo consulado dos Estados Unidos no país de origem do candidato, e após a emissão, o candidato será considerado contratado naquele local e data. É necessário cooperar e preencher o formulário de inscrição e participar da entrevista, f"&amp;"ornecendo informações verdadeiras e completas. O candidato deve cumprir os requisitos de apresentação pessoal e o código de vestimenta. É necessário ter disponibilidade para trabalhar até 7 dias por semana. Sujeito a demissão por justa causa. Número de ho"&amp;"ras semanais: 35. Horário de trabalho (início/término): 16h às 23h.")</f>
        <v>Montar, desmontar, operar e manter equipamentos; operar jogos, recolher bilhetes/taxas; dar troco; auxiliar os clientes. Requisitos da vaga: Capacidade de levantar 23 kg. É necessário ter capacidade para levantar peso e mobilidade física. É preciso viajar para todos os locais, com transporte fornecido pelo empregador. • Não é necessário ter formação ou experiência prévia. • Treinamento no local de trabalho oferecido. Classificação da vaga: 39-3091.00 - Atendentes de Parques de Diversões e Recreação. A classificação e descrição da vaga/setor incluem informações gerais sobre o cargo, de acordo com o ONET/OES e o Sistema de Classificação Industrial da América do Norte (NAICS). Consulte as Funções e a Ordem de Serviço para obter mais informações. Requisitos da vaga: Experiência necessária: Não. Requisitos especiais: Horário de trabalho: Os horários, escalas e dias variam bastante. Normalmente de quarta a domingo, das 16h às 23h. Geralmente de 35 a 45 horas semanais, podendo chegar a 60 horas semanais. As necessidades de trabalho (ou seja, horas, dias, escala, local e funções) variam. As necessidades de trabalho estão sujeitas às práticas do setor e não são garantidas por dia, semana, horário, local ou trabalhador, por exemplo, em caso de cancelamentos por chuva, breves períodos sem eventos programados, datas e horários de eventos definidos em acordo com o patrocinador e sujeitos a alterações (com base em condições climáticas adversas, horário de funcionamento, dia da semana, público, tamanho do evento, calendário escolar, quantidade de equipamentos em operação, equipe, etc.) e cancelamentos imprevistos. Em caso de eventos simultâneos aprovados, as necessidades de trabalho podem exigir ajustes na escala de trabalho dos trabalhadores. Requisitos do trabalho: Testes aleatórios de drogas e verificação de antecedentes criminais após a contratação podem ser exigidos pelo empregador, sem custo para o trabalhador. O trabalho exige que o candidato seja qualificado, autorizado, esteja pronto, disposto, apto e disponível para trabalhar durante todo o período de emprego nos locais de trabalho designados, mesmo em condições climáticas adversas; atenda aos nossos padrões de verificação ou testes; firme e cumpra qualquer contrato de trabalho e contrato de locação de moradia; siga as regras do local de trabalho, de reclamações e de moradia. O procedimento de reclamações exige que os trabalhadores relatem quaisquer ameaças ou descumprimento dos termos e condições de trabalho; e atendam aos padrões de desempenho do trabalho. Trabalho externo em todas as condições climáticas. A vaga exige que o candidato obtenha e apresente comprovante de todas as autorizações governamentais necessárias para exercer a função, como o visto de trabalho H-2B para trabalhadores estrangeiros. O visto H-2B será emitido pelo consulado dos Estados Unidos no país de origem do candidato, e após a emissão, o candidato será considerado contratado naquele local e data. É necessário cooperar e preencher o formulário de inscrição e participar da entrevista, fornecendo informações verdadeiras e completas. O candidato deve cumprir os requisitos de apresentação pessoal e o código de vestimenta. É necessário ter disponibilidade para trabalhar até 7 dias por semana. Sujeito a demissão por justa causa. Número de horas semanais: 35. Horário de trabalho (início/término): 16h às 23h.</v>
      </c>
    </row>
    <row r="1361" ht="20.25" customHeight="1">
      <c r="A1361" s="8" t="s">
        <v>6028</v>
      </c>
      <c r="B1361" s="8" t="s">
        <v>6029</v>
      </c>
      <c r="C1361" s="8" t="s">
        <v>6030</v>
      </c>
      <c r="D1361" s="8" t="s">
        <v>4521</v>
      </c>
      <c r="E1361" s="9" t="s">
        <v>19</v>
      </c>
      <c r="F1361" s="9" t="s">
        <v>20</v>
      </c>
      <c r="G1361" s="9" t="s">
        <v>345</v>
      </c>
      <c r="H1361" s="8" t="s">
        <v>6031</v>
      </c>
      <c r="I1361" s="8" t="s">
        <v>6032</v>
      </c>
      <c r="J1361" s="9">
        <v>17.55</v>
      </c>
      <c r="K1361" s="9">
        <v>5.0</v>
      </c>
      <c r="L1361" s="8" t="s">
        <v>354</v>
      </c>
      <c r="M1361" s="8" t="s">
        <v>6033</v>
      </c>
      <c r="N1361" s="7" t="str">
        <f>IFERROR(__xludf.DUMMYFUNCTION("GOOGLETRANSLATE(L1361, ""en"", ""pt"")"),"Governanta")</f>
        <v>Governanta</v>
      </c>
      <c r="O1361" s="7" t="str">
        <f>IFERROR(__xludf.DUMMYFUNCTION("IF(M1361="""","""",GOOGLETRANSLATE(M1361,""en"",""pt""))"),"Limpar quartos e áreas comuns. Fazer camas, aspirar, limpar banheiros e trocar a roupa de cama. Executar outras tarefas gerais de limpeza, conforme necessário. Classificação da vaga: 37-2012.00 - Camareiras e Auxiliares de Limpeza. A classificação e descr"&amp;"ição da vaga/setor incluem informações gerais sobre o cargo, de acordo com o ONET/OES e o Sistema de Classificação Industrial da América do Norte (NAICS). Consulte as Funções e a Ordem de Serviço para obter mais informações. Requisitos da vaga: Experiênci"&amp;"a necessária: Não. Número de horas por semana: 35. Horário de trabalho (início/término): 8h às 20h.")</f>
        <v>Limpar quartos e áreas comuns. Fazer camas, aspirar, limpar banheiros e trocar a roupa de cama. Executar outras tarefas gerais de limpeza, conforme necessário. Classificação da vaga: 37-2012.00 - Camareiras e Auxiliares de Limpeza. A classificação e descrição da vaga/setor incluem informações gerais sobre o cargo, de acordo com o ONET/OES e o Sistema de Classificação Industrial da América do Norte (NAICS). Consulte as Funções e a Ordem de Serviço para obter mais informações. Requisitos da vaga: Experiência necessária: Não. Número de horas por semana: 35. Horário de trabalho (início/término): 8h às 20h.</v>
      </c>
    </row>
    <row r="1362" ht="20.25" customHeight="1">
      <c r="A1362" s="3" t="s">
        <v>6034</v>
      </c>
      <c r="B1362" s="3" t="s">
        <v>6035</v>
      </c>
      <c r="C1362" s="3" t="s">
        <v>5852</v>
      </c>
      <c r="D1362" s="3" t="s">
        <v>64</v>
      </c>
      <c r="E1362" s="4" t="s">
        <v>44</v>
      </c>
      <c r="F1362" s="4" t="s">
        <v>20</v>
      </c>
      <c r="G1362" s="4" t="s">
        <v>524</v>
      </c>
      <c r="H1362" s="3" t="s">
        <v>6036</v>
      </c>
      <c r="I1362" s="3" t="s">
        <v>6037</v>
      </c>
      <c r="J1362" s="4">
        <v>13.13</v>
      </c>
      <c r="K1362" s="4">
        <v>1.0</v>
      </c>
      <c r="L1362" s="3" t="s">
        <v>354</v>
      </c>
      <c r="M1362" s="3" t="s">
        <v>6038</v>
      </c>
      <c r="N1362" s="7" t="str">
        <f>IFERROR(__xludf.DUMMYFUNCTION("GOOGLETRANSLATE(L1362, ""en"", ""pt"")"),"Governanta")</f>
        <v>Governanta</v>
      </c>
      <c r="O1362" s="7" t="str">
        <f>IFERROR(__xludf.DUMMYFUNCTION("IF(M1362="""","""",GOOGLETRANSLATE(M1362,""en"",""pt""))"),"Limpar quartos, remover lençóis e toalhas sujas e o lixo. Fazer a cama com lençóis e cobertores limpos, tirar o pó, limpar os móveis e remover detritos. Aspirar, varrer e passar pano em toda a área do piso. Limpar banheiros, incluindo vaso sanitário, pia,"&amp;" chuveiro, bancada e pisos. Notificar o proprietário sobre a necessidade de suprimentos. Reabastecer o depósito e os carrinhos com toalhas, amenidades, sacos de lixo e materiais de apoio. Limpar áreas comuns e cozinhas. Classificação da vaga: 37-2012.00 -"&amp;" Empregadas Domésticas e Auxiliares de Limpeza. A classificação e descrição da vaga/setor inclui informações gerais sobre o cargo, de acordo com o ONET/OES e o Sistema de Classificação Industrial da América do Norte. Consulte as Funções e a Ordem de Servi"&amp;"ço para obter mais informações. Requisitos da vaga: Experiência necessária: Não. Requisitos especiais: Segunda a domingo, escala rotativa, média de 35 horas/semana, horário variável, horas extras variáveis. Número de horas por semana: 35. Horário de traba"&amp;"lho (início/término): 10h às 15h.")</f>
        <v>Limpar quartos, remover lençóis e toalhas sujas e o lixo. Fazer a cama com lençóis e cobertores limpos, tirar o pó, limpar os móveis e remover detritos. Aspirar, varrer e passar pano em toda a área do piso. Limpar banheiros, incluindo vaso sanitário, pia, chuveiro, bancada e pisos. Notificar o proprietário sobre a necessidade de suprimentos. Reabastecer o depósito e os carrinhos com toalhas, amenidades, sacos de lixo e materiais de apoio. Limpar áreas comuns e cozinhas. Classificação da vaga: 37-2012.00 - Empregadas Domésticas e Auxiliares de Limpeza. A classificação e descrição da vaga/setor inclui informações gerais sobre o cargo, de acordo com o ONET/OES e o Sistema de Classificação Industrial da América do Norte. Consulte as Funções e a Ordem de Serviço para obter mais informações. Requisitos da vaga: Experiência necessária: Não. Requisitos especiais: Segunda a domingo, escala rotativa, média de 35 horas/semana, horário variável, horas extras variáveis. Número de horas por semana: 35. Horário de trabalho (início/término): 10h às 15h.</v>
      </c>
    </row>
    <row r="1363" ht="20.25" customHeight="1">
      <c r="A1363" s="3" t="s">
        <v>6039</v>
      </c>
      <c r="B1363" s="3" t="s">
        <v>6040</v>
      </c>
      <c r="C1363" s="3" t="s">
        <v>391</v>
      </c>
      <c r="D1363" s="3" t="s">
        <v>64</v>
      </c>
      <c r="E1363" s="4" t="s">
        <v>44</v>
      </c>
      <c r="F1363" s="4" t="s">
        <v>20</v>
      </c>
      <c r="G1363" s="4" t="s">
        <v>377</v>
      </c>
      <c r="H1363" s="10" t="s">
        <v>6041</v>
      </c>
      <c r="I1363" s="3" t="s">
        <v>6042</v>
      </c>
      <c r="J1363" s="4">
        <v>22.93</v>
      </c>
      <c r="K1363" s="4">
        <v>60.0</v>
      </c>
      <c r="L1363" s="3" t="s">
        <v>6043</v>
      </c>
      <c r="M1363" s="3" t="s">
        <v>6044</v>
      </c>
      <c r="N1363" s="7" t="str">
        <f>IFERROR(__xludf.DUMMYFUNCTION("GOOGLETRANSLATE(L1363, ""en"", ""pt"")"),"Ajustador")</f>
        <v>Ajustador</v>
      </c>
      <c r="O1363" s="7" t="str">
        <f>IFERROR(__xludf.DUMMYFUNCTION("IF(M1363="""","""",GOOGLETRANSLATE(M1363,""en"",""pt""))"),"Interpretar desenhos de engenharia, plantas e especificações para determinar o layout e os procedimentos de montagem. Medir, cortar, ajustar e moldar componentes de tubos e chapas de aço usando ferramentas manuais e elétricas, incluindo serras, maçaricos "&amp;"e cortadores de plasma. Realizar o layout e o ajuste de elementos estruturais de aço, incluindo vigas, colunas, contraventamentos, tubos e chapas, de acordo com os requisitos do projeto. Alinhar e ajustar componentes estruturais e de tubos de aço usando t"&amp;"écnicas como soldagem, aparafusamento e rebitagem para garantir o alinhamento adequado e a integridade estrutural. Verificar as dimensões e o alinhamento dos componentes montados usando níveis, esquadros e outras ferramentas de medição. Fabricar, instalar"&amp;" e soldar estruturas de suporte temporárias, conforme necessário, para manter os componentes de aço no lugar durante a montagem. Colaborar com soldadores, operadores de guindaste e outros membros da equipe para coordenar o fluxo de trabalho e garantir a e"&amp;"xecução eficiente do projeto. Seguir os protocolos de segurança e todas as normas e diretrizes de segurança da OSHA para manter um ambiente de trabalho seguro para si e para os outros. Inspecionar e testar o trabalho concluído para garantir que os padrões"&amp;" de qualidade sejam atendidos e fazer os ajustes necessários. Manter as ferramentas, os equipamentos e a área de trabalho limpos e organizados. É imprescindível ter conhecimento prático de fabricação modular, incluindo montagem em oficina de módulos estru"&amp;"turais e de tubulação pré-fabricados, interpretação de desenhos de módulos e pontos de conexão, controle dimensional e os métodos utilizados para transportar e montar os módulos concluídos nos locais de instalação final. O empregador oferecerá um mínimo d"&amp;"e 40 horas de trabalho por semana. O trabalhador atuará em um dos dois turnos: das 7h às 15h30 ou das 15h30 às 00h, em dias variáveis ​​da semana, de segunda a domingo, de acordo com a necessidade do cliente. Os turnos incluem 30 minutos de intervalo não "&amp;"remunerado. Os dias, horários e turnos de trabalho podem variar dependendo das condições climáticas. O empregador poderá aumentar o salário ou oferecer bônus com base na experiência, desempenho, tempo de serviço e/ou condições de mercado. Se aplicável, se"&amp;"rá pago adicional por hora extra, conforme exigido pelas leis federais, estaduais ou locais, incluindo hora e meia após 40 horas semanais. Horas extras podem ser remuneradas com um adicional de US$ 34,40 por hora. Classificação da Função: 47-2221.00 - Ope"&amp;"rários de Estruturas Metálicas. A classificação e descrição da função/setor inclui informações gerais sobre o cargo, de acordo com o ONET/OES e o Sistema de Classificação Industrial da América do Norte (NAICS). Consulte as Funções e a Ordem de Serviço par"&amp;"a obter mais informações. Requisitos da Função Experiência Necessária: Sim Meses de Experiência Necessários: 12 Requisitos Especiais: Exame toxicológico pré-admissional obrigatório, com o custo pago pelo empregador e aplicado igualmente a todos os trabalh"&amp;"adores. Exame médico pré-admissional obrigatório, com o custo pago pelo empregador e aplicado igualmente a todos os trabalhadores. O candidato deve ser aprovado em um teste escrito e prático, administrado no local de trabalho do projeto no Texas, às custa"&amp;"s do empregador. Deve ser capaz de levantar e/ou mover um mínimo de 23 kg. Deve estar disposto e apto a subir e trabalhar em locais altos, que podem exceder 60 metros de altura, e em espaços confinados. O candidato deve preencher uma ficha de inscrição de"&amp;" emprego. Número de Horas por Semana: 40 Horário de Trabalho (Início/Término): 7h00 - 15h30")</f>
        <v>Interpretar desenhos de engenharia, plantas e especificações para determinar o layout e os procedimentos de montagem. Medir, cortar, ajustar e moldar componentes de tubos e chapas de aço usando ferramentas manuais e elétricas, incluindo serras, maçaricos e cortadores de plasma. Realizar o layout e o ajuste de elementos estruturais de aço, incluindo vigas, colunas, contraventamentos, tubos e chapas, de acordo com os requisitos do projeto. Alinhar e ajustar componentes estruturais e de tubos de aço usando técnicas como soldagem, aparafusamento e rebitagem para garantir o alinhamento adequado e a integridade estrutural. Verificar as dimensões e o alinhamento dos componentes montados usando níveis, esquadros e outras ferramentas de medição. Fabricar, instalar e soldar estruturas de suporte temporárias, conforme necessário, para manter os componentes de aço no lugar durante a montagem. Colaborar com soldadores, operadores de guindaste e outros membros da equipe para coordenar o fluxo de trabalho e garantir a execução eficiente do projeto. Seguir os protocolos de segurança e todas as normas e diretrizes de segurança da OSHA para manter um ambiente de trabalho seguro para si e para os outros. Inspecionar e testar o trabalho concluído para garantir que os padrões de qualidade sejam atendidos e fazer os ajustes necessários. Manter as ferramentas, os equipamentos e a área de trabalho limpos e organizados. É imprescindível ter conhecimento prático de fabricação modular, incluindo montagem em oficina de módulos estruturais e de tubulação pré-fabricados, interpretação de desenhos de módulos e pontos de conexão, controle dimensional e os métodos utilizados para transportar e montar os módulos concluídos nos locais de instalação final. O empregador oferecerá um mínimo de 40 horas de trabalho por semana. O trabalhador atuará em um dos dois turnos: das 7h às 15h30 ou das 15h30 às 00h, em dias variáveis ​​da semana, de segunda a domingo, de acordo com a necessidade do cliente. Os turnos incluem 30 minutos de intervalo não remunerado. Os dias, horários e turnos de trabalho podem variar dependendo das condições climáticas. O empregador poderá aumentar o salário ou oferecer bônus com base na experiência, desempenho, tempo de serviço e/ou condições de mercado. Se aplicável, será pago adicional por hora extra, conforme exigido pelas leis federais, estaduais ou locais, incluindo hora e meia após 40 horas semanais. Horas extras podem ser remuneradas com um adicional de US$ 34,40 por hora. Classificação da Função: 47-2221.00 - Operários de Estruturas Metálicas. A classificação e descrição da função/setor inclui informações gerais sobre o cargo, de acordo com o ONET/OES e o Sistema de Classificação Industrial da América do Norte (NAICS). Consulte as Funções e a Ordem de Serviço para obter mais informações. Requisitos da Função Experiência Necessária: Sim Meses de Experiência Necessários: 12 Requisitos Especiais: Exame toxicológico pré-admissional obrigatório, com o custo pago pelo empregador e aplicado igualmente a todos os trabalhadores. Exame médico pré-admissional obrigatório, com o custo pago pelo empregador e aplicado igualmente a todos os trabalhadores. O candidato deve ser aprovado em um teste escrito e prático, administrado no local de trabalho do projeto no Texas, às custas do empregador. Deve ser capaz de levantar e/ou mover um mínimo de 23 kg. Deve estar disposto e apto a subir e trabalhar em locais altos, que podem exceder 60 metros de altura, e em espaços confinados. O candidato deve preencher uma ficha de inscrição de emprego. Número de Horas por Semana: 40 Horário de Trabalho (Início/Término): 7h00 - 15h30</v>
      </c>
    </row>
    <row r="1364" ht="20.25" customHeight="1">
      <c r="A1364" s="3" t="s">
        <v>6045</v>
      </c>
      <c r="B1364" s="3" t="s">
        <v>6046</v>
      </c>
      <c r="C1364" s="3"/>
      <c r="D1364" s="3" t="s">
        <v>18</v>
      </c>
      <c r="E1364" s="4" t="s">
        <v>44</v>
      </c>
      <c r="F1364" s="4" t="s">
        <v>20</v>
      </c>
      <c r="G1364" s="4" t="s">
        <v>198</v>
      </c>
      <c r="H1364" s="3" t="s">
        <v>6047</v>
      </c>
      <c r="I1364" s="3" t="s">
        <v>6048</v>
      </c>
      <c r="J1364" s="4">
        <v>18.35</v>
      </c>
      <c r="K1364" s="4">
        <v>2.0</v>
      </c>
      <c r="L1364" s="3" t="s">
        <v>387</v>
      </c>
      <c r="M1364" s="3" t="s">
        <v>6049</v>
      </c>
      <c r="N1364" s="7" t="str">
        <f>IFERROR(__xludf.DUMMYFUNCTION("GOOGLETRANSLATE(L1364, ""en"", ""pt"")"),"Ordem de serviço não disponível")</f>
        <v>Ordem de serviço não disponível</v>
      </c>
      <c r="O1364" s="7" t="str">
        <f>IFERROR(__xludf.DUMMYFUNCTION("IF(M1364="""","""",GOOGLETRANSLATE(M1364,""en"",""pt""))"),"Preparar e cozinhar itens do cardápio, incluindo döner, carnes grelhadas, legumes, molhos e outras especialidades turcas. Fatiar, marinar, temperar e porcionar ingredientes de acordo com os padrões do restaurante. Operar grelhas, forno vertical, rotisseri"&amp;"e vertical, fornos e outros equipamentos de cozinha com segurança. Preparar wraps, tigelas, pratos e acompanhamentos. Manter a estação de trabalho limpa e higienizada; seguir todos os procedimentos de segurança alimentar, higiene e sanitização. Monitorar "&amp;"a qualidade, a temperatura e a apresentação dos alimentos para garantir a consistência. Auxiliar na rotação de estoque, preparação de alimentos, porcionamento de ingredientes e organização geral da cozinha. Limpar e higienizar áreas de trabalho, equipamen"&amp;"tos e utensílios. Trabalhar em equipe em um ambiente dinâmico. O empregador fornece todas as ferramentas, uniformes e equipamentos necessários para o desempenho da função. Não é necessária experiência; o empregador fornecerá treinamento. Classificação da "&amp;"vaga: 35-2014.00 - Cozinheiros, Restaurante. A classificação e descrição da vaga/setor incluem informações gerais sobre o cargo, de acordo com o ONET/OES e o Sistema de Classificação Industrial da América do Norte. Consulte as Funções e a Ordem de Serviço"&amp;" para obter mais informações. Requisitos da vaga Experiência necessária: Não Requisitos especiais: Não há requisitos especiais Número de horas por semana: 40 Horário de trabalho (início/término): 10:00 - 18:00")</f>
        <v>Preparar e cozinhar itens do cardápio, incluindo döner, carnes grelhadas, legumes, molhos e outras especialidades turcas. Fatiar, marinar, temperar e porcionar ingredientes de acordo com os padrões do restaurante. Operar grelhas, forno vertical, rotisserie vertical, fornos e outros equipamentos de cozinha com segurança. Preparar wraps, tigelas, pratos e acompanhamentos. Manter a estação de trabalho limpa e higienizada; seguir todos os procedimentos de segurança alimentar, higiene e sanitização. Monitorar a qualidade, a temperatura e a apresentação dos alimentos para garantir a consistência. Auxiliar na rotação de estoque, preparação de alimentos, porcionamento de ingredientes e organização geral da cozinha. Limpar e higienizar áreas de trabalho, equipamentos e utensílios. Trabalhar em equipe em um ambiente dinâmico. O empregador fornece todas as ferramentas, uniformes e equipamentos necessários para o desempenho da função. Não é necessária experiência; o empregador fornecerá treinamento. Classificação da vaga: 35-2014.00 - Cozinheiros, Restaurante. A classificação e descrição da vaga/setor incluem informações gerais sobre o cargo, de acordo com o ONET/OES e o Sistema de Classificação Industrial da América do Norte. Consulte as Funções e a Ordem de Serviço para obter mais informações. Requisitos da vaga Experiência necessária: Não Requisitos especiais: Não há requisitos especiais Número de horas por semana: 40 Horário de trabalho (início/término): 10:00 - 18:00</v>
      </c>
    </row>
    <row r="1365" ht="20.25" customHeight="1">
      <c r="A1365" s="8" t="s">
        <v>6050</v>
      </c>
      <c r="B1365" s="8" t="s">
        <v>6051</v>
      </c>
      <c r="C1365" s="8"/>
      <c r="D1365" s="8" t="s">
        <v>992</v>
      </c>
      <c r="E1365" s="9" t="s">
        <v>19</v>
      </c>
      <c r="F1365" s="9" t="s">
        <v>20</v>
      </c>
      <c r="G1365" s="9" t="s">
        <v>6052</v>
      </c>
      <c r="H1365" s="8" t="s">
        <v>6053</v>
      </c>
      <c r="I1365" s="8" t="s">
        <v>6054</v>
      </c>
      <c r="J1365" s="9">
        <v>18.45</v>
      </c>
      <c r="K1365" s="9">
        <v>1.0</v>
      </c>
      <c r="L1365" s="8" t="s">
        <v>6055</v>
      </c>
      <c r="M1365" s="8" t="s">
        <v>6056</v>
      </c>
      <c r="N1365" s="7" t="str">
        <f>IFERROR(__xludf.DUMMYFUNCTION("GOOGLETRANSLATE(L1365, ""en"", ""pt"")"),"Babá em domicílio")</f>
        <v>Babá em domicílio</v>
      </c>
      <c r="O1365" s="7" t="str">
        <f>IFERROR(__xludf.DUMMYFUNCTION("IF(M1365="""","""",GOOGLETRANSLATE(M1365,""en"",""pt""))"),"***Descrição mais específica das funções/tarefas*** Cuidador(a) em tempo integral de bebês e crianças pequenas em domicílio. As funções específicas incluem: • Vestir as crianças pela manhã; • Pentear o cabelo e escovar os dentes das crianças; • Preparar m"&amp;"amadeiras e copos de treinamento (suco, leite, chá); • Alimentar as crianças com mamadeira e fazê-las arrotar; • Cozinhar e preparar lanches e refeições infantis (é necessário saber cozinhar comida dominicana para crianças); • Lavar chupetas, mamadeiras, "&amp;"copos de treinamento, pratos, tigelas e utensílios infantis na lava-louças (somente itens infantis); • Trocar fraldas e auxiliar as crianças no treinamento para usar o banheiro; • Brincar com as crianças dentro e fora de casa (no quintal) e guardar os bri"&amp;"nquedos após as brincadeiras; • Realizar atividades musicais, de leitura e artesanato com as crianças e guardar os livros e materiais de artesanato após o término; • Falar espanhol com as crianças ao longo do dia; • Colocar as crianças para dormir. • Um c"&amp;"ochilo de 2 horas por dia no bercinho, berço ou cama • Lavar/limpar panos de prato, cobertores, lençóis, travesseiros e roupas das crianças (somente itens infantis) • Dobrar e guardar os pertences das crianças no armário e nas prateleiras • Levar as crian"&amp;"ças para passear pelo bairro, ao parque ou campo próximo, ou para aulas ou atividades programadas, como ginástica infantil, natação ou artesanato • Dar banho nas crianças e vesti-las para a rotina de dormir • Colocar as crianças para dormir • Administrar "&amp;"medicamentos conforme necessário e prescrito pelos médicos das crianças (incluindo a administração de albuterol com nebulizador) *Cozinhar e preparar alimentos será limitado apenas às crianças e não se estende a toda a família. Todas as tarefas/funções do"&amp;" trabalho serão limitadas apenas às crianças. ***Descrição Original/Geral das Funções*** Cuidado domiciliar em tempo integral para bebês e crianças pequenas, incluindo, entre outras atividades: preparar mamadeiras, alimentar com mamadeira, fazer o bebê ar"&amp;"rotar, cozinhar e preparar alimentos (comida dominicana e outras), vestir e trocar as crianças, trocar fraldas, ajudar a dar banho nas crianças, administrar medicamentos, brincar, ler e realizar outras atividades de aprendizado com as crianças, praticar e"&amp;"spanhol com as crianças, colocar as crianças para dormir, lavar as roupas das crianças, levar as crianças para passear, para aulas ou atividades programadas, auxiliar na rotina noturna e da hora de dormir das crianças, etc. Classificação da Função: 39-901"&amp;"1.01 - Babás. A classificação e descrição da função/setor inclui informações gerais sobre o cargo, conforme o ONET/OES e o Sistema de Classificação Industrial da América do Norte. Consulte a Descrição das Funções e a Ordem de Serviço para obter mais infor"&amp;"mações. Requisitos da vaga Experiência necessária: Não Requisitos especiais: Fluência em espanhol Saber cozinhar Saber realizar RCP em bebês/crianças pequenas/crianças Saber administrar albuterol usando nebulizador e inalador/bomba Saber nadar Não fumante"&amp;" Número de horas por semana: 40 Horário de trabalho (início/término): 8h30 - 16h30")</f>
        <v>***Descrição mais específica das funções/tarefas*** Cuidador(a) em tempo integral de bebês e crianças pequenas em domicílio. As funções específicas incluem: • Vestir as crianças pela manhã; • Pentear o cabelo e escovar os dentes das crianças; • Preparar mamadeiras e copos de treinamento (suco, leite, chá); • Alimentar as crianças com mamadeira e fazê-las arrotar; • Cozinhar e preparar lanches e refeições infantis (é necessário saber cozinhar comida dominicana para crianças); • Lavar chupetas, mamadeiras, copos de treinamento, pratos, tigelas e utensílios infantis na lava-louças (somente itens infantis); • Trocar fraldas e auxiliar as crianças no treinamento para usar o banheiro; • Brincar com as crianças dentro e fora de casa (no quintal) e guardar os brinquedos após as brincadeiras; • Realizar atividades musicais, de leitura e artesanato com as crianças e guardar os livros e materiais de artesanato após o término; • Falar espanhol com as crianças ao longo do dia; • Colocar as crianças para dormir. • Um cochilo de 2 horas por dia no bercinho, berço ou cama • Lavar/limpar panos de prato, cobertores, lençóis, travesseiros e roupas das crianças (somente itens infantis) • Dobrar e guardar os pertences das crianças no armário e nas prateleiras • Levar as crianças para passear pelo bairro, ao parque ou campo próximo, ou para aulas ou atividades programadas, como ginástica infantil, natação ou artesanato • Dar banho nas crianças e vesti-las para a rotina de dormir • Colocar as crianças para dormir • Administrar medicamentos conforme necessário e prescrito pelos médicos das crianças (incluindo a administração de albuterol com nebulizador) *Cozinhar e preparar alimentos será limitado apenas às crianças e não se estende a toda a família. Todas as tarefas/funções do trabalho serão limitadas apenas às crianças. ***Descrição Original/Geral das Funções*** Cuidado domiciliar em tempo integral para bebês e crianças pequenas, incluindo, entre outras atividades: preparar mamadeiras, alimentar com mamadeira, fazer o bebê arrotar, cozinhar e preparar alimentos (comida dominicana e outras), vestir e trocar as crianças, trocar fraldas, ajudar a dar banho nas crianças, administrar medicamentos, brincar, ler e realizar outras atividades de aprendizado com as crianças, praticar espanhol com as crianças, colocar as crianças para dormir, lavar as roupas das crianças, levar as crianças para passear, para aulas ou atividades programadas, auxiliar na rotina noturna e da hora de dormir das crianças, etc. Classificação da Função: 39-9011.01 - Babás. A classificação e descrição da função/setor inclui informações gerais sobre o cargo, conforme o ONET/OES e o Sistema de Classificação Industrial da América do Norte. Consulte a Descrição das Funções e a Ordem de Serviço para obter mais informações. Requisitos da vaga Experiência necessária: Não Requisitos especiais: Fluência em espanhol Saber cozinhar Saber realizar RCP em bebês/crianças pequenas/crianças Saber administrar albuterol usando nebulizador e inalador/bomba Saber nadar Não fumante Número de horas por semana: 40 Horário de trabalho (início/término): 8h30 - 16h30</v>
      </c>
    </row>
    <row r="1366" ht="20.25" customHeight="1">
      <c r="A1366" s="3" t="s">
        <v>6057</v>
      </c>
      <c r="B1366" s="3" t="s">
        <v>6058</v>
      </c>
      <c r="C1366" s="3" t="s">
        <v>6024</v>
      </c>
      <c r="D1366" s="3" t="s">
        <v>79</v>
      </c>
      <c r="E1366" s="4" t="s">
        <v>19</v>
      </c>
      <c r="F1366" s="4" t="s">
        <v>20</v>
      </c>
      <c r="G1366" s="4" t="s">
        <v>6059</v>
      </c>
      <c r="H1366" s="3" t="s">
        <v>6060</v>
      </c>
      <c r="I1366" s="3" t="s">
        <v>6061</v>
      </c>
      <c r="J1366" s="4">
        <v>11.73</v>
      </c>
      <c r="K1366" s="4">
        <v>10.0</v>
      </c>
      <c r="L1366" s="3" t="s">
        <v>6062</v>
      </c>
      <c r="M1366" s="3" t="s">
        <v>6063</v>
      </c>
      <c r="N1366" s="7" t="str">
        <f>IFERROR(__xludf.DUMMYFUNCTION("GOOGLETRANSLATE(L1366, ""en"", ""pt"")"),"Trabalhador de Concessões de Alimentação")</f>
        <v>Trabalhador de Concessões de Alimentação</v>
      </c>
      <c r="O1366" s="7" t="str">
        <f>IFERROR(__xludf.DUMMYFUNCTION("IF(M1366="""","""",GOOGLETRANSLATE(M1366,""en"",""pt""))"),"Montar e desmontar trailers de concessão. Limpar e higienizar áreas de trabalho e equipamentos. Cortar, preparar e cozinhar itens limitados de alimentos e bebidas. Anotar pedidos, servir alimentos e bebidas aos clientes. Cobrar taxas e dar troco. Requisit"&amp;"os da vaga: Capacidade de levantar 23 kg. É necessário ter disposição para levantar peso e mobilidade física. É preciso viajar para todos os locais, com transporte fornecido pelo empregador. • Não é necessário ter formação ou experiência. • Treinamento no"&amp;" local de trabalho oferecido. Classificação da vaga: 35-3023.00 - Atendentes de Fast Food e Balcão. A classificação e descrição da vaga/setor incluem informações gerais sobre o cargo, de acordo com o ONET/OES e o Sistema de Classificação Industrial da Amé"&amp;"rica do Norte. Consulte as Funções e a Ordem de Serviço para obter mais informações. Requisitos da vaga: Experiência necessária: Não. Requisitos especiais: Horário de trabalho: Os horários, escalas e dias variam bastante. Normalmente de quarta a domingo, "&amp;"das 16h às 23h. Geralmente de 35 a 45 horas por semana, podendo chegar a 60 horas semanais. As necessidades de trabalho (ou seja, horas, dias, escala, local e funções) variam. As necessidades de trabalho estão sujeitas às práticas do setor e não são garan"&amp;"tidas por dia, semana, horário, local ou trabalhador, por exemplo, em caso de cancelamentos por chuva, breves períodos sem eventos programados, datas e horários de eventos definidos em acordo com o patrocinador e sujeitos a alterações (com base em condiçõ"&amp;"es climáticas adversas, horário de funcionamento, dia da semana, público, tamanho do evento, calendário escolar, quantidade de equipamentos em operação, equipe, etc.) e cancelamentos imprevistos. Em caso de eventos simultâneos aprovados, as necessidades d"&amp;"e trabalho podem exigir ajustes na escala de trabalho dos trabalhadores. Requisitos do trabalho: Testes aleatórios de drogas e verificação de antecedentes criminais após a contratação podem ser exigidos pelo empregador, sem custo para o trabalhador. O tra"&amp;"balho exige que o candidato seja qualificado, autorizado, esteja pronto, disposto, apto e disponível para trabalhar durante todo o período de emprego nos locais de trabalho designados, mesmo em condições climáticas adversas; atenda aos nossos padrões de v"&amp;"erificação ou testes; firme e cumpra qualquer contrato de trabalho e contrato de locação de moradia; siga as regras do local de trabalho, de reclamações e de moradia. O procedimento de reclamações exige que os trabalhadores relatem quaisquer ameaças ou de"&amp;"scumprimento dos termos e condições de trabalho; e atendam aos padrões de desempenho do trabalho. Trabalho externo em todas as condições climáticas. A vaga exige que o candidato obtenha e apresente comprovante de todas as autorizações governamentais neces"&amp;"sárias para exercer a função, como o visto de trabalho H-2B para trabalhadores estrangeiros. O visto H-2B será emitido pelo consulado dos Estados Unidos no país de origem do candidato, e após a emissão, o candidato será considerado contratado naquele loca"&amp;"l e data. É necessário cooperar e preencher o formulário de inscrição e participar da entrevista, fornecendo informações verdadeiras e completas. O candidato deve cumprir os requisitos de apresentação pessoal e o código de vestimenta. É necessário ter dis"&amp;"ponibilidade para trabalhar até 7 dias por semana. Sujeito a demissão por justa causa. Número de horas semanais: 35. Horário de trabalho (início/término): 16h às 23h.")</f>
        <v>Montar e desmontar trailers de concessão. Limpar e higienizar áreas de trabalho e equipamentos. Cortar, preparar e cozinhar itens limitados de alimentos e bebidas. Anotar pedidos, servir alimentos e bebidas aos clientes. Cobrar taxas e dar troco. Requisitos da vaga: Capacidade de levantar 23 kg. É necessário ter disposição para levantar peso e mobilidade física. É preciso viajar para todos os locais, com transporte fornecido pelo empregador. • Não é necessário ter formação ou experiência. • Treinamento no local de trabalho oferecido. Classificação da vaga: 35-3023.00 - Atendentes de Fast Food e Balcão. A classificação e descrição da vaga/setor incluem informações gerais sobre o cargo, de acordo com o ONET/OES e o Sistema de Classificação Industrial da América do Norte. Consulte as Funções e a Ordem de Serviço para obter mais informações. Requisitos da vaga: Experiência necessária: Não. Requisitos especiais: Horário de trabalho: Os horários, escalas e dias variam bastante. Normalmente de quarta a domingo, das 16h às 23h. Geralmente de 35 a 45 horas por semana, podendo chegar a 60 horas semanais. As necessidades de trabalho (ou seja, horas, dias, escala, local e funções) variam. As necessidades de trabalho estão sujeitas às práticas do setor e não são garantidas por dia, semana, horário, local ou trabalhador, por exemplo, em caso de cancelamentos por chuva, breves períodos sem eventos programados, datas e horários de eventos definidos em acordo com o patrocinador e sujeitos a alterações (com base em condições climáticas adversas, horário de funcionamento, dia da semana, público, tamanho do evento, calendário escolar, quantidade de equipamentos em operação, equipe, etc.) e cancelamentos imprevistos. Em caso de eventos simultâneos aprovados, as necessidades de trabalho podem exigir ajustes na escala de trabalho dos trabalhadores. Requisitos do trabalho: Testes aleatórios de drogas e verificação de antecedentes criminais após a contratação podem ser exigidos pelo empregador, sem custo para o trabalhador. O trabalho exige que o candidato seja qualificado, autorizado, esteja pronto, disposto, apto e disponível para trabalhar durante todo o período de emprego nos locais de trabalho designados, mesmo em condições climáticas adversas; atenda aos nossos padrões de verificação ou testes; firme e cumpra qualquer contrato de trabalho e contrato de locação de moradia; siga as regras do local de trabalho, de reclamações e de moradia. O procedimento de reclamações exige que os trabalhadores relatem quaisquer ameaças ou descumprimento dos termos e condições de trabalho; e atendam aos padrões de desempenho do trabalho. Trabalho externo em todas as condições climáticas. A vaga exige que o candidato obtenha e apresente comprovante de todas as autorizações governamentais necessárias para exercer a função, como o visto de trabalho H-2B para trabalhadores estrangeiros. O visto H-2B será emitido pelo consulado dos Estados Unidos no país de origem do candidato, e após a emissão, o candidato será considerado contratado naquele local e data. É necessário cooperar e preencher o formulário de inscrição e participar da entrevista, fornecendo informações verdadeiras e completas. O candidato deve cumprir os requisitos de apresentação pessoal e o código de vestimenta. É necessário ter disponibilidade para trabalhar até 7 dias por semana. Sujeito a demissão por justa causa. Número de horas semanais: 35. Horário de trabalho (início/término): 16h às 23h.</v>
      </c>
    </row>
    <row r="1367" ht="20.25" customHeight="1">
      <c r="A1367" s="8" t="s">
        <v>6064</v>
      </c>
      <c r="B1367" s="8" t="s">
        <v>6065</v>
      </c>
      <c r="C1367" s="8" t="s">
        <v>5990</v>
      </c>
      <c r="D1367" s="8" t="s">
        <v>64</v>
      </c>
      <c r="E1367" s="9" t="s">
        <v>44</v>
      </c>
      <c r="F1367" s="9" t="s">
        <v>20</v>
      </c>
      <c r="G1367" s="9" t="s">
        <v>1441</v>
      </c>
      <c r="H1367" s="8" t="s">
        <v>6066</v>
      </c>
      <c r="I1367" s="8" t="s">
        <v>6067</v>
      </c>
      <c r="J1367" s="9">
        <v>14.09</v>
      </c>
      <c r="K1367" s="9">
        <v>18.0</v>
      </c>
      <c r="L1367" s="8" t="s">
        <v>354</v>
      </c>
      <c r="M1367" s="8" t="s">
        <v>6068</v>
      </c>
      <c r="N1367" s="7" t="str">
        <f>IFERROR(__xludf.DUMMYFUNCTION("GOOGLETRANSLATE(L1367, ""en"", ""pt"")"),"Governanta")</f>
        <v>Governanta</v>
      </c>
      <c r="O1367" s="7" t="str">
        <f>IFERROR(__xludf.DUMMYFUNCTION("IF(M1367="""","""",GOOGLETRANSLATE(M1367,""en"",""pt""))"),"Sob a supervisão do gerente geral, os funcionários da limpeza realizarão diversas tarefas de limpeza e manutenção para garantir que os quartos e as áreas comuns atendam aos padrões de saúde e higiene estabelecidos para a hospedagem. As funções incluem man"&amp;"ter as áreas de armazenamento e os carrinhos de limpeza bem abastecidos, limpos e organizados; transportar roupas de cama, toalhas, artigos de higiene pessoal e produtos de limpeza utilizando carrinhos com rodas; e limpar quartos, banheiros, corredores, s"&amp;"aguões, salas de estar, lavabos, elevadores, escadas e vestiários utilizando vassouras, esfregões, espanadores, panos de microfibra, soluções desinfetantes, aspiradores de pó e lavadoras de piso elétricas. Os funcionários também esvaziarão lixeiras e tran"&amp;"sportarão o lixo para as áreas de descarte; varrerão, esfregarão, encerarão ou polirão pisos; limparão e lavarão tapetes e carpetes; lavarão janelas, paredes, tetos e acabamentos em madeira; tirarão o pó e polirão móveis, acessórios e equipamentos; e troc"&amp;"arão lâmpadas. As tarefas relacionadas à lavanderia incluem separar, carregar e descarregar roupas de cama e toalhas utilizando lavadoras e secadoras industriais; dobrar e organizar as roupas limpas; e abastecer os armários de roupa de cama. Os funcionári"&amp;"os arrumarão camas, moverão e organizarão móveis leves, virarão colchões e pendurarão cortinas ou limparão persianas. Os funcionários poderão entregar itens solicitados pelos hóspedes, como camas extras, berços, televisores ou tábuas de passar roupa; rela"&amp;"tar danos nos quartos ou objetos perdidos e achados; e auxiliar na preparação básica de quartos ou áreas comuns para reuniões ou eventos. Os funcionários devem seguir os procedimentos de segurança e higiene da empresa e executar outras tarefas de limpeza "&amp;"relacionadas, conforme atribuídas. Classificação do Cargo: 37-2011.00 - Zeladores e Faxineiros, exceto Camareiras e Auxiliares de Limpeza. A classificação e descrição do cargo/setor inclui informações gerais sobre a posição, de acordo com o ONET/OES e o S"&amp;"istema de Classificação Industrial da América do Norte. Consulte as Funções e a Ordem de Serviço para obter mais informações. Requisitos do Cargo Experiência Necessária: Sim Meses de Experiência Necessários: 1 Requisitos Especiais: O(A) funcionário(a) de "&amp;"limpeza deve ser capaz de levantar até 30 kg, ficar em pé por longos períodos, curvar-se, esticar-se, torcer-se e alcançar com o corpo, braços e pernas, conforme necessário. Número de horas por semana: 40 Horário de trabalho (início/término): 9h00 - 17h00")</f>
        <v>Sob a supervisão do gerente geral, os funcionários da limpeza realizarão diversas tarefas de limpeza e manutenção para garantir que os quartos e as áreas comuns atendam aos padrões de saúde e higiene estabelecidos para a hospedagem. As funções incluem manter as áreas de armazenamento e os carrinhos de limpeza bem abastecidos, limpos e organizados; transportar roupas de cama, toalhas, artigos de higiene pessoal e produtos de limpeza utilizando carrinhos com rodas; e limpar quartos, banheiros, corredores, saguões, salas de estar, lavabos, elevadores, escadas e vestiários utilizando vassouras, esfregões, espanadores, panos de microfibra, soluções desinfetantes, aspiradores de pó e lavadoras de piso elétricas. Os funcionários também esvaziarão lixeiras e transportarão o lixo para as áreas de descarte; varrerão, esfregarão, encerarão ou polirão pisos; limparão e lavarão tapetes e carpetes; lavarão janelas, paredes, tetos e acabamentos em madeira; tirarão o pó e polirão móveis, acessórios e equipamentos; e trocarão lâmpadas. As tarefas relacionadas à lavanderia incluem separar, carregar e descarregar roupas de cama e toalhas utilizando lavadoras e secadoras industriais; dobrar e organizar as roupas limpas; e abastecer os armários de roupa de cama. Os funcionários arrumarão camas, moverão e organizarão móveis leves, virarão colchões e pendurarão cortinas ou limparão persianas. Os funcionários poderão entregar itens solicitados pelos hóspedes, como camas extras, berços, televisores ou tábuas de passar roupa; relatar danos nos quartos ou objetos perdidos e achados; e auxiliar na preparação básica de quartos ou áreas comuns para reuniões ou eventos. Os funcionários devem seguir os procedimentos de segurança e higiene da empresa e executar outras tarefas de limpeza relacionadas, conforme atribuídas. Classificação do Cargo: 37-2011.00 - Zeladores e Faxineiros, exceto Camareiras e Auxiliares de Limpeza. A classificação e descrição do cargo/setor inclui informações gerais sobre a posição, de acordo com o ONET/OES e o Sistema de Classificação Industrial da América do Norte. Consulte as Funções e a Ordem de Serviço para obter mais informações. Requisitos do Cargo Experiência Necessária: Sim Meses de Experiência Necessários: 1 Requisitos Especiais: O(A) funcionário(a) de limpeza deve ser capaz de levantar até 30 kg, ficar em pé por longos períodos, curvar-se, esticar-se, torcer-se e alcançar com o corpo, braços e pernas, conforme necessário. Número de horas por semana: 40 Horário de trabalho (início/término): 9h00 - 17h00</v>
      </c>
    </row>
    <row r="1368" ht="20.25" customHeight="1">
      <c r="A1368" s="3" t="s">
        <v>6069</v>
      </c>
      <c r="B1368" s="3" t="s">
        <v>6070</v>
      </c>
      <c r="C1368" s="3" t="s">
        <v>6071</v>
      </c>
      <c r="D1368" s="3" t="s">
        <v>117</v>
      </c>
      <c r="E1368" s="4" t="s">
        <v>19</v>
      </c>
      <c r="F1368" s="4" t="s">
        <v>20</v>
      </c>
      <c r="G1368" s="4" t="s">
        <v>1700</v>
      </c>
      <c r="H1368" s="3" t="s">
        <v>6072</v>
      </c>
      <c r="I1368" s="3" t="s">
        <v>6073</v>
      </c>
      <c r="J1368" s="4">
        <v>24.89</v>
      </c>
      <c r="K1368" s="4">
        <v>5.0</v>
      </c>
      <c r="L1368" s="3" t="s">
        <v>302</v>
      </c>
      <c r="M1368" s="3" t="s">
        <v>6074</v>
      </c>
      <c r="N1368" s="7" t="str">
        <f>IFERROR(__xludf.DUMMYFUNCTION("GOOGLETRANSLATE(L1368, ""en"", ""pt"")"),"Operários da construção civil")</f>
        <v>Operários da construção civil</v>
      </c>
      <c r="O1368" s="7" t="str">
        <f>IFERROR(__xludf.DUMMYFUNCTION("IF(M1368="""","""",GOOGLETRANSLATE(M1368,""en"",""pt""))"),"Executar tarefas que envolvam trabalho físico em canteiros de obras. Preparar o local para a concretagem, carregando e descarregando materiais, cavando e nivelando o solo. Aplicar o concreto sob a supervisão do encarregado. Pode operar ferramentas manuais"&amp;" e elétricas. Classificação da Função: 47-2061.00 - Auxiliares de Construção. A classificação e descrição da função/setor incluem informações gerais sobre o cargo, de acordo com o ONET/OES e o Sistema de Classificação Industrial da América do Norte (NAICS"&amp;"). Consulte as Funções e a Ordem de Serviço para obter mais informações. Requisitos da Função Experiência Necessária: Sim Meses de Experiência Necessários: 3 Requisitos Especiais: Deve ser capaz de levantar e carregar 27 kg por 68 metros. Deve ser capaz d"&amp;"e realizar atividades físicas como levantar, caminhar, agachar, curvar, empurrar e puxar. O trabalho é realizado ao ar livre, exposto às intempéries. Deve ser capaz de realizar trabalho fisicamente extenuante por longos períodos, ocasionalmente em calor e"&amp;"xtremo. Trabalho aos fins de semana, conforme necessário. Número de Horas por Semana: 40 Horário de Trabalho (Início/Término): 7h às 17h.")</f>
        <v>Executar tarefas que envolvam trabalho físico em canteiros de obras. Preparar o local para a concretagem, carregando e descarregando materiais, cavando e nivelando o solo. Aplicar o concreto sob a supervisão do encarregado. Pode operar ferramentas manuais e elétricas. Classificação da Função: 47-2061.00 - Auxiliares de Construção. A classificação e descrição da função/setor incluem informações gerais sobre o cargo, de acordo com o ONET/OES e o Sistema de Classificação Industrial da América do Norte (NAICS). Consulte as Funções e a Ordem de Serviço para obter mais informações. Requisitos da Função Experiência Necessária: Sim Meses de Experiência Necessários: 3 Requisitos Especiais: Deve ser capaz de levantar e carregar 27 kg por 68 metros. Deve ser capaz de realizar atividades físicas como levantar, caminhar, agachar, curvar, empurrar e puxar. O trabalho é realizado ao ar livre, exposto às intempéries. Deve ser capaz de realizar trabalho fisicamente extenuante por longos períodos, ocasionalmente em calor extremo. Trabalho aos fins de semana, conforme necessário. Número de Horas por Semana: 40 Horário de Trabalho (Início/Término): 7h às 17h.</v>
      </c>
    </row>
    <row r="1369" ht="20.25" customHeight="1">
      <c r="A1369" s="8" t="s">
        <v>6075</v>
      </c>
      <c r="B1369" s="8" t="s">
        <v>6076</v>
      </c>
      <c r="C1369" s="8" t="s">
        <v>5737</v>
      </c>
      <c r="D1369" s="8" t="s">
        <v>64</v>
      </c>
      <c r="E1369" s="9" t="s">
        <v>44</v>
      </c>
      <c r="F1369" s="9" t="s">
        <v>20</v>
      </c>
      <c r="G1369" s="9" t="s">
        <v>80</v>
      </c>
      <c r="H1369" s="8" t="s">
        <v>6077</v>
      </c>
      <c r="I1369" s="8" t="s">
        <v>6078</v>
      </c>
      <c r="J1369" s="9">
        <v>17.42</v>
      </c>
      <c r="K1369" s="9">
        <v>26.0</v>
      </c>
      <c r="L1369" s="8" t="s">
        <v>406</v>
      </c>
      <c r="M1369" s="8" t="s">
        <v>6079</v>
      </c>
      <c r="N1369" s="7" t="str">
        <f>IFERROR(__xludf.DUMMYFUNCTION("GOOGLETRANSLATE(L1369, ""en"", ""pt"")"),"Trabalhador")</f>
        <v>Trabalhador</v>
      </c>
      <c r="O1369" s="7" t="str">
        <f>IFERROR(__xludf.DUMMYFUNCTION("IF(M1369="""","""",GOOGLETRANSLATE(M1369,""en"",""pt""))"),"Transplantar árvores e arbustos já estabelecidos. Cavar buracos, posicionar e plantar árvores, preencher os buracos. Estacar árvores, regar e remover folhas. Classificação da vaga: 37-3011.00 - Trabalhadores de Paisagismo e Manutenção de Jardins. A classi"&amp;"ficação e descrição da vaga/setor inclui informações gerais sobre o cargo, de acordo com o ONET/OES e o Sistema de Classificação Industrial da América do Norte (NAICS). Consulte as Funções e a Ordem de Serviço para obter mais informações. Requisitos da va"&amp;"ga: Experiência necessária: Não. Requisitos especiais: Verificação de antecedentes pré-contratação obrigatória; Testes toxicológicos aleatórios durante o emprego; Testes toxicológicos pré-emprego obrigatórios; Testes toxicológicos durante o emprego por ju"&amp;"sta causa; Testes toxicológicos pós-acidente; Capacidade de levantar 23 kg; Segunda a sexta-feira, alguns fins de semana conforme necessário; Horário variável; Horários de início e término variáveis; Horas extras variáveis. Todas as verificações de antece"&amp;"dentes são realizadas igualmente para trabalhadores americanos e trabalhadores com visto H-2B, e todas as taxas são pagas pela empresa. Consulte o documento adicional em anexo para obter mais detalhes sobre a administração de nossa política de verificação"&amp;" de antecedentes. Todos os testes de drogas são realizados independentemente da cidadania ou do status imigratório do funcionário, e todos os custos são pagos pela empresa. Consulte o documento adicional em anexo para obter mais detalhes sobre a administr"&amp;"ação de nossa política de testes de drogas. Número de horas por semana: 40. Horário de trabalho (início/término): 6h às 15h30.")</f>
        <v>Transplantar árvores e arbustos já estabelecidos. Cavar buracos, posicionar e plantar árvores, preencher os buracos. Estacar árvores, regar e remover folhas. Classificação da vaga: 37-3011.00 - Trabalhadores de Paisagismo e Manutenção de Jardins. A classificação e descrição da vaga/setor inclui informações gerais sobre o cargo, de acordo com o ONET/OES e o Sistema de Classificação Industrial da América do Norte (NAICS). Consulte as Funções e a Ordem de Serviço para obter mais informações. Requisitos da vaga: Experiência necessária: Não. Requisitos especiais: Verificação de antecedentes pré-contratação obrigatória; Testes toxicológicos aleatórios durante o emprego; Testes toxicológicos pré-emprego obrigatórios; Testes toxicológicos durante o emprego por justa causa; Testes toxicológicos pós-acidente; Capacidade de levantar 23 kg; Segunda a sexta-feira, alguns fins de semana conforme necessário; Horário variável; Horários de início e término variáveis; Horas extras variáveis. Todas as verificações de antecedentes são realizadas igualmente para trabalhadores americanos e trabalhadores com visto H-2B, e todas as taxas são pagas pela empresa. Consulte o documento adicional em anexo para obter mais detalhes sobre a administração de nossa política de verificação de antecedentes. Todos os testes de drogas são realizados independentemente da cidadania ou do status imigratório do funcionário, e todos os custos são pagos pela empresa. Consulte o documento adicional em anexo para obter mais detalhes sobre a administração de nossa política de testes de drogas. Número de horas por semana: 40. Horário de trabalho (início/término): 6h às 15h30.</v>
      </c>
    </row>
    <row r="1370" ht="20.25" customHeight="1">
      <c r="A1370" s="3" t="s">
        <v>6080</v>
      </c>
      <c r="B1370" s="3" t="s">
        <v>6076</v>
      </c>
      <c r="C1370" s="3" t="s">
        <v>5737</v>
      </c>
      <c r="D1370" s="3" t="s">
        <v>64</v>
      </c>
      <c r="E1370" s="4" t="s">
        <v>44</v>
      </c>
      <c r="F1370" s="4" t="s">
        <v>20</v>
      </c>
      <c r="G1370" s="4" t="s">
        <v>80</v>
      </c>
      <c r="H1370" s="3" t="s">
        <v>6077</v>
      </c>
      <c r="I1370" s="3" t="s">
        <v>6078</v>
      </c>
      <c r="J1370" s="4">
        <v>18.42</v>
      </c>
      <c r="K1370" s="4">
        <v>14.0</v>
      </c>
      <c r="L1370" s="3" t="s">
        <v>406</v>
      </c>
      <c r="M1370" s="3" t="s">
        <v>6079</v>
      </c>
      <c r="N1370" s="7" t="str">
        <f>IFERROR(__xludf.DUMMYFUNCTION("GOOGLETRANSLATE(L1370, ""en"", ""pt"")"),"Trabalhador")</f>
        <v>Trabalhador</v>
      </c>
      <c r="O1370" s="7" t="str">
        <f>IFERROR(__xludf.DUMMYFUNCTION("IF(M1370="""","""",GOOGLETRANSLATE(M1370,""en"",""pt""))"),"Transplantar árvores e arbustos já estabelecidos. Cavar buracos, posicionar e plantar árvores, preencher os buracos. Estacar árvores, regar e remover folhas. Classificação da vaga: 37-3011.00 - Trabalhadores de Paisagismo e Manutenção de Jardins. A classi"&amp;"ficação e descrição da vaga/setor inclui informações gerais sobre o cargo, de acordo com o ONET/OES e o Sistema de Classificação Industrial da América do Norte (NAICS). Consulte as Funções e a Ordem de Serviço para obter mais informações. Requisitos da va"&amp;"ga: Experiência necessária: Não. Requisitos especiais: Verificação de antecedentes pré-contratação obrigatória; Testes toxicológicos aleatórios durante o emprego; Testes toxicológicos pré-emprego obrigatórios; Testes toxicológicos durante o emprego por ju"&amp;"sta causa; Testes toxicológicos pós-acidente; Capacidade de levantar 23 kg; Segunda a sexta-feira, alguns fins de semana conforme necessário; Horário variável; Horários de início e término variáveis; Horas extras variáveis. Todas as verificações de antece"&amp;"dentes são realizadas igualmente para trabalhadores americanos e trabalhadores com visto H-2B, e todas as taxas são pagas pela empresa. Consulte o documento adicional em anexo para obter mais detalhes sobre a administração de nossa política de verificação"&amp;" de antecedentes. Todos os testes de drogas são realizados independentemente da cidadania ou do status imigratório do funcionário, e todos os custos são pagos pela empresa. Consulte o documento adicional em anexo para obter mais detalhes sobre a administr"&amp;"ação de nossa política de testes de drogas. Número de horas por semana: 40. Horário de trabalho (início/término): 6h às 15h30.")</f>
        <v>Transplantar árvores e arbustos já estabelecidos. Cavar buracos, posicionar e plantar árvores, preencher os buracos. Estacar árvores, regar e remover folhas. Classificação da vaga: 37-3011.00 - Trabalhadores de Paisagismo e Manutenção de Jardins. A classificação e descrição da vaga/setor inclui informações gerais sobre o cargo, de acordo com o ONET/OES e o Sistema de Classificação Industrial da América do Norte (NAICS). Consulte as Funções e a Ordem de Serviço para obter mais informações. Requisitos da vaga: Experiência necessária: Não. Requisitos especiais: Verificação de antecedentes pré-contratação obrigatória; Testes toxicológicos aleatórios durante o emprego; Testes toxicológicos pré-emprego obrigatórios; Testes toxicológicos durante o emprego por justa causa; Testes toxicológicos pós-acidente; Capacidade de levantar 23 kg; Segunda a sexta-feira, alguns fins de semana conforme necessário; Horário variável; Horários de início e término variáveis; Horas extras variáveis. Todas as verificações de antecedentes são realizadas igualmente para trabalhadores americanos e trabalhadores com visto H-2B, e todas as taxas são pagas pela empresa. Consulte o documento adicional em anexo para obter mais detalhes sobre a administração de nossa política de verificação de antecedentes. Todos os testes de drogas são realizados independentemente da cidadania ou do status imigratório do funcionário, e todos os custos são pagos pela empresa. Consulte o documento adicional em anexo para obter mais detalhes sobre a administração de nossa política de testes de drogas. Número de horas por semana: 40. Horário de trabalho (início/término): 6h às 15h30.</v>
      </c>
    </row>
    <row r="1371" ht="20.25" customHeight="1">
      <c r="A1371" s="8" t="s">
        <v>6081</v>
      </c>
      <c r="B1371" s="8" t="s">
        <v>6082</v>
      </c>
      <c r="C1371" s="8" t="s">
        <v>6083</v>
      </c>
      <c r="D1371" s="8" t="s">
        <v>1103</v>
      </c>
      <c r="E1371" s="9" t="s">
        <v>19</v>
      </c>
      <c r="F1371" s="9" t="s">
        <v>20</v>
      </c>
      <c r="G1371" s="9" t="s">
        <v>377</v>
      </c>
      <c r="H1371" s="8" t="s">
        <v>6084</v>
      </c>
      <c r="I1371" s="8" t="s">
        <v>6085</v>
      </c>
      <c r="J1371" s="9">
        <v>19.49</v>
      </c>
      <c r="K1371" s="9">
        <v>6.0</v>
      </c>
      <c r="L1371" s="8" t="s">
        <v>6086</v>
      </c>
      <c r="M1371" s="8" t="s">
        <v>6087</v>
      </c>
      <c r="N1371" s="7" t="str">
        <f>IFERROR(__xludf.DUMMYFUNCTION("GOOGLETRANSLATE(L1371, ""en"", ""pt"")"),"Auxiliar Geral de Oficina Mecânica")</f>
        <v>Auxiliar Geral de Oficina Mecânica</v>
      </c>
      <c r="O1371" s="7" t="str">
        <f>IFERROR(__xludf.DUMMYFUNCTION("IF(M1371="""","""",GOOGLETRANSLATE(M1371,""en"",""pt""))"),"Os funcionários prestarão serviços temporários de apoio, não profissionais, em uma oficina de serviços e reparos automotivos. As funções incluem auxiliar o Gerente de Produção e os técnicos licenciados nas atividades operacionais e de manutenção de rotina"&amp;" necessárias para o funcionamento diário da oficina. Os funcionários prepararão as áreas de trabalho; limparão e organizarão ferramentas, equipamentos e espaços da oficina; lavarão e prepararão os veículos para manutenção; transportarão peças e materiais;"&amp;" carregarão e descarregarão suprimentos; e manterão a limpeza e organização geral da oficina. Os funcionários auxiliarão nas tarefas de preparação e acabamento de superfícies sob supervisão, incluindo lavagem, mascaramento, lixamento, polimento, limpeza e"&amp;" atividades de preparação relacionadas. Os funcionários limparão e manterão as áreas de trabalho, as instalações da oficina e os equipamentos, incluindo a limpeza de equipamentos de pintura e a manutenção da limpeza da cabine de pintura, conforme orientaç"&amp;"ão da equipe de supervisão. Os funcionários seguirão todos os procedimentos de segurança do trabalho, incluindo o manuseio adequado de materiais de limpeza, tintas, produtos químicos, ferramentas e equipamentos, e usarão os equipamentos de proteção indivi"&amp;"dual (EPIs) necessários em todos os momentos. Os funcionários auxiliarão em funções básicas de serviço e manutenção de veículos, como rodízio de pneus, troca de óleo, manuseio de peças, movimentação de veículos dentro da oficina e atividades gerais de apo"&amp;"io à oficina, conforme orientação. Os funcionários podem auxiliar em atividades básicas de suporte à inspeção e no reporte de condições visíveis à equipe de supervisão, mas não realizam diagnósticos independentes, inspeções técnicas certificadas, reparos "&amp;"estruturais, diagnósticos elétricos, diagnósticos de motores, soldagem, mistura de tintas, correspondência de cores ou atividades técnicas licenciadas. Todas as tarefas são executadas sob a supervisão direta do Gerente de Produção e de técnicos licenciado"&amp;"s. A função é de apoio e não envolve trabalho técnico especializado independente, autoridade de supervisão, julgamento profissional ou responsabilidades gerenciais. O empregador oferece treinamento no local de trabalho para familiarizar os funcionários co"&amp;"m os procedimentos da oficina, equipamentos e normas de segurança dos EUA. A vaga é temporária e está vinculada às necessidades operacionais temporárias do empregador. O empregador fornecerá todas as ferramentas, suprimentos, equipamentos de segurança e m"&amp;"ateriais de trabalho necessários para a execução da função, incluindo ferramentas manuais, ferramentas de oficina, equipamentos de limpeza, equipamentos de segurança e equipamentos de proteção. Os funcionários não precisam fornecer suas próprias ferrament"&amp;"as. O trabalho é realizado em uma oficina mecânica interna. O ambiente de trabalho inclui exposição a equipamentos de oficina, ruído, poeira, vapores e produtos químicos de limpeza. O empregador fornece todos os equipamentos de proteção individual (EPIs) "&amp;"necessários, e os funcionários devem utilizá-los de acordo com as normas de segurança aplicáveis. A função exige permanecer em pé por longos períodos, levantar até 23 kg, curvar-se, alcançar, ajoelhar-se, realizar movimentos repetitivos e executar trabalh"&amp;"o braçal durante toda a jornada de trabalho. Carteira de habilitação válida é desejável ou obrigatória para movimentação de veículos dentro das instalações e operações da oficina, quando aplicável. *Requisitos mínimos: Escolaridade: Não é necessário escol"&amp;"aridade ou diploma formal. Experiência: Experiência prévia em ambiente de trabalho automotivo ou mecânico é desejável, mas não obrigatória. Treinamento: O empregador oferece treinamento no local de trabalho para familiarizar os funcionários com os procedi"&amp;"mentos da oficina, equipamentos e normas de segurança. Licenças/Certificações: Não são necessárias licenças ou certificações. *Estrutura de Supervisão: Todas as tarefas são executadas sob a supervisão direta do Gerente de Produção e de técnicos licenciado"&amp;"s. Não há atribuições de trabalho independentes. Não há responsabilidades de supervisão. Classificação do Cargo: 49-9098.00 - Auxiliares - Instalação, Manutenção e Reparo. A classificação e descrição do cargo/setor incluem informações gerais sobre a posiç"&amp;"ão, de acordo com o ONET/OES e o Sistema de Classificação Industrial da América do Norte (NAICS). Consulte as Funções e a Ordem de Serviço para obter mais informações. Requisitos do Cargo: Experiência Necessária: Não. Requisitos Especiais: Dois (2) meses "&amp;"de treinamento em procedimentos de oficina automotiva, tarefas básicas de apoio à preparação de funilaria e pintura, manuseio de equipamentos, processos de fluxo de trabalho e normas de segurança no trabalho. Não é necessária experiência profissional ante"&amp;"rior. Não é necessária formação acadêmica. Carteira de habilitação válida é preferencial para movimentação de veículos dentro das instalações e operações da oficina, se aplicável. Número de Horas por Semana: 40. Horário de Trabalho (Início/Término): 8h00 "&amp;"- 17h00.")</f>
        <v>Os funcionários prestarão serviços temporários de apoio, não profissionais, em uma oficina de serviços e reparos automotivos. As funções incluem auxiliar o Gerente de Produção e os técnicos licenciados nas atividades operacionais e de manutenção de rotina necessárias para o funcionamento diário da oficina. Os funcionários prepararão as áreas de trabalho; limparão e organizarão ferramentas, equipamentos e espaços da oficina; lavarão e prepararão os veículos para manutenção; transportarão peças e materiais; carregarão e descarregarão suprimentos; e manterão a limpeza e organização geral da oficina. Os funcionários auxiliarão nas tarefas de preparação e acabamento de superfícies sob supervisão, incluindo lavagem, mascaramento, lixamento, polimento, limpeza e atividades de preparação relacionadas. Os funcionários limparão e manterão as áreas de trabalho, as instalações da oficina e os equipamentos, incluindo a limpeza de equipamentos de pintura e a manutenção da limpeza da cabine de pintura, conforme orientação da equipe de supervisão. Os funcionários seguirão todos os procedimentos de segurança do trabalho, incluindo o manuseio adequado de materiais de limpeza, tintas, produtos químicos, ferramentas e equipamentos, e usarão os equipamentos de proteção individual (EPIs) necessários em todos os momentos. Os funcionários auxiliarão em funções básicas de serviço e manutenção de veículos, como rodízio de pneus, troca de óleo, manuseio de peças, movimentação de veículos dentro da oficina e atividades gerais de apoio à oficina, conforme orientação. Os funcionários podem auxiliar em atividades básicas de suporte à inspeção e no reporte de condições visíveis à equipe de supervisão, mas não realizam diagnósticos independentes, inspeções técnicas certificadas, reparos estruturais, diagnósticos elétricos, diagnósticos de motores, soldagem, mistura de tintas, correspondência de cores ou atividades técnicas licenciadas. Todas as tarefas são executadas sob a supervisão direta do Gerente de Produção e de técnicos licenciados. A função é de apoio e não envolve trabalho técnico especializado independente, autoridade de supervisão, julgamento profissional ou responsabilidades gerenciais. O empregador oferece treinamento no local de trabalho para familiarizar os funcionários com os procedimentos da oficina, equipamentos e normas de segurança dos EUA. A vaga é temporária e está vinculada às necessidades operacionais temporárias do empregador. O empregador fornecerá todas as ferramentas, suprimentos, equipamentos de segurança e materiais de trabalho necessários para a execução da função, incluindo ferramentas manuais, ferramentas de oficina, equipamentos de limpeza, equipamentos de segurança e equipamentos de proteção. Os funcionários não precisam fornecer suas próprias ferramentas. O trabalho é realizado em uma oficina mecânica interna. O ambiente de trabalho inclui exposição a equipamentos de oficina, ruído, poeira, vapores e produtos químicos de limpeza. O empregador fornece todos os equipamentos de proteção individual (EPIs) necessários, e os funcionários devem utilizá-los de acordo com as normas de segurança aplicáveis. A função exige permanecer em pé por longos períodos, levantar até 23 kg, curvar-se, alcançar, ajoelhar-se, realizar movimentos repetitivos e executar trabalho braçal durante toda a jornada de trabalho. Carteira de habilitação válida é desejável ou obrigatória para movimentação de veículos dentro das instalações e operações da oficina, quando aplicável. *Requisitos mínimos: Escolaridade: Não é necessário escolaridade ou diploma formal. Experiência: Experiência prévia em ambiente de trabalho automotivo ou mecânico é desejável, mas não obrigatória. Treinamento: O empregador oferece treinamento no local de trabalho para familiarizar os funcionários com os procedimentos da oficina, equipamentos e normas de segurança. Licenças/Certificações: Não são necessárias licenças ou certificações. *Estrutura de Supervisão: Todas as tarefas são executadas sob a supervisão direta do Gerente de Produção e de técnicos licenciados. Não há atribuições de trabalho independentes. Não há responsabilidades de supervisão. Classificação do Cargo: 49-9098.00 - Auxiliares - Instalação, Manutenção e Reparo. A classificação e descrição do cargo/setor incluem informações gerais sobre a posição, de acordo com o ONET/OES e o Sistema de Classificação Industrial da América do Norte (NAICS). Consulte as Funções e a Ordem de Serviço para obter mais informações. Requisitos do Cargo: Experiência Necessária: Não. Requisitos Especiais: Dois (2) meses de treinamento em procedimentos de oficina automotiva, tarefas básicas de apoio à preparação de funilaria e pintura, manuseio de equipamentos, processos de fluxo de trabalho e normas de segurança no trabalho. Não é necessária experiência profissional anterior. Não é necessária formação acadêmica. Carteira de habilitação válida é preferencial para movimentação de veículos dentro das instalações e operações da oficina, se aplicável. Número de Horas por Semana: 40. Horário de Trabalho (Início/Término): 8h00 - 17h00.</v>
      </c>
    </row>
    <row r="1372" ht="20.25" customHeight="1">
      <c r="A1372" s="3" t="s">
        <v>6088</v>
      </c>
      <c r="B1372" s="3" t="s">
        <v>6089</v>
      </c>
      <c r="C1372" s="3" t="s">
        <v>6024</v>
      </c>
      <c r="D1372" s="3" t="s">
        <v>102</v>
      </c>
      <c r="E1372" s="4" t="s">
        <v>19</v>
      </c>
      <c r="F1372" s="4" t="s">
        <v>20</v>
      </c>
      <c r="G1372" s="4" t="s">
        <v>118</v>
      </c>
      <c r="H1372" s="3" t="s">
        <v>6090</v>
      </c>
      <c r="I1372" s="3" t="s">
        <v>6091</v>
      </c>
      <c r="J1372" s="4">
        <v>17.78</v>
      </c>
      <c r="K1372" s="4">
        <v>60.0</v>
      </c>
      <c r="L1372" s="3" t="s">
        <v>501</v>
      </c>
      <c r="M1372" s="3" t="s">
        <v>6092</v>
      </c>
      <c r="N1372" s="7" t="str">
        <f>IFERROR(__xludf.DUMMYFUNCTION("GOOGLETRANSLATE(L1372, ""en"", ""pt"")"),"Auxiliar de Manutenção")</f>
        <v>Auxiliar de Manutenção</v>
      </c>
      <c r="O1372" s="7" t="str">
        <f>IFERROR(__xludf.DUMMYFUNCTION("IF(M1372="""","""",GOOGLETRANSLATE(M1372,""en"",""pt""))"),"Auxiliar de mecânico: Auxiliar na manutenção de equipamentos de parque de diversões: lixar e preparar manualmente; limpar e lubrificar peças; montar, inspecionar, desmontar e armazenar equipamentos de parque de diversões. Requisitos da vaga: Capacidade de"&amp;" levantar 23 kg. É necessário ter disposição para levantar peso e mobilidade física. É preciso viajar para todos os locais, com transporte fornecido pelo empregador. • Não é necessário ter formação ou experiência. • Treinamento no local de trabalho oferec"&amp;"ido. Classificação da vaga: 49-9098.00 - Ajudantes - Instalação, Manutenção e Reparos. A classificação e descrição da vaga/setor incluem informações gerais sobre o cargo, de acordo com o ONET/OES e o Sistema de Classificação Industrial da América do Norte"&amp;" (NAICS). Consulte as Funções e a Ordem de Serviço para obter mais informações. Requisitos da vaga: Experiência necessária: Não. Requisitos especiais: Horário de trabalho: O horário, a escala e os dias variam bastante. Normalmente, de segunda a sexta, das"&amp;" 8h às 17h. Não há previsão de horas extras. Geralmente, de 35 a 40 horas semanais. As necessidades de trabalho (ou seja, horas, dias, escala, local e funções) variam. As necessidades de trabalho estão sujeitas às práticas do setor e não são garantidas po"&amp;"r dia, semana, horário, local ou trabalhador, por exemplo, cancelamentos por chuva, breves períodos sem eventos programados, datas e horários de eventos definidos em acordo com o patrocinador e sujeitos a alterações (com base em condições climáticas adver"&amp;"sas, horário de funcionamento, dia da semana, público, tamanho do evento, calendário escolar, quantidade de equipamentos em operação, equipe, etc.) e cancelamentos imprevistos. Em caso de eventos simultâneos aprovados, as necessidades de trabalho podem ex"&amp;"igir ajustes na escala de trabalho dos trabalhadores. Requisitos do trabalho: Testes aleatórios de drogas e verificação de antecedentes criminais após a contratação podem ser exigidos pelo empregador, sem custo para o trabalhador. O trabalho exige que o c"&amp;"andidato seja qualificado, autorizado, esteja pronto, disposto, apto e disponível para trabalhar durante todo o período de emprego nos locais de trabalho designados, mesmo em condições climáticas adversas; atenda aos nossos padrões de verificação ou teste"&amp;"s; firme e cumpra qualquer contrato de trabalho e contrato de locação de moradia; siga as regras do local de trabalho, de reclamações e de moradia. O procedimento de reclamações exige que os trabalhadores relatem quaisquer ameaças ou descumprimento dos te"&amp;"rmos e condições de trabalho; e atendam aos padrões de desempenho do trabalho. Trabalho externo em todas as condições climáticas. Exige-se que o candidato obtenha e apresente comprovante de todas as autorizações governamentais necessárias para exercer est"&amp;"a função, como o visto de trabalho H-2B para trabalhadores estrangeiros. O visto de trabalho H-2B será emitido pelo consulado dos Estados Unidos no país de origem, e após a emissão, o candidato será considerado contratado naquele local e data. O candidato"&amp;" deve cooperar e preencher o formulário de inscrição e a entrevista, sendo que todas as informações fornecidas devem ser verdadeiras e completas. Deve cumprir os requisitos de apresentação pessoal e o código de vestimenta. Deve estar disposto a trabalhar "&amp;"até 7 dias por semana. Sujeito a demissão por justa causa. Número de horas por semana: 35. Horário de trabalho (início/término): 8h às 17h.")</f>
        <v>Auxiliar de mecânico: Auxiliar na manutenção de equipamentos de parque de diversões: lixar e preparar manualmente; limpar e lubrificar peças; montar, inspecionar, desmontar e armazenar equipamentos de parque de diversões. Requisitos da vaga: Capacidade de levantar 23 kg. É necessário ter disposição para levantar peso e mobilidade física. É preciso viajar para todos os locais, com transporte fornecido pelo empregador. • Não é necessário ter formação ou experiência. • Treinamento no local de trabalho oferecido. Classificação da vaga: 49-9098.00 - Ajudantes - Instalação, Manutenção e Reparos. A classificação e descrição da vaga/setor incluem informações gerais sobre o cargo, de acordo com o ONET/OES e o Sistema de Classificação Industrial da América do Norte (NAICS). Consulte as Funções e a Ordem de Serviço para obter mais informações. Requisitos da vaga: Experiência necessária: Não. Requisitos especiais: Horário de trabalho: O horário, a escala e os dias variam bastante. Normalmente, de segunda a sexta, das 8h às 17h. Não há previsão de horas extras. Geralmente, de 35 a 40 horas semanais. As necessidades de trabalho (ou seja, horas, dias, escala, local e funções) variam. As necessidades de trabalho estão sujeitas às práticas do setor e não são garantidas por dia, semana, horário, local ou trabalhador, por exemplo, cancelamentos por chuva, breves períodos sem eventos programados, datas e horários de eventos definidos em acordo com o patrocinador e sujeitos a alterações (com base em condições climáticas adversas, horário de funcionamento, dia da semana, público, tamanho do evento, calendário escolar, quantidade de equipamentos em operação, equipe, etc.) e cancelamentos imprevistos. Em caso de eventos simultâneos aprovados, as necessidades de trabalho podem exigir ajustes na escala de trabalho dos trabalhadores. Requisitos do trabalho: Testes aleatórios de drogas e verificação de antecedentes criminais após a contratação podem ser exigidos pelo empregador, sem custo para o trabalhador. O trabalho exige que o candidato seja qualificado, autorizado, esteja pronto, disposto, apto e disponível para trabalhar durante todo o período de emprego nos locais de trabalho designados, mesmo em condições climáticas adversas; atenda aos nossos padrões de verificação ou testes; firme e cumpra qualquer contrato de trabalho e contrato de locação de moradia; siga as regras do local de trabalho, de reclamações e de moradia. O procedimento de reclamações exige que os trabalhadores relatem quaisquer ameaças ou descumprimento dos termos e condições de trabalho; e atendam aos padrões de desempenho do trabalho. Trabalho externo em todas as condições climáticas. Exige-se que o candidato obtenha e apresente comprovante de todas as autorizações governamentais necessárias para exercer esta função, como o visto de trabalho H-2B para trabalhadores estrangeiros. O visto de trabalho H-2B será emitido pelo consulado dos Estados Unidos no país de origem, e após a emissão, o candidato será considerado contratado naquele local e data. O candidato deve cooperar e preencher o formulário de inscrição e a entrevista, sendo que todas as informações fornecidas devem ser verdadeiras e completas. Deve cumprir os requisitos de apresentação pessoal e o código de vestimenta. Deve estar disposto a trabalhar até 7 dias por semana. Sujeito a demissão por justa causa. Número de horas por semana: 35. Horário de trabalho (início/término): 8h às 17h.</v>
      </c>
    </row>
    <row r="1373" ht="20.25" customHeight="1">
      <c r="A1373" s="8" t="s">
        <v>6093</v>
      </c>
      <c r="B1373" s="8" t="s">
        <v>6094</v>
      </c>
      <c r="C1373" s="8" t="s">
        <v>5990</v>
      </c>
      <c r="D1373" s="8" t="s">
        <v>126</v>
      </c>
      <c r="E1373" s="9" t="s">
        <v>44</v>
      </c>
      <c r="F1373" s="9" t="s">
        <v>20</v>
      </c>
      <c r="G1373" s="9" t="s">
        <v>307</v>
      </c>
      <c r="H1373" s="8" t="s">
        <v>6095</v>
      </c>
      <c r="I1373" s="8" t="s">
        <v>6096</v>
      </c>
      <c r="J1373" s="9">
        <v>23.57</v>
      </c>
      <c r="K1373" s="9">
        <v>15.0</v>
      </c>
      <c r="L1373" s="8" t="s">
        <v>262</v>
      </c>
      <c r="M1373" s="8" t="s">
        <v>6097</v>
      </c>
      <c r="N1373" s="7" t="str">
        <f>IFERROR(__xludf.DUMMYFUNCTION("GOOGLETRANSLATE(L1373, ""en"", ""pt"")"),"Operário da construção civil")</f>
        <v>Operário da construção civil</v>
      </c>
      <c r="O1373" s="7" t="str">
        <f>IFERROR(__xludf.DUMMYFUNCTION("IF(M1373="""","""",GOOGLETRANSLATE(M1373,""en"",""pt""))"),"Sob a supervisão do supervisor, um auxiliar de construção civil realizará a preparação e limpeza do terreno para dar suporte às equipes de instalação. As tarefas incluem a colocação de cones, barreiras, fitas de isolamento e lonas para estabelecer zonas d"&amp;"e trabalho seguras; a remoção de detritos soltos, obstáculos e riscos das áreas de trabalho; a marcação e organização das áreas de estocagem e acesso designadas; e a garantia de que os espaços no nível do solo estejam devidamente preparados para as ativid"&amp;"ades de instalação. O auxiliar também será responsável por carregar e descarregar caminhões com materiais de construção utilizados no local, como ferramentas manuais, ferramentas elétricas, escadas, lonas, barreiras de segurança, baldes, fixadores, pregos"&amp;" e parafusos, equipamentos pequenos e contêineres para entulho, e por organizar esses materiais e ferramentas em áreas designadas no nível do solo para uso imediato pelas equipes de instalação, sem envolvimento em operações de almoxarifado ou inventário. "&amp;"Atuando como auxiliar no içamento de materiais, ajudando na movimentação e posicionamento seguros dos mesmos, coletando entulhos, sucata, lixo e embalagens do canteiro de obras, utilizando varredores magnéticos para remover pregos e fragmentos de metal, e"&amp;" realizando a limpeza geral do canteiro de obras, incluindo varrição das áreas de trabalho, organização de ferramentas e materiais, e manutenção de corredores e zonas de trabalho limpos, seguros e livres de riscos em todo o canteiro de obras. Classificaçã"&amp;"o da Função: 47-2061.00 - Auxiliares de Construção Civil. A classificação e descrição da função/setor incluem informações gerais sobre o cargo, de acordo com o ONET/OES e o Sistema de Classificação Industrial da América do Norte (NAICS). Consulte as Funçõ"&amp;"es e a Ordem de Serviço para obter mais informações. Requisitos da Função: Experiência Necessária: Sim. Meses de Experiência Necessários: 3. Requisitos Especiais: Deve ser capaz de lidar com temperaturas extremas, alturas, deve ser capaz de usar uma trena"&amp;" com precisão, deve ser capaz de levantar e carregar 11 kg por 15 metros. Número de Horas por Semana: 40. Horário de Trabalho (Início/Término): 7h. - 16:00")</f>
        <v>Sob a supervisão do supervisor, um auxiliar de construção civil realizará a preparação e limpeza do terreno para dar suporte às equipes de instalação. As tarefas incluem a colocação de cones, barreiras, fitas de isolamento e lonas para estabelecer zonas de trabalho seguras; a remoção de detritos soltos, obstáculos e riscos das áreas de trabalho; a marcação e organização das áreas de estocagem e acesso designadas; e a garantia de que os espaços no nível do solo estejam devidamente preparados para as atividades de instalação. O auxiliar também será responsável por carregar e descarregar caminhões com materiais de construção utilizados no local, como ferramentas manuais, ferramentas elétricas, escadas, lonas, barreiras de segurança, baldes, fixadores, pregos e parafusos, equipamentos pequenos e contêineres para entulho, e por organizar esses materiais e ferramentas em áreas designadas no nível do solo para uso imediato pelas equipes de instalação, sem envolvimento em operações de almoxarifado ou inventário. Atuando como auxiliar no içamento de materiais, ajudando na movimentação e posicionamento seguros dos mesmos, coletando entulhos, sucata, lixo e embalagens do canteiro de obras, utilizando varredores magnéticos para remover pregos e fragmentos de metal, e realizando a limpeza geral do canteiro de obras, incluindo varrição das áreas de trabalho, organização de ferramentas e materiais, e manutenção de corredores e zonas de trabalho limpos, seguros e livres de riscos em todo o canteiro de obras. Classificação da Função: 47-2061.00 - Auxiliares de Construção Civil. A classificação e descrição da função/setor incluem informações gerais sobre o cargo, de acordo com o ONET/OES e o Sistema de Classificação Industrial da América do Norte (NAICS). Consulte as Funções e a Ordem de Serviço para obter mais informações. Requisitos da Função: Experiência Necessária: Sim. Meses de Experiência Necessários: 3. Requisitos Especiais: Deve ser capaz de lidar com temperaturas extremas, alturas, deve ser capaz de usar uma trena com precisão, deve ser capaz de levantar e carregar 11 kg por 15 metros. Número de Horas por Semana: 40. Horário de Trabalho (Início/Término): 7h. - 16:00</v>
      </c>
    </row>
    <row r="1374" ht="20.25" customHeight="1">
      <c r="A1374" s="3" t="s">
        <v>6098</v>
      </c>
      <c r="B1374" s="3" t="s">
        <v>6099</v>
      </c>
      <c r="C1374" s="3" t="s">
        <v>6071</v>
      </c>
      <c r="D1374" s="3" t="s">
        <v>117</v>
      </c>
      <c r="E1374" s="4" t="s">
        <v>19</v>
      </c>
      <c r="F1374" s="4" t="s">
        <v>20</v>
      </c>
      <c r="G1374" s="4" t="s">
        <v>404</v>
      </c>
      <c r="H1374" s="3" t="s">
        <v>6100</v>
      </c>
      <c r="I1374" s="3" t="s">
        <v>6101</v>
      </c>
      <c r="J1374" s="4">
        <v>18.2</v>
      </c>
      <c r="K1374" s="4">
        <v>3.0</v>
      </c>
      <c r="L1374" s="3" t="s">
        <v>165</v>
      </c>
      <c r="M1374" s="3" t="s">
        <v>6102</v>
      </c>
      <c r="N1374" s="7" t="str">
        <f>IFERROR(__xludf.DUMMYFUNCTION("GOOGLETRANSLATE(L1374, ""en"", ""pt"")"),"Trabalhador de remoção de neve")</f>
        <v>Trabalhador de remoção de neve</v>
      </c>
      <c r="O1374" s="7" t="str">
        <f>IFERROR(__xludf.DUMMYFUNCTION("IF(M1374="""","""",GOOGLETRANSLATE(M1374,""en"",""pt""))"),"Remover neve de calçadas, entradas de garagem e estacionamentos, espalhando sal nessas áreas. Realizar manutenção de jardins e outras tarefas relacionadas à manutenção de instalações e estradas. Possibilidade de participar da limpeza de primavera. Utiliza"&amp;"r ferramentas manuais como pás e vassouras. Operar veículos ou equipamentos motorizados, como sopradores de neve. Classificação da vaga: 37-2011.00 - Zeladores e Faxineiros, exceto empregadas domésticas e faxineiras. A classificação e descrição da vaga/se"&amp;"tor incluem informações gerais sobre o cargo, de acordo com o ONET/OES e o Sistema de Classificação Industrial da América do Norte (NAICS). Consulte as Funções e a Ordem de Serviço para obter mais informações. Requisitos da vaga: Experiência necessária: N"&amp;"ão. Requisitos especiais: Capacidade de levantar e carregar 23 kg. Aprovação em exame toxicológico pré-admissional, aplicado a trabalhadores americanos e com visto H-2B. Trabalho aos sábados e domingos, quando necessário. Horário de trabalho pode incluir "&amp;"turnos noturnos e horas extras durante emergências e tempestades de inverno. Capacidade de realizar trabalho físico braçal ao ar livre em todas as condições climáticas. Número de horas por semana: 40 Horário de trabalho (início/término): 7h00 - 15h30")</f>
        <v>Remover neve de calçadas, entradas de garagem e estacionamentos, espalhando sal nessas áreas. Realizar manutenção de jardins e outras tarefas relacionadas à manutenção de instalações e estradas. Possibilidade de participar da limpeza de primavera. Utilizar ferramentas manuais como pás e vassouras. Operar veículos ou equipamentos motorizados, como sopradores de neve. Classificação da vaga: 37-2011.00 - Zeladores e Faxineiros, exceto empregadas domésticas e faxineiras. A classificação e descrição da vaga/setor incluem informações gerais sobre o cargo, de acordo com o ONET/OES e o Sistema de Classificação Industrial da América do Norte (NAICS). Consulte as Funções e a Ordem de Serviço para obter mais informações. Requisitos da vaga: Experiência necessária: Não. Requisitos especiais: Capacidade de levantar e carregar 23 kg. Aprovação em exame toxicológico pré-admissional, aplicado a trabalhadores americanos e com visto H-2B. Trabalho aos sábados e domingos, quando necessário. Horário de trabalho pode incluir turnos noturnos e horas extras durante emergências e tempestades de inverno. Capacidade de realizar trabalho físico braçal ao ar livre em todas as condições climáticas. Número de horas por semana: 40 Horário de trabalho (início/término): 7h00 - 15h30</v>
      </c>
    </row>
    <row r="1375" ht="20.25" customHeight="1">
      <c r="A1375" s="8" t="s">
        <v>6103</v>
      </c>
      <c r="B1375" s="8" t="s">
        <v>6104</v>
      </c>
      <c r="C1375" s="8" t="s">
        <v>5990</v>
      </c>
      <c r="D1375" s="8" t="s">
        <v>64</v>
      </c>
      <c r="E1375" s="9" t="s">
        <v>19</v>
      </c>
      <c r="F1375" s="9" t="s">
        <v>20</v>
      </c>
      <c r="G1375" s="9" t="s">
        <v>1441</v>
      </c>
      <c r="H1375" s="8" t="s">
        <v>6066</v>
      </c>
      <c r="I1375" s="8" t="s">
        <v>6067</v>
      </c>
      <c r="J1375" s="9">
        <v>14.09</v>
      </c>
      <c r="K1375" s="9">
        <v>15.0</v>
      </c>
      <c r="L1375" s="8" t="s">
        <v>354</v>
      </c>
      <c r="M1375" s="8" t="s">
        <v>6105</v>
      </c>
      <c r="N1375" s="7" t="str">
        <f>IFERROR(__xludf.DUMMYFUNCTION("GOOGLETRANSLATE(L1375, ""en"", ""pt"")"),"Governanta")</f>
        <v>Governanta</v>
      </c>
      <c r="O1375" s="7" t="str">
        <f>IFERROR(__xludf.DUMMYFUNCTION("IF(M1375="""","""",GOOGLETRANSLATE(M1375,""en"",""pt""))"),"Sob a supervisão do gerente geral, os funcionários da limpeza realizarão diversas tarefas de limpeza e manutenção para garantir que os quartos e as áreas comuns atendam aos padrões de saúde e higiene estabelecidos para a hospedagem. As funções incluem man"&amp;"ter as áreas de armazenamento e os carrinhos de limpeza bem abastecidos, limpos e organizados; transportar roupas de cama, toalhas, artigos de higiene pessoal e produtos de limpeza utilizando carrinhos com rodas; e limpar quartos, banheiros, corredores, s"&amp;"aguões, salas de estar, lavabos, elevadores, escadas e vestiários utilizando vassouras, esfregões, espanadores, panos de microfibra, soluções desinfetantes, aspiradores de pó e lavadoras de piso elétricas. Os funcionários também esvaziarão lixeiras e tran"&amp;"sportarão o lixo para as áreas de descarte; varrerão, esfregarão, encerarão ou polirão pisos; limparão e lavarão tapetes e carpetes; lavarão janelas, paredes, tetos e acabamentos em madeira; tirarão o pó e polirão móveis, acessórios e equipamentos; e troc"&amp;"arão lâmpadas. As tarefas relacionadas à lavanderia incluem separar, carregar e descarregar roupas de cama e toalhas utilizando lavadoras e secadoras industriais; dobrar e organizar as roupas limpas; e abastecer os armários de roupa de cama. Os funcionári"&amp;"os arrumarão camas, moverão e organizarão móveis leves, virarão colchões e pendurarão cortinas ou limparão persianas. Os funcionários poderão entregar itens solicitados pelos hóspedes, como camas extras, berços, televisores ou tábuas de passar roupa; rela"&amp;"tar danos nos quartos ou objetos perdidos e achados; e auxiliar na preparação básica de quartos ou áreas comuns para reuniões ou eventos. Os funcionários devem seguir os procedimentos de segurança e higiene da empresa e executar outras tarefas de limpeza "&amp;"relacionadas, conforme designado. Classificação do Cargo: 37-2011.00 - Zeladores e Faxineiros, exceto Camareiras e Auxiliares de Limpeza. A classificação e descrição do cargo/setor inclui informações gerais sobre a posição, de acordo com o ONET/OES e o Si"&amp;"stema de Classificação Industrial da América do Norte. Consulte as Funções e a Ordem de Serviço para obter mais informações. Requisitos do Cargo Experiência Necessária: Sim Meses de Experiência Necessários: 1 Requisitos Especiais: Não é necessário escolar"&amp;"idade. No entanto, é necessário 1 mês de experiência como faxineiro(a) ou em cargo similar. Habilidades especiais necessárias: A governanta deve ser capaz de levantar até 30 kg, permanecer em pé por longos períodos, agachar, esticar, torcer e alcançar com"&amp;" o corpo, braços e pernas conforme necessário. Número de horas por semana: 40. Horário de trabalho (início/término): 7h às 15h.")</f>
        <v>Sob a supervisão do gerente geral, os funcionários da limpeza realizarão diversas tarefas de limpeza e manutenção para garantir que os quartos e as áreas comuns atendam aos padrões de saúde e higiene estabelecidos para a hospedagem. As funções incluem manter as áreas de armazenamento e os carrinhos de limpeza bem abastecidos, limpos e organizados; transportar roupas de cama, toalhas, artigos de higiene pessoal e produtos de limpeza utilizando carrinhos com rodas; e limpar quartos, banheiros, corredores, saguões, salas de estar, lavabos, elevadores, escadas e vestiários utilizando vassouras, esfregões, espanadores, panos de microfibra, soluções desinfetantes, aspiradores de pó e lavadoras de piso elétricas. Os funcionários também esvaziarão lixeiras e transportarão o lixo para as áreas de descarte; varrerão, esfregarão, encerarão ou polirão pisos; limparão e lavarão tapetes e carpetes; lavarão janelas, paredes, tetos e acabamentos em madeira; tirarão o pó e polirão móveis, acessórios e equipamentos; e trocarão lâmpadas. As tarefas relacionadas à lavanderia incluem separar, carregar e descarregar roupas de cama e toalhas utilizando lavadoras e secadoras industriais; dobrar e organizar as roupas limpas; e abastecer os armários de roupa de cama. Os funcionários arrumarão camas, moverão e organizarão móveis leves, virarão colchões e pendurarão cortinas ou limparão persianas. Os funcionários poderão entregar itens solicitados pelos hóspedes, como camas extras, berços, televisores ou tábuas de passar roupa; relatar danos nos quartos ou objetos perdidos e achados; e auxiliar na preparação básica de quartos ou áreas comuns para reuniões ou eventos. Os funcionários devem seguir os procedimentos de segurança e higiene da empresa e executar outras tarefas de limpeza relacionadas, conforme designado. Classificação do Cargo: 37-2011.00 - Zeladores e Faxineiros, exceto Camareiras e Auxiliares de Limpeza. A classificação e descrição do cargo/setor inclui informações gerais sobre a posição, de acordo com o ONET/OES e o Sistema de Classificação Industrial da América do Norte. Consulte as Funções e a Ordem de Serviço para obter mais informações. Requisitos do Cargo Experiência Necessária: Sim Meses de Experiência Necessários: 1 Requisitos Especiais: Não é necessário escolaridade. No entanto, é necessário 1 mês de experiência como faxineiro(a) ou em cargo similar. Habilidades especiais necessárias: A governanta deve ser capaz de levantar até 30 kg, permanecer em pé por longos períodos, agachar, esticar, torcer e alcançar com o corpo, braços e pernas conforme necessário. Número de horas por semana: 40. Horário de trabalho (início/término): 7h às 15h.</v>
      </c>
    </row>
    <row r="1376" ht="20.25" customHeight="1">
      <c r="A1376" s="3" t="s">
        <v>6106</v>
      </c>
      <c r="B1376" s="3" t="s">
        <v>5828</v>
      </c>
      <c r="C1376" s="3"/>
      <c r="D1376" s="3" t="s">
        <v>1103</v>
      </c>
      <c r="E1376" s="4" t="s">
        <v>19</v>
      </c>
      <c r="F1376" s="4" t="s">
        <v>20</v>
      </c>
      <c r="G1376" s="4" t="s">
        <v>345</v>
      </c>
      <c r="H1376" s="3" t="s">
        <v>5829</v>
      </c>
      <c r="I1376" s="3" t="s">
        <v>5830</v>
      </c>
      <c r="J1376" s="4">
        <v>60.0</v>
      </c>
      <c r="K1376" s="4">
        <v>2.0</v>
      </c>
      <c r="L1376" s="3" t="s">
        <v>6107</v>
      </c>
      <c r="M1376" s="3" t="s">
        <v>6108</v>
      </c>
      <c r="N1376" s="7" t="str">
        <f>IFERROR(__xludf.DUMMYFUNCTION("GOOGLETRANSLATE(L1376, ""en"", ""pt"")"),"Piloto de helicóptero para captura de animais selvagens")</f>
        <v>Piloto de helicóptero para captura de animais selvagens</v>
      </c>
      <c r="O1376" s="7" t="str">
        <f>IFERROR(__xludf.DUMMYFUNCTION("IF(M1376="""","""",GOOGLETRANSLATE(M1376,""en"",""pt""))"),"O trabalho de piloto de helicóptero para captura de animais selvagens é extremamente especializado. As funções incluem pilotar um helicóptero para captura com rede, captura química, captura em corais, rastreamento por telemetria e controle de predadores. "&amp;"Classificação da função: 53-2012.00 - Pilotos Comerciais. A classificação e descrição da função/setor inclui informações gerais sobre o cargo, de acordo com o ONET/OES e o Sistema de Classificação Industrial da América do Norte. Consulte as Funções e a Or"&amp;"dem de Serviço para obter mais informações. Requisitos da função: Experiência necessária: Sim. Meses de experiência necessários: 24. Requisitos especiais: Licença de piloto de helicóptero. O piloto deve ter conhecimento profundo sobre como interpretar e c"&amp;"ompreender a vida selvagem. Este piloto deve ter trabalhado com diversas espécies de animais selvagens em seus vários habitats. Devido às condições extremas de voo durante a captura, a habilidade de pilotagem do piloto deve ser de alto nível, pois exige c"&amp;"oncentração. 2.500 horas de experiência em captura de animais selvagens, incluindo captura com rede, captura química e captura em massa. 1000 horas de experiência em voos em grandes altitudes; 500 horas de voo em baixa altitude (abaixo de 30 metros); expe"&amp;"riência comprovada na captura de mais de 15 espécies de animais selvagens de grande porte; habilitação para pilotar helicópteros MD500D e R44; capacidade de levantar 90 kg; carga horária semanal: 40 horas; horário de trabalho: 7h às 16h.")</f>
        <v>O trabalho de piloto de helicóptero para captura de animais selvagens é extremamente especializado. As funções incluem pilotar um helicóptero para captura com rede, captura química, captura em corais, rastreamento por telemetria e controle de predadores. Classificação da função: 53-2012.00 - Pilotos Comerciais. A classificação e descrição da função/setor inclui informações gerais sobre o cargo, de acordo com o ONET/OES e o Sistema de Classificação Industrial da América do Norte. Consulte as Funções e a Ordem de Serviço para obter mais informações. Requisitos da função: Experiência necessária: Sim. Meses de experiência necessários: 24. Requisitos especiais: Licença de piloto de helicóptero. O piloto deve ter conhecimento profundo sobre como interpretar e compreender a vida selvagem. Este piloto deve ter trabalhado com diversas espécies de animais selvagens em seus vários habitats. Devido às condições extremas de voo durante a captura, a habilidade de pilotagem do piloto deve ser de alto nível, pois exige concentração. 2.500 horas de experiência em captura de animais selvagens, incluindo captura com rede, captura química e captura em massa. 1000 horas de experiência em voos em grandes altitudes; 500 horas de voo em baixa altitude (abaixo de 30 metros); experiência comprovada na captura de mais de 15 espécies de animais selvagens de grande porte; habilitação para pilotar helicópteros MD500D e R44; capacidade de levantar 90 kg; carga horária semanal: 40 horas; horário de trabalho: 7h às 16h.</v>
      </c>
    </row>
    <row r="1377" ht="20.25" customHeight="1">
      <c r="A1377" s="8" t="s">
        <v>6109</v>
      </c>
      <c r="B1377" s="8" t="s">
        <v>6110</v>
      </c>
      <c r="C1377" s="8" t="s">
        <v>5990</v>
      </c>
      <c r="D1377" s="8" t="s">
        <v>1190</v>
      </c>
      <c r="E1377" s="9" t="s">
        <v>44</v>
      </c>
      <c r="F1377" s="9" t="s">
        <v>20</v>
      </c>
      <c r="G1377" s="9" t="s">
        <v>1441</v>
      </c>
      <c r="H1377" s="8" t="s">
        <v>6111</v>
      </c>
      <c r="I1377" s="8" t="s">
        <v>6112</v>
      </c>
      <c r="J1377" s="9">
        <v>18.34</v>
      </c>
      <c r="K1377" s="9">
        <v>45.0</v>
      </c>
      <c r="L1377" s="8" t="s">
        <v>6113</v>
      </c>
      <c r="M1377" s="8" t="s">
        <v>6114</v>
      </c>
      <c r="N1377" s="7" t="str">
        <f>IFERROR(__xludf.DUMMYFUNCTION("GOOGLETRANSLATE(L1377, ""en"", ""pt"")"),"Auxiliar de Limpeza")</f>
        <v>Auxiliar de Limpeza</v>
      </c>
      <c r="O1377" s="7" t="str">
        <f>IFERROR(__xludf.DUMMYFUNCTION("IF(M1377="""","""",GOOGLETRANSLATE(M1377,""en"",""pt""))"),"***Resposta à Solicitação de Informações*** Carregar e descarregar lavadoras e secadoras comerciais com toalhas de hotel, toalhas de rosto, toalhas de banho, toalhas de mão, tapetes de banheiro, lençóis, lençóis de solteiro, lençóis de elástico, fronhas, "&amp;"lençóis de casal, lençóis king size e panos de limpeza; operar equipamentos de dobragem e acabamento, como microprocessador CHI-Touch, calandra/dobradeira de uma via com controles CHI-Touch e calandra a gás. Dobrar e empilhar roupas de cama para organizar"&amp;" carrinhos e armários. Entregar e recolher roupas de cama nos andares do hotel. Abastecer armários e carrinhos de limpeza e movimentar e organizar suprimentos de limpeza. Seguir os padrões e listas de verificação da marca do hotel. Usar produtos químicos "&amp;"e agentes de limpeza de acordo com seus rótulos e Fichas de Dados de Segurança. Seguir os procedimentos de bloqueio e controle de chaves conforme instruído pelo supervisor; lidar com itens perdidos e achados de acordo com a política; e cumprir todos os re"&amp;"gulamentos de saúde, segurança e higiene. Executar outras tarefas de limpeza relacionadas, conforme atribuídas, que sejam necessárias para manter a limpeza e a disponibilidade dos quartos e da propriedade para os hóspedes. A manutenção não é exigida dos c"&amp;"amareiros. Os usuários são responsáveis ​​apenas pela operação e limpeza adequadas. O Auxiliar de Limpeza é responsável apenas pela operação adequada, limpeza de rotina e uso seguro dos equipamentos, não estando autorizado nem se esperando que execute qua"&amp;"isquer tarefas associadas ao Código SOC 49-9071, Trabalhadores de Manutenção e Reparo, Geral. As responsabilidades do trabalhador se limitam à operação de rotina e à limpeza básica dos equipamentos de lavanderia para atender ao uso normal do dia a dia, em"&amp;" conformidade com os Códigos SOC 37-2012 (Empregadas Domésticas e Faxineiras) e 51-6011 (Trabalhadores de Lavanderia e Lavagem a Seco). O trabalhador de Lavanderia/Limpeza é responsável apenas pela operação adequada, limpeza de rotina e uso seguro dessas "&amp;"máquinas, não estando autorizado nem se esperando que execute quaisquer tarefas associadas ao Código SOC 49-9071, Trabalhadores de Manutenção e Reparo, Geral. Toda a manutenção, reparo e assistência técnica dos equipamentos permanece sob a responsabilidad"&amp;"e de pessoal de manutenção qualificado. ***Original F.a.2*** Sob a supervisão do supervisor, executar tarefas de limpeza, incluindo arrumar camas, trocar e repor lençóis e toalhas nos quartos de hóspedes. Limpar e higienizar banheiros, banheiras, chuveiro"&amp;"s, pias, espelhos, acessórios e áreas públicas, incluindo saguões, corredores, elevadores, escadas, banheiros públicos, áreas de ginástica e corredores de serviço. Tirar o pó e polir móveis, como luminárias, suportes de TV e armários de banheiro. Aspirar,"&amp;" varrer e passar pano nos pisos. Limpar manchas em vidros, portas e paredes, e remover lixo, itens de serviço de quarto e materiais recicláveis. Repor as comodidades nos quartos de hóspedes e áreas públicas e atender às solicitações dos hóspedes, como tra"&amp;"vesseiros, cobertores e outras comodidades, conforme necessário. Reportar quaisquer problemas de manutenção à gerência. Preparar, reorganizar e arrumar salas de reunião ou eventos conforme as instruções. Separar, contar e transportar roupas de cama sujas "&amp;"e limpas. Carregar e descarregar lavadoras e secadoras industriais; operar equipamentos de dobragem e acabamento. Dobrar e empilhar roupas de cama para organizar carrinhos e armários de roupa. Entregar e recolher roupas de cama e banho nos andares do hote"&amp;"l. Abastecer os armários e carrinhos de limpeza, e movimentar e organizar os materiais de limpeza. Seguir os padrões e listas de verificação da marca do hotel. Utilizar produtos químicos e agentes de limpeza de acordo com os rótulos e as Fichas de Dados d"&amp;"e Segurança (FISPQ). Seguir os procedimentos de bloqueio e controle de chaves conforme orientação do supervisor; lidar com objetos perdidos e achados de acordo com a política; e cumprir todas as normas de saúde, segurança e higiene. Executar outras tarefa"&amp;"s de limpeza relacionadas, conforme designadas, que sejam necessárias para manter a limpeza e a disponibilidade dos quartos e da propriedade para os hóspedes. Classificação da vaga: 51-6021.00 - Passadores, Têxteis, Vestuário e Materiais Relacionados. A c"&amp;"lassificação e descrição da vaga/setor incluem informações gerais sobre o cargo, de acordo com o ONET/OES e o Sistema de Classificação Industrial da América do Norte (NAICS). Consulte as Funções e a Ordem de Serviço para obter mais informações. Requisitos"&amp;" da vaga: Experiência necessária: Sim. Meses de experiência necessários: 3. Requisitos especiais: Deve ser capaz de ficar em pé e caminhar por longos períodos, normalmente até 8 a 10 horas por turno. Deve ser capaz de levantar, carregar, empurrar ou puxar"&amp;" carrinhos e suprimentos de limpeza com peso de até 23 kg, e empurrar ou puxar carrinhos com rodas com peso de até aproximadamente 45 kg. Deve ser capaz de se curvar, ajoelhar, alcançar e realizar movimentos repetitivos conforme necessário. O trabalho ser"&amp;"á realizado de sexta a quinta-feira, das 8h às 16h30, das 9h às 17h e das 15h às 23h. Turnos variáveis, incluindo fins de semana e feriados, de acordo com as necessidades da empresa. Número de horas por semana: 56. Horário de trabalho (início/término): 8h"&amp;" às 16h30.")</f>
        <v>***Resposta à Solicitação de Informações*** Carregar e descarregar lavadoras e secadoras comerciais com toalhas de hotel, toalhas de rosto, toalhas de banho, toalhas de mão, tapetes de banheiro, lençóis, lençóis de solteiro, lençóis de elástico, fronhas, lençóis de casal, lençóis king size e panos de limpeza; operar equipamentos de dobragem e acabamento, como microprocessador CHI-Touch, calandra/dobradeira de uma via com controles CHI-Touch e calandra a gás. Dobrar e empilhar roupas de cama para organizar carrinhos e armários. Entregar e recolher roupas de cama nos andares do hotel. Abastecer armários e carrinhos de limpeza e movimentar e organizar suprimentos de limpeza. Seguir os padrões e listas de verificação da marca do hotel. Usar produtos químicos e agentes de limpeza de acordo com seus rótulos e Fichas de Dados de Segurança. Seguir os procedimentos de bloqueio e controle de chaves conforme instruído pelo supervisor; lidar com itens perdidos e achados de acordo com a política; e cumprir todos os regulamentos de saúde, segurança e higiene. Executar outras tarefas de limpeza relacionadas, conforme atribuídas, que sejam necessárias para manter a limpeza e a disponibilidade dos quartos e da propriedade para os hóspedes. A manutenção não é exigida dos camareiros. Os usuários são responsáveis ​​apenas pela operação e limpeza adequadas. O Auxiliar de Limpeza é responsável apenas pela operação adequada, limpeza de rotina e uso seguro dos equipamentos, não estando autorizado nem se esperando que execute quaisquer tarefas associadas ao Código SOC 49-9071, Trabalhadores de Manutenção e Reparo, Geral. As responsabilidades do trabalhador se limitam à operação de rotina e à limpeza básica dos equipamentos de lavanderia para atender ao uso normal do dia a dia, em conformidade com os Códigos SOC 37-2012 (Empregadas Domésticas e Faxineiras) e 51-6011 (Trabalhadores de Lavanderia e Lavagem a Seco). O trabalhador de Lavanderia/Limpeza é responsável apenas pela operação adequada, limpeza de rotina e uso seguro dessas máquinas, não estando autorizado nem se esperando que execute quaisquer tarefas associadas ao Código SOC 49-9071, Trabalhadores de Manutenção e Reparo, Geral. Toda a manutenção, reparo e assistência técnica dos equipamentos permanece sob a responsabilidade de pessoal de manutenção qualificado. ***Original F.a.2*** Sob a supervisão do supervisor, executar tarefas de limpeza, incluindo arrumar camas, trocar e repor lençóis e toalhas nos quartos de hóspedes. Limpar e higienizar banheiros, banheiras, chuveiros, pias, espelhos, acessórios e áreas públicas, incluindo saguões, corredores, elevadores, escadas, banheiros públicos, áreas de ginástica e corredores de serviço. Tirar o pó e polir móveis, como luminárias, suportes de TV e armários de banheiro. Aspirar, varrer e passar pano nos pisos. Limpar manchas em vidros, portas e paredes, e remover lixo, itens de serviço de quarto e materiais recicláveis. Repor as comodidades nos quartos de hóspedes e áreas públicas e atender às solicitações dos hóspedes, como travesseiros, cobertores e outras comodidades, conforme necessário. Reportar quaisquer problemas de manutenção à gerência. Preparar, reorganizar e arrumar salas de reunião ou eventos conforme as instruções. Separar, contar e transportar roupas de cama sujas e limpas. Carregar e descarregar lavadoras e secadoras industriais; operar equipamentos de dobragem e acabamento. Dobrar e empilhar roupas de cama para organizar carrinhos e armários de roupa. Entregar e recolher roupas de cama e banho nos andares do hotel. Abastecer os armários e carrinhos de limpeza, e movimentar e organizar os materiais de limpeza. Seguir os padrões e listas de verificação da marca do hotel. Utilizar produtos químicos e agentes de limpeza de acordo com os rótulos e as Fichas de Dados de Segurança (FISPQ). Seguir os procedimentos de bloqueio e controle de chaves conforme orientação do supervisor; lidar com objetos perdidos e achados de acordo com a política; e cumprir todas as normas de saúde, segurança e higiene. Executar outras tarefas de limpeza relacionadas, conforme designadas, que sejam necessárias para manter a limpeza e a disponibilidade dos quartos e da propriedade para os hóspedes. Classificação da vaga: 51-6021.00 - Passadores, Têxteis, Vestuário e Materiais Relacionados. A classificação e descrição da vaga/setor incluem informações gerais sobre o cargo, de acordo com o ONET/OES e o Sistema de Classificação Industrial da América do Norte (NAICS). Consulte as Funções e a Ordem de Serviço para obter mais informações. Requisitos da vaga: Experiência necessária: Sim. Meses de experiência necessários: 3. Requisitos especiais: Deve ser capaz de ficar em pé e caminhar por longos períodos, normalmente até 8 a 10 horas por turno. Deve ser capaz de levantar, carregar, empurrar ou puxar carrinhos e suprimentos de limpeza com peso de até 23 kg, e empurrar ou puxar carrinhos com rodas com peso de até aproximadamente 45 kg. Deve ser capaz de se curvar, ajoelhar, alcançar e realizar movimentos repetitivos conforme necessário. O trabalho será realizado de sexta a quinta-feira, das 8h às 16h30, das 9h às 17h e das 15h às 23h. Turnos variáveis, incluindo fins de semana e feriados, de acordo com as necessidades da empresa. Número de horas por semana: 56. Horário de trabalho (início/término): 8h às 16h30.</v>
      </c>
    </row>
    <row r="1378" ht="20.25" customHeight="1">
      <c r="A1378" s="3" t="s">
        <v>6115</v>
      </c>
      <c r="B1378" s="3" t="s">
        <v>6116</v>
      </c>
      <c r="C1378" s="3" t="s">
        <v>6071</v>
      </c>
      <c r="D1378" s="3" t="s">
        <v>117</v>
      </c>
      <c r="E1378" s="4" t="s">
        <v>19</v>
      </c>
      <c r="F1378" s="4" t="s">
        <v>20</v>
      </c>
      <c r="G1378" s="4" t="s">
        <v>313</v>
      </c>
      <c r="H1378" s="3" t="s">
        <v>6117</v>
      </c>
      <c r="I1378" s="3" t="s">
        <v>6118</v>
      </c>
      <c r="J1378" s="4">
        <v>37.34</v>
      </c>
      <c r="K1378" s="4">
        <v>1.0</v>
      </c>
      <c r="L1378" s="3" t="s">
        <v>262</v>
      </c>
      <c r="M1378" s="3" t="s">
        <v>6119</v>
      </c>
      <c r="N1378" s="7" t="str">
        <f>IFERROR(__xludf.DUMMYFUNCTION("GOOGLETRANSLATE(L1378, ""en"", ""pt"")"),"Operário da construção civil")</f>
        <v>Operário da construção civil</v>
      </c>
      <c r="O1378" s="7" t="str">
        <f>IFERROR(__xludf.DUMMYFUNCTION("IF(M1378="""","""",GOOGLETRANSLATE(M1378,""en"",""pt""))"),"Executar tarefas que envolvam trabalho físico em canteiros de obras. Preparar o local para a concretagem, carregando e descarregando materiais, cavando e nivelando o solo. Aplicar o concreto sob a supervisão do supervisor. Pode operar ferramentas manuais "&amp;"e elétricas. Pode instalar dispositivos de controle de tráfego. Classificação da Função: 47-2061.00 - Auxiliares de Construção. A classificação e descrição da função/setor incluem informações gerais sobre o cargo, de acordo com o ONET/OES e o Sistema de C"&amp;"lassificação Industrial da América do Norte (NAICS). Consulte as Funções e a Ordem de Serviço para obter mais informações. Requisitos da Função Experiência Necessária: Sim Meses de Experiência Necessários: 6 Requisitos Especiais: Deve ser capaz de levanta"&amp;"r e carregar 45 kg por 25 jardas (aproximadamente 23 metros). Deve ser capaz de realizar atividades físicas como levantar, caminhar, agachar, curvar, empurrar e puxar. O trabalho é realizado ao ar livre, exposto às intempéries. Deve ser capaz de realizar "&amp;"trabalho fisicamente extenuante por longos períodos, ocasionalmente em calor extremo. Número de Horas por Semana: 40 Horário de Trabalho (Início/Término): 6h30. - 6h da manhã")</f>
        <v>Executar tarefas que envolvam trabalho físico em canteiros de obras. Preparar o local para a concretagem, carregando e descarregando materiais, cavando e nivelando o solo. Aplicar o concreto sob a supervisão do supervisor. Pode operar ferramentas manuais e elétricas. Pode instalar dispositivos de controle de tráfego. Classificação da Função: 47-2061.00 - Auxiliares de Construção. A classificação e descrição da função/setor incluem informações gerais sobre o cargo, de acordo com o ONET/OES e o Sistema de Classificação Industrial da América do Norte (NAICS). Consulte as Funções e a Ordem de Serviço para obter mais informações. Requisitos da Função Experiência Necessária: Sim Meses de Experiência Necessários: 6 Requisitos Especiais: Deve ser capaz de levantar e carregar 45 kg por 25 jardas (aproximadamente 23 metros). Deve ser capaz de realizar atividades físicas como levantar, caminhar, agachar, curvar, empurrar e puxar. O trabalho é realizado ao ar livre, exposto às intempéries. Deve ser capaz de realizar trabalho fisicamente extenuante por longos períodos, ocasionalmente em calor extremo. Número de Horas por Semana: 40 Horário de Trabalho (Início/Término): 6h30. - 6h da manhã</v>
      </c>
    </row>
    <row r="1379" ht="20.25" customHeight="1">
      <c r="A1379" s="8" t="s">
        <v>6120</v>
      </c>
      <c r="B1379" s="8" t="s">
        <v>6121</v>
      </c>
      <c r="C1379" s="8" t="s">
        <v>5990</v>
      </c>
      <c r="D1379" s="8" t="s">
        <v>64</v>
      </c>
      <c r="E1379" s="9" t="s">
        <v>19</v>
      </c>
      <c r="F1379" s="9" t="s">
        <v>20</v>
      </c>
      <c r="G1379" s="9" t="s">
        <v>1280</v>
      </c>
      <c r="H1379" s="8" t="s">
        <v>6122</v>
      </c>
      <c r="I1379" s="8" t="s">
        <v>6123</v>
      </c>
      <c r="J1379" s="9">
        <v>27.55</v>
      </c>
      <c r="K1379" s="9">
        <v>50.0</v>
      </c>
      <c r="L1379" s="8" t="s">
        <v>6124</v>
      </c>
      <c r="M1379" s="8" t="s">
        <v>6125</v>
      </c>
      <c r="N1379" s="7" t="str">
        <f>IFERROR(__xludf.DUMMYFUNCTION("GOOGLETRANSLATE(L1379, ""en"", ""pt"")"),"Cabo elétrico")</f>
        <v>Cabo elétrico</v>
      </c>
      <c r="O1379" s="7" t="str">
        <f>IFERROR(__xludf.DUMMYFUNCTION("IF(M1379="""","""",GOOGLETRANSLATE(M1379,""en"",""pt""))"),"Sob a supervisão do Superintendente ou encarregado, o Líder de Elétrica supervisiona aprendizes ou auxiliares de eletricista nos trabalhos de instalação elétrica para novos projetos de construção, incluindo a instalação de eletrodutos, leitura de plantas "&amp;"e suporte desde a fase de instalação inicial até a energização. Supervisiona a instalação de fiação elétrica, equipamentos e acessórios em novas estruturas comerciais e industriais leves, em aplicações de baixa e média tensão, incluindo alimentadores, cir"&amp;"cuitos derivados e sistemas de distribuição que atendem a cargas de iluminação, energia e mecânicas; auxilia na passagem de fios e cabos de diversos tamanhos e tipos, desde condutores de controle de baixa tensão até alimentadores de média tensão, e auxili"&amp;"a na instalação de sistemas de eletrodutos, suportes e terminações associados; supervisiona a instalação de equipamentos de distribuição principais, como painéis de distribuição, quadros de distribuição, painéis elétricos, centros de controle de motores, "&amp;"transformadores a seco e de pedestal, geradores, chaves de transferência automática e sistemas de aterramento associados. Instala luminárias, tomadas, interruptores, disjuntores e dispositivos de proteção em todo o edifício como parte das fases de instala"&amp;"ção inicial e final. Executar a instalação, curvar e fixar conduítes de todos os tipos e tamanhos utilizados em construções comerciais e industriais, incluindo EMT, IMC, aço rígido, PVC, metal flexível, à prova de líquidos e dutos subterrâneos embutidos e"&amp;"m concreto, utilizando dobradores manuais, mecânicos e hidráulicos, equipamentos de rosqueamento e outras ferramentas elétricas para encaminhar a fiação através de paredes estruturadas, tetos, lajes e instalações subterrâneas antes da aplicação dos acabam"&amp;"entos; ler e interpretar plantas elétricas, diagramas unifilares, diagramas de colunas, quadros de distribuição e conjuntos de projetos arquitetônicos e mecânicos para coordenar o roteamento, a colocação de equipamentos e os layouts de circuitos com outra"&amp;"s equipes durante a fase de instalação preliminar; supervisionar os testes, a medição de isolamento e a verificação de sistemas e equipamentos recém-instalados antes da energização, identificando problemas de instalação e auxiliando na implementação de co"&amp;"rreções antes da inspeção. Seguir as normas de segurança do canteiro de obras, utilizando EPIs, observando os procedimentos de bloqueio/etiquetagem em instalações elétricas temporárias e permanentes e utilizando escadas, plataformas elevatórias e andaimes"&amp;" corretamente em áreas de risco de construção. Manusear materiais, carregando, descarregando e organizando bobinas de fios e cabos, feixes de conduítes, conexões, seções de equipamentos e ferramentas elétricas entregues no local da obra; e auxiliar eletri"&amp;"cistas licenciados em tarefas relacionadas, como perfuração e abertura de perfis em elementos estruturais para passagem de caixas e conduítes, fabricação e instalação de suportes e racks para eletrodutos e bandejas de cabos, etiquetagem de equipamentos e "&amp;"circuitos, e auxílio em terminações, acabamentos e itens da lista de pendências finais antes das inspeções preliminares e finais. O Líder de Elétrica também pode executar trabalhos elétricos substanciais que supervisiona, conforme necessário. Classificaçã"&amp;"o da Função: 47-2111.00 - Eletricistas. A classificação e descrição da função/setor inclui informações gerais sobre o cargo, de acordo com o ONET/OES e o Sistema de Classificação Industrial da América do Norte (NAICS). Consulte as Funções e a Ordem de Ser"&amp;"viço para obter mais informações. Requisitos da Função: Experiência Necessária: Sim. Meses de Experiência Necessários: 12. Requisitos Especiais: O trabalhador poderá ser obrigado a obter uma licença TDLR do Texas. O empregador auxiliará com quaisquer requ"&amp;"isitos de licenciamento estadual necessários. O trabalhador deve ser capaz de levantar e carregar até 23 kg, trabalhar em altura utilizando escadas ou plataformas elevatórias, e permanecer em pé, caminhar, curvar-se, ajoelhar-se e alcançar objetos acima d"&amp;"a cabeça por períodos prolongados. O trabalhador deve tolerar exposição ocasional ao calor e ao sol e trabalhar próximo a circuitos elétricos desenergizados. O trabalhador deve saber usar ferramentas manuais e elétricas básicas. O trabalho será realizado "&amp;"de segunda a sexta-feira, das 6h às 15h. Este horário de trabalho inclui duas pausas ininterruptas de 15 minutos e uma pausa para almoço de 30 minutos. Número de horas por semana: 45. Horário de trabalho (início/término): 6h às 15h.")</f>
        <v>Sob a supervisão do Superintendente ou encarregado, o Líder de Elétrica supervisiona aprendizes ou auxiliares de eletricista nos trabalhos de instalação elétrica para novos projetos de construção, incluindo a instalação de eletrodutos, leitura de plantas e suporte desde a fase de instalação inicial até a energização. Supervisiona a instalação de fiação elétrica, equipamentos e acessórios em novas estruturas comerciais e industriais leves, em aplicações de baixa e média tensão, incluindo alimentadores, circuitos derivados e sistemas de distribuição que atendem a cargas de iluminação, energia e mecânicas; auxilia na passagem de fios e cabos de diversos tamanhos e tipos, desde condutores de controle de baixa tensão até alimentadores de média tensão, e auxilia na instalação de sistemas de eletrodutos, suportes e terminações associados; supervisiona a instalação de equipamentos de distribuição principais, como painéis de distribuição, quadros de distribuição, painéis elétricos, centros de controle de motores, transformadores a seco e de pedestal, geradores, chaves de transferência automática e sistemas de aterramento associados. Instala luminárias, tomadas, interruptores, disjuntores e dispositivos de proteção em todo o edifício como parte das fases de instalação inicial e final. Executar a instalação, curvar e fixar conduítes de todos os tipos e tamanhos utilizados em construções comerciais e industriais, incluindo EMT, IMC, aço rígido, PVC, metal flexível, à prova de líquidos e dutos subterrâneos embutidos em concreto, utilizando dobradores manuais, mecânicos e hidráulicos, equipamentos de rosqueamento e outras ferramentas elétricas para encaminhar a fiação através de paredes estruturadas, tetos, lajes e instalações subterrâneas antes da aplicação dos acabamentos; ler e interpretar plantas elétricas, diagramas unifilares, diagramas de colunas, quadros de distribuição e conjuntos de projetos arquitetônicos e mecânicos para coordenar o roteamento, a colocação de equipamentos e os layouts de circuitos com outras equipes durante a fase de instalação preliminar; supervisionar os testes, a medição de isolamento e a verificação de sistemas e equipamentos recém-instalados antes da energização, identificando problemas de instalação e auxiliando na implementação de correções antes da inspeção. Seguir as normas de segurança do canteiro de obras, utilizando EPIs, observando os procedimentos de bloqueio/etiquetagem em instalações elétricas temporárias e permanentes e utilizando escadas, plataformas elevatórias e andaimes corretamente em áreas de risco de construção. Manusear materiais, carregando, descarregando e organizando bobinas de fios e cabos, feixes de conduítes, conexões, seções de equipamentos e ferramentas elétricas entregues no local da obra; e auxiliar eletricistas licenciados em tarefas relacionadas, como perfuração e abertura de perfis em elementos estruturais para passagem de caixas e conduítes, fabricação e instalação de suportes e racks para eletrodutos e bandejas de cabos, etiquetagem de equipamentos e circuitos, e auxílio em terminações, acabamentos e itens da lista de pendências finais antes das inspeções preliminares e finais. O Líder de Elétrica também pode executar trabalhos elétricos substanciais que supervisiona, conforme necessário. Classificação da Função: 47-2111.00 - Eletricistas. A classificação e descrição da função/setor inclui informações gerais sobre o cargo, de acordo com o ONET/OES e o Sistema de Classificação Industrial da América do Norte (NAICS). Consulte as Funções e a Ordem de Serviço para obter mais informações. Requisitos da Função: Experiência Necessária: Sim. Meses de Experiência Necessários: 12. Requisitos Especiais: O trabalhador poderá ser obrigado a obter uma licença TDLR do Texas. O empregador auxiliará com quaisquer requisitos de licenciamento estadual necessários. O trabalhador deve ser capaz de levantar e carregar até 23 kg, trabalhar em altura utilizando escadas ou plataformas elevatórias, e permanecer em pé, caminhar, curvar-se, ajoelhar-se e alcançar objetos acima da cabeça por períodos prolongados. O trabalhador deve tolerar exposição ocasional ao calor e ao sol e trabalhar próximo a circuitos elétricos desenergizados. O trabalhador deve saber usar ferramentas manuais e elétricas básicas. O trabalho será realizado de segunda a sexta-feira, das 6h às 15h. Este horário de trabalho inclui duas pausas ininterruptas de 15 minutos e uma pausa para almoço de 30 minutos. Número de horas por semana: 45. Horário de trabalho (início/término): 6h às 15h.</v>
      </c>
    </row>
    <row r="1380" ht="20.25" customHeight="1">
      <c r="A1380" s="3" t="s">
        <v>6126</v>
      </c>
      <c r="B1380" s="3" t="s">
        <v>6127</v>
      </c>
      <c r="C1380" s="3" t="s">
        <v>6024</v>
      </c>
      <c r="D1380" s="3" t="s">
        <v>271</v>
      </c>
      <c r="E1380" s="4" t="s">
        <v>19</v>
      </c>
      <c r="F1380" s="4" t="s">
        <v>20</v>
      </c>
      <c r="G1380" s="4" t="s">
        <v>377</v>
      </c>
      <c r="H1380" s="3" t="s">
        <v>6128</v>
      </c>
      <c r="I1380" s="3" t="s">
        <v>6129</v>
      </c>
      <c r="J1380" s="4">
        <v>21.41</v>
      </c>
      <c r="K1380" s="4">
        <v>55.0</v>
      </c>
      <c r="L1380" s="3" t="s">
        <v>501</v>
      </c>
      <c r="M1380" s="3" t="s">
        <v>6130</v>
      </c>
      <c r="N1380" s="7" t="str">
        <f>IFERROR(__xludf.DUMMYFUNCTION("GOOGLETRANSLATE(L1380, ""en"", ""pt"")"),"Auxiliar de Manutenção")</f>
        <v>Auxiliar de Manutenção</v>
      </c>
      <c r="O1380" s="7" t="str">
        <f>IFERROR(__xludf.DUMMYFUNCTION("IF(M1380="""","""",GOOGLETRANSLATE(M1380,""en"",""pt""))"),"Auxiliar de mecânico: manutenção de equipamentos de parque de diversões; lixar e preparar manualmente; limpar e lubrificar peças; montar, inspecionar e desmontar equipamentos de parque de diversões. Requisitos da vaga: Capacidade de levantar 23 kg. É nece"&amp;"ssário ter disposição para levantar peso e mobilidade física. É preciso viajar para todos os locais, com transporte fornecido pelo empregador. • Não é necessário ter formação ou experiência. • Treinamento no local de trabalho oferecido. Classificação da v"&amp;"aga: 49-9098.00 - Ajudantes - Trabalhadores de Instalação, Manutenção e Reparo. A classificação e descrição da vaga/setor incluem informações gerais sobre o cargo, de acordo com o ONET/OES e o Sistema de Classificação Industrial da América do Norte. Consu"&amp;"lte as Funções e a Ordem de Serviço para obter mais informações. Requisitos da vaga: Experiência necessária: Não. Requisitos especiais: Horário de trabalho: O horário, a escala e os dias variam bastante. Normalmente de segunda a sexta, das 10h às 17h. Fre"&amp;"quentemente, de 35 a 40 horas por semana. Não há previsão de horas extras. As necessidades de trabalho (ou seja, horas, dias, escala, local e funções) variam. As necessidades de trabalho estão sujeitas às práticas do setor e não são garantidas por dia, se"&amp;"mana, horário, local ou trabalhador, por exemplo, em caso de cancelamentos por chuva, breves períodos sem eventos programados, datas e horários de eventos definidos em acordo com o patrocinador e sujeitos a alterações (com base em condições climáticas adv"&amp;"ersas, horário de funcionamento, dia da semana, público, tamanho do evento, calendário escolar, quantidade de equipamentos em operação, equipe, etc.) e cancelamentos imprevistos. Em caso de eventos simultâneos aprovados, as necessidades de trabalho podem "&amp;"exigir ajustes na escala de trabalho dos trabalhadores. Requisitos do trabalho: Testes aleatórios de drogas e verificação de antecedentes criminais após a contratação podem ser exigidos pelo empregador, sem custo para o trabalhador. O trabalho exige que o"&amp;" candidato seja qualificado, autorizado, esteja pronto, disposto, apto e disponível para trabalhar durante todo o período de emprego nos locais de trabalho designados, mesmo em condições climáticas adversas; atenda aos nossos padrões de verificação ou tes"&amp;"tes; firme e cumpra qualquer contrato de trabalho e contrato de locação de moradia; siga as regras do local de trabalho, de reclamações e de moradia. O procedimento de reclamações exige que os trabalhadores relatem quaisquer ameaças ou descumprimento dos "&amp;"termos e condições de trabalho; e atendam aos padrões de desempenho do trabalho. Trabalho externo em todas as condições climáticas. Para esta vaga, o candidato deverá obter e comprovar todas as autorizações governamentais necessárias para exercer a função"&amp;", como o visto de trabalho H-2B para estrangeiros. O visto H-2B será emitido pelo consulado dos Estados Unidos no país de origem do candidato, e após a emissão, o candidato será considerado contratado naquele local e data. É imprescindível a colaboração e"&amp;" o preenchimento completo do formulário de inscrição e da entrevista, sendo que todas as informações fornecidas devem ser verdadeiras e completas. O candidato deverá cumprir os requisitos de apresentação pessoal e o código de vestimenta. É necessário ter "&amp;"disponibilidade para trabalhar até 7 dias por semana. O contrato de trabalho está sujeito a demissão por justa causa. Número de horas semanais: 35. Horário de trabalho (início/término): 10h às 17h.")</f>
        <v>Auxiliar de mecânico: manutenção de equipamentos de parque de diversões; lixar e preparar manualmente; limpar e lubrificar peças; montar, inspecionar e desmontar equipamentos de parque de diversões. Requisitos da vaga: Capacidade de levantar 23 kg. É necessário ter disposição para levantar peso e mobilidade física. É preciso viajar para todos os locais, com transporte fornecido pelo empregador. • Não é necessário ter formação ou experiência. • Treinamento no local de trabalho oferecido. Classificação da vaga: 49-9098.00 - Ajudantes - Trabalhadores de Instalação, Manutenção e Reparo. A classificação e descrição da vaga/setor incluem informações gerais sobre o cargo, de acordo com o ONET/OES e o Sistema de Classificação Industrial da América do Norte. Consulte as Funções e a Ordem de Serviço para obter mais informações. Requisitos da vaga: Experiência necessária: Não. Requisitos especiais: Horário de trabalho: O horário, a escala e os dias variam bastante. Normalmente de segunda a sexta, das 10h às 17h. Frequentemente, de 35 a 40 horas por semana. Não há previsão de horas extras. As necessidades de trabalho (ou seja, horas, dias, escala, local e funções) variam. As necessidades de trabalho estão sujeitas às práticas do setor e não são garantidas por dia, semana, horário, local ou trabalhador, por exemplo, em caso de cancelamentos por chuva, breves períodos sem eventos programados, datas e horários de eventos definidos em acordo com o patrocinador e sujeitos a alterações (com base em condições climáticas adversas, horário de funcionamento, dia da semana, público, tamanho do evento, calendário escolar, quantidade de equipamentos em operação, equipe, etc.) e cancelamentos imprevistos. Em caso de eventos simultâneos aprovados, as necessidades de trabalho podem exigir ajustes na escala de trabalho dos trabalhadores. Requisitos do trabalho: Testes aleatórios de drogas e verificação de antecedentes criminais após a contratação podem ser exigidos pelo empregador, sem custo para o trabalhador. O trabalho exige que o candidato seja qualificado, autorizado, esteja pronto, disposto, apto e disponível para trabalhar durante todo o período de emprego nos locais de trabalho designados, mesmo em condições climáticas adversas; atenda aos nossos padrões de verificação ou testes; firme e cumpra qualquer contrato de trabalho e contrato de locação de moradia; siga as regras do local de trabalho, de reclamações e de moradia. O procedimento de reclamações exige que os trabalhadores relatem quaisquer ameaças ou descumprimento dos termos e condições de trabalho; e atendam aos padrões de desempenho do trabalho. Trabalho externo em todas as condições climáticas. Para esta vaga, o candidato deverá obter e comprovar todas as autorizações governamentais necessárias para exercer a função, como o visto de trabalho H-2B para estrangeiros. O visto H-2B será emitido pelo consulado dos Estados Unidos no país de origem do candidato, e após a emissão, o candidato será considerado contratado naquele local e data. É imprescindível a colaboração e o preenchimento completo do formulário de inscrição e da entrevista, sendo que todas as informações fornecidas devem ser verdadeiras e completas. O candidato deverá cumprir os requisitos de apresentação pessoal e o código de vestimenta. É necessário ter disponibilidade para trabalhar até 7 dias por semana. O contrato de trabalho está sujeito a demissão por justa causa. Número de horas semanais: 35. Horário de trabalho (início/término): 10h às 17h.</v>
      </c>
    </row>
    <row r="1381" ht="20.25" customHeight="1">
      <c r="A1381" s="8" t="s">
        <v>6131</v>
      </c>
      <c r="B1381" s="8" t="s">
        <v>6132</v>
      </c>
      <c r="C1381" s="8" t="s">
        <v>1030</v>
      </c>
      <c r="D1381" s="8" t="s">
        <v>36</v>
      </c>
      <c r="E1381" s="9" t="s">
        <v>19</v>
      </c>
      <c r="F1381" s="9" t="s">
        <v>20</v>
      </c>
      <c r="G1381" s="9" t="s">
        <v>56</v>
      </c>
      <c r="H1381" s="8" t="s">
        <v>6133</v>
      </c>
      <c r="I1381" s="8" t="s">
        <v>6134</v>
      </c>
      <c r="J1381" s="9">
        <v>18.75</v>
      </c>
      <c r="K1381" s="9">
        <v>5.0</v>
      </c>
      <c r="L1381" s="8" t="s">
        <v>59</v>
      </c>
      <c r="M1381" s="8" t="s">
        <v>6135</v>
      </c>
      <c r="N1381" s="7" t="str">
        <f>IFERROR(__xludf.DUMMYFUNCTION("GOOGLETRANSLATE(L1381, ""en"", ""pt"")"),"Trabalhador de paisagismo")</f>
        <v>Trabalhador de paisagismo</v>
      </c>
      <c r="O1381" s="7" t="str">
        <f>IFERROR(__xludf.DUMMYFUNCTION("IF(M1381="""","""",GOOGLETRANSLATE(M1381,""en"",""pt""))"),"Cortar, aparar, regar e aparar a grama usando cortadores de grama, aparadores de borda, roçadeiras, sopradores e diversas ferramentas manuais de jardinagem; recolher e soprar folhas; cavar buracos e valas com pás com uma profundidade/largura de 90 cm para"&amp;" plantio; arrancar e cortar ervas daninhas, podar/moldar arbustos e transportar terra vegetal e cobertura morta. Plantar árvores, arbustos e flores; remover árvores e arbustos velhos/mortos e descartar detritos. Envolve carregar e descarregar ferramentas,"&amp;" suprimentos e equipamentos com peso de até 23 kg. Envolve trabalhar ao ar livre em todos os tipos de clima. Envolve ficar em pé, sentado ou caminhando por longos períodos. Envolve agachar-se ou curvar-se com frequência. Envolve movimentos repetitivos. Em"&amp;" caso de acidente ou suspeita de uso/teste de drogas pago pelo empregador. Pode fornecer transporte para o trabalho, conforme necessário e disponível. Funcionários em tempo integral recebem folga remunerada nos feriados nacionais. Possibilidade de aumento"&amp;" salarial com base no desempenho, bônus, horas extras e trabalho aos sábados, conforme necessário. Transporte fornecido para vários locais de trabalho a partir de uma localização central em Asheville, NC. Sem intervalos não remunerados durante o dia. O ho"&amp;"rário de trabalho diário pode variar entre os horários de início e término listados, dependendo das condições climáticas ou das tarefas atribuídas. Classificação do Cargo: 37-3011.00 - Trabalhadores de Paisagismo e Manutenção de Áreas Verdes. A classifica"&amp;"ção e descrição do cargo/setor incluem informações gerais sobre a posição, de acordo com o ONET/OES e o Sistema de Classificação Industrial da América do Norte (NAICS). Consulte as Funções e a Ordem de Serviço para obter mais informações. Requisitos do Ca"&amp;"rgo: Experiência Necessária: Não. Número de Horas por Semana: 40. Horário de Trabalho (Início/Término): 7h00 - 18h30.")</f>
        <v>Cortar, aparar, regar e aparar a grama usando cortadores de grama, aparadores de borda, roçadeiras, sopradores e diversas ferramentas manuais de jardinagem; recolher e soprar folhas; cavar buracos e valas com pás com uma profundidade/largura de 90 cm para plantio; arrancar e cortar ervas daninhas, podar/moldar arbustos e transportar terra vegetal e cobertura morta. Plantar árvores, arbustos e flores; remover árvores e arbustos velhos/mortos e descartar detritos. Envolve carregar e descarregar ferramentas, suprimentos e equipamentos com peso de até 23 kg. Envolve trabalhar ao ar livre em todos os tipos de clima. Envolve ficar em pé, sentado ou caminhando por longos períodos. Envolve agachar-se ou curvar-se com frequência. Envolve movimentos repetitivos. Em caso de acidente ou suspeita de uso/teste de drogas pago pelo empregador. Pode fornecer transporte para o trabalho, conforme necessário e disponível. Funcionários em tempo integral recebem folga remunerada nos feriados nacionais. Possibilidade de aumento salarial com base no desempenho, bônus, horas extras e trabalho aos sábados, conforme necessário. Transporte fornecido para vários locais de trabalho a partir de uma localização central em Asheville, NC. Sem intervalos não remunerados durante o dia. O horário de trabalho diário pode variar entre os horários de início e término listados, dependendo das condições climáticas ou das tarefas atribuídas. Classificação do Cargo: 37-3011.00 - Trabalhadores de Paisagismo e Manutenção de Áreas Verdes. A classificação e descrição do cargo/setor incluem informações gerais sobre a posição, de acordo com o ONET/OES e o Sistema de Classificação Industrial da América do Norte (NAICS). Consulte as Funções e a Ordem de Serviço para obter mais informações. Requisitos do Cargo: Experiência Necessária: Não. Número de Horas por Semana: 40. Horário de Trabalho (Início/Término): 7h00 - 18h30.</v>
      </c>
    </row>
    <row r="1382" ht="20.25" customHeight="1">
      <c r="A1382" s="3" t="s">
        <v>6136</v>
      </c>
      <c r="B1382" s="3" t="s">
        <v>6137</v>
      </c>
      <c r="C1382" s="3" t="s">
        <v>6138</v>
      </c>
      <c r="D1382" s="3" t="s">
        <v>64</v>
      </c>
      <c r="E1382" s="4" t="s">
        <v>19</v>
      </c>
      <c r="F1382" s="4" t="s">
        <v>20</v>
      </c>
      <c r="G1382" s="4" t="s">
        <v>437</v>
      </c>
      <c r="H1382" s="3" t="s">
        <v>6139</v>
      </c>
      <c r="I1382" s="3" t="s">
        <v>6140</v>
      </c>
      <c r="J1382" s="4">
        <v>13.13</v>
      </c>
      <c r="K1382" s="4">
        <v>2.0</v>
      </c>
      <c r="L1382" s="3" t="s">
        <v>6141</v>
      </c>
      <c r="M1382" s="3" t="s">
        <v>6142</v>
      </c>
      <c r="N1382" s="7" t="str">
        <f>IFERROR(__xludf.DUMMYFUNCTION("GOOGLETRANSLATE(L1382, ""en"", ""pt"")"),"Serviços de limpeza")</f>
        <v>Serviços de limpeza</v>
      </c>
      <c r="O1382" s="7" t="str">
        <f>IFERROR(__xludf.DUMMYFUNCTION("IF(M1382="""","""",GOOGLETRANSLATE(M1382,""en"",""pt""))"),"Diversas tarefas conforme designadas, tais como: limpeza/manutenção de quartos de hóspedes, áreas externas e banheiros; troca/lavagem de lençóis e toalhas; passar aspirador de pó e esfregão; remoção de lixo; limpeza geral; auxílio aos hóspedes nos quartos"&amp;"; entrega de solicitações dos hóspedes; lavagem, secagem e dobragem de lençóis e toalhas. Classificação da vaga: 37-2012.00 - Camareiras e Auxiliares de Limpeza. A classificação e descrição da vaga/setor inclui informações gerais sobre o cargo, de acordo "&amp;"com o ONET/OES e o Sistema de Classificação Industrial da América do Norte (NAICS). Consulte as Funções e a Ordem de Serviço para obter mais informações. Requisitos da vaga: Experiência necessária: Não. Requisitos especiais: Segunda a domingo. Média de 35"&amp;" horas semanais. Turno diurno. Horário/dias de trabalho variáveis, horários de término variáveis. Horas extras variáveis, capacidade de levantar 18 kg. Verificação de antecedentes criminais pré-contratação obrigatória; exame toxicológico pré-admissional o"&amp;"brigatório. Todos os exames toxicológicos são realizados independentemente da cidadania ou status imigratório do funcionário e são pagos pela empresa. Consulte o documento adicional em anexo para obter mais detalhes sobre a administração de nossa política"&amp;" de testes de drogas. Todas as verificações de antecedentes são realizadas da mesma forma para trabalhadores americanos e trabalhadores com visto H-2B, e todas as taxas são pagas pela empresa. Consulte o documento adicional em anexo para obter mais detalh"&amp;"es sobre a administração de nossa política de verificação de antecedentes. Número de horas por semana: 35. Horário de trabalho (início/término): 8h às 16h.")</f>
        <v>Diversas tarefas conforme designadas, tais como: limpeza/manutenção de quartos de hóspedes, áreas externas e banheiros; troca/lavagem de lençóis e toalhas; passar aspirador de pó e esfregão; remoção de lixo; limpeza geral; auxílio aos hóspedes nos quartos; entrega de solicitações dos hóspedes; lavagem, secagem e dobragem de lençóis e toalhas. Classificação da vaga: 37-2012.00 - Camareiras e Auxiliares de Limpeza. A classificação e descrição da vaga/setor inclui informações gerais sobre o cargo, de acordo com o ONET/OES e o Sistema de Classificação Industrial da América do Norte (NAICS). Consulte as Funções e a Ordem de Serviço para obter mais informações. Requisitos da vaga: Experiência necessária: Não. Requisitos especiais: Segunda a domingo. Média de 35 horas semanais. Turno diurno. Horário/dias de trabalho variáveis, horários de término variáveis. Horas extras variáveis, capacidade de levantar 18 kg. Verificação de antecedentes criminais pré-contratação obrigatória; exame toxicológico pré-admissional obrigatório. Todos os exames toxicológicos são realizados independentemente da cidadania ou status imigratório do funcionário e são pagos pela empresa. Consulte o documento adicional em anexo para obter mais detalhes sobre a administração de nossa política de testes de drogas. Todas as verificações de antecedentes são realizadas da mesma forma para trabalhadores americanos e trabalhadores com visto H-2B, e todas as taxas são pagas pela empresa. Consulte o documento adicional em anexo para obter mais detalhes sobre a administração de nossa política de verificação de antecedentes. Número de horas por semana: 35. Horário de trabalho (início/término): 8h às 16h.</v>
      </c>
    </row>
    <row r="1383" ht="20.25" customHeight="1">
      <c r="A1383" s="8" t="s">
        <v>6143</v>
      </c>
      <c r="B1383" s="8" t="s">
        <v>6144</v>
      </c>
      <c r="C1383" s="8" t="s">
        <v>6024</v>
      </c>
      <c r="D1383" s="8" t="s">
        <v>71</v>
      </c>
      <c r="E1383" s="9" t="s">
        <v>19</v>
      </c>
      <c r="F1383" s="9" t="s">
        <v>20</v>
      </c>
      <c r="G1383" s="9" t="s">
        <v>1441</v>
      </c>
      <c r="H1383" s="8" t="s">
        <v>6145</v>
      </c>
      <c r="I1383" s="8" t="s">
        <v>6146</v>
      </c>
      <c r="J1383" s="9">
        <v>19.02</v>
      </c>
      <c r="K1383" s="9">
        <v>10.0</v>
      </c>
      <c r="L1383" s="8" t="s">
        <v>501</v>
      </c>
      <c r="M1383" s="8" t="s">
        <v>6147</v>
      </c>
      <c r="N1383" s="7" t="str">
        <f>IFERROR(__xludf.DUMMYFUNCTION("GOOGLETRANSLATE(L1383, ""en"", ""pt"")"),"Auxiliar de Manutenção")</f>
        <v>Auxiliar de Manutenção</v>
      </c>
      <c r="O1383" s="7" t="str">
        <f>IFERROR(__xludf.DUMMYFUNCTION("IF(M1383="""","""",GOOGLETRANSLATE(M1383,""en"",""pt""))"),"Auxiliar de mecânico: manutenção de equipamentos de parque de diversões; lixar e preparar manualmente; limpar e lubrificar peças; montar, inspecionar e desmontar equipamentos de parque de diversões. Requisitos da vaga: Capacidade de levantar 23 kg. É nece"&amp;"ssário ter disposição para levantar peso e mobilidade física. É preciso viajar para todos os locais, com transporte fornecido pelo empregador. • Não é necessário ter formação ou experiência. • Treinamento no local de trabalho oferecido. Classificação da v"&amp;"aga: 49-9098.00 - Ajudantes - Instalação, Manutenção e Reparo. A classificação e descrição da vaga/setor incluem informações gerais sobre o cargo, de acordo com o ONET/OES e o Sistema de Classificação Industrial da América do Norte (NAICS). Consulte as Fu"&amp;"nções e a Ordem de Serviço para obter mais informações. Requisitos da vaga: Experiência necessária: Não. Requisitos especiais: Horário de trabalho: O horário, a escala e os dias variam bastante. Normalmente, de segunda a sexta, das 9h às 18h. Não há previ"&amp;"são de horas extras. Geralmente, de 35 a 40 horas por semana. Pode chegar a 40 horas por semana. As necessidades de trabalho (ou seja, horas, dias, escala, local e funções) variam. As necessidades de trabalho (ou seja, horas, dias, escala, local e funções"&amp;") variam. Essas necessidades estão sujeitas às práticas do setor e não são garantidas por dia, por semana, por escala, por local ou por trabalhador, por exemplo, em casos de cancelamentos por chuva, breves períodos sem eventos programados, datas e horário"&amp;"s de eventos definidos em acordo com o patrocinador e sujeitos a alterações (com base em condições climáticas adversas, horário de funcionamento, dia da semana, público, tamanho do evento, calendário escolar, quantidade de equipamentos em operação, equipe"&amp;", etc.) e cancelamentos imprevistos. Em caso de eventos simultâneos aprovados, as necessidades de trabalho podem levar a ajustes na escala dos trabalhadores. Requisitos da vaga: Testes aleatórios de drogas e verificação de antecedentes criminais após a co"&amp;"ntratação podem ser exigidos pelo empregador, sem custo para o trabalhador. A vaga exige que o candidato seja qualificado, autorizado, esteja pronto, disposto, apto e disponível para trabalhar durante todo o período de emprego nos locais de trabalho desig"&amp;"nados, mesmo em condições climáticas adversas; atenda aos nossos padrões de verificação ou testes; firme e cumpra qualquer contrato de trabalho e contrato de locação de moradia; siga as normas do local de trabalho, de reclamações e de moradia. O procedime"&amp;"nto de reclamação exige que os trabalhadores relatem quaisquer ameaças ou descumprimento das condições de trabalho e do cumprimento dos padrões de desempenho. Trabalho externo em todas as condições climáticas. O cargo exige que o candidato obtenha e apres"&amp;"ente comprovante de todas as autorizações governamentais necessárias para exercer a função, como o visto de trabalho H-2B para trabalhadores estrangeiros. O visto de trabalho H-2B será emitido pelo consulado dos Estados Unidos no país de origem, após o qu"&amp;"al o candidato será considerado contratado naquele local e data. É necessário cooperar e preencher o formulário de inscrição e a entrevista, e todas as informações fornecidas devem ser verdadeiras e completas. É necessário cumprir os requisitos de apresen"&amp;"tação pessoal e o código de vestimenta. É necessário ter disponibilidade para trabalhar até 7 dias por semana. Sujeito a demissão por justa causa. Número de horas por semana: 35. Horário de trabalho (início/término): 9h às 18h.")</f>
        <v>Auxiliar de mecânico: manutenção de equipamentos de parque de diversões; lixar e preparar manualmente; limpar e lubrificar peças; montar, inspecionar e desmontar equipamentos de parque de diversões. Requisitos da vaga: Capacidade de levantar 23 kg. É necessário ter disposição para levantar peso e mobilidade física. É preciso viajar para todos os locais, com transporte fornecido pelo empregador. • Não é necessário ter formação ou experiência. • Treinamento no local de trabalho oferecido. Classificação da vaga: 49-9098.00 - Ajudantes - Instalação, Manutenção e Reparo. A classificação e descrição da vaga/setor incluem informações gerais sobre o cargo, de acordo com o ONET/OES e o Sistema de Classificação Industrial da América do Norte (NAICS). Consulte as Funções e a Ordem de Serviço para obter mais informações. Requisitos da vaga: Experiência necessária: Não. Requisitos especiais: Horário de trabalho: O horário, a escala e os dias variam bastante. Normalmente, de segunda a sexta, das 9h às 18h. Não há previsão de horas extras. Geralmente, de 35 a 40 horas por semana. Pode chegar a 40 horas por semana. As necessidades de trabalho (ou seja, horas, dias, escala, local e funções) variam. As necessidades de trabalho (ou seja, horas, dias, escala, local e funções) variam. Essas necessidades estão sujeitas às práticas do setor e não são garantidas por dia, por semana, por escala, por local ou por trabalhador, por exemplo, em casos de cancelamentos por chuva, breves períodos sem eventos programados, datas e horários de eventos definidos em acordo com o patrocinador e sujeitos a alterações (com base em condições climáticas adversas, horário de funcionamento, dia da semana, público, tamanho do evento, calendário escolar, quantidade de equipamentos em operação, equipe, etc.) e cancelamentos imprevistos. Em caso de eventos simultâneos aprovados, as necessidades de trabalho podem levar a ajustes na escala dos trabalhadores. Requisitos da vaga: Testes aleatórios de drogas e verificação de antecedentes criminais após a contratação podem ser exigidos pelo empregador, sem custo para o trabalhador. A vaga exige que o candidato seja qualificado, autorizado, esteja pronto, disposto, apto e disponível para trabalhar durante todo o período de emprego nos locais de trabalho designados, mesmo em condições climáticas adversas; atenda aos nossos padrões de verificação ou testes; firme e cumpra qualquer contrato de trabalho e contrato de locação de moradia; siga as normas do local de trabalho, de reclamações e de moradia. O procedimento de reclamação exige que os trabalhadores relatem quaisquer ameaças ou descumprimento das condições de trabalho e do cumprimento dos padrões de desempenho. Trabalho externo em todas as condições climáticas. O cargo exige que o candidato obtenha e apresente comprovante de todas as autorizações governamentais necessárias para exercer a função, como o visto de trabalho H-2B para trabalhadores estrangeiros. O visto de trabalho H-2B será emitido pelo consulado dos Estados Unidos no país de origem, após o qual o candidato será considerado contratado naquele local e data. É necessário cooperar e preencher o formulário de inscrição e a entrevista, e todas as informações fornecidas devem ser verdadeiras e completas. É necessário cumprir os requisitos de apresentação pessoal e o código de vestimenta. É necessário ter disponibilidade para trabalhar até 7 dias por semana. Sujeito a demissão por justa causa. Número de horas por semana: 35. Horário de trabalho (início/término): 9h às 18h.</v>
      </c>
    </row>
    <row r="1384" ht="20.25" customHeight="1">
      <c r="A1384" s="3" t="s">
        <v>6148</v>
      </c>
      <c r="B1384" s="3" t="s">
        <v>6149</v>
      </c>
      <c r="C1384" s="3" t="s">
        <v>5563</v>
      </c>
      <c r="D1384" s="3" t="s">
        <v>36</v>
      </c>
      <c r="E1384" s="4" t="s">
        <v>19</v>
      </c>
      <c r="F1384" s="4" t="s">
        <v>20</v>
      </c>
      <c r="G1384" s="4" t="s">
        <v>307</v>
      </c>
      <c r="H1384" s="3" t="s">
        <v>6150</v>
      </c>
      <c r="I1384" s="3" t="s">
        <v>6151</v>
      </c>
      <c r="J1384" s="4">
        <v>10.87</v>
      </c>
      <c r="K1384" s="4">
        <v>5.0</v>
      </c>
      <c r="L1384" s="3" t="s">
        <v>6152</v>
      </c>
      <c r="M1384" s="3" t="s">
        <v>6153</v>
      </c>
      <c r="N1384" s="7" t="str">
        <f>IFERROR(__xludf.DUMMYFUNCTION("GOOGLETRANSLATE(L1384, ""en"", ""pt"")"),"Processador de caranguejos")</f>
        <v>Processador de caranguejos</v>
      </c>
      <c r="O1384" s="7" t="str">
        <f>IFERROR(__xludf.DUMMYFUNCTION("IF(M1384="""","""",GOOGLETRANSLATE(M1384,""en"",""pt""))"),"Código SOC: 51-3093.00 — Operadores e Auxiliares de Máquinas de Cozimento de Alimentos • Cozinhar caranguejos inteiros no vapor • Cozinhar frutos do mar usando vaporizadores/caldeiras Código SOC: 51-3022 — Cortadores e Aparadores de Carne, Aves e Peixes •"&amp;" Limpar e selecionar caranguejos • Desossar e quebrar frutos do mar • Separar a carne por tamanho/qualidade • Preparar frutos do mar para venda no atacado/varejo • Limpar e higienizar áreas de trabalho e equipamentos • Manter a conformidade com os regulam"&amp;"entos de segurança alimentar Código SOC: 53-7064 — Embaladores e Acondicionadores Manuais • Pesar, contar e medir o produto • Colocar frutos do mar em recipientes • Selar, colocar gelo e embalar os produtos • Montar caixas Código SOC: 53-7062 — Operários "&amp;"e Movimentadores de Carga, Estoque e Materiais Manuais • Mover, despejar e distribuir o produto • Realizar trabalhos no cais • Remover caranguejos de barcos ou caminhões • Carregar produtos acabados em caminhões • Usar equipamentos de movimentação de mate"&amp;"riais (ocasionalmente) • Colocar o produto cru em mesas de processamento • Congelar e retirar caranguejos com pás Veja o anexo Adendo. Classificação da Função: 51-3093.00 - Operadores e Auxiliares de Máquinas de Cozimento de Alimentos. A classificação e d"&amp;"escrição da função/setor inclui informações gerais sobre o cargo, de acordo com o ONET/OES e o Sistema de Classificação Industrial da América do Norte (NAICS). Consulte as Funções e a Ordem de Serviço para obter mais informações. Requisitos da Função: Exp"&amp;"eriência Necessária: Não. Requisitos Especiais: Capacidade de levantar/carregar até 23 kg. O exame toxicológico, pago pelo empregador, será realizado após a contratação e de forma aleatória. O empregador poderá realizar verificações legais relacionadas ao"&amp;" trabalho, incluindo consultas sobre antecedentes criminais, quando permitido pelas leis federais, estaduais e locais aplicáveis. Qualquer análise de antecedentes criminais será feita individualmente e as decisões de contratação serão tomadas de forma não"&amp;" discriminatória, em conformidade com as leis aplicáveis ​​e as necessidades da empresa. Não são permitidas doenças infecciosas; alergias a frutos do mar podem ser fatais. Número de Horas por Semana: 35. Horário de Trabalho (Início/Término): 8h às 16h.")</f>
        <v>Código SOC: 51-3093.00 — Operadores e Auxiliares de Máquinas de Cozimento de Alimentos • Cozinhar caranguejos inteiros no vapor • Cozinhar frutos do mar usando vaporizadores/caldeiras Código SOC: 51-3022 — Cortadores e Aparadores de Carne, Aves e Peixes • Limpar e selecionar caranguejos • Desossar e quebrar frutos do mar • Separar a carne por tamanho/qualidade • Preparar frutos do mar para venda no atacado/varejo • Limpar e higienizar áreas de trabalho e equipamentos • Manter a conformidade com os regulamentos de segurança alimentar Código SOC: 53-7064 — Embaladores e Acondicionadores Manuais • Pesar, contar e medir o produto • Colocar frutos do mar em recipientes • Selar, colocar gelo e embalar os produtos • Montar caixas Código SOC: 53-7062 — Operários e Movimentadores de Carga, Estoque e Materiais Manuais • Mover, despejar e distribuir o produto • Realizar trabalhos no cais • Remover caranguejos de barcos ou caminhões • Carregar produtos acabados em caminhões • Usar equipamentos de movimentação de materiais (ocasionalmente) • Colocar o produto cru em mesas de processamento • Congelar e retirar caranguejos com pás Veja o anexo Adendo. Classificação da Função: 51-3093.00 - Operadores e Auxiliares de Máquinas de Cozimento de Alimentos. A classificação e descrição da função/setor inclui informações gerais sobre o cargo, de acordo com o ONET/OES e o Sistema de Classificação Industrial da América do Norte (NAICS). Consulte as Funções e a Ordem de Serviço para obter mais informações. Requisitos da Função: Experiência Necessária: Não. Requisitos Especiais: Capacidade de levantar/carregar até 23 kg. O exame toxicológico, pago pelo empregador, será realizado após a contratação e de forma aleatória. O empregador poderá realizar verificações legais relacionadas ao trabalho, incluindo consultas sobre antecedentes criminais, quando permitido pelas leis federais, estaduais e locais aplicáveis. Qualquer análise de antecedentes criminais será feita individualmente e as decisões de contratação serão tomadas de forma não discriminatória, em conformidade com as leis aplicáveis ​​e as necessidades da empresa. Não são permitidas doenças infecciosas; alergias a frutos do mar podem ser fatais. Número de Horas por Semana: 35. Horário de Trabalho (Início/Término): 8h às 16h.</v>
      </c>
    </row>
    <row r="1385" ht="20.25" customHeight="1">
      <c r="A1385" s="8" t="s">
        <v>6154</v>
      </c>
      <c r="B1385" s="8" t="s">
        <v>6155</v>
      </c>
      <c r="C1385" s="8" t="s">
        <v>6024</v>
      </c>
      <c r="D1385" s="8" t="s">
        <v>87</v>
      </c>
      <c r="E1385" s="9" t="s">
        <v>44</v>
      </c>
      <c r="F1385" s="9" t="s">
        <v>20</v>
      </c>
      <c r="G1385" s="9" t="s">
        <v>110</v>
      </c>
      <c r="H1385" s="8" t="s">
        <v>6156</v>
      </c>
      <c r="I1385" s="8" t="s">
        <v>6157</v>
      </c>
      <c r="J1385" s="9">
        <v>17.38</v>
      </c>
      <c r="K1385" s="9">
        <v>35.0</v>
      </c>
      <c r="L1385" s="8" t="s">
        <v>501</v>
      </c>
      <c r="M1385" s="8" t="s">
        <v>6158</v>
      </c>
      <c r="N1385" s="7" t="str">
        <f>IFERROR(__xludf.DUMMYFUNCTION("GOOGLETRANSLATE(L1385, ""en"", ""pt"")"),"Auxiliar de Manutenção")</f>
        <v>Auxiliar de Manutenção</v>
      </c>
      <c r="O1385" s="7" t="str">
        <f>IFERROR(__xludf.DUMMYFUNCTION("IF(M1385="""","""",GOOGLETRANSLATE(M1385,""en"",""pt""))"),"Auxiliar de mecânico: Auxiliar na manutenção de equipamentos de parque de diversões: lixar e preparar manualmente; limpar e lubrificar peças; montar, inspecionar, desmontar e armazenar brinquedos. Classificação da vaga: 49-9098.00 - Ajudantes - Trabalhado"&amp;"res de Instalação, Manutenção e Reparo. A classificação e descrição da vaga/setor inclui informações gerais sobre o cargo, de acordo com o ONET/OES e o Sistema de Classificação Industrial da América do Norte (NAICS). Consulte as Funções e a Ordem de Servi"&amp;"ço para obter mais informações. Requisitos da vaga: Experiência necessária: Não. Requisitos especiais: Aprovação em exame toxicológico e verificação de antecedentes criminais após a contratação, pagos pelo empregador. Capacidade de levantar 23 kg. Horário"&amp;", escala e dias de trabalho variam bastante. Normalmente, de segunda a sexta, das 8h às 16h30. Geralmente de 35 a 40 horas semanais. Horas extras não são esperadas. As necessidades de trabalho (ou seja, horas, dias, escala, local e funções) variam. Requis"&amp;"itos da vaga: Testes toxicológicos e verificações de antecedentes criminais aleatórios após a contratação podem ser exigidos pelo empregador, sem custo para o trabalhador. A vaga exige que o candidato seja qualificado, autorizado, esteja pronto, disposto,"&amp;" apto e disponível para trabalhar durante todo o período de emprego nos locais de trabalho designados, mesmo em condições climáticas adversas; atenda aos nossos padrões de verificação ou testes; firme e cumpra qualquer contrato de trabalho e contrato de a"&amp;"luguel; siga as normas do local de trabalho, as regras de reclamação e as normas de moradia. O procedimento de reclamação exige que os trabalhadores relatem quaisquer ameaças ou descumprimento dos termos e condições de trabalho; e atendam aos padrões de d"&amp;"esempenho do trabalho. Trabalho externo em todas as condições climáticas. A vaga exige que o candidato obtenha e apresente comprovante de todas as autorizações governamentais necessárias para trabalhar nesta função, como o visto de trabalho H-2B para trab"&amp;"alhadores estrangeiros. Qualquer visto de trabalho H-2B será emitido pelo consulado dos Estados Unidos no país de origem, após o qual o candidato será considerado contratado naquele momento e local. É necessário cooperar e preencher o formulário de inscri"&amp;"ção e a entrevista, e todas as informações fornecidas devem ser verdadeiras e completas. É necessário cumprir os requisitos de apresentação pessoal e o código de vestimenta. É necessário estar disposto a trabalhar até 7 dias por semana. Sujeito a demissão"&amp;" por justa causa. Número de horas por semana: 35 Horário de trabalho (início/término): 8h00 - 16h30")</f>
        <v>Auxiliar de mecânico: Auxiliar na manutenção de equipamentos de parque de diversões: lixar e preparar manualmente; limpar e lubrificar peças; montar, inspecionar, desmontar e armazenar brinquedos. Classificação da vaga: 49-9098.00 - Ajudantes - Trabalhadores de Instalação, Manutenção e Reparo. A classificação e descrição da vaga/setor inclui informações gerais sobre o cargo, de acordo com o ONET/OES e o Sistema de Classificação Industrial da América do Norte (NAICS). Consulte as Funções e a Ordem de Serviço para obter mais informações. Requisitos da vaga: Experiência necessária: Não. Requisitos especiais: Aprovação em exame toxicológico e verificação de antecedentes criminais após a contratação, pagos pelo empregador. Capacidade de levantar 23 kg. Horário, escala e dias de trabalho variam bastante. Normalmente, de segunda a sexta, das 8h às 16h30. Geralmente de 35 a 40 horas semanais. Horas extras não são esperadas. As necessidades de trabalho (ou seja, horas, dias, escala, local e funções) variam. Requisitos da vaga: Testes toxicológicos e verificações de antecedentes criminais aleatórios após a contratação podem ser exigidos pelo empregador, sem custo para o trabalhador. A vaga exige que o candidato seja qualificado, autorizado, esteja pronto, disposto, apto e disponível para trabalhar durante todo o período de emprego nos locais de trabalho designados, mesmo em condições climáticas adversas; atenda aos nossos padrões de verificação ou testes; firme e cumpra qualquer contrato de trabalho e contrato de aluguel; siga as normas do local de trabalho, as regras de reclamação e as normas de moradia. O procedimento de reclamação exige que os trabalhadores relatem quaisquer ameaças ou descumprimento dos termos e condições de trabalho; e atendam aos padrões de desempenho do trabalho. Trabalho externo em todas as condições climáticas. A vaga exige que o candidato obtenha e apresente comprovante de todas as autorizações governamentais necessárias para trabalhar nesta função, como o visto de trabalho H-2B para trabalhadores estrangeiros. Qualquer visto de trabalho H-2B será emitido pelo consulado dos Estados Unidos no país de origem, após o qual o candidato será considerado contratado naquele momento e local. É necessário cooperar e preencher o formulário de inscrição e a entrevista, e todas as informações fornecidas devem ser verdadeiras e completas. É necessário cumprir os requisitos de apresentação pessoal e o código de vestimenta. É necessário estar disposto a trabalhar até 7 dias por semana. Sujeito a demissão por justa causa. Número de horas por semana: 35 Horário de trabalho (início/término): 8h00 - 16h30</v>
      </c>
    </row>
    <row r="1386" ht="20.25" customHeight="1">
      <c r="A1386" s="3" t="s">
        <v>6159</v>
      </c>
      <c r="B1386" s="3" t="s">
        <v>6160</v>
      </c>
      <c r="C1386" s="3"/>
      <c r="D1386" s="3" t="s">
        <v>28</v>
      </c>
      <c r="E1386" s="4" t="s">
        <v>19</v>
      </c>
      <c r="F1386" s="4" t="s">
        <v>20</v>
      </c>
      <c r="G1386" s="4" t="s">
        <v>212</v>
      </c>
      <c r="H1386" s="3" t="s">
        <v>6161</v>
      </c>
      <c r="I1386" s="3" t="s">
        <v>6162</v>
      </c>
      <c r="J1386" s="4">
        <v>22.32</v>
      </c>
      <c r="K1386" s="4">
        <v>55.0</v>
      </c>
      <c r="L1386" s="3" t="s">
        <v>6163</v>
      </c>
      <c r="M1386" s="3" t="s">
        <v>6164</v>
      </c>
      <c r="N1386" s="7" t="str">
        <f>IFERROR(__xludf.DUMMYFUNCTION("GOOGLETRANSLATE(L1386, ""en"", ""pt"")"),"Trabalhadores sazonais de fábrica de ostras")</f>
        <v>Trabalhadores sazonais de fábrica de ostras</v>
      </c>
      <c r="O1386" s="7" t="str">
        <f>IFERROR(__xludf.DUMMYFUNCTION("IF(M1386="""","""",GOOGLETRANSLATE(M1386,""en"",""pt""))"),"A Oyster Delicacy, LLC busca cinquenta e cinco (55) trabalhadores sazonais temporários em tempo integral para trabalhar na unidade de processamento de ostras da empresa, localizada em 4889 W. Main Street, Houma, Louisiana 70360, Paróquia de Terrebonne. O "&amp;"emprego é temporário e terá início em 1º de outubro de 2026 e término em 1º de junho de 2027. Os funcionários trabalharão 40 horas por semana, sem previsão de horas extras, e receberão pagamento semanal. Atividades: Os trabalhadores selecionarão as ostras"&amp;" vivas recebidas utilizando mesas vibratórias ou manualmente, separando-as de acordo com o tamanho, a cor da concha e a condição geral. Os trabalhadores selecionados abrirão as ostras manualmente utilizando facas próprias para ostras e outras ferramentas "&amp;"de extração manual, removendo cuidadosamente a carne comestível das conchas. A carne da ostra será então pesada, colocada em recipientes, selada e etiquetada para envio e distribuição. Outros funcionários limparão ostras inteiras usando lavadoras pressuri"&amp;"zadas, escovas ou equipamentos de limpeza rotativos para remover algas, lama e outros detritos das superfícies das conchas. Após a limpeza e o processamento, as ostras e a carne de ostra serão embaladas em contêineres, caixas térmicas ou caixas de transpo"&amp;"rte para envio a compradores atacadistas, restaurantes, varejistas e clientes industriais. Os funcionários operarão paleteiras e carrinhos de mão para movimentar ostras, carne de ostra, materiais de embalagem e produtos acabados por toda a unidade de proc"&amp;"essamento. Os funcionários poderão alternar entre as tarefas atribuídas ao longo do dia de trabalho, de acordo com as necessidades de produção. Todos os funcionários devem seguir os procedimentos de segurança alimentar, higiene e segurança no trabalho e u"&amp;"sar os equipamentos de proteção individual fornecidos pelo empregador, incluindo luvas, aventais e óculos de segurança. O empregador utilizará uma semana de trabalho como padrão para o cálculo dos salários devidos. O salário oferecido será igual ou superi"&amp;"or ao maior salário vigente aplicável ou ao salário mínimo federal, estadual ou municipal, conforme exigido por lei. O empregador reembolsará os trabalhadores com visto H-2B na primeira semana de trabalho por todas as taxas de visto, processamento de vist"&amp;"o, travessia de fronteira e outras taxas governamentais exigidas (exceto taxas de passaporte). O transporte e a alimentação diária do local de origem do trabalhador até o local de trabalho serão fornecidos ou reembolsados, de acordo com as normas aplicáve"&amp;"is ​​ao visto H-2B. Ao término do contrato de trabalho, ou se o trabalhador for dispensado antecipadamente por motivos que não sejam má conduta ou abandono voluntário, o empregador fornecerá ou pagará o custo razoável do transporte de retorno e da aliment"&amp;"ação diária até o local de origem do trabalhador ou até o próximo empregador com visto H-2B, quando aplicável. O reembolso do transporte será baseado na transportadora mais econômica e razoável disponível. A alimentação diária durante a viagem será paga a"&amp;" uma taxa mínima de US$ 16,78 por dia, podendo chegar a US$ 68,00 por dia mediante apresentação de recibos, conforme permitido pelas normas aplicáveis. Todas as deduções exigidas por lei serão feitas nos contracheques dos trabalhadores. O empregador dispo"&amp;"nibilizará alojamento mobiliado no endereço 4903 W. Main Street, Houma, Louisiana 70360, com cozinhas totalmente equipadas onde os funcionários poderão preparar suas próprias refeições. Os funcionários que optarem por residir no alojamento fornecido pelo "&amp;"empregador pagarão US$ 160,00 por mês, incluindo as contas de água, luz e gás, por meio de desconto em folha de pagamento. Os funcionários que optarem por não residir no alojamento fornecido pelo empregador e, em vez disso, providenciarem sua própria mora"&amp;"dia, não terão esse desconto feito em seus contracheques. O transporte público estará disponível até o ponto de encontro central designado pelo empregador, no endereço 337 Broadway Avenue, Schriever, Louisiana 70395, para os funcionários que optarem por n"&amp;"ão residir no alojamento fornecido pelo empregador. O empregador fornecerá transporte diário gratuito aos funcionários entre o alojamento fornecido pelo empregador ou o ponto de encontro central designado e o local de trabalho, com transporte de retorno f"&amp;"ornecido ao final de cada dia de trabalho. O empregador também fornecerá transporte gratuito aos funcionários aos sábados para que façam suas compras de supermercado para a semana. Classificação da Função: 51-9192.00 - Operadores e Auxiliares de Equipamen"&amp;"tos de Limpeza, Lavagem e Decapagem de Metais. A classificação e descrição da função/setor inclui informações gerais sobre o cargo, de acordo com o ONET/OES e o Sistema de Classificação Industrial da América do Norte (NAICS). Consulte as Funções e a Ordem"&amp;" de Serviço para obter mais informações. Requisitos da Função Experiência Necessária: Sim Meses de Experiência Necessários: 3 Requisitos Especiais: Os candidatos devem possuir no mínimo três (3) meses de experiência profissional em uma função similar. Não"&amp;" é exigida formação acadêmica. Os trabalhadores devem ser capazes de permanecer em pé por longos períodos, realizar movimentos repetitivos com as mãos, curvar-se, agachar-se e levantar e carregar até 23 kg (50 libras) com frequência. O trabalho é realizad"&amp;"o em ambiente interno, frio e úmido, em uma instalação de processamento de frutos do mar, onde os trabalhadores processarão produtos de ostras, cumprindo todos os requisitos de segurança alimentar, higiene e segurança do trabalho. Os trabalhadores devem e"&amp;"star dispostos e aptos a trabalhar em turnos rotativos, incluindo: Segunda a sexta-feira: Turnos de sete (7) horas (das 6h às 14h; das 14h às 22h; ou das 22h às 6h). Sábado: Turnos de cinco (5) horas (das 6h às 11h; das 11h às 16h; das 16h às 21h; das 21h"&amp;" às 2h; ou das 2h às 7h). Todos os indivíduos contratados, incluindo trabalhadores americanos e trabalhadores com visto H-2B, devem preencher o Formulário I-9 e fornecer documentação que comprove sua identidade e autorização de trabalho nos Estados Unidos"&amp;", conforme exigido pela legislação federal. Os funcionários devem estar disponíveis durante todo o período de emprego. Número de horas por semana: 40. Horário de trabalho (início/término): 22h às 6h.")</f>
        <v>A Oyster Delicacy, LLC busca cinquenta e cinco (55) trabalhadores sazonais temporários em tempo integral para trabalhar na unidade de processamento de ostras da empresa, localizada em 4889 W. Main Street, Houma, Louisiana 70360, Paróquia de Terrebonne. O emprego é temporário e terá início em 1º de outubro de 2026 e término em 1º de junho de 2027. Os funcionários trabalharão 40 horas por semana, sem previsão de horas extras, e receberão pagamento semanal. Atividades: Os trabalhadores selecionarão as ostras vivas recebidas utilizando mesas vibratórias ou manualmente, separando-as de acordo com o tamanho, a cor da concha e a condição geral. Os trabalhadores selecionados abrirão as ostras manualmente utilizando facas próprias para ostras e outras ferramentas de extração manual, removendo cuidadosamente a carne comestível das conchas. A carne da ostra será então pesada, colocada em recipientes, selada e etiquetada para envio e distribuição. Outros funcionários limparão ostras inteiras usando lavadoras pressurizadas, escovas ou equipamentos de limpeza rotativos para remover algas, lama e outros detritos das superfícies das conchas. Após a limpeza e o processamento, as ostras e a carne de ostra serão embaladas em contêineres, caixas térmicas ou caixas de transporte para envio a compradores atacadistas, restaurantes, varejistas e clientes industriais. Os funcionários operarão paleteiras e carrinhos de mão para movimentar ostras, carne de ostra, materiais de embalagem e produtos acabados por toda a unidade de processamento. Os funcionários poderão alternar entre as tarefas atribuídas ao longo do dia de trabalho, de acordo com as necessidades de produção. Todos os funcionários devem seguir os procedimentos de segurança alimentar, higiene e segurança no trabalho e usar os equipamentos de proteção individual fornecidos pelo empregador, incluindo luvas, aventais e óculos de segurança. O empregador utilizará uma semana de trabalho como padrão para o cálculo dos salários devidos. O salário oferecido será igual ou superior ao maior salário vigente aplicável ou ao salário mínimo federal, estadual ou municipal, conforme exigido por lei. O empregador reembolsará os trabalhadores com visto H-2B na primeira semana de trabalho por todas as taxas de visto, processamento de visto, travessia de fronteira e outras taxas governamentais exigidas (exceto taxas de passaporte). O transporte e a alimentação diária do local de origem do trabalhador até o local de trabalho serão fornecidos ou reembolsados, de acordo com as normas aplicáveis ​​ao visto H-2B. Ao término do contrato de trabalho, ou se o trabalhador for dispensado antecipadamente por motivos que não sejam má conduta ou abandono voluntário, o empregador fornecerá ou pagará o custo razoável do transporte de retorno e da alimentação diária até o local de origem do trabalhador ou até o próximo empregador com visto H-2B, quando aplicável. O reembolso do transporte será baseado na transportadora mais econômica e razoável disponível. A alimentação diária durante a viagem será paga a uma taxa mínima de US$ 16,78 por dia, podendo chegar a US$ 68,00 por dia mediante apresentação de recibos, conforme permitido pelas normas aplicáveis. Todas as deduções exigidas por lei serão feitas nos contracheques dos trabalhadores. O empregador disponibilizará alojamento mobiliado no endereço 4903 W. Main Street, Houma, Louisiana 70360, com cozinhas totalmente equipadas onde os funcionários poderão preparar suas próprias refeições. Os funcionários que optarem por residir no alojamento fornecido pelo empregador pagarão US$ 160,00 por mês, incluindo as contas de água, luz e gás, por meio de desconto em folha de pagamento. Os funcionários que optarem por não residir no alojamento fornecido pelo empregador e, em vez disso, providenciarem sua própria moradia, não terão esse desconto feito em seus contracheques. O transporte público estará disponível até o ponto de encontro central designado pelo empregador, no endereço 337 Broadway Avenue, Schriever, Louisiana 70395, para os funcionários que optarem por não residir no alojamento fornecido pelo empregador. O empregador fornecerá transporte diário gratuito aos funcionários entre o alojamento fornecido pelo empregador ou o ponto de encontro central designado e o local de trabalho, com transporte de retorno fornecido ao final de cada dia de trabalho. O empregador também fornecerá transporte gratuito aos funcionários aos sábados para que façam suas compras de supermercado para a semana. Classificação da Função: 51-9192.00 - Operadores e Auxiliares de Equipamentos de Limpeza, Lavagem e Decapagem de Metais. A classificação e descrição da função/setor inclui informações gerais sobre o cargo, de acordo com o ONET/OES e o Sistema de Classificação Industrial da América do Norte (NAICS). Consulte as Funções e a Ordem de Serviço para obter mais informações. Requisitos da Função Experiência Necessária: Sim Meses de Experiência Necessários: 3 Requisitos Especiais: Os candidatos devem possuir no mínimo três (3) meses de experiência profissional em uma função similar. Não é exigida formação acadêmica. Os trabalhadores devem ser capazes de permanecer em pé por longos períodos, realizar movimentos repetitivos com as mãos, curvar-se, agachar-se e levantar e carregar até 23 kg (50 libras) com frequência. O trabalho é realizado em ambiente interno, frio e úmido, em uma instalação de processamento de frutos do mar, onde os trabalhadores processarão produtos de ostras, cumprindo todos os requisitos de segurança alimentar, higiene e segurança do trabalho. Os trabalhadores devem estar dispostos e aptos a trabalhar em turnos rotativos, incluindo: Segunda a sexta-feira: Turnos de sete (7) horas (das 6h às 14h; das 14h às 22h; ou das 22h às 6h). Sábado: Turnos de cinco (5) horas (das 6h às 11h; das 11h às 16h; das 16h às 21h; das 21h às 2h; ou das 2h às 7h). Todos os indivíduos contratados, incluindo trabalhadores americanos e trabalhadores com visto H-2B, devem preencher o Formulário I-9 e fornecer documentação que comprove sua identidade e autorização de trabalho nos Estados Unidos, conforme exigido pela legislação federal. Os funcionários devem estar disponíveis durante todo o período de emprego. Número de horas por semana: 40. Horário de trabalho (início/término): 22h às 6h.</v>
      </c>
    </row>
    <row r="1387" ht="20.25" customHeight="1">
      <c r="A1387" s="8" t="s">
        <v>6165</v>
      </c>
      <c r="B1387" s="8" t="s">
        <v>6166</v>
      </c>
      <c r="C1387" s="8" t="s">
        <v>6167</v>
      </c>
      <c r="D1387" s="8" t="s">
        <v>992</v>
      </c>
      <c r="E1387" s="9" t="s">
        <v>19</v>
      </c>
      <c r="F1387" s="9" t="s">
        <v>20</v>
      </c>
      <c r="G1387" s="9" t="s">
        <v>146</v>
      </c>
      <c r="H1387" s="8" t="s">
        <v>6168</v>
      </c>
      <c r="I1387" s="8" t="s">
        <v>6169</v>
      </c>
      <c r="J1387" s="9">
        <v>21.91</v>
      </c>
      <c r="K1387" s="9">
        <v>8.0</v>
      </c>
      <c r="L1387" s="8" t="s">
        <v>59</v>
      </c>
      <c r="M1387" s="8" t="s">
        <v>6170</v>
      </c>
      <c r="N1387" s="7" t="str">
        <f>IFERROR(__xludf.DUMMYFUNCTION("GOOGLETRANSLATE(L1387, ""en"", ""pt"")"),"Trabalhador de paisagismo")</f>
        <v>Trabalhador de paisagismo</v>
      </c>
      <c r="O1387" s="7" t="str">
        <f>IFERROR(__xludf.DUMMYFUNCTION("IF(M1387="""","""",GOOGLETRANSLATE(M1387,""en"",""pt""))"),"Cortar, aparar, delimitar e regar gramados e canteiros de flores; limpeza de primavera (formar novas bordas ao redor de canteiros de arbustos; podar/aparar onde necessário, usar escarificador, remover palha seca do gramado, semear em pontos específicos, r"&amp;"emover todos os detritos e descartá-los); limpeza de outono (remover todas as folhas da propriedade), capinar, plantar, espalhar cobertura morta; rastelar e soprar folhas. Classificação da vaga: 37-3011.00 - Trabalhadores de Paisagismo e Manutenção de Jar"&amp;"dins. A classificação e descrição da vaga/setor inclui informações gerais sobre o cargo, de acordo com o ONET/OES e o Sistema de Classificação Industrial da América do Norte. Consulte as Funções e a Ordem de Serviço para obter mais informações. Requisitos"&amp;" da vaga: Experiência necessária: Não. Requisitos especiais: Verificação de antecedentes pré-contratação obrigatória; testes de drogas aleatórios durante o emprego. Capacidade de levantar 34 kg. De segunda a sexta-feira, horário variável, horas extras var"&amp;"iáveis. Todos os testes de drogas são realizados sem levar em consideração a cidadania ou o status imigratório do funcionário e são pagos pela empresa. Consulte o documento adicional em anexo para obter mais detalhes sobre a administração de nossa polític"&amp;"a de testes de drogas. Todas as verificações de antecedentes são realizadas da mesma forma para trabalhadores americanos e trabalhadores com visto H-2B, e todas as taxas são pagas pela empresa. Consulte o documento adicional em anexo para obter mais detal"&amp;"hes sobre a administração de nossa política de verificação de antecedentes. Número de horas por semana: 40. Horário de trabalho (início/término): 7h às 16h.")</f>
        <v>Cortar, aparar, delimitar e regar gramados e canteiros de flores; limpeza de primavera (formar novas bordas ao redor de canteiros de arbustos; podar/aparar onde necessário, usar escarificador, remover palha seca do gramado, semear em pontos específicos, remover todos os detritos e descartá-los); limpeza de outono (remover todas as folhas da propriedade), capinar, plantar, espalhar cobertura morta; rastelar e soprar folhas. Classificação da vaga: 37-3011.00 - Trabalhadores de Paisagismo e Manutenção de Jardins. A classificação e descrição da vaga/setor inclui informações gerais sobre o cargo, de acordo com o ONET/OES e o Sistema de Classificação Industrial da América do Norte. Consulte as Funções e a Ordem de Serviço para obter mais informações. Requisitos da vaga: Experiência necessária: Não. Requisitos especiais: Verificação de antecedentes pré-contratação obrigatória; testes de drogas aleatórios durante o emprego. Capacidade de levantar 34 kg. De segunda a sexta-feira, horário variável, horas extras variáveis. Todos os testes de drogas são realizados sem levar em consideração a cidadania ou o status imigratório do funcionário e são pagos pela empresa. Consulte o documento adicional em anexo para obter mais detalhes sobre a administração de nossa política de testes de drogas. Todas as verificações de antecedentes são realizadas da mesma forma para trabalhadores americanos e trabalhadores com visto H-2B, e todas as taxas são pagas pela empresa. Consulte o documento adicional em anexo para obter mais detalhes sobre a administração de nossa política de verificação de antecedentes. Número de horas por semana: 40. Horário de trabalho (início/término): 7h às 16h.</v>
      </c>
    </row>
    <row r="1388" ht="20.25" customHeight="1">
      <c r="A1388" s="3" t="s">
        <v>6171</v>
      </c>
      <c r="B1388" s="3" t="s">
        <v>6172</v>
      </c>
      <c r="C1388" s="3" t="s">
        <v>5990</v>
      </c>
      <c r="D1388" s="3" t="s">
        <v>1978</v>
      </c>
      <c r="E1388" s="4" t="s">
        <v>19</v>
      </c>
      <c r="F1388" s="4" t="s">
        <v>20</v>
      </c>
      <c r="G1388" s="4" t="s">
        <v>307</v>
      </c>
      <c r="H1388" s="3" t="s">
        <v>6066</v>
      </c>
      <c r="I1388" s="3" t="s">
        <v>6067</v>
      </c>
      <c r="J1388" s="4">
        <v>16.57</v>
      </c>
      <c r="K1388" s="4">
        <v>10.0</v>
      </c>
      <c r="L1388" s="3" t="s">
        <v>354</v>
      </c>
      <c r="M1388" s="3" t="s">
        <v>6173</v>
      </c>
      <c r="N1388" s="7" t="str">
        <f>IFERROR(__xludf.DUMMYFUNCTION("GOOGLETRANSLATE(L1388, ""en"", ""pt"")"),"Governanta")</f>
        <v>Governanta</v>
      </c>
      <c r="O1388" s="7" t="str">
        <f>IFERROR(__xludf.DUMMYFUNCTION("IF(M1388="""","""",GOOGLETRANSLATE(M1388,""en"",""pt""))"),"Sob a supervisão do gerente geral, os funcionários da limpeza realizarão diversas tarefas de limpeza e manutenção para garantir que os quartos e as áreas comuns atendam aos padrões de saúde e higiene estabelecidos para a hospedagem. As funções incluem man"&amp;"ter as áreas de armazenamento e os carrinhos de limpeza bem abastecidos, limpos e organizados; transportar roupas de cama, toalhas, artigos de higiene pessoal e produtos de limpeza utilizando carrinhos com rodas; e limpar quartos, banheiros, corredores, s"&amp;"aguões, salas de estar, lavabos, elevadores, escadas e vestiários utilizando vassouras, esfregões, espanadores, panos de microfibra, soluções desinfetantes, aspiradores de pó e lavadoras de piso elétricas. Os funcionários também esvaziarão lixeiras e tran"&amp;"sportarão o lixo para as áreas de descarte; varrerão, esfregarão, encerarão ou polirão pisos; limparão e lavarão tapetes e carpetes; lavarão janelas, paredes, tetos e acabamentos em madeira; tirarão o pó e polirão móveis, acessórios e equipamentos; e troc"&amp;"arão lâmpadas. As tarefas relacionadas à lavanderia incluem separar, carregar e descarregar roupas de cama e toalhas utilizando lavadoras e secadoras industriais; dobrar e organizar as roupas limpas; e abastecer os armários de roupa de cama. Os funcionári"&amp;"os arrumarão camas, moverão e organizarão móveis leves, virarão colchões e pendurarão cortinas ou limparão persianas. Os funcionários poderão entregar itens solicitados pelos hóspedes, como camas extras, berços, televisores ou tábuas de passar roupa; rela"&amp;"tar danos nos quartos ou objetos perdidos e achados; e auxiliar na preparação básica de quartos ou áreas comuns para reuniões ou eventos. Os funcionários devem seguir os procedimentos de segurança e higiene da empresa e executar outras tarefas de limpeza "&amp;"relacionadas, conforme designado. Classificação do Cargo: 37-2011.00 - Zeladores e Faxineiros, exceto Camareiras e Auxiliares de Limpeza. A classificação e descrição do cargo/setor inclui informações gerais sobre a posição, de acordo com o ONET/OES e o Si"&amp;"stema de Classificação Industrial da América do Norte. Consulte as Funções e a Ordem de Serviço para obter mais informações. Requisitos do Cargo Experiência Necessária: Sim Meses de Experiência Necessários: 1 Requisitos Especiais: O(A) funcionário(a) de l"&amp;"impeza deve ser capaz de levantar até 30 kg, ficar em pé por longos períodos, curvar-se, esticar-se, torcer-se e alcançar com o corpo, braços e pernas, conforme necessário. Número de horas por semana: 40 Horário de trabalho (início/término): 9h00 - 17h00")</f>
        <v>Sob a supervisão do gerente geral, os funcionários da limpeza realizarão diversas tarefas de limpeza e manutenção para garantir que os quartos e as áreas comuns atendam aos padrões de saúde e higiene estabelecidos para a hospedagem. As funções incluem manter as áreas de armazenamento e os carrinhos de limpeza bem abastecidos, limpos e organizados; transportar roupas de cama, toalhas, artigos de higiene pessoal e produtos de limpeza utilizando carrinhos com rodas; e limpar quartos, banheiros, corredores, saguões, salas de estar, lavabos, elevadores, escadas e vestiários utilizando vassouras, esfregões, espanadores, panos de microfibra, soluções desinfetantes, aspiradores de pó e lavadoras de piso elétricas. Os funcionários também esvaziarão lixeiras e transportarão o lixo para as áreas de descarte; varrerão, esfregarão, encerarão ou polirão pisos; limparão e lavarão tapetes e carpetes; lavarão janelas, paredes, tetos e acabamentos em madeira; tirarão o pó e polirão móveis, acessórios e equipamentos; e trocarão lâmpadas. As tarefas relacionadas à lavanderia incluem separar, carregar e descarregar roupas de cama e toalhas utilizando lavadoras e secadoras industriais; dobrar e organizar as roupas limpas; e abastecer os armários de roupa de cama. Os funcionários arrumarão camas, moverão e organizarão móveis leves, virarão colchões e pendurarão cortinas ou limparão persianas. Os funcionários poderão entregar itens solicitados pelos hóspedes, como camas extras, berços, televisores ou tábuas de passar roupa; relatar danos nos quartos ou objetos perdidos e achados; e auxiliar na preparação básica de quartos ou áreas comuns para reuniões ou eventos. Os funcionários devem seguir os procedimentos de segurança e higiene da empresa e executar outras tarefas de limpeza relacionadas, conforme designado. Classificação do Cargo: 37-2011.00 - Zeladores e Faxineiros, exceto Camareiras e Auxiliares de Limpeza. A classificação e descrição do cargo/setor inclui informações gerais sobre a posição, de acordo com o ONET/OES e o Sistema de Classificação Industrial da América do Norte. Consulte as Funções e a Ordem de Serviço para obter mais informações. Requisitos do Cargo Experiência Necessária: Sim Meses de Experiência Necessários: 1 Requisitos Especiais: O(A) funcionário(a) de limpeza deve ser capaz de levantar até 30 kg, ficar em pé por longos períodos, curvar-se, esticar-se, torcer-se e alcançar com o corpo, braços e pernas, conforme necessário. Número de horas por semana: 40 Horário de trabalho (início/término): 9h00 - 17h00</v>
      </c>
    </row>
    <row r="1389" ht="20.25" customHeight="1">
      <c r="A1389" s="8" t="s">
        <v>6174</v>
      </c>
      <c r="B1389" s="8" t="s">
        <v>6040</v>
      </c>
      <c r="C1389" s="8" t="s">
        <v>391</v>
      </c>
      <c r="D1389" s="8" t="s">
        <v>64</v>
      </c>
      <c r="E1389" s="9" t="s">
        <v>44</v>
      </c>
      <c r="F1389" s="9" t="s">
        <v>20</v>
      </c>
      <c r="G1389" s="9" t="s">
        <v>377</v>
      </c>
      <c r="H1389" s="8" t="s">
        <v>6041</v>
      </c>
      <c r="I1389" s="8" t="s">
        <v>6042</v>
      </c>
      <c r="J1389" s="9">
        <v>26.55</v>
      </c>
      <c r="K1389" s="9">
        <v>60.0</v>
      </c>
      <c r="L1389" s="8" t="s">
        <v>6175</v>
      </c>
      <c r="M1389" s="8" t="s">
        <v>6176</v>
      </c>
      <c r="N1389" s="7" t="str">
        <f>IFERROR(__xludf.DUMMYFUNCTION("GOOGLETRANSLATE(L1389, ""en"", ""pt"")"),"Soldador")</f>
        <v>Soldador</v>
      </c>
      <c r="O1389" s="7" t="str">
        <f>IFERROR(__xludf.DUMMYFUNCTION("IF(M1389="""","""",GOOGLETRANSLATE(M1389,""en"",""pt""))"),"Soldar componentes de tubos e chapas metálicas nas posições plana, vertical ou sobrecabeça para aplicações industriais estruturais e de tubulação, conforme definido pelas especificações do projeto, desenhos e procedimentos de soldagem. Configurar, utiliza"&amp;"r, solucionar problemas e operar corretamente o equipamento de soldagem, com experiência em processos FCAW (soldagem a arco com arame tubular), RMD (deposição de metal regulada), GTAW (soldagem a arco com gás tungstênio) e SMAW (soldagem a arco com eletro"&amp;"do revestido). Preparar, ajustar, posicionar, alinhar e fixar peças e componentes antes da montagem, utilizando réguas, esquadros combinados, paquímetros, pinos de alinhamento de flanges, guias de fixação, localizadores de centro e réguas. Fixar, segurar,"&amp;" pontear, dobrar, esmerilhar ou aparafusar componentes para ajustar corretamente a chapa e o tubo, obtendo a configuração e as posições necessárias para a soldagem. Soldar com o mínimo de defeitos, conforme definido na norma ASME B31.3. Cumprir todas as n"&amp;"ormas e diretrizes de segurança da empresa e da OSHA. Ler e interpretar plantas, desenhos e especificações para determinar o processo de soldagem e os materiais apropriados. O empregador oferecerá um mínimo de 40 horas de trabalho por semana. O trabalhado"&amp;"r trabalhará em um dos dois turnos: das 7h às 15h30 ou das 15h30 às 00h, em dias variáveis ​​da semana, de segunda a domingo, de acordo com a necessidade do cliente. Os turnos incluem 30 minutos de intervalo não remunerado. Os dias de trabalho, horários e"&amp;" turnos podem variar dependendo das condições climáticas. O empregador poderá aumentar o salário ou oferecer bônus com base na experiência, desempenho, tempo de serviço e/ou condições de mercado. Se aplicável, será pago adicional por horas extras quando e"&amp;"xigido por lei federal, estadual ou local, incluindo hora e meia após 40 horas semanais. Horas extras podem estar disponíveis a US$ 39,83 por hora. Classificação da vaga: 51-4121.00 - Soldadores, Cortadores, Soldadores de Estanho e Brasadores. A classific"&amp;"ação e descrição da vaga/setor incluem informações gerais sobre o cargo, de acordo com o ONET/OES e o Sistema de Classificação Industrial da América do Norte (NAICS). Consulte as Funções e a Ordem de Serviço para obter mais informações. Requisitos da Vaga"&amp;" Experiência Necessária: Sim Meses de Experiência Necessários: 12 Requisitos Especiais: Exame toxicológico pré-admissional obrigatório, com o custo pago pelo empregador e aplicado igualmente a todos os funcionários. Exame médico pré-admissional obrigatóri"&amp;"o, com o custo pago pelo empregador e aplicado igualmente a todos os funcionários. O candidato deve ser aprovado em um teste escrito e prático, administrado no local de trabalho do projeto no Texas, às custas do empregador. Deve ser capaz de levantar e/ou"&amp;" mover um mínimo de 23 kg. Deve estar disposto e apto a subir e trabalhar em locais altos, que podem exceder 60 metros de altura, e em espaços confinados. O candidato deve preencher uma ficha de emprego. Número de Horas por Semana: 40 Horário de Trabalho "&amp;"(Início/Término): 7h00 - 15h30")</f>
        <v>Soldar componentes de tubos e chapas metálicas nas posições plana, vertical ou sobrecabeça para aplicações industriais estruturais e de tubulação, conforme definido pelas especificações do projeto, desenhos e procedimentos de soldagem. Configurar, utilizar, solucionar problemas e operar corretamente o equipamento de soldagem, com experiência em processos FCAW (soldagem a arco com arame tubular), RMD (deposição de metal regulada), GTAW (soldagem a arco com gás tungstênio) e SMAW (soldagem a arco com eletrodo revestido). Preparar, ajustar, posicionar, alinhar e fixar peças e componentes antes da montagem, utilizando réguas, esquadros combinados, paquímetros, pinos de alinhamento de flanges, guias de fixação, localizadores de centro e réguas. Fixar, segurar, pontear, dobrar, esmerilhar ou aparafusar componentes para ajustar corretamente a chapa e o tubo, obtendo a configuração e as posições necessárias para a soldagem. Soldar com o mínimo de defeitos, conforme definido na norma ASME B31.3. Cumprir todas as normas e diretrizes de segurança da empresa e da OSHA. Ler e interpretar plantas, desenhos e especificações para determinar o processo de soldagem e os materiais apropriados. O empregador oferecerá um mínimo de 40 horas de trabalho por semana. O trabalhador trabalhará em um dos dois turnos: das 7h às 15h30 ou das 15h30 às 00h, em dias variáveis ​​da semana, de segunda a domingo, de acordo com a necessidade do cliente. Os turnos incluem 30 minutos de intervalo não remunerado. Os dias de trabalho, horários e turnos podem variar dependendo das condições climáticas. O empregador poderá aumentar o salário ou oferecer bônus com base na experiência, desempenho, tempo de serviço e/ou condições de mercado. Se aplicável, será pago adicional por horas extras quando exigido por lei federal, estadual ou local, incluindo hora e meia após 40 horas semanais. Horas extras podem estar disponíveis a US$ 39,83 por hora. Classificação da vaga: 51-4121.00 - Soldadores, Cortadores, Soldadores de Estanho e Brasadores. A classificação e descrição da vaga/setor incluem informações gerais sobre o cargo, de acordo com o ONET/OES e o Sistema de Classificação Industrial da América do Norte (NAICS). Consulte as Funções e a Ordem de Serviço para obter mais informações. Requisitos da Vaga Experiência Necessária: Sim Meses de Experiência Necessários: 12 Requisitos Especiais: Exame toxicológico pré-admissional obrigatório, com o custo pago pelo empregador e aplicado igualmente a todos os funcionários. Exame médico pré-admissional obrigatório, com o custo pago pelo empregador e aplicado igualmente a todos os funcionários. O candidato deve ser aprovado em um teste escrito e prático, administrado no local de trabalho do projeto no Texas, às custas do empregador. Deve ser capaz de levantar e/ou mover um mínimo de 23 kg. Deve estar disposto e apto a subir e trabalhar em locais altos, que podem exceder 60 metros de altura, e em espaços confinados. O candidato deve preencher uma ficha de emprego. Número de Horas por Semana: 40 Horário de Trabalho (Início/Término): 7h00 - 15h30</v>
      </c>
    </row>
    <row r="1390" ht="20.25" customHeight="1">
      <c r="A1390" s="3" t="s">
        <v>6177</v>
      </c>
      <c r="B1390" s="3" t="s">
        <v>6178</v>
      </c>
      <c r="C1390" s="3"/>
      <c r="D1390" s="3" t="s">
        <v>663</v>
      </c>
      <c r="E1390" s="4" t="s">
        <v>19</v>
      </c>
      <c r="F1390" s="4" t="s">
        <v>20</v>
      </c>
      <c r="G1390" s="4" t="s">
        <v>1829</v>
      </c>
      <c r="H1390" s="3" t="s">
        <v>6179</v>
      </c>
      <c r="I1390" s="3" t="s">
        <v>6180</v>
      </c>
      <c r="J1390" s="4">
        <v>20.6</v>
      </c>
      <c r="K1390" s="4">
        <v>8.0</v>
      </c>
      <c r="L1390" s="3" t="s">
        <v>6181</v>
      </c>
      <c r="M1390" s="3" t="s">
        <v>6182</v>
      </c>
      <c r="N1390" s="7" t="str">
        <f>IFERROR(__xludf.DUMMYFUNCTION("GOOGLETRANSLATE(L1390, ""en"", ""pt"")"),"Rachador de Pedras")</f>
        <v>Rachador de Pedras</v>
      </c>
      <c r="O1390" s="7" t="str">
        <f>IFERROR(__xludf.DUMMYFUNCTION("IF(M1390="""","""",GOOGLETRANSLATE(M1390,""en"",""pt""))"),"O candidato a Rachador de Pedras deve ter um físico robusto e demonstrar força e destreza nos braços e mãos, além de força no tronco, utilizando os músculos abdominais e lombares continuamente ao longo do tempo. Também deve ser capaz de permanecer em pé d"&amp;"urante a maior parte do expediente sem se cansar. Levantamento de peso repetitivo é necessário. A função exige a capacidade de compreender e seguir instruções verbais e escritas com precisão e integridade. Não é necessária experiência ou treinamento/educa"&amp;"ção prévia. Os funcionários trabalharão em equipes de 2 a 4 pessoas. As equipes são treinadas e supervisionadas pelo gerente de produção. O trabalho será realizado em ambiente interno. Cada equipe receberá pedras a granel, entregues por caminhão ou carreg"&amp;"adeira, e as pedras serão colocadas em sua área de trabalho. Cada equipe será responsável por processar as pedras recebidas, seguindo as seguintes etapas: • Rachar, separar ou aparar as camadas de pedra conforme necessário para atender às especificações d"&amp;"e classificação, utilizando martelos, cinzéis e barras. • Classificar as pedras por tamanho, formato e cor. As pedras processadas são empilhadas e inspecionadas pelo supervisor de controle de qualidade antes de serem colocadas em paletes pelas equipes de "&amp;"embalagem. Os funcionários devem seguir o programa de segurança estabelecido, incluindo o uso de óculos de segurança, botas com biqueira de aço, luvas de proteção e protetores auriculares. Todos os EPIs são fornecidos pelo empregador. Classificação da vag"&amp;"a: 51-9195.03 - Cortadores e Escultores de Pedra, Manufatura. A classificação e descrição da vaga/setor incluem informações gerais sobre o cargo, de acordo com o ONET/OES e o Sistema de Classificação Industrial da América do Norte (NAICS). Consulte as Fun"&amp;"ções e a Ordem de Serviço para obter mais informações. Requisitos da vaga: Experiência necessária: Não. Requisitos especiais: Treinamento no local de trabalho fornecido. Número de horas por semana: 40. Horário de trabalho (início/término): 8h às 17h.")</f>
        <v>O candidato a Rachador de Pedras deve ter um físico robusto e demonstrar força e destreza nos braços e mãos, além de força no tronco, utilizando os músculos abdominais e lombares continuamente ao longo do tempo. Também deve ser capaz de permanecer em pé durante a maior parte do expediente sem se cansar. Levantamento de peso repetitivo é necessário. A função exige a capacidade de compreender e seguir instruções verbais e escritas com precisão e integridade. Não é necessária experiência ou treinamento/educação prévia. Os funcionários trabalharão em equipes de 2 a 4 pessoas. As equipes são treinadas e supervisionadas pelo gerente de produção. O trabalho será realizado em ambiente interno. Cada equipe receberá pedras a granel, entregues por caminhão ou carregadeira, e as pedras serão colocadas em sua área de trabalho. Cada equipe será responsável por processar as pedras recebidas, seguindo as seguintes etapas: • Rachar, separar ou aparar as camadas de pedra conforme necessário para atender às especificações de classificação, utilizando martelos, cinzéis e barras. • Classificar as pedras por tamanho, formato e cor. As pedras processadas são empilhadas e inspecionadas pelo supervisor de controle de qualidade antes de serem colocadas em paletes pelas equipes de embalagem. Os funcionários devem seguir o programa de segurança estabelecido, incluindo o uso de óculos de segurança, botas com biqueira de aço, luvas de proteção e protetores auriculares. Todos os EPIs são fornecidos pelo empregador. Classificação da vaga: 51-9195.03 - Cortadores e Escultores de Pedra, Manufatura. A classificação e descrição da vaga/setor incluem informações gerais sobre o cargo, de acordo com o ONET/OES e o Sistema de Classificação Industrial da América do Norte (NAICS). Consulte as Funções e a Ordem de Serviço para obter mais informações. Requisitos da vaga: Experiência necessária: Não. Requisitos especiais: Treinamento no local de trabalho fornecido. Número de horas por semana: 40. Horário de trabalho (início/término): 8h às 17h.</v>
      </c>
    </row>
    <row r="1391" ht="20.25" customHeight="1">
      <c r="A1391" s="8" t="s">
        <v>6183</v>
      </c>
      <c r="B1391" s="8" t="s">
        <v>6178</v>
      </c>
      <c r="C1391" s="8"/>
      <c r="D1391" s="8" t="s">
        <v>663</v>
      </c>
      <c r="E1391" s="9" t="s">
        <v>19</v>
      </c>
      <c r="F1391" s="9" t="s">
        <v>20</v>
      </c>
      <c r="G1391" s="9" t="s">
        <v>3670</v>
      </c>
      <c r="H1391" s="8" t="s">
        <v>6179</v>
      </c>
      <c r="I1391" s="8" t="s">
        <v>6180</v>
      </c>
      <c r="J1391" s="9">
        <v>15.52</v>
      </c>
      <c r="K1391" s="9">
        <v>8.0</v>
      </c>
      <c r="L1391" s="8" t="s">
        <v>6184</v>
      </c>
      <c r="M1391" s="8" t="s">
        <v>6185</v>
      </c>
      <c r="N1391" s="7" t="str">
        <f>IFERROR(__xludf.DUMMYFUNCTION("GOOGLETRANSLATE(L1391, ""en"", ""pt"")"),"Empacotadores e embaladores manuais")</f>
        <v>Empacotadores e embaladores manuais</v>
      </c>
      <c r="O1391" s="7" t="str">
        <f>IFERROR(__xludf.DUMMYFUNCTION("IF(M1391="""","""",GOOGLETRANSLATE(M1391,""en"",""pt""))"),"Embaladores e empacotadores manuais: O candidato deve ter boa condição física e demonstrar força e destreza nos braços e mãos, além de força no tronco, utilizando os músculos abdominais e lombares continuamente ao longo do tempo. Também deve ser capaz de "&amp;"permanecer em pé durante a maior parte do expediente sem se cansar. É necessário levantar peso repetidamente. A função exige a capacidade de compreender e seguir instruções verbais e escritas com precisão e integridade. Não é necessário ter experiência ou"&amp;" treinamento/formação prévia. Os funcionários trabalharão em equipes de 2 a 4 pessoas. As equipes são treinadas e supervisionadas pelo gerente de produção. O trabalho será realizado em ambiente interno. Cada equipe receberá pedras a granel, entregues por "&amp;"caminhão ou carregadeira, e as depositará em sua área de trabalho. Cada equipe trabalhará para embalar as pedras que receber, seguindo os seguintes passos: Processo de Trabalho • Classificar as pedras por tamanho, formato e cor • Empilhar as pedras em pal"&amp;"etes ou caixas de acordo com as especificações do produto • Envolver as caixas ou paletes com arame ou filme plástico • Fixar as pedras e o arame com fita de polietileno ou aço, conforme as especificações • Apertar e fixar a fita utilizando lacres e alica"&amp;"tes próprios para cintas. As embalagens, paletes ou caixas finalizadas são removidas e inspecionadas pelo supervisor de controle de qualidade. Os funcionários devem seguir o programa de segurança estabelecido, incluindo o uso de óculos de segurança, botas"&amp;" com biqueira de aço, luvas de proteção e protetores auriculares. Todos os EPIs são fornecidos pelo empregador. Classificação do Cargo: 53-7064.00 - Embaladores e Acondicionadores Manuais. A classificação e descrição do cargo/setor incluem informações ger"&amp;"ais sobre a posição, de acordo com o ONET/OES e o Sistema de Classificação Industrial da América do Norte (NAICS). Consulte as Funções e a Ordem de Serviço para obter mais informações. Requisitos do Cargo Experiência Necessária: Não. Requisitos Especiais:"&amp;" Treinamento no local de trabalho fornecido. Número de horas por semana: 40 Horário de trabalho (início/término): 8h00 - 17h00")</f>
        <v>Embaladores e empacotadores manuais: O candidato deve ter boa condição física e demonstrar força e destreza nos braços e mãos, além de força no tronco, utilizando os músculos abdominais e lombares continuamente ao longo do tempo. Também deve ser capaz de permanecer em pé durante a maior parte do expediente sem se cansar. É necessário levantar peso repetidamente. A função exige a capacidade de compreender e seguir instruções verbais e escritas com precisão e integridade. Não é necessário ter experiência ou treinamento/formação prévia. Os funcionários trabalharão em equipes de 2 a 4 pessoas. As equipes são treinadas e supervisionadas pelo gerente de produção. O trabalho será realizado em ambiente interno. Cada equipe receberá pedras a granel, entregues por caminhão ou carregadeira, e as depositará em sua área de trabalho. Cada equipe trabalhará para embalar as pedras que receber, seguindo os seguintes passos: Processo de Trabalho • Classificar as pedras por tamanho, formato e cor • Empilhar as pedras em paletes ou caixas de acordo com as especificações do produto • Envolver as caixas ou paletes com arame ou filme plástico • Fixar as pedras e o arame com fita de polietileno ou aço, conforme as especificações • Apertar e fixar a fita utilizando lacres e alicates próprios para cintas. As embalagens, paletes ou caixas finalizadas são removidas e inspecionadas pelo supervisor de controle de qualidade. Os funcionários devem seguir o programa de segurança estabelecido, incluindo o uso de óculos de segurança, botas com biqueira de aço, luvas de proteção e protetores auriculares. Todos os EPIs são fornecidos pelo empregador. Classificação do Cargo: 53-7064.00 - Embaladores e Acondicionadores Manuais. A classificação e descrição do cargo/setor incluem informações gerais sobre a posição, de acordo com o ONET/OES e o Sistema de Classificação Industrial da América do Norte (NAICS). Consulte as Funções e a Ordem de Serviço para obter mais informações. Requisitos do Cargo Experiência Necessária: Não. Requisitos Especiais: Treinamento no local de trabalho fornecido. Número de horas por semana: 40 Horário de trabalho (início/término): 8h00 - 17h00</v>
      </c>
    </row>
    <row r="1392" ht="20.25" customHeight="1">
      <c r="A1392" s="3" t="s">
        <v>6186</v>
      </c>
      <c r="B1392" s="3" t="s">
        <v>6187</v>
      </c>
      <c r="C1392" s="3" t="s">
        <v>6138</v>
      </c>
      <c r="D1392" s="3" t="s">
        <v>87</v>
      </c>
      <c r="E1392" s="4" t="s">
        <v>19</v>
      </c>
      <c r="F1392" s="4" t="s">
        <v>20</v>
      </c>
      <c r="G1392" s="4" t="s">
        <v>56</v>
      </c>
      <c r="H1392" s="3" t="s">
        <v>6188</v>
      </c>
      <c r="I1392" s="3" t="s">
        <v>6189</v>
      </c>
      <c r="J1392" s="4">
        <v>18.72</v>
      </c>
      <c r="K1392" s="4">
        <v>32.0</v>
      </c>
      <c r="L1392" s="3" t="s">
        <v>6190</v>
      </c>
      <c r="M1392" s="3" t="s">
        <v>6191</v>
      </c>
      <c r="N1392" s="7" t="str">
        <f>IFERROR(__xludf.DUMMYFUNCTION("GOOGLETRANSLATE(L1392, ""en"", ""pt"")"),"Membro da Equipe de Paisagismo")</f>
        <v>Membro da Equipe de Paisagismo</v>
      </c>
      <c r="O1392" s="7" t="str">
        <f>IFERROR(__xludf.DUMMYFUNCTION("IF(M1392="""","""",GOOGLETRANSLATE(M1392,""en"",""pt""))"),"Paisagismo e manutenção de terrenos utilizando ferramentas manuais ou elétricas. Os trabalhadores geralmente executam uma variedade de tarefas, que podem incluir qualquer combinação das seguintes: colocação de grama, corte de grama, cobertura morta, poda,"&amp;" plantio, rega, fertilização, escavação, varrição de folhas, rastelagem e auxílio em reparos de sistemas de irrigação. Classificação da vaga: 37-3011.00 - Trabalhadores de Paisagismo e Manutenção de Terrenos. A classificação e descrição da vaga/setor incl"&amp;"uem informações gerais sobre o cargo, de acordo com o ONET/OES e o Sistema de Classificação Industrial da América do Norte (NAICS). Consulte as Funções e a Ordem de Serviço para obter mais informações. Requisitos da vaga: Experiência exigida: Sim. Meses d"&amp;"e experiência exigidos: 3. Requisitos especiais: Segunda a sexta-feira. Os horários de início e término podem variar. Trabalho aos sábados é opcional quando necessário. Horas extras variam. Testes aleatórios de drogas durante o emprego; testes de drogas d"&amp;"urante o emprego por justa causa; testes de drogas pós-acidente. Capacidade de levantar 23 kg. Deve ser capaz de realizar tarefas com as mãos acima da altura dos ombros. 3 meses de experiência em serviços de paisagismo são exigidos. Todos os testes de dro"&amp;"gas são realizados independentemente da cidadania ou do status imigratório do funcionário, e todos os custos são pagos pela empresa. Consulte o documento adicional em anexo para obter mais detalhes sobre a administração de nossa política de testes de drog"&amp;"as. Número de horas por semana: 40. Horário de trabalho (início/término): 7h às 16h.")</f>
        <v>Paisagismo e manutenção de terrenos utilizando ferramentas manuais ou elétricas. Os trabalhadores geralmente executam uma variedade de tarefas, que podem incluir qualquer combinação das seguintes: colocação de grama, corte de grama, cobertura morta, poda, plantio, rega, fertilização, escavação, varrição de folhas, rastelagem e auxílio em reparos de sistemas de irrigação. Classificação da vaga: 37-3011.00 - Trabalhadores de Paisagismo e Manutenção de Terrenos. A classificação e descrição da vaga/setor incluem informações gerais sobre o cargo, de acordo com o ONET/OES e o Sistema de Classificação Industrial da América do Norte (NAICS). Consulte as Funções e a Ordem de Serviço para obter mais informações. Requisitos da vaga: Experiência exigida: Sim. Meses de experiência exigidos: 3. Requisitos especiais: Segunda a sexta-feira. Os horários de início e término podem variar. Trabalho aos sábados é opcional quando necessário. Horas extras variam. Testes aleatórios de drogas durante o emprego; testes de drogas durante o emprego por justa causa; testes de drogas pós-acidente. Capacidade de levantar 23 kg. Deve ser capaz de realizar tarefas com as mãos acima da altura dos ombros. 3 meses de experiência em serviços de paisagismo são exigidos. Todos os testes de drogas são realizados independentemente da cidadania ou do status imigratório do funcionário, e todos os custos são pagos pela empresa. Consulte o documento adicional em anexo para obter mais detalhes sobre a administração de nossa política de testes de drogas. Número de horas por semana: 40. Horário de trabalho (início/término): 7h às 16h.</v>
      </c>
    </row>
    <row r="1393" ht="20.25" customHeight="1">
      <c r="A1393" s="8" t="s">
        <v>6192</v>
      </c>
      <c r="B1393" s="8" t="s">
        <v>6193</v>
      </c>
      <c r="C1393" s="8" t="s">
        <v>6024</v>
      </c>
      <c r="D1393" s="8" t="s">
        <v>71</v>
      </c>
      <c r="E1393" s="9" t="s">
        <v>44</v>
      </c>
      <c r="F1393" s="9" t="s">
        <v>20</v>
      </c>
      <c r="G1393" s="9" t="s">
        <v>118</v>
      </c>
      <c r="H1393" s="8" t="s">
        <v>6194</v>
      </c>
      <c r="I1393" s="8" t="s">
        <v>6195</v>
      </c>
      <c r="J1393" s="9">
        <v>19.02</v>
      </c>
      <c r="K1393" s="9">
        <v>25.0</v>
      </c>
      <c r="L1393" s="8" t="s">
        <v>501</v>
      </c>
      <c r="M1393" s="8" t="s">
        <v>6196</v>
      </c>
      <c r="N1393" s="7" t="str">
        <f>IFERROR(__xludf.DUMMYFUNCTION("GOOGLETRANSLATE(L1393, ""en"", ""pt"")"),"Auxiliar de Manutenção")</f>
        <v>Auxiliar de Manutenção</v>
      </c>
      <c r="O1393" s="7" t="str">
        <f>IFERROR(__xludf.DUMMYFUNCTION("IF(M1393="""","""",GOOGLETRANSLATE(M1393,""en"",""pt""))"),"Auxiliar de mecânico: Auxiliar na manutenção de equipamentos de parque de diversões: lixar e preparar manualmente; limpar e lubrificar peças; montar, inspecionar, desmontar e armazenar equipamentos de parque de diversões. Requisitos da vaga: Capacidade de"&amp;" levantar 23 kg. É necessário ter disposição para levantar peso e mobilidade física. É preciso viajar para todos os locais, com transporte fornecido pelo empregador. • Não é necessário escolaridade. • 3 meses de experiência comprovada em manutenção são ne"&amp;"cessários. • Treinamento no local de trabalho será fornecido. Classificação da vaga: 49-9098.00 - Ajudantes - Instalação, Manutenção e Reparo. A classificação e descrição da vaga/setor incluem informações gerais sobre o cargo, de acordo com o ONET/OES e o"&amp;" Sistema de Classificação Industrial da América do Norte (NAICS). Consulte as Funções e a Ordem de Serviço para obter mais informações. Requisitos da vaga: Experiência necessária: Sim. Meses de experiência necessários: 3. Requisitos especiais: Horário de "&amp;"trabalho: O horário, a escala e os dias variam bastante. Normalmente, de segunda a sexta, das 8h30 às 17h. Não há previsão de horas extras. Geralmente, de 35 a 40 horas por semana. As necessidades de trabalho (ou seja, horas, dias, horário, local e cargos"&amp;") variam. As necessidades de trabalho estão sujeitas às práticas do setor e não são garantidas por dia, semana, horário, local ou trabalhador, por exemplo, cancelamentos por chuva, breves períodos sem eventos programados, datas e horários de eventos defin"&amp;"idos em acordo com o patrocinador e sujeitos a alterações (com base em condições climáticas adversas, horário de funcionamento, dia da semana, público, tamanho do evento, calendário escolar, quantidade de equipamentos em operação, equipe, etc.) e cancelam"&amp;"entos imprevistos. Em caso de eventos simultâneos aprovados, as necessidades de trabalho podem exigir ajustes na escala de trabalho dos trabalhadores. Requisitos do trabalho: Testes aleatórios de drogas e verificação de antecedentes criminais após a contr"&amp;"atação podem ser exigidos pelo empregador, sem custo para o trabalhador. O trabalho exige que o candidato seja qualificado, autorizado, esteja pronto, disposto, apto e disponível para trabalhar durante todo o período de emprego nos locais de trabalho desi"&amp;"gnados, mesmo em condições climáticas adversas; atenda aos nossos padrões de verificação ou testes; firme e cumpra qualquer contrato de trabalho e contrato de locação de moradia; siga as regras do local de trabalho, de reclamações e de moradia. O procedim"&amp;"ento de reclamações exige que os trabalhadores relatem quaisquer ameaças ou descumprimento dos termos e condições de trabalho; e atendam aos padrões de desempenho do trabalho. Trabalho externo em todas as condições climáticas. Exige-se que o candidato obt"&amp;"enha e apresente comprovante de todas as autorizações governamentais necessárias para exercer esta função, como o visto de trabalho H-2B para trabalhadores estrangeiros. O visto de trabalho H-2B será emitido pelo consulado dos Estados Unidos no país de or"&amp;"igem, e após a emissão, o candidato será considerado contratado naquele local e data. O candidato deve cooperar e preencher o formulário de inscrição e a entrevista, sendo que todas as informações fornecidas devem ser verdadeiras e completas. Deve cumprir"&amp;" os requisitos de apresentação pessoal e o código de vestimenta. Deve estar disposto a trabalhar até 7 dias por semana. Sujeito a demissão por justa causa. Número de horas por semana: 35. Horário de trabalho (início/término): 8h30 às 17h.")</f>
        <v>Auxiliar de mecânico: Auxiliar na manutenção de equipamentos de parque de diversões: lixar e preparar manualmente; limpar e lubrificar peças; montar, inspecionar, desmontar e armazenar equipamentos de parque de diversões. Requisitos da vaga: Capacidade de levantar 23 kg. É necessário ter disposição para levantar peso e mobilidade física. É preciso viajar para todos os locais, com transporte fornecido pelo empregador. • Não é necessário escolaridade. • 3 meses de experiência comprovada em manutenção são necessários. • Treinamento no local de trabalho será fornecido. Classificação da vaga: 49-9098.00 - Ajudantes - Instalação, Manutenção e Reparo. A classificação e descrição da vaga/setor incluem informações gerais sobre o cargo, de acordo com o ONET/OES e o Sistema de Classificação Industrial da América do Norte (NAICS). Consulte as Funções e a Ordem de Serviço para obter mais informações. Requisitos da vaga: Experiência necessária: Sim. Meses de experiência necessários: 3. Requisitos especiais: Horário de trabalho: O horário, a escala e os dias variam bastante. Normalmente, de segunda a sexta, das 8h30 às 17h. Não há previsão de horas extras. Geralmente, de 35 a 40 horas por semana. As necessidades de trabalho (ou seja, horas, dias, horário, local e cargos) variam. As necessidades de trabalho estão sujeitas às práticas do setor e não são garantidas por dia, semana, horário, local ou trabalhador, por exemplo, cancelamentos por chuva, breves períodos sem eventos programados, datas e horários de eventos definidos em acordo com o patrocinador e sujeitos a alterações (com base em condições climáticas adversas, horário de funcionamento, dia da semana, público, tamanho do evento, calendário escolar, quantidade de equipamentos em operação, equipe, etc.) e cancelamentos imprevistos. Em caso de eventos simultâneos aprovados, as necessidades de trabalho podem exigir ajustes na escala de trabalho dos trabalhadores. Requisitos do trabalho: Testes aleatórios de drogas e verificação de antecedentes criminais após a contratação podem ser exigidos pelo empregador, sem custo para o trabalhador. O trabalho exige que o candidato seja qualificado, autorizado, esteja pronto, disposto, apto e disponível para trabalhar durante todo o período de emprego nos locais de trabalho designados, mesmo em condições climáticas adversas; atenda aos nossos padrões de verificação ou testes; firme e cumpra qualquer contrato de trabalho e contrato de locação de moradia; siga as regras do local de trabalho, de reclamações e de moradia. O procedimento de reclamações exige que os trabalhadores relatem quaisquer ameaças ou descumprimento dos termos e condições de trabalho; e atendam aos padrões de desempenho do trabalho. Trabalho externo em todas as condições climáticas. Exige-se que o candidato obtenha e apresente comprovante de todas as autorizações governamentais necessárias para exercer esta função, como o visto de trabalho H-2B para trabalhadores estrangeiros. O visto de trabalho H-2B será emitido pelo consulado dos Estados Unidos no país de origem, e após a emissão, o candidato será considerado contratado naquele local e data. O candidato deve cooperar e preencher o formulário de inscrição e a entrevista, sendo que todas as informações fornecidas devem ser verdadeiras e completas. Deve cumprir os requisitos de apresentação pessoal e o código de vestimenta. Deve estar disposto a trabalhar até 7 dias por semana. Sujeito a demissão por justa causa. Número de horas por semana: 35. Horário de trabalho (início/término): 8h30 às 17h.</v>
      </c>
    </row>
    <row r="1394" ht="20.25" customHeight="1">
      <c r="A1394" s="3" t="s">
        <v>6197</v>
      </c>
      <c r="B1394" s="3" t="s">
        <v>6198</v>
      </c>
      <c r="C1394" s="3" t="s">
        <v>6071</v>
      </c>
      <c r="D1394" s="3" t="s">
        <v>133</v>
      </c>
      <c r="E1394" s="4" t="s">
        <v>44</v>
      </c>
      <c r="F1394" s="4" t="s">
        <v>20</v>
      </c>
      <c r="G1394" s="4" t="s">
        <v>118</v>
      </c>
      <c r="H1394" s="3" t="s">
        <v>6199</v>
      </c>
      <c r="I1394" s="3" t="s">
        <v>6200</v>
      </c>
      <c r="J1394" s="4">
        <v>24.95</v>
      </c>
      <c r="K1394" s="4">
        <v>24.0</v>
      </c>
      <c r="L1394" s="3" t="s">
        <v>165</v>
      </c>
      <c r="M1394" s="3" t="s">
        <v>6201</v>
      </c>
      <c r="N1394" s="7" t="str">
        <f>IFERROR(__xludf.DUMMYFUNCTION("GOOGLETRANSLATE(L1394, ""en"", ""pt"")"),"Trabalhador de remoção de neve")</f>
        <v>Trabalhador de remoção de neve</v>
      </c>
      <c r="O1394" s="7" t="str">
        <f>IFERROR(__xludf.DUMMYFUNCTION("IF(M1394="""","""",GOOGLETRANSLATE(M1394,""en"",""pt""))"),"**Resposta à Solicitação de Informações (RFI)** O funcionário removerá a neve com pás e arados de calçadas, entradas de garagem ou estacionamentos. Espalhará sal nas áreas limpas para garantir o derretimento do gelo. O funcionário usará pás e vassouras de"&amp;" neve para empurrar e remover a neve das áreas de circulação de pedestres e veículos. Operará minicarregadeiras, como a Bobcat 5630, com acessórios como arados e empurradores para remover a neve. Usará sopradores de neve, como o soprador de neve Honda de "&amp;"13 HP e 32 polegadas com esteiras e dois estágios ou o soprador de neve Ariens 200. Operará caminhonetes com implemento de arado de neve. Essas funções se enquadram no código ONET para trabalhadores de paisagismo e manutenção de áreas verdes, 37-3011.00, "&amp;"com as tarefas de ""Operar veículos ou equipamentos motorizados, como... sopradores de neve"" e ""Remover neve de calçadas, entradas de garagem ou estacionamentos e espalhar sal nessas áreas"". **Resposta Original** Remover a neve de calçadas, entradas de"&amp;" garagem ou estacionamentos com pá e arado e espalhar sal nessas áreas. Utilizar ferramentas manuais como pás e vassouras. Operar veículos ou equipamentos motorizados, como uma minicarregadeira. Classificação da Função: 47-4051.00 - Trabalhadores de Manut"&amp;"enção de Rodovias. A classificação e descrição da função/setor inclui informações gerais sobre o cargo, de acordo com o ONET/OES e o Sistema de Classificação Industrial da América do Norte. Consulte as Funções e a Ordem de Serviço para obter mais informaç"&amp;"ões. Requisitos da Função Experiência Necessária: Não. Requisitos Especiais: DEVE SER CAPAZ DE LEVANTAR E CARREGAR 23 KG. APROXIMADAMENTE 40 HORAS SEMANAIS, DE SEGUNDA A DOMINGO, DEPENDENDO DAS CONDIÇÕES CLIMÁTICAS, COM DOIS DIAS DE FOLGA. O TURNO VARIA D"&amp;"E ACORDO COM AS CONDIÇÕES CLIMÁTICAS. Número de Horas por Semana: 40. Horário de Trabalho (Início/Término): 8h00. - 17h00")</f>
        <v>**Resposta à Solicitação de Informações (RFI)** O funcionário removerá a neve com pás e arados de calçadas, entradas de garagem ou estacionamentos. Espalhará sal nas áreas limpas para garantir o derretimento do gelo. O funcionário usará pás e vassouras de neve para empurrar e remover a neve das áreas de circulação de pedestres e veículos. Operará minicarregadeiras, como a Bobcat 5630, com acessórios como arados e empurradores para remover a neve. Usará sopradores de neve, como o soprador de neve Honda de 13 HP e 32 polegadas com esteiras e dois estágios ou o soprador de neve Ariens 200. Operará caminhonetes com implemento de arado de neve. Essas funções se enquadram no código ONET para trabalhadores de paisagismo e manutenção de áreas verdes, 37-3011.00, com as tarefas de "Operar veículos ou equipamentos motorizados, como... sopradores de neve" e "Remover neve de calçadas, entradas de garagem ou estacionamentos e espalhar sal nessas áreas". **Resposta Original** Remover a neve de calçadas, entradas de garagem ou estacionamentos com pá e arado e espalhar sal nessas áreas. Utilizar ferramentas manuais como pás e vassouras. Operar veículos ou equipamentos motorizados, como uma minicarregadeira. Classificação da Função: 47-4051.00 - Trabalhadores de Manutenção de Rodovias. A classificação e descrição da função/setor inclui informações gerais sobre o cargo, de acordo com o ONET/OES e o Sistema de Classificação Industrial da América do Norte. Consulte as Funções e a Ordem de Serviço para obter mais informações. Requisitos da Função Experiência Necessária: Não. Requisitos Especiais: DEVE SER CAPAZ DE LEVANTAR E CARREGAR 23 KG. APROXIMADAMENTE 40 HORAS SEMANAIS, DE SEGUNDA A DOMINGO, DEPENDENDO DAS CONDIÇÕES CLIMÁTICAS, COM DOIS DIAS DE FOLGA. O TURNO VARIA DE ACORDO COM AS CONDIÇÕES CLIMÁTICAS. Número de Horas por Semana: 40. Horário de Trabalho (Início/Término): 8h00. - 17h00</v>
      </c>
    </row>
    <row r="1395" ht="20.25" customHeight="1">
      <c r="A1395" s="8" t="s">
        <v>6202</v>
      </c>
      <c r="B1395" s="8" t="s">
        <v>6203</v>
      </c>
      <c r="C1395" s="8" t="s">
        <v>6071</v>
      </c>
      <c r="D1395" s="8" t="s">
        <v>133</v>
      </c>
      <c r="E1395" s="9" t="s">
        <v>19</v>
      </c>
      <c r="F1395" s="9" t="s">
        <v>20</v>
      </c>
      <c r="G1395" s="9" t="s">
        <v>65</v>
      </c>
      <c r="H1395" s="8" t="s">
        <v>6199</v>
      </c>
      <c r="I1395" s="8" t="s">
        <v>6204</v>
      </c>
      <c r="J1395" s="9">
        <v>20.23</v>
      </c>
      <c r="K1395" s="9">
        <v>10.0</v>
      </c>
      <c r="L1395" s="8" t="s">
        <v>1720</v>
      </c>
      <c r="M1395" s="8" t="s">
        <v>6205</v>
      </c>
      <c r="N1395" s="7" t="str">
        <f>IFERROR(__xludf.DUMMYFUNCTION("GOOGLETRANSLATE(L1395, ""en"", ""pt"")"),"Ajudantes de Carpinteiro")</f>
        <v>Ajudantes de Carpinteiro</v>
      </c>
      <c r="O1395" s="7" t="str">
        <f>IFERROR(__xludf.DUMMYFUNCTION("IF(M1395="""","""",GOOGLETRANSLATE(M1395,""en"",""pt""))"),"Auxiliar carpinteiros executando tarefas que exigem menos habilidade. Carregar ferramentas e madeira. Fazer cortes simples em madeira. Pregar peças de madeira simples. Construir formas de madeira, garantindo que estejam alinhadas, retas, aprumadas ou esqu"&amp;"adrejadas para instalação. Auxiliar na elevação das formas de madeira até a altura necessária. Posicionar as formas de madeira. Fixar estacas às grelhas para a construção de fundações, pregar reforços nas formas das fundações, colocar concreto nas formas "&amp;"e vibrar e alisar o concreto. Classificação da Função: 47-3012.00 - Ajudantes de Carpinteiro. A classificação e descrição da função/setor inclui informações gerais sobre o cargo, de acordo com o ONET/OES e o Sistema de Classificação Industrial da América "&amp;"do Norte. Consulte as Funções e a Ordem de Serviço para obter mais informações. Requisitos da Função: Experiência Necessária: Não. Requisitos Especiais: DEVE SER CAPAZ DE LEVANTAR E CARREGAR 36 KG POR 18 METROS. APROXIMADAMENTE 40 HORAS/SEMANA, DE SEGUNDA"&amp;" A SEXTA-FEIRA, COM TRABALHO AOS SÁBADOS CONFORME NECESSÁRIO. REQUISITO DE IDADE: 18 ANOS OU MAIS. Número de horas por semana: 40. Horário de trabalho (início/término): 7h às 15h.")</f>
        <v>Auxiliar carpinteiros executando tarefas que exigem menos habilidade. Carregar ferramentas e madeira. Fazer cortes simples em madeira. Pregar peças de madeira simples. Construir formas de madeira, garantindo que estejam alinhadas, retas, aprumadas ou esquadrejadas para instalação. Auxiliar na elevação das formas de madeira até a altura necessária. Posicionar as formas de madeira. Fixar estacas às grelhas para a construção de fundações, pregar reforços nas formas das fundações, colocar concreto nas formas e vibrar e alisar o concreto. Classificação da Função: 47-3012.00 - Ajudantes de Carpinteiro. A classificação e descrição da função/setor inclui informações gerais sobre o cargo, de acordo com o ONET/OES e o Sistema de Classificação Industrial da América do Norte. Consulte as Funções e a Ordem de Serviço para obter mais informações. Requisitos da Função: Experiência Necessária: Não. Requisitos Especiais: DEVE SER CAPAZ DE LEVANTAR E CARREGAR 36 KG POR 18 METROS. APROXIMADAMENTE 40 HORAS/SEMANA, DE SEGUNDA A SEXTA-FEIRA, COM TRABALHO AOS SÁBADOS CONFORME NECESSÁRIO. REQUISITO DE IDADE: 18 ANOS OU MAIS. Número de horas por semana: 40. Horário de trabalho (início/término): 7h às 15h.</v>
      </c>
    </row>
    <row r="1396" ht="20.25" customHeight="1">
      <c r="A1396" s="3" t="s">
        <v>6206</v>
      </c>
      <c r="B1396" s="3" t="s">
        <v>6203</v>
      </c>
      <c r="C1396" s="3" t="s">
        <v>6071</v>
      </c>
      <c r="D1396" s="3" t="s">
        <v>133</v>
      </c>
      <c r="E1396" s="4" t="s">
        <v>19</v>
      </c>
      <c r="F1396" s="4" t="s">
        <v>20</v>
      </c>
      <c r="G1396" s="4" t="s">
        <v>65</v>
      </c>
      <c r="H1396" s="3" t="s">
        <v>6199</v>
      </c>
      <c r="I1396" s="3" t="s">
        <v>6204</v>
      </c>
      <c r="J1396" s="4">
        <v>32.57</v>
      </c>
      <c r="K1396" s="4">
        <v>10.0</v>
      </c>
      <c r="L1396" s="3" t="s">
        <v>262</v>
      </c>
      <c r="M1396" s="3" t="s">
        <v>6207</v>
      </c>
      <c r="N1396" s="7" t="str">
        <f>IFERROR(__xludf.DUMMYFUNCTION("GOOGLETRANSLATE(L1396, ""en"", ""pt"")"),"Operário da construção civil")</f>
        <v>Operário da construção civil</v>
      </c>
      <c r="O1396" s="7" t="str">
        <f>IFERROR(__xludf.DUMMYFUNCTION("IF(M1396="""","""",GOOGLETRANSLATE(M1396,""en"",""pt""))"),"Operar bombas, compressores ou geradores para fornecer energia a ferramentas, máquinas ou equipamentos, ou para aquecer ou movimentar materiais, como asfalto. Lubrificar, limpar ou reparar máquinas, equipamentos ou ferramentas. Medir o local onde a obra s"&amp;"erá realizada. Limpar ou preparar os canteiros de obras para eliminar possíveis riscos. Cavar valas ou trincheiras, aterrar escavações ou compactar e nivelar o solo de acordo com as especificações, utilizando picaretas, pás, compactadores pneumáticos ou r"&amp;"astelos. Carregar, descarregar ou identificar materiais de construção, máquinas ou ferramentas, distribuindo-os para os locais apropriados, de acordo com os planos ou especificações do projeto. Posicionar, unir, alinhar ou selar componentes estruturais, c"&amp;"omo seções de paredes de concreto ou tubulações. Controlar o tráfego que passa perto, dentro ou ao redor das áreas de trabalho. Auxiliar no alisamento ou acabamento de cimento ou concreto recém-lançado, utilizando desempenadeiras, colheres de pedreiro, ré"&amp;"guas de nivelamento ou ferramentas elétricas para acabamento de cimento. Montar ou desmontar andaimes, escoras, suportes, barricadas de tráfego, rampas ou outras estruturas temporárias. Prestar auxílio a trabalhadores especializados, como carpinteiros, ge"&amp;"sseiros ou pedreiros. Aplicar tintas, soluções de limpeza ou outros compostos sobre superfícies, seja para limpá-las ou protegê-las, com esfregão, escova ou espalhando-os. Posicionar ou desmontar fôrmas para concretagem, utilizando serras, martelos, prego"&amp;"s ou parafusos. Lixar, raspar, polir superfícies, como concreto, mármore, terrazzo ou pisos de madeira, utilizando ferramentas ou máquinas abrasivas. Colocar, consolidar ou proteger estruturas de concreto moldado in loco ou alvenaria. Misturar, despejar o"&amp;"u espalhar concreto, utilizando betoneiras portáteis. Operar marteletes pneumáticos ou furadeiras para quebrar concreto ou pavimento. Aplicar selantes manualmente ou com pistolas de calafetagem para proteger contra a entrada de água ou ar. Classificação d"&amp;"a função: 47-2051.00 - Pedreiros e Acabadores de Concreto. A classificação e descrição da função/setor incluem informações gerais sobre o cargo, conforme o ONET/OES e o Sistema de Classificação Industrial da América do Norte (NAICS). Consulte as Funções e"&amp;" a Ordem de Serviço para obter mais informações. Requisitos da vaga Experiência necessária: Não. Requisitos especiais: É necessário ser capaz de levantar e carregar 36 kg por 18 metros. Aproximadamente 40 horas por semana, de segunda a sexta-feira, com tr"&amp;"abalho aos sábados conforme necessário. Idade: 18 anos ou mais. Número de horas por semana: 40. Horário de trabalho (início/término): 7h às 15h.")</f>
        <v>Operar bombas, compressores ou geradores para fornecer energia a ferramentas, máquinas ou equipamentos, ou para aquecer ou movimentar materiais, como asfalto. Lubrificar, limpar ou reparar máquinas, equipamentos ou ferramentas. Medir o local onde a obra será realizada. Limpar ou preparar os canteiros de obras para eliminar possíveis riscos. Cavar valas ou trincheiras, aterrar escavações ou compactar e nivelar o solo de acordo com as especificações, utilizando picaretas, pás, compactadores pneumáticos ou rastelos. Carregar, descarregar ou identificar materiais de construção, máquinas ou ferramentas, distribuindo-os para os locais apropriados, de acordo com os planos ou especificações do projeto. Posicionar, unir, alinhar ou selar componentes estruturais, como seções de paredes de concreto ou tubulações. Controlar o tráfego que passa perto, dentro ou ao redor das áreas de trabalho. Auxiliar no alisamento ou acabamento de cimento ou concreto recém-lançado, utilizando desempenadeiras, colheres de pedreiro, réguas de nivelamento ou ferramentas elétricas para acabamento de cimento. Montar ou desmontar andaimes, escoras, suportes, barricadas de tráfego, rampas ou outras estruturas temporárias. Prestar auxílio a trabalhadores especializados, como carpinteiros, gesseiros ou pedreiros. Aplicar tintas, soluções de limpeza ou outros compostos sobre superfícies, seja para limpá-las ou protegê-las, com esfregão, escova ou espalhando-os. Posicionar ou desmontar fôrmas para concretagem, utilizando serras, martelos, pregos ou parafusos. Lixar, raspar, polir superfícies, como concreto, mármore, terrazzo ou pisos de madeira, utilizando ferramentas ou máquinas abrasivas. Colocar, consolidar ou proteger estruturas de concreto moldado in loco ou alvenaria. Misturar, despejar ou espalhar concreto, utilizando betoneiras portáteis. Operar marteletes pneumáticos ou furadeiras para quebrar concreto ou pavimento. Aplicar selantes manualmente ou com pistolas de calafetagem para proteger contra a entrada de água ou ar. Classificação da função: 47-2051.00 - Pedreiros e Acabadores de Concreto. A classificação e descrição da função/setor incluem informações gerais sobre o cargo, conforme o ONET/OES e o Sistema de Classificação Industrial da América do Norte (NAICS). Consulte as Funções e a Ordem de Serviço para obter mais informações. Requisitos da vaga Experiência necessária: Não. Requisitos especiais: É necessário ser capaz de levantar e carregar 36 kg por 18 metros. Aproximadamente 40 horas por semana, de segunda a sexta-feira, com trabalho aos sábados conforme necessário. Idade: 18 anos ou mais. Número de horas por semana: 40. Horário de trabalho (início/término): 7h às 15h.</v>
      </c>
    </row>
    <row r="1397" ht="20.25" customHeight="1">
      <c r="A1397" s="8" t="s">
        <v>6208</v>
      </c>
      <c r="B1397" s="8" t="s">
        <v>6209</v>
      </c>
      <c r="C1397" s="8" t="s">
        <v>5852</v>
      </c>
      <c r="D1397" s="8" t="s">
        <v>64</v>
      </c>
      <c r="E1397" s="9" t="s">
        <v>19</v>
      </c>
      <c r="F1397" s="9" t="s">
        <v>20</v>
      </c>
      <c r="G1397" s="9" t="s">
        <v>80</v>
      </c>
      <c r="H1397" s="8" t="s">
        <v>6210</v>
      </c>
      <c r="I1397" s="8" t="s">
        <v>6211</v>
      </c>
      <c r="J1397" s="9">
        <v>13.13</v>
      </c>
      <c r="K1397" s="9">
        <v>8.0</v>
      </c>
      <c r="L1397" s="8" t="s">
        <v>354</v>
      </c>
      <c r="M1397" s="8" t="s">
        <v>6212</v>
      </c>
      <c r="N1397" s="7" t="str">
        <f>IFERROR(__xludf.DUMMYFUNCTION("GOOGLETRANSLATE(L1397, ""en"", ""pt"")"),"Governanta")</f>
        <v>Governanta</v>
      </c>
      <c r="O1397" s="7" t="str">
        <f>IFERROR(__xludf.DUMMYFUNCTION("IF(M1397="""","""",GOOGLETRANSLATE(M1397,""en"",""pt""))"),"Limpar quartos, remover lençóis e toalhas sujas e o lixo. Fazer a cama com lençóis e cobertores limpos, tirar o pó, limpar os móveis e remover detritos. Aspirar, varrer e passar pano em toda a área do piso. Limpar banheiros, incluindo vaso sanitário, pia,"&amp;" chuveiro, bancada e pisos. Reabastecer o depósito e os carrinhos com toalhas, itens de higiene, sacos de lixo e materiais de apoio. Classificação da vaga: 37-2012.00 - Camareiras e Auxiliares de Limpeza. A classificação e descrição da vaga/setor inclui i"&amp;"nformações gerais sobre o cargo, de acordo com o ONET/OES e o Sistema de Classificação Industrial da América do Norte. Consulte as Funções e a Ordem de Serviço para obter mais informações. Requisitos da vaga: Experiência necessária: Não. Requisitos especi"&amp;"ais: Capacidade de levantar 11 kg, de segunda a domingo, escala rotativa, média de 40 horas semanais, horário variável, horas extras variáveis. Número de horas por semana: 40. Horário de trabalho (início/término): 9h às 16h.")</f>
        <v>Limpar quartos, remover lençóis e toalhas sujas e o lixo. Fazer a cama com lençóis e cobertores limpos, tirar o pó, limpar os móveis e remover detritos. Aspirar, varrer e passar pano em toda a área do piso. Limpar banheiros, incluindo vaso sanitário, pia, chuveiro, bancada e pisos. Reabastecer o depósito e os carrinhos com toalhas, itens de higiene, sacos de lixo e materiais de apoio. Classificação da vaga: 37-2012.00 - Camareiras e Auxiliares de Limpeza. A classificação e descrição da vaga/setor inclui informações gerais sobre o cargo, de acordo com o ONET/OES e o Sistema de Classificação Industrial da América do Norte. Consulte as Funções e a Ordem de Serviço para obter mais informações. Requisitos da vaga: Experiência necessária: Não. Requisitos especiais: Capacidade de levantar 11 kg, de segunda a domingo, escala rotativa, média de 40 horas semanais, horário variável, horas extras variáveis. Número de horas por semana: 40. Horário de trabalho (início/término): 9h às 16h.</v>
      </c>
    </row>
    <row r="1398" ht="20.25" customHeight="1">
      <c r="A1398" s="3" t="s">
        <v>6213</v>
      </c>
      <c r="B1398" s="3" t="s">
        <v>6214</v>
      </c>
      <c r="C1398" s="3" t="s">
        <v>5625</v>
      </c>
      <c r="D1398" s="3" t="s">
        <v>663</v>
      </c>
      <c r="E1398" s="4" t="s">
        <v>44</v>
      </c>
      <c r="F1398" s="4" t="s">
        <v>20</v>
      </c>
      <c r="G1398" s="4" t="s">
        <v>345</v>
      </c>
      <c r="H1398" s="3" t="s">
        <v>6215</v>
      </c>
      <c r="I1398" s="3" t="s">
        <v>6216</v>
      </c>
      <c r="J1398" s="4">
        <v>27.13</v>
      </c>
      <c r="K1398" s="4">
        <v>2.0</v>
      </c>
      <c r="L1398" s="3" t="s">
        <v>6217</v>
      </c>
      <c r="M1398" s="3" t="s">
        <v>6218</v>
      </c>
      <c r="N1398" s="7" t="str">
        <f>IFERROR(__xludf.DUMMYFUNCTION("GOOGLETRANSLATE(L1398, ""en"", ""pt"")"),"Treinador assistente da Fis")</f>
        <v>Treinador assistente da Fis</v>
      </c>
      <c r="O1398" s="7" t="str">
        <f>IFERROR(__xludf.DUMMYFUNCTION("IF(M1398="""","""",GOOGLETRANSLATE(M1398,""en"",""pt""))"),"A Sun Valley Ski Education Foundation (SVSEF), um programa de competição e treinamento para esportes de inverno (esqui alpino, freeride, esqui cross-country, snowboard, etc.), localizada em Ketchum, Idaho, busca treinadores assistentes FIS em tempo integr"&amp;"al e para a temporada, para treinar os atletas FIS da SVSEF durante a temporada de esqui (que termina no final de abril). O treinador assistente FIS auxiliará o treinador principal FIS no treinamento dos atletas durante a temporada de esqui, incluindo o t"&amp;"ransporte dos atletas para as competições. As responsabilidades detalhadas incluem: Responsabilidades Gerais: • Auxiliar o(s) treinador(es) principal(is) na implementação bem-sucedida do plano da equipe em todas as áreas. • Ensinar a arte do esqui e das c"&amp;"ompetições de esqui com métodos de ensino apropriados para cada faixa etária. • Tratar com respeito todos os atletas, pais, treinadores e funcionários da SVSEF. • Ser profissional, pontual e estar bem preparado para cada dia. • Ser inovador e tomar a inic"&amp;"iativa quando necessário – não esperar ou precisar ser solicitado. • Ser responsável e cuidar de todos os equipamentos da equipe. • Participa das reuniões semanais de planejamento da equipe e dos treinadores. • Trabalha para garantir que todas as regras e"&amp;" filosofias da equipe sejam seguidas. • Apresenta uma imagem profissional e positiva da equipe ao interagir com a comunidade, dentro e fora do trabalho. • Executa outras tarefas relacionadas, conforme necessário. Responsabilidades específicas: • Responsáv"&amp;"el por auxiliar na gestão, orientação e mentoria dos atletas da SVSEF FIS. • Ser consistente na comunicação das expectativas dos atletas da equipe SVSEF FIS em relação à frequência, ética de trabalho e espírito esportivo. • Auxiliar o(s) treinador(es) pri"&amp;"ncipal(is) da FIS com intenções, inscrições e planejamento de competições, conforme necessário. • Trabalhar com a Região Oeste para manter um relacionamento sólido entre a região e a SVSEF. • Auxiliar os treinadores principais com as avaliações dos atleta"&amp;"s no meio e no final da temporada, conforme definido pela SVSEF. • Trabalhar em estreita colaboração e em coordenação com a equipe técnica da SVSEF FIS ao longo da temporada. Levar problemas e dúvidas à liderança o mais rápido possível para que sejam reso"&amp;"lvidos e para evitar mal-entendidos ou falhas de comunicação. • Auxiliar nas corridas realizadas no Sun Valley Resort. • Auxiliar atletas/pais na seleção, ajuste de tamanho e aquisição de equipamentos. • Realizar e revisar vídeos. • Publicar vídeos no Spr"&amp;"ongo. • Cuidar dos equipamentos da equipe e notificar o treinador principal caso seja necessária manutenção/substituição. • Supervisionar a sala de enceramento e auxiliar os atletas em viagens. • Responsável por cuidar dos atletas em viagens, incluindo, e"&amp;"ntre outros, corrigir decisões ruins, levá-los aos quartos no momento apropriado, seguir instruções, garantir segurança e respeito, etc. • Verificar os quartos durante as viagens. • Cuidar das vans e outros veículos e reboques da empresa durante as viagen"&amp;"s. • Garantir uma gestão profissional e eficiente dos atletas e das provas durante as viagens, assegurando que os atletas da SVSEF tenham tudo o que precisam para um bom desempenho. • Interagir regularmente com os atletas, verificando seu bem-estar, objet"&amp;"ivos, etc. Parte disso é feito formalmente e a maioria informalmente quando a oportunidade surgir. • Os treinadores da FIS podem ter responsabilidades adicionais devido às necessidades da equipe e habilidades/interesses pessoais, conforme instruções do tr"&amp;"einador principal. • Os treinadores da FIS devem trabalhar em estreita coordenação uns com os outros como equipe técnica, garantindo que todas as necessidades da equipe sejam atendidas. Classificação da vaga: 27-2022.00 - Treinadores e Observadores. A cla"&amp;"ssificação e descrição da vaga/setor inclui informações gerais sobre o cargo, de acordo com o ONET/OES e o Sistema de Classificação Industrial da América do Norte. Consulte as Funções e a Ordem de Serviço para obter mais informações. Requisitos da vaga: E"&amp;"xperiência necessária: Sim. Meses de experiência necessários: 24. Requisitos especiais: É necessário possuir certificação USSS Nível 200 ou equivalente. Experiência em treinamento de atletas de nível FIS. O candidato deve passar por verificação de anteced"&amp;"entes pré-emprego e fornecer pelo menos duas referências de experiência profissional anterior. Capacidade de se comunicar em inglês. Capacidade de levantar até 23 kg. Carteira de habilitação válida e sem histórico de infrações de trânsito. Número de horas"&amp;" por semana: 38. Horário de trabalho (início/término): 10h às 17h.")</f>
        <v>A Sun Valley Ski Education Foundation (SVSEF), um programa de competição e treinamento para esportes de inverno (esqui alpino, freeride, esqui cross-country, snowboard, etc.), localizada em Ketchum, Idaho, busca treinadores assistentes FIS em tempo integral e para a temporada, para treinar os atletas FIS da SVSEF durante a temporada de esqui (que termina no final de abril). O treinador assistente FIS auxiliará o treinador principal FIS no treinamento dos atletas durante a temporada de esqui, incluindo o transporte dos atletas para as competições. As responsabilidades detalhadas incluem: Responsabilidades Gerais: • Auxiliar o(s) treinador(es) principal(is) na implementação bem-sucedida do plano da equipe em todas as áreas. • Ensinar a arte do esqui e das competições de esqui com métodos de ensino apropriados para cada faixa etária. • Tratar com respeito todos os atletas, pais, treinadores e funcionários da SVSEF. • Ser profissional, pontual e estar bem preparado para cada dia. • Ser inovador e tomar a iniciativa quando necessário – não esperar ou precisar ser solicitado. • Ser responsável e cuidar de todos os equipamentos da equipe. • Participa das reuniões semanais de planejamento da equipe e dos treinadores. • Trabalha para garantir que todas as regras e filosofias da equipe sejam seguidas. • Apresenta uma imagem profissional e positiva da equipe ao interagir com a comunidade, dentro e fora do trabalho. • Executa outras tarefas relacionadas, conforme necessário. Responsabilidades específicas: • Responsável por auxiliar na gestão, orientação e mentoria dos atletas da SVSEF FIS. • Ser consistente na comunicação das expectativas dos atletas da equipe SVSEF FIS em relação à frequência, ética de trabalho e espírito esportivo. • Auxiliar o(s) treinador(es) principal(is) da FIS com intenções, inscrições e planejamento de competições, conforme necessário. • Trabalhar com a Região Oeste para manter um relacionamento sólido entre a região e a SVSEF. • Auxiliar os treinadores principais com as avaliações dos atletas no meio e no final da temporada, conforme definido pela SVSEF. • Trabalhar em estreita colaboração e em coordenação com a equipe técnica da SVSEF FIS ao longo da temporada. Levar problemas e dúvidas à liderança o mais rápido possível para que sejam resolvidos e para evitar mal-entendidos ou falhas de comunicação. • Auxiliar nas corridas realizadas no Sun Valley Resort. • Auxiliar atletas/pais na seleção, ajuste de tamanho e aquisição de equipamentos. • Realizar e revisar vídeos. • Publicar vídeos no Sprongo. • Cuidar dos equipamentos da equipe e notificar o treinador principal caso seja necessária manutenção/substituição. • Supervisionar a sala de enceramento e auxiliar os atletas em viagens. • Responsável por cuidar dos atletas em viagens, incluindo, entre outros, corrigir decisões ruins, levá-los aos quartos no momento apropriado, seguir instruções, garantir segurança e respeito, etc. • Verificar os quartos durante as viagens. • Cuidar das vans e outros veículos e reboques da empresa durante as viagens. • Garantir uma gestão profissional e eficiente dos atletas e das provas durante as viagens, assegurando que os atletas da SVSEF tenham tudo o que precisam para um bom desempenho. • Interagir regularmente com os atletas, verificando seu bem-estar, objetivos, etc. Parte disso é feito formalmente e a maioria informalmente quando a oportunidade surgir. • Os treinadores da FIS podem ter responsabilidades adicionais devido às necessidades da equipe e habilidades/interesses pessoais, conforme instruções do treinador principal. • Os treinadores da FIS devem trabalhar em estreita coordenação uns com os outros como equipe técnica, garantindo que todas as necessidades da equipe sejam atendidas. Classificação da vaga: 27-2022.00 - Treinadores e Observadores. A classificação e descrição da vaga/setor inclui informações gerais sobre o cargo, de acordo com o ONET/OES e o Sistema de Classificação Industrial da América do Norte. Consulte as Funções e a Ordem de Serviço para obter mais informações. Requisitos da vaga: Experiência necessária: Sim. Meses de experiência necessários: 24. Requisitos especiais: É necessário possuir certificação USSS Nível 200 ou equivalente. Experiência em treinamento de atletas de nível FIS. O candidato deve passar por verificação de antecedentes pré-emprego e fornecer pelo menos duas referências de experiência profissional anterior. Capacidade de se comunicar em inglês. Capacidade de levantar até 23 kg. Carteira de habilitação válida e sem histórico de infrações de trânsito. Número de horas por semana: 38. Horário de trabalho (início/término): 10h às 17h.</v>
      </c>
    </row>
    <row r="1399" ht="20.25" customHeight="1">
      <c r="A1399" s="8" t="s">
        <v>6219</v>
      </c>
      <c r="B1399" s="8" t="s">
        <v>6220</v>
      </c>
      <c r="C1399" s="8" t="s">
        <v>5990</v>
      </c>
      <c r="D1399" s="8" t="s">
        <v>64</v>
      </c>
      <c r="E1399" s="9" t="s">
        <v>44</v>
      </c>
      <c r="F1399" s="9" t="s">
        <v>20</v>
      </c>
      <c r="G1399" s="9" t="s">
        <v>1441</v>
      </c>
      <c r="H1399" s="8" t="s">
        <v>6066</v>
      </c>
      <c r="I1399" s="8" t="s">
        <v>6067</v>
      </c>
      <c r="J1399" s="9">
        <v>15.23</v>
      </c>
      <c r="K1399" s="9">
        <v>14.0</v>
      </c>
      <c r="L1399" s="8" t="s">
        <v>354</v>
      </c>
      <c r="M1399" s="8" t="s">
        <v>6221</v>
      </c>
      <c r="N1399" s="7" t="str">
        <f>IFERROR(__xludf.DUMMYFUNCTION("GOOGLETRANSLATE(L1399, ""en"", ""pt"")"),"Governanta")</f>
        <v>Governanta</v>
      </c>
      <c r="O1399" s="7" t="str">
        <f>IFERROR(__xludf.DUMMYFUNCTION("IF(M1399="""","""",GOOGLETRANSLATE(M1399,""en"",""pt""))"),"A Van Horn Lodging LLC, operando sob o nome fantasia de Hampton Inn Vanhorn, localizada em 1921 SW Frontage Rd, Van Horn, TX 79855; Telefone: 575 937-3411, está buscando preencher 14 vagas de camareira(o) para o período de 1º de outubro de 2026 a 15 de ja"&amp;"neiro de 2027. Trata-se de um contrato temporário em tempo integral para períodos de alta demanda. As funções incluem: sob a supervisão do gerente geral, as camareiras(os) realizarão diversas tarefas de limpeza e manutenção para garantir que os quartos e "&amp;"áreas comuns atendam aos padrões de saúde e higiene estabelecidos para a hospedagem. As responsabilidades incluem manter as áreas de armazenamento e os carrinhos de limpeza bem abastecidos, limpos e organizados; transportar roupas de cama, toalhas, artigo"&amp;"s de higiene pessoal e produtos de limpeza utilizando carrinhos com rodas; e limpeza de quartos, banheiros, corredores, saguões, salas de estar, lavabos, elevadores, escadas e vestiários, utilizando vassouras, esfregões, espanadores, panos de microfibra, "&amp;"soluções desinfetantes, aspiradores de pó e lavadoras de piso elétricas. Os funcionários esvaziarão as lixeiras e transportarão o lixo para as áreas de descarte; varrerão, esfregarão, encerarão ou polirão pisos; limparão e lavarão tapetes e carpetes; lava"&amp;"rão janelas, paredes, tetos e acabamentos em madeira; tirarão o pó e polirão móveis, acessórios e equipamentos; e trocarão lâmpadas. As tarefas relacionadas à lavanderia incluem separar, carregar e descarregar roupas de cama e toalhas usando lavadoras e s"&amp;"ecadoras industriais; dobrar e organizar roupas limpas; e abastecer os armários de roupa de cama. Os funcionários farão as camas, moverão e organizarão móveis leves, virarão os colchões e pendurarão cortinas ou limparão persianas. Os funcionários podem en"&amp;"tregar itens solicitados pelos hóspedes, como camas extras, berços, televisores ou tábuas de passar roupa; relatar danos nos quartos ou itens perdidos e achados; Auxiliar na preparação básica de salas ou áreas comuns para reuniões ou eventos. Os funcionár"&amp;"ios devem seguir os procedimentos de segurança e higiene da empresa e executar outras tarefas de limpeza relacionadas, conforme designado. Classificação do Cargo: 37-2011.00 - Zeladores e Faxineiros, exceto Camareiras e Auxiliares de Limpeza. A classifica"&amp;"ção e descrição do cargo/setor inclui informações gerais sobre a posição, de acordo com o ONET/OES e o Sistema de Classificação Industrial da América do Norte. Consulte as Funções e a Ordem de Serviço para obter mais informações. Requisitos do Cargo Exper"&amp;"iência Necessária: Sim Meses de Experiência Necessários: 1 Requisitos Especiais: O(A) funcionário(a) de limpeza deve ser capaz de levantar até 30 kg, ficar em pé por longos períodos, curvar-se, esticar-se, torcer-se e alcançar com o corpo, braços e pernas"&amp;", conforme necessário. Número de Horas por Semana: 40 Horário de Trabalho (Início/Término): 9h às 17h")</f>
        <v>A Van Horn Lodging LLC, operando sob o nome fantasia de Hampton Inn Vanhorn, localizada em 1921 SW Frontage Rd, Van Horn, TX 79855; Telefone: 575 937-3411, está buscando preencher 14 vagas de camareira(o) para o período de 1º de outubro de 2026 a 15 de janeiro de 2027. Trata-se de um contrato temporário em tempo integral para períodos de alta demanda. As funções incluem: sob a supervisão do gerente geral, as camareiras(os) realizarão diversas tarefas de limpeza e manutenção para garantir que os quartos e áreas comuns atendam aos padrões de saúde e higiene estabelecidos para a hospedagem. As responsabilidades incluem manter as áreas de armazenamento e os carrinhos de limpeza bem abastecidos, limpos e organizados; transportar roupas de cama, toalhas, artigos de higiene pessoal e produtos de limpeza utilizando carrinhos com rodas; e limpeza de quartos, banheiros, corredores, saguões, salas de estar, lavabos, elevadores, escadas e vestiários, utilizando vassouras, esfregões, espanadores, panos de microfibra, soluções desinfetantes, aspiradores de pó e lavadoras de piso elétricas. Os funcionários esvaziarão as lixeiras e transportarão o lixo para as áreas de descarte; varrerão, esfregarão, encerarão ou polirão pisos; limparão e lavarão tapetes e carpetes; lavarão janelas, paredes, tetos e acabamentos em madeira; tirarão o pó e polirão móveis, acessórios e equipamentos; e trocarão lâmpadas. As tarefas relacionadas à lavanderia incluem separar, carregar e descarregar roupas de cama e toalhas usando lavadoras e secadoras industriais; dobrar e organizar roupas limpas; e abastecer os armários de roupa de cama. Os funcionários farão as camas, moverão e organizarão móveis leves, virarão os colchões e pendurarão cortinas ou limparão persianas. Os funcionários podem entregar itens solicitados pelos hóspedes, como camas extras, berços, televisores ou tábuas de passar roupa; relatar danos nos quartos ou itens perdidos e achados; Auxiliar na preparação básica de salas ou áreas comuns para reuniões ou eventos. Os funcionários devem seguir os procedimentos de segurança e higiene da empresa e executar outras tarefas de limpeza relacionadas, conforme designado. Classificação do Cargo: 37-2011.00 - Zeladores e Faxineiros, exceto Camareiras e Auxiliares de Limpeza. A classificação e descrição do cargo/setor inclui informações gerais sobre a posição, de acordo com o ONET/OES e o Sistema de Classificação Industrial da América do Norte. Consulte as Funções e a Ordem de Serviço para obter mais informações. Requisitos do Cargo Experiência Necessária: Sim Meses de Experiência Necessários: 1 Requisitos Especiais: O(A) funcionário(a) de limpeza deve ser capaz de levantar até 30 kg, ficar em pé por longos períodos, curvar-se, esticar-se, torcer-se e alcançar com o corpo, braços e pernas, conforme necessário. Número de Horas por Semana: 40 Horário de Trabalho (Início/Término): 9h às 17h</v>
      </c>
    </row>
    <row r="1400" ht="20.25" customHeight="1">
      <c r="A1400" s="3" t="s">
        <v>6222</v>
      </c>
      <c r="B1400" s="3" t="s">
        <v>6223</v>
      </c>
      <c r="C1400" s="3" t="s">
        <v>6024</v>
      </c>
      <c r="D1400" s="3" t="s">
        <v>102</v>
      </c>
      <c r="E1400" s="4" t="s">
        <v>19</v>
      </c>
      <c r="F1400" s="4" t="s">
        <v>20</v>
      </c>
      <c r="G1400" s="4" t="s">
        <v>118</v>
      </c>
      <c r="H1400" s="3" t="s">
        <v>6224</v>
      </c>
      <c r="I1400" s="3" t="s">
        <v>6225</v>
      </c>
      <c r="J1400" s="4">
        <v>17.78</v>
      </c>
      <c r="K1400" s="4">
        <v>60.0</v>
      </c>
      <c r="L1400" s="3" t="s">
        <v>501</v>
      </c>
      <c r="M1400" s="3" t="s">
        <v>6092</v>
      </c>
      <c r="N1400" s="7" t="str">
        <f>IFERROR(__xludf.DUMMYFUNCTION("GOOGLETRANSLATE(L1400, ""en"", ""pt"")"),"Auxiliar de Manutenção")</f>
        <v>Auxiliar de Manutenção</v>
      </c>
      <c r="O1400" s="7" t="str">
        <f>IFERROR(__xludf.DUMMYFUNCTION("IF(M1400="""","""",GOOGLETRANSLATE(M1400,""en"",""pt""))"),"Auxiliar de mecânico: Auxiliar na manutenção de equipamentos de parque de diversões: lixar e preparar manualmente; limpar e lubrificar peças; montar, inspecionar, desmontar e armazenar equipamentos de parque de diversões. Requisitos da vaga: Capacidade de"&amp;" levantar 23 kg. É necessário ter disposição para levantar peso e mobilidade física. É preciso viajar para todos os locais, com transporte fornecido pelo empregador. • Não é necessário ter formação ou experiência. • Treinamento no local de trabalho oferec"&amp;"ido. Classificação da vaga: 49-9098.00 - Ajudantes - Instalação, Manutenção e Reparos. A classificação e descrição da vaga/setor incluem informações gerais sobre o cargo, de acordo com o ONET/OES e o Sistema de Classificação Industrial da América do Norte"&amp;" (NAICS). Consulte as Funções e a Ordem de Serviço para obter mais informações. Requisitos da vaga: Experiência necessária: Não. Requisitos especiais: Horário de trabalho: O horário, a escala e os dias variam bastante. Normalmente, de segunda a sexta, das"&amp;" 8h às 17h. Não há previsão de horas extras. Geralmente, de 35 a 40 horas semanais. As necessidades de trabalho (ou seja, horas, dias, escala, local e funções) variam. As necessidades de trabalho estão sujeitas às práticas do setor e não são garantidas po"&amp;"r dia, semana, horário, local ou trabalhador, por exemplo, cancelamentos por chuva, breves períodos sem eventos programados, datas e horários de eventos definidos em acordo com o patrocinador e sujeitos a alterações (com base em condições climáticas adver"&amp;"sas, horário de funcionamento, dia da semana, público, tamanho do evento, calendário escolar, quantidade de equipamentos em operação, equipe, etc.) e cancelamentos imprevistos. Em caso de eventos simultâneos aprovados, as necessidades de trabalho podem ex"&amp;"igir ajustes na escala de trabalho dos trabalhadores. Requisitos do trabalho: Testes aleatórios de drogas e verificação de antecedentes criminais após a contratação podem ser exigidos pelo empregador, sem custo para o trabalhador. O trabalho exige que o c"&amp;"andidato seja qualificado, autorizado, esteja pronto, disposto, apto e disponível para trabalhar durante todo o período de emprego nos locais de trabalho designados, mesmo em condições climáticas adversas; atenda aos nossos padrões de verificação ou teste"&amp;"s; firme e cumpra qualquer contrato de trabalho e contrato de locação de moradia; siga as regras do local de trabalho, de reclamações e de moradia. O procedimento de reclamações exige que os trabalhadores relatem quaisquer ameaças ou descumprimento dos te"&amp;"rmos e condições de trabalho; e atendam aos padrões de desempenho do trabalho. Trabalho externo em todas as condições climáticas. Exige-se que o candidato obtenha e apresente comprovante de todas as autorizações governamentais necessárias para exercer est"&amp;"a função, como o visto de trabalho H-2B para trabalhadores estrangeiros. O visto de trabalho H-2B será emitido pelo consulado dos Estados Unidos no país de origem, e após a emissão, o candidato será considerado contratado naquele local e data. O candidato"&amp;" deve cooperar e preencher o formulário de inscrição e a entrevista, sendo que todas as informações fornecidas devem ser verdadeiras e completas. Deve cumprir os requisitos de apresentação pessoal e o código de vestimenta. Deve estar disposto a trabalhar "&amp;"até 7 dias por semana. Sujeito a demissão por justa causa. Número de horas por semana: 35. Horário de trabalho (início/término): 8h às 17h.")</f>
        <v>Auxiliar de mecânico: Auxiliar na manutenção de equipamentos de parque de diversões: lixar e preparar manualmente; limpar e lubrificar peças; montar, inspecionar, desmontar e armazenar equipamentos de parque de diversões. Requisitos da vaga: Capacidade de levantar 23 kg. É necessário ter disposição para levantar peso e mobilidade física. É preciso viajar para todos os locais, com transporte fornecido pelo empregador. • Não é necessário ter formação ou experiência. • Treinamento no local de trabalho oferecido. Classificação da vaga: 49-9098.00 - Ajudantes - Instalação, Manutenção e Reparos. A classificação e descrição da vaga/setor incluem informações gerais sobre o cargo, de acordo com o ONET/OES e o Sistema de Classificação Industrial da América do Norte (NAICS). Consulte as Funções e a Ordem de Serviço para obter mais informações. Requisitos da vaga: Experiência necessária: Não. Requisitos especiais: Horário de trabalho: O horário, a escala e os dias variam bastante. Normalmente, de segunda a sexta, das 8h às 17h. Não há previsão de horas extras. Geralmente, de 35 a 40 horas semanais. As necessidades de trabalho (ou seja, horas, dias, escala, local e funções) variam. As necessidades de trabalho estão sujeitas às práticas do setor e não são garantidas por dia, semana, horário, local ou trabalhador, por exemplo, cancelamentos por chuva, breves períodos sem eventos programados, datas e horários de eventos definidos em acordo com o patrocinador e sujeitos a alterações (com base em condições climáticas adversas, horário de funcionamento, dia da semana, público, tamanho do evento, calendário escolar, quantidade de equipamentos em operação, equipe, etc.) e cancelamentos imprevistos. Em caso de eventos simultâneos aprovados, as necessidades de trabalho podem exigir ajustes na escala de trabalho dos trabalhadores. Requisitos do trabalho: Testes aleatórios de drogas e verificação de antecedentes criminais após a contratação podem ser exigidos pelo empregador, sem custo para o trabalhador. O trabalho exige que o candidato seja qualificado, autorizado, esteja pronto, disposto, apto e disponível para trabalhar durante todo o período de emprego nos locais de trabalho designados, mesmo em condições climáticas adversas; atenda aos nossos padrões de verificação ou testes; firme e cumpra qualquer contrato de trabalho e contrato de locação de moradia; siga as regras do local de trabalho, de reclamações e de moradia. O procedimento de reclamações exige que os trabalhadores relatem quaisquer ameaças ou descumprimento dos termos e condições de trabalho; e atendam aos padrões de desempenho do trabalho. Trabalho externo em todas as condições climáticas. Exige-se que o candidato obtenha e apresente comprovante de todas as autorizações governamentais necessárias para exercer esta função, como o visto de trabalho H-2B para trabalhadores estrangeiros. O visto de trabalho H-2B será emitido pelo consulado dos Estados Unidos no país de origem, e após a emissão, o candidato será considerado contratado naquele local e data. O candidato deve cooperar e preencher o formulário de inscrição e a entrevista, sendo que todas as informações fornecidas devem ser verdadeiras e completas. Deve cumprir os requisitos de apresentação pessoal e o código de vestimenta. Deve estar disposto a trabalhar até 7 dias por semana. Sujeito a demissão por justa causa. Número de horas por semana: 35. Horário de trabalho (início/término): 8h às 17h.</v>
      </c>
    </row>
    <row r="1401" ht="20.25" customHeight="1">
      <c r="A1401" s="8" t="s">
        <v>6226</v>
      </c>
      <c r="B1401" s="8" t="s">
        <v>6227</v>
      </c>
      <c r="C1401" s="8" t="s">
        <v>6228</v>
      </c>
      <c r="D1401" s="8" t="s">
        <v>278</v>
      </c>
      <c r="E1401" s="9" t="s">
        <v>44</v>
      </c>
      <c r="F1401" s="9" t="s">
        <v>20</v>
      </c>
      <c r="G1401" s="9" t="s">
        <v>56</v>
      </c>
      <c r="H1401" s="8" t="s">
        <v>6229</v>
      </c>
      <c r="I1401" s="8" t="s">
        <v>6230</v>
      </c>
      <c r="J1401" s="9">
        <v>17.41</v>
      </c>
      <c r="K1401" s="9">
        <v>2.0</v>
      </c>
      <c r="L1401" s="8" t="s">
        <v>1021</v>
      </c>
      <c r="M1401" s="8" t="s">
        <v>6231</v>
      </c>
      <c r="N1401" s="7" t="str">
        <f>IFERROR(__xludf.DUMMYFUNCTION("GOOGLETRANSLATE(L1401, ""en"", ""pt"")"),"Paisagista")</f>
        <v>Paisagista</v>
      </c>
      <c r="O1401" s="7" t="str">
        <f>IFERROR(__xludf.DUMMYFUNCTION("IF(M1401="""","""",GOOGLETRANSLATE(M1401,""en"",""pt""))"),"Responsável pelo cultivo e cuidado do paisagismo e das áreas externas ao redor de edifícios residenciais ou comerciais. Os trabalhadores usarão ferramentas manuais como pás, carrinhos de mão, compactadores, marretas e níveis para auxiliar na instalação de"&amp;" muros de arrimo. Não será necessário o uso de argamassa para a instalação dos muros de arrimo. Realizarão atividades de manutenção paisagística utilizando equipamentos como cortadores de grama e aparadores de borda. Plantarão mudas; cortarão e apararão a"&amp;" grama. Manterão e cuidarão de gramados já estabelecidos. Auxiliarão na instalação de muros de arrimo, equipamentos para áreas externas, jardins de pedra e decks. Os trabalhadores realizarão serviços de paisagismo e jardinagem em propriedades residenciais"&amp;". As tarefas incluem cortar, aparar, podar, plantar, regar, aplicar cobertura morta, capinar, remover detritos e realizar a manutenção geral das áreas externas utilizando cortadores de grama, aparadores de borda, roçadeiras, aparadores de cerca viva, sopr"&amp;"adores de folhas, pás, ancinhos e carrinhos de mão. Os trabalhadores criarão e manterão jardins de pedra, limpando e preparando as áreas designadas, cavando, construindo taludes conforme necessário, transportando e distribuindo pedras, terra, cobertura ve"&amp;"getal e mudas, e instalando bordas e cobertura do solo. As ferramentas e equipamentos utilizados incluem pás e carrinhos de mão. Os materiais incluem pedras, terra, cobertura vegetal e mudas. Os trabalhadores auxiliarão na instalação de muros de contenção"&amp;", preparando e nivelando a área de trabalho, escavando e nivelando o contorno dos muros, transportando e posicionando os materiais, aterrando as seções concluídas e compactando o solo e o agregado. As ferramentas e equipamentos utilizados incluem pás, car"&amp;"rinhos de mão, níveis, trenas, compactadores e martelos de borracha. Os materiais incluem blocos de contenção, agregados para a base, terra e materiais de aterro. Os trabalhadores prepararão os locais para a instalação de pátios, escavando e nivelando as "&amp;"áreas, aterrando e nivelando com brita calcária, compactando a base, assentando as pedras do pátio e restaurando as áreas ajardinadas circundantes com grama. As ferramentas e equipamentos utilizados incluem pás, carrinhos de mão, níveis, trenas, compactad"&amp;"ores e martelos de borracha. Os materiais incluem lascas de calcário, pedras para pátio e grama. Os trabalhadores auxiliarão na instalação de elementos paisagísticos externos, incluindo fontes, lareiras externas e iluminação paisagística. As tarefas relac"&amp;"ionadas às fontes incluem escavar lagos e leitos de riachos, moldar o terreno, instalar revestimentos impermeáveis, posicionar bombas e mangueiras e colocar pedras e cobertura vegetal ao redor das estruturas concluídas. As tarefas relacionadas às lareiras"&amp;" externas incluem preparar o local, cavar valas para tubulações de gás, posicionar os componentes da lareira e restaurar as áreas paisagísticas circundantes. As tarefas relacionadas à iluminação paisagística incluem cavar valas rasas, enterrar fios elétri"&amp;"cos, conectar luminárias paisagísticas e instalar temporizadores de controle. Eletricistas e encanadores licenciados realizam todas as conexões elétricas e de gás necessárias. As ferramentas e equipamentos utilizados incluem pás, carrinhos de mão, trenas,"&amp;" ferramentas para desencapar fios e conectores de fios. Os materiais incluem lonas impermeáveis ​​para lagos, bombas d'água, mangueiras, componentes para lareiras externas, fios elétricos, conectores de fios dielétricos à prova d'água, luminárias para pai"&amp;"sagismo, pedras, terra e cobertura vegetal. Os trabalhadores também auxiliarão na instalação de decks, preparando e nivelando a área de trabalho, movimentando e organizando os materiais, medindo as áreas de layout, auxiliando na colocação e alinhamento do"&amp;"s componentes, restaurando as áreas ajardinadas ao redor e realizando a limpeza final do local. As ferramentas e equipamentos utilizados incluem pás, carrinhos de mão, níveis, trenas, compactadores e martelos de borracha. Os materiais incluem materiais pa"&amp;"ra decks, madeira, fixadores, terra, cobertura vegetal e grama em placas. Os trabalhadores executarão todas as tarefas sob supervisão direta e de acordo com as normas de segurança do empregador. Classificação da função: 47-4091.00 - Pavimentação Segmentad"&amp;"a. A classificação e descrição da função/setor inclui informações gerais sobre o cargo, conforme o ONET/OES e o Sistema de Classificação Industrial da América do Norte (NAICS). Consulte as Funções e a Ordem de Serviço para obter mais informações. Requisit"&amp;"os da vaga Experiência necessária: Sim Meses de experiência necessários: 1 Requisitos especiais: Esta vaga exige um (1) mês de experiência em jardinagem e manutenção ou áreas afins. Os candidatos devem ser capazes de levantar e carregar até 34 kg e realiz"&amp;"ar trabalho físico. O horário de trabalho é o seguinte: 45 horas semanais, de segunda a sábado. Seg. a Sex.: 7h às 19h Sáb.: 7h às 12h Número de horas por semana: 45 Horário de trabalho (início/término): 7h às 19h")</f>
        <v>Responsável pelo cultivo e cuidado do paisagismo e das áreas externas ao redor de edifícios residenciais ou comerciais. Os trabalhadores usarão ferramentas manuais como pás, carrinhos de mão, compactadores, marretas e níveis para auxiliar na instalação de muros de arrimo. Não será necessário o uso de argamassa para a instalação dos muros de arrimo. Realizarão atividades de manutenção paisagística utilizando equipamentos como cortadores de grama e aparadores de borda. Plantarão mudas; cortarão e apararão a grama. Manterão e cuidarão de gramados já estabelecidos. Auxiliarão na instalação de muros de arrimo, equipamentos para áreas externas, jardins de pedra e decks. Os trabalhadores realizarão serviços de paisagismo e jardinagem em propriedades residenciais. As tarefas incluem cortar, aparar, podar, plantar, regar, aplicar cobertura morta, capinar, remover detritos e realizar a manutenção geral das áreas externas utilizando cortadores de grama, aparadores de borda, roçadeiras, aparadores de cerca viva, sopradores de folhas, pás, ancinhos e carrinhos de mão. Os trabalhadores criarão e manterão jardins de pedra, limpando e preparando as áreas designadas, cavando, construindo taludes conforme necessário, transportando e distribuindo pedras, terra, cobertura vegetal e mudas, e instalando bordas e cobertura do solo. As ferramentas e equipamentos utilizados incluem pás e carrinhos de mão. Os materiais incluem pedras, terra, cobertura vegetal e mudas. Os trabalhadores auxiliarão na instalação de muros de contenção, preparando e nivelando a área de trabalho, escavando e nivelando o contorno dos muros, transportando e posicionando os materiais, aterrando as seções concluídas e compactando o solo e o agregado. As ferramentas e equipamentos utilizados incluem pás, carrinhos de mão, níveis, trenas, compactadores e martelos de borracha. Os materiais incluem blocos de contenção, agregados para a base, terra e materiais de aterro. Os trabalhadores prepararão os locais para a instalação de pátios, escavando e nivelando as áreas, aterrando e nivelando com brita calcária, compactando a base, assentando as pedras do pátio e restaurando as áreas ajardinadas circundantes com grama. As ferramentas e equipamentos utilizados incluem pás, carrinhos de mão, níveis, trenas, compactadores e martelos de borracha. Os materiais incluem lascas de calcário, pedras para pátio e grama. Os trabalhadores auxiliarão na instalação de elementos paisagísticos externos, incluindo fontes, lareiras externas e iluminação paisagística. As tarefas relacionadas às fontes incluem escavar lagos e leitos de riachos, moldar o terreno, instalar revestimentos impermeáveis, posicionar bombas e mangueiras e colocar pedras e cobertura vegetal ao redor das estruturas concluídas. As tarefas relacionadas às lareiras externas incluem preparar o local, cavar valas para tubulações de gás, posicionar os componentes da lareira e restaurar as áreas paisagísticas circundantes. As tarefas relacionadas à iluminação paisagística incluem cavar valas rasas, enterrar fios elétricos, conectar luminárias paisagísticas e instalar temporizadores de controle. Eletricistas e encanadores licenciados realizam todas as conexões elétricas e de gás necessárias. As ferramentas e equipamentos utilizados incluem pás, carrinhos de mão, trenas, ferramentas para desencapar fios e conectores de fios. Os materiais incluem lonas impermeáveis ​​para lagos, bombas d'água, mangueiras, componentes para lareiras externas, fios elétricos, conectores de fios dielétricos à prova d'água, luminárias para paisagismo, pedras, terra e cobertura vegetal. Os trabalhadores também auxiliarão na instalação de decks, preparando e nivelando a área de trabalho, movimentando e organizando os materiais, medindo as áreas de layout, auxiliando na colocação e alinhamento dos componentes, restaurando as áreas ajardinadas ao redor e realizando a limpeza final do local. As ferramentas e equipamentos utilizados incluem pás, carrinhos de mão, níveis, trenas, compactadores e martelos de borracha. Os materiais incluem materiais para decks, madeira, fixadores, terra, cobertura vegetal e grama em placas. Os trabalhadores executarão todas as tarefas sob supervisão direta e de acordo com as normas de segurança do empregador. Classificação da função: 47-4091.00 - Pavimentação Segmentada. A classificação e descrição da função/setor inclui informações gerais sobre o cargo, conforme o ONET/OES e o Sistema de Classificação Industrial da América do Norte (NAICS). Consulte as Funções e a Ordem de Serviço para obter mais informações. Requisitos da vaga Experiência necessária: Sim Meses de experiência necessários: 1 Requisitos especiais: Esta vaga exige um (1) mês de experiência em jardinagem e manutenção ou áreas afins. Os candidatos devem ser capazes de levantar e carregar até 34 kg e realizar trabalho físico. O horário de trabalho é o seguinte: 45 horas semanais, de segunda a sábado. Seg. a Sex.: 7h às 19h Sáb.: 7h às 12h Número de horas por semana: 45 Horário de trabalho (início/término): 7h às 19h</v>
      </c>
    </row>
    <row r="1402" ht="20.25" customHeight="1">
      <c r="A1402" s="3" t="s">
        <v>6232</v>
      </c>
      <c r="B1402" s="3" t="s">
        <v>6233</v>
      </c>
      <c r="C1402" s="3" t="s">
        <v>6234</v>
      </c>
      <c r="D1402" s="3" t="s">
        <v>64</v>
      </c>
      <c r="E1402" s="4" t="s">
        <v>44</v>
      </c>
      <c r="F1402" s="4" t="s">
        <v>20</v>
      </c>
      <c r="G1402" s="4" t="s">
        <v>1706</v>
      </c>
      <c r="H1402" s="3" t="s">
        <v>6235</v>
      </c>
      <c r="I1402" s="3" t="s">
        <v>6236</v>
      </c>
      <c r="J1402" s="4">
        <v>18.93</v>
      </c>
      <c r="K1402" s="4">
        <v>40.0</v>
      </c>
      <c r="L1402" s="3" t="s">
        <v>6237</v>
      </c>
      <c r="M1402" s="3" t="s">
        <v>6238</v>
      </c>
      <c r="N1402" s="7" t="str">
        <f>IFERROR(__xludf.DUMMYFUNCTION("GOOGLETRANSLATE(L1402, ""en"", ""pt"")"),"Trabalhador qualificado para paisagismo de inverno")</f>
        <v>Trabalhador qualificado para paisagismo de inverno</v>
      </c>
      <c r="O1402" s="7" t="str">
        <f>IFERROR(__xludf.DUMMYFUNCTION("IF(M1402="""","""",GOOGLETRANSLATE(M1402,""en"",""pt""))"),"Descrição das funções: A vaga oferecida destina-se a um auxiliar de paisagismo experiente, com no mínimo três (3) meses de experiência comprovada na área, que seja capaz de trabalhar e demonstrar os métodos e procedimentos de paisagismo da empresa, em con"&amp;"junto com até 3 colegas. As responsabilidades incluem: remoção e poda de árvores e arbustos; limpeza e organização do terreno, incluindo a remoção de folhas e detritos; descarte de galhos, ramos e árvores; plantio de inverno, incluindo azevinho e outras c"&amp;"oníferas; aplicação de cobertura morta; proteção de plantas e árvores contra geadas, com manutenção de jardins e controle de drenagem; instalação de flores de inverno anuais; aplicação, aplicação e fertilização de cobertura morta em toda a propriedade par"&amp;"a proteção das plantas; preparação e drenagem de sistemas de irrigação. O trabalho também envolve o carregamento e descarregamento de materiais e equipamentos, com capacidade para levantar até 23 kg. O trabalho será realizado em locais de trabalho na regi"&amp;"ão, com transporte fornecido pelo empregador a partir de um ponto de encontro centralizado na área de atuação. Classificação da Função: 37-3011.00 - Trabalhadores de Paisagismo e Manutenção de Jardins. A classificação e descrição da função/setor inclui in"&amp;"formações gerais sobre o cargo, conforme o ONET/OES e o Sistema de Classificação Industrial da América do Norte (NAICS). Consulte as Funções e a Ordem de Serviço para obter mais informações. Requisitos da Função: Experiência Necessária: Sim. Meses de Expe"&amp;"riência Necessária: 3. Requisitos Especiais: Nenhum. Número de Horas por Semana: 40. Horário de Trabalho (Início/Término): 8h às 17h.")</f>
        <v>Descrição das funções: A vaga oferecida destina-se a um auxiliar de paisagismo experiente, com no mínimo três (3) meses de experiência comprovada na área, que seja capaz de trabalhar e demonstrar os métodos e procedimentos de paisagismo da empresa, em conjunto com até 3 colegas. As responsabilidades incluem: remoção e poda de árvores e arbustos; limpeza e organização do terreno, incluindo a remoção de folhas e detritos; descarte de galhos, ramos e árvores; plantio de inverno, incluindo azevinho e outras coníferas; aplicação de cobertura morta; proteção de plantas e árvores contra geadas, com manutenção de jardins e controle de drenagem; instalação de flores de inverno anuais; aplicação, aplicação e fertilização de cobertura morta em toda a propriedade para proteção das plantas; preparação e drenagem de sistemas de irrigação. O trabalho também envolve o carregamento e descarregamento de materiais e equipamentos, com capacidade para levantar até 23 kg. O trabalho será realizado em locais de trabalho na região, com transporte fornecido pelo empregador a partir de um ponto de encontro centralizado na área de atuação. Classificação da Função: 37-3011.00 - Trabalhadores de Paisagismo e Manutenção de Jardins. A classificação e descrição da função/setor inclui informações gerais sobre o cargo, conforme o ONET/OES e o Sistema de Classificação Industrial da América do Norte (NAICS). Consulte as Funções e a Ordem de Serviço para obter mais informações. Requisitos da Função: Experiência Necessária: Sim. Meses de Experiência Necessária: 3. Requisitos Especiais: Nenhum. Número de Horas por Semana: 40. Horário de Trabalho (Início/Término): 8h às 17h.</v>
      </c>
    </row>
    <row r="1403" ht="20.25" customHeight="1">
      <c r="A1403" s="8" t="s">
        <v>6239</v>
      </c>
      <c r="B1403" s="8" t="s">
        <v>6240</v>
      </c>
      <c r="C1403" s="8" t="s">
        <v>444</v>
      </c>
      <c r="D1403" s="8" t="s">
        <v>4521</v>
      </c>
      <c r="E1403" s="9" t="s">
        <v>19</v>
      </c>
      <c r="F1403" s="9" t="s">
        <v>20</v>
      </c>
      <c r="G1403" s="9" t="s">
        <v>377</v>
      </c>
      <c r="H1403" s="8" t="s">
        <v>6241</v>
      </c>
      <c r="I1403" s="8" t="s">
        <v>6242</v>
      </c>
      <c r="J1403" s="9">
        <v>27.9</v>
      </c>
      <c r="K1403" s="9">
        <v>1.0</v>
      </c>
      <c r="L1403" s="8" t="s">
        <v>6243</v>
      </c>
      <c r="M1403" s="8" t="s">
        <v>6244</v>
      </c>
      <c r="N1403" s="7" t="str">
        <f>IFERROR(__xludf.DUMMYFUNCTION("GOOGLETRANSLATE(L1403, ""en"", ""pt"")"),"Trabalhador de adega")</f>
        <v>Trabalhador de adega</v>
      </c>
      <c r="O1403" s="7" t="str">
        <f>IFERROR(__xludf.DUMMYFUNCTION("IF(M1403="""","""",GOOGLETRANSLATE(M1403,""en"",""pt""))"),"Produzir sidra de acordo com os padrões da empresa para segurança alimentar, práticas adequadas de manipulação de alimentos e higiene; garantir que todas as normas e regulamentações federais e estaduais para frescor do produto, segurança alimentar, pesos "&amp;"e medidas, segurança do armazém, segurança dos funcionários, refrigeração e higiene sejam atendidas; seguir as instruções fornecidas pelo produtor de sidra, conforme o cronograma de tarefas estabelecido por ele; esfregar e higienizar todas as áreas de pro"&amp;"dução, estoque e equipamentos de produção de sidra de acordo com os requisitos das Boas Práticas Agrícolas (GAP) e do Sistema de Análise de Perigos e Pontos Críticos de Controle (HACCP). Isso inclui receber o suco e medir o volume com um medidor de vazão;"&amp;" monitorar as fermentações com um hidrômetro; adicionar ingredientes à fermentação (levedura, nutrientes, etc.), misturar, filtrar e carbonatar sob a supervisão do produtor de sidra e paletizar o produto acabado na linha de envase. Ferramentas, equipament"&amp;"os e materiais utilizados: medidor de vazão, hidrômetro, tanques e recipientes de fermentação, levedura e nutrientes para fermentação, equipamentos de filtração e equipamentos de carbonatação. Salário: o salário base é de US$ 27,90/hora. Será pago um adic"&amp;"ional de horas extras no valor de US$ 41,85/hora, conforme exigido pelas leis federais, estaduais ou locais, incluindo hora e meia após 40 horas semanais de trabalho. O empregador poderá oferecer aumentos/bônus a funcionários temporários contratados sob e"&amp;"sta ordem de serviço, a seu exclusivo critério, com base em fatores individuais como desempenho, habilidades e tempo de serviço. Os salários serão calculados com base em uma única semana de trabalho. Os funcionários receberão pagamento semanalmente. Horár"&amp;"io: É necessário ter disponibilidade para trabalhar em qualquer turno de 8 horas entre 8h e 22h, em qualquer dia da semana, com folgas rotativas. Os turnos podem variar, mas um dia de trabalho típico será das 8h às 16h, de segunda a sexta-feira. A carga h"&amp;"orária esperada é de aproximadamente 40 horas semanais. O empregador poderá oferecer mais horas do que o especificado, dependendo das necessidades da empresa e de outras condições. Treinamento no local de trabalho está disponível. Se necessário, o emprega"&amp;"dor fornecerá uniformes exclusivos da empresa e, sem custo adicional, as ferramentas, suprimentos e equipamentos necessários para a execução das tarefas atribuídas. Classificação da vaga: 51-9012.00 - Operadores, preparadores e auxiliares de máquinas de s"&amp;"eparação, filtragem, clarificação, precipitação e destilação. A classificação e a descrição da vaga/setor incluem informações gerais sobre o cargo, de acordo com o ONET/OES e o Sistema de Classificação Industrial da América do Norte (NAICS). Consulte as a"&amp;"tribuições e a ordem de serviço para obter mais informações. Requisitos da vaga Experiência necessária: Sim Meses de experiência necessários: 12 Requisitos especiais: Experiência/Requisitos especiais: É necessário ter no mínimo 12 meses de experiência em "&amp;"cidraria, cervejaria, vinícola ou setores relacionados. Disponibilidade para trabalhar nos fins de semana e à noite é necessária. O candidato deve ser capaz de permanecer em pé por longos períodos e levantar, empilhar e manusear objetos. Número de horas p"&amp;"or semana: 40 Horário de trabalho (início/término): 8h às 16h.")</f>
        <v>Produzir sidra de acordo com os padrões da empresa para segurança alimentar, práticas adequadas de manipulação de alimentos e higiene; garantir que todas as normas e regulamentações federais e estaduais para frescor do produto, segurança alimentar, pesos e medidas, segurança do armazém, segurança dos funcionários, refrigeração e higiene sejam atendidas; seguir as instruções fornecidas pelo produtor de sidra, conforme o cronograma de tarefas estabelecido por ele; esfregar e higienizar todas as áreas de produção, estoque e equipamentos de produção de sidra de acordo com os requisitos das Boas Práticas Agrícolas (GAP) e do Sistema de Análise de Perigos e Pontos Críticos de Controle (HACCP). Isso inclui receber o suco e medir o volume com um medidor de vazão; monitorar as fermentações com um hidrômetro; adicionar ingredientes à fermentação (levedura, nutrientes, etc.), misturar, filtrar e carbonatar sob a supervisão do produtor de sidra e paletizar o produto acabado na linha de envase. Ferramentas, equipamentos e materiais utilizados: medidor de vazão, hidrômetro, tanques e recipientes de fermentação, levedura e nutrientes para fermentação, equipamentos de filtração e equipamentos de carbonatação. Salário: o salário base é de US$ 27,90/hora. Será pago um adicional de horas extras no valor de US$ 41,85/hora, conforme exigido pelas leis federais, estaduais ou locais, incluindo hora e meia após 40 horas semanais de trabalho. O empregador poderá oferecer aumentos/bônus a funcionários temporários contratados sob esta ordem de serviço, a seu exclusivo critério, com base em fatores individuais como desempenho, habilidades e tempo de serviço. Os salários serão calculados com base em uma única semana de trabalho. Os funcionários receberão pagamento semanalmente. Horário: É necessário ter disponibilidade para trabalhar em qualquer turno de 8 horas entre 8h e 22h, em qualquer dia da semana, com folgas rotativas. Os turnos podem variar, mas um dia de trabalho típico será das 8h às 16h, de segunda a sexta-feira. A carga horária esperada é de aproximadamente 40 horas semanais. O empregador poderá oferecer mais horas do que o especificado, dependendo das necessidades da empresa e de outras condições. Treinamento no local de trabalho está disponível. Se necessário, o empregador fornecerá uniformes exclusivos da empresa e, sem custo adicional, as ferramentas, suprimentos e equipamentos necessários para a execução das tarefas atribuídas. Classificação da vaga: 51-9012.00 - Operadores, preparadores e auxiliares de máquinas de separação, filtragem, clarificação, precipitação e destilação. A classificação e a descrição da vaga/setor incluem informações gerais sobre o cargo, de acordo com o ONET/OES e o Sistema de Classificação Industrial da América do Norte (NAICS). Consulte as atribuições e a ordem de serviço para obter mais informações. Requisitos da vaga Experiência necessária: Sim Meses de experiência necessários: 12 Requisitos especiais: Experiência/Requisitos especiais: É necessário ter no mínimo 12 meses de experiência em cidraria, cervejaria, vinícola ou setores relacionados. Disponibilidade para trabalhar nos fins de semana e à noite é necessária. O candidato deve ser capaz de permanecer em pé por longos períodos e levantar, empilhar e manusear objetos. Número de horas por semana: 40 Horário de trabalho (início/término): 8h às 16h.</v>
      </c>
    </row>
    <row r="1404" ht="20.25" customHeight="1">
      <c r="A1404" s="3" t="s">
        <v>6245</v>
      </c>
      <c r="B1404" s="3" t="s">
        <v>6246</v>
      </c>
      <c r="C1404" s="3" t="s">
        <v>6247</v>
      </c>
      <c r="D1404" s="3" t="s">
        <v>28</v>
      </c>
      <c r="E1404" s="4" t="s">
        <v>44</v>
      </c>
      <c r="F1404" s="4" t="s">
        <v>20</v>
      </c>
      <c r="G1404" s="4" t="s">
        <v>345</v>
      </c>
      <c r="H1404" s="3" t="s">
        <v>6248</v>
      </c>
      <c r="I1404" s="3" t="s">
        <v>6249</v>
      </c>
      <c r="J1404" s="4">
        <v>14.22</v>
      </c>
      <c r="K1404" s="4">
        <v>67.0</v>
      </c>
      <c r="L1404" s="3" t="s">
        <v>6250</v>
      </c>
      <c r="M1404" s="3" t="s">
        <v>6251</v>
      </c>
      <c r="N1404" s="7" t="str">
        <f>IFERROR(__xludf.DUMMYFUNCTION("GOOGLETRANSLATE(L1404, ""en"", ""pt"")"),"tratador de cavalos de corrida puro-sangue")</f>
        <v>tratador de cavalos de corrida puro-sangue</v>
      </c>
      <c r="O1404" s="7" t="str">
        <f>IFERROR(__xludf.DUMMYFUNCTION("IF(M1404="""","""",GOOGLETRANSLATE(M1404,""en"",""pt""))"),"Responsável pelos cuidados gerais de cavalos de corrida puro-sangue, incluindo alimentação, fornecimento de água, manutenção de baias e estábulos, limpeza, escovação, exercícios, casqueamento, desinfecção de baias e camas, administração de medicamentos co"&amp;"nforme prescrição e inspeção da condição física dos cavalos. Levantará as patas e limpará os cascos dos cavalos, aplicando linimentos e bandagens conforme necessário. Cuidará de 1 a 5 cavalos por vez. Turno dividido: das 5h às 11h e das 15h às 17h. Folgas"&amp;" rotativas. Classificação da vaga: 39-2021.00 - Cuidadores de Animais. A classificação e descrição da vaga/setor incluem informações gerais sobre o cargo, de acordo com o ONET/OES e o Sistema de Classificação Industrial da América do Norte. Consulte as Fu"&amp;"nções e a Ordem de Serviço para obter mais informações. Requisitos da vaga: Experiência necessária: Sim. Meses de experiência necessários: 1. Requisitos especiais: Deve ser capaz de levantar 23 kg. Número de horas por semana: 56. Horário de trabalho (iníc"&amp;"io/término): 5h. - 17h00")</f>
        <v>Responsável pelos cuidados gerais de cavalos de corrida puro-sangue, incluindo alimentação, fornecimento de água, manutenção de baias e estábulos, limpeza, escovação, exercícios, casqueamento, desinfecção de baias e camas, administração de medicamentos conforme prescrição e inspeção da condição física dos cavalos. Levantará as patas e limpará os cascos dos cavalos, aplicando linimentos e bandagens conforme necessário. Cuidará de 1 a 5 cavalos por vez. Turno dividido: das 5h às 11h e das 15h às 17h. Folgas rotativas. Classificação da vaga: 39-2021.00 - Cuidadores de Animais. A classificação e descrição da vaga/setor incluem informações gerais sobre o cargo, de acordo com o ONET/OES e o Sistema de Classificação Industrial da América do Norte. Consulte as Funções e a Ordem de Serviço para obter mais informações. Requisitos da vaga: Experiência necessária: Sim. Meses de experiência necessários: 1. Requisitos especiais: Deve ser capaz de levantar 23 kg. Número de horas por semana: 56. Horário de trabalho (início/término): 5h. - 17h00</v>
      </c>
    </row>
    <row r="1405" ht="20.25" customHeight="1">
      <c r="A1405" s="8" t="s">
        <v>6252</v>
      </c>
      <c r="B1405" s="8" t="s">
        <v>6253</v>
      </c>
      <c r="C1405" s="8" t="s">
        <v>5563</v>
      </c>
      <c r="D1405" s="8" t="s">
        <v>36</v>
      </c>
      <c r="E1405" s="9" t="s">
        <v>19</v>
      </c>
      <c r="F1405" s="9" t="s">
        <v>20</v>
      </c>
      <c r="G1405" s="9" t="s">
        <v>404</v>
      </c>
      <c r="H1405" s="8" t="s">
        <v>6254</v>
      </c>
      <c r="I1405" s="8" t="s">
        <v>6255</v>
      </c>
      <c r="J1405" s="9">
        <v>13.52</v>
      </c>
      <c r="K1405" s="9">
        <v>10.0</v>
      </c>
      <c r="L1405" s="8" t="s">
        <v>32</v>
      </c>
      <c r="M1405" s="8" t="s">
        <v>6256</v>
      </c>
      <c r="N1405" s="7" t="str">
        <f>IFERROR(__xludf.DUMMYFUNCTION("GOOGLETRANSLATE(L1405, ""en"", ""pt"")"),"Processador de Ostras")</f>
        <v>Processador de Ostras</v>
      </c>
      <c r="O1405" s="7" t="str">
        <f>IFERROR(__xludf.DUMMYFUNCTION("IF(M1405="""","""",GOOGLETRANSLATE(M1405,""en"",""pt""))"),"Código SOC: 51-3022 — Cortadores e Aparadores de Carne, Aves e Peixes · Limpar e abrir ostras · Separar a carne por tamanho/qualidade · Preparar frutos do mar para venda no atacado/varejo · Limpar e higienizar áreas de trabalho e equipamentos · Manter a c"&amp;"onformidade com as normas de segurança alimentar Código SOC: 53-7064 — Embaladores e Acondicionadores Manuais · Pesar, contar e medir o produto · Colocar frutos do mar em recipientes · Selar, colocar gelo e embalar os produtos · Montar caixas Código SOC: "&amp;"53-7062 — Operários e Movimentadores de Carga, Estoque e Materiais Manuais · Mover, despejar e distribuir o produto · Realizar trabalhos no cais · Retirar ostras de barcos ou caminhões · Carregar produtos acabados em caminhões · Usar equipamentos de movim"&amp;"entação de materiais (ocasionalmente) · Colocar o produto cru em mesas de processamento · Congelar e retirar ostras com pá. Consulte o Adendo em anexo. Classificação da Função: 51-3022.00 - Cortadores e Aparadores de Carne, Aves e Peixes. A classificação "&amp;"e descrição da função/setor inclui informações gerais sobre o cargo, de acordo com o ONET/OES e o Sistema de Classificação Industrial da América do Norte (NAICS). Consulte as Funções e a Ordem de Serviço para obter mais informações. Requisitos da Função E"&amp;"xperiência Necessária: Não. Requisitos Especiais: Capacidade de levantar/carregar até 23 kg. O empregador pagará o exame toxicológico após a contratação, em caso de suspeita. O empregador poderá realizar verificações legais relacionadas ao trabalho, inclu"&amp;"indo consultas sobre antecedentes criminais, quando permitido pelas leis federais, estaduais e locais aplicáveis. Qualquer análise de antecedentes criminais será feita individualmente e as decisões de contratação serão tomadas de forma não discriminatória"&amp;", em conformidade com as leis aplicáveis ​​e as necessidades da empresa. Número de Horas por Semana: 35. Horário de Trabalho (Início/Término): 8h00 - 15h30.")</f>
        <v>Código SOC: 51-3022 — Cortadores e Aparadores de Carne, Aves e Peixes · Limpar e abrir ostras · Separar a carne por tamanho/qualidade · Preparar frutos do mar para venda no atacado/varejo · Limpar e higienizar áreas de trabalho e equipamentos · Manter a conformidade com as normas de segurança alimentar Código SOC: 53-7064 — Embaladores e Acondicionadores Manuais · Pesar, contar e medir o produto · Colocar frutos do mar em recipientes · Selar, colocar gelo e embalar os produtos · Montar caixas Código SOC: 53-7062 — Operários e Movimentadores de Carga, Estoque e Materiais Manuais · Mover, despejar e distribuir o produto · Realizar trabalhos no cais · Retirar ostras de barcos ou caminhões · Carregar produtos acabados em caminhões · Usar equipamentos de movimentação de materiais (ocasionalmente) · Colocar o produto cru em mesas de processamento · Congelar e retirar ostras com pá. Consulte o Adendo em anexo. Classificação da Função: 51-3022.00 - Cortadores e Aparadores de Carne, Aves e Peixes. A classificação e descrição da função/setor inclui informações gerais sobre o cargo, de acordo com o ONET/OES e o Sistema de Classificação Industrial da América do Norte (NAICS). Consulte as Funções e a Ordem de Serviço para obter mais informações. Requisitos da Função Experiência Necessária: Não. Requisitos Especiais: Capacidade de levantar/carregar até 23 kg. O empregador pagará o exame toxicológico após a contratação, em caso de suspeita. O empregador poderá realizar verificações legais relacionadas ao trabalho, incluindo consultas sobre antecedentes criminais, quando permitido pelas leis federais, estaduais e locais aplicáveis. Qualquer análise de antecedentes criminais será feita individualmente e as decisões de contratação serão tomadas de forma não discriminatória, em conformidade com as leis aplicáveis ​​e as necessidades da empresa. Número de Horas por Semana: 35. Horário de Trabalho (Início/Término): 8h00 - 15h30.</v>
      </c>
    </row>
    <row r="1406" ht="20.25" customHeight="1">
      <c r="A1406" s="3" t="s">
        <v>6257</v>
      </c>
      <c r="B1406" s="3" t="s">
        <v>6258</v>
      </c>
      <c r="C1406" s="3" t="s">
        <v>5755</v>
      </c>
      <c r="D1406" s="3" t="s">
        <v>28</v>
      </c>
      <c r="E1406" s="4" t="s">
        <v>19</v>
      </c>
      <c r="F1406" s="4" t="s">
        <v>20</v>
      </c>
      <c r="G1406" s="4" t="s">
        <v>377</v>
      </c>
      <c r="H1406" s="3" t="s">
        <v>6259</v>
      </c>
      <c r="I1406" s="3" t="s">
        <v>6260</v>
      </c>
      <c r="J1406" s="4">
        <v>13.13</v>
      </c>
      <c r="K1406" s="4">
        <v>3.0</v>
      </c>
      <c r="L1406" s="3" t="s">
        <v>6261</v>
      </c>
      <c r="M1406" s="3" t="s">
        <v>6262</v>
      </c>
      <c r="N1406" s="7" t="str">
        <f>IFERROR(__xludf.DUMMYFUNCTION("GOOGLETRANSLATE(L1406, ""en"", ""pt"")"),"Cozinheiro de Pratos Rápidos")</f>
        <v>Cozinheiro de Pratos Rápidos</v>
      </c>
      <c r="O1406" s="7" t="str">
        <f>IFERROR(__xludf.DUMMYFUNCTION("IF(M1406="""","""",GOOGLETRANSLATE(M1406,""en"",""pt""))"),"Limpar e preparar lagostins - Classificar, ferver, pesar e ensacar. Preparar e organizar os alimentos para cozinhar, grelhar, fritar, assar, ferver, etc. Manter a área de trabalho limpa - Limpar e higienizar todas as superfícies (mesas, balcões, pisos), r"&amp;"emover todos os detritos e lixo, etc. Classificação do cargo: 35-2014.00 - Cozinheiros, Restaurante. A classificação e descrição do cargo/setor incluem informações gerais sobre a posição, de acordo com o ONET/OES e o Sistema de Classificação Industrial da"&amp;" América do Norte. Consulte as Funções e a Ordem de Serviço para obter mais informações. Requisitos do cargo: Experiência necessária: Sim. Meses de experiência necessários: 3. Requisitos especiais: 3 meses de experiência em cozinha de restaurante. Deve se"&amp;"r capaz de levantar até 23 kg, ficar em pé, agachar, curvar, andar, ajoelhar, alcançar acima da cabeça ou ao nível do chão por longos períodos. APÓS A CONTRATAÇÃO, O FUNCIONÁRIO PODERÁ SER SUBMETIDO A UM TESTE DE DROGAS ALEATÓRIO, SEM CUSTO PARA O TRABALH"&amp;"ADOR. UM RESULTADO POSITIVO OU A RECUSA EM SE SUBMETER AO TESTE PODERÁ RESULTAR EM DEMISSÃO IMEDIATA DO CONTRATO DE TRABALHO. O horário de trabalho padrão é das 7h às 16h, de segunda a sexta-feira; trabalho aos sábados e domingos será exigido, quando nece"&amp;"ssário. O empregador oferecerá 35 horas semanais. Horas extras são oferecidas, mas não garantidas. O empregador poderá oferecer mais horas do que o horário de trabalho estipulado, dependendo do clima, das necessidades da empresa e de outras condições. Cal"&amp;"or extremo, frio intenso e chuva podem afetar o horário exato. Número de horas por semana: 35. Horário de trabalho (início/término): 4h às 19h.")</f>
        <v>Limpar e preparar lagostins - Classificar, ferver, pesar e ensacar. Preparar e organizar os alimentos para cozinhar, grelhar, fritar, assar, ferver, etc. Manter a área de trabalho limpa - Limpar e higienizar todas as superfícies (mesas, balcões, pisos), remover todos os detritos e lixo, etc. Classificação do cargo: 35-2014.00 - Cozinheiros, Restaurante. A classificação e descrição do cargo/setor incluem informações gerais sobre a posição, de acordo com o ONET/OES e o Sistema de Classificação Industrial da América do Norte. Consulte as Funções e a Ordem de Serviço para obter mais informações. Requisitos do cargo: Experiência necessária: Sim. Meses de experiência necessários: 3. Requisitos especiais: 3 meses de experiência em cozinha de restaurante. Deve ser capaz de levantar até 23 kg, ficar em pé, agachar, curvar, andar, ajoelhar, alcançar acima da cabeça ou ao nível do chão por longos períodos. APÓS A CONTRATAÇÃO, O FUNCIONÁRIO PODERÁ SER SUBMETIDO A UM TESTE DE DROGAS ALEATÓRIO, SEM CUSTO PARA O TRABALHADOR. UM RESULTADO POSITIVO OU A RECUSA EM SE SUBMETER AO TESTE PODERÁ RESULTAR EM DEMISSÃO IMEDIATA DO CONTRATO DE TRABALHO. O horário de trabalho padrão é das 7h às 16h, de segunda a sexta-feira; trabalho aos sábados e domingos será exigido, quando necessário. O empregador oferecerá 35 horas semanais. Horas extras são oferecidas, mas não garantidas. O empregador poderá oferecer mais horas do que o horário de trabalho estipulado, dependendo do clima, das necessidades da empresa e de outras condições. Calor extremo, frio intenso e chuva podem afetar o horário exato. Número de horas por semana: 35. Horário de trabalho (início/término): 4h às 19h.</v>
      </c>
    </row>
    <row r="1407" ht="20.25" customHeight="1">
      <c r="A1407" s="8" t="s">
        <v>6263</v>
      </c>
      <c r="B1407" s="8" t="s">
        <v>6264</v>
      </c>
      <c r="C1407" s="8" t="s">
        <v>4011</v>
      </c>
      <c r="D1407" s="8" t="s">
        <v>18</v>
      </c>
      <c r="E1407" s="9" t="s">
        <v>19</v>
      </c>
      <c r="F1407" s="9" t="s">
        <v>20</v>
      </c>
      <c r="G1407" s="9" t="s">
        <v>146</v>
      </c>
      <c r="H1407" s="8" t="s">
        <v>6265</v>
      </c>
      <c r="I1407" s="8" t="s">
        <v>6266</v>
      </c>
      <c r="J1407" s="9">
        <v>22.94</v>
      </c>
      <c r="K1407" s="9">
        <v>10.0</v>
      </c>
      <c r="L1407" s="8" t="s">
        <v>6267</v>
      </c>
      <c r="M1407" s="8" t="s">
        <v>6268</v>
      </c>
      <c r="N1407" s="7" t="str">
        <f>IFERROR(__xludf.DUMMYFUNCTION("GOOGLETRANSLATE(L1407, ""en"", ""pt"")"),"Auxiliar de construção civil")</f>
        <v>Auxiliar de construção civil</v>
      </c>
      <c r="O1407" s="7" t="str">
        <f>IFERROR(__xludf.DUMMYFUNCTION("IF(M1407="""","""",GOOGLETRANSLATE(M1407,""en"",""pt""))"),"***2ª resposta à RFI*** O trabalhador auxilia na colocação de aço de reforço, vergalhões e telas metálicas utilizadas em projetos de construção em concreto. As tarefas específicas incluem carregar, descarregar, organizar, separar, posicionar e colocar ver"&amp;"galhões e telas metálicas dentro de fôrmas e áreas escavadas; segurar os materiais no lugar enquanto trabalhadores experientes os fixam; medir e alinhar os materiais de reforço de acordo com as instruções de layout; e auxiliar na amarração do aço de refor"&amp;"ço utilizando arame de amarração pré-cortado. As ferramentas e equipamentos utilizados incluem ferramentas para amarrar vergalhões, alicates, cortadores de arame, trenas, níveis, espaçadores de vergalhão, carrinhos de mão, carrinhos de materiais e ferrame"&amp;"ntas manuais comumente usadas para posicionar materiais de reforço. Os materiais manuseados incluem barras de aço de reforço (vergalhões), telas metálicas soldadas, arame de amarração, espaçadores de vergalhão e materiais de reforço de concreto relacionad"&amp;"os. ***1ª resposta à RFI*** O trabalhador auxilia operários experientes da construção civil, acabadores de concreto, operadores de equipamentos e supervisores envolvidos na instalação de piscinas, calçadas, entradas de garagem, pátios, passarelas e estrut"&amp;"uras de concreto relacionadas. O trabalhador pode operar compactadores de placa vibratória, betoneiras, carrinhos de mão motorizados, carrinhos de materiais, bombas d'água, lavadoras de alta pressão, geradores portáteis, pequenas ferramentas elétricas (fu"&amp;"radeiras, esmerilhadeiras, tupias), pás, ancinhos, vassouras, carrinhos de mão, baldes, compactadores de solo, desempenadeiras manuais, trenas e níveis. As funções incluem carregar, descarregar, movimentar e organizar materiais de construção; auxiliar na "&amp;"preparação do terreno, escavação, nivelamento, reaterro e limpeza; construir, posicionar, escorar, desmontar e remover fôrmas de concreto; auxiliar na colocação de aço de reforço, vergalhões e telas metálicas; transportar ferramentas, equipamentos e mater"&amp;"iais; auxiliar na colocação, espalhamento, adensamento e acabamento do concreto sob supervisão; segurar e posicionar materiais; Limpeza e manutenção de ferramentas, equipamentos, formas e áreas de trabalho; remoção de entulhos, excesso de concreto e resíd"&amp;"uos; e auxílio no nivelamento final e restauração do local. O trabalhador utiliza equipamentos para compactar o solo e os materiais de base agregados, misturar concreto e argamassa, transportar concreto e materiais de construção, auxiliar na colocação do "&amp;"concreto, remover água de áreas escavadas, manter as condições do local de trabalho e dar suporte a projetos de construção de concreto, piscinas, entradas de garagem, calçadas, pátios e passarelas. Os materiais manuseados incluem concreto, cascalho, areia"&amp;", pedra britada, vergalhões, tela metálica, formas de madeira, tubos de PVC, materiais de construção de piscinas, materiais de aterro e suprimentos de construção relacionados. ***Original*** Executa tarefas que envolvem trabalho físico em canteiros de obr"&amp;"as. Pode operar ferramentas manuais e elétricas de todos os tipos: martelos pneumáticos, compactadores de solo, betoneiras, pequenos guindastes mecânicos, equipamentos de topografia e medição e uma variedade de outros equipamentos e instrumentos. Pode lim"&amp;"par e preparar locais, cavar valas, instalar escoras para sustentar as laterais das escavações, montar andaimes e limpar entulhos, detritos e outros resíduos. Pode auxiliar outros trabalhadores especializados. Classificação da Função: 47-2051.00 - Pedreir"&amp;"os e Acabadores de Concreto. A classificação e descrição da função/setor inclui informações gerais sobre o cargo, conforme o ONET/OES e o Sistema de Classificação Industrial da América do Norte (NAICS). Consulte as Funções e a Ordem de Serviço para obter "&amp;"mais informações. Requisitos da Função: Experiência Necessária: Não. Requisitos Especiais: CAPACIDADE DE LEVANTAR E CARREGAR 23 KG. DISPONIBILIDADE PARA HORAS EXTRAS E TRABALHO AOS FINS DE SEMANA. JORNADA DE TRABALHO DE 8 HORAS. Testes toxicológicos aleat"&amp;"órios poderão ser realizados após a contratação. Número de Horas por Semana: 40. Horário de Trabalho (Início/Término): 6h às 17h.")</f>
        <v>***2ª resposta à RFI*** O trabalhador auxilia na colocação de aço de reforço, vergalhões e telas metálicas utilizadas em projetos de construção em concreto. As tarefas específicas incluem carregar, descarregar, organizar, separar, posicionar e colocar vergalhões e telas metálicas dentro de fôrmas e áreas escavadas; segurar os materiais no lugar enquanto trabalhadores experientes os fixam; medir e alinhar os materiais de reforço de acordo com as instruções de layout; e auxiliar na amarração do aço de reforço utilizando arame de amarração pré-cortado. As ferramentas e equipamentos utilizados incluem ferramentas para amarrar vergalhões, alicates, cortadores de arame, trenas, níveis, espaçadores de vergalhão, carrinhos de mão, carrinhos de materiais e ferramentas manuais comumente usadas para posicionar materiais de reforço. Os materiais manuseados incluem barras de aço de reforço (vergalhões), telas metálicas soldadas, arame de amarração, espaçadores de vergalhão e materiais de reforço de concreto relacionados. ***1ª resposta à RFI*** O trabalhador auxilia operários experientes da construção civil, acabadores de concreto, operadores de equipamentos e supervisores envolvidos na instalação de piscinas, calçadas, entradas de garagem, pátios, passarelas e estruturas de concreto relacionadas. O trabalhador pode operar compactadores de placa vibratória, betoneiras, carrinhos de mão motorizados, carrinhos de materiais, bombas d'água, lavadoras de alta pressão, geradores portáteis, pequenas ferramentas elétricas (furadeiras, esmerilhadeiras, tupias), pás, ancinhos, vassouras, carrinhos de mão, baldes, compactadores de solo, desempenadeiras manuais, trenas e níveis. As funções incluem carregar, descarregar, movimentar e organizar materiais de construção; auxiliar na preparação do terreno, escavação, nivelamento, reaterro e limpeza; construir, posicionar, escorar, desmontar e remover fôrmas de concreto; auxiliar na colocação de aço de reforço, vergalhões e telas metálicas; transportar ferramentas, equipamentos e materiais; auxiliar na colocação, espalhamento, adensamento e acabamento do concreto sob supervisão; segurar e posicionar materiais; Limpeza e manutenção de ferramentas, equipamentos, formas e áreas de trabalho; remoção de entulhos, excesso de concreto e resíduos; e auxílio no nivelamento final e restauração do local. O trabalhador utiliza equipamentos para compactar o solo e os materiais de base agregados, misturar concreto e argamassa, transportar concreto e materiais de construção, auxiliar na colocação do concreto, remover água de áreas escavadas, manter as condições do local de trabalho e dar suporte a projetos de construção de concreto, piscinas, entradas de garagem, calçadas, pátios e passarelas. Os materiais manuseados incluem concreto, cascalho, areia, pedra britada, vergalhões, tela metálica, formas de madeira, tubos de PVC, materiais de construção de piscinas, materiais de aterro e suprimentos de construção relacionados. ***Original*** Executa tarefas que envolvem trabalho físico em canteiros de obras. Pode operar ferramentas manuais e elétricas de todos os tipos: martelos pneumáticos, compactadores de solo, betoneiras, pequenos guindastes mecânicos, equipamentos de topografia e medição e uma variedade de outros equipamentos e instrumentos. Pode limpar e preparar locais, cavar valas, instalar escoras para sustentar as laterais das escavações, montar andaimes e limpar entulhos, detritos e outros resíduos. Pode auxiliar outros trabalhadores especializados. Classificação da Função: 47-2051.00 - Pedreiros e Acabadores de Concreto. A classificação e descrição da função/setor inclui informações gerais sobre o cargo, conforme o ONET/OES e o Sistema de Classificação Industrial da América do Norte (NAICS). Consulte as Funções e a Ordem de Serviço para obter mais informações. Requisitos da Função: Experiência Necessária: Não. Requisitos Especiais: CAPACIDADE DE LEVANTAR E CARREGAR 23 KG. DISPONIBILIDADE PARA HORAS EXTRAS E TRABALHO AOS FINS DE SEMANA. JORNADA DE TRABALHO DE 8 HORAS. Testes toxicológicos aleatórios poderão ser realizados após a contratação. Número de Horas por Semana: 40. Horário de Trabalho (Início/Término): 6h às 17h.</v>
      </c>
    </row>
    <row r="1408" ht="20.25" customHeight="1">
      <c r="A1408" s="3" t="s">
        <v>6269</v>
      </c>
      <c r="B1408" s="3" t="s">
        <v>6270</v>
      </c>
      <c r="C1408" s="3" t="s">
        <v>5563</v>
      </c>
      <c r="D1408" s="3" t="s">
        <v>64</v>
      </c>
      <c r="E1408" s="4" t="s">
        <v>19</v>
      </c>
      <c r="F1408" s="4" t="s">
        <v>20</v>
      </c>
      <c r="G1408" s="4" t="s">
        <v>80</v>
      </c>
      <c r="H1408" s="3" t="s">
        <v>6271</v>
      </c>
      <c r="I1408" s="3" t="s">
        <v>6272</v>
      </c>
      <c r="J1408" s="4">
        <v>24.8</v>
      </c>
      <c r="K1408" s="4">
        <v>22.0</v>
      </c>
      <c r="L1408" s="3" t="s">
        <v>3147</v>
      </c>
      <c r="M1408" s="3" t="s">
        <v>6273</v>
      </c>
      <c r="N1408" s="7" t="str">
        <f>IFERROR(__xludf.DUMMYFUNCTION("GOOGLETRANSLATE(L1408, ""en"", ""pt"")"),"Marinheiros de convés de barco de ostras")</f>
        <v>Marinheiros de convés de barco de ostras</v>
      </c>
      <c r="O1408" s="7" t="str">
        <f>IFERROR(__xludf.DUMMYFUNCTION("IF(M1408="""","""",GOOGLETRANSLATE(M1408,""en"",""pt""))"),"Os trabalhadores podem ser solicitados a lavar barcos com lavadora de alta pressão. Podem também ser solicitados a lixar ou esmerilhar usando uma lixadeira ou esmerilhadeira. Podem ser solicitados a fazer pequenos reparos, como trocar filtros de combustív"&amp;"el, onde seria necessário usar uma chave inglesa. Os marinheiros auxiliarão em projetos de manutenção e reparos para preparar os barcos. Serão solicitados a realizar tarefas como pintar com pincel, lixar a pintura com lixa para prepará-la, lubrificar guin"&amp;"chos com uma pistola de graxa e pregar tábuas do convés com um martelo. Fixar dispositivos de equipamentos em cabos, guindastes e guinchos. Carregar/descarregar equipamentos e suprimentos. Pescar/dragar ostras (prender redes e linhas, recolher a pesca), s"&amp;"elecionar e limpar a pesca, descartar ostras, transplantar ostras, armazená-las e descarregá-las. Lavar o convés, equipamentos, caixa térmica e cabine. Separar, limpar e devolver ostras indesejáveis ​​e de tamanho ilegal à baía. Instalar tubos de PVC e/ou"&amp;" marcadores de ostras em áreas de cultivo de ostras privadas. Transplantar ostras, conchas e pedras. Prender e remover cabos de amarração de embarcações, tanto no cais quanto em outras embarcações. O trabalho no estaleiro inclui limpeza da embarcação, lix"&amp;"amento, pintura, lubrificação, ajuste e pequenos reparos no motor e equipamentos. Realizar manutenção, reparos e serviços gerais em barcos de pesca de ostras, docas e estaleiros. Executar qualquer combinação das seguintes tarefas a bordo da embarcação de "&amp;"pesca: vigiar, dirigir e vigiar a casa de máquinas. Carregar/descarregar sacos de ostras da embarcação para o refrigerador da doca e/ou caminhões de carga. Os marinheiros devem conhecer e cumprir todos os procedimentos de segurança da Guarda Costeira dos "&amp;"EUA e todas as leis do Departamento de Parques e Vida Selvagem do Texas. Sem experiência/Sem escolaridade. Treinamento de 1 dia no local de trabalho fornecido. Consulte o adendo anexo. Classificação do Cargo: 43-5011.00 - Agentes de Carga e Frete. A class"&amp;"ificação e descrição do cargo/setor inclui informações gerais sobre a posição, de acordo com o ONET/OES e o Sistema de Classificação Industrial da América do Norte. Consulte as Funções e a Ordem de Serviço para obter mais informações. Requisitos da vaga E"&amp;"xperiência necessária: Não Requisitos especiais: Capacidade de levantar/carregar até 45 kg. O empregador pagará o exame toxicológico após a contratação, em caso de suspeita. O empregador poderá realizar verificações legais relacionadas ao trabalho, inclui"&amp;"ndo consultas sobre antecedentes criminais, quando permitido pelas leis federais, estaduais e locais aplicáveis. Qualquer análise de antecedentes criminais será feita individualmente e as decisões de contratação serão tomadas de forma não discriminatória,"&amp;" em conformidade com as leis aplicáveis ​​e as necessidades da empresa. Não são permitidas doenças infecciosas; alergias a frutos do mar podem ser fatais. Número de horas por semana: 35 Horário de trabalho (início/término): 6h às 14h")</f>
        <v>Os trabalhadores podem ser solicitados a lavar barcos com lavadora de alta pressão. Podem também ser solicitados a lixar ou esmerilhar usando uma lixadeira ou esmerilhadeira. Podem ser solicitados a fazer pequenos reparos, como trocar filtros de combustível, onde seria necessário usar uma chave inglesa. Os marinheiros auxiliarão em projetos de manutenção e reparos para preparar os barcos. Serão solicitados a realizar tarefas como pintar com pincel, lixar a pintura com lixa para prepará-la, lubrificar guinchos com uma pistola de graxa e pregar tábuas do convés com um martelo. Fixar dispositivos de equipamentos em cabos, guindastes e guinchos. Carregar/descarregar equipamentos e suprimentos. Pescar/dragar ostras (prender redes e linhas, recolher a pesca), selecionar e limpar a pesca, descartar ostras, transplantar ostras, armazená-las e descarregá-las. Lavar o convés, equipamentos, caixa térmica e cabine. Separar, limpar e devolver ostras indesejáveis ​​e de tamanho ilegal à baía. Instalar tubos de PVC e/ou marcadores de ostras em áreas de cultivo de ostras privadas. Transplantar ostras, conchas e pedras. Prender e remover cabos de amarração de embarcações, tanto no cais quanto em outras embarcações. O trabalho no estaleiro inclui limpeza da embarcação, lixamento, pintura, lubrificação, ajuste e pequenos reparos no motor e equipamentos. Realizar manutenção, reparos e serviços gerais em barcos de pesca de ostras, docas e estaleiros. Executar qualquer combinação das seguintes tarefas a bordo da embarcação de pesca: vigiar, dirigir e vigiar a casa de máquinas. Carregar/descarregar sacos de ostras da embarcação para o refrigerador da doca e/ou caminhões de carga. Os marinheiros devem conhecer e cumprir todos os procedimentos de segurança da Guarda Costeira dos EUA e todas as leis do Departamento de Parques e Vida Selvagem do Texas. Sem experiência/Sem escolaridade. Treinamento de 1 dia no local de trabalho fornecido. Consulte o adendo anexo. Classificação do Cargo: 43-5011.00 - Agentes de Carga e Frete. A classificação e descrição do cargo/setor inclui informações gerais sobre a posição, de acordo com o ONET/OES e o Sistema de Classificação Industrial da América do Norte. Consulte as Funções e a Ordem de Serviço para obter mais informações. Requisitos da vaga Experiência necessária: Não Requisitos especiais: Capacidade de levantar/carregar até 45 kg. O empregador pagará o exame toxicológico após a contratação, em caso de suspeita. O empregador poderá realizar verificações legais relacionadas ao trabalho, incluindo consultas sobre antecedentes criminais, quando permitido pelas leis federais, estaduais e locais aplicáveis. Qualquer análise de antecedentes criminais será feita individualmente e as decisões de contratação serão tomadas de forma não discriminatória, em conformidade com as leis aplicáveis ​​e as necessidades da empresa. Não são permitidas doenças infecciosas; alergias a frutos do mar podem ser fatais. Número de horas por semana: 35 Horário de trabalho (início/término): 6h às 14h</v>
      </c>
    </row>
    <row r="1409" ht="20.25" customHeight="1">
      <c r="A1409" s="8" t="s">
        <v>6274</v>
      </c>
      <c r="B1409" s="8" t="s">
        <v>6275</v>
      </c>
      <c r="C1409" s="8" t="s">
        <v>6276</v>
      </c>
      <c r="D1409" s="8" t="s">
        <v>596</v>
      </c>
      <c r="E1409" s="9" t="s">
        <v>19</v>
      </c>
      <c r="F1409" s="9" t="s">
        <v>20</v>
      </c>
      <c r="G1409" s="9" t="s">
        <v>377</v>
      </c>
      <c r="H1409" s="8" t="s">
        <v>6277</v>
      </c>
      <c r="I1409" s="8" t="s">
        <v>6278</v>
      </c>
      <c r="J1409" s="9">
        <v>19.48</v>
      </c>
      <c r="K1409" s="9">
        <v>2.0</v>
      </c>
      <c r="L1409" s="8" t="s">
        <v>387</v>
      </c>
      <c r="M1409" s="8" t="s">
        <v>6279</v>
      </c>
      <c r="N1409" s="7" t="str">
        <f>IFERROR(__xludf.DUMMYFUNCTION("GOOGLETRANSLATE(L1409, ""en"", ""pt"")"),"Ordem de serviço não disponível")</f>
        <v>Ordem de serviço não disponível</v>
      </c>
      <c r="O1409" s="7" t="str">
        <f>IFERROR(__xludf.DUMMYFUNCTION("IF(M1409="""","""",GOOGLETRANSLATE(M1409,""en"",""pt""))"),"A função do cozinheiro é garantir que a cozinha esteja pronta para a produção, totalmente abastecida e que todos os alimentos sejam preparados. O cozinheiro deve assegurar que todas as refeições sejam preparadas de forma consistente, atendendo aos nossos "&amp;"altos padrões. Temperar e cozinhar os alimentos de acordo com as receitas ou com base no próprio julgamento. Outras responsabilidades podem incluir o monitoramento da qualidade dos produtos e do frescor dos alimentos para garantir o mínimo de desperdício."&amp;" Garantir que os alimentos sejam armazenados e cozidos na temperatura correta, regulando a temperatura de fornos, grelhas, chapas e assadeiras. Garantir que todos os utensílios de cozinha, louças e equipamentos de lavagem do restaurante estejam limpos e h"&amp;"igienizados. Deve trabalhar bem em um ambiente de cozinha dinâmico. Deve ser honesto e confiável, trabalhar bem em equipe e ter boa gestão do tempo. Deve ser capaz de seguir instruções com precisão. Deve ser organizado e atento aos detalhes, trabalhar de "&amp;"forma independente e ser capaz de resolver problemas. Deve ter experiência em cozinha comercial, restaurantes de alta gastronomia, panificação e atendimento ao cliente. Esta função utiliza fornos, grelhas, facas e batedeiras, entre outros equipamentos de "&amp;"restaurante. O funcionário pode estar exposto a água quente, pisos potencialmente escorregadios, trituradores de lixo e produtos químicos de limpeza. O funcionário deve levantar e mover até 23 kg. Não é necessária experiência prévia. O funcionário também "&amp;"deve executar quaisquer outras tarefas relacionadas à cozinha que lhe forem atribuídas pelo supervisor. Classificação do Cargo: 35-2014.00 - Cozinheiros, Restaurante. A classificação e descrição do cargo/setor incluem informações gerais sobre a posição, d"&amp;"e acordo com o ONET/OES e o Sistema de Classificação Industrial da América do Norte. Consulte as Funções e a Ordem de Serviço para obter mais informações. Requisitos do Cargo Experiência Necessária: Não. Requisitos Especiais: O funcionário deve ser capaz "&amp;"de levantar e mover até 23 kg. Os funcionários trabalharão de segunda a domingo, em média 40 horas por semana. Devem estar disponíveis para trabalhar em qualquer turno de 8 horas entre 8h e 23h, em qualquer dia da semana; as folgas são rotativas, os turno"&amp;"s variam, e é necessário trabalhar nos fins de semana e feriados. Este trabalho exige movimento contínuo, incluindo flexões, levantamento e empurrões frequentes; o funcionário deve ser flexível, capaz de se comunicar em inglês e ser um bom membro da equip"&amp;"e. Número de Horas por Semana: 40. Horário de Trabalho (Início/Término): 8h às 23h.")</f>
        <v>A função do cozinheiro é garantir que a cozinha esteja pronta para a produção, totalmente abastecida e que todos os alimentos sejam preparados. O cozinheiro deve assegurar que todas as refeições sejam preparadas de forma consistente, atendendo aos nossos altos padrões. Temperar e cozinhar os alimentos de acordo com as receitas ou com base no próprio julgamento. Outras responsabilidades podem incluir o monitoramento da qualidade dos produtos e do frescor dos alimentos para garantir o mínimo de desperdício. Garantir que os alimentos sejam armazenados e cozidos na temperatura correta, regulando a temperatura de fornos, grelhas, chapas e assadeiras. Garantir que todos os utensílios de cozinha, louças e equipamentos de lavagem do restaurante estejam limpos e higienizados. Deve trabalhar bem em um ambiente de cozinha dinâmico. Deve ser honesto e confiável, trabalhar bem em equipe e ter boa gestão do tempo. Deve ser capaz de seguir instruções com precisão. Deve ser organizado e atento aos detalhes, trabalhar de forma independente e ser capaz de resolver problemas. Deve ter experiência em cozinha comercial, restaurantes de alta gastronomia, panificação e atendimento ao cliente. Esta função utiliza fornos, grelhas, facas e batedeiras, entre outros equipamentos de restaurante. O funcionário pode estar exposto a água quente, pisos potencialmente escorregadios, trituradores de lixo e produtos químicos de limpeza. O funcionário deve levantar e mover até 23 kg. Não é necessária experiência prévia. O funcionário também deve executar quaisquer outras tarefas relacionadas à cozinha que lhe forem atribuídas pelo supervisor. Classificação do Cargo: 35-2014.00 - Cozinheiros, Restaurante. A classificação e descrição do cargo/setor incluem informações gerais sobre a posição, de acordo com o ONET/OES e o Sistema de Classificação Industrial da América do Norte. Consulte as Funções e a Ordem de Serviço para obter mais informações. Requisitos do Cargo Experiência Necessária: Não. Requisitos Especiais: O funcionário deve ser capaz de levantar e mover até 23 kg. Os funcionários trabalharão de segunda a domingo, em média 40 horas por semana. Devem estar disponíveis para trabalhar em qualquer turno de 8 horas entre 8h e 23h, em qualquer dia da semana; as folgas são rotativas, os turnos variam, e é necessário trabalhar nos fins de semana e feriados. Este trabalho exige movimento contínuo, incluindo flexões, levantamento e empurrões frequentes; o funcionário deve ser flexível, capaz de se comunicar em inglês e ser um bom membro da equipe. Número de Horas por Semana: 40. Horário de Trabalho (Início/Término): 8h às 23h.</v>
      </c>
    </row>
    <row r="1410" ht="20.25" customHeight="1">
      <c r="A1410" s="3" t="s">
        <v>6280</v>
      </c>
      <c r="B1410" s="3" t="s">
        <v>6281</v>
      </c>
      <c r="C1410" s="3" t="s">
        <v>6282</v>
      </c>
      <c r="D1410" s="3" t="s">
        <v>154</v>
      </c>
      <c r="E1410" s="4" t="s">
        <v>44</v>
      </c>
      <c r="F1410" s="4" t="s">
        <v>20</v>
      </c>
      <c r="G1410" s="4" t="s">
        <v>307</v>
      </c>
      <c r="H1410" s="3" t="s">
        <v>6283</v>
      </c>
      <c r="I1410" s="3" t="s">
        <v>6284</v>
      </c>
      <c r="J1410" s="4">
        <v>17.06</v>
      </c>
      <c r="K1410" s="4">
        <v>10.0</v>
      </c>
      <c r="L1410" s="3" t="s">
        <v>59</v>
      </c>
      <c r="M1410" s="3" t="s">
        <v>6285</v>
      </c>
      <c r="N1410" s="7" t="str">
        <f>IFERROR(__xludf.DUMMYFUNCTION("GOOGLETRANSLATE(L1410, ""en"", ""pt"")"),"Trabalhador de paisagismo")</f>
        <v>Trabalhador de paisagismo</v>
      </c>
      <c r="O1410" s="7" t="str">
        <f>IFERROR(__xludf.DUMMYFUNCTION("IF(M1410="""","""",GOOGLETRANSLATE(M1410,""en"",""pt""))"),"Corte de grama, roçada, poda de arbustos e paisagismo; os equipamentos utilizados são cortador de grama, roçadeiras, sopradores de folhas, aparadores de cerca viva, pás e carrinhos de mão. Todas as ferramentas serão fornecidas. Classificação da vaga: 37-3"&amp;"011.00 - Trabalhadores de Paisagismo e Manutenção de Jardins. A classificação e descrição da vaga/setor incluem informações gerais sobre o cargo, de acordo com o ONET/OES e o Sistema de Classificação Industrial da América do Norte (NAICS). Consulte as Fun"&amp;"ções e a Ordem de Serviço para obter mais informações. Requisitos da vaga: Experiência necessária: Sim. Meses de experiência necessários: 1. Requisitos especiais: Deve ser capaz de levantar 23 kg. Número de horas por semana: 40. Horário de trabalho (iníci"&amp;"o/término): 8h às 18h.")</f>
        <v>Corte de grama, roçada, poda de arbustos e paisagismo; os equipamentos utilizados são cortador de grama, roçadeiras, sopradores de folhas, aparadores de cerca viva, pás e carrinhos de mão. Todas as ferramentas serão fornecidas. Classificação da vaga: 37-3011.00 - Trabalhadores de Paisagismo e Manutenção de Jardins. A classificação e descrição da vaga/setor incluem informações gerais sobre o cargo, de acordo com o ONET/OES e o Sistema de Classificação Industrial da América do Norte (NAICS). Consulte as Funções e a Ordem de Serviço para obter mais informações. Requisitos da vaga: Experiência necessária: Sim. Meses de experiência necessários: 1. Requisitos especiais: Deve ser capaz de levantar 23 kg. Número de horas por semana: 40. Horário de trabalho (início/término): 8h às 18h.</v>
      </c>
    </row>
    <row r="1411" ht="20.25" customHeight="1">
      <c r="A1411" s="8" t="s">
        <v>6286</v>
      </c>
      <c r="B1411" s="8" t="s">
        <v>6076</v>
      </c>
      <c r="C1411" s="8" t="s">
        <v>5737</v>
      </c>
      <c r="D1411" s="8" t="s">
        <v>532</v>
      </c>
      <c r="E1411" s="9" t="s">
        <v>19</v>
      </c>
      <c r="F1411" s="9" t="s">
        <v>20</v>
      </c>
      <c r="G1411" s="9" t="s">
        <v>80</v>
      </c>
      <c r="H1411" s="8" t="s">
        <v>6077</v>
      </c>
      <c r="I1411" s="8" t="s">
        <v>6078</v>
      </c>
      <c r="J1411" s="9">
        <v>21.52</v>
      </c>
      <c r="K1411" s="9">
        <v>9.0</v>
      </c>
      <c r="L1411" s="8" t="s">
        <v>406</v>
      </c>
      <c r="M1411" s="8" t="s">
        <v>6079</v>
      </c>
      <c r="N1411" s="7" t="str">
        <f>IFERROR(__xludf.DUMMYFUNCTION("GOOGLETRANSLATE(L1411, ""en"", ""pt"")"),"Trabalhador")</f>
        <v>Trabalhador</v>
      </c>
      <c r="O1411" s="7" t="str">
        <f>IFERROR(__xludf.DUMMYFUNCTION("IF(M1411="""","""",GOOGLETRANSLATE(M1411,""en"",""pt""))"),"Transplantar árvores e arbustos já estabelecidos. Cavar buracos, posicionar e plantar árvores, preencher os buracos. Estacar árvores, regar e remover folhas. Classificação da vaga: 37-3011.00 - Trabalhadores de Paisagismo e Manutenção de Jardins. A classi"&amp;"ficação e descrição da vaga/setor inclui informações gerais sobre o cargo, de acordo com o ONET/OES e o Sistema de Classificação Industrial da América do Norte (NAICS). Consulte as Funções e a Ordem de Serviço para obter mais informações. Requisitos da va"&amp;"ga: Experiência necessária: Não. Requisitos especiais: Verificação de antecedentes pré-contratação obrigatória; Testes toxicológicos aleatórios durante o emprego; Testes toxicológicos pré-emprego obrigatórios; Testes toxicológicos durante o emprego por ju"&amp;"sta causa; Testes toxicológicos pós-acidente; Capacidade de levantar 23 kg; Segunda a sexta-feira, alguns fins de semana conforme necessário; Horário variável; Horários de início e término variáveis; Horas extras variáveis. Todas as verificações de antece"&amp;"dentes são realizadas igualmente para trabalhadores americanos e trabalhadores com visto H-2B, e todas as taxas são pagas pela empresa. Consulte o documento adicional em anexo para obter mais detalhes sobre a administração de nossa política de verificação"&amp;" de antecedentes. Todos os testes de drogas são realizados independentemente da cidadania ou do status imigratório do funcionário, e todos os custos são pagos pela empresa. Consulte o documento adicional em anexo para obter mais detalhes sobre a administr"&amp;"ação de nossa política de testes de drogas. Número de horas por semana: 40. Horário de trabalho (início/término): 6h às 15h30.")</f>
        <v>Transplantar árvores e arbustos já estabelecidos. Cavar buracos, posicionar e plantar árvores, preencher os buracos. Estacar árvores, regar e remover folhas. Classificação da vaga: 37-3011.00 - Trabalhadores de Paisagismo e Manutenção de Jardins. A classificação e descrição da vaga/setor inclui informações gerais sobre o cargo, de acordo com o ONET/OES e o Sistema de Classificação Industrial da América do Norte (NAICS). Consulte as Funções e a Ordem de Serviço para obter mais informações. Requisitos da vaga: Experiência necessária: Não. Requisitos especiais: Verificação de antecedentes pré-contratação obrigatória; Testes toxicológicos aleatórios durante o emprego; Testes toxicológicos pré-emprego obrigatórios; Testes toxicológicos durante o emprego por justa causa; Testes toxicológicos pós-acidente; Capacidade de levantar 23 kg; Segunda a sexta-feira, alguns fins de semana conforme necessário; Horário variável; Horários de início e término variáveis; Horas extras variáveis. Todas as verificações de antecedentes são realizadas igualmente para trabalhadores americanos e trabalhadores com visto H-2B, e todas as taxas são pagas pela empresa. Consulte o documento adicional em anexo para obter mais detalhes sobre a administração de nossa política de verificação de antecedentes. Todos os testes de drogas são realizados independentemente da cidadania ou do status imigratório do funcionário, e todos os custos são pagos pela empresa. Consulte o documento adicional em anexo para obter mais detalhes sobre a administração de nossa política de testes de drogas. Número de horas por semana: 40. Horário de trabalho (início/término): 6h às 15h30.</v>
      </c>
    </row>
    <row r="1412" ht="20.25" customHeight="1">
      <c r="A1412" s="3" t="s">
        <v>6287</v>
      </c>
      <c r="B1412" s="3" t="s">
        <v>6076</v>
      </c>
      <c r="C1412" s="3" t="s">
        <v>5737</v>
      </c>
      <c r="D1412" s="3" t="s">
        <v>87</v>
      </c>
      <c r="E1412" s="4" t="s">
        <v>44</v>
      </c>
      <c r="F1412" s="4" t="s">
        <v>20</v>
      </c>
      <c r="G1412" s="4" t="s">
        <v>80</v>
      </c>
      <c r="H1412" s="3" t="s">
        <v>6077</v>
      </c>
      <c r="I1412" s="3" t="s">
        <v>6078</v>
      </c>
      <c r="J1412" s="4">
        <v>18.21</v>
      </c>
      <c r="K1412" s="4">
        <v>9.0</v>
      </c>
      <c r="L1412" s="3" t="s">
        <v>406</v>
      </c>
      <c r="M1412" s="3" t="s">
        <v>6288</v>
      </c>
      <c r="N1412" s="7" t="str">
        <f>IFERROR(__xludf.DUMMYFUNCTION("GOOGLETRANSLATE(L1412, ""en"", ""pt"")"),"Trabalhador")</f>
        <v>Trabalhador</v>
      </c>
      <c r="O1412" s="7" t="str">
        <f>IFERROR(__xludf.DUMMYFUNCTION("IF(M1412="""","""",GOOGLETRANSLATE(M1412,""en"",""pt""))"),"Transplantar árvores e arbustos já estabelecidos. Cavar buracos, posicionar e plantar árvores, preencher os buracos. Estacar árvores, regar e remover folhas. Classificação da vaga: 37-3011.00 - Trabalhadores de Paisagismo e Manutenção de Jardins. A classi"&amp;"ficação e descrição da vaga/setor inclui informações gerais sobre o cargo, de acordo com o ONET/OES e o Sistema de Classificação Industrial da América do Norte (NAICS). Consulte as Funções e a Ordem de Serviço para obter mais informações. Requisitos da va"&amp;"ga: Experiência necessária: Não. Requisitos especiais: Verificação de antecedentes pré-contratação obrigatória; Testes toxicológicos aleatórios durante o emprego; Teste toxicológico pré-admissional obrigatório; Teste toxicológico durante o emprego por jus"&amp;"ta causa; Teste toxicológico pós-acidente; Capacidade de levantar 23 kg; Segunda a sexta-feira, alguns fins de semana conforme necessário; Horário variável; Horários de início e término variáveis; Horas extras variáveis. Todas as verificações de anteceden"&amp;"tes são realizadas igualmente para trabalhadores americanos e trabalhadores com visto H-2B, e todas as taxas são pagas pela empresa. Consulte o documento adicional em anexo para obter mais detalhes sobre a administração de nossa política de verificação de"&amp;" antecedentes. Todos os testes de drogas são realizados independentemente da cidadania ou do status imigratório do funcionário, e todos os custos são pagos pela empresa. Consulte o documento adicional em anexo para obter mais detalhes sobre a administraçã"&amp;"o de nossa política de testes de drogas. Número de horas por semana: 40. Horário de trabalho (início/término): 6h às 15h30.")</f>
        <v>Transplantar árvores e arbustos já estabelecidos. Cavar buracos, posicionar e plantar árvores, preencher os buracos. Estacar árvores, regar e remover folhas. Classificação da vaga: 37-3011.00 - Trabalhadores de Paisagismo e Manutenção de Jardins. A classificação e descrição da vaga/setor inclui informações gerais sobre o cargo, de acordo com o ONET/OES e o Sistema de Classificação Industrial da América do Norte (NAICS). Consulte as Funções e a Ordem de Serviço para obter mais informações. Requisitos da vaga: Experiência necessária: Não. Requisitos especiais: Verificação de antecedentes pré-contratação obrigatória; Testes toxicológicos aleatórios durante o emprego; Teste toxicológico pré-admissional obrigatório; Teste toxicológico durante o emprego por justa causa; Teste toxicológico pós-acidente; Capacidade de levantar 23 kg; Segunda a sexta-feira, alguns fins de semana conforme necessário; Horário variável; Horários de início e término variáveis; Horas extras variáveis. Todas as verificações de antecedentes são realizadas igualmente para trabalhadores americanos e trabalhadores com visto H-2B, e todas as taxas são pagas pela empresa. Consulte o documento adicional em anexo para obter mais detalhes sobre a administração de nossa política de verificação de antecedentes. Todos os testes de drogas são realizados independentemente da cidadania ou do status imigratório do funcionário, e todos os custos são pagos pela empresa. Consulte o documento adicional em anexo para obter mais detalhes sobre a administração de nossa política de testes de drogas. Número de horas por semana: 40. Horário de trabalho (início/término): 6h às 15h30.</v>
      </c>
    </row>
    <row r="1413" ht="20.25" customHeight="1">
      <c r="A1413" s="8" t="s">
        <v>6289</v>
      </c>
      <c r="B1413" s="8" t="s">
        <v>6076</v>
      </c>
      <c r="C1413" s="8" t="s">
        <v>5737</v>
      </c>
      <c r="D1413" s="8" t="s">
        <v>64</v>
      </c>
      <c r="E1413" s="9" t="s">
        <v>19</v>
      </c>
      <c r="F1413" s="9" t="s">
        <v>20</v>
      </c>
      <c r="G1413" s="9" t="s">
        <v>80</v>
      </c>
      <c r="H1413" s="8" t="s">
        <v>6077</v>
      </c>
      <c r="I1413" s="8" t="s">
        <v>6078</v>
      </c>
      <c r="J1413" s="9">
        <v>18.93</v>
      </c>
      <c r="K1413" s="9">
        <v>14.0</v>
      </c>
      <c r="L1413" s="8" t="s">
        <v>406</v>
      </c>
      <c r="M1413" s="8" t="s">
        <v>6079</v>
      </c>
      <c r="N1413" s="7" t="str">
        <f>IFERROR(__xludf.DUMMYFUNCTION("GOOGLETRANSLATE(L1413, ""en"", ""pt"")"),"Trabalhador")</f>
        <v>Trabalhador</v>
      </c>
      <c r="O1413" s="7" t="str">
        <f>IFERROR(__xludf.DUMMYFUNCTION("IF(M1413="""","""",GOOGLETRANSLATE(M1413,""en"",""pt""))"),"Transplantar árvores e arbustos já estabelecidos. Cavar buracos, posicionar e plantar árvores, preencher os buracos. Estacar árvores, regar e remover folhas. Classificação da vaga: 37-3011.00 - Trabalhadores de Paisagismo e Manutenção de Jardins. A classi"&amp;"ficação e descrição da vaga/setor inclui informações gerais sobre o cargo, de acordo com o ONET/OES e o Sistema de Classificação Industrial da América do Norte (NAICS). Consulte as Funções e a Ordem de Serviço para obter mais informações. Requisitos da va"&amp;"ga: Experiência necessária: Não. Requisitos especiais: Verificação de antecedentes pré-contratação obrigatória; Testes toxicológicos aleatórios durante o emprego; Testes toxicológicos pré-emprego obrigatórios; Testes toxicológicos durante o emprego por ju"&amp;"sta causa; Testes toxicológicos pós-acidente; Capacidade de levantar 23 kg; Segunda a sexta-feira, alguns fins de semana conforme necessário; Horário variável; Horários de início e término variáveis; Horas extras variáveis. Todas as verificações de antece"&amp;"dentes são realizadas igualmente para trabalhadores americanos e trabalhadores com visto H-2B, e todas as taxas são pagas pela empresa. Consulte o documento adicional em anexo para obter mais detalhes sobre a administração de nossa política de verificação"&amp;" de antecedentes. Todos os testes de drogas são realizados independentemente da cidadania ou do status imigratório do funcionário, e todos os custos são pagos pela empresa. Consulte o documento adicional em anexo para obter mais detalhes sobre a administr"&amp;"ação de nossa política de testes de drogas. Número de horas por semana: 40. Horário de trabalho (início/término): 6h às 15h30.")</f>
        <v>Transplantar árvores e arbustos já estabelecidos. Cavar buracos, posicionar e plantar árvores, preencher os buracos. Estacar árvores, regar e remover folhas. Classificação da vaga: 37-3011.00 - Trabalhadores de Paisagismo e Manutenção de Jardins. A classificação e descrição da vaga/setor inclui informações gerais sobre o cargo, de acordo com o ONET/OES e o Sistema de Classificação Industrial da América do Norte (NAICS). Consulte as Funções e a Ordem de Serviço para obter mais informações. Requisitos da vaga: Experiência necessária: Não. Requisitos especiais: Verificação de antecedentes pré-contratação obrigatória; Testes toxicológicos aleatórios durante o emprego; Testes toxicológicos pré-emprego obrigatórios; Testes toxicológicos durante o emprego por justa causa; Testes toxicológicos pós-acidente; Capacidade de levantar 23 kg; Segunda a sexta-feira, alguns fins de semana conforme necessário; Horário variável; Horários de início e término variáveis; Horas extras variáveis. Todas as verificações de antecedentes são realizadas igualmente para trabalhadores americanos e trabalhadores com visto H-2B, e todas as taxas são pagas pela empresa. Consulte o documento adicional em anexo para obter mais detalhes sobre a administração de nossa política de verificação de antecedentes. Todos os testes de drogas são realizados independentemente da cidadania ou do status imigratório do funcionário, e todos os custos são pagos pela empresa. Consulte o documento adicional em anexo para obter mais detalhes sobre a administração de nossa política de testes de drogas. Número de horas por semana: 40. Horário de trabalho (início/término): 6h às 15h30.</v>
      </c>
    </row>
    <row r="1414" ht="20.25" customHeight="1">
      <c r="A1414" s="3" t="s">
        <v>6290</v>
      </c>
      <c r="B1414" s="3" t="s">
        <v>6291</v>
      </c>
      <c r="C1414" s="3" t="s">
        <v>6292</v>
      </c>
      <c r="D1414" s="3" t="s">
        <v>596</v>
      </c>
      <c r="E1414" s="4" t="s">
        <v>19</v>
      </c>
      <c r="F1414" s="4" t="s">
        <v>20</v>
      </c>
      <c r="G1414" s="4" t="s">
        <v>6293</v>
      </c>
      <c r="H1414" s="3" t="s">
        <v>6294</v>
      </c>
      <c r="I1414" s="3" t="s">
        <v>6295</v>
      </c>
      <c r="J1414" s="4">
        <v>20.36</v>
      </c>
      <c r="K1414" s="4">
        <v>1.0</v>
      </c>
      <c r="L1414" s="3" t="s">
        <v>387</v>
      </c>
      <c r="M1414" s="3" t="s">
        <v>6296</v>
      </c>
      <c r="N1414" s="7" t="str">
        <f>IFERROR(__xludf.DUMMYFUNCTION("GOOGLETRANSLATE(L1414, ""en"", ""pt"")"),"Ordem de serviço não disponível")</f>
        <v>Ordem de serviço não disponível</v>
      </c>
      <c r="O1414" s="7" t="str">
        <f>IFERROR(__xludf.DUMMYFUNCTION("IF(M1414="""","""",GOOGLETRANSLATE(M1414,""en"",""pt""))"),"Prestar cuidados em tempo integral a uma criança de dois anos com epilepsia. Supervisionar constantemente e monitorar sinais de crises convulsivas. Administrar medicamentos nos horários e doses adequados, conforme necessário, para o controle das crises. P"&amp;"restar primeiros socorros ou realizar ressuscitação cardiopulmonar (RCP) quando necessário. Eliminar riscos e estabelecer limites e regras apropriadas para criar um ambiente seguro. Garantir a segurança física por meio do uso de dispositivos adaptativos f"&amp;"ornecidos. Regular os períodos de descanso e os horários de soneca. Estruturar atividades apropriadas para a idade, como brincadeiras no colo, leitura e trabalhos manuais, para estimular o desenvolvimento intelectual. Preparar e servir refeições nutricion"&amp;"almente balanceadas para a criança, seguindo rigorosamente a dieta médica para o controle da epilepsia. Servir de modelo para comportamentos sociais adequados. Organizar e conduzir atividades recreativas apropriadas para a idade, como jogos, trabalhos man"&amp;"uais, esportes, caminhadas e dias de brincadeira. Trabalhar com os pais para desenvolver e implementar programas disciplinares que promovam o comportamento desejável da criança. Realizar tarefas domésticas leves relacionadas aos cuidados da criança. O hor"&amp;"ário de trabalho para esta vaga é o seguinte: Seg: 9h às 16h Ter: 9h às 16h Qua: 9h às 16h Qui: 9h às 16h Sex: 7h às 16h Sáb: 7h às 10h Classificação da vaga: 31-1121.00 - Auxiliares de Saúde Domiciliar A classificação e descrição da vaga/setor incluem in"&amp;"formações gerais sobre o cargo, de acordo com o ONET/OES e o Sistema de Classificação Industrial da América do Norte (NAICS). Consulte as Funções e a Ordem de Serviço para obter mais informações. Requisitos da vaga Experiência necessária: Sim Meses de exp"&amp;"eriência necessários: 24 Requisitos especiais: Certificação em Primeiros Socorros e Certificação em RCP Número de horas por semana: 39 Horário de trabalho (início/término): 9h às 16h")</f>
        <v>Prestar cuidados em tempo integral a uma criança de dois anos com epilepsia. Supervisionar constantemente e monitorar sinais de crises convulsivas. Administrar medicamentos nos horários e doses adequados, conforme necessário, para o controle das crises. Prestar primeiros socorros ou realizar ressuscitação cardiopulmonar (RCP) quando necessário. Eliminar riscos e estabelecer limites e regras apropriadas para criar um ambiente seguro. Garantir a segurança física por meio do uso de dispositivos adaptativos fornecidos. Regular os períodos de descanso e os horários de soneca. Estruturar atividades apropriadas para a idade, como brincadeiras no colo, leitura e trabalhos manuais, para estimular o desenvolvimento intelectual. Preparar e servir refeições nutricionalmente balanceadas para a criança, seguindo rigorosamente a dieta médica para o controle da epilepsia. Servir de modelo para comportamentos sociais adequados. Organizar e conduzir atividades recreativas apropriadas para a idade, como jogos, trabalhos manuais, esportes, caminhadas e dias de brincadeira. Trabalhar com os pais para desenvolver e implementar programas disciplinares que promovam o comportamento desejável da criança. Realizar tarefas domésticas leves relacionadas aos cuidados da criança. O horário de trabalho para esta vaga é o seguinte: Seg: 9h às 16h Ter: 9h às 16h Qua: 9h às 16h Qui: 9h às 16h Sex: 7h às 16h Sáb: 7h às 10h Classificação da vaga: 31-1121.00 - Auxiliares de Saúde Domiciliar A classificação e descrição da vaga/setor incluem informações gerais sobre o cargo, de acordo com o ONET/OES e o Sistema de Classificação Industrial da América do Norte (NAICS). Consulte as Funções e a Ordem de Serviço para obter mais informações. Requisitos da vaga Experiência necessária: Sim Meses de experiência necessários: 24 Requisitos especiais: Certificação em Primeiros Socorros e Certificação em RCP Número de horas por semana: 39 Horário de trabalho (início/término): 9h às 16h</v>
      </c>
    </row>
    <row r="1415" ht="20.25" customHeight="1">
      <c r="A1415" s="8" t="s">
        <v>6297</v>
      </c>
      <c r="B1415" s="8" t="s">
        <v>6298</v>
      </c>
      <c r="C1415" s="8" t="s">
        <v>6234</v>
      </c>
      <c r="D1415" s="8" t="s">
        <v>64</v>
      </c>
      <c r="E1415" s="9" t="s">
        <v>19</v>
      </c>
      <c r="F1415" s="9" t="s">
        <v>20</v>
      </c>
      <c r="G1415" s="9" t="s">
        <v>1829</v>
      </c>
      <c r="H1415" s="8" t="s">
        <v>6299</v>
      </c>
      <c r="I1415" s="8" t="s">
        <v>6300</v>
      </c>
      <c r="J1415" s="9">
        <v>18.93</v>
      </c>
      <c r="K1415" s="9">
        <v>28.0</v>
      </c>
      <c r="L1415" s="8" t="s">
        <v>59</v>
      </c>
      <c r="M1415" s="8" t="s">
        <v>6301</v>
      </c>
      <c r="N1415" s="7" t="str">
        <f>IFERROR(__xludf.DUMMYFUNCTION("GOOGLETRANSLATE(L1415, ""en"", ""pt"")"),"Trabalhador de paisagismo")</f>
        <v>Trabalhador de paisagismo</v>
      </c>
      <c r="O1415" s="7" t="str">
        <f>IFERROR(__xludf.DUMMYFUNCTION("IF(M1415="""","""",GOOGLETRANSLATE(M1415,""en"",""pt""))"),"Responsabilidades: Remoção e poda de arbustos; poda e remoção de árvores caídas utilizando motosserras, trituradores e podadores; limpeza e remoção de folhas e detritos; descarte de galhos, ramos e árvores caídas utilizando ferramentas como motosserras e "&amp;"trituradores para limpar o terreno; plantio de paisagismo de inverno, incluindo azevinho e outras coníferas, aplicação de cobertura morta, plantio, aplicação e fertilização de azevém perene, preparação de plantas e árvores para protegê-las do congelamento"&amp;", com manutenção de jardins e controle de drenagem; plantio de flores de inverno anuais; aplicação, aplicação e fertilização de cobertura morta em toda a propriedade para proteger as plantas, e preparação e drenagem do sistema de irrigação para o inverno;"&amp;" limpeza de lagoas de retenção, removendo lixo, folhas, galhos e outros detritos flutuantes com rastelos manuais. Manutenção da vegetação natural através da poda, corte e cobertura morta do terreno ao redor da lagoa. Remoção contínua de depósitos de neve "&amp;"acumulados em condições climáticas extremas em diversas propriedades comerciais utilizando sopradores de neve e pás de neve comerciais padrão. Remediação de gelo e aplicação de sal. Carregamento e descarregamento de materiais e equipamentos. Levantamento "&amp;"de peso de até 23 kg (50 libras). O trabalho é realizado em locais de obra na região, com transporte fornecido pelo empregador de ida e volta a partir de um ponto de coleta centralizado na área de atuação. Classificação da vaga: 37-3011.00 - Trabalhadores"&amp;" de Paisagismo e Manutenção de Áreas Verdes. A classificação e descrição da vaga/setor incluem informações gerais sobre o cargo, de acordo com o ONET/OES e o Sistema de Classificação Industrial da América do Norte (NAICS). Consulte as Funções e a Ordem de"&amp;" Serviço para obter mais informações. Requisitos da vaga: Experiência necessária: Não. Número de horas por semana: 40. Horário de trabalho (início/término): 7h30 às 16h.")</f>
        <v>Responsabilidades: Remoção e poda de arbustos; poda e remoção de árvores caídas utilizando motosserras, trituradores e podadores; limpeza e remoção de folhas e detritos; descarte de galhos, ramos e árvores caídas utilizando ferramentas como motosserras e trituradores para limpar o terreno; plantio de paisagismo de inverno, incluindo azevinho e outras coníferas, aplicação de cobertura morta, plantio, aplicação e fertilização de azevém perene, preparação de plantas e árvores para protegê-las do congelamento, com manutenção de jardins e controle de drenagem; plantio de flores de inverno anuais; aplicação, aplicação e fertilização de cobertura morta em toda a propriedade para proteger as plantas, e preparação e drenagem do sistema de irrigação para o inverno; limpeza de lagoas de retenção, removendo lixo, folhas, galhos e outros detritos flutuantes com rastelos manuais. Manutenção da vegetação natural através da poda, corte e cobertura morta do terreno ao redor da lagoa. Remoção contínua de depósitos de neve acumulados em condições climáticas extremas em diversas propriedades comerciais utilizando sopradores de neve e pás de neve comerciais padrão. Remediação de gelo e aplicação de sal. Carregamento e descarregamento de materiais e equipamentos. Levantamento de peso de até 23 kg (50 libras). O trabalho é realizado em locais de obra na região, com transporte fornecido pelo empregador de ida e volta a partir de um ponto de coleta centralizado na área de atuação. Classificação da vaga: 37-3011.00 - Trabalhadores de Paisagismo e Manutenção de Áreas Verdes. A classificação e descrição da vaga/setor incluem informações gerais sobre o cargo, de acordo com o ONET/OES e o Sistema de Classificação Industrial da América do Norte (NAICS). Consulte as Funções e a Ordem de Serviço para obter mais informações. Requisitos da vaga: Experiência necessária: Não. Número de horas por semana: 40. Horário de trabalho (início/término): 7h30 às 16h.</v>
      </c>
    </row>
    <row r="1416" ht="20.25" customHeight="1">
      <c r="A1416" s="3" t="s">
        <v>6302</v>
      </c>
      <c r="B1416" s="3" t="s">
        <v>6303</v>
      </c>
      <c r="C1416" s="3" t="s">
        <v>6282</v>
      </c>
      <c r="D1416" s="3" t="s">
        <v>154</v>
      </c>
      <c r="E1416" s="4" t="s">
        <v>19</v>
      </c>
      <c r="F1416" s="4" t="s">
        <v>20</v>
      </c>
      <c r="G1416" s="4" t="s">
        <v>307</v>
      </c>
      <c r="H1416" s="3" t="s">
        <v>6304</v>
      </c>
      <c r="I1416" s="3" t="s">
        <v>6305</v>
      </c>
      <c r="J1416" s="4">
        <v>20.63</v>
      </c>
      <c r="K1416" s="4">
        <v>12.0</v>
      </c>
      <c r="L1416" s="3" t="s">
        <v>262</v>
      </c>
      <c r="M1416" s="3" t="s">
        <v>6306</v>
      </c>
      <c r="N1416" s="7" t="str">
        <f>IFERROR(__xludf.DUMMYFUNCTION("GOOGLETRANSLATE(L1416, ""en"", ""pt"")"),"Operário da construção civil")</f>
        <v>Operário da construção civil</v>
      </c>
      <c r="O1416" s="7" t="str">
        <f>IFERROR(__xludf.DUMMYFUNCTION("IF(M1416="""","""",GOOGLETRANSLATE(M1416,""en"",""pt""))"),"As funções incluem seguir os protocolos de segurança e usar os equipamentos de proteção individual adequados, auxiliar no carregamento e descarregamento de equipamentos e materiais, limpar e preparar os canteiros de obras, auxiliar os profissionais da con"&amp;"strução civil em suas tarefas, montar e desmontar andaimes e outras estruturas temporárias, e manter um ambiente de trabalho limpo e organizado. Classificação da função: 47-2061.00 - Auxiliares de Construção Civil. A classificação e descrição da função/se"&amp;"tor incluem informações gerais sobre o cargo, de acordo com o ONET/OES e o Sistema de Classificação Industrial da América do Norte (NAICS). Consulte a Descrição das Funções e a Ordem de Serviço para obter mais informações. Requisitos da vaga: Experiência "&amp;"necessária: Não. Requisitos especiais: Capacidade de levantar 23 kg. Número de horas por semana: 40. Horário de trabalho (início/término): 7h às 16h.")</f>
        <v>As funções incluem seguir os protocolos de segurança e usar os equipamentos de proteção individual adequados, auxiliar no carregamento e descarregamento de equipamentos e materiais, limpar e preparar os canteiros de obras, auxiliar os profissionais da construção civil em suas tarefas, montar e desmontar andaimes e outras estruturas temporárias, e manter um ambiente de trabalho limpo e organizado. Classificação da função: 47-2061.00 - Auxiliares de Construção Civil. A classificação e descrição da função/setor incluem informações gerais sobre o cargo, de acordo com o ONET/OES e o Sistema de Classificação Industrial da América do Norte (NAICS). Consulte a Descrição das Funções e a Ordem de Serviço para obter mais informações. Requisitos da vaga: Experiência necessária: Não. Requisitos especiais: Capacidade de levantar 23 kg. Número de horas por semana: 40. Horário de trabalho (início/término): 7h às 16h.</v>
      </c>
    </row>
    <row r="1417" ht="20.25" customHeight="1">
      <c r="A1417" s="8" t="s">
        <v>6307</v>
      </c>
      <c r="B1417" s="8" t="s">
        <v>6308</v>
      </c>
      <c r="C1417" s="8" t="s">
        <v>6234</v>
      </c>
      <c r="D1417" s="8" t="s">
        <v>64</v>
      </c>
      <c r="E1417" s="9" t="s">
        <v>44</v>
      </c>
      <c r="F1417" s="9" t="s">
        <v>20</v>
      </c>
      <c r="G1417" s="9" t="s">
        <v>1650</v>
      </c>
      <c r="H1417" s="8" t="s">
        <v>6309</v>
      </c>
      <c r="I1417" s="8" t="s">
        <v>6310</v>
      </c>
      <c r="J1417" s="9">
        <v>18.93</v>
      </c>
      <c r="K1417" s="9">
        <v>7.0</v>
      </c>
      <c r="L1417" s="8" t="s">
        <v>6311</v>
      </c>
      <c r="M1417" s="8" t="s">
        <v>6312</v>
      </c>
      <c r="N1417" s="7" t="str">
        <f>IFERROR(__xludf.DUMMYFUNCTION("GOOGLETRANSLATE(L1417, ""en"", ""pt"")"),"Manutenção qualificada de jardins no inverno")</f>
        <v>Manutenção qualificada de jardins no inverno</v>
      </c>
      <c r="O1417" s="7" t="str">
        <f>IFERROR(__xludf.DUMMYFUNCTION("IF(M1417="""","""",GOOGLETRANSLATE(M1417,""en"",""pt""))"),"A vaga oferecida é para um auxiliar de paisagismo experiente, com no mínimo três meses de experiência na área, que possa trabalhar e demonstrar os métodos e procedimentos de paisagismo da empresa para até três colegas. As responsabilidades incluem: remoçã"&amp;"o e poda de árvores e arbustos; limpeza do terreno, remoção de folhas e detritos; descarte de galhos, ramos e árvores; plantio de inverno, incluindo azevinho e outras coníferas; aplicação de cobertura morta; plantio, aplicação e fertilização de azevém per"&amp;"ene; proteção de plantas e árvores contra geadas, com manutenção de jardins e controle de drenagem; plantio de flores anuais de inverno; poda e remoção de flores murchas de plantas perenes; aplicação, aplicação e fertilização de cobertura morta em toda a "&amp;"propriedade para proteger as plantas; preparação e drenagem do sistema de irrigação para o inverno; limpeza de lagoas de retenção; remoção de gelo e aplicação de sal; carga e descarga de materiais e equipamentos. É necessário levantar até 23 kg. O trabalh"&amp;"o será realizado em locais de trabalho na região, com transporte fornecido pelo empregador de ida e volta a partir de um ponto de encontro centralizado na área de atuação. Classificação da Função: 37-3011.00 - Trabalhadores de Paisagismo e Manutenção de J"&amp;"ardins. A classificação e descrição da função/setor inclui informações gerais sobre o cargo, conforme o ONET/OES e o Sistema de Classificação Industrial da América do Norte (NAICS). Consulte as Funções e a Ordem de Serviço para obter mais informações. Req"&amp;"uisitos da Função: Experiência Necessária: Sim. Meses de Experiência Necessária: 3. Requisitos Especiais: Nenhum. Número de Horas por Semana: 40. Horário de Trabalho (Início/Término): 8h às 17h.")</f>
        <v>A vaga oferecida é para um auxiliar de paisagismo experiente, com no mínimo três meses de experiência na área, que possa trabalhar e demonstrar os métodos e procedimentos de paisagismo da empresa para até três colegas. As responsabilidades incluem: remoção e poda de árvores e arbustos; limpeza do terreno, remoção de folhas e detritos; descarte de galhos, ramos e árvores; plantio de inverno, incluindo azevinho e outras coníferas; aplicação de cobertura morta; plantio, aplicação e fertilização de azevém perene; proteção de plantas e árvores contra geadas, com manutenção de jardins e controle de drenagem; plantio de flores anuais de inverno; poda e remoção de flores murchas de plantas perenes; aplicação, aplicação e fertilização de cobertura morta em toda a propriedade para proteger as plantas; preparação e drenagem do sistema de irrigação para o inverno; limpeza de lagoas de retenção; remoção de gelo e aplicação de sal; carga e descarga de materiais e equipamentos. É necessário levantar até 23 kg. O trabalho será realizado em locais de trabalho na região, com transporte fornecido pelo empregador de ida e volta a partir de um ponto de encontro centralizado na área de atuação. Classificação da Função: 37-3011.00 - Trabalhadores de Paisagismo e Manutenção de Jardins. A classificação e descrição da função/setor inclui informações gerais sobre o cargo, conforme o ONET/OES e o Sistema de Classificação Industrial da América do Norte (NAICS). Consulte as Funções e a Ordem de Serviço para obter mais informações. Requisitos da Função: Experiência Necessária: Sim. Meses de Experiência Necessária: 3. Requisitos Especiais: Nenhum. Número de Horas por Semana: 40. Horário de Trabalho (Início/Término): 8h às 17h.</v>
      </c>
    </row>
    <row r="1418" ht="20.25" customHeight="1">
      <c r="A1418" s="3" t="s">
        <v>6313</v>
      </c>
      <c r="B1418" s="3" t="s">
        <v>6308</v>
      </c>
      <c r="C1418" s="3" t="s">
        <v>6234</v>
      </c>
      <c r="D1418" s="3" t="s">
        <v>64</v>
      </c>
      <c r="E1418" s="4" t="s">
        <v>44</v>
      </c>
      <c r="F1418" s="4" t="s">
        <v>20</v>
      </c>
      <c r="G1418" s="4" t="s">
        <v>1650</v>
      </c>
      <c r="H1418" s="3" t="s">
        <v>6309</v>
      </c>
      <c r="I1418" s="3" t="s">
        <v>6310</v>
      </c>
      <c r="J1418" s="4">
        <v>18.93</v>
      </c>
      <c r="K1418" s="4">
        <v>13.0</v>
      </c>
      <c r="L1418" s="3" t="s">
        <v>6311</v>
      </c>
      <c r="M1418" s="3" t="s">
        <v>6314</v>
      </c>
      <c r="N1418" s="7" t="str">
        <f>IFERROR(__xludf.DUMMYFUNCTION("GOOGLETRANSLATE(L1418, ""en"", ""pt"")"),"Manutenção qualificada de jardins no inverno")</f>
        <v>Manutenção qualificada de jardins no inverno</v>
      </c>
      <c r="O1418" s="7" t="str">
        <f>IFERROR(__xludf.DUMMYFUNCTION("IF(M1418="""","""",GOOGLETRANSLATE(M1418,""en"",""pt""))"),"A vaga oferecida é para um auxiliar de paisagismo experiente, com no mínimo três meses de experiência na área, que possa trabalhar e demonstrar os métodos e procedimentos de paisagismo da empresa para até três colegas. As responsabilidades incluem: remoçã"&amp;"o e poda de árvores e arbustos; limpeza do terreno, remoção de folhas e detritos; descarte de galhos, ramos e árvores; plantio de inverno, incluindo azevinho e outras coníferas; aplicação de cobertura morta; plantio, aplicação e fertilização de azevém per"&amp;"ene; proteção de plantas e árvores contra geadas, com manutenção de jardins e controle de drenagem; plantio de flores anuais de inverno; poda e remoção de flores murchas de plantas perenes; aplicação, aplicação e fertilização de cobertura morta em toda a "&amp;"propriedade para proteger as plantas; preparação e drenagem do sistema de irrigação para o inverno; limpeza de lagoas de retenção; remoção de gelo e aplicação de sal; carga e descarga de materiais e equipamentos. É necessário levantar até 23 kg. O trabalh"&amp;"o será realizado em locais de trabalho na região, com transporte fornecido pelo empregador de ida e volta a partir de um ponto de encontro centralizado na área de atuação. Classificação da Função: 37-3011.00 - Trabalhadores de Paisagismo e Manutenção de Á"&amp;"reas Verdes. A classificação e descrição da função/setor inclui informações gerais sobre o cargo, conforme o ONET/OES e o Sistema de Classificação Industrial da América do Norte (NAICS). Consulte as Funções e a Ordem de Serviço para obter mais informações"&amp;". Requisitos da Função: Experiência Necessária: Sim. Meses de Experiência Necessária: 3. Número de Horas por Semana: 40. Horário de Trabalho (Início/Término): 8h às 17h.")</f>
        <v>A vaga oferecida é para um auxiliar de paisagismo experiente, com no mínimo três meses de experiência na área, que possa trabalhar e demonstrar os métodos e procedimentos de paisagismo da empresa para até três colegas. As responsabilidades incluem: remoção e poda de árvores e arbustos; limpeza do terreno, remoção de folhas e detritos; descarte de galhos, ramos e árvores; plantio de inverno, incluindo azevinho e outras coníferas; aplicação de cobertura morta; plantio, aplicação e fertilização de azevém perene; proteção de plantas e árvores contra geadas, com manutenção de jardins e controle de drenagem; plantio de flores anuais de inverno; poda e remoção de flores murchas de plantas perenes; aplicação, aplicação e fertilização de cobertura morta em toda a propriedade para proteger as plantas; preparação e drenagem do sistema de irrigação para o inverno; limpeza de lagoas de retenção; remoção de gelo e aplicação de sal; carga e descarga de materiais e equipamentos. É necessário levantar até 23 kg. O trabalho será realizado em locais de trabalho na região, com transporte fornecido pelo empregador de ida e volta a partir de um ponto de encontro centralizado na área de atuação. Classificação da Função: 37-3011.00 - Trabalhadores de Paisagismo e Manutenção de Áreas Verdes. A classificação e descrição da função/setor inclui informações gerais sobre o cargo, conforme o ONET/OES e o Sistema de Classificação Industrial da América do Norte (NAICS). Consulte as Funções e a Ordem de Serviço para obter mais informações. Requisitos da Função: Experiência Necessária: Sim. Meses de Experiência Necessária: 3. Número de Horas por Semana: 40. Horário de Trabalho (Início/Término): 8h às 17h.</v>
      </c>
    </row>
    <row r="1419" ht="20.25" customHeight="1">
      <c r="A1419" s="3" t="s">
        <v>6315</v>
      </c>
      <c r="B1419" s="3" t="s">
        <v>6316</v>
      </c>
      <c r="C1419" s="3" t="s">
        <v>1713</v>
      </c>
      <c r="D1419" s="3" t="s">
        <v>51</v>
      </c>
      <c r="E1419" s="4" t="s">
        <v>19</v>
      </c>
      <c r="F1419" s="4" t="s">
        <v>20</v>
      </c>
      <c r="G1419" s="4" t="s">
        <v>6317</v>
      </c>
      <c r="H1419" s="10" t="s">
        <v>6318</v>
      </c>
      <c r="I1419" s="3" t="s">
        <v>6319</v>
      </c>
      <c r="J1419" s="4">
        <v>12.63</v>
      </c>
      <c r="K1419" s="4">
        <v>7.0</v>
      </c>
      <c r="L1419" s="3" t="s">
        <v>6320</v>
      </c>
      <c r="M1419" s="3" t="s">
        <v>6321</v>
      </c>
      <c r="N1419" s="7" t="str">
        <f>IFERROR(__xludf.DUMMYFUNCTION("GOOGLETRANSLATE(L1419, ""en"", ""pt"")"),"Atendente de Parque de Diversões e Recreação")</f>
        <v>Atendente de Parque de Diversões e Recreação</v>
      </c>
      <c r="O1419" s="7" t="str">
        <f>IFERROR(__xludf.DUMMYFUNCTION("IF(M1419="""","""",GOOGLETRANSLATE(M1419,""en"",""pt""))"),"As funções podem incluir: Montagem e desmontagem de barracas de comida: Abrir/fechar janelas, usar guincho para levantar/abaixar placas, conectar mangueiras de água/esgoto/eletricidade, limpar a barraca. Inspecionar equipamentos para detectar desgaste e d"&amp;"anos e realizar pequenos reparos, ajustes ou tarefas de manutenção, como lubrificar peças. Não há ferramentas, equipamentos ou técnicas específicas exigidas. A Perfect Pie é uma concessionária itinerante que participa de diversas feiras e festivais. Eles "&amp;"preparam uma variedade de comidas típicas de feira, como cachorro-quente empanado, cachorro-quente frito, queijo coalho frito e bebidas. As funções incluem o preparo e a venda de comidas típicas de feira para clientes em festivais e feiras municipais/esta"&amp;"duais. Anotar pedidos de clientes, receber pagamentos e dar troco. Manter a área de trabalho limpa. Montar e desmontar barracas de comida. Manter/reparar equipamentos e outras atividades relacionadas a Atendente de Diversão e Recreação, conforme SOC/OES 3"&amp;"5-2015 (onetonline.org). Horário padrão/previsto: Segunda a domingo, das 11h às 23h. Oferecemos mais de 40 horas semanais, sem incluir almoço e/ou intervalos. Possibilidade de trabalho aos fins de semana e feriados. Os horários de início e término, a carg"&amp;"a horária e/ou horas extras podem variar, dependendo de fatores como necessidades do projeto/cronograma/serviço, condições climáticas e tempo de deslocamento entre os locais de trabalho (se aplicável). Horas extras são possíveis, mas não obrigatórias nem "&amp;"garantidas. A critério exclusivo do empregador: aumentos salariais e/ou bônus podem ser concedidos com base em fatores individuais, como desempenho ou habilidades (não garantidos). Moradia compartilhada opcional, sem custo para o funcionário. Classificaçã"&amp;"o da vaga: 35-2011.00 - Cozinheiros, Fast Food. A classificação e descrição da vaga/setor incluem informações gerais sobre o cargo, de acordo com o ONET/OES e o Sistema de Classificação Industrial da América do Norte (NAICS). Consulte as atribuições e a d"&amp;"escrição da vaga para obter mais informações. Requisitos da vaga: Experiência necessária: Não. Requisitos especiais: É necessário comprovar autorização legal para trabalhar nos Estados Unidos. Ambiente de trabalho livre de drogas, álcool e tabaco. Ativida"&amp;"des físicas como levantar, equilibrar-se, caminhar, abaixar-se, manusear, posicionar, mover e manipular materiais, utilizando força estática para exercer força muscular máxima para levantar, empurrar, puxar e carregar objetos de até 23 kg. Todos os candid"&amp;"atos devem ser capazes, dispostos e qualificados para realizar o trabalho descrito e devem estar disponíveis durante todo o período especificado, trabalhando em todas as áreas da empresa. A critério do empregador e devido a custos, o trabalhador poderá se"&amp;"r submetido a testes aleatórios de drogas e álcool durante o emprego: teste positivo ou recusa em cumprir o teste resultará em demissão. O trabalho é realizado ao ar livre, exposto às intempéries; o candidato deve ser capaz de realizar trabalho fisicament"&amp;"e extenuante por longos períodos, ocasionalmente em calor ou frio extremos. Condições climáticas variáveis ​​se aplicam; a carga horária pode sofrer alterações (+/-), com possibilidade de períodos de inatividade e/ou horas extras. Número de horas por sema"&amp;"na: 40. Horário de trabalho (início/término): 11h às 23h.")</f>
        <v>As funções podem incluir: Montagem e desmontagem de barracas de comida: Abrir/fechar janelas, usar guincho para levantar/abaixar placas, conectar mangueiras de água/esgoto/eletricidade, limpar a barraca. Inspecionar equipamentos para detectar desgaste e danos e realizar pequenos reparos, ajustes ou tarefas de manutenção, como lubrificar peças. Não há ferramentas, equipamentos ou técnicas específicas exigidas. A Perfect Pie é uma concessionária itinerante que participa de diversas feiras e festivais. Eles preparam uma variedade de comidas típicas de feira, como cachorro-quente empanado, cachorro-quente frito, queijo coalho frito e bebidas. As funções incluem o preparo e a venda de comidas típicas de feira para clientes em festivais e feiras municipais/estaduais. Anotar pedidos de clientes, receber pagamentos e dar troco. Manter a área de trabalho limpa. Montar e desmontar barracas de comida. Manter/reparar equipamentos e outras atividades relacionadas a Atendente de Diversão e Recreação, conforme SOC/OES 35-2015 (onetonline.org). Horário padrão/previsto: Segunda a domingo, das 11h às 23h. Oferecemos mais de 40 horas semanais, sem incluir almoço e/ou intervalos. Possibilidade de trabalho aos fins de semana e feriados. Os horários de início e término, a carga horária e/ou horas extras podem variar, dependendo de fatores como necessidades do projeto/cronograma/serviço, condições climáticas e tempo de deslocamento entre os locais de trabalho (se aplicável). Horas extras são possíveis, mas não obrigatórias nem garantidas. A critério exclusivo do empregador: aumentos salariais e/ou bônus podem ser concedidos com base em fatores individuais, como desempenho ou habilidades (não garantidos). Moradia compartilhada opcional, sem custo para o funcionário. Classificação da vaga: 35-2011.00 - Cozinheiros, Fast Food. A classificação e descrição da vaga/setor incluem informações gerais sobre o cargo, de acordo com o ONET/OES e o Sistema de Classificação Industrial da América do Norte (NAICS). Consulte as atribuições e a descrição da vaga para obter mais informações. Requisitos da vaga: Experiência necessária: Não. Requisitos especiais: É necessário comprovar autorização legal para trabalhar nos Estados Unidos. Ambiente de trabalho livre de drogas, álcool e tabaco. Atividades físicas como levantar, equilibrar-se, caminhar, abaixar-se, manusear, posicionar, mover e manipular materiais, utilizando força estática para exercer força muscular máxima para levantar, empurrar, puxar e carregar objetos de até 23 kg. Todos os candidatos devem ser capazes, dispostos e qualificados para realizar o trabalho descrito e devem estar disponíveis durante todo o período especificado, trabalhando em todas as áreas da empresa. A critério do empregador e devido a custos, o trabalhador poderá ser submetido a testes aleatórios de drogas e álcool durante o emprego: teste positivo ou recusa em cumprir o teste resultará em demissão. O trabalho é realizado ao ar livre, exposto às intempéries; o candidato deve ser capaz de realizar trabalho fisicamente extenuante por longos períodos, ocasionalmente em calor ou frio extremos. Condições climáticas variáveis ​​se aplicam; a carga horária pode sofrer alterações (+/-), com possibilidade de períodos de inatividade e/ou horas extras. Número de horas por semana: 40. Horário de trabalho (início/término): 11h às 23h.</v>
      </c>
    </row>
    <row r="1420" ht="20.25" customHeight="1">
      <c r="A1420" s="3" t="s">
        <v>6322</v>
      </c>
      <c r="B1420" s="3" t="s">
        <v>6323</v>
      </c>
      <c r="C1420" s="3" t="s">
        <v>6247</v>
      </c>
      <c r="D1420" s="3" t="s">
        <v>186</v>
      </c>
      <c r="E1420" s="4" t="s">
        <v>19</v>
      </c>
      <c r="F1420" s="4" t="s">
        <v>20</v>
      </c>
      <c r="G1420" s="4" t="s">
        <v>80</v>
      </c>
      <c r="H1420" s="3" t="s">
        <v>6324</v>
      </c>
      <c r="I1420" s="3" t="s">
        <v>6325</v>
      </c>
      <c r="J1420" s="4">
        <v>18.6</v>
      </c>
      <c r="K1420" s="4">
        <v>4.0</v>
      </c>
      <c r="L1420" s="3" t="s">
        <v>6250</v>
      </c>
      <c r="M1420" s="3" t="s">
        <v>6326</v>
      </c>
      <c r="N1420" s="7" t="str">
        <f>IFERROR(__xludf.DUMMYFUNCTION("GOOGLETRANSLATE(L1420, ""en"", ""pt"")"),"tratador de cavalos de corrida puro-sangue")</f>
        <v>tratador de cavalos de corrida puro-sangue</v>
      </c>
      <c r="O1420" s="7" t="str">
        <f>IFERROR(__xludf.DUMMYFUNCTION("IF(M1420="""","""",GOOGLETRANSLATE(M1420,""en"",""pt""))"),"Responsável pelos cuidados gerais de cavalos de corrida puro-sangue, incluindo alimentação, fornecimento de água, manutenção de baias e estábulos, limpeza, escovação, exercícios, casqueamento, desinfecção de baias e camas, administração de medicamentos co"&amp;"nforme prescrição e inspeção da condição física dos cavalos. Levantará as patas e limpará os cascos dos cavalos, aplicando linimentos e bandagens conforme necessário. Cuidará de 1 a 5 cavalos por vez. Turno dividido: das 5h às 11h e das 15h às 17h. Folgas"&amp;" rotativas. Classificação da vaga: 39-2021.00 - Cuidadores de Animais. A classificação e descrição da vaga/setor incluem informações gerais sobre o cargo, de acordo com o ONET/OES e o Sistema de Classificação Industrial da América do Norte. Consulte as Fu"&amp;"nções e a Ordem de Serviço para obter mais informações. Requisitos da vaga: Experiência necessária: Sim. Meses de experiência necessários: 1. Requisitos especiais: Deve ser capaz de levantar 23 kg. Número de horas por semana: 56. Horário de trabalho (iníc"&amp;"io/término): 5h. - 17h00")</f>
        <v>Responsável pelos cuidados gerais de cavalos de corrida puro-sangue, incluindo alimentação, fornecimento de água, manutenção de baias e estábulos, limpeza, escovação, exercícios, casqueamento, desinfecção de baias e camas, administração de medicamentos conforme prescrição e inspeção da condição física dos cavalos. Levantará as patas e limpará os cascos dos cavalos, aplicando linimentos e bandagens conforme necessário. Cuidará de 1 a 5 cavalos por vez. Turno dividido: das 5h às 11h e das 15h às 17h. Folgas rotativas. Classificação da vaga: 39-2021.00 - Cuidadores de Animais. A classificação e descrição da vaga/setor incluem informações gerais sobre o cargo, de acordo com o ONET/OES e o Sistema de Classificação Industrial da América do Norte. Consulte as Funções e a Ordem de Serviço para obter mais informações. Requisitos da vaga: Experiência necessária: Sim. Meses de experiência necessários: 1. Requisitos especiais: Deve ser capaz de levantar 23 kg. Número de horas por semana: 56. Horário de trabalho (início/término): 5h. - 17h00</v>
      </c>
    </row>
    <row r="1421" ht="20.25" customHeight="1">
      <c r="A1421" s="8" t="s">
        <v>6327</v>
      </c>
      <c r="B1421" s="8" t="s">
        <v>6328</v>
      </c>
      <c r="C1421" s="8"/>
      <c r="D1421" s="8" t="s">
        <v>28</v>
      </c>
      <c r="E1421" s="9" t="s">
        <v>19</v>
      </c>
      <c r="F1421" s="9" t="s">
        <v>20</v>
      </c>
      <c r="G1421" s="9" t="s">
        <v>212</v>
      </c>
      <c r="H1421" s="8" t="s">
        <v>6329</v>
      </c>
      <c r="I1421" s="8" t="s">
        <v>6162</v>
      </c>
      <c r="J1421" s="9">
        <v>24.39</v>
      </c>
      <c r="K1421" s="9">
        <v>45.0</v>
      </c>
      <c r="L1421" s="8" t="s">
        <v>6330</v>
      </c>
      <c r="M1421" s="8" t="s">
        <v>6331</v>
      </c>
      <c r="N1421" s="7" t="str">
        <f>IFERROR(__xludf.DUMMYFUNCTION("GOOGLETRANSLATE(L1421, ""en"", ""pt"")"),"Trabalhadores temporários para o convés de barcos de pesca de ostras")</f>
        <v>Trabalhadores temporários para o convés de barcos de pesca de ostras</v>
      </c>
      <c r="O1421" s="7" t="str">
        <f>IFERROR(__xludf.DUMMYFUNCTION("IF(M1421="""","""",GOOGLETRANSLATE(M1421,""en"",""pt""))"),"A Louisiana Sunken Marsh Fisheries está buscando quarenta e cinco (45) trabalhadores temporários para o posto de marinheiro em barcos de pesca de ostras, para o período de 1º de outubro de 2026 a 1º de junho de 2027. Durante o turno, os trabalhadores pode"&amp;"rão alternar entre diferentes tarefas conforme a necessidade. Os trabalhadores desempenharão funções a bordo de grandes embarcações comerciais de pesca de ostras que operam em águas costeiras e de pântano. As funções incluem lançar redes de arrasto na águ"&amp;"a para coletar ostras, içar as redes cheias para o convés da embarcação e remover as ostras das redes. Os trabalhadores inspecionarão, separarão e medirão as ostras para garantir que atendam ao tamanho mínimo legal de três (3) polegadas, devolvendo as ost"&amp;"ras menores à água. As ostras que atenderem aos requisitos de tamanho serão limpas com mangueiras de água para remover sujeira e detritos, depois classificadas, ensacadas, etiquetadas e preparadas para transporte ao porto para coleta pelas instalações de "&amp;"processamento. Outras funções incluem organizar equipamentos, manter um ambiente de trabalho limpo e seguro a bordo da embarcação e auxiliar no carregamento e descarregamento de ostras ensacadas. O trabalho é fisicamente exigente e requer ficar em pé por "&amp;"longos períodos, realizar tarefas repetitivas e levantar até 23 kg (50 libras) enquanto trabalha em superfícies molhadas e instáveis. Classificação da função: 45-3031.00 - Trabalhadores da Pesca e Caça. A classificação e descrição da função/setor inclui i"&amp;"nformações gerais sobre o cargo, de acordo com o ONET/OES e o Sistema de Classificação Industrial da América do Norte. Consulte as Funções e a Ordem de Serviço para obter mais informações. Requisitos da função: Experiência necessária: Sim. Meses de experi"&amp;"ência necessários: 3. Requisitos especiais: É necessário ter três (3) meses de experiência na área. Os trabalhadores devem estar dispostos e aptos a desempenhar as funções a bordo de embarcações comerciais de pesca de ostras em movimento, o que inclui fic"&amp;"ar em pé por longos períodos, realizar tarefas repetitivas e levantar até 23 kg (50 libras) enquanto trabalham em superfícies molhadas e instáveis. O trabalho é realizado em regime de turnos rotativos, de segunda a sexta-feira, sete (7) horas por dia, ent"&amp;"re as 6h00 e as 19h00, e aos sábados, cinco (5) horas por dia, entre as 6h00 e as 16h00. Todos os trabalhadores contratados deverão preencher o Formulário I-9 para comprovar sua identidade e autorização para trabalhar nos Estados Unidos. Número de horas p"&amp;"or semana: 40. Horário de trabalho (início/término): 13h00 - 19h00.")</f>
        <v>A Louisiana Sunken Marsh Fisheries está buscando quarenta e cinco (45) trabalhadores temporários para o posto de marinheiro em barcos de pesca de ostras, para o período de 1º de outubro de 2026 a 1º de junho de 2027. Durante o turno, os trabalhadores poderão alternar entre diferentes tarefas conforme a necessidade. Os trabalhadores desempenharão funções a bordo de grandes embarcações comerciais de pesca de ostras que operam em águas costeiras e de pântano. As funções incluem lançar redes de arrasto na água para coletar ostras, içar as redes cheias para o convés da embarcação e remover as ostras das redes. Os trabalhadores inspecionarão, separarão e medirão as ostras para garantir que atendam ao tamanho mínimo legal de três (3) polegadas, devolvendo as ostras menores à água. As ostras que atenderem aos requisitos de tamanho serão limpas com mangueiras de água para remover sujeira e detritos, depois classificadas, ensacadas, etiquetadas e preparadas para transporte ao porto para coleta pelas instalações de processamento. Outras funções incluem organizar equipamentos, manter um ambiente de trabalho limpo e seguro a bordo da embarcação e auxiliar no carregamento e descarregamento de ostras ensacadas. O trabalho é fisicamente exigente e requer ficar em pé por longos períodos, realizar tarefas repetitivas e levantar até 23 kg (50 libras) enquanto trabalha em superfícies molhadas e instáveis. Classificação da função: 45-3031.00 - Trabalhadores da Pesca e Caça. A classificação e descrição da função/setor inclui informações gerais sobre o cargo, de acordo com o ONET/OES e o Sistema de Classificação Industrial da América do Norte. Consulte as Funções e a Ordem de Serviço para obter mais informações. Requisitos da função: Experiência necessária: Sim. Meses de experiência necessários: 3. Requisitos especiais: É necessário ter três (3) meses de experiência na área. Os trabalhadores devem estar dispostos e aptos a desempenhar as funções a bordo de embarcações comerciais de pesca de ostras em movimento, o que inclui ficar em pé por longos períodos, realizar tarefas repetitivas e levantar até 23 kg (50 libras) enquanto trabalham em superfícies molhadas e instáveis. O trabalho é realizado em regime de turnos rotativos, de segunda a sexta-feira, sete (7) horas por dia, entre as 6h00 e as 19h00, e aos sábados, cinco (5) horas por dia, entre as 6h00 e as 16h00. Todos os trabalhadores contratados deverão preencher o Formulário I-9 para comprovar sua identidade e autorização para trabalhar nos Estados Unidos. Número de horas por semana: 40. Horário de trabalho (início/término): 13h00 - 19h00.</v>
      </c>
    </row>
    <row r="1422" ht="20.25" customHeight="1">
      <c r="A1422" s="3" t="s">
        <v>6332</v>
      </c>
      <c r="B1422" s="3" t="s">
        <v>6333</v>
      </c>
      <c r="C1422" s="3" t="s">
        <v>6247</v>
      </c>
      <c r="D1422" s="3" t="s">
        <v>51</v>
      </c>
      <c r="E1422" s="4" t="s">
        <v>19</v>
      </c>
      <c r="F1422" s="4" t="s">
        <v>20</v>
      </c>
      <c r="G1422" s="4" t="s">
        <v>345</v>
      </c>
      <c r="H1422" s="3" t="s">
        <v>6334</v>
      </c>
      <c r="I1422" s="3" t="s">
        <v>6335</v>
      </c>
      <c r="J1422" s="4">
        <v>14.09</v>
      </c>
      <c r="K1422" s="4">
        <v>12.0</v>
      </c>
      <c r="L1422" s="3" t="s">
        <v>6250</v>
      </c>
      <c r="M1422" s="3" t="s">
        <v>6336</v>
      </c>
      <c r="N1422" s="7" t="str">
        <f>IFERROR(__xludf.DUMMYFUNCTION("GOOGLETRANSLATE(L1422, ""en"", ""pt"")"),"tratador de cavalos de corrida puro-sangue")</f>
        <v>tratador de cavalos de corrida puro-sangue</v>
      </c>
      <c r="O1422" s="7" t="str">
        <f>IFERROR(__xludf.DUMMYFUNCTION("IF(M1422="""","""",GOOGLETRANSLATE(M1422,""en"",""pt""))"),"Responsável pelos cuidados gerais de cavalos de corrida puro-sangue, incluindo alimentação, fornecimento de água, manutenção de baias e estábulos, limpeza, escovação, exercícios, casqueamento, desinfecção de baias e camas, administração de medicamentos co"&amp;"nforme prescrição e inspeção da condição física dos cavalos. Levantará as patas e limpará os cascos dos cavalos, aplicando linimentos e bandagens conforme necessário. Cuidará de 1 a 5 cavalos por vez. Turno dividido: das 5h às 11h e das 15h às 17h. Folgas"&amp;" rotativas. Classificação da vaga: 39-2021.00 - Cuidadores de Animais. A classificação e descrição da vaga/setor incluem informações gerais sobre o cargo, de acordo com o ONET/OES e o Sistema de Classificação Industrial da América do Norte. Consulte as Fu"&amp;"nções e a Ordem de Serviço para obter mais informações. Requisitos da vaga: Experiência necessária: Sim. Meses de experiência necessários: 1. Requisitos especiais: Deve ser capaz de levantar 23 kg. Número de horas por semana: 56. Horário de trabalho (iníc"&amp;"io/término): 5h. - 17h00")</f>
        <v>Responsável pelos cuidados gerais de cavalos de corrida puro-sangue, incluindo alimentação, fornecimento de água, manutenção de baias e estábulos, limpeza, escovação, exercícios, casqueamento, desinfecção de baias e camas, administração de medicamentos conforme prescrição e inspeção da condição física dos cavalos. Levantará as patas e limpará os cascos dos cavalos, aplicando linimentos e bandagens conforme necessário. Cuidará de 1 a 5 cavalos por vez. Turno dividido: das 5h às 11h e das 15h às 17h. Folgas rotativas. Classificação da vaga: 39-2021.00 - Cuidadores de Animais. A classificação e descrição da vaga/setor incluem informações gerais sobre o cargo, de acordo com o ONET/OES e o Sistema de Classificação Industrial da América do Norte. Consulte as Funções e a Ordem de Serviço para obter mais informações. Requisitos da vaga: Experiência necessária: Sim. Meses de experiência necessários: 1. Requisitos especiais: Deve ser capaz de levantar 23 kg. Número de horas por semana: 56. Horário de trabalho (início/término): 5h. - 17h00</v>
      </c>
    </row>
    <row r="1423" ht="20.25" customHeight="1">
      <c r="A1423" s="8" t="s">
        <v>6337</v>
      </c>
      <c r="B1423" s="8" t="s">
        <v>6338</v>
      </c>
      <c r="C1423" s="8" t="s">
        <v>6339</v>
      </c>
      <c r="D1423" s="8" t="s">
        <v>71</v>
      </c>
      <c r="E1423" s="9" t="s">
        <v>44</v>
      </c>
      <c r="F1423" s="9" t="s">
        <v>20</v>
      </c>
      <c r="G1423" s="9" t="s">
        <v>377</v>
      </c>
      <c r="H1423" s="8" t="s">
        <v>6340</v>
      </c>
      <c r="I1423" s="8" t="s">
        <v>6341</v>
      </c>
      <c r="J1423" s="9">
        <v>21.23</v>
      </c>
      <c r="K1423" s="9">
        <v>10.0</v>
      </c>
      <c r="L1423" s="8" t="s">
        <v>6342</v>
      </c>
      <c r="M1423" s="8" t="s">
        <v>6343</v>
      </c>
      <c r="N1423" s="7" t="str">
        <f>IFERROR(__xludf.DUMMYFUNCTION("GOOGLETRANSLATE(L1423, ""en"", ""pt"")"),"Técnico Veterinário Equino")</f>
        <v>Técnico Veterinário Equino</v>
      </c>
      <c r="O1423" s="7" t="str">
        <f>IFERROR(__xludf.DUMMYFUNCTION("IF(M1423="""","""",GOOGLETRANSLATE(M1423,""en"",""pt""))"),"Realizar e auxiliar em radiologia digital. Realizar e auxiliar em odontologia equina de rotina, trabalhar com filmes eletrônicos, HVMS e planilhas do Excel. Conduzir os cavalos para que os veterinários possam verificar sua condição física. Administrar ane"&amp;"stesia sob a supervisão do veterinário, realizar exames laboratoriais de sangue, urina ou fezes, como urinálises ou hemogramas, para auxiliar no diagnóstico e tratamento de problemas de saúde animal. Cuidar e monitorar a condição de animais em recuperação"&amp;" pós-cirúrgica, preparar e administrar medicamentos, vacinas, soros ou tratamentos, conforme prescrição médica. Prestar primeiros socorros em emergências, monitorar a condição geral dos equinos. Classificação da função: 29-2056.00 - Tecnólogos e Técnicos "&amp;"Veterinários. A classificação e descrição da função/setor inclui informações gerais sobre o cargo, de acordo com o ONET/OES e o Sistema de Classificação Industrial da América do Norte. Consulte as atribuições e a descrição da vaga para obter mais informaç"&amp;"ões. Requisitos da vaga Experiência necessária: Sim Meses de experiência necessários: 12 Requisitos especiais: 12 meses de experiência no manuseio de materiais radioativos; conhecimento de técnicas avançadas de imagem. É imprescindível ter experiência com"&amp;"o cavaleiro/amazona, pois o trabalho com cavalos para avaliação da saúde veterinária é um requisito. Número de horas por semana: 40 Horário de trabalho (início/término): 8h30 às 17h30")</f>
        <v>Realizar e auxiliar em radiologia digital. Realizar e auxiliar em odontologia equina de rotina, trabalhar com filmes eletrônicos, HVMS e planilhas do Excel. Conduzir os cavalos para que os veterinários possam verificar sua condição física. Administrar anestesia sob a supervisão do veterinário, realizar exames laboratoriais de sangue, urina ou fezes, como urinálises ou hemogramas, para auxiliar no diagnóstico e tratamento de problemas de saúde animal. Cuidar e monitorar a condição de animais em recuperação pós-cirúrgica, preparar e administrar medicamentos, vacinas, soros ou tratamentos, conforme prescrição médica. Prestar primeiros socorros em emergências, monitorar a condição geral dos equinos. Classificação da função: 29-2056.00 - Tecnólogos e Técnicos Veterinários. A classificação e descrição da função/setor inclui informações gerais sobre o cargo, de acordo com o ONET/OES e o Sistema de Classificação Industrial da América do Norte. Consulte as atribuições e a descrição da vaga para obter mais informações. Requisitos da vaga Experiência necessária: Sim Meses de experiência necessários: 12 Requisitos especiais: 12 meses de experiência no manuseio de materiais radioativos; conhecimento de técnicas avançadas de imagem. É imprescindível ter experiência como cavaleiro/amazona, pois o trabalho com cavalos para avaliação da saúde veterinária é um requisito. Número de horas por semana: 40 Horário de trabalho (início/término): 8h30 às 17h30</v>
      </c>
    </row>
    <row r="1424" ht="20.25" customHeight="1">
      <c r="A1424" s="3" t="s">
        <v>6344</v>
      </c>
      <c r="B1424" s="3" t="s">
        <v>5901</v>
      </c>
      <c r="C1424" s="3" t="s">
        <v>5563</v>
      </c>
      <c r="D1424" s="3" t="s">
        <v>36</v>
      </c>
      <c r="E1424" s="4" t="s">
        <v>19</v>
      </c>
      <c r="F1424" s="4" t="s">
        <v>20</v>
      </c>
      <c r="G1424" s="4" t="s">
        <v>384</v>
      </c>
      <c r="H1424" s="3" t="s">
        <v>5902</v>
      </c>
      <c r="I1424" s="3" t="s">
        <v>5903</v>
      </c>
      <c r="J1424" s="4">
        <v>13.52</v>
      </c>
      <c r="K1424" s="4">
        <v>25.0</v>
      </c>
      <c r="L1424" s="3" t="s">
        <v>5587</v>
      </c>
      <c r="M1424" s="3" t="s">
        <v>6345</v>
      </c>
      <c r="N1424" s="7" t="str">
        <f>IFERROR(__xludf.DUMMYFUNCTION("GOOGLETRANSLATE(L1424, ""en"", ""pt"")"),"Processadores de Ostras")</f>
        <v>Processadores de Ostras</v>
      </c>
      <c r="O1424" s="7" t="str">
        <f>IFERROR(__xludf.DUMMYFUNCTION("IF(M1424="""","""",GOOGLETRANSLATE(M1424,""en"",""pt""))"),"Código SOC: 51-3022 — Cortadores e Aparadores de Carne, Aves e Peixes · Limpar e abrir ostras · Separar a carne por tamanho/qualidade · Preparar frutos do mar para venda no atacado/varejo · Limpar e higienizar áreas de trabalho e equipamentos · Manter a c"&amp;"onformidade com as normas de segurança alimentar Código SOC: 53-7064 — Embaladores e Acondicionadores Manuais · Pesar, contar e medir o produto · Colocar frutos do mar em recipientes · Selar, colocar gelo e embalar os produtos · Montar caixas Código SOC: "&amp;"53-7062 — Operários e Movimentadores de Carga, Estoque e Materiais Manuais · Mover, despejar e distribuir o produto · Realizar trabalhos no cais · Retirar ostras de barcos ou caminhões · Carregar produtos acabados em caminhões · Usar equipamentos de movim"&amp;"entação de materiais (ocasionalmente) · Colocar o produto cru em mesas de processamento · Congelar e retirar ostras com pá A segunda planta está localizada em 28 North First Street, Vandemere, NC 28587 - Condado de Pamlico. Consulte o Adendo em anexo. Cla"&amp;"ssificação da Função: 51-3022.00 - Cortadores e Aparadores de Carne, Aves e Peixes. A classificação e descrição da função/setor inclui informações gerais sobre o cargo, de acordo com o ONET/OES e o Sistema de Classificação Industrial da América do Norte ("&amp;"NAICS). Consulte as Funções e a Ordem de Serviço para obter mais informações. Requisitos da Função: Experiência Necessária: Não. Requisitos Especiais: Levantar/carregar até 23 kg. O empregador mantém um ambiente de trabalho livre do uso de drogas ilícitas"&amp;", álcool e substâncias controladas não autorizadas. É proibido o uso, a posse, a venda ou estar sob a influência de drogas ilícitas ou álcool durante o horário de trabalho ou nas dependências do empregador. O empregador poderá realizar verificações legais"&amp;" relacionadas ao trabalho, incluindo consultas sobre antecedentes criminais, quando permitido pelas leis federais, estaduais e locais aplicáveis. Qualquer análise de antecedentes criminais será feita individualmente e as decisões de emprego serão tomadas "&amp;"de forma não discriminatória, em conformidade com as leis aplicáveis ​​e as necessidades da empresa. Não é permitido o uso de doenças infecciosas; alergias a frutos do mar podem ser fatais. Número de horas por semana: 35 Horário de trabalho (início/términ"&amp;"o): 6h00 - 13h30")</f>
        <v>Código SOC: 51-3022 — Cortadores e Aparadores de Carne, Aves e Peixes · Limpar e abrir ostras · Separar a carne por tamanho/qualidade · Preparar frutos do mar para venda no atacado/varejo · Limpar e higienizar áreas de trabalho e equipamentos · Manter a conformidade com as normas de segurança alimentar Código SOC: 53-7064 — Embaladores e Acondicionadores Manuais · Pesar, contar e medir o produto · Colocar frutos do mar em recipientes · Selar, colocar gelo e embalar os produtos · Montar caixas Código SOC: 53-7062 — Operários e Movimentadores de Carga, Estoque e Materiais Manuais · Mover, despejar e distribuir o produto · Realizar trabalhos no cais · Retirar ostras de barcos ou caminhões · Carregar produtos acabados em caminhões · Usar equipamentos de movimentação de materiais (ocasionalmente) · Colocar o produto cru em mesas de processamento · Congelar e retirar ostras com pá A segunda planta está localizada em 28 North First Street, Vandemere, NC 28587 - Condado de Pamlico. Consulte o Adendo em anexo. Classificação da Função: 51-3022.00 - Cortadores e Aparadores de Carne, Aves e Peixes. A classificação e descrição da função/setor inclui informações gerais sobre o cargo, de acordo com o ONET/OES e o Sistema de Classificação Industrial da América do Norte (NAICS). Consulte as Funções e a Ordem de Serviço para obter mais informações. Requisitos da Função: Experiência Necessária: Não. Requisitos Especiais: Levantar/carregar até 23 kg. O empregador mantém um ambiente de trabalho livre do uso de drogas ilícitas, álcool e substâncias controladas não autorizadas. É proibido o uso, a posse, a venda ou estar sob a influência de drogas ilícitas ou álcool durante o horário de trabalho ou nas dependências do empregador. O empregador poderá realizar verificações legais relacionadas ao trabalho, incluindo consultas sobre antecedentes criminais, quando permitido pelas leis federais, estaduais e locais aplicáveis. Qualquer análise de antecedentes criminais será feita individualmente e as decisões de emprego serão tomadas de forma não discriminatória, em conformidade com as leis aplicáveis ​​e as necessidades da empresa. Não é permitido o uso de doenças infecciosas; alergias a frutos do mar podem ser fatais. Número de horas por semana: 35 Horário de trabalho (início/término): 6h00 - 13h30</v>
      </c>
    </row>
    <row r="1425" ht="20.25" customHeight="1">
      <c r="A1425" s="8" t="s">
        <v>6346</v>
      </c>
      <c r="B1425" s="8" t="s">
        <v>6347</v>
      </c>
      <c r="C1425" s="8" t="s">
        <v>6348</v>
      </c>
      <c r="D1425" s="8" t="s">
        <v>18</v>
      </c>
      <c r="E1425" s="9" t="s">
        <v>19</v>
      </c>
      <c r="F1425" s="9" t="s">
        <v>20</v>
      </c>
      <c r="G1425" s="9" t="s">
        <v>212</v>
      </c>
      <c r="H1425" s="8" t="s">
        <v>6349</v>
      </c>
      <c r="I1425" s="8" t="s">
        <v>6350</v>
      </c>
      <c r="J1425" s="9">
        <v>15.76</v>
      </c>
      <c r="K1425" s="9">
        <v>25.0</v>
      </c>
      <c r="L1425" s="8" t="s">
        <v>6351</v>
      </c>
      <c r="M1425" s="8" t="s">
        <v>6352</v>
      </c>
      <c r="N1425" s="7" t="str">
        <f>IFERROR(__xludf.DUMMYFUNCTION("GOOGLETRANSLATE(L1425, ""en"", ""pt"")"),"Serviços Gerais de Limpeza")</f>
        <v>Serviços Gerais de Limpeza</v>
      </c>
      <c r="O1425" s="7" t="str">
        <f>IFERROR(__xludf.DUMMYFUNCTION("IF(M1425="""","""",GOOGLETRANSLATE(M1425,""en"",""pt""))"),"Manter os edifícios limpos e organizados. Executar tarefas de limpeza pesada, como limpeza de pisos, lavagem de carpetes, limpeza de paredes e vidros e remoção de lixo. Limpar e abastecer banheiros. Recolher e descartar o lixo. Limpar os pisos dos edifíci"&amp;"os varrendo, passando pano, esfregando ou aspirando. Notificar os gerentes sobre a necessidade de grandes reparos ou ampliações nos sistemas operacionais do edifício. Seguir os procedimentos para o uso de produtos químicos de limpeza e equipamentos elétri"&amp;"cos para evitar danos aos pisos e instalações. Misturar água e detergentes ou ácidos em recipientes para preparar soluções de limpeza, de acordo com as especificações. Limpar janelas, divisórias de vidro ou espelhos, usando água com sabão ou outros produt"&amp;"os de limpeza, esponjas ou rodos. Solicitar os suprimentos necessários para as tarefas de limpeza e manutenção. Tirar o pó de móveis, paredes, máquinas ou equipamentos. Limpar e polir móveis e acessórios. Mover móveis, equipamentos ou suprimentos pesados,"&amp;" manualmente ou com carrinhos de mão. Remover a cera, selar, dar acabamento e polir pisos. Limpar chaminés, dutos e tubulações de conexão, usando ferramentas elétricas ou manuais. Limpar carpetes a vapor ou com xampu. Classificação da Função: 37-2011.00 -"&amp;" Zeladores e Faxineiros, exceto Empregadas Domésticas e Faxineiros. A classificação e descrição da função/setor inclui informações gerais sobre o cargo, de acordo com o ONET/OES e o Sistema de Classificação Industrial da América do Norte (NAICS). Consulte"&amp;" as Funções e a Ordem de Serviço para obter mais informações. Requisitos da Função: Experiência Necessária: Sim. Meses de Experiência Necessária: 6. Número de Horas por Semana: 35. Horário de Trabalho (Início/Término): 6h30 - 22h.")</f>
        <v>Manter os edifícios limpos e organizados. Executar tarefas de limpeza pesada, como limpeza de pisos, lavagem de carpetes, limpeza de paredes e vidros e remoção de lixo. Limpar e abastecer banheiros. Recolher e descartar o lixo. Limpar os pisos dos edifícios varrendo, passando pano, esfregando ou aspirando. Notificar os gerentes sobre a necessidade de grandes reparos ou ampliações nos sistemas operacionais do edifício. Seguir os procedimentos para o uso de produtos químicos de limpeza e equipamentos elétricos para evitar danos aos pisos e instalações. Misturar água e detergentes ou ácidos em recipientes para preparar soluções de limpeza, de acordo com as especificações. Limpar janelas, divisórias de vidro ou espelhos, usando água com sabão ou outros produtos de limpeza, esponjas ou rodos. Solicitar os suprimentos necessários para as tarefas de limpeza e manutenção. Tirar o pó de móveis, paredes, máquinas ou equipamentos. Limpar e polir móveis e acessórios. Mover móveis, equipamentos ou suprimentos pesados, manualmente ou com carrinhos de mão. Remover a cera, selar, dar acabamento e polir pisos. Limpar chaminés, dutos e tubulações de conexão, usando ferramentas elétricas ou manuais. Limpar carpetes a vapor ou com xampu. Classificação da Função: 37-2011.00 - Zeladores e Faxineiros, exceto Empregadas Domésticas e Faxineiros. A classificação e descrição da função/setor inclui informações gerais sobre o cargo, de acordo com o ONET/OES e o Sistema de Classificação Industrial da América do Norte (NAICS). Consulte as Funções e a Ordem de Serviço para obter mais informações. Requisitos da Função: Experiência Necessária: Sim. Meses de Experiência Necessária: 6. Número de Horas por Semana: 35. Horário de Trabalho (Início/Término): 6h30 - 22h.</v>
      </c>
    </row>
    <row r="1426" ht="20.25" customHeight="1">
      <c r="A1426" s="3" t="s">
        <v>6353</v>
      </c>
      <c r="B1426" s="3" t="s">
        <v>6354</v>
      </c>
      <c r="C1426" s="3" t="s">
        <v>5990</v>
      </c>
      <c r="D1426" s="3" t="s">
        <v>1978</v>
      </c>
      <c r="E1426" s="4" t="s">
        <v>44</v>
      </c>
      <c r="F1426" s="4" t="s">
        <v>20</v>
      </c>
      <c r="G1426" s="4" t="s">
        <v>307</v>
      </c>
      <c r="H1426" s="3" t="s">
        <v>6066</v>
      </c>
      <c r="I1426" s="3" t="s">
        <v>6067</v>
      </c>
      <c r="J1426" s="4">
        <v>16.57</v>
      </c>
      <c r="K1426" s="4">
        <v>11.0</v>
      </c>
      <c r="L1426" s="3" t="s">
        <v>354</v>
      </c>
      <c r="M1426" s="3" t="s">
        <v>6068</v>
      </c>
      <c r="N1426" s="7" t="str">
        <f>IFERROR(__xludf.DUMMYFUNCTION("GOOGLETRANSLATE(L1426, ""en"", ""pt"")"),"Governanta")</f>
        <v>Governanta</v>
      </c>
      <c r="O1426" s="7" t="str">
        <f>IFERROR(__xludf.DUMMYFUNCTION("IF(M1426="""","""",GOOGLETRANSLATE(M1426,""en"",""pt""))"),"Sob a supervisão do gerente geral, os funcionários da limpeza realizarão diversas tarefas de limpeza e manutenção para garantir que os quartos e as áreas comuns atendam aos padrões de saúde e higiene estabelecidos para a hospedagem. As funções incluem man"&amp;"ter as áreas de armazenamento e os carrinhos de limpeza bem abastecidos, limpos e organizados; transportar roupas de cama, toalhas, artigos de higiene pessoal e produtos de limpeza utilizando carrinhos com rodas; e limpar quartos, banheiros, corredores, s"&amp;"aguões, salas de estar, lavabos, elevadores, escadas e vestiários utilizando vassouras, esfregões, espanadores, panos de microfibra, soluções desinfetantes, aspiradores de pó e lavadoras de piso elétricas. Os funcionários também esvaziarão lixeiras e tran"&amp;"sportarão o lixo para as áreas de descarte; varrerão, esfregarão, encerarão ou polirão pisos; limparão e lavarão tapetes e carpetes; lavarão janelas, paredes, tetos e acabamentos em madeira; tirarão o pó e polirão móveis, acessórios e equipamentos; e troc"&amp;"arão lâmpadas. As tarefas relacionadas à lavanderia incluem separar, carregar e descarregar roupas de cama e toalhas utilizando lavadoras e secadoras industriais; dobrar e organizar as roupas limpas; e abastecer os armários de roupa de cama. Os funcionári"&amp;"os arrumarão camas, moverão e organizarão móveis leves, virarão colchões e pendurarão cortinas ou limparão persianas. Os funcionários poderão entregar itens solicitados pelos hóspedes, como camas extras, berços, televisores ou tábuas de passar roupa; rela"&amp;"tar danos nos quartos ou objetos perdidos e achados; e auxiliar na preparação básica de quartos ou áreas comuns para reuniões ou eventos. Os funcionários devem seguir os procedimentos de segurança e higiene da empresa e executar outras tarefas de limpeza "&amp;"relacionadas, conforme atribuídas. Classificação do Cargo: 37-2011.00 - Zeladores e Faxineiros, exceto Camareiras e Auxiliares de Limpeza. A classificação e descrição do cargo/setor inclui informações gerais sobre a posição, de acordo com o ONET/OES e o S"&amp;"istema de Classificação Industrial da América do Norte. Consulte as Funções e a Ordem de Serviço para obter mais informações. Requisitos do Cargo Experiência Necessária: Sim Meses de Experiência Necessários: 1 Requisitos Especiais: O(A) funcionário(a) de "&amp;"limpeza deve ser capaz de levantar até 30 kg, ficar em pé por longos períodos, curvar-se, esticar-se, torcer-se e alcançar com o corpo, braços e pernas, conforme necessário. Número de horas por semana: 40 Horário de trabalho (início/término): 9h00 - 17h00")</f>
        <v>Sob a supervisão do gerente geral, os funcionários da limpeza realizarão diversas tarefas de limpeza e manutenção para garantir que os quartos e as áreas comuns atendam aos padrões de saúde e higiene estabelecidos para a hospedagem. As funções incluem manter as áreas de armazenamento e os carrinhos de limpeza bem abastecidos, limpos e organizados; transportar roupas de cama, toalhas, artigos de higiene pessoal e produtos de limpeza utilizando carrinhos com rodas; e limpar quartos, banheiros, corredores, saguões, salas de estar, lavabos, elevadores, escadas e vestiários utilizando vassouras, esfregões, espanadores, panos de microfibra, soluções desinfetantes, aspiradores de pó e lavadoras de piso elétricas. Os funcionários também esvaziarão lixeiras e transportarão o lixo para as áreas de descarte; varrerão, esfregarão, encerarão ou polirão pisos; limparão e lavarão tapetes e carpetes; lavarão janelas, paredes, tetos e acabamentos em madeira; tirarão o pó e polirão móveis, acessórios e equipamentos; e trocarão lâmpadas. As tarefas relacionadas à lavanderia incluem separar, carregar e descarregar roupas de cama e toalhas utilizando lavadoras e secadoras industriais; dobrar e organizar as roupas limpas; e abastecer os armários de roupa de cama. Os funcionários arrumarão camas, moverão e organizarão móveis leves, virarão colchões e pendurarão cortinas ou limparão persianas. Os funcionários poderão entregar itens solicitados pelos hóspedes, como camas extras, berços, televisores ou tábuas de passar roupa; relatar danos nos quartos ou objetos perdidos e achados; e auxiliar na preparação básica de quartos ou áreas comuns para reuniões ou eventos. Os funcionários devem seguir os procedimentos de segurança e higiene da empresa e executar outras tarefas de limpeza relacionadas, conforme atribuídas. Classificação do Cargo: 37-2011.00 - Zeladores e Faxineiros, exceto Camareiras e Auxiliares de Limpeza. A classificação e descrição do cargo/setor inclui informações gerais sobre a posição, de acordo com o ONET/OES e o Sistema de Classificação Industrial da América do Norte. Consulte as Funções e a Ordem de Serviço para obter mais informações. Requisitos do Cargo Experiência Necessária: Sim Meses de Experiência Necessários: 1 Requisitos Especiais: O(A) funcionário(a) de limpeza deve ser capaz de levantar até 30 kg, ficar em pé por longos períodos, curvar-se, esticar-se, torcer-se e alcançar com o corpo, braços e pernas, conforme necessário. Número de horas por semana: 40 Horário de trabalho (início/término): 9h00 - 17h00</v>
      </c>
    </row>
    <row r="1427" ht="20.25" customHeight="1">
      <c r="A1427" s="8" t="s">
        <v>6355</v>
      </c>
      <c r="B1427" s="8" t="s">
        <v>6356</v>
      </c>
      <c r="C1427" s="8" t="s">
        <v>6247</v>
      </c>
      <c r="D1427" s="8" t="s">
        <v>403</v>
      </c>
      <c r="E1427" s="9" t="s">
        <v>19</v>
      </c>
      <c r="F1427" s="9" t="s">
        <v>20</v>
      </c>
      <c r="G1427" s="9" t="s">
        <v>80</v>
      </c>
      <c r="H1427" s="8" t="s">
        <v>6357</v>
      </c>
      <c r="I1427" s="8" t="s">
        <v>6358</v>
      </c>
      <c r="J1427" s="9">
        <v>18.6</v>
      </c>
      <c r="K1427" s="9">
        <v>6.0</v>
      </c>
      <c r="L1427" s="8" t="s">
        <v>6359</v>
      </c>
      <c r="M1427" s="8" t="s">
        <v>6360</v>
      </c>
      <c r="N1427" s="7" t="str">
        <f>IFERROR(__xludf.DUMMYFUNCTION("GOOGLETRANSLATE(L1427, ""en"", ""pt"")"),"tratador de cavalos puro-sangue")</f>
        <v>tratador de cavalos puro-sangue</v>
      </c>
      <c r="O1427" s="7" t="str">
        <f>IFERROR(__xludf.DUMMYFUNCTION("IF(M1427="""","""",GOOGLETRANSLATE(M1427,""en"",""pt""))"),"Responsável pelos cuidados gerais de cavalos de corrida puro-sangue, incluindo alimentação, fornecimento de água, manutenção de baias e estábulos, limpeza, escovação, exercícios, casqueamento, desinfecção de baias e camas, administração de medicamentos co"&amp;"nforme prescrição e inspeção da condição física dos cavalos. Levantará as patas e limpará os cascos dos cavalos, aplicando linimentos e bandagens conforme necessário. Cuidará de 1 a 5 cavalos por vez. Turno dividido: das 5h às 11h e das 15h às 17h. Folgas"&amp;" rotativas. Classificação da vaga: 39-2021.00 - Cuidadores de Animais. A classificação e descrição da vaga/setor incluem informações gerais sobre o cargo, de acordo com o ONET/OES e o Sistema de Classificação Industrial da América do Norte. Consulte as Fu"&amp;"nções e a Ordem de Serviço para obter mais informações. Requisitos da vaga: Experiência necessária: Sim. Meses de experiência necessários: 1. Requisitos especiais: Deve ser capaz de levantar 23 kg. Número de horas por semana: 56. Horário de trabalho (iníc"&amp;"io/término): 5h. - 17h00")</f>
        <v>Responsável pelos cuidados gerais de cavalos de corrida puro-sangue, incluindo alimentação, fornecimento de água, manutenção de baias e estábulos, limpeza, escovação, exercícios, casqueamento, desinfecção de baias e camas, administração de medicamentos conforme prescrição e inspeção da condição física dos cavalos. Levantará as patas e limpará os cascos dos cavalos, aplicando linimentos e bandagens conforme necessário. Cuidará de 1 a 5 cavalos por vez. Turno dividido: das 5h às 11h e das 15h às 17h. Folgas rotativas. Classificação da vaga: 39-2021.00 - Cuidadores de Animais. A classificação e descrição da vaga/setor incluem informações gerais sobre o cargo, de acordo com o ONET/OES e o Sistema de Classificação Industrial da América do Norte. Consulte as Funções e a Ordem de Serviço para obter mais informações. Requisitos da vaga: Experiência necessária: Sim. Meses de experiência necessários: 1. Requisitos especiais: Deve ser capaz de levantar 23 kg. Número de horas por semana: 56. Horário de trabalho (início/término): 5h. - 17h00</v>
      </c>
    </row>
    <row r="1428" ht="20.25" customHeight="1">
      <c r="A1428" s="3" t="s">
        <v>6361</v>
      </c>
      <c r="B1428" s="3" t="s">
        <v>6362</v>
      </c>
      <c r="C1428" s="3" t="s">
        <v>6363</v>
      </c>
      <c r="D1428" s="3" t="s">
        <v>102</v>
      </c>
      <c r="E1428" s="4" t="s">
        <v>19</v>
      </c>
      <c r="F1428" s="4" t="s">
        <v>20</v>
      </c>
      <c r="G1428" s="4" t="s">
        <v>80</v>
      </c>
      <c r="H1428" s="3" t="s">
        <v>6364</v>
      </c>
      <c r="I1428" s="3" t="s">
        <v>6365</v>
      </c>
      <c r="J1428" s="4">
        <v>16.13</v>
      </c>
      <c r="K1428" s="4">
        <v>50.0</v>
      </c>
      <c r="L1428" s="3" t="s">
        <v>59</v>
      </c>
      <c r="M1428" s="3" t="s">
        <v>6366</v>
      </c>
      <c r="N1428" s="7" t="str">
        <f>IFERROR(__xludf.DUMMYFUNCTION("GOOGLETRANSLATE(L1428, ""en"", ""pt"")"),"Trabalhador de paisagismo")</f>
        <v>Trabalhador de paisagismo</v>
      </c>
      <c r="O1428" s="7" t="str">
        <f>IFERROR(__xludf.DUMMYFUNCTION("IF(M1428="""","""",GOOGLETRANSLATE(M1428,""en"",""pt""))"),"Precisa-se de trabalhadores para serviços de jardinagem, poda, fertilização, manutenção e reparo de sistemas de irrigação, limpeza geral e instalação de blocos de concreto pré-moldado sem argamassa. Classificação da vaga: 37-3011.00 - Trabalhadores de Pai"&amp;"sagismo e Manutenção de Áreas Verdes. A classificação e descrição da vaga/setor incluem informações gerais sobre o cargo, de acordo com o ONET/OES e o Sistema de Classificação Industrial da América do Norte (NAICS). Consulte as Funções e a Ordem de Serviç"&amp;"o para obter mais informações. Requisitos da vaga: Experiência exigida: Sim. Meses de experiência exigidos: 3. Requisitos especiais: É necessário passar por um exame toxicológico pré-admissional, pago pelo empregador e aplicado igualmente a todos os traba"&amp;"lhadores, americanos e estrangeiros/H-2B. É necessário passar por um exame toxicológico pós-acidente. Os funcionários devem cumprir todas as políticas da RCI, os procedimentos de segurança e o manual do funcionário. O não cumprimento, o baixo desempenho o"&amp;"u a violação das políticas da empresa podem resultar em medidas disciplinares, incluindo a demissão. É necessário ter disponibilidade para trabalhar nos fins de semana e feriados. Os candidatos devem preencher uma ficha de inscrição. Número de horas por s"&amp;"emana: 40 Horário de trabalho (início/término): 6h00 - 14h30")</f>
        <v>Precisa-se de trabalhadores para serviços de jardinagem, poda, fertilização, manutenção e reparo de sistemas de irrigação, limpeza geral e instalação de blocos de concreto pré-moldado sem argamassa. Classificação da vaga: 37-3011.00 - Trabalhadores de Paisagismo e Manutenção de Áreas Verdes. A classificação e descrição da vaga/setor incluem informações gerais sobre o cargo, de acordo com o ONET/OES e o Sistema de Classificação Industrial da América do Norte (NAICS). Consulte as Funções e a Ordem de Serviço para obter mais informações. Requisitos da vaga: Experiência exigida: Sim. Meses de experiência exigidos: 3. Requisitos especiais: É necessário passar por um exame toxicológico pré-admissional, pago pelo empregador e aplicado igualmente a todos os trabalhadores, americanos e estrangeiros/H-2B. É necessário passar por um exame toxicológico pós-acidente. Os funcionários devem cumprir todas as políticas da RCI, os procedimentos de segurança e o manual do funcionário. O não cumprimento, o baixo desempenho ou a violação das políticas da empresa podem resultar em medidas disciplinares, incluindo a demissão. É necessário ter disponibilidade para trabalhar nos fins de semana e feriados. Os candidatos devem preencher uma ficha de inscrição. Número de horas por semana: 40 Horário de trabalho (início/término): 6h00 - 14h30</v>
      </c>
    </row>
    <row r="1429" ht="20.25" customHeight="1">
      <c r="A1429" s="8" t="s">
        <v>6367</v>
      </c>
      <c r="B1429" s="8" t="s">
        <v>6362</v>
      </c>
      <c r="C1429" s="8" t="s">
        <v>6363</v>
      </c>
      <c r="D1429" s="8" t="s">
        <v>140</v>
      </c>
      <c r="E1429" s="9" t="s">
        <v>44</v>
      </c>
      <c r="F1429" s="9" t="s">
        <v>20</v>
      </c>
      <c r="G1429" s="9" t="s">
        <v>80</v>
      </c>
      <c r="H1429" s="8" t="s">
        <v>6364</v>
      </c>
      <c r="I1429" s="8" t="s">
        <v>6365</v>
      </c>
      <c r="J1429" s="9">
        <v>15.46</v>
      </c>
      <c r="K1429" s="9">
        <v>50.0</v>
      </c>
      <c r="L1429" s="8" t="s">
        <v>59</v>
      </c>
      <c r="M1429" s="8" t="s">
        <v>6366</v>
      </c>
      <c r="N1429" s="7" t="str">
        <f>IFERROR(__xludf.DUMMYFUNCTION("GOOGLETRANSLATE(L1429, ""en"", ""pt"")"),"Trabalhador de paisagismo")</f>
        <v>Trabalhador de paisagismo</v>
      </c>
      <c r="O1429" s="7" t="str">
        <f>IFERROR(__xludf.DUMMYFUNCTION("IF(M1429="""","""",GOOGLETRANSLATE(M1429,""en"",""pt""))"),"Precisa-se de trabalhadores para serviços de jardinagem, poda, fertilização, manutenção e reparo de sistemas de irrigação, limpeza geral e instalação de blocos de concreto pré-moldado sem argamassa. Classificação da vaga: 37-3011.00 - Trabalhadores de Pai"&amp;"sagismo e Manutenção de Áreas Verdes. A classificação e descrição da vaga/setor incluem informações gerais sobre o cargo, de acordo com o ONET/OES e o Sistema de Classificação Industrial da América do Norte (NAICS). Consulte as Funções e a Ordem de Serviç"&amp;"o para obter mais informações. Requisitos da vaga: Experiência exigida: Sim. Meses de experiência exigidos: 3. Requisitos especiais: É necessário passar por um exame toxicológico pré-admissional, pago pelo empregador e aplicado igualmente a todos os traba"&amp;"lhadores, americanos e estrangeiros/H-2B. É necessário passar por um exame toxicológico pós-acidente. Os funcionários devem cumprir todas as políticas da RCI, os procedimentos de segurança e o manual do funcionário. O não cumprimento, o baixo desempenho o"&amp;"u a violação das políticas da empresa podem resultar em medidas disciplinares, incluindo a demissão. É necessário ter disponibilidade para trabalhar nos fins de semana e feriados. Os candidatos devem preencher uma ficha de inscrição. Número de horas por s"&amp;"emana: 40 Horário de trabalho (início/término): 6h00 - 14h30")</f>
        <v>Precisa-se de trabalhadores para serviços de jardinagem, poda, fertilização, manutenção e reparo de sistemas de irrigação, limpeza geral e instalação de blocos de concreto pré-moldado sem argamassa. Classificação da vaga: 37-3011.00 - Trabalhadores de Paisagismo e Manutenção de Áreas Verdes. A classificação e descrição da vaga/setor incluem informações gerais sobre o cargo, de acordo com o ONET/OES e o Sistema de Classificação Industrial da América do Norte (NAICS). Consulte as Funções e a Ordem de Serviço para obter mais informações. Requisitos da vaga: Experiência exigida: Sim. Meses de experiência exigidos: 3. Requisitos especiais: É necessário passar por um exame toxicológico pré-admissional, pago pelo empregador e aplicado igualmente a todos os trabalhadores, americanos e estrangeiros/H-2B. É necessário passar por um exame toxicológico pós-acidente. Os funcionários devem cumprir todas as políticas da RCI, os procedimentos de segurança e o manual do funcionário. O não cumprimento, o baixo desempenho ou a violação das políticas da empresa podem resultar em medidas disciplinares, incluindo a demissão. É necessário ter disponibilidade para trabalhar nos fins de semana e feriados. Os candidatos devem preencher uma ficha de inscrição. Número de horas por semana: 40 Horário de trabalho (início/término): 6h00 - 14h30</v>
      </c>
    </row>
    <row r="1430" ht="20.25" customHeight="1">
      <c r="A1430" s="3" t="s">
        <v>6368</v>
      </c>
      <c r="B1430" s="3" t="s">
        <v>6369</v>
      </c>
      <c r="C1430" s="3" t="s">
        <v>6363</v>
      </c>
      <c r="D1430" s="3" t="s">
        <v>102</v>
      </c>
      <c r="E1430" s="4" t="s">
        <v>44</v>
      </c>
      <c r="F1430" s="4" t="s">
        <v>20</v>
      </c>
      <c r="G1430" s="4" t="s">
        <v>56</v>
      </c>
      <c r="H1430" s="3" t="s">
        <v>6364</v>
      </c>
      <c r="I1430" s="3" t="s">
        <v>6365</v>
      </c>
      <c r="J1430" s="4">
        <v>16.73</v>
      </c>
      <c r="K1430" s="4">
        <v>35.0</v>
      </c>
      <c r="L1430" s="3" t="s">
        <v>59</v>
      </c>
      <c r="M1430" s="3" t="s">
        <v>6366</v>
      </c>
      <c r="N1430" s="7" t="str">
        <f>IFERROR(__xludf.DUMMYFUNCTION("GOOGLETRANSLATE(L1430, ""en"", ""pt"")"),"Trabalhador de paisagismo")</f>
        <v>Trabalhador de paisagismo</v>
      </c>
      <c r="O1430" s="7" t="str">
        <f>IFERROR(__xludf.DUMMYFUNCTION("IF(M1430="""","""",GOOGLETRANSLATE(M1430,""en"",""pt""))"),"Precisa-se de trabalhadores para serviços de jardinagem, poda, fertilização, manutenção e reparo de sistemas de irrigação, limpeza geral e instalação de blocos de concreto pré-moldado sem argamassa. Classificação da vaga: 37-3011.00 - Trabalhadores de Pai"&amp;"sagismo e Manutenção de Áreas Verdes. A classificação e descrição da vaga/setor incluem informações gerais sobre o cargo, de acordo com o ONET/OES e o Sistema de Classificação Industrial da América do Norte (NAICS). Consulte as Funções e a Ordem de Serviç"&amp;"o para obter mais informações. Requisitos da vaga: Experiência exigida: Sim. Meses de experiência exigidos: 3. Requisitos especiais: É necessário passar por um exame toxicológico pré-admissional, pago pelo empregador e aplicado igualmente a todos os traba"&amp;"lhadores, americanos e estrangeiros/H-2B. É necessário passar por um exame toxicológico pós-acidente. Os funcionários devem cumprir todas as políticas da RCI, os procedimentos de segurança e o manual do funcionário. O não cumprimento, o baixo desempenho o"&amp;"u a violação das políticas da empresa podem resultar em medidas disciplinares, incluindo a demissão. É necessário ter disponibilidade para trabalhar nos fins de semana e feriados. Os candidatos devem preencher uma ficha de inscrição. Número de horas por s"&amp;"emana: 40 Horário de trabalho (início/término): 6h00 - 14h30")</f>
        <v>Precisa-se de trabalhadores para serviços de jardinagem, poda, fertilização, manutenção e reparo de sistemas de irrigação, limpeza geral e instalação de blocos de concreto pré-moldado sem argamassa. Classificação da vaga: 37-3011.00 - Trabalhadores de Paisagismo e Manutenção de Áreas Verdes. A classificação e descrição da vaga/setor incluem informações gerais sobre o cargo, de acordo com o ONET/OES e o Sistema de Classificação Industrial da América do Norte (NAICS). Consulte as Funções e a Ordem de Serviço para obter mais informações. Requisitos da vaga: Experiência exigida: Sim. Meses de experiência exigidos: 3. Requisitos especiais: É necessário passar por um exame toxicológico pré-admissional, pago pelo empregador e aplicado igualmente a todos os trabalhadores, americanos e estrangeiros/H-2B. É necessário passar por um exame toxicológico pós-acidente. Os funcionários devem cumprir todas as políticas da RCI, os procedimentos de segurança e o manual do funcionário. O não cumprimento, o baixo desempenho ou a violação das políticas da empresa podem resultar em medidas disciplinares, incluindo a demissão. É necessário ter disponibilidade para trabalhar nos fins de semana e feriados. Os candidatos devem preencher uma ficha de inscrição. Número de horas por semana: 40 Horário de trabalho (início/término): 6h00 - 14h30</v>
      </c>
    </row>
    <row r="1431" ht="20.25" customHeight="1">
      <c r="A1431" s="8" t="s">
        <v>6370</v>
      </c>
      <c r="B1431" s="8" t="s">
        <v>6369</v>
      </c>
      <c r="C1431" s="8" t="s">
        <v>6363</v>
      </c>
      <c r="D1431" s="8" t="s">
        <v>71</v>
      </c>
      <c r="E1431" s="9" t="s">
        <v>19</v>
      </c>
      <c r="F1431" s="9" t="s">
        <v>20</v>
      </c>
      <c r="G1431" s="9" t="s">
        <v>80</v>
      </c>
      <c r="H1431" s="8" t="s">
        <v>6364</v>
      </c>
      <c r="I1431" s="8" t="s">
        <v>6365</v>
      </c>
      <c r="J1431" s="9">
        <v>20.4</v>
      </c>
      <c r="K1431" s="9">
        <v>35.0</v>
      </c>
      <c r="L1431" s="8" t="s">
        <v>262</v>
      </c>
      <c r="M1431" s="8" t="s">
        <v>6371</v>
      </c>
      <c r="N1431" s="7" t="str">
        <f>IFERROR(__xludf.DUMMYFUNCTION("GOOGLETRANSLATE(L1431, ""en"", ""pt"")"),"Operário da construção civil")</f>
        <v>Operário da construção civil</v>
      </c>
      <c r="O1431" s="7" t="str">
        <f>IFERROR(__xludf.DUMMYFUNCTION("IF(M1431="""","""",GOOGLETRANSLATE(M1431,""en"",""pt""))"),"Executar tarefas que envolvam trabalho físico em projetos de construção civil. Pode operar ferramentas manuais e elétricas de todos os tipos; martelos pneumáticos, serras elétricas, furadeiras elétricas e uma variedade de outros equipamentos e instrumento"&amp;"s. Pode limpar e preparar os locais de trabalho. Pode auxiliar outros trabalhadores da construção civil. Classificação da vaga: 47-2061.00 - Auxiliares de Construção Civil. A classificação e descrição da vaga/setor inclui informações gerais sobre o cargo,"&amp;" de acordo com o ONET/OES e o Sistema de Classificação Industrial da América do Norte (NAICS). Consulte as Funções e a Ordem de Serviço para obter mais informações. Requisitos da vaga: Experiência exigida: Sim. Meses de experiência exigidos: 3. Requisitos"&amp;" especiais: Deve ser aprovado em um exame toxicológico pré-admissional, pago pelo empregador e aplicado igualmente a todos os trabalhadores, americanos e estrangeiros/H-2B. Deve ser aprovado em um exame toxicológico pós-acidente. Os funcionários devem cum"&amp;"prir todas as políticas da RCI, os procedimentos de segurança e o manual do funcionário. O não cumprimento, o baixo desempenho ou a violação das políticas da empresa podem resultar em medidas disciplinares, incluindo a demissão. Deve ter disponibilidade p"&amp;"ara trabalhar nos fins de semana e feriados. Os candidatos devem preencher uma ficha de inscrição. Número de horas por semana: 40 Horário de trabalho (início/término): 6h00 - 14h30")</f>
        <v>Executar tarefas que envolvam trabalho físico em projetos de construção civil. Pode operar ferramentas manuais e elétricas de todos os tipos; martelos pneumáticos, serras elétricas, furadeiras elétricas e uma variedade de outros equipamentos e instrumentos. Pode limpar e preparar os locais de trabalho. Pode auxiliar outros trabalhadores da construção civil. Classificação da vaga: 47-2061.00 - Auxiliares de Construção Civil. A classificação e descrição da vaga/setor inclui informações gerais sobre o cargo, de acordo com o ONET/OES e o Sistema de Classificação Industrial da América do Norte (NAICS). Consulte as Funções e a Ordem de Serviço para obter mais informações. Requisitos da vaga: Experiência exigida: Sim. Meses de experiência exigidos: 3. Requisitos especiais: Deve ser aprovado em um exame toxicológico pré-admissional, pago pelo empregador e aplicado igualmente a todos os trabalhadores, americanos e estrangeiros/H-2B. Deve ser aprovado em um exame toxicológico pós-acidente. Os funcionários devem cumprir todas as políticas da RCI, os procedimentos de segurança e o manual do funcionário. O não cumprimento, o baixo desempenho ou a violação das políticas da empresa podem resultar em medidas disciplinares, incluindo a demissão. Deve ter disponibilidade para trabalhar nos fins de semana e feriados. Os candidatos devem preencher uma ficha de inscrição. Número de horas por semana: 40 Horário de trabalho (início/término): 6h00 - 14h30</v>
      </c>
    </row>
    <row r="1432" ht="20.25" customHeight="1">
      <c r="A1432" s="3" t="s">
        <v>6372</v>
      </c>
      <c r="B1432" s="3" t="s">
        <v>6369</v>
      </c>
      <c r="C1432" s="3" t="s">
        <v>6363</v>
      </c>
      <c r="D1432" s="3" t="s">
        <v>71</v>
      </c>
      <c r="E1432" s="4" t="s">
        <v>44</v>
      </c>
      <c r="F1432" s="4" t="s">
        <v>20</v>
      </c>
      <c r="G1432" s="4" t="s">
        <v>56</v>
      </c>
      <c r="H1432" s="3" t="s">
        <v>6364</v>
      </c>
      <c r="I1432" s="3" t="s">
        <v>6365</v>
      </c>
      <c r="J1432" s="4">
        <v>16.82</v>
      </c>
      <c r="K1432" s="4">
        <v>35.0</v>
      </c>
      <c r="L1432" s="3" t="s">
        <v>59</v>
      </c>
      <c r="M1432" s="3" t="s">
        <v>6366</v>
      </c>
      <c r="N1432" s="7" t="str">
        <f>IFERROR(__xludf.DUMMYFUNCTION("GOOGLETRANSLATE(L1432, ""en"", ""pt"")"),"Trabalhador de paisagismo")</f>
        <v>Trabalhador de paisagismo</v>
      </c>
      <c r="O1432" s="7" t="str">
        <f>IFERROR(__xludf.DUMMYFUNCTION("IF(M1432="""","""",GOOGLETRANSLATE(M1432,""en"",""pt""))"),"Precisa-se de trabalhadores para serviços de jardinagem, poda, fertilização, manutenção e reparo de sistemas de irrigação, limpeza geral e instalação de blocos de concreto pré-moldado sem argamassa. Classificação da vaga: 37-3011.00 - Trabalhadores de Pai"&amp;"sagismo e Manutenção de Áreas Verdes. A classificação e descrição da vaga/setor incluem informações gerais sobre o cargo, de acordo com o ONET/OES e o Sistema de Classificação Industrial da América do Norte (NAICS). Consulte as Funções e a Ordem de Serviç"&amp;"o para obter mais informações. Requisitos da vaga: Experiência exigida: Sim. Meses de experiência exigidos: 3. Requisitos especiais: É necessário passar por um exame toxicológico pré-admissional, pago pelo empregador e aplicado igualmente a todos os traba"&amp;"lhadores, americanos e estrangeiros/H-2B. É necessário passar por um exame toxicológico pós-acidente. Os funcionários devem cumprir todas as políticas da RCI, os procedimentos de segurança e o manual do funcionário. O não cumprimento, o baixo desempenho o"&amp;"u a violação das políticas da empresa podem resultar em medidas disciplinares, incluindo a demissão. É necessário ter disponibilidade para trabalhar nos fins de semana e feriados. Os candidatos devem preencher uma ficha de inscrição. Número de horas por s"&amp;"emana: 40 Horário de trabalho (início/término): 6h00 - 14h30")</f>
        <v>Precisa-se de trabalhadores para serviços de jardinagem, poda, fertilização, manutenção e reparo de sistemas de irrigação, limpeza geral e instalação de blocos de concreto pré-moldado sem argamassa. Classificação da vaga: 37-3011.00 - Trabalhadores de Paisagismo e Manutenção de Áreas Verdes. A classificação e descrição da vaga/setor incluem informações gerais sobre o cargo, de acordo com o ONET/OES e o Sistema de Classificação Industrial da América do Norte (NAICS). Consulte as Funções e a Ordem de Serviço para obter mais informações. Requisitos da vaga: Experiência exigida: Sim. Meses de experiência exigidos: 3. Requisitos especiais: É necessário passar por um exame toxicológico pré-admissional, pago pelo empregador e aplicado igualmente a todos os trabalhadores, americanos e estrangeiros/H-2B. É necessário passar por um exame toxicológico pós-acidente. Os funcionários devem cumprir todas as políticas da RCI, os procedimentos de segurança e o manual do funcionário. O não cumprimento, o baixo desempenho ou a violação das políticas da empresa podem resultar em medidas disciplinares, incluindo a demissão. É necessário ter disponibilidade para trabalhar nos fins de semana e feriados. Os candidatos devem preencher uma ficha de inscrição. Número de horas por semana: 40 Horário de trabalho (início/término): 6h00 - 14h30</v>
      </c>
    </row>
    <row r="1433" ht="20.25" customHeight="1">
      <c r="A1433" s="8" t="s">
        <v>6373</v>
      </c>
      <c r="B1433" s="8" t="s">
        <v>6369</v>
      </c>
      <c r="C1433" s="8" t="s">
        <v>6363</v>
      </c>
      <c r="D1433" s="8" t="s">
        <v>71</v>
      </c>
      <c r="E1433" s="9" t="s">
        <v>44</v>
      </c>
      <c r="F1433" s="9" t="s">
        <v>20</v>
      </c>
      <c r="G1433" s="9" t="s">
        <v>56</v>
      </c>
      <c r="H1433" s="8" t="s">
        <v>6364</v>
      </c>
      <c r="I1433" s="8" t="s">
        <v>6365</v>
      </c>
      <c r="J1433" s="9">
        <v>17.93</v>
      </c>
      <c r="K1433" s="9">
        <v>35.0</v>
      </c>
      <c r="L1433" s="8" t="s">
        <v>59</v>
      </c>
      <c r="M1433" s="8" t="s">
        <v>6366</v>
      </c>
      <c r="N1433" s="7" t="str">
        <f>IFERROR(__xludf.DUMMYFUNCTION("GOOGLETRANSLATE(L1433, ""en"", ""pt"")"),"Trabalhador de paisagismo")</f>
        <v>Trabalhador de paisagismo</v>
      </c>
      <c r="O1433" s="7" t="str">
        <f>IFERROR(__xludf.DUMMYFUNCTION("IF(M1433="""","""",GOOGLETRANSLATE(M1433,""en"",""pt""))"),"Precisa-se de trabalhadores para serviços de jardinagem, poda, fertilização, manutenção e reparo de sistemas de irrigação, limpeza geral e instalação de blocos de concreto pré-moldado sem argamassa. Classificação da vaga: 37-3011.00 - Trabalhadores de Pai"&amp;"sagismo e Manutenção de Áreas Verdes. A classificação e descrição da vaga/setor incluem informações gerais sobre o cargo, de acordo com o ONET/OES e o Sistema de Classificação Industrial da América do Norte (NAICS). Consulte as Funções e a Ordem de Serviç"&amp;"o para obter mais informações. Requisitos da vaga: Experiência exigida: Sim. Meses de experiência exigidos: 3. Requisitos especiais: É necessário passar por um exame toxicológico pré-admissional, pago pelo empregador e aplicado igualmente a todos os traba"&amp;"lhadores, americanos e estrangeiros/H-2B. É necessário passar por um exame toxicológico pós-acidente. Os funcionários devem cumprir todas as políticas da RCI, os procedimentos de segurança e o manual do funcionário. O não cumprimento, o baixo desempenho o"&amp;"u a violação das políticas da empresa podem resultar em medidas disciplinares, incluindo a demissão. É necessário ter disponibilidade para trabalhar nos fins de semana e feriados. Os candidatos devem preencher uma ficha de inscrição. Número de horas por s"&amp;"emana: 40 Horário de trabalho (início/término): 6h00 - 14h30")</f>
        <v>Precisa-se de trabalhadores para serviços de jardinagem, poda, fertilização, manutenção e reparo de sistemas de irrigação, limpeza geral e instalação de blocos de concreto pré-moldado sem argamassa. Classificação da vaga: 37-3011.00 - Trabalhadores de Paisagismo e Manutenção de Áreas Verdes. A classificação e descrição da vaga/setor incluem informações gerais sobre o cargo, de acordo com o ONET/OES e o Sistema de Classificação Industrial da América do Norte (NAICS). Consulte as Funções e a Ordem de Serviço para obter mais informações. Requisitos da vaga: Experiência exigida: Sim. Meses de experiência exigidos: 3. Requisitos especiais: É necessário passar por um exame toxicológico pré-admissional, pago pelo empregador e aplicado igualmente a todos os trabalhadores, americanos e estrangeiros/H-2B. É necessário passar por um exame toxicológico pós-acidente. Os funcionários devem cumprir todas as políticas da RCI, os procedimentos de segurança e o manual do funcionário. O não cumprimento, o baixo desempenho ou a violação das políticas da empresa podem resultar em medidas disciplinares, incluindo a demissão. É necessário ter disponibilidade para trabalhar nos fins de semana e feriados. Os candidatos devem preencher uma ficha de inscrição. Número de horas por semana: 40 Horário de trabalho (início/término): 6h00 - 14h30</v>
      </c>
    </row>
    <row r="1434" ht="20.25" customHeight="1">
      <c r="A1434" s="3" t="s">
        <v>6374</v>
      </c>
      <c r="B1434" s="3" t="s">
        <v>6369</v>
      </c>
      <c r="C1434" s="3" t="s">
        <v>6363</v>
      </c>
      <c r="D1434" s="3" t="s">
        <v>71</v>
      </c>
      <c r="E1434" s="4" t="s">
        <v>44</v>
      </c>
      <c r="F1434" s="4" t="s">
        <v>20</v>
      </c>
      <c r="G1434" s="4" t="s">
        <v>56</v>
      </c>
      <c r="H1434" s="3" t="s">
        <v>6364</v>
      </c>
      <c r="I1434" s="3" t="s">
        <v>6365</v>
      </c>
      <c r="J1434" s="4">
        <v>18.23</v>
      </c>
      <c r="K1434" s="4">
        <v>55.0</v>
      </c>
      <c r="L1434" s="3" t="s">
        <v>59</v>
      </c>
      <c r="M1434" s="3" t="s">
        <v>6366</v>
      </c>
      <c r="N1434" s="7" t="str">
        <f>IFERROR(__xludf.DUMMYFUNCTION("GOOGLETRANSLATE(L1434, ""en"", ""pt"")"),"Trabalhador de paisagismo")</f>
        <v>Trabalhador de paisagismo</v>
      </c>
      <c r="O1434" s="7" t="str">
        <f>IFERROR(__xludf.DUMMYFUNCTION("IF(M1434="""","""",GOOGLETRANSLATE(M1434,""en"",""pt""))"),"Precisa-se de trabalhadores para serviços de jardinagem, poda, fertilização, manutenção e reparo de sistemas de irrigação, limpeza geral e instalação de blocos de concreto pré-moldado sem argamassa. Classificação da vaga: 37-3011.00 - Trabalhadores de Pai"&amp;"sagismo e Manutenção de Áreas Verdes. A classificação e descrição da vaga/setor incluem informações gerais sobre o cargo, de acordo com o ONET/OES e o Sistema de Classificação Industrial da América do Norte (NAICS). Consulte as Funções e a Ordem de Serviç"&amp;"o para obter mais informações. Requisitos da vaga: Experiência exigida: Sim. Meses de experiência exigidos: 3. Requisitos especiais: É necessário passar por um exame toxicológico pré-admissional, pago pelo empregador e aplicado igualmente a todos os traba"&amp;"lhadores, americanos e estrangeiros/H-2B. É necessário passar por um exame toxicológico pós-acidente. Os funcionários devem cumprir todas as políticas da RCI, os procedimentos de segurança e o manual do funcionário. O não cumprimento, o baixo desempenho o"&amp;"u a violação das políticas da empresa podem resultar em medidas disciplinares, incluindo a demissão. É necessário ter disponibilidade para trabalhar nos fins de semana e feriados. Os candidatos devem preencher uma ficha de inscrição. Número de horas por s"&amp;"emana: 40 Horário de trabalho (início/término): 6h00 - 14h30")</f>
        <v>Precisa-se de trabalhadores para serviços de jardinagem, poda, fertilização, manutenção e reparo de sistemas de irrigação, limpeza geral e instalação de blocos de concreto pré-moldado sem argamassa. Classificação da vaga: 37-3011.00 - Trabalhadores de Paisagismo e Manutenção de Áreas Verdes. A classificação e descrição da vaga/setor incluem informações gerais sobre o cargo, de acordo com o ONET/OES e o Sistema de Classificação Industrial da América do Norte (NAICS). Consulte as Funções e a Ordem de Serviço para obter mais informações. Requisitos da vaga: Experiência exigida: Sim. Meses de experiência exigidos: 3. Requisitos especiais: É necessário passar por um exame toxicológico pré-admissional, pago pelo empregador e aplicado igualmente a todos os trabalhadores, americanos e estrangeiros/H-2B. É necessário passar por um exame toxicológico pós-acidente. Os funcionários devem cumprir todas as políticas da RCI, os procedimentos de segurança e o manual do funcionário. O não cumprimento, o baixo desempenho ou a violação das políticas da empresa podem resultar em medidas disciplinares, incluindo a demissão. É necessário ter disponibilidade para trabalhar nos fins de semana e feriados. Os candidatos devem preencher uma ficha de inscrição. Número de horas por semana: 40 Horário de trabalho (início/término): 6h00 - 14h30</v>
      </c>
    </row>
    <row r="1435" ht="20.25" customHeight="1">
      <c r="A1435" s="8" t="s">
        <v>6375</v>
      </c>
      <c r="B1435" s="8" t="s">
        <v>6369</v>
      </c>
      <c r="C1435" s="8" t="s">
        <v>6363</v>
      </c>
      <c r="D1435" s="8" t="s">
        <v>28</v>
      </c>
      <c r="E1435" s="9" t="s">
        <v>19</v>
      </c>
      <c r="F1435" s="9" t="s">
        <v>20</v>
      </c>
      <c r="G1435" s="9" t="s">
        <v>80</v>
      </c>
      <c r="H1435" s="8" t="s">
        <v>6364</v>
      </c>
      <c r="I1435" s="8" t="s">
        <v>6365</v>
      </c>
      <c r="J1435" s="9">
        <v>16.33</v>
      </c>
      <c r="K1435" s="9">
        <v>15.0</v>
      </c>
      <c r="L1435" s="8" t="s">
        <v>59</v>
      </c>
      <c r="M1435" s="8" t="s">
        <v>6366</v>
      </c>
      <c r="N1435" s="7" t="str">
        <f>IFERROR(__xludf.DUMMYFUNCTION("GOOGLETRANSLATE(L1435, ""en"", ""pt"")"),"Trabalhador de paisagismo")</f>
        <v>Trabalhador de paisagismo</v>
      </c>
      <c r="O1435" s="7" t="str">
        <f>IFERROR(__xludf.DUMMYFUNCTION("IF(M1435="""","""",GOOGLETRANSLATE(M1435,""en"",""pt""))"),"Precisa-se de trabalhadores para serviços de jardinagem, poda, fertilização, manutenção e reparo de sistemas de irrigação, limpeza geral e instalação de blocos de concreto pré-moldado sem argamassa. Classificação da vaga: 37-3011.00 - Trabalhadores de Pai"&amp;"sagismo e Manutenção de Áreas Verdes. A classificação e descrição da vaga/setor incluem informações gerais sobre o cargo, de acordo com o ONET/OES e o Sistema de Classificação Industrial da América do Norte (NAICS). Consulte as Funções e a Ordem de Serviç"&amp;"o para obter mais informações. Requisitos da vaga: Experiência exigida: Sim. Meses de experiência exigidos: 3. Requisitos especiais: É necessário passar por um exame toxicológico pré-admissional, pago pelo empregador e aplicado igualmente a todos os traba"&amp;"lhadores, americanos e estrangeiros/H-2B. É necessário passar por um exame toxicológico pós-acidente. Os funcionários devem cumprir todas as políticas da RCI, os procedimentos de segurança e o manual do funcionário. O não cumprimento, o baixo desempenho o"&amp;"u a violação das políticas da empresa podem resultar em medidas disciplinares, incluindo a demissão. É necessário ter disponibilidade para trabalhar nos fins de semana e feriados. Os candidatos devem preencher uma ficha de inscrição. Número de horas por s"&amp;"emana: 40 Horário de trabalho (início/término): 6h00 - 14h30")</f>
        <v>Precisa-se de trabalhadores para serviços de jardinagem, poda, fertilização, manutenção e reparo de sistemas de irrigação, limpeza geral e instalação de blocos de concreto pré-moldado sem argamassa. Classificação da vaga: 37-3011.00 - Trabalhadores de Paisagismo e Manutenção de Áreas Verdes. A classificação e descrição da vaga/setor incluem informações gerais sobre o cargo, de acordo com o ONET/OES e o Sistema de Classificação Industrial da América do Norte (NAICS). Consulte as Funções e a Ordem de Serviço para obter mais informações. Requisitos da vaga: Experiência exigida: Sim. Meses de experiência exigidos: 3. Requisitos especiais: É necessário passar por um exame toxicológico pré-admissional, pago pelo empregador e aplicado igualmente a todos os trabalhadores, americanos e estrangeiros/H-2B. É necessário passar por um exame toxicológico pós-acidente. Os funcionários devem cumprir todas as políticas da RCI, os procedimentos de segurança e o manual do funcionário. O não cumprimento, o baixo desempenho ou a violação das políticas da empresa podem resultar em medidas disciplinares, incluindo a demissão. É necessário ter disponibilidade para trabalhar nos fins de semana e feriados. Os candidatos devem preencher uma ficha de inscrição. Número de horas por semana: 40 Horário de trabalho (início/término): 6h00 - 14h30</v>
      </c>
    </row>
    <row r="1436" ht="20.25" customHeight="1">
      <c r="A1436" s="3" t="s">
        <v>6376</v>
      </c>
      <c r="B1436" s="3" t="s">
        <v>6369</v>
      </c>
      <c r="C1436" s="3" t="s">
        <v>6363</v>
      </c>
      <c r="D1436" s="3" t="s">
        <v>28</v>
      </c>
      <c r="E1436" s="4" t="s">
        <v>44</v>
      </c>
      <c r="F1436" s="4" t="s">
        <v>20</v>
      </c>
      <c r="G1436" s="4" t="s">
        <v>80</v>
      </c>
      <c r="H1436" s="3" t="s">
        <v>6364</v>
      </c>
      <c r="I1436" s="3" t="s">
        <v>6365</v>
      </c>
      <c r="J1436" s="4">
        <v>14.99</v>
      </c>
      <c r="K1436" s="4">
        <v>55.0</v>
      </c>
      <c r="L1436" s="3" t="s">
        <v>59</v>
      </c>
      <c r="M1436" s="3" t="s">
        <v>6366</v>
      </c>
      <c r="N1436" s="7" t="str">
        <f>IFERROR(__xludf.DUMMYFUNCTION("GOOGLETRANSLATE(L1436, ""en"", ""pt"")"),"Trabalhador de paisagismo")</f>
        <v>Trabalhador de paisagismo</v>
      </c>
      <c r="O1436" s="7" t="str">
        <f>IFERROR(__xludf.DUMMYFUNCTION("IF(M1436="""","""",GOOGLETRANSLATE(M1436,""en"",""pt""))"),"Precisa-se de trabalhadores para serviços de jardinagem, poda, fertilização, manutenção e reparo de sistemas de irrigação, limpeza geral e instalação de blocos de concreto pré-moldado sem argamassa. Classificação da vaga: 37-3011.00 - Trabalhadores de Pai"&amp;"sagismo e Manutenção de Áreas Verdes. A classificação e descrição da vaga/setor incluem informações gerais sobre o cargo, de acordo com o ONET/OES e o Sistema de Classificação Industrial da América do Norte (NAICS). Consulte as Funções e a Ordem de Serviç"&amp;"o para obter mais informações. Requisitos da vaga: Experiência exigida: Sim. Meses de experiência exigidos: 3. Requisitos especiais: É necessário passar por um exame toxicológico pré-admissional, pago pelo empregador e aplicado igualmente a todos os traba"&amp;"lhadores, americanos e estrangeiros/H-2B. É necessário passar por um exame toxicológico pós-acidente. Os funcionários devem cumprir todas as políticas da RCI, os procedimentos de segurança e o manual do funcionário. O não cumprimento, o baixo desempenho o"&amp;"u a violação das políticas da empresa podem resultar em medidas disciplinares, incluindo a demissão. É necessário ter disponibilidade para trabalhar nos fins de semana e feriados. Os candidatos devem preencher uma ficha de inscrição. Número de horas por s"&amp;"emana: 40 Horário de trabalho (início/término): 6h00 - 14h30")</f>
        <v>Precisa-se de trabalhadores para serviços de jardinagem, poda, fertilização, manutenção e reparo de sistemas de irrigação, limpeza geral e instalação de blocos de concreto pré-moldado sem argamassa. Classificação da vaga: 37-3011.00 - Trabalhadores de Paisagismo e Manutenção de Áreas Verdes. A classificação e descrição da vaga/setor incluem informações gerais sobre o cargo, de acordo com o ONET/OES e o Sistema de Classificação Industrial da América do Norte (NAICS). Consulte as Funções e a Ordem de Serviço para obter mais informações. Requisitos da vaga: Experiência exigida: Sim. Meses de experiência exigidos: 3. Requisitos especiais: É necessário passar por um exame toxicológico pré-admissional, pago pelo empregador e aplicado igualmente a todos os trabalhadores, americanos e estrangeiros/H-2B. É necessário passar por um exame toxicológico pós-acidente. Os funcionários devem cumprir todas as políticas da RCI, os procedimentos de segurança e o manual do funcionário. O não cumprimento, o baixo desempenho ou a violação das políticas da empresa podem resultar em medidas disciplinares, incluindo a demissão. É necessário ter disponibilidade para trabalhar nos fins de semana e feriados. Os candidatos devem preencher uma ficha de inscrição. Número de horas por semana: 40 Horário de trabalho (início/término): 6h00 - 14h30</v>
      </c>
    </row>
    <row r="1437" ht="20.25" customHeight="1">
      <c r="A1437" s="8" t="s">
        <v>6377</v>
      </c>
      <c r="B1437" s="8" t="s">
        <v>6369</v>
      </c>
      <c r="C1437" s="8" t="s">
        <v>6363</v>
      </c>
      <c r="D1437" s="8" t="s">
        <v>284</v>
      </c>
      <c r="E1437" s="9" t="s">
        <v>19</v>
      </c>
      <c r="F1437" s="9" t="s">
        <v>20</v>
      </c>
      <c r="G1437" s="9" t="s">
        <v>80</v>
      </c>
      <c r="H1437" s="8" t="s">
        <v>6364</v>
      </c>
      <c r="I1437" s="8" t="s">
        <v>6365</v>
      </c>
      <c r="J1437" s="9">
        <v>15.43</v>
      </c>
      <c r="K1437" s="9">
        <v>60.0</v>
      </c>
      <c r="L1437" s="8" t="s">
        <v>59</v>
      </c>
      <c r="M1437" s="8" t="s">
        <v>6366</v>
      </c>
      <c r="N1437" s="7" t="str">
        <f>IFERROR(__xludf.DUMMYFUNCTION("GOOGLETRANSLATE(L1437, ""en"", ""pt"")"),"Trabalhador de paisagismo")</f>
        <v>Trabalhador de paisagismo</v>
      </c>
      <c r="O1437" s="7" t="str">
        <f>IFERROR(__xludf.DUMMYFUNCTION("IF(M1437="""","""",GOOGLETRANSLATE(M1437,""en"",""pt""))"),"Precisa-se de trabalhadores para serviços de jardinagem, poda, fertilização, manutenção e reparo de sistemas de irrigação, limpeza geral e instalação de blocos de concreto pré-moldado sem argamassa. Classificação da vaga: 37-3011.00 - Trabalhadores de Pai"&amp;"sagismo e Manutenção de Áreas Verdes. A classificação e descrição da vaga/setor incluem informações gerais sobre o cargo, de acordo com o ONET/OES e o Sistema de Classificação Industrial da América do Norte (NAICS). Consulte as Funções e a Ordem de Serviç"&amp;"o para obter mais informações. Requisitos da vaga: Experiência exigida: Sim. Meses de experiência exigidos: 3. Requisitos especiais: É necessário passar por um exame toxicológico pré-admissional, pago pelo empregador e aplicado igualmente a todos os traba"&amp;"lhadores, americanos e estrangeiros/H-2B. É necessário passar por um exame toxicológico pós-acidente. Os funcionários devem cumprir todas as políticas da RCI, os procedimentos de segurança e o manual do funcionário. O não cumprimento, o baixo desempenho o"&amp;"u a violação das políticas da empresa podem resultar em medidas disciplinares, incluindo a demissão. É necessário ter disponibilidade para trabalhar nos fins de semana e feriados. Os candidatos devem preencher uma ficha de inscrição. Número de horas por s"&amp;"emana: 40 Horário de trabalho (início/término): 6h00 - 14h30")</f>
        <v>Precisa-se de trabalhadores para serviços de jardinagem, poda, fertilização, manutenção e reparo de sistemas de irrigação, limpeza geral e instalação de blocos de concreto pré-moldado sem argamassa. Classificação da vaga: 37-3011.00 - Trabalhadores de Paisagismo e Manutenção de Áreas Verdes. A classificação e descrição da vaga/setor incluem informações gerais sobre o cargo, de acordo com o ONET/OES e o Sistema de Classificação Industrial da América do Norte (NAICS). Consulte as Funções e a Ordem de Serviço para obter mais informações. Requisitos da vaga: Experiência exigida: Sim. Meses de experiência exigidos: 3. Requisitos especiais: É necessário passar por um exame toxicológico pré-admissional, pago pelo empregador e aplicado igualmente a todos os trabalhadores, americanos e estrangeiros/H-2B. É necessário passar por um exame toxicológico pós-acidente. Os funcionários devem cumprir todas as políticas da RCI, os procedimentos de segurança e o manual do funcionário. O não cumprimento, o baixo desempenho ou a violação das políticas da empresa podem resultar em medidas disciplinares, incluindo a demissão. É necessário ter disponibilidade para trabalhar nos fins de semana e feriados. Os candidatos devem preencher uma ficha de inscrição. Número de horas por semana: 40 Horário de trabalho (início/término): 6h00 - 14h30</v>
      </c>
    </row>
    <row r="1438" ht="20.25" customHeight="1">
      <c r="A1438" s="3" t="s">
        <v>6378</v>
      </c>
      <c r="B1438" s="3" t="s">
        <v>6369</v>
      </c>
      <c r="C1438" s="3" t="s">
        <v>6363</v>
      </c>
      <c r="D1438" s="3" t="s">
        <v>64</v>
      </c>
      <c r="E1438" s="4" t="s">
        <v>44</v>
      </c>
      <c r="F1438" s="4" t="s">
        <v>20</v>
      </c>
      <c r="G1438" s="4" t="s">
        <v>80</v>
      </c>
      <c r="H1438" s="3" t="s">
        <v>6364</v>
      </c>
      <c r="I1438" s="3" t="s">
        <v>6365</v>
      </c>
      <c r="J1438" s="4">
        <v>18.93</v>
      </c>
      <c r="K1438" s="4">
        <v>15.0</v>
      </c>
      <c r="L1438" s="3" t="s">
        <v>59</v>
      </c>
      <c r="M1438" s="3" t="s">
        <v>6366</v>
      </c>
      <c r="N1438" s="7" t="str">
        <f>IFERROR(__xludf.DUMMYFUNCTION("GOOGLETRANSLATE(L1438, ""en"", ""pt"")"),"Trabalhador de paisagismo")</f>
        <v>Trabalhador de paisagismo</v>
      </c>
      <c r="O1438" s="7" t="str">
        <f>IFERROR(__xludf.DUMMYFUNCTION("IF(M1438="""","""",GOOGLETRANSLATE(M1438,""en"",""pt""))"),"Precisa-se de trabalhadores para serviços de jardinagem, poda, fertilização, manutenção e reparo de sistemas de irrigação, limpeza geral e instalação de blocos de concreto pré-moldado sem argamassa. Classificação da vaga: 37-3011.00 - Trabalhadores de Pai"&amp;"sagismo e Manutenção de Áreas Verdes. A classificação e descrição da vaga/setor incluem informações gerais sobre o cargo, de acordo com o ONET/OES e o Sistema de Classificação Industrial da América do Norte (NAICS). Consulte as Funções e a Ordem de Serviç"&amp;"o para obter mais informações. Requisitos da vaga: Experiência exigida: Sim. Meses de experiência exigidos: 3. Requisitos especiais: É necessário passar por um exame toxicológico pré-admissional, pago pelo empregador e aplicado igualmente a todos os traba"&amp;"lhadores, americanos e estrangeiros/H-2B. É necessário passar por um exame toxicológico pós-acidente. Os funcionários devem cumprir todas as políticas da RCI, os procedimentos de segurança e o manual do funcionário. O não cumprimento, o baixo desempenho o"&amp;"u a violação das políticas da empresa podem resultar em medidas disciplinares, incluindo a demissão. É necessário ter disponibilidade para trabalhar nos fins de semana e feriados. Os candidatos devem preencher uma ficha de inscrição. Número de horas por s"&amp;"emana: 40 Horário de trabalho (início/término): 6h00 - 14h30")</f>
        <v>Precisa-se de trabalhadores para serviços de jardinagem, poda, fertilização, manutenção e reparo de sistemas de irrigação, limpeza geral e instalação de blocos de concreto pré-moldado sem argamassa. Classificação da vaga: 37-3011.00 - Trabalhadores de Paisagismo e Manutenção de Áreas Verdes. A classificação e descrição da vaga/setor incluem informações gerais sobre o cargo, de acordo com o ONET/OES e o Sistema de Classificação Industrial da América do Norte (NAICS). Consulte as Funções e a Ordem de Serviço para obter mais informações. Requisitos da vaga: Experiência exigida: Sim. Meses de experiência exigidos: 3. Requisitos especiais: É necessário passar por um exame toxicológico pré-admissional, pago pelo empregador e aplicado igualmente a todos os trabalhadores, americanos e estrangeiros/H-2B. É necessário passar por um exame toxicológico pós-acidente. Os funcionários devem cumprir todas as políticas da RCI, os procedimentos de segurança e o manual do funcionário. O não cumprimento, o baixo desempenho ou a violação das políticas da empresa podem resultar em medidas disciplinares, incluindo a demissão. É necessário ter disponibilidade para trabalhar nos fins de semana e feriados. Os candidatos devem preencher uma ficha de inscrição. Número de horas por semana: 40 Horário de trabalho (início/término): 6h00 - 14h30</v>
      </c>
    </row>
    <row r="1439" ht="20.25" customHeight="1">
      <c r="A1439" s="8" t="s">
        <v>6379</v>
      </c>
      <c r="B1439" s="8" t="s">
        <v>6380</v>
      </c>
      <c r="C1439" s="8" t="s">
        <v>5563</v>
      </c>
      <c r="D1439" s="8" t="s">
        <v>403</v>
      </c>
      <c r="E1439" s="9" t="s">
        <v>19</v>
      </c>
      <c r="F1439" s="9" t="s">
        <v>20</v>
      </c>
      <c r="G1439" s="9" t="s">
        <v>285</v>
      </c>
      <c r="H1439" s="8" t="s">
        <v>6381</v>
      </c>
      <c r="I1439" s="8" t="s">
        <v>6382</v>
      </c>
      <c r="J1439" s="9">
        <v>17.47</v>
      </c>
      <c r="K1439" s="9">
        <v>28.0</v>
      </c>
      <c r="L1439" s="8" t="s">
        <v>6383</v>
      </c>
      <c r="M1439" s="8" t="s">
        <v>6384</v>
      </c>
      <c r="N1439" s="7" t="str">
        <f>IFERROR(__xludf.DUMMYFUNCTION("GOOGLETRANSLATE(L1439, ""en"", ""pt"")"),"Packers")</f>
        <v>Packers</v>
      </c>
      <c r="O1439" s="7" t="str">
        <f>IFERROR(__xludf.DUMMYFUNCTION("IF(M1439="""","""",GOOGLETRANSLATE(M1439,""en"",""pt""))"),"Os embaladores serão responsáveis ​​principalmente por embalar e acondicionar produtos em nossa fábrica. Suas funções incluirão carregar materiais nos equipamentos de embalagem; examinar e inspecionar contêineres e produtos para garantir que estejam em bo"&amp;"as condições; remover produtos e materiais defeituosos ou danificados; empilhar os produtos acabados em paletes; marcar e etiquetar contêineres e paletes; limpar as áreas de trabalho utilizando diversas ferramentas manuais e soluções de limpeza. Os embala"&amp;"dores também executarão outras tarefas similares, conforme necessário. Não é necessária experiência/formação. Consulte o anexo. Classificação da vaga: 53-7064.00 - Embaladores e Acondicionadores Manuais. A classificação e descrição da vaga/setor inclui in"&amp;"formações gerais sobre o cargo, de acordo com o ONET/OES e o Sistema de Classificação Industrial da América do Norte (NAICS). Consulte as Funções e a Ordem de Serviço para obter mais informações. Requisitos da vaga: Experiência exigida: Não. Requisitos es"&amp;"peciais: Capacidade de levantar/carregar até 23 kg. O empregador mantém um ambiente de trabalho livre do uso de drogas ilícitas, álcool e substâncias controladas não autorizadas. É proibido o uso, a posse, a venda ou o estar sob a influência de drogas ilí"&amp;"citas ou álcool durante o horário de trabalho ou nas dependências do empregador. O empregador poderá realizar verificações legais e relacionadas ao trabalho dos candidatos, incluindo consultas sobre antecedentes criminais, quando permitido pelas leis fede"&amp;"rais, estaduais e locais aplicáveis. Qualquer análise de antecedentes criminais será feita individualmente e as decisões de emprego serão tomadas de forma não discriminatória, em conformidade com as leis aplicáveis ​​e as necessidades da empresa. Número d"&amp;"e horas por semana: 35. Horário de trabalho (início/término): 5h00 - 12h30.")</f>
        <v>Os embaladores serão responsáveis ​​principalmente por embalar e acondicionar produtos em nossa fábrica. Suas funções incluirão carregar materiais nos equipamentos de embalagem; examinar e inspecionar contêineres e produtos para garantir que estejam em boas condições; remover produtos e materiais defeituosos ou danificados; empilhar os produtos acabados em paletes; marcar e etiquetar contêineres e paletes; limpar as áreas de trabalho utilizando diversas ferramentas manuais e soluções de limpeza. Os embaladores também executarão outras tarefas similares, conforme necessário. Não é necessária experiência/formação. Consulte o anexo. Classificação da vaga: 53-7064.00 - Embaladores e Acondicionadores Manuais. A classificação e descrição da vaga/setor inclui informações gerais sobre o cargo, de acordo com o ONET/OES e o Sistema de Classificação Industrial da América do Norte (NAICS). Consulte as Funções e a Ordem de Serviço para obter mais informações. Requisitos da vaga: Experiência exigida: Não. Requisitos especiais: Capacidade de levantar/carregar até 23 kg. O empregador mantém um ambiente de trabalho livre do uso de drogas ilícitas, álcool e substâncias controladas não autorizadas. É proibido o uso, a posse, a venda ou o estar sob a influência de drogas ilícitas ou álcool durante o horário de trabalho ou nas dependências do empregador. O empregador poderá realizar verificações legais e relacionadas ao trabalho dos candidatos, incluindo consultas sobre antecedentes criminais, quando permitido pelas leis federais, estaduais e locais aplicáveis. Qualquer análise de antecedentes criminais será feita individualmente e as decisões de emprego serão tomadas de forma não discriminatória, em conformidade com as leis aplicáveis ​​e as necessidades da empresa. Número de horas por semana: 35. Horário de trabalho (início/término): 5h00 - 12h30.</v>
      </c>
    </row>
    <row r="1440" ht="20.25" customHeight="1">
      <c r="A1440" s="3" t="s">
        <v>6385</v>
      </c>
      <c r="B1440" s="3" t="s">
        <v>6386</v>
      </c>
      <c r="C1440" s="3" t="s">
        <v>6282</v>
      </c>
      <c r="D1440" s="3" t="s">
        <v>154</v>
      </c>
      <c r="E1440" s="4" t="s">
        <v>19</v>
      </c>
      <c r="F1440" s="4" t="s">
        <v>20</v>
      </c>
      <c r="G1440" s="4" t="s">
        <v>307</v>
      </c>
      <c r="H1440" s="3" t="s">
        <v>6387</v>
      </c>
      <c r="I1440" s="3" t="s">
        <v>6388</v>
      </c>
      <c r="J1440" s="4">
        <v>20.63</v>
      </c>
      <c r="K1440" s="4">
        <v>48.0</v>
      </c>
      <c r="L1440" s="3" t="s">
        <v>3118</v>
      </c>
      <c r="M1440" s="3" t="s">
        <v>6389</v>
      </c>
      <c r="N1440" s="7" t="str">
        <f>IFERROR(__xludf.DUMMYFUNCTION("GOOGLETRANSLATE(L1440, ""en"", ""pt"")"),"Ajudante de construção")</f>
        <v>Ajudante de construção</v>
      </c>
      <c r="O1440" s="7" t="str">
        <f>IFERROR(__xludf.DUMMYFUNCTION("IF(M1440="""","""",GOOGLETRANSLATE(M1440,""en"",""pt""))"),"Organizar as áreas de trabalho, descarregar materiais, preparar os locais de trabalho, entregar ferramentas ao supervisor, limpar detritos e áreas de trabalho. Classificação da função: 47-2061.00 - Auxiliares de Construção. A classificação e descrição da "&amp;"função/setor inclui informações gerais sobre o cargo, de acordo com o ONET/OES e o Sistema de Classificação Industrial da América do Norte (NAICS). Consulte as Funções e a Ordem de Serviço para obter mais informações. Requisitos da função: Experiência nec"&amp;"essária: Não. Requisitos especiais: Deve ser capaz de levantar 23 kg. Número de horas por semana: 40. Horário de trabalho (início/término): 7h às 16h.")</f>
        <v>Organizar as áreas de trabalho, descarregar materiais, preparar os locais de trabalho, entregar ferramentas ao supervisor, limpar detritos e áreas de trabalho. Classificação da função: 47-2061.00 - Auxiliares de Construção. A classificação e descrição da função/setor inclui informações gerais sobre o cargo, de acordo com o ONET/OES e o Sistema de Classificação Industrial da América do Norte (NAICS). Consulte as Funções e a Ordem de Serviço para obter mais informações. Requisitos da função: Experiência necessária: Não. Requisitos especiais: Deve ser capaz de levantar 23 kg. Número de horas por semana: 40. Horário de trabalho (início/término): 7h às 16h.</v>
      </c>
    </row>
    <row r="1441" ht="20.25" customHeight="1">
      <c r="A1441" s="8" t="s">
        <v>6390</v>
      </c>
      <c r="B1441" s="8" t="s">
        <v>6391</v>
      </c>
      <c r="C1441" s="8" t="s">
        <v>6024</v>
      </c>
      <c r="D1441" s="8" t="s">
        <v>87</v>
      </c>
      <c r="E1441" s="9" t="s">
        <v>44</v>
      </c>
      <c r="F1441" s="9" t="s">
        <v>20</v>
      </c>
      <c r="G1441" s="9" t="s">
        <v>110</v>
      </c>
      <c r="H1441" s="8" t="s">
        <v>6392</v>
      </c>
      <c r="I1441" s="8" t="s">
        <v>6393</v>
      </c>
      <c r="J1441" s="9">
        <v>22.39</v>
      </c>
      <c r="K1441" s="9">
        <v>35.0</v>
      </c>
      <c r="L1441" s="8" t="s">
        <v>501</v>
      </c>
      <c r="M1441" s="8" t="s">
        <v>6394</v>
      </c>
      <c r="N1441" s="7" t="str">
        <f>IFERROR(__xludf.DUMMYFUNCTION("GOOGLETRANSLATE(L1441, ""en"", ""pt"")"),"Auxiliar de Manutenção")</f>
        <v>Auxiliar de Manutenção</v>
      </c>
      <c r="O1441" s="7" t="str">
        <f>IFERROR(__xludf.DUMMYFUNCTION("IF(M1441="""","""",GOOGLETRANSLATE(M1441,""en"",""pt""))"),"Auxiliar de mecânico: manutenção de equipamentos de parque de diversões; lixar e preparar manualmente; limpar e lubrificar peças; montar, inspecionar, desmontar e armazenar estruturas de concessão; levantar peso e ter mobilidade física. Classificação da v"&amp;"aga: 49-9099.00 - Trabalhadores de Instalação, Manutenção e Reparo, Outros. A classificação e descrição da vaga/setor inclui informações gerais sobre o cargo, de acordo com o ONET/OES e o Sistema de Classificação Industrial da América do Norte. Consulte a"&amp;"s Funções e a Ordem de Serviço para obter mais informações. Requisitos da vaga: Experiência necessária: Não. Requisitos especiais: Aprovação em exame toxicológico e verificação de antecedentes criminais após a contratação, pagos pelo empregador. Capacidad"&amp;"e de levantar 23 kg. Horário, escala e dias de trabalho variam bastante. Normalmente, de segunda a sexta, das 8h às 17h. Não há previsão de horas extras. Geralmente, de 35 a 40 horas semanais. As necessidades de trabalho (ou seja, horas, dias, escala, loc"&amp;"al e funções) variam. Requisitos da vaga: Testes toxicológicos e verificações de antecedentes criminais aleatórios após a contratação podem ser exigidos pelo empregador, sem custo para o trabalhador. A vaga exige que o candidato seja qualificado, autoriza"&amp;"do, esteja pronto, disposto, apto e disponível para trabalhar durante todo o período de emprego nos locais de trabalho designados, mesmo em condições climáticas adversas; atenda aos nossos padrões de verificação ou testes; firme e cumpra qualquer contrato"&amp;" de trabalho e contrato de aluguel; siga as normas do local de trabalho, as regras de reclamação e as normas de moradia. O procedimento de reclamação exige que os trabalhadores relatem quaisquer ameaças ou descumprimento dos termos e condições de trabalho"&amp;"; e atendam aos padrões de desempenho do trabalho. Trabalho externo em todas as condições climáticas. A vaga exige que o candidato obtenha e apresente comprovante de todas as autorizações governamentais necessárias para trabalhar nesta função, como o vist"&amp;"o de trabalho H-2B para trabalhadores estrangeiros. Qualquer visto de trabalho H-2B será emitido pelo consulado dos Estados Unidos no país de origem, após o qual o candidato será considerado contratado naquele momento e local. É necessário cooperar e pree"&amp;"ncher o formulário de inscrição e a entrevista, e todas as informações fornecidas devem ser verdadeiras e completas. É necessário cumprir os requisitos de apresentação pessoal e o código de vestimenta. É necessário estar disposto a trabalhar até 7 dias po"&amp;"r semana. Sujeito a demissão por justa causa. Número de horas por semana: 35 Horário de trabalho (início/término): 8h00 - 17h00")</f>
        <v>Auxiliar de mecânico: manutenção de equipamentos de parque de diversões; lixar e preparar manualmente; limpar e lubrificar peças; montar, inspecionar, desmontar e armazenar estruturas de concessão; levantar peso e ter mobilidade física. Classificação da vaga: 49-9099.00 - Trabalhadores de Instalação, Manutenção e Reparo, Outros. A classificação e descrição da vaga/setor inclui informações gerais sobre o cargo, de acordo com o ONET/OES e o Sistema de Classificação Industrial da América do Norte. Consulte as Funções e a Ordem de Serviço para obter mais informações. Requisitos da vaga: Experiência necessária: Não. Requisitos especiais: Aprovação em exame toxicológico e verificação de antecedentes criminais após a contratação, pagos pelo empregador. Capacidade de levantar 23 kg. Horário, escala e dias de trabalho variam bastante. Normalmente, de segunda a sexta, das 8h às 17h. Não há previsão de horas extras. Geralmente, de 35 a 40 horas semanais. As necessidades de trabalho (ou seja, horas, dias, escala, local e funções) variam. Requisitos da vaga: Testes toxicológicos e verificações de antecedentes criminais aleatórios após a contratação podem ser exigidos pelo empregador, sem custo para o trabalhador. A vaga exige que o candidato seja qualificado, autorizado, esteja pronto, disposto, apto e disponível para trabalhar durante todo o período de emprego nos locais de trabalho designados, mesmo em condições climáticas adversas; atenda aos nossos padrões de verificação ou testes; firme e cumpra qualquer contrato de trabalho e contrato de aluguel; siga as normas do local de trabalho, as regras de reclamação e as normas de moradia. O procedimento de reclamação exige que os trabalhadores relatem quaisquer ameaças ou descumprimento dos termos e condições de trabalho; e atendam aos padrões de desempenho do trabalho. Trabalho externo em todas as condições climáticas. A vaga exige que o candidato obtenha e apresente comprovante de todas as autorizações governamentais necessárias para trabalhar nesta função, como o visto de trabalho H-2B para trabalhadores estrangeiros. Qualquer visto de trabalho H-2B será emitido pelo consulado dos Estados Unidos no país de origem, após o qual o candidato será considerado contratado naquele momento e local. É necessário cooperar e preencher o formulário de inscrição e a entrevista, e todas as informações fornecidas devem ser verdadeiras e completas. É necessário cumprir os requisitos de apresentação pessoal e o código de vestimenta. É necessário estar disposto a trabalhar até 7 dias por semana. Sujeito a demissão por justa causa. Número de horas por semana: 35 Horário de trabalho (início/término): 8h00 - 17h00</v>
      </c>
    </row>
    <row r="1442" ht="20.25" customHeight="1">
      <c r="A1442" s="3" t="s">
        <v>6395</v>
      </c>
      <c r="B1442" s="3" t="s">
        <v>6396</v>
      </c>
      <c r="C1442" s="3" t="s">
        <v>1030</v>
      </c>
      <c r="D1442" s="3" t="s">
        <v>64</v>
      </c>
      <c r="E1442" s="4" t="s">
        <v>19</v>
      </c>
      <c r="F1442" s="4" t="s">
        <v>20</v>
      </c>
      <c r="G1442" s="4" t="s">
        <v>229</v>
      </c>
      <c r="H1442" s="3" t="s">
        <v>6397</v>
      </c>
      <c r="I1442" s="3" t="s">
        <v>6398</v>
      </c>
      <c r="J1442" s="4">
        <v>15.61</v>
      </c>
      <c r="K1442" s="4">
        <v>12.0</v>
      </c>
      <c r="L1442" s="3" t="s">
        <v>6399</v>
      </c>
      <c r="M1442" s="3" t="s">
        <v>6400</v>
      </c>
      <c r="N1442" s="7" t="str">
        <f>IFERROR(__xludf.DUMMYFUNCTION("GOOGLETRANSLATE(L1442, ""en"", ""pt"")"),"Trabalhador de viveiro de plantas")</f>
        <v>Trabalhador de viveiro de plantas</v>
      </c>
      <c r="O1442" s="7" t="str">
        <f>IFERROR(__xludf.DUMMYFUNCTION("IF(M1442="""","""",GOOGLETRANSLATE(M1442,""en"",""pt""))"),"Plantar, pulverizar, capinar, fertilizar e regar plantas, utilizando ferramentas manuais e de jardinagem em um ambiente de atacado; manter o terreno; limpar a loja e os equipamentos; e realocar produtos. Envolve o carregamento e descarregamento de ferrame"&amp;"ntas, suprimentos e equipamentos com peso de até 18 kg. Envolve trabalho ao ar livre em todos os tipos de clima. Envolve longos períodos em pé, sentado ou caminhando. Envolve agachar-se ou curvar-se com frequência. Envolve movimentos repetitivos. Teste an"&amp;"tidrogas pós-contratação/pago pelo empregador. A faixa salarial é baseada no tempo de serviço, com possibilidade de aumento por desempenho. Elegível para benefícios de saúde após 60 dias, com 3 tipos de planos; o plano básico é oferecido sem custo para fu"&amp;"ncionários elegíveis. Plano de previdência 401K disponível após um ano de trabalho acumulado. Possibilidade de aumento por desempenho, bônus, horas extras e trabalho aos sábados, conforme necessário. 45 minutos de intervalos não remunerados ao longo do di"&amp;"a. O horário de trabalho diário pode variar entre os horários de início e término listados, dependendo do clima ou das tarefas atribuídas. Classificação da função: 45-2092.00 - Trabalhadores agrícolas e operários, cultivo, viveiro e estufa. A classificaçã"&amp;"o e descrição da função/setor inclui informações gerais sobre o cargo, de acordo com o ONET/OES e o Sistema de Classificação Industrial da América do Norte. Consulte as atribuições e a ordem de serviço para obter mais informações. Requisitos da função: Ex"&amp;"periência exigida: Não. Requisitos especiais: Nenhum. Número de horas por semana: 40. Horário de trabalho (início/término): 7h30 às 16h30.")</f>
        <v>Plantar, pulverizar, capinar, fertilizar e regar plantas, utilizando ferramentas manuais e de jardinagem em um ambiente de atacado; manter o terreno; limpar a loja e os equipamentos; e realocar produtos. Envolve o carregamento e descarregamento de ferramentas, suprimentos e equipamentos com peso de até 18 kg. Envolve trabalho ao ar livre em todos os tipos de clima. Envolve longos períodos em pé, sentado ou caminhando. Envolve agachar-se ou curvar-se com frequência. Envolve movimentos repetitivos. Teste antidrogas pós-contratação/pago pelo empregador. A faixa salarial é baseada no tempo de serviço, com possibilidade de aumento por desempenho. Elegível para benefícios de saúde após 60 dias, com 3 tipos de planos; o plano básico é oferecido sem custo para funcionários elegíveis. Plano de previdência 401K disponível após um ano de trabalho acumulado. Possibilidade de aumento por desempenho, bônus, horas extras e trabalho aos sábados, conforme necessário. 45 minutos de intervalos não remunerados ao longo do dia. O horário de trabalho diário pode variar entre os horários de início e término listados, dependendo do clima ou das tarefas atribuídas. Classificação da função: 45-2092.00 - Trabalhadores agrícolas e operários, cultivo, viveiro e estufa. A classificação e descrição da função/setor inclui informações gerais sobre o cargo, de acordo com o ONET/OES e o Sistema de Classificação Industrial da América do Norte. Consulte as atribuições e a ordem de serviço para obter mais informações. Requisitos da função: Experiência exigida: Não. Requisitos especiais: Nenhum. Número de horas por semana: 40. Horário de trabalho (início/término): 7h30 às 16h30.</v>
      </c>
    </row>
    <row r="1443" ht="20.25" customHeight="1">
      <c r="A1443" s="8" t="s">
        <v>6401</v>
      </c>
      <c r="B1443" s="8" t="s">
        <v>6402</v>
      </c>
      <c r="C1443" s="8" t="s">
        <v>6282</v>
      </c>
      <c r="D1443" s="8" t="s">
        <v>55</v>
      </c>
      <c r="E1443" s="9" t="s">
        <v>19</v>
      </c>
      <c r="F1443" s="9" t="s">
        <v>20</v>
      </c>
      <c r="G1443" s="9" t="s">
        <v>146</v>
      </c>
      <c r="H1443" s="8" t="s">
        <v>6403</v>
      </c>
      <c r="I1443" s="8" t="s">
        <v>6404</v>
      </c>
      <c r="J1443" s="9">
        <v>20.15</v>
      </c>
      <c r="K1443" s="9">
        <v>12.0</v>
      </c>
      <c r="L1443" s="8" t="s">
        <v>59</v>
      </c>
      <c r="M1443" s="8" t="s">
        <v>6405</v>
      </c>
      <c r="N1443" s="7" t="str">
        <f>IFERROR(__xludf.DUMMYFUNCTION("GOOGLETRANSLATE(L1443, ""en"", ""pt"")"),"Trabalhador de paisagismo")</f>
        <v>Trabalhador de paisagismo</v>
      </c>
      <c r="O1443" s="7" t="str">
        <f>IFERROR(__xludf.DUMMYFUNCTION("IF(M1443="""","""",GOOGLETRANSLATE(M1443,""en"",""pt""))"),"Colocação de grama em placas, semeadura de gramados, movimentação de grama, poda de arbustos e árvores, plantio de flores, arbustos e árvores, rega, plantio de material vegetal, fertilização de gramados, rastelamento de gramados. Necessário saber usar cor"&amp;"tador de grama, roçadeira, rastelo, enxada, minicarregadeira e aerador. Todas as ferramentas serão fornecidas. Classificação da vaga: 37-3011.00 - Trabalhadores de Paisagismo e Manutenção de Jardins. A classificação e descrição da vaga/setor incluem infor"&amp;"mações gerais sobre o cargo, de acordo com o ONET/OES e o Sistema de Classificação Industrial da América do Norte. Consulte as Funções e a Ordem de Serviço para obter mais informações. Requisitos da vaga: Experiência necessária: Não. Requisitos especiais:"&amp;" Capacidade de levantar 23 kg. Número de horas por semana: 48. Horário de trabalho (início/término): 7h às 17h.")</f>
        <v>Colocação de grama em placas, semeadura de gramados, movimentação de grama, poda de arbustos e árvores, plantio de flores, arbustos e árvores, rega, plantio de material vegetal, fertilização de gramados, rastelamento de gramados. Necessário saber usar cortador de grama, roçadeira, rastelo, enxada, minicarregadeira e aerador. Todas as ferramentas serão fornecidas. Classificação da vaga: 37-3011.00 - Trabalhadores de Paisagismo e Manutenção de Jardins. A classificação e descrição da vaga/setor incluem informações gerais sobre o cargo, de acordo com o ONET/OES e o Sistema de Classificação Industrial da América do Norte. Consulte as Funções e a Ordem de Serviço para obter mais informações. Requisitos da vaga: Experiência necessária: Não. Requisitos especiais: Capacidade de levantar 23 kg. Número de horas por semana: 48. Horário de trabalho (início/término): 7h às 17h.</v>
      </c>
    </row>
    <row r="1444" ht="20.25" customHeight="1">
      <c r="A1444" s="3" t="s">
        <v>6406</v>
      </c>
      <c r="B1444" s="3" t="s">
        <v>6402</v>
      </c>
      <c r="C1444" s="3" t="s">
        <v>6282</v>
      </c>
      <c r="D1444" s="3" t="s">
        <v>55</v>
      </c>
      <c r="E1444" s="4" t="s">
        <v>19</v>
      </c>
      <c r="F1444" s="4" t="s">
        <v>20</v>
      </c>
      <c r="G1444" s="4" t="s">
        <v>146</v>
      </c>
      <c r="H1444" s="3" t="s">
        <v>6403</v>
      </c>
      <c r="I1444" s="3" t="s">
        <v>6404</v>
      </c>
      <c r="J1444" s="4">
        <v>19.8</v>
      </c>
      <c r="K1444" s="4">
        <v>18.0</v>
      </c>
      <c r="L1444" s="3" t="s">
        <v>59</v>
      </c>
      <c r="M1444" s="3" t="s">
        <v>6405</v>
      </c>
      <c r="N1444" s="7" t="str">
        <f>IFERROR(__xludf.DUMMYFUNCTION("GOOGLETRANSLATE(L1444, ""en"", ""pt"")"),"Trabalhador de paisagismo")</f>
        <v>Trabalhador de paisagismo</v>
      </c>
      <c r="O1444" s="7" t="str">
        <f>IFERROR(__xludf.DUMMYFUNCTION("IF(M1444="""","""",GOOGLETRANSLATE(M1444,""en"",""pt""))"),"Colocação de grama em placas, semeadura de gramados, movimentação de grama, poda de arbustos e árvores, plantio de flores, arbustos e árvores, rega, plantio de material vegetal, fertilização de gramados, rastelamento de gramados. Necessário saber usar cor"&amp;"tador de grama, roçadeira, rastelo, enxada, minicarregadeira e aerador. Todas as ferramentas serão fornecidas. Classificação da vaga: 37-3011.00 - Trabalhadores de Paisagismo e Manutenção de Jardins. A classificação e descrição da vaga/setor incluem infor"&amp;"mações gerais sobre o cargo, de acordo com o ONET/OES e o Sistema de Classificação Industrial da América do Norte. Consulte as Funções e a Ordem de Serviço para obter mais informações. Requisitos da vaga: Experiência necessária: Não. Requisitos especiais:"&amp;" Capacidade de levantar 23 kg. Número de horas por semana: 48. Horário de trabalho (início/término): 7h às 17h.")</f>
        <v>Colocação de grama em placas, semeadura de gramados, movimentação de grama, poda de arbustos e árvores, plantio de flores, arbustos e árvores, rega, plantio de material vegetal, fertilização de gramados, rastelamento de gramados. Necessário saber usar cortador de grama, roçadeira, rastelo, enxada, minicarregadeira e aerador. Todas as ferramentas serão fornecidas. Classificação da vaga: 37-3011.00 - Trabalhadores de Paisagismo e Manutenção de Jardins. A classificação e descrição da vaga/setor incluem informações gerais sobre o cargo, de acordo com o ONET/OES e o Sistema de Classificação Industrial da América do Norte. Consulte as Funções e a Ordem de Serviço para obter mais informações. Requisitos da vaga: Experiência necessária: Não. Requisitos especiais: Capacidade de levantar 23 kg. Número de horas por semana: 48. Horário de trabalho (início/término): 7h às 17h.</v>
      </c>
    </row>
    <row r="1445" ht="20.25" customHeight="1">
      <c r="A1445" s="8" t="s">
        <v>6407</v>
      </c>
      <c r="B1445" s="8" t="s">
        <v>6408</v>
      </c>
      <c r="C1445" s="8" t="s">
        <v>6234</v>
      </c>
      <c r="D1445" s="8" t="s">
        <v>109</v>
      </c>
      <c r="E1445" s="9" t="s">
        <v>19</v>
      </c>
      <c r="F1445" s="9" t="s">
        <v>20</v>
      </c>
      <c r="G1445" s="9" t="s">
        <v>404</v>
      </c>
      <c r="H1445" s="8" t="s">
        <v>6409</v>
      </c>
      <c r="I1445" s="8" t="s">
        <v>6410</v>
      </c>
      <c r="J1445" s="9">
        <v>18.69</v>
      </c>
      <c r="K1445" s="9">
        <v>14.0</v>
      </c>
      <c r="L1445" s="8" t="s">
        <v>6411</v>
      </c>
      <c r="M1445" s="8" t="s">
        <v>6412</v>
      </c>
      <c r="N1445" s="7" t="str">
        <f>IFERROR(__xludf.DUMMYFUNCTION("GOOGLETRANSLATE(L1445, ""en"", ""pt"")"),"Trabalhador de paisagismo qualificado")</f>
        <v>Trabalhador de paisagismo qualificado</v>
      </c>
      <c r="O1445" s="7" t="str">
        <f>IFERROR(__xludf.DUMMYFUNCTION("IF(M1445="""","""",GOOGLETRANSLATE(M1445,""en"",""pt""))"),"A vaga oferecida é para um auxiliar de paisagismo experiente, com no mínimo um mês de experiência em serviços de inverno, que seja capaz de trabalhar e demonstrar os métodos e procedimentos de paisagismo da empresa, em conjunto com até 3 colegas. As taref"&amp;"as incluem: remoção e poda de arbustos; poda e remoção de árvores caídas utilizando motosserras, trituradores e podadores; limpeza e remoção de folhas e detritos; descarte de galhos, ramos e árvores; plantio de paisagismo de inverno, incluindo azevinho e "&amp;"outras coníferas; aplicação de cobertura morta; preparação de plantas e árvores para protegê-las do congelamento, com manutenção de jardins e controle de drenagem; instalação de flores de inverno anuais; aplicação, aplicação e fertilização de cobertura mo"&amp;"rta em toda a propriedade para proteger as plantas; preparação e drenagem do sistema de irrigação; limpeza de lagoas de retenção, removendo lixo, folhas, galhos e outros detritos flutuantes com rastelos manuais. Manutenção da vegetação natural através da "&amp;"poda, corte e cobertura morta do terreno ao redor da lagoa. Remoção contínua de depósitos de neve acumulados em condições climáticas extremas em diversas propriedades comerciais, utilizando sopradores de neve e pás de neve comerciais padrão. Remediação de"&amp;" gelo e aplicação de sal. Carregamento e descarregamento de materiais e equipamentos. Levantamento de peso de até 23 kg (50 libras). O trabalho é realizado em locais de trabalho na região, com transporte fornecido pelo empregador de ida e volta a partir d"&amp;"e um ponto de coleta centralizado na área de atuação especificada. Classificação da vaga: 37-3011.00 - Trabalhadores de Paisagismo e Manutenção de Áreas Verdes. A classificação e descrição da vaga/setor incluem informações gerais sobre o cargo, de acordo "&amp;"com o ONET/OES e o Sistema de Classificação Industrial da América do Norte (NAICS). Consulte as Funções e a Ordem de Serviço para obter mais informações. Requisitos da vaga: Experiência exigida: Sim. Meses de experiência exigidos: 1. Requisitos especiais:"&amp;" Verificação de antecedentes criminais pré-contratação paga pelo empregador. Número de horas por semana: 40. Horário de trabalho (início/término): 7h às 16h.")</f>
        <v>A vaga oferecida é para um auxiliar de paisagismo experiente, com no mínimo um mês de experiência em serviços de inverno, que seja capaz de trabalhar e demonstrar os métodos e procedimentos de paisagismo da empresa, em conjunto com até 3 colegas. As tarefas incluem: remoção e poda de arbustos; poda e remoção de árvores caídas utilizando motosserras, trituradores e podadores; limpeza e remoção de folhas e detritos; descarte de galhos, ramos e árvores; plantio de paisagismo de inverno, incluindo azevinho e outras coníferas; aplicação de cobertura morta; preparação de plantas e árvores para protegê-las do congelamento, com manutenção de jardins e controle de drenagem; instalação de flores de inverno anuais; aplicação, aplicação e fertilização de cobertura morta em toda a propriedade para proteger as plantas; preparação e drenagem do sistema de irrigação; limpeza de lagoas de retenção, removendo lixo, folhas, galhos e outros detritos flutuantes com rastelos manuais. Manutenção da vegetação natural através da poda, corte e cobertura morta do terreno ao redor da lagoa. Remoção contínua de depósitos de neve acumulados em condições climáticas extremas em diversas propriedades comerciais, utilizando sopradores de neve e pás de neve comerciais padrão. Remediação de gelo e aplicação de sal. Carregamento e descarregamento de materiais e equipamentos. Levantamento de peso de até 23 kg (50 libras). O trabalho é realizado em locais de trabalho na região, com transporte fornecido pelo empregador de ida e volta a partir de um ponto de coleta centralizado na área de atuação especificada. Classificação da vaga: 37-3011.00 - Trabalhadores de Paisagismo e Manutenção de Áreas Verdes. A classificação e descrição da vaga/setor incluem informações gerais sobre o cargo, de acordo com o ONET/OES e o Sistema de Classificação Industrial da América do Norte (NAICS). Consulte as Funções e a Ordem de Serviço para obter mais informações. Requisitos da vaga: Experiência exigida: Sim. Meses de experiência exigidos: 1. Requisitos especiais: Verificação de antecedentes criminais pré-contratação paga pelo empregador. Número de horas por semana: 40. Horário de trabalho (início/término): 7h às 16h.</v>
      </c>
    </row>
    <row r="1446" ht="20.25" customHeight="1">
      <c r="A1446" s="3" t="s">
        <v>6413</v>
      </c>
      <c r="B1446" s="3" t="s">
        <v>6414</v>
      </c>
      <c r="C1446" s="3" t="s">
        <v>63</v>
      </c>
      <c r="D1446" s="3" t="s">
        <v>1132</v>
      </c>
      <c r="E1446" s="4" t="s">
        <v>19</v>
      </c>
      <c r="F1446" s="4" t="s">
        <v>20</v>
      </c>
      <c r="G1446" s="4" t="s">
        <v>1340</v>
      </c>
      <c r="H1446" s="3" t="s">
        <v>6415</v>
      </c>
      <c r="I1446" s="3" t="s">
        <v>6416</v>
      </c>
      <c r="J1446" s="4">
        <v>16.4</v>
      </c>
      <c r="K1446" s="4">
        <v>5.0</v>
      </c>
      <c r="L1446" s="3" t="s">
        <v>59</v>
      </c>
      <c r="M1446" s="3" t="s">
        <v>6417</v>
      </c>
      <c r="N1446" s="7" t="str">
        <f>IFERROR(__xludf.DUMMYFUNCTION("GOOGLETRANSLATE(L1446, ""en"", ""pt"")"),"Trabalhador de paisagismo")</f>
        <v>Trabalhador de paisagismo</v>
      </c>
      <c r="O1446" s="7" t="str">
        <f>IFERROR(__xludf.DUMMYFUNCTION("IF(M1446="""","""",GOOGLETRANSLATE(M1446,""en"",""pt""))"),"Paisagismo e manutenção de terrenos utilizando ferramentas manuais ou elétricas. Os trabalhadores geralmente executam uma variedade de tarefas, que podem incluir qualquer combinação das seguintes: colocação de grama, corte de grama, poda, plantio, rega, f"&amp;"ertilização, escavação, rastelagem e cobertura morta. O nível inicial requer supervisão. Classificação do Cargo: 37-3011.00 - Trabalhadores de Paisagismo e Manutenção de Terrenos. A classificação e descrição do cargo/setor inclui informações gerais sobre "&amp;"a posição, de acordo com o ONET/OES e o Sistema de Classificação Industrial da América do Norte. Consulte as Funções e a Ordem de Serviço para obter mais informações. Requisitos do Cargo Experiência Necessária: Não. Requisitos Especiais: Deve ser capaz de"&amp;" levantar/carregar 23 kg, quando necessário. Trabalho aos sábados e domingos, quando necessário. O empregador pode oferecer mais horas de trabalho do que as indicadas, dependendo do clima, das necessidades da empresa e de outras condições. Calor extremo, "&amp;"frio, chuva ou seca podem afetar o horário de trabalho exato. Número de Horas por Semana: 40. Horário de Trabalho (Início/Término): 7h30. - 16:00")</f>
        <v>Paisagismo e manutenção de terrenos utilizando ferramentas manuais ou elétricas. Os trabalhadores geralmente executam uma variedade de tarefas, que podem incluir qualquer combinação das seguintes: colocação de grama, corte de grama, poda, plantio, rega, fertilização, escavação, rastelagem e cobertura morta. O nível inicial requer supervisão. Classificação do Cargo: 37-3011.00 - Trabalhadores de Paisagismo e Manutenção de Terrenos. A classificação e descrição do cargo/setor inclui informações gerais sobre a posição, de acordo com o ONET/OES e o Sistema de Classificação Industrial da América do Norte. Consulte as Funções e a Ordem de Serviço para obter mais informações. Requisitos do Cargo Experiência Necessária: Não. Requisitos Especiais: Deve ser capaz de levantar/carregar 23 kg, quando necessário. Trabalho aos sábados e domingos, quando necessário. O empregador pode oferecer mais horas de trabalho do que as indicadas, dependendo do clima, das necessidades da empresa e de outras condições. Calor extremo, frio, chuva ou seca podem afetar o horário de trabalho exato. Número de Horas por Semana: 40. Horário de Trabalho (Início/Término): 7h30. - 16:00</v>
      </c>
    </row>
    <row r="1447" ht="20.25" customHeight="1">
      <c r="A1447" s="8" t="s">
        <v>6418</v>
      </c>
      <c r="B1447" s="8" t="s">
        <v>6419</v>
      </c>
      <c r="C1447" s="8" t="s">
        <v>6339</v>
      </c>
      <c r="D1447" s="8" t="s">
        <v>71</v>
      </c>
      <c r="E1447" s="9" t="s">
        <v>19</v>
      </c>
      <c r="F1447" s="9" t="s">
        <v>20</v>
      </c>
      <c r="G1447" s="9" t="s">
        <v>2339</v>
      </c>
      <c r="H1447" s="8" t="s">
        <v>6420</v>
      </c>
      <c r="I1447" s="8" t="s">
        <v>6421</v>
      </c>
      <c r="J1447" s="9">
        <v>24.98</v>
      </c>
      <c r="K1447" s="9">
        <v>5.0</v>
      </c>
      <c r="L1447" s="8" t="s">
        <v>6422</v>
      </c>
      <c r="M1447" s="8" t="s">
        <v>6423</v>
      </c>
      <c r="N1447" s="7" t="str">
        <f>IFERROR(__xludf.DUMMYFUNCTION("GOOGLETRANSLATE(L1447, ""en"", ""pt"")"),"Trabalhador de manutenção de pista de corrida de cavalos")</f>
        <v>Trabalhador de manutenção de pista de corrida de cavalos</v>
      </c>
      <c r="O1447" s="7" t="str">
        <f>IFERROR(__xludf.DUMMYFUNCTION("IF(M1447="""","""",GOOGLETRANSLATE(M1447,""en"",""pt""))"),"***Resposta à Solicitação de Informações*** Os tratores, implementos e cortadores de grama a serem utilizados incluem: • Trator utilitário New Holland TS6.110 – Aprox. 4.688 kg, 110 cavalos de potência • Trator utilitário New Holland TS6.120 – Aprox. 5.52"&amp;"4 kg, 120 cavalos de potência • Trator utilitário New Holland Power Star 75 – Aprox. 2.280 kg, 74 cavalos de potência • Grade de esteiras Horsemen’s de 4,27 m com engate de dois pontos – Aprox. 1.270 kg sem pinos, 1.770 kg com pinos • Reboque de esteiras "&amp;"Horsemen’s de 4,27 m com engate de três pontos – Aprox. 2.676 kg • Reboque de esteiras Horsemen’s de 4,98 m com placa deslizante – Aprox. 4800 libras • Compactador de trilha Horsemen’s Track de 9’6” - aprox. 4800 libras • Cortador de grama Toro Turfmaster"&amp;" de 72” – Aprox. 1657 libras. 36 cavalos de potência • Cortador de grama John Deere Z985R Z Trak – Aprox. 1556 libras 40 cavalos de potência. Repare e substitua os tubos de PVC dos trilhos internos e externos, conforme necessário, em caso de danos como ra"&amp;"chaduras ou quebras devido a impactos ou degradação por intempéries. Os reparos são feitos com a substituição das peças danificadas. Substitua os postes de suporte dos trilhos por tubos galvanizados de 4 pés que estabilizam os trilhos no lugar, conforme n"&amp;"ecessário, devido à corrosão. O bate-estacas a gasolina Earth Series 32.7C é usado, conforme necessário, para cravar os postes de substituição (postes de suporte) no solo. Os tubos de PVC para trilhos de substituição têm 94 a 96 polegadas de comprimento. "&amp;"Corte as peças de substituição no tamanho apropriado usando uma serra manual, serra tico-tico ou cortador de PVC com catraca. Martelo de borracha, martelo comum, furadeira e parafusos são usados ​​conforme necessário para instalar trilhos de tubulação de "&amp;"PVC de reposição. Equipamentos de segurança, incluindo protetores auriculares, luvas e óculos de segurança, são usados ​​durante a execução das tarefas. ***Original*** Manter pistas de treinamento de cavalos de corrida de terra e grama seguras e bem cuida"&amp;"das, utilizando equipamentos como tratores, grades e cortadores de grama. Remover detritos das pistas, realizar a manutenção geral das pistas, incluindo gradear e irrigar pistas de terra, cortar a grama, irrigar e preencher buracos em pistas de grama. Rep"&amp;"arar e substituir trilhos de pista conforme necessário. Classificação da Função: 47-4031.00 - Montadores de Cercas. A classificação e descrição da função/indústria inclui informações gerais sobre o cargo, de acordo com o ONET/OES e o Sistema de Classifica"&amp;"ção Industrial da América do Norte. Consulte as Funções e a Ordem de Serviço para obter mais informações. Requisitos da Função Experiência Necessária: Sim Meses de Experiência Necessária: 6 Requisitos Especiais: O horário de trabalho inclui 1 hora de almo"&amp;"ço remunerado. Os dias e horários podem variar. Número de Horas por Semana: 48 Horário de Trabalho (Início/Término): 8h00 - 16:00")</f>
        <v>***Resposta à Solicitação de Informações*** Os tratores, implementos e cortadores de grama a serem utilizados incluem: • Trator utilitário New Holland TS6.110 – Aprox. 4.688 kg, 110 cavalos de potência • Trator utilitário New Holland TS6.120 – Aprox. 5.524 kg, 120 cavalos de potência • Trator utilitário New Holland Power Star 75 – Aprox. 2.280 kg, 74 cavalos de potência • Grade de esteiras Horsemen’s de 4,27 m com engate de dois pontos – Aprox. 1.270 kg sem pinos, 1.770 kg com pinos • Reboque de esteiras Horsemen’s de 4,27 m com engate de três pontos – Aprox. 2.676 kg • Reboque de esteiras Horsemen’s de 4,98 m com placa deslizante – Aprox. 4800 libras • Compactador de trilha Horsemen’s Track de 9’6” - aprox. 4800 libras • Cortador de grama Toro Turfmaster de 72” – Aprox. 1657 libras. 36 cavalos de potência • Cortador de grama John Deere Z985R Z Trak – Aprox. 1556 libras 40 cavalos de potência. Repare e substitua os tubos de PVC dos trilhos internos e externos, conforme necessário, em caso de danos como rachaduras ou quebras devido a impactos ou degradação por intempéries. Os reparos são feitos com a substituição das peças danificadas. Substitua os postes de suporte dos trilhos por tubos galvanizados de 4 pés que estabilizam os trilhos no lugar, conforme necessário, devido à corrosão. O bate-estacas a gasolina Earth Series 32.7C é usado, conforme necessário, para cravar os postes de substituição (postes de suporte) no solo. Os tubos de PVC para trilhos de substituição têm 94 a 96 polegadas de comprimento. Corte as peças de substituição no tamanho apropriado usando uma serra manual, serra tico-tico ou cortador de PVC com catraca. Martelo de borracha, martelo comum, furadeira e parafusos são usados ​​conforme necessário para instalar trilhos de tubulação de PVC de reposição. Equipamentos de segurança, incluindo protetores auriculares, luvas e óculos de segurança, são usados ​​durante a execução das tarefas. ***Original*** Manter pistas de treinamento de cavalos de corrida de terra e grama seguras e bem cuidadas, utilizando equipamentos como tratores, grades e cortadores de grama. Remover detritos das pistas, realizar a manutenção geral das pistas, incluindo gradear e irrigar pistas de terra, cortar a grama, irrigar e preencher buracos em pistas de grama. Reparar e substituir trilhos de pista conforme necessário. Classificação da Função: 47-4031.00 - Montadores de Cercas. A classificação e descrição da função/indústria inclui informações gerais sobre o cargo, de acordo com o ONET/OES e o Sistema de Classificação Industrial da América do Norte. Consulte as Funções e a Ordem de Serviço para obter mais informações. Requisitos da Função Experiência Necessária: Sim Meses de Experiência Necessária: 6 Requisitos Especiais: O horário de trabalho inclui 1 hora de almoço remunerado. Os dias e horários podem variar. Número de Horas por Semana: 48 Horário de Trabalho (Início/Término): 8h00 - 16:00</v>
      </c>
    </row>
    <row r="1448" ht="20.25" customHeight="1">
      <c r="A1448" s="3" t="s">
        <v>6424</v>
      </c>
      <c r="B1448" s="3" t="s">
        <v>6425</v>
      </c>
      <c r="C1448" s="3" t="s">
        <v>5563</v>
      </c>
      <c r="D1448" s="3" t="s">
        <v>71</v>
      </c>
      <c r="E1448" s="4" t="s">
        <v>19</v>
      </c>
      <c r="F1448" s="4" t="s">
        <v>20</v>
      </c>
      <c r="G1448" s="4" t="s">
        <v>80</v>
      </c>
      <c r="H1448" s="3" t="s">
        <v>6426</v>
      </c>
      <c r="I1448" s="3" t="s">
        <v>6427</v>
      </c>
      <c r="J1448" s="4">
        <v>17.29</v>
      </c>
      <c r="K1448" s="4">
        <v>22.0</v>
      </c>
      <c r="L1448" s="3" t="s">
        <v>5587</v>
      </c>
      <c r="M1448" s="3" t="s">
        <v>6428</v>
      </c>
      <c r="N1448" s="7" t="str">
        <f>IFERROR(__xludf.DUMMYFUNCTION("GOOGLETRANSLATE(L1448, ""en"", ""pt"")"),"Processadores de Ostras")</f>
        <v>Processadores de Ostras</v>
      </c>
      <c r="O1448" s="7" t="str">
        <f>IFERROR(__xludf.DUMMYFUNCTION("IF(M1448="""","""",GOOGLETRANSLATE(M1448,""en"",""pt""))"),"Os trabalhadores recebem ostras frescas do sistema de esteiras localizado em seus respectivos postos de abertura. A esteira fornece continuamente o produto para cada posto, que o processa como parte do fluxo de trabalho normal de produção. Os trabalhadore"&amp;"s realizam a abertura e o processamento das ostras utilizando facas próprias para abrir as ostras e congelá-las. As ostras entram em um túnel de congelamento por meio de uma esteira e, após o congelamento, saem do túnel também por esteira e são embaladas "&amp;"manualmente. Pás e escovas são utilizadas para a limpeza da área de processamento. Todos os EPIs (Equipamentos de Proteção Individual) necessários são fornecidos aos trabalhadores. Eles recebem e distribuem sacos de ostras e despejam as ostras na área de "&amp;"estoque. Os trabalhadores lavam, separam e colocam as ostras, ainda com a casca, em sacos e caixas. Para abrir as ostras, seguram-nas firmemente e inserem uma faca entre as metades da casca na junção da dobradiça. Giram a faca para cortar os músculos que "&amp;"mantêm a casca unida e abrem a ostra. O profissional irá remover a concha superior, deixando a carne da ostra presa à concha inferior, ou cortar a ostra inteira, descartando a concha. Lavar, selecionar, congelar e colocar a carne processada em recipientes"&amp;" para processamento posterior ou venda. Auxiliar na limpeza da fábrica ao final do turno. Poderá ser oferecido pagamento por produção; o valor será determinado com base na tabela salarial vigente. Não é necessária experiência/educação. Treinamento de 21 d"&amp;"ias no local de trabalho será fornecido. Consulte o Adendo em anexo. Classificação da Função: 51-3022.00 - Cortadores e Aparadores de Carne, Aves e Peixes. A classificação e descrição da função/setor inclui informações gerais sobre o cargo, de acordo com "&amp;"o ONET/OES e o Sistema de Classificação Industrial da América do Norte (NAICS). Consulte as Funções e a Ordem de Serviço para obter mais informações. Requisitos da Função: Experiência Necessária: Não. Requisitos Especiais: Levantar/carregar até 34 kg. O e"&amp;"mpregador realizará testes de drogas pré-emprego, pós-acidente, aleatórios e mediante suspeita. O empregador poderá realizar verificações legais e relacionadas ao trabalho dos candidatos, incluindo consultas sobre antecedentes criminais, quando permitido "&amp;"pelas leis federais, estaduais e locais aplicáveis. Qualquer análise de antecedentes criminais será feita individualmente e as decisões de contratação serão tomadas de forma não discriminatória, em conformidade com as leis aplicáveis ​​e as necessidades d"&amp;"a empresa. O empregador oferece testes de drogas pré-admissional, aleatórios (após a contratação), pós-acidente e mediante suspeita (após a contratação). Não são permitidas doenças infecciosas; alergias a frutos do mar podem ser fatais. Número de horas po"&amp;"r semana: 35. Horário de trabalho (início/término): 7h às 15h.")</f>
        <v>Os trabalhadores recebem ostras frescas do sistema de esteiras localizado em seus respectivos postos de abertura. A esteira fornece continuamente o produto para cada posto, que o processa como parte do fluxo de trabalho normal de produção. Os trabalhadores realizam a abertura e o processamento das ostras utilizando facas próprias para abrir as ostras e congelá-las. As ostras entram em um túnel de congelamento por meio de uma esteira e, após o congelamento, saem do túnel também por esteira e são embaladas manualmente. Pás e escovas são utilizadas para a limpeza da área de processamento. Todos os EPIs (Equipamentos de Proteção Individual) necessários são fornecidos aos trabalhadores. Eles recebem e distribuem sacos de ostras e despejam as ostras na área de estoque. Os trabalhadores lavam, separam e colocam as ostras, ainda com a casca, em sacos e caixas. Para abrir as ostras, seguram-nas firmemente e inserem uma faca entre as metades da casca na junção da dobradiça. Giram a faca para cortar os músculos que mantêm a casca unida e abrem a ostra. O profissional irá remover a concha superior, deixando a carne da ostra presa à concha inferior, ou cortar a ostra inteira, descartando a concha. Lavar, selecionar, congelar e colocar a carne processada em recipientes para processamento posterior ou venda. Auxiliar na limpeza da fábrica ao final do turno. Poderá ser oferecido pagamento por produção; o valor será determinado com base na tabela salarial vigente. Não é necessária experiência/educação. Treinamento de 21 dias no local de trabalho será fornecido. Consulte o Adendo em anexo. Classificação da Função: 51-3022.00 - Cortadores e Aparadores de Carne, Aves e Peixes. A classificação e descrição da função/setor inclui informações gerais sobre o cargo, de acordo com o ONET/OES e o Sistema de Classificação Industrial da América do Norte (NAICS). Consulte as Funções e a Ordem de Serviço para obter mais informações. Requisitos da Função: Experiência Necessária: Não. Requisitos Especiais: Levantar/carregar até 34 kg. O empregador realizará testes de drogas pré-emprego, pós-acidente, aleatórios e mediante suspeita. O empregador poderá realizar verificações legais e relacionadas ao trabalho dos candidatos, incluindo consultas sobre antecedentes criminais, quando permitido pelas leis federais, estaduais e locais aplicáveis. Qualquer análise de antecedentes criminais será feita individualmente e as decisões de contratação serão tomadas de forma não discriminatória, em conformidade com as leis aplicáveis ​​e as necessidades da empresa. O empregador oferece testes de drogas pré-admissional, aleatórios (após a contratação), pós-acidente e mediante suspeita (após a contratação). Não são permitidas doenças infecciosas; alergias a frutos do mar podem ser fatais. Número de horas por semana: 35. Horário de trabalho (início/término): 7h às 15h.</v>
      </c>
    </row>
    <row r="1449" ht="20.25" customHeight="1">
      <c r="A1449" s="8" t="s">
        <v>6429</v>
      </c>
      <c r="B1449" s="8" t="s">
        <v>6430</v>
      </c>
      <c r="C1449" s="8" t="s">
        <v>6247</v>
      </c>
      <c r="D1449" s="8" t="s">
        <v>71</v>
      </c>
      <c r="E1449" s="9" t="s">
        <v>19</v>
      </c>
      <c r="F1449" s="9" t="s">
        <v>20</v>
      </c>
      <c r="G1449" s="9" t="s">
        <v>80</v>
      </c>
      <c r="H1449" s="8" t="s">
        <v>6431</v>
      </c>
      <c r="I1449" s="8" t="s">
        <v>6432</v>
      </c>
      <c r="J1449" s="9">
        <v>18.57</v>
      </c>
      <c r="K1449" s="9">
        <v>3.0</v>
      </c>
      <c r="L1449" s="8" t="s">
        <v>6359</v>
      </c>
      <c r="M1449" s="8" t="s">
        <v>6433</v>
      </c>
      <c r="N1449" s="7" t="str">
        <f>IFERROR(__xludf.DUMMYFUNCTION("GOOGLETRANSLATE(L1449, ""en"", ""pt"")"),"tratador de cavalos puro-sangue")</f>
        <v>tratador de cavalos puro-sangue</v>
      </c>
      <c r="O1449" s="7" t="str">
        <f>IFERROR(__xludf.DUMMYFUNCTION("IF(M1449="""","""",GOOGLETRANSLATE(M1449,""en"",""pt""))"),"Responsável pelos cuidados gerais de cavalos de corrida puro-sangue, incluindo alimentação, fornecimento de água, manutenção de baias e estábulos, limpeza, escovação, exercícios, casqueamento, desinfecção de baias e camas, administração de medicamentos co"&amp;"nforme prescrição e inspeção da condição física dos cavalos. Levantará as patas e limpará os cascos dos cavalos, aplicando linimentos e bandagens conforme necessário. Cuidará de 1 a 5 cavalos por vez. Turno dividido: das 5h às 11h e das 15h às 17h. Folgas"&amp;" rotativas. Classificação da vaga: 39-2021.00 - Cuidadores de Animais. A classificação e descrição da vaga/setor incluem informações gerais sobre o cargo, de acordo com o ONET/OES e o Sistema de Classificação Industrial da América do Norte. Consulte as Fu"&amp;"nções e a Ordem de Serviço para obter mais informações. Requisitos da vaga: Experiência necessária: Sim. Meses de experiência necessários: 1. Requisitos especiais: Deve ser capaz de levantar até 23 kg. Número de horas por semana: 56. Horário de trabalho ("&amp;"início/término): 5h. - 17h00")</f>
        <v>Responsável pelos cuidados gerais de cavalos de corrida puro-sangue, incluindo alimentação, fornecimento de água, manutenção de baias e estábulos, limpeza, escovação, exercícios, casqueamento, desinfecção de baias e camas, administração de medicamentos conforme prescrição e inspeção da condição física dos cavalos. Levantará as patas e limpará os cascos dos cavalos, aplicando linimentos e bandagens conforme necessário. Cuidará de 1 a 5 cavalos por vez. Turno dividido: das 5h às 11h e das 15h às 17h. Folgas rotativas. Classificação da vaga: 39-2021.00 - Cuidadores de Animais. A classificação e descrição da vaga/setor incluem informações gerais sobre o cargo, de acordo com o ONET/OES e o Sistema de Classificação Industrial da América do Norte. Consulte as Funções e a Ordem de Serviço para obter mais informações. Requisitos da vaga: Experiência necessária: Sim. Meses de experiência necessários: 1. Requisitos especiais: Deve ser capaz de levantar até 23 kg. Número de horas por semana: 56. Horário de trabalho (início/término): 5h. - 17h00</v>
      </c>
    </row>
    <row r="1450" ht="20.25" customHeight="1">
      <c r="A1450" s="3" t="s">
        <v>6434</v>
      </c>
      <c r="B1450" s="3" t="s">
        <v>6435</v>
      </c>
      <c r="C1450" s="3" t="s">
        <v>6247</v>
      </c>
      <c r="D1450" s="3" t="s">
        <v>403</v>
      </c>
      <c r="E1450" s="4" t="s">
        <v>19</v>
      </c>
      <c r="F1450" s="4" t="s">
        <v>20</v>
      </c>
      <c r="G1450" s="4" t="s">
        <v>80</v>
      </c>
      <c r="H1450" s="3" t="s">
        <v>6436</v>
      </c>
      <c r="I1450" s="3" t="s">
        <v>6437</v>
      </c>
      <c r="J1450" s="4">
        <v>18.6</v>
      </c>
      <c r="K1450" s="4">
        <v>13.0</v>
      </c>
      <c r="L1450" s="3" t="s">
        <v>6250</v>
      </c>
      <c r="M1450" s="3" t="s">
        <v>6251</v>
      </c>
      <c r="N1450" s="7" t="str">
        <f>IFERROR(__xludf.DUMMYFUNCTION("GOOGLETRANSLATE(L1450, ""en"", ""pt"")"),"tratador de cavalos de corrida puro-sangue")</f>
        <v>tratador de cavalos de corrida puro-sangue</v>
      </c>
      <c r="O1450" s="7" t="str">
        <f>IFERROR(__xludf.DUMMYFUNCTION("IF(M1450="""","""",GOOGLETRANSLATE(M1450,""en"",""pt""))"),"Responsável pelos cuidados gerais de cavalos de corrida puro-sangue, incluindo alimentação, fornecimento de água, manutenção de baias e estábulos, limpeza, escovação, exercícios, casqueamento, desinfecção de baias e camas, administração de medicamentos co"&amp;"nforme prescrição e inspeção da condição física dos cavalos. Levantará as patas e limpará os cascos dos cavalos, aplicando linimentos e bandagens conforme necessário. Cuidará de 1 a 5 cavalos por vez. Turno dividido: das 5h às 11h e das 15h às 17h. Folgas"&amp;" rotativas. Classificação da vaga: 39-2021.00 - Cuidadores de Animais. A classificação e descrição da vaga/setor incluem informações gerais sobre o cargo, de acordo com o ONET/OES e o Sistema de Classificação Industrial da América do Norte. Consulte as Fu"&amp;"nções e a Ordem de Serviço para obter mais informações. Requisitos da vaga: Experiência necessária: Sim. Meses de experiência necessários: 1. Requisitos especiais: Deve ser capaz de levantar 23 kg. Número de horas por semana: 56. Horário de trabalho (iníc"&amp;"io/término): 5h. - 17h00")</f>
        <v>Responsável pelos cuidados gerais de cavalos de corrida puro-sangue, incluindo alimentação, fornecimento de água, manutenção de baias e estábulos, limpeza, escovação, exercícios, casqueamento, desinfecção de baias e camas, administração de medicamentos conforme prescrição e inspeção da condição física dos cavalos. Levantará as patas e limpará os cascos dos cavalos, aplicando linimentos e bandagens conforme necessário. Cuidará de 1 a 5 cavalos por vez. Turno dividido: das 5h às 11h e das 15h às 17h. Folgas rotativas. Classificação da vaga: 39-2021.00 - Cuidadores de Animais. A classificação e descrição da vaga/setor incluem informações gerais sobre o cargo, de acordo com o ONET/OES e o Sistema de Classificação Industrial da América do Norte. Consulte as Funções e a Ordem de Serviço para obter mais informações. Requisitos da vaga: Experiência necessária: Sim. Meses de experiência necessários: 1. Requisitos especiais: Deve ser capaz de levantar 23 kg. Número de horas por semana: 56. Horário de trabalho (início/término): 5h. - 17h00</v>
      </c>
    </row>
    <row r="1451" ht="20.25" customHeight="1">
      <c r="A1451" s="8" t="s">
        <v>6438</v>
      </c>
      <c r="B1451" s="8" t="s">
        <v>6439</v>
      </c>
      <c r="C1451" s="8" t="s">
        <v>6282</v>
      </c>
      <c r="D1451" s="8" t="s">
        <v>154</v>
      </c>
      <c r="E1451" s="9" t="s">
        <v>19</v>
      </c>
      <c r="F1451" s="9" t="s">
        <v>20</v>
      </c>
      <c r="G1451" s="9" t="s">
        <v>307</v>
      </c>
      <c r="H1451" s="8" t="s">
        <v>6440</v>
      </c>
      <c r="I1451" s="8" t="s">
        <v>6441</v>
      </c>
      <c r="J1451" s="9">
        <v>15.97</v>
      </c>
      <c r="K1451" s="9">
        <v>20.0</v>
      </c>
      <c r="L1451" s="8" t="s">
        <v>59</v>
      </c>
      <c r="M1451" s="8" t="s">
        <v>6442</v>
      </c>
      <c r="N1451" s="7" t="str">
        <f>IFERROR(__xludf.DUMMYFUNCTION("GOOGLETRANSLATE(L1451, ""en"", ""pt"")"),"Trabalhador de paisagismo")</f>
        <v>Trabalhador de paisagismo</v>
      </c>
      <c r="O1451" s="7" t="str">
        <f>IFERROR(__xludf.DUMMYFUNCTION("IF(M1451="""","""",GOOGLETRANSLATE(M1451,""en"",""pt""))"),"Manutenção e instalação de gramados e paisagismo. Corte, aparo, acabamento e limpeza de gramados com soprador. Recolhimento de resíduos, capina, cobertura morta e plantio de canteiros de flores. Poda de arbustos, instalação de plantas e árvores. Utilizaçã"&amp;"o de cortadores de grama motorizados e manuais, aparadores, bordadeiras, roçadeiras, sopradores, aparadores de cerca viva e motosserras. Classificação da vaga: 37-3011.00 - Trabalhadores de Paisagismo e Jardinagem. A classificação e descrição da vaga/seto"&amp;"r incluem informações gerais sobre o cargo, de acordo com o ONET/OES e o Sistema de Classificação Industrial da América do Norte. Consulte as Funções e a Ordem de Serviço para obter mais informações. Requisitos da vaga: Experiência necessária: Não. Requis"&amp;"itos especiais: Capacidade de levantar 23 kg. Número de horas por semana: 40. Horário de trabalho (início/término): 7h às 17h.")</f>
        <v>Manutenção e instalação de gramados e paisagismo. Corte, aparo, acabamento e limpeza de gramados com soprador. Recolhimento de resíduos, capina, cobertura morta e plantio de canteiros de flores. Poda de arbustos, instalação de plantas e árvores. Utilização de cortadores de grama motorizados e manuais, aparadores, bordadeiras, roçadeiras, sopradores, aparadores de cerca viva e motosserras. Classificação da vaga: 37-3011.00 - Trabalhadores de Paisagismo e Jardinagem. A classificação e descrição da vaga/setor incluem informações gerais sobre o cargo, de acordo com o ONET/OES e o Sistema de Classificação Industrial da América do Norte. Consulte as Funções e a Ordem de Serviço para obter mais informações. Requisitos da vaga: Experiência necessária: Não. Requisitos especiais: Capacidade de levantar 23 kg. Número de horas por semana: 40. Horário de trabalho (início/término): 7h às 17h.</v>
      </c>
    </row>
    <row r="1452" ht="20.25" customHeight="1">
      <c r="A1452" s="3" t="s">
        <v>6443</v>
      </c>
      <c r="B1452" s="3" t="s">
        <v>6439</v>
      </c>
      <c r="C1452" s="3" t="s">
        <v>6282</v>
      </c>
      <c r="D1452" s="3" t="s">
        <v>154</v>
      </c>
      <c r="E1452" s="4" t="s">
        <v>44</v>
      </c>
      <c r="F1452" s="4" t="s">
        <v>20</v>
      </c>
      <c r="G1452" s="4" t="s">
        <v>307</v>
      </c>
      <c r="H1452" s="3" t="s">
        <v>6440</v>
      </c>
      <c r="I1452" s="3" t="s">
        <v>6441</v>
      </c>
      <c r="J1452" s="4">
        <v>17.06</v>
      </c>
      <c r="K1452" s="4">
        <v>13.0</v>
      </c>
      <c r="L1452" s="3" t="s">
        <v>59</v>
      </c>
      <c r="M1452" s="3" t="s">
        <v>6442</v>
      </c>
      <c r="N1452" s="7" t="str">
        <f>IFERROR(__xludf.DUMMYFUNCTION("GOOGLETRANSLATE(L1452, ""en"", ""pt"")"),"Trabalhador de paisagismo")</f>
        <v>Trabalhador de paisagismo</v>
      </c>
      <c r="O1452" s="7" t="str">
        <f>IFERROR(__xludf.DUMMYFUNCTION("IF(M1452="""","""",GOOGLETRANSLATE(M1452,""en"",""pt""))"),"Manutenção e instalação de gramados e paisagismo. Corte, aparo, acabamento e limpeza de gramados com soprador. Recolhimento de resíduos, capina, cobertura morta e plantio de canteiros de flores. Poda de arbustos, instalação de plantas e árvores. Utilizaçã"&amp;"o de cortadores de grama motorizados e manuais, aparadores, bordadeiras, roçadeiras, sopradores, aparadores de cerca viva e motosserras. Classificação da vaga: 37-3011.00 - Trabalhadores de Paisagismo e Jardinagem. A classificação e descrição da vaga/seto"&amp;"r incluem informações gerais sobre o cargo, de acordo com o ONET/OES e o Sistema de Classificação Industrial da América do Norte. Consulte as Funções e a Ordem de Serviço para obter mais informações. Requisitos da vaga: Experiência necessária: Não. Requis"&amp;"itos especiais: Capacidade de levantar 23 kg. Número de horas por semana: 40. Horário de trabalho (início/término): 7h às 17h.")</f>
        <v>Manutenção e instalação de gramados e paisagismo. Corte, aparo, acabamento e limpeza de gramados com soprador. Recolhimento de resíduos, capina, cobertura morta e plantio de canteiros de flores. Poda de arbustos, instalação de plantas e árvores. Utilização de cortadores de grama motorizados e manuais, aparadores, bordadeiras, roçadeiras, sopradores, aparadores de cerca viva e motosserras. Classificação da vaga: 37-3011.00 - Trabalhadores de Paisagismo e Jardinagem. A classificação e descrição da vaga/setor incluem informações gerais sobre o cargo, de acordo com o ONET/OES e o Sistema de Classificação Industrial da América do Norte. Consulte as Funções e a Ordem de Serviço para obter mais informações. Requisitos da vaga: Experiência necessária: Não. Requisitos especiais: Capacidade de levantar 23 kg. Número de horas por semana: 40. Horário de trabalho (início/término): 7h às 17h.</v>
      </c>
    </row>
    <row r="1453" ht="20.25" customHeight="1">
      <c r="A1453" s="8" t="s">
        <v>6444</v>
      </c>
      <c r="B1453" s="8" t="s">
        <v>6445</v>
      </c>
      <c r="C1453" s="8" t="s">
        <v>6247</v>
      </c>
      <c r="D1453" s="8" t="s">
        <v>28</v>
      </c>
      <c r="E1453" s="9" t="s">
        <v>44</v>
      </c>
      <c r="F1453" s="9" t="s">
        <v>20</v>
      </c>
      <c r="G1453" s="9" t="s">
        <v>80</v>
      </c>
      <c r="H1453" s="8" t="s">
        <v>6446</v>
      </c>
      <c r="I1453" s="8" t="s">
        <v>6447</v>
      </c>
      <c r="J1453" s="9">
        <v>14.22</v>
      </c>
      <c r="K1453" s="9">
        <v>3.0</v>
      </c>
      <c r="L1453" s="8" t="s">
        <v>6359</v>
      </c>
      <c r="M1453" s="8" t="s">
        <v>6360</v>
      </c>
      <c r="N1453" s="7" t="str">
        <f>IFERROR(__xludf.DUMMYFUNCTION("GOOGLETRANSLATE(L1453, ""en"", ""pt"")"),"tratador de cavalos puro-sangue")</f>
        <v>tratador de cavalos puro-sangue</v>
      </c>
      <c r="O1453" s="7" t="str">
        <f>IFERROR(__xludf.DUMMYFUNCTION("IF(M1453="""","""",GOOGLETRANSLATE(M1453,""en"",""pt""))"),"Responsável pelos cuidados gerais de cavalos de corrida puro-sangue, incluindo alimentação, fornecimento de água, manutenção de baias e estábulos, limpeza, escovação, exercícios, casqueamento, desinfecção de baias e camas, administração de medicamentos co"&amp;"nforme prescrição e inspeção da condição física dos cavalos. Levantará as patas e limpará os cascos dos cavalos, aplicando linimentos e bandagens conforme necessário. Cuidará de 1 a 5 cavalos por vez. Turno dividido: das 5h às 11h e das 15h às 17h. Folgas"&amp;" rotativas. Classificação da vaga: 39-2021.00 - Cuidadores de Animais. A classificação e descrição da vaga/setor incluem informações gerais sobre o cargo, de acordo com o ONET/OES e o Sistema de Classificação Industrial da América do Norte. Consulte as Fu"&amp;"nções e a Ordem de Serviço para obter mais informações. Requisitos da vaga: Experiência necessária: Sim. Meses de experiência necessários: 1. Requisitos especiais: Deve ser capaz de levantar 23 kg. Número de horas por semana: 56. Horário de trabalho (iníc"&amp;"io/término): 5h. - 17h00")</f>
        <v>Responsável pelos cuidados gerais de cavalos de corrida puro-sangue, incluindo alimentação, fornecimento de água, manutenção de baias e estábulos, limpeza, escovação, exercícios, casqueamento, desinfecção de baias e camas, administração de medicamentos conforme prescrição e inspeção da condição física dos cavalos. Levantará as patas e limpará os cascos dos cavalos, aplicando linimentos e bandagens conforme necessário. Cuidará de 1 a 5 cavalos por vez. Turno dividido: das 5h às 11h e das 15h às 17h. Folgas rotativas. Classificação da vaga: 39-2021.00 - Cuidadores de Animais. A classificação e descrição da vaga/setor incluem informações gerais sobre o cargo, de acordo com o ONET/OES e o Sistema de Classificação Industrial da América do Norte. Consulte as Funções e a Ordem de Serviço para obter mais informações. Requisitos da vaga: Experiência necessária: Sim. Meses de experiência necessários: 1. Requisitos especiais: Deve ser capaz de levantar 23 kg. Número de horas por semana: 56. Horário de trabalho (início/término): 5h. - 17h00</v>
      </c>
    </row>
    <row r="1454" ht="20.25" customHeight="1">
      <c r="A1454" s="3" t="s">
        <v>6448</v>
      </c>
      <c r="B1454" s="3" t="s">
        <v>6449</v>
      </c>
      <c r="C1454" s="3" t="s">
        <v>6228</v>
      </c>
      <c r="D1454" s="3" t="s">
        <v>64</v>
      </c>
      <c r="E1454" s="4" t="s">
        <v>19</v>
      </c>
      <c r="F1454" s="4" t="s">
        <v>20</v>
      </c>
      <c r="G1454" s="4" t="s">
        <v>307</v>
      </c>
      <c r="H1454" s="3" t="s">
        <v>6450</v>
      </c>
      <c r="I1454" s="3" t="s">
        <v>6451</v>
      </c>
      <c r="J1454" s="4">
        <v>30.92</v>
      </c>
      <c r="K1454" s="4">
        <v>40.0</v>
      </c>
      <c r="L1454" s="3" t="s">
        <v>6452</v>
      </c>
      <c r="M1454" s="3" t="s">
        <v>6453</v>
      </c>
      <c r="N1454" s="7" t="str">
        <f>IFERROR(__xludf.DUMMYFUNCTION("GOOGLETRANSLATE(L1454, ""en"", ""pt"")"),"Técnicos de Reparo de Pás Eólicas")</f>
        <v>Técnicos de Reparo de Pás Eólicas</v>
      </c>
      <c r="O1454" s="7" t="str">
        <f>IFERROR(__xludf.DUMMYFUNCTION("IF(M1454="""","""",GOOGLETRANSLATE(M1454,""en"",""pt""))"),"O técnico de reparo de pás eólicas realizará inspeções detalhadas de componentes e elaborará relatórios sobre as constatações, além de executar reparos básicos em fibra de vidro em pás, nacelles e cones de turbinas eólicas. O profissional deverá ler e seg"&amp;"uir instruções de trabalho, esquemas de pás e cronogramas de laminação. Utilizará ferramentas típicas da área de reparo de fibra de vidro e calculará proporções de mistura e tempos de cura de materiais compósitos para reparo. O profissional deverá levanta"&amp;"r, empurrar, puxar e carregar itens de até 23 kg, ficar em pé, agachar, ajoelhar e curvar-se por períodos prolongados. Deverá segurar e manipular manualmente, frequentemente com movimentos repetitivos, itens como ferramentas manuais e peças de turbinas. O"&amp;" técnico de pás eólicas trabalhará em espaços confinados e em alturas superiores a 100 metros. Classificação da função: 49-9081.00 - Técnicos de Serviço de Turbinas Eólicas. A classificação e descrição da função/setor incluem informações gerais sobre o ca"&amp;"rgo, conforme o ONET/OES e o Sistema de Classificação Industrial da América do Norte (NAICS). Consulte as Funções e a Ordem de Serviço para obter mais informações. Requisitos da Vaga Experiência Necessária: Sim Meses de Experiência Necessários: 24 Requisi"&amp;"tos Especiais: 24 meses de experiência na indústria eólica trabalhando com epóxis, poliésteres ou gel coats. Experiência comprovada no uso e compreensão de ferramentas elétricas de nível intermediário. Curso técnico ou formação superior em áreas como Gest"&amp;"ão de Produção, Melhoria de Processos Industriais ou Gestão da Qualidade. Experiência na indústria eólica trabalhando com epóxis, poliésteres ou gel coats. Certificação GWO (Global Wind Organization). Certificação BST - Treinamento Básico de Segurança. Ce"&amp;"rtificação GWO (Global Wind Organization). Treinamento Avançado de Resgate (ART). Carteira de habilitação válida. Os trabalhadores estarão sujeitos a testes de drogas mediante suspeita razoável, pagos pelo empregador e aplicados igualmente a todos os trab"&amp;"alhadores, americanos e estrangeiros/H-2B. Os trabalhadores estão sujeitos a verificação de antecedentes criminais, paga pelo empregador e aplicada igualmente a todos os trabalhadores, americanos e estrangeiros/H-2B. Número de Horas por Semana: 40 Horário"&amp;" de Trabalho (Início/Término): 8h às 17h")</f>
        <v>O técnico de reparo de pás eólicas realizará inspeções detalhadas de componentes e elaborará relatórios sobre as constatações, além de executar reparos básicos em fibra de vidro em pás, nacelles e cones de turbinas eólicas. O profissional deverá ler e seguir instruções de trabalho, esquemas de pás e cronogramas de laminação. Utilizará ferramentas típicas da área de reparo de fibra de vidro e calculará proporções de mistura e tempos de cura de materiais compósitos para reparo. O profissional deverá levantar, empurrar, puxar e carregar itens de até 23 kg, ficar em pé, agachar, ajoelhar e curvar-se por períodos prolongados. Deverá segurar e manipular manualmente, frequentemente com movimentos repetitivos, itens como ferramentas manuais e peças de turbinas. O técnico de pás eólicas trabalhará em espaços confinados e em alturas superiores a 100 metros. Classificação da função: 49-9081.00 - Técnicos de Serviço de Turbinas Eólicas. A classificação e descrição da função/setor incluem informações gerais sobre o cargo, conforme o ONET/OES e o Sistema de Classificação Industrial da América do Norte (NAICS). Consulte as Funções e a Ordem de Serviço para obter mais informações. Requisitos da Vaga Experiência Necessária: Sim Meses de Experiência Necessários: 24 Requisitos Especiais: 24 meses de experiência na indústria eólica trabalhando com epóxis, poliésteres ou gel coats. Experiência comprovada no uso e compreensão de ferramentas elétricas de nível intermediário. Curso técnico ou formação superior em áreas como Gestão de Produção, Melhoria de Processos Industriais ou Gestão da Qualidade. Experiência na indústria eólica trabalhando com epóxis, poliésteres ou gel coats. Certificação GWO (Global Wind Organization). Certificação BST - Treinamento Básico de Segurança. Certificação GWO (Global Wind Organization). Treinamento Avançado de Resgate (ART). Carteira de habilitação válida. Os trabalhadores estarão sujeitos a testes de drogas mediante suspeita razoável, pagos pelo empregador e aplicados igualmente a todos os trabalhadores, americanos e estrangeiros/H-2B. Os trabalhadores estão sujeitos a verificação de antecedentes criminais, paga pelo empregador e aplicada igualmente a todos os trabalhadores, americanos e estrangeiros/H-2B. Número de Horas por Semana: 40 Horário de Trabalho (Início/Término): 8h às 17h</v>
      </c>
    </row>
    <row r="1455" ht="20.25" customHeight="1">
      <c r="A1455" s="8" t="s">
        <v>6454</v>
      </c>
      <c r="B1455" s="8" t="s">
        <v>6455</v>
      </c>
      <c r="C1455" s="8" t="s">
        <v>6247</v>
      </c>
      <c r="D1455" s="8" t="s">
        <v>403</v>
      </c>
      <c r="E1455" s="9" t="s">
        <v>19</v>
      </c>
      <c r="F1455" s="9" t="s">
        <v>20</v>
      </c>
      <c r="G1455" s="9" t="s">
        <v>80</v>
      </c>
      <c r="H1455" s="8" t="s">
        <v>6456</v>
      </c>
      <c r="I1455" s="8" t="s">
        <v>6457</v>
      </c>
      <c r="J1455" s="9">
        <v>18.6</v>
      </c>
      <c r="K1455" s="9">
        <v>6.0</v>
      </c>
      <c r="L1455" s="8" t="s">
        <v>6250</v>
      </c>
      <c r="M1455" s="8" t="s">
        <v>6326</v>
      </c>
      <c r="N1455" s="7" t="str">
        <f>IFERROR(__xludf.DUMMYFUNCTION("GOOGLETRANSLATE(L1455, ""en"", ""pt"")"),"tratador de cavalos de corrida puro-sangue")</f>
        <v>tratador de cavalos de corrida puro-sangue</v>
      </c>
      <c r="O1455" s="7" t="str">
        <f>IFERROR(__xludf.DUMMYFUNCTION("IF(M1455="""","""",GOOGLETRANSLATE(M1455,""en"",""pt""))"),"Responsável pelos cuidados gerais de cavalos de corrida puro-sangue, incluindo alimentação, fornecimento de água, manutenção de baias e estábulos, limpeza, escovação, exercícios, casqueamento, desinfecção de baias e camas, administração de medicamentos co"&amp;"nforme prescrição e inspeção da condição física dos cavalos. Levantará as patas e limpará os cascos dos cavalos, aplicando linimentos e bandagens conforme necessário. Cuidará de 1 a 5 cavalos por vez. Turno dividido: das 5h às 11h e das 15h às 17h. Folgas"&amp;" rotativas. Classificação da vaga: 39-2021.00 - Cuidadores de Animais. A classificação e descrição da vaga/setor incluem informações gerais sobre o cargo, de acordo com o ONET/OES e o Sistema de Classificação Industrial da América do Norte. Consulte as Fu"&amp;"nções e a Ordem de Serviço para obter mais informações. Requisitos da vaga: Experiência necessária: Sim. Meses de experiência necessários: 1. Requisitos especiais: Deve ser capaz de levantar 23 kg. Número de horas por semana: 56. Horário de trabalho (iníc"&amp;"io/término): 5h. - 17h00")</f>
        <v>Responsável pelos cuidados gerais de cavalos de corrida puro-sangue, incluindo alimentação, fornecimento de água, manutenção de baias e estábulos, limpeza, escovação, exercícios, casqueamento, desinfecção de baias e camas, administração de medicamentos conforme prescrição e inspeção da condição física dos cavalos. Levantará as patas e limpará os cascos dos cavalos, aplicando linimentos e bandagens conforme necessário. Cuidará de 1 a 5 cavalos por vez. Turno dividido: das 5h às 11h e das 15h às 17h. Folgas rotativas. Classificação da vaga: 39-2021.00 - Cuidadores de Animais. A classificação e descrição da vaga/setor incluem informações gerais sobre o cargo, de acordo com o ONET/OES e o Sistema de Classificação Industrial da América do Norte. Consulte as Funções e a Ordem de Serviço para obter mais informações. Requisitos da vaga: Experiência necessária: Sim. Meses de experiência necessários: 1. Requisitos especiais: Deve ser capaz de levantar 23 kg. Número de horas por semana: 56. Horário de trabalho (início/término): 5h. - 17h00</v>
      </c>
    </row>
    <row r="1456" ht="20.25" customHeight="1">
      <c r="A1456" s="3" t="s">
        <v>6458</v>
      </c>
      <c r="B1456" s="3" t="s">
        <v>6459</v>
      </c>
      <c r="C1456" s="3" t="s">
        <v>6460</v>
      </c>
      <c r="D1456" s="3" t="s">
        <v>64</v>
      </c>
      <c r="E1456" s="4" t="s">
        <v>44</v>
      </c>
      <c r="F1456" s="4" t="s">
        <v>20</v>
      </c>
      <c r="G1456" s="4" t="s">
        <v>6461</v>
      </c>
      <c r="H1456" s="3" t="s">
        <v>6462</v>
      </c>
      <c r="I1456" s="3" t="s">
        <v>6463</v>
      </c>
      <c r="J1456" s="4">
        <v>14.81</v>
      </c>
      <c r="K1456" s="4">
        <v>1.0</v>
      </c>
      <c r="L1456" s="3" t="s">
        <v>387</v>
      </c>
      <c r="M1456" s="3" t="s">
        <v>6464</v>
      </c>
      <c r="N1456" s="7" t="str">
        <f>IFERROR(__xludf.DUMMYFUNCTION("GOOGLETRANSLATE(L1456, ""en"", ""pt"")"),"Ordem de serviço não disponível")</f>
        <v>Ordem de serviço não disponível</v>
      </c>
      <c r="O1456" s="7" t="str">
        <f>IFERROR(__xludf.DUMMYFUNCTION("IF(M1456="""","""",GOOGLETRANSLATE(M1456,""en"",""pt""))"),"a. Cuidar, ensinar e realizar atividades apropriadas para a idade de crianças pequenas, como brincadeiras no colo, leitura e artes e artesanato, para incentivar o desenvolvimento intelectual das crianças. b. Organizar e conduzir atividades recreativas e e"&amp;"nriquecedoras apropriadas para a idade, como jogos, artes e artesanato, esportes, passeios e encontros com outras crianças. c. Se necessário, supervisionar e auxiliar as crianças com as tarefas escolares e a comunicação com professores ou instrutores. d. "&amp;"Ajudar a preparar e servir refeições e lanches nutricionalmente balanceados para as crianças. e. Servir de modelo para comportamentos sociais e morais apropriados e incentivar a preocupação com os outros para cultivar o desenvolvimento de relacionamentos "&amp;"interpessoais e habilidades de comunicação. f. Monitorar e interagir atentamente com as crianças para garantir que estejam seguras e envolvidas em atividades apropriadas para o seu desenvolvimento e sem riscos. g. Observar o comportamento das crianças em "&amp;"busca de irregularidades, aferir a temperatura, levar as crianças ao médico ou administrar medicamentos, conforme as instruções, para manter a saúde das crianças. h. Trabalhar com os pais para desenvolver e implementar programas disciplinares para promove"&amp;"r o comportamento desejável das crianças. i. Realizar tarefas domésticas e de limpeza relacionadas aos cuidados com as crianças. j. Reunir-se regularmente com os pais para discutir as atividades e o desenvolvimento das crianças. k. Auxiliar no desenvolvim"&amp;"ento ou monitoramento da rotina familiar. l. Fazer compras de mantimentos, roupas e outros itens necessários para os cuidados com as crianças. Classificação da vaga: 39-9011.01 - Babás. A classificação e descrição da vaga/setor inclui informações gerais s"&amp;"obre o cargo, de acordo com o ONET/OES e o Sistema de Classificação Industrial da América do Norte. Consulte as Funções e a Ordem de Serviço para obter mais informações. Requisitos da vaga: Experiência exigida: Não. Requisitos especiais: O EMPREGADOR OFER"&amp;"ECERÁ PELO MENOS 36 HORAS SEMANAIS; ENTRE 6H E 12H E 15H E 20H; 6 DIAS POR SEMANA (DOMINGOS DE FOLGA). ÀS VEZES, SERÁ NECESSÁRIO TRABALHAR EM TURNOS DIVIDIDOS, COM ALGUMAS HORAS NO PERÍODO DA TARDE/NOITE. Embora não previsto, se o trabalhador aceitar trab"&amp;"alhar mais de 40 horas (""horas extras"") em qualquer semana, o empregador o remunerará com um adicional de 50%, equivalente a US$ 22,22. Número de horas por semana: 36. Horário de trabalho (início/término): 6h às 20h.")</f>
        <v>a. Cuidar, ensinar e realizar atividades apropriadas para a idade de crianças pequenas, como brincadeiras no colo, leitura e artes e artesanato, para incentivar o desenvolvimento intelectual das crianças. b. Organizar e conduzir atividades recreativas e enriquecedoras apropriadas para a idade, como jogos, artes e artesanato, esportes, passeios e encontros com outras crianças. c. Se necessário, supervisionar e auxiliar as crianças com as tarefas escolares e a comunicação com professores ou instrutores. d. Ajudar a preparar e servir refeições e lanches nutricionalmente balanceados para as crianças. e. Servir de modelo para comportamentos sociais e morais apropriados e incentivar a preocupação com os outros para cultivar o desenvolvimento de relacionamentos interpessoais e habilidades de comunicação. f. Monitorar e interagir atentamente com as crianças para garantir que estejam seguras e envolvidas em atividades apropriadas para o seu desenvolvimento e sem riscos. g. Observar o comportamento das crianças em busca de irregularidades, aferir a temperatura, levar as crianças ao médico ou administrar medicamentos, conforme as instruções, para manter a saúde das crianças. h. Trabalhar com os pais para desenvolver e implementar programas disciplinares para promover o comportamento desejável das crianças. i. Realizar tarefas domésticas e de limpeza relacionadas aos cuidados com as crianças. j. Reunir-se regularmente com os pais para discutir as atividades e o desenvolvimento das crianças. k. Auxiliar no desenvolvimento ou monitoramento da rotina familiar. l. Fazer compras de mantimentos, roupas e outros itens necessários para os cuidados com as crianças. Classificação da vaga: 39-9011.01 - Babás. A classificação e descrição da vaga/setor inclui informações gerais sobre o cargo, de acordo com o ONET/OES e o Sistema de Classificação Industrial da América do Norte. Consulte as Funções e a Ordem de Serviço para obter mais informações. Requisitos da vaga: Experiência exigida: Não. Requisitos especiais: O EMPREGADOR OFERECERÁ PELO MENOS 36 HORAS SEMANAIS; ENTRE 6H E 12H E 15H E 20H; 6 DIAS POR SEMANA (DOMINGOS DE FOLGA). ÀS VEZES, SERÁ NECESSÁRIO TRABALHAR EM TURNOS DIVIDIDOS, COM ALGUMAS HORAS NO PERÍODO DA TARDE/NOITE. Embora não previsto, se o trabalhador aceitar trabalhar mais de 40 horas ("horas extras") em qualquer semana, o empregador o remunerará com um adicional de 50%, equivalente a US$ 22,22. Número de horas por semana: 36. Horário de trabalho (início/término): 6h às 20h.</v>
      </c>
    </row>
    <row r="1457" ht="20.25" customHeight="1">
      <c r="A1457" s="8" t="s">
        <v>6465</v>
      </c>
      <c r="B1457" s="8" t="s">
        <v>6466</v>
      </c>
      <c r="C1457" s="8" t="s">
        <v>6228</v>
      </c>
      <c r="D1457" s="8" t="s">
        <v>271</v>
      </c>
      <c r="E1457" s="9" t="s">
        <v>44</v>
      </c>
      <c r="F1457" s="9" t="s">
        <v>20</v>
      </c>
      <c r="G1457" s="9" t="s">
        <v>6467</v>
      </c>
      <c r="H1457" s="8" t="s">
        <v>6468</v>
      </c>
      <c r="I1457" s="8" t="s">
        <v>6469</v>
      </c>
      <c r="J1457" s="9">
        <v>20.79</v>
      </c>
      <c r="K1457" s="9">
        <v>40.0</v>
      </c>
      <c r="L1457" s="8" t="s">
        <v>6470</v>
      </c>
      <c r="M1457" s="8" t="s">
        <v>6471</v>
      </c>
      <c r="N1457" s="7" t="str">
        <f>IFERROR(__xludf.DUMMYFUNCTION("GOOGLETRANSLATE(L1457, ""en"", ""pt"")"),"Separador de lixo eletrônico")</f>
        <v>Separador de lixo eletrônico</v>
      </c>
      <c r="O1457" s="7" t="str">
        <f>IFERROR(__xludf.DUMMYFUNCTION("IF(M1457="""","""",GOOGLETRANSLATE(M1457,""en"",""pt""))"),"Executar tarefas manuais em uma instalação de reciclagem que processa materiais de resíduos eletrônicos. Receber, descarregar e movimentar remessas de equipamentos eletrônicos descartados, incluindo computadores, monitores, telefones, painéis solares e co"&amp;"mponentes relacionados. Separar e classificar os materiais por tipo e condição em categorias designadas para reutilização ou reciclagem, seguindo os procedimentos estabelecidos e as instruções do supervisor. Realizar a desmontagem básica e rotineira de di"&amp;"spositivos eletrônicos usando ferramentas manuais padrão (como chaves de fenda, alicates e furadeiras) para separar os componentes, de acordo com as diretrizes estabelecidas. Não realizar reparos, testes ou solução de problemas em equipamentos. Identifica"&amp;"r visualmente e remover materiais perigosos, incluindo baterias, tubos de raios catódicos (CRTs), lâmpadas de mercúrio e manuseá-los de acordo com as instruções fornecidas e os procedimentos de segurança. Pesar, etiquetar e movimentar materiais usando mét"&amp;"odos básicos de rastreamento, como balanças, registros ou leitores de código de barras, conforme instruído. Preparar os materiais para processamento ou envio, empilhando, paletizando, embalando ou colocando os itens em contêineres designados. Manter a lim"&amp;"peza e a organização das áreas de trabalho, incluindo estações de triagem, caixas de armazenamento e áreas de processamento. Siga todos os procedimentos de segurança, incluindo o uso correto de equipamentos de proteção individual (EPI), as normas da OSHA "&amp;"e cumpra as políticas da empresa e os procedimentos operacionais padrão. Execute tarefas repetitivas em um ambiente de produção, incluindo ficar em pé por longos períodos, levantar, curvar-se e manusear materiais durante todo o turno de trabalho. Classifi"&amp;"cação da vaga: 53-7062.04 - Trabalhadores de Reciclagem e Recuperação. A classificação e a descrição da vaga/setor incluem informações gerais sobre o cargo, de acordo com o ONET/OES e o Sistema de Classificação Industrial da América do Norte (NAICS). Cons"&amp;"ulte as Funções e a Ordem de Serviço para obter mais informações. Requisitos da vaga: Experiência necessária: Sim. Meses de experiência necessários: 3. Requisitos especiais: 3 meses de experiência na área. Deve ser capaz de levantar até 23 kg repetidament"&amp;"e. Deve ser capaz de ficar em pé, curvar-se e movimentar-se por longos períodos. A função envolve atividade física constante, como levantar, movimentar e manusear materiais. Deve ser capaz de executar tarefas manuais repetitivas durante todo o turno de tr"&amp;"abalho. Deve ser capaz de manusear materiais usando ambas as mãos e realizar tarefas simples de preensão e manipulação. Deve ser capaz de seguir instruções escritas e verbais, incluindo as normas de segurança. É necessário ter disponibilidade para trabalh"&amp;"ar nos turnos designados, incluindo noites, fins de semana e feriados, conforme a necessidade. É imprescindível o uso correto e adequado dos equipamentos de proteção individual (EPIs) necessários em todos os momentos, bem como o cumprimento dos procedimen"&amp;"tos de segurança e das políticas da empresa. O trabalho deve ser realizado em um ambiente de reciclagem com exposição a poeira, ruído e resíduos eletrônicos (as condições de trabalho incluem altas temperaturas, ar extremamente seco e clima semelhante à se"&amp;"ca, principalmente durante os meses de verão). Esta posição opera em um regime de 24 horas contínuas, dividido em três turnos consecutivos de 8 horas para garantir o processamento ininterrupto de resíduos eletrônicos. A escala de trabalho é rotativa, com "&amp;"diferentes turnos de 8 horas: Diurno, das 6h às 14h; Vespertino, das 14h às 22h; Noturno, das 22h às 6h. Os funcionários alternam os turnos semanalmente ou mensalmente. Trabalho ocasional em fins de semana e feriados, conforme a necessidade. Os trabalhado"&amp;"res serão submetidos a testes de drogas mediante suspeita razoável, pagos pelo empregador e aplicados igualmente a todos os trabalhadores, americanos e estrangeiros/H-2B. Os trabalhadores também serão submetidos a verificação de antecedentes criminais pré"&amp;"-emprego, paga pelo empregador e aplicada igualmente a todos os trabalhadores, americanos e estrangeiros/H-2B. O horário de trabalho é o seguinte: 40 horas semanais, de segunda a sexta-feira. Escala rotativa, com vários turnos de 8 horas: Turno diurno das"&amp;" 6h às 14h. Turno vespertino das 14h às 22h. Turno noturno das 22h às 6h. Os funcionários alternam os turnos semanalmente ou mensalmente. Trabalho ocasional em fins de semana e feriados, conforme necessário. Número de horas por semana: 40. Horário de trab"&amp;"alho (início/término): 6h às 22h.")</f>
        <v>Executar tarefas manuais em uma instalação de reciclagem que processa materiais de resíduos eletrônicos. Receber, descarregar e movimentar remessas de equipamentos eletrônicos descartados, incluindo computadores, monitores, telefones, painéis solares e componentes relacionados. Separar e classificar os materiais por tipo e condição em categorias designadas para reutilização ou reciclagem, seguindo os procedimentos estabelecidos e as instruções do supervisor. Realizar a desmontagem básica e rotineira de dispositivos eletrônicos usando ferramentas manuais padrão (como chaves de fenda, alicates e furadeiras) para separar os componentes, de acordo com as diretrizes estabelecidas. Não realizar reparos, testes ou solução de problemas em equipamentos. Identificar visualmente e remover materiais perigosos, incluindo baterias, tubos de raios catódicos (CRTs), lâmpadas de mercúrio e manuseá-los de acordo com as instruções fornecidas e os procedimentos de segurança. Pesar, etiquetar e movimentar materiais usando métodos básicos de rastreamento, como balanças, registros ou leitores de código de barras, conforme instruído. Preparar os materiais para processamento ou envio, empilhando, paletizando, embalando ou colocando os itens em contêineres designados. Manter a limpeza e a organização das áreas de trabalho, incluindo estações de triagem, caixas de armazenamento e áreas de processamento. Siga todos os procedimentos de segurança, incluindo o uso correto de equipamentos de proteção individual (EPI), as normas da OSHA e cumpra as políticas da empresa e os procedimentos operacionais padrão. Execute tarefas repetitivas em um ambiente de produção, incluindo ficar em pé por longos períodos, levantar, curvar-se e manusear materiais durante todo o turno de trabalho. Classificação da vaga: 53-7062.04 - Trabalhadores de Reciclagem e Recuperação. A classificação e a descrição da vaga/setor incluem informações gerais sobre o cargo, de acordo com o ONET/OES e o Sistema de Classificação Industrial da América do Norte (NAICS). Consulte as Funções e a Ordem de Serviço para obter mais informações. Requisitos da vaga: Experiência necessária: Sim. Meses de experiência necessários: 3. Requisitos especiais: 3 meses de experiência na área. Deve ser capaz de levantar até 23 kg repetidamente. Deve ser capaz de ficar em pé, curvar-se e movimentar-se por longos períodos. A função envolve atividade física constante, como levantar, movimentar e manusear materiais. Deve ser capaz de executar tarefas manuais repetitivas durante todo o turno de trabalho. Deve ser capaz de manusear materiais usando ambas as mãos e realizar tarefas simples de preensão e manipulação. Deve ser capaz de seguir instruções escritas e verbais, incluindo as normas de segurança. É necessário ter disponibilidade para trabalhar nos turnos designados, incluindo noites, fins de semana e feriados, conforme a necessidade. É imprescindível o uso correto e adequado dos equipamentos de proteção individual (EPIs) necessários em todos os momentos, bem como o cumprimento dos procedimentos de segurança e das políticas da empresa. O trabalho deve ser realizado em um ambiente de reciclagem com exposição a poeira, ruído e resíduos eletrônicos (as condições de trabalho incluem altas temperaturas, ar extremamente seco e clima semelhante à seca, principalmente durante os meses de verão). Esta posição opera em um regime de 24 horas contínuas, dividido em três turnos consecutivos de 8 horas para garantir o processamento ininterrupto de resíduos eletrônicos. A escala de trabalho é rotativa, com diferentes turnos de 8 horas: Diurno, das 6h às 14h; Vespertino, das 14h às 22h; Noturno, das 22h às 6h. Os funcionários alternam os turnos semanalmente ou mensalmente. Trabalho ocasional em fins de semana e feriados, conforme a necessidade. Os trabalhadores serão submetidos a testes de drogas mediante suspeita razoável, pagos pelo empregador e aplicados igualmente a todos os trabalhadores, americanos e estrangeiros/H-2B. Os trabalhadores também serão submetidos a verificação de antecedentes criminais pré-emprego, paga pelo empregador e aplicada igualmente a todos os trabalhadores, americanos e estrangeiros/H-2B. O horário de trabalho é o seguinte: 40 horas semanais, de segunda a sexta-feira. Escala rotativa, com vários turnos de 8 horas: Turno diurno das 6h às 14h. Turno vespertino das 14h às 22h. Turno noturno das 22h às 6h. Os funcionários alternam os turnos semanalmente ou mensalmente. Trabalho ocasional em fins de semana e feriados, conforme necessário. Número de horas por semana: 40. Horário de trabalho (início/término): 6h às 22h.</v>
      </c>
    </row>
    <row r="1458" ht="20.25" customHeight="1">
      <c r="A1458" s="3" t="s">
        <v>6472</v>
      </c>
      <c r="B1458" s="3" t="s">
        <v>6473</v>
      </c>
      <c r="C1458" s="3" t="s">
        <v>6247</v>
      </c>
      <c r="D1458" s="3" t="s">
        <v>254</v>
      </c>
      <c r="E1458" s="4" t="s">
        <v>44</v>
      </c>
      <c r="F1458" s="4" t="s">
        <v>20</v>
      </c>
      <c r="G1458" s="4" t="s">
        <v>80</v>
      </c>
      <c r="H1458" s="3" t="s">
        <v>6474</v>
      </c>
      <c r="I1458" s="3" t="s">
        <v>6475</v>
      </c>
      <c r="J1458" s="4">
        <v>16.37</v>
      </c>
      <c r="K1458" s="4">
        <v>3.0</v>
      </c>
      <c r="L1458" s="3" t="s">
        <v>6359</v>
      </c>
      <c r="M1458" s="3" t="s">
        <v>6360</v>
      </c>
      <c r="N1458" s="7" t="str">
        <f>IFERROR(__xludf.DUMMYFUNCTION("GOOGLETRANSLATE(L1458, ""en"", ""pt"")"),"tratador de cavalos puro-sangue")</f>
        <v>tratador de cavalos puro-sangue</v>
      </c>
      <c r="O1458" s="7" t="str">
        <f>IFERROR(__xludf.DUMMYFUNCTION("IF(M1458="""","""",GOOGLETRANSLATE(M1458,""en"",""pt""))"),"Responsável pelos cuidados gerais de cavalos de corrida puro-sangue, incluindo alimentação, fornecimento de água, manutenção de baias e estábulos, limpeza, escovação, exercícios, casqueamento, desinfecção de baias e camas, administração de medicamentos co"&amp;"nforme prescrição e inspeção da condição física dos cavalos. Levantará as patas e limpará os cascos dos cavalos, aplicando linimentos e bandagens conforme necessário. Cuidará de 1 a 5 cavalos por vez. Turno dividido: das 5h às 11h e das 15h às 17h. Folgas"&amp;" rotativas. Classificação da vaga: 39-2021.00 - Cuidadores de Animais. A classificação e descrição da vaga/setor incluem informações gerais sobre o cargo, de acordo com o ONET/OES e o Sistema de Classificação Industrial da América do Norte. Consulte as Fu"&amp;"nções e a Ordem de Serviço para obter mais informações. Requisitos da vaga: Experiência necessária: Sim. Meses de experiência necessários: 1. Requisitos especiais: Deve ser capaz de levantar 23 kg. Número de horas por semana: 56. Horário de trabalho (iníc"&amp;"io/término): 5h. - 17h00")</f>
        <v>Responsável pelos cuidados gerais de cavalos de corrida puro-sangue, incluindo alimentação, fornecimento de água, manutenção de baias e estábulos, limpeza, escovação, exercícios, casqueamento, desinfecção de baias e camas, administração de medicamentos conforme prescrição e inspeção da condição física dos cavalos. Levantará as patas e limpará os cascos dos cavalos, aplicando linimentos e bandagens conforme necessário. Cuidará de 1 a 5 cavalos por vez. Turno dividido: das 5h às 11h e das 15h às 17h. Folgas rotativas. Classificação da vaga: 39-2021.00 - Cuidadores de Animais. A classificação e descrição da vaga/setor incluem informações gerais sobre o cargo, de acordo com o ONET/OES e o Sistema de Classificação Industrial da América do Norte. Consulte as Funções e a Ordem de Serviço para obter mais informações. Requisitos da vaga: Experiência necessária: Sim. Meses de experiência necessários: 1. Requisitos especiais: Deve ser capaz de levantar 23 kg. Número de horas por semana: 56. Horário de trabalho (início/término): 5h. - 17h00</v>
      </c>
    </row>
    <row r="1459" ht="20.25" customHeight="1">
      <c r="A1459" s="8" t="s">
        <v>6476</v>
      </c>
      <c r="B1459" s="8" t="s">
        <v>6477</v>
      </c>
      <c r="C1459" s="8" t="s">
        <v>6228</v>
      </c>
      <c r="D1459" s="8" t="s">
        <v>186</v>
      </c>
      <c r="E1459" s="9" t="s">
        <v>19</v>
      </c>
      <c r="F1459" s="9" t="s">
        <v>20</v>
      </c>
      <c r="G1459" s="9" t="s">
        <v>307</v>
      </c>
      <c r="H1459" s="8" t="s">
        <v>6478</v>
      </c>
      <c r="I1459" s="8" t="s">
        <v>6479</v>
      </c>
      <c r="J1459" s="9">
        <v>18.52</v>
      </c>
      <c r="K1459" s="9">
        <v>18.0</v>
      </c>
      <c r="L1459" s="8" t="s">
        <v>6480</v>
      </c>
      <c r="M1459" s="8" t="s">
        <v>6481</v>
      </c>
      <c r="N1459" s="7" t="str">
        <f>IFERROR(__xludf.DUMMYFUNCTION("GOOGLETRANSLATE(L1459, ""en"", ""pt"")"),"Técnico de Piscina")</f>
        <v>Técnico de Piscina</v>
      </c>
      <c r="O1459" s="7" t="str">
        <f>IFERROR(__xludf.DUMMYFUNCTION("IF(M1459="""","""",GOOGLETRANSLATE(M1459,""en"",""pt""))"),"Executar tarefas relacionadas à abertura/fechamento e manutenção de piscinas. Manter piscinas privadas e públicas, banheiras de hidromassagem e piscinas infantis. Manter o equilíbrio químico adequado das piscinas, bem como armazenar os produtos químicos. "&amp;"Manter um registro automatizado de todas as atividades e enviar um relatório por e-mail/SMS para o escritório após cada visita à piscina. Transportar diversos tipos de materiais e equipamentos. Limpar e fazer a manutenção do sistema de filtragem da piscin"&amp;"a. Usar aspirador de piscina para limpar o fundo da piscina. Usar vara telescópica com rede para limpar e remover folhas ou detritos. Esfregar o fundo e as paredes da piscina com escova. Treinamento no local de trabalho é fornecido. O funcionário transpor"&amp;"ta, carrega, descarrega, organiza e movimenta materiais, ferramentas, equipamentos, suprimentos e produtos químicos necessários para a abertura, fechamento, preparação para o inverno, cuidados de inverno e serviços de manutenção em piscinas residenciais e"&amp;" comerciais, banheiras de hidromassagem e piscinas infantis. As tarefas incluem carregar e fixar equipamentos e suprimentos em veículos da empresa; transportar materiais entre as instalações da empresa e os locais dos clientes; descarregar, organizar e gu"&amp;"ardar equipamentos nos locais de trabalho; e devolver equipamentos e materiais não utilizados aos veículos após a conclusão dos serviços. Os funcionários podem usar carrinhos de duas rodas e equipamentos similares para movimentação de materiais para mover"&amp;" itens pesados. As ferramentas, equipamentos e materiais utilizados incluem sopradores de ar, compressores de ar, bombas de drenagem, mangueiras de drenagem, capas de segurança para inverno, ferramentas de instalação e ancoragem de capas, tampões para ski"&amp;"mmer, dispositivos, kits de teste químico, aspiradores de piscina, varas telescópicas, redes para skimmer, escovas para piscina, furadeiras manuais, chaves inglesas, chaves de fenda, extensões elétricas, baterias externas, anticongelante, algicida, produt"&amp;"os à base de cloro, produtos decloradores, redutores de pH, protetores de gesso e outros produtos químicos e suprimentos para manutenção de piscinas. Os funcionários operam caminhonetes da empresa, incluindo Ford F-150, Chevrolet Silverado ou veículos sim"&amp;"ilares, para transportar funcionários, ferramentas, equipamentos, produtos químicos e suprimentos até os locais dos clientes. Os veículos têm um peso bruto aproximado de 3.040 kg. O funcionário realiza a manutenção de sistemas de filtragem de piscinas com"&amp;"o parte dos serviços de abertura, fechamento, preparação para o inverno, cuidados de inverno e manutenção geral. As tarefas incluem desligar os sistemas de filtragem; Desligar e proteger bombas, filtros, aquecedores, equipamentos de cloração e sistemas de"&amp;" circulação; drenar a água dos equipamentos e tubulações para evitar danos por congelamento; remover e reinstalar bujões de drenagem; desconectar, reconectar e inspecionar componentes do sistema; limpar as linhas de circulação com ar comprimido; inspecion"&amp;"ar equipamentos e encanamentos para garantir a devida preparação para o inverno; verificar vazamentos, danos, riscos de congelamento e rupturas de tubulações; limpar as salas de equipamentos; e preparar os sistemas de filtragem para o desligamento sazonal"&amp;". Os trabalhadores utilizam sopradores de ar, compressores de ar, bombas de drenagem, mangueiras de drenagem, furadeiras manuais, chaves inglesas, chaves de fenda, extensões elétricas, kits de teste químico e outras ferramentas de manutenção de piscinas. "&amp;"As tarefas de preparação para o inverno incluem baixar o nível da água da piscina de 40 a 60 centímetros abaixo da linha d'água usando bombas e mangueiras; limpar com ar comprimido as linhas de sucção, retorno e fontes; instalar bujões e dispositivos de s"&amp;"kimmer; instalar, ajustar e fixar capas e âncoras de segurança de inverno; aplicar produtos químicos para tratamento de inverno; remover detritos usando aspiradores de piscina, redes de skimmer e varas telescópicas; escovar as superfícies da piscina; limp"&amp;"ar os decks da piscina com ar comprimido; Organizar salas de equipamentos; e monitorar equipamentos e sistemas hidráulicos para ajudar a prevenir danos causados ​​por congelamento. Os funcionários mantêm registros eletrônicos de serviço e enviam relatório"&amp;"s por e-mail ou mensagem de texto após cada visita à piscina. Classificação do Cargo: 49-9099.00 - Trabalhadores de Instalação, Manutenção e Reparo, Outros. A classificação e descrição do cargo/setor inclui informações gerais sobre a posição, de acordo co"&amp;"m o ONET/OES e o Sistema de Classificação Industrial da América do Norte. Consulte as Funções e a Ordem de Serviço para obter mais informações. Requisitos do Cargo Experiência Necessária: Não. Requisitos Especiais: Deve ser capaz de levantar 23 kg e traba"&amp;"lhar em condições climáticas adversas. O horário de trabalho é variável e os turnos são flexíveis. Deve ser capaz de trabalhar de 40 a 65 horas por semana; horas extras disponíveis, conforme as condições climáticas permitirem. Deve possuir carteira de hab"&amp;"ilitação válida ou equivalente estrangeiro, ou ter a capacidade de obter uma carteira de habilitação válida nos Estados Unidos. Os trabalhadores estarão sujeitos a testes de drogas mediante suspeita razoável, pagos pelo empregador e aplicados igualmente a"&amp;" todos os trabalhadores, americanos e estrangeiros/H-2B. Número de horas por semana: 40 Horário de trabalho (início/término): 8h00 - 17h00")</f>
        <v>Executar tarefas relacionadas à abertura/fechamento e manutenção de piscinas. Manter piscinas privadas e públicas, banheiras de hidromassagem e piscinas infantis. Manter o equilíbrio químico adequado das piscinas, bem como armazenar os produtos químicos. Manter um registro automatizado de todas as atividades e enviar um relatório por e-mail/SMS para o escritório após cada visita à piscina. Transportar diversos tipos de materiais e equipamentos. Limpar e fazer a manutenção do sistema de filtragem da piscina. Usar aspirador de piscina para limpar o fundo da piscina. Usar vara telescópica com rede para limpar e remover folhas ou detritos. Esfregar o fundo e as paredes da piscina com escova. Treinamento no local de trabalho é fornecido. O funcionário transporta, carrega, descarrega, organiza e movimenta materiais, ferramentas, equipamentos, suprimentos e produtos químicos necessários para a abertura, fechamento, preparação para o inverno, cuidados de inverno e serviços de manutenção em piscinas residenciais e comerciais, banheiras de hidromassagem e piscinas infantis. As tarefas incluem carregar e fixar equipamentos e suprimentos em veículos da empresa; transportar materiais entre as instalações da empresa e os locais dos clientes; descarregar, organizar e guardar equipamentos nos locais de trabalho; e devolver equipamentos e materiais não utilizados aos veículos após a conclusão dos serviços. Os funcionários podem usar carrinhos de duas rodas e equipamentos similares para movimentação de materiais para mover itens pesados. As ferramentas, equipamentos e materiais utilizados incluem sopradores de ar, compressores de ar, bombas de drenagem, mangueiras de drenagem, capas de segurança para inverno, ferramentas de instalação e ancoragem de capas, tampões para skimmer, dispositivos, kits de teste químico, aspiradores de piscina, varas telescópicas, redes para skimmer, escovas para piscina, furadeiras manuais, chaves inglesas, chaves de fenda, extensões elétricas, baterias externas, anticongelante, algicida, produtos à base de cloro, produtos decloradores, redutores de pH, protetores de gesso e outros produtos químicos e suprimentos para manutenção de piscinas. Os funcionários operam caminhonetes da empresa, incluindo Ford F-150, Chevrolet Silverado ou veículos similares, para transportar funcionários, ferramentas, equipamentos, produtos químicos e suprimentos até os locais dos clientes. Os veículos têm um peso bruto aproximado de 3.040 kg. O funcionário realiza a manutenção de sistemas de filtragem de piscinas como parte dos serviços de abertura, fechamento, preparação para o inverno, cuidados de inverno e manutenção geral. As tarefas incluem desligar os sistemas de filtragem; Desligar e proteger bombas, filtros, aquecedores, equipamentos de cloração e sistemas de circulação; drenar a água dos equipamentos e tubulações para evitar danos por congelamento; remover e reinstalar bujões de drenagem; desconectar, reconectar e inspecionar componentes do sistema; limpar as linhas de circulação com ar comprimido; inspecionar equipamentos e encanamentos para garantir a devida preparação para o inverno; verificar vazamentos, danos, riscos de congelamento e rupturas de tubulações; limpar as salas de equipamentos; e preparar os sistemas de filtragem para o desligamento sazonal. Os trabalhadores utilizam sopradores de ar, compressores de ar, bombas de drenagem, mangueiras de drenagem, furadeiras manuais, chaves inglesas, chaves de fenda, extensões elétricas, kits de teste químico e outras ferramentas de manutenção de piscinas. As tarefas de preparação para o inverno incluem baixar o nível da água da piscina de 40 a 60 centímetros abaixo da linha d'água usando bombas e mangueiras; limpar com ar comprimido as linhas de sucção, retorno e fontes; instalar bujões e dispositivos de skimmer; instalar, ajustar e fixar capas e âncoras de segurança de inverno; aplicar produtos químicos para tratamento de inverno; remover detritos usando aspiradores de piscina, redes de skimmer e varas telescópicas; escovar as superfícies da piscina; limpar os decks da piscina com ar comprimido; Organizar salas de equipamentos; e monitorar equipamentos e sistemas hidráulicos para ajudar a prevenir danos causados ​​por congelamento. Os funcionários mantêm registros eletrônicos de serviço e enviam relatórios por e-mail ou mensagem de texto após cada visita à piscina. Classificação do Cargo: 49-9099.00 - Trabalhadores de Instalação, Manutenção e Reparo, Outros. A classificação e descrição do cargo/setor inclui informações gerais sobre a posição, de acordo com o ONET/OES e o Sistema de Classificação Industrial da América do Norte. Consulte as Funções e a Ordem de Serviço para obter mais informações. Requisitos do Cargo Experiência Necessária: Não. Requisitos Especiais: Deve ser capaz de levantar 23 kg e trabalhar em condições climáticas adversas. O horário de trabalho é variável e os turnos são flexíveis. Deve ser capaz de trabalhar de 40 a 65 horas por semana; horas extras disponíveis, conforme as condições climáticas permitirem. Deve possuir carteira de habilitação válida ou equivalente estrangeiro, ou ter a capacidade de obter uma carteira de habilitação válida nos Estados Unidos. Os trabalhadores estarão sujeitos a testes de drogas mediante suspeita razoável, pagos pelo empregador e aplicados igualmente a todos os trabalhadores, americanos e estrangeiros/H-2B. Número de horas por semana: 40 Horário de trabalho (início/término): 8h00 - 17h00</v>
      </c>
    </row>
    <row r="1460" ht="20.25" customHeight="1">
      <c r="A1460" s="3" t="s">
        <v>6482</v>
      </c>
      <c r="B1460" s="3" t="s">
        <v>6483</v>
      </c>
      <c r="C1460" s="3" t="s">
        <v>6228</v>
      </c>
      <c r="D1460" s="3" t="s">
        <v>117</v>
      </c>
      <c r="E1460" s="4" t="s">
        <v>19</v>
      </c>
      <c r="F1460" s="4" t="s">
        <v>20</v>
      </c>
      <c r="G1460" s="4" t="s">
        <v>307</v>
      </c>
      <c r="H1460" s="3" t="s">
        <v>6484</v>
      </c>
      <c r="I1460" s="3" t="s">
        <v>6485</v>
      </c>
      <c r="J1460" s="4">
        <v>22.5</v>
      </c>
      <c r="K1460" s="4">
        <v>25.0</v>
      </c>
      <c r="L1460" s="3" t="s">
        <v>121</v>
      </c>
      <c r="M1460" s="3" t="s">
        <v>6486</v>
      </c>
      <c r="N1460" s="7" t="str">
        <f>IFERROR(__xludf.DUMMYFUNCTION("GOOGLETRANSLATE(L1460, ""en"", ""pt"")"),"Trabalhador braçal")</f>
        <v>Trabalhador braçal</v>
      </c>
      <c r="O1460" s="7" t="str">
        <f>IFERROR(__xludf.DUMMYFUNCTION("IF(M1460="""","""",GOOGLETRANSLATE(M1460,""en"",""pt""))"),"Os trabalhadores se dedicarão principalmente à produção em geral e à montagem de treliças. Eles carregarão a madeira em uma mesa de treliças, nas juntas, e a fixarão com diversas ferramentas, incluindo martelos, pregos, furadeiras, parafusos e cola. O tra"&amp;"balhador poderá operar um rolo compactador para fixar as placas da treliça. Após a montagem das treliças, uma empilhadeira carregará as treliças, placas de material e painéis de parede em caminhões para transporte. Os trabalhadores levantarão matérias-pri"&amp;"mas, produtos acabados e itens embalados, manualmente ou utilizando guindastes. Eles carregarão e descarregarão itens em equipamentos de processamento e embalarão os produtos acabados para envio. O trabalhador garantirá que os produtos estejam em conformi"&amp;"dade com as especificações da empresa. Os trabalhadores separarão materiais ou produtos para processamento, armazenamento, envio ou classificação. O trabalhador registrará com precisão os dados do produto e retirará equipamentos danificados ou ineficazes "&amp;"da linha de processamento. Os trabalhadores também limparão as áreas de trabalho e os equipamentos. Classificação da Função: 53-7041.00 - Operadores de Guincho e Talha. A classificação e descrição da função/setor inclui informações gerais sobre o cargo, d"&amp;"e acordo com o ONET/OES e o Sistema de Classificação Industrial da América do Norte (NAICS). Consulte as Funções e a Ordem de Serviço para obter mais informações. Requisitos da Função Experiência Necessária: Sim Meses de Experiência Necessários: 3 Requisi"&amp;"tos Especiais: Deve ser capaz de levantar 34 kg (75 lbs) frequentemente durante o expediente. Deve ser aprovado em testes de drogas pré-admissionais, pós-acidente e outros testes aleatórios. Os horários e turnos são flexíveis; os trabalhadores podem ser s"&amp;"olicitados a trabalhar em turnos noturnos. Os trabalhadores estarão sujeitos a testes de drogas mediante suspeita razoável, pagos pelo empregador e aplicados igualmente a todos os trabalhadores, americanos e estrangeiros/H-2B. O horário de trabalho é o se"&amp;"guinte: 40 horas semanais, divididas em vários turnos de 8 horas: Turno diurno: 7h às 15h30 (segunda a sexta) Turno noturno: 15h30 às 00h (domingo a quinta) Os funcionários terão um limite de 40 horas semanais; qualquer hora trabalhada além desse limite s"&amp;"erá considerada hora extra. Número de horas por semana: 40 Horário de trabalho (início/término): 7h às 00h")</f>
        <v>Os trabalhadores se dedicarão principalmente à produção em geral e à montagem de treliças. Eles carregarão a madeira em uma mesa de treliças, nas juntas, e a fixarão com diversas ferramentas, incluindo martelos, pregos, furadeiras, parafusos e cola. O trabalhador poderá operar um rolo compactador para fixar as placas da treliça. Após a montagem das treliças, uma empilhadeira carregará as treliças, placas de material e painéis de parede em caminhões para transporte. Os trabalhadores levantarão matérias-primas, produtos acabados e itens embalados, manualmente ou utilizando guindastes. Eles carregarão e descarregarão itens em equipamentos de processamento e embalarão os produtos acabados para envio. O trabalhador garantirá que os produtos estejam em conformidade com as especificações da empresa. Os trabalhadores separarão materiais ou produtos para processamento, armazenamento, envio ou classificação. O trabalhador registrará com precisão os dados do produto e retirará equipamentos danificados ou ineficazes da linha de processamento. Os trabalhadores também limparão as áreas de trabalho e os equipamentos. Classificação da Função: 53-7041.00 - Operadores de Guincho e Talha. A classificação e descrição da função/setor inclui informações gerais sobre o cargo, de acordo com o ONET/OES e o Sistema de Classificação Industrial da América do Norte (NAICS). Consulte as Funções e a Ordem de Serviço para obter mais informações. Requisitos da Função Experiência Necessária: Sim Meses de Experiência Necessários: 3 Requisitos Especiais: Deve ser capaz de levantar 34 kg (75 lbs) frequentemente durante o expediente. Deve ser aprovado em testes de drogas pré-admissionais, pós-acidente e outros testes aleatórios. Os horários e turnos são flexíveis; os trabalhadores podem ser solicitados a trabalhar em turnos noturnos. Os trabalhadores estarão sujeitos a testes de drogas mediante suspeita razoável, pagos pelo empregador e aplicados igualmente a todos os trabalhadores, americanos e estrangeiros/H-2B. O horário de trabalho é o seguinte: 40 horas semanais, divididas em vários turnos de 8 horas: Turno diurno: 7h às 15h30 (segunda a sexta) Turno noturno: 15h30 às 00h (domingo a quinta) Os funcionários terão um limite de 40 horas semanais; qualquer hora trabalhada além desse limite será considerada hora extra. Número de horas por semana: 40 Horário de trabalho (início/término): 7h às 00h</v>
      </c>
    </row>
    <row r="1461" ht="20.25" customHeight="1">
      <c r="A1461" s="8" t="s">
        <v>6487</v>
      </c>
      <c r="B1461" s="8" t="s">
        <v>6488</v>
      </c>
      <c r="C1461" s="8" t="s">
        <v>6247</v>
      </c>
      <c r="D1461" s="8" t="s">
        <v>254</v>
      </c>
      <c r="E1461" s="9" t="s">
        <v>44</v>
      </c>
      <c r="F1461" s="9" t="s">
        <v>20</v>
      </c>
      <c r="G1461" s="9" t="s">
        <v>80</v>
      </c>
      <c r="H1461" s="8" t="s">
        <v>6489</v>
      </c>
      <c r="I1461" s="8" t="s">
        <v>6490</v>
      </c>
      <c r="J1461" s="9">
        <v>15.8</v>
      </c>
      <c r="K1461" s="9">
        <v>1.0</v>
      </c>
      <c r="L1461" s="8" t="s">
        <v>6491</v>
      </c>
      <c r="M1461" s="8" t="s">
        <v>6492</v>
      </c>
      <c r="N1461" s="7" t="str">
        <f>IFERROR(__xludf.DUMMYFUNCTION("GOOGLETRANSLATE(L1461, ""en"", ""pt"")"),"Chefe de Celeiro")</f>
        <v>Chefe de Celeiro</v>
      </c>
      <c r="O1461" s="7" t="str">
        <f>IFERROR(__xludf.DUMMYFUNCTION("IF(M1461="""","""",GOOGLETRANSLATE(M1461,""en"",""pt""))"),"Responsável pelos cuidados gerais de cavalos de corrida puro-sangue, incluindo alimentação, fornecimento de água, manutenção de baias e estábulos, limpeza, escovação, exercícios, casqueamento, desinfecção de baias e camas, administração de medicamentos co"&amp;"nforme prescrição e inspeção da condição física dos cavalos. Cuidará de potros e reprodutores durante todo o processo de consignação. Classificação da vaga: 39-2021.00 - Cuidadores de Animais. A classificação e descrição da vaga/setor incluem informações "&amp;"gerais sobre o cargo, de acordo com o ONET/OES e o Sistema de Classificação Industrial da América do Norte. Consulte as Funções e a Ordem de Serviço para obter mais informações. Requisitos da vaga: Experiência necessária: Sim. Meses de experiência necessá"&amp;"rios: 1. Requisitos especiais: Deve ser capaz de levantar até 23 kg. Número de horas por semana: 56. Horário de trabalho (início/término): 5h às 17h.")</f>
        <v>Responsável pelos cuidados gerais de cavalos de corrida puro-sangue, incluindo alimentação, fornecimento de água, manutenção de baias e estábulos, limpeza, escovação, exercícios, casqueamento, desinfecção de baias e camas, administração de medicamentos conforme prescrição e inspeção da condição física dos cavalos. Cuidará de potros e reprodutores durante todo o processo de consignação. Classificação da vaga: 39-2021.00 - Cuidadores de Animais. A classificação e descrição da vaga/setor incluem informações gerais sobre o cargo, de acordo com o ONET/OES e o Sistema de Classificação Industrial da América do Norte. Consulte as Funções e a Ordem de Serviço para obter mais informações. Requisitos da vaga: Experiência necessária: Sim. Meses de experiência necessários: 1. Requisitos especiais: Deve ser capaz de levantar até 23 kg. Número de horas por semana: 56. Horário de trabalho (início/término): 5h às 17h.</v>
      </c>
    </row>
    <row r="1462" ht="20.25" customHeight="1">
      <c r="A1462" s="3" t="s">
        <v>6493</v>
      </c>
      <c r="B1462" s="3" t="s">
        <v>6494</v>
      </c>
      <c r="C1462" s="3" t="s">
        <v>6228</v>
      </c>
      <c r="D1462" s="3" t="s">
        <v>64</v>
      </c>
      <c r="E1462" s="4" t="s">
        <v>44</v>
      </c>
      <c r="F1462" s="4" t="s">
        <v>20</v>
      </c>
      <c r="G1462" s="4" t="s">
        <v>313</v>
      </c>
      <c r="H1462" s="3" t="s">
        <v>6495</v>
      </c>
      <c r="I1462" s="3" t="s">
        <v>6496</v>
      </c>
      <c r="J1462" s="4">
        <v>18.93</v>
      </c>
      <c r="K1462" s="4">
        <v>78.0</v>
      </c>
      <c r="L1462" s="3" t="s">
        <v>1021</v>
      </c>
      <c r="M1462" s="3" t="s">
        <v>6497</v>
      </c>
      <c r="N1462" s="7" t="str">
        <f>IFERROR(__xludf.DUMMYFUNCTION("GOOGLETRANSLATE(L1462, ""en"", ""pt"")"),"Paisagista")</f>
        <v>Paisagista</v>
      </c>
      <c r="O1462" s="7" t="str">
        <f>IFERROR(__xludf.DUMMYFUNCTION("IF(M1462="""","""",GOOGLETRANSLATE(M1462,""en"",""pt""))"),"Realizar a manutenção de jardins e áreas verdes utilizando ferramentas manuais ou elétricas, como cortadores de grama, sopradores de folhas, aparadores de grama e tesouras de poda. Os trabalhadores geralmente executam uma variedade de tarefas, que podem i"&amp;"ncluir qualquer combinação das seguintes: colocação de grama em placas, corte de grama, poda, plantio, irrigação, fertilização, escavação, rastelagem, instalação de aspersores e instalação de blocos de concreto pré-moldado sem argamassa. Realizar a poda d"&amp;"e inverno em plantas perenes e outras plantas para preparar adequadamente os gramados ou jardins para o clima de inverno e o novo crescimento na primavera. Manter os sistemas de irrigação em canteiros de flores, incluindo a preparação dos sistemas para o "&amp;"inverno antes que as temperaturas caiam abaixo de zero, a fim de evitar danos. Auxiliar na limpeza do quintal, remoção de folhas, aplicação ou substituição de cobertura morta e limpeza de folhas. Classificação da função: 37-3011.00 - Trabalhadores de Pais"&amp;"agismo e Manutenção de Áreas Verdes. A classificação e descrição da função/indústria incluem informações gerais sobre o cargo, de acordo com o ONET/OES e o Sistema de Classificação Industrial da América do Norte. Consulte as Funções e a Ordem de Serviço p"&amp;"ara obter mais informações. Requisitos da vaga Experiência necessária: Sim Meses de experiência necessários: 3 Requisitos especiais: É necessário ter pelo menos três (3) meses de experiência em paisagismo ou áreas afins. Deve ser capaz de levantar até 27 "&amp;"kg. Número de horas por semana: 35 Horário de trabalho (início/término): 8h às 17h")</f>
        <v>Realizar a manutenção de jardins e áreas verdes utilizando ferramentas manuais ou elétricas, como cortadores de grama, sopradores de folhas, aparadores de grama e tesouras de poda. Os trabalhadores geralmente executam uma variedade de tarefas, que podem incluir qualquer combinação das seguintes: colocação de grama em placas, corte de grama, poda, plantio, irrigação, fertilização, escavação, rastelagem, instalação de aspersores e instalação de blocos de concreto pré-moldado sem argamassa. Realizar a poda de inverno em plantas perenes e outras plantas para preparar adequadamente os gramados ou jardins para o clima de inverno e o novo crescimento na primavera. Manter os sistemas de irrigação em canteiros de flores, incluindo a preparação dos sistemas para o inverno antes que as temperaturas caiam abaixo de zero, a fim de evitar danos. Auxiliar na limpeza do quintal, remoção de folhas, aplicação ou substituição de cobertura morta e limpeza de folhas. Classificação da função: 37-3011.00 - Trabalhadores de Paisagismo e Manutenção de Áreas Verdes. A classificação e descrição da função/indústria incluem informações gerais sobre o cargo, de acordo com o ONET/OES e o Sistema de Classificação Industrial da América do Norte. Consulte as Funções e a Ordem de Serviço para obter mais informações. Requisitos da vaga Experiência necessária: Sim Meses de experiência necessários: 3 Requisitos especiais: É necessário ter pelo menos três (3) meses de experiência em paisagismo ou áreas afins. Deve ser capaz de levantar até 27 kg. Número de horas por semana: 35 Horário de trabalho (início/término): 8h às 17h</v>
      </c>
    </row>
    <row r="1463" ht="20.25" customHeight="1">
      <c r="A1463" s="8" t="s">
        <v>6498</v>
      </c>
      <c r="B1463" s="8" t="s">
        <v>6494</v>
      </c>
      <c r="C1463" s="8" t="s">
        <v>6228</v>
      </c>
      <c r="D1463" s="8" t="s">
        <v>64</v>
      </c>
      <c r="E1463" s="9" t="s">
        <v>44</v>
      </c>
      <c r="F1463" s="9" t="s">
        <v>20</v>
      </c>
      <c r="G1463" s="9" t="s">
        <v>313</v>
      </c>
      <c r="H1463" s="8" t="s">
        <v>6495</v>
      </c>
      <c r="I1463" s="8" t="s">
        <v>6496</v>
      </c>
      <c r="J1463" s="9">
        <v>16.78</v>
      </c>
      <c r="K1463" s="9">
        <v>78.0</v>
      </c>
      <c r="L1463" s="8" t="s">
        <v>1021</v>
      </c>
      <c r="M1463" s="8" t="s">
        <v>6497</v>
      </c>
      <c r="N1463" s="7" t="str">
        <f>IFERROR(__xludf.DUMMYFUNCTION("GOOGLETRANSLATE(L1463, ""en"", ""pt"")"),"Paisagista")</f>
        <v>Paisagista</v>
      </c>
      <c r="O1463" s="7" t="str">
        <f>IFERROR(__xludf.DUMMYFUNCTION("IF(M1463="""","""",GOOGLETRANSLATE(M1463,""en"",""pt""))"),"Realizar a manutenção de jardins e áreas verdes utilizando ferramentas manuais ou elétricas, como cortadores de grama, sopradores de folhas, aparadores de grama e tesouras de poda. Os trabalhadores geralmente executam uma variedade de tarefas, que podem i"&amp;"ncluir qualquer combinação das seguintes: colocação de grama em placas, corte de grama, poda, plantio, irrigação, fertilização, escavação, rastelagem, instalação de aspersores e instalação de blocos de concreto pré-moldado sem argamassa. Realizar a poda d"&amp;"e inverno em plantas perenes e outras plantas para preparar adequadamente os gramados ou jardins para o clima de inverno e o novo crescimento na primavera. Manter os sistemas de irrigação em canteiros de flores, incluindo a preparação dos sistemas para o "&amp;"inverno antes que as temperaturas caiam abaixo de zero, a fim de evitar danos. Auxiliar na limpeza do quintal, remoção de folhas, aplicação ou substituição de cobertura morta e limpeza de folhas. Classificação da função: 37-3011.00 - Trabalhadores de Pais"&amp;"agismo e Manutenção de Áreas Verdes. A classificação e descrição da função/indústria incluem informações gerais sobre o cargo, de acordo com o ONET/OES e o Sistema de Classificação Industrial da América do Norte. Consulte as Funções e a Ordem de Serviço p"&amp;"ara obter mais informações. Requisitos da vaga Experiência necessária: Sim Meses de experiência necessários: 3 Requisitos especiais: É necessário ter pelo menos três (3) meses de experiência em paisagismo ou áreas afins. Deve ser capaz de levantar até 27 "&amp;"kg. Número de horas por semana: 35 Horário de trabalho (início/término): 8h às 17h")</f>
        <v>Realizar a manutenção de jardins e áreas verdes utilizando ferramentas manuais ou elétricas, como cortadores de grama, sopradores de folhas, aparadores de grama e tesouras de poda. Os trabalhadores geralmente executam uma variedade de tarefas, que podem incluir qualquer combinação das seguintes: colocação de grama em placas, corte de grama, poda, plantio, irrigação, fertilização, escavação, rastelagem, instalação de aspersores e instalação de blocos de concreto pré-moldado sem argamassa. Realizar a poda de inverno em plantas perenes e outras plantas para preparar adequadamente os gramados ou jardins para o clima de inverno e o novo crescimento na primavera. Manter os sistemas de irrigação em canteiros de flores, incluindo a preparação dos sistemas para o inverno antes que as temperaturas caiam abaixo de zero, a fim de evitar danos. Auxiliar na limpeza do quintal, remoção de folhas, aplicação ou substituição de cobertura morta e limpeza de folhas. Classificação da função: 37-3011.00 - Trabalhadores de Paisagismo e Manutenção de Áreas Verdes. A classificação e descrição da função/indústria incluem informações gerais sobre o cargo, de acordo com o ONET/OES e o Sistema de Classificação Industrial da América do Norte. Consulte as Funções e a Ordem de Serviço para obter mais informações. Requisitos da vaga Experiência necessária: Sim Meses de experiência necessários: 3 Requisitos especiais: É necessário ter pelo menos três (3) meses de experiência em paisagismo ou áreas afins. Deve ser capaz de levantar até 27 kg. Número de horas por semana: 35 Horário de trabalho (início/término): 8h às 17h</v>
      </c>
    </row>
    <row r="1464" ht="20.25" customHeight="1">
      <c r="A1464" s="3" t="s">
        <v>6499</v>
      </c>
      <c r="B1464" s="3" t="s">
        <v>6500</v>
      </c>
      <c r="C1464" s="3" t="s">
        <v>6282</v>
      </c>
      <c r="D1464" s="3" t="s">
        <v>403</v>
      </c>
      <c r="E1464" s="4" t="s">
        <v>44</v>
      </c>
      <c r="F1464" s="4" t="s">
        <v>20</v>
      </c>
      <c r="G1464" s="4" t="s">
        <v>307</v>
      </c>
      <c r="H1464" s="3" t="s">
        <v>6501</v>
      </c>
      <c r="I1464" s="3" t="s">
        <v>6502</v>
      </c>
      <c r="J1464" s="4">
        <v>23.15</v>
      </c>
      <c r="K1464" s="4">
        <v>66.0</v>
      </c>
      <c r="L1464" s="3" t="s">
        <v>262</v>
      </c>
      <c r="M1464" s="3" t="s">
        <v>6503</v>
      </c>
      <c r="N1464" s="7" t="str">
        <f>IFERROR(__xludf.DUMMYFUNCTION("GOOGLETRANSLATE(L1464, ""en"", ""pt"")"),"Operário da construção civil")</f>
        <v>Operário da construção civil</v>
      </c>
      <c r="O1464" s="7" t="str">
        <f>IFERROR(__xludf.DUMMYFUNCTION("IF(M1464="""","""",GOOGLETRANSLATE(M1464,""en"",""pt""))"),"Os operários da construção civil realizarão trabalhos manuais, como movimentar sacos de areia, entulho e centenas de milhares de metros quadrados de material de revestimento usado para sistemas de contenção de água e revestimento de aterros sanitários. Cl"&amp;"assificação da função: 47-2061.00 - Operários da Construção Civil. A classificação e descrição da função/setor incluem informações gerais sobre o cargo, de acordo com o ONET/OES e o Sistema de Classificação Industrial da América do Norte (NAICS). Consulte"&amp;" as Funções e a Ordem de Serviço para obter mais informações. Requisitos da vaga: Experiência necessária: Não. Requisitos especiais: Deve ser capaz de levantar 23 kg. Número de horas por semana: 40. Horário de trabalho (início/término): 7h às 16h.")</f>
        <v>Os operários da construção civil realizarão trabalhos manuais, como movimentar sacos de areia, entulho e centenas de milhares de metros quadrados de material de revestimento usado para sistemas de contenção de água e revestimento de aterros sanitários. Classificação da função: 47-2061.00 - Operários da Construção Civil. A classificação e descrição da função/setor incluem informações gerais sobre o cargo, de acordo com o ONET/OES e o Sistema de Classificação Industrial da América do Norte (NAICS). Consulte as Funções e a Ordem de Serviço para obter mais informações. Requisitos da vaga: Experiência necessária: Não. Requisitos especiais: Deve ser capaz de levantar 23 kg. Número de horas por semana: 40. Horário de trabalho (início/término): 7h às 16h.</v>
      </c>
    </row>
    <row r="1465" ht="20.25" customHeight="1">
      <c r="A1465" s="8" t="s">
        <v>6504</v>
      </c>
      <c r="B1465" s="8" t="s">
        <v>6505</v>
      </c>
      <c r="C1465" s="8" t="s">
        <v>6247</v>
      </c>
      <c r="D1465" s="8" t="s">
        <v>254</v>
      </c>
      <c r="E1465" s="9" t="s">
        <v>19</v>
      </c>
      <c r="F1465" s="9" t="s">
        <v>20</v>
      </c>
      <c r="G1465" s="9" t="s">
        <v>212</v>
      </c>
      <c r="H1465" s="8" t="s">
        <v>6506</v>
      </c>
      <c r="I1465" s="8" t="s">
        <v>6507</v>
      </c>
      <c r="J1465" s="9">
        <v>15.28</v>
      </c>
      <c r="K1465" s="9">
        <v>20.0</v>
      </c>
      <c r="L1465" s="8" t="s">
        <v>6250</v>
      </c>
      <c r="M1465" s="8" t="s">
        <v>6508</v>
      </c>
      <c r="N1465" s="7" t="str">
        <f>IFERROR(__xludf.DUMMYFUNCTION("GOOGLETRANSLATE(L1465, ""en"", ""pt"")"),"tratador de cavalos de corrida puro-sangue")</f>
        <v>tratador de cavalos de corrida puro-sangue</v>
      </c>
      <c r="O1465" s="7" t="str">
        <f>IFERROR(__xludf.DUMMYFUNCTION("IF(M1465="""","""",GOOGLETRANSLATE(M1465,""en"",""pt""))"),"Responsável pelos cuidados gerais de cavalos de corrida puro-sangue, incluindo alimentação, fornecimento de água, manutenção de baias e estábulos, limpeza, escovação, exercícios, casqueamento, desinfecção de baias e camas, administração de medicamentos co"&amp;"nforme prescrição e inspeção da condição física dos cavalos. Levantará as patas e limpará os cascos dos cavalos, aplicando linimentos e bandagens conforme necessário. Cuidará de 1 a 5 cavalos por vez. Turno dividido: das 5h às 11h e das 15h às 17h. Folgas"&amp;" rotativas. Classificação da vaga: 39-2021.00 - Cuidadores de Animais. A classificação e descrição da vaga/setor incluem informações gerais sobre o cargo, de acordo com o ONET/OES e o Sistema de Classificação Industrial da América do Norte. Consulte as Fu"&amp;"nções e a Ordem de Serviço para obter mais informações. Requisitos da vaga: Experiência necessária: Sim. Meses de experiência necessários: 1. Requisitos especiais: Deve ser capaz de levantar 23 kg. Número de horas por semana: 56. Horário de trabalho (iníc"&amp;"io/término): 5h. - 17h00")</f>
        <v>Responsável pelos cuidados gerais de cavalos de corrida puro-sangue, incluindo alimentação, fornecimento de água, manutenção de baias e estábulos, limpeza, escovação, exercícios, casqueamento, desinfecção de baias e camas, administração de medicamentos conforme prescrição e inspeção da condição física dos cavalos. Levantará as patas e limpará os cascos dos cavalos, aplicando linimentos e bandagens conforme necessário. Cuidará de 1 a 5 cavalos por vez. Turno dividido: das 5h às 11h e das 15h às 17h. Folgas rotativas. Classificação da vaga: 39-2021.00 - Cuidadores de Animais. A classificação e descrição da vaga/setor incluem informações gerais sobre o cargo, de acordo com o ONET/OES e o Sistema de Classificação Industrial da América do Norte. Consulte as Funções e a Ordem de Serviço para obter mais informações. Requisitos da vaga: Experiência necessária: Sim. Meses de experiência necessários: 1. Requisitos especiais: Deve ser capaz de levantar 23 kg. Número de horas por semana: 56. Horário de trabalho (início/término): 5h. - 17h00</v>
      </c>
    </row>
    <row r="1466" ht="20.25" customHeight="1">
      <c r="A1466" s="3" t="s">
        <v>6509</v>
      </c>
      <c r="B1466" s="3" t="s">
        <v>6510</v>
      </c>
      <c r="C1466" s="3" t="s">
        <v>6247</v>
      </c>
      <c r="D1466" s="3" t="s">
        <v>403</v>
      </c>
      <c r="E1466" s="4" t="s">
        <v>44</v>
      </c>
      <c r="F1466" s="4" t="s">
        <v>20</v>
      </c>
      <c r="G1466" s="4" t="s">
        <v>80</v>
      </c>
      <c r="H1466" s="3" t="s">
        <v>6511</v>
      </c>
      <c r="I1466" s="3" t="s">
        <v>6512</v>
      </c>
      <c r="J1466" s="4">
        <v>18.6</v>
      </c>
      <c r="K1466" s="4">
        <v>14.0</v>
      </c>
      <c r="L1466" s="3" t="s">
        <v>6250</v>
      </c>
      <c r="M1466" s="3" t="s">
        <v>6326</v>
      </c>
      <c r="N1466" s="7" t="str">
        <f>IFERROR(__xludf.DUMMYFUNCTION("GOOGLETRANSLATE(L1466, ""en"", ""pt"")"),"tratador de cavalos de corrida puro-sangue")</f>
        <v>tratador de cavalos de corrida puro-sangue</v>
      </c>
      <c r="O1466" s="7" t="str">
        <f>IFERROR(__xludf.DUMMYFUNCTION("IF(M1466="""","""",GOOGLETRANSLATE(M1466,""en"",""pt""))"),"Responsável pelos cuidados gerais de cavalos de corrida puro-sangue, incluindo alimentação, fornecimento de água, manutenção de baias e estábulos, limpeza, escovação, exercícios, casqueamento, desinfecção de baias e camas, administração de medicamentos co"&amp;"nforme prescrição e inspeção da condição física dos cavalos. Levantará as patas e limpará os cascos dos cavalos, aplicando linimentos e bandagens conforme necessário. Cuidará de 1 a 5 cavalos por vez. Turno dividido: das 5h às 11h e das 15h às 17h. Folgas"&amp;" rotativas. Classificação da vaga: 39-2021.00 - Cuidadores de Animais. A classificação e descrição da vaga/setor incluem informações gerais sobre o cargo, de acordo com o ONET/OES e o Sistema de Classificação Industrial da América do Norte. Consulte as Fu"&amp;"nções e a Ordem de Serviço para obter mais informações. Requisitos da vaga: Experiência necessária: Sim. Meses de experiência necessários: 1. Requisitos especiais: Deve ser capaz de levantar 23 kg. Número de horas por semana: 56. Horário de trabalho (iníc"&amp;"io/término): 5h. - 17h00")</f>
        <v>Responsável pelos cuidados gerais de cavalos de corrida puro-sangue, incluindo alimentação, fornecimento de água, manutenção de baias e estábulos, limpeza, escovação, exercícios, casqueamento, desinfecção de baias e camas, administração de medicamentos conforme prescrição e inspeção da condição física dos cavalos. Levantará as patas e limpará os cascos dos cavalos, aplicando linimentos e bandagens conforme necessário. Cuidará de 1 a 5 cavalos por vez. Turno dividido: das 5h às 11h e das 15h às 17h. Folgas rotativas. Classificação da vaga: 39-2021.00 - Cuidadores de Animais. A classificação e descrição da vaga/setor incluem informações gerais sobre o cargo, de acordo com o ONET/OES e o Sistema de Classificação Industrial da América do Norte. Consulte as Funções e a Ordem de Serviço para obter mais informações. Requisitos da vaga: Experiência necessária: Sim. Meses de experiência necessários: 1. Requisitos especiais: Deve ser capaz de levantar 23 kg. Número de horas por semana: 56. Horário de trabalho (início/término): 5h. - 17h00</v>
      </c>
    </row>
    <row r="1467" ht="20.25" customHeight="1">
      <c r="A1467" s="8" t="s">
        <v>6513</v>
      </c>
      <c r="B1467" s="8" t="s">
        <v>6514</v>
      </c>
      <c r="C1467" s="8" t="s">
        <v>6247</v>
      </c>
      <c r="D1467" s="8" t="s">
        <v>403</v>
      </c>
      <c r="E1467" s="9" t="s">
        <v>19</v>
      </c>
      <c r="F1467" s="9" t="s">
        <v>20</v>
      </c>
      <c r="G1467" s="9" t="s">
        <v>80</v>
      </c>
      <c r="H1467" s="8" t="s">
        <v>6515</v>
      </c>
      <c r="I1467" s="8" t="s">
        <v>6516</v>
      </c>
      <c r="J1467" s="9">
        <v>18.6</v>
      </c>
      <c r="K1467" s="9">
        <v>7.0</v>
      </c>
      <c r="L1467" s="8" t="s">
        <v>6250</v>
      </c>
      <c r="M1467" s="8" t="s">
        <v>6508</v>
      </c>
      <c r="N1467" s="7" t="str">
        <f>IFERROR(__xludf.DUMMYFUNCTION("GOOGLETRANSLATE(L1467, ""en"", ""pt"")"),"tratador de cavalos de corrida puro-sangue")</f>
        <v>tratador de cavalos de corrida puro-sangue</v>
      </c>
      <c r="O1467" s="7" t="str">
        <f>IFERROR(__xludf.DUMMYFUNCTION("IF(M1467="""","""",GOOGLETRANSLATE(M1467,""en"",""pt""))"),"Responsável pelos cuidados gerais de cavalos de corrida puro-sangue, incluindo alimentação, fornecimento de água, manutenção de baias e estábulos, limpeza, escovação, exercícios, casqueamento, desinfecção de baias e camas, administração de medicamentos co"&amp;"nforme prescrição e inspeção da condição física dos cavalos. Levantará as patas e limpará os cascos dos cavalos, aplicando linimentos e bandagens conforme necessário. Cuidará de 1 a 5 cavalos por vez. Turno dividido: das 5h às 11h e das 15h às 17h. Folgas"&amp;" rotativas. Classificação da vaga: 39-2021.00 - Cuidadores de Animais. A classificação e descrição da vaga/setor incluem informações gerais sobre o cargo, de acordo com o ONET/OES e o Sistema de Classificação Industrial da América do Norte. Consulte as Fu"&amp;"nções e a Ordem de Serviço para obter mais informações. Requisitos da vaga: Experiência necessária: Sim. Meses de experiência necessários: 1. Requisitos especiais: Deve ser capaz de levantar 23 kg. Número de horas por semana: 56. Horário de trabalho (iníc"&amp;"io/término): 5h. - 17h00")</f>
        <v>Responsável pelos cuidados gerais de cavalos de corrida puro-sangue, incluindo alimentação, fornecimento de água, manutenção de baias e estábulos, limpeza, escovação, exercícios, casqueamento, desinfecção de baias e camas, administração de medicamentos conforme prescrição e inspeção da condição física dos cavalos. Levantará as patas e limpará os cascos dos cavalos, aplicando linimentos e bandagens conforme necessário. Cuidará de 1 a 5 cavalos por vez. Turno dividido: das 5h às 11h e das 15h às 17h. Folgas rotativas. Classificação da vaga: 39-2021.00 - Cuidadores de Animais. A classificação e descrição da vaga/setor incluem informações gerais sobre o cargo, de acordo com o ONET/OES e o Sistema de Classificação Industrial da América do Norte. Consulte as Funções e a Ordem de Serviço para obter mais informações. Requisitos da vaga: Experiência necessária: Sim. Meses de experiência necessários: 1. Requisitos especiais: Deve ser capaz de levantar 23 kg. Número de horas por semana: 56. Horário de trabalho (início/término): 5h. - 17h00</v>
      </c>
    </row>
    <row r="1468" ht="20.25" customHeight="1">
      <c r="A1468" s="3" t="s">
        <v>6517</v>
      </c>
      <c r="B1468" s="3" t="s">
        <v>6518</v>
      </c>
      <c r="C1468" s="3" t="s">
        <v>6234</v>
      </c>
      <c r="D1468" s="3" t="s">
        <v>1132</v>
      </c>
      <c r="E1468" s="4" t="s">
        <v>44</v>
      </c>
      <c r="F1468" s="4" t="s">
        <v>20</v>
      </c>
      <c r="G1468" s="4" t="s">
        <v>404</v>
      </c>
      <c r="H1468" s="3" t="s">
        <v>6519</v>
      </c>
      <c r="I1468" s="3" t="s">
        <v>6520</v>
      </c>
      <c r="J1468" s="4">
        <v>15.6</v>
      </c>
      <c r="K1468" s="4">
        <v>2.0</v>
      </c>
      <c r="L1468" s="3" t="s">
        <v>6521</v>
      </c>
      <c r="M1468" s="3" t="s">
        <v>6522</v>
      </c>
      <c r="N1468" s="7" t="str">
        <f>IFERROR(__xludf.DUMMYFUNCTION("GOOGLETRANSLATE(L1468, ""en"", ""pt"")"),"Manutenção de jardins no inverno")</f>
        <v>Manutenção de jardins no inverno</v>
      </c>
      <c r="O1468" s="7" t="str">
        <f>IFERROR(__xludf.DUMMYFUNCTION("IF(M1468="""","""",GOOGLETRANSLATE(M1468,""en"",""pt""))"),"Remoção e poda de árvores e arbustos; limpeza e remoção de folhas e detritos do solo; descarte de galhos, ramos e árvores; plantio de paisagismo de inverno, incluindo azevinho e outras coníferas, espalhamento de cobertura morta; instalação, aplicação e fe"&amp;"rtilização de azevém perene; preparação de plantas e árvores para protegê-las do frio; plantio de flores anuais de inverno; instalação, aplicação e fertilização de cobertura morta em toda a propriedade para proteger as plantas, e preparação e drenagem do "&amp;"sistema de irrigação para o inverno; limpeza de lagoas de retenção. Remoção contínua de depósitos de neve acumulados em condições climáticas extremas em diversas propriedades comerciais, utilizando sopradores de neve e pás de neve comerciais padrão. Remed"&amp;"iação de gelo e aplicação de sal. Carregamento e descarregamento de materiais e equipamentos. Levantamento de peso de até 23 kg. O trabalho é realizado em locais de trabalho na região, com transporte fornecido pelo empregador de ida e volta a partir de um"&amp;" ponto de coleta centralizado na área de atuação. Classificação da Função: 37-3011.00 - Trabalhadores de Paisagismo e Manutenção de Jardins. A classificação e descrição da função/setor inclui informações gerais sobre o cargo, conforme o ONET/OES e o Siste"&amp;"ma de Classificação Industrial da América do Norte (NAICS). Consulte as Funções e a Ordem de Serviço para obter mais informações. Requisitos da Função Experiência Necessária: Não. Requisitos Especiais: Exame toxicológico pré-admissional pago pelo empregad"&amp;"or. Número de Horas por Semana: 40. Horário de Trabalho (Início/Término): 8h às 17h.")</f>
        <v>Remoção e poda de árvores e arbustos; limpeza e remoção de folhas e detritos do solo; descarte de galhos, ramos e árvores; plantio de paisagismo de inverno, incluindo azevinho e outras coníferas, espalhamento de cobertura morta; instalação, aplicação e fertilização de azevém perene; preparação de plantas e árvores para protegê-las do frio; plantio de flores anuais de inverno; instalação, aplicação e fertilização de cobertura morta em toda a propriedade para proteger as plantas, e preparação e drenagem do sistema de irrigação para o inverno; limpeza de lagoas de retenção. Remoção contínua de depósitos de neve acumulados em condições climáticas extremas em diversas propriedades comerciais, utilizando sopradores de neve e pás de neve comerciais padrão. Remediação de gelo e aplicação de sal. Carregamento e descarregamento de materiais e equipamentos. Levantamento de peso de até 23 kg. O trabalho é realizado em locais de trabalho na região, com transporte fornecido pelo empregador de ida e volta a partir de um ponto de coleta centralizado na área de atuação. Classificação da Função: 37-3011.00 - Trabalhadores de Paisagismo e Manutenção de Jardins. A classificação e descrição da função/setor inclui informações gerais sobre o cargo, conforme o ONET/OES e o Sistema de Classificação Industrial da América do Norte (NAICS). Consulte as Funções e a Ordem de Serviço para obter mais informações. Requisitos da Função Experiência Necessária: Não. Requisitos Especiais: Exame toxicológico pré-admissional pago pelo empregador. Número de Horas por Semana: 40. Horário de Trabalho (Início/Término): 8h às 17h.</v>
      </c>
    </row>
    <row r="1469" ht="20.25" customHeight="1">
      <c r="A1469" s="8" t="s">
        <v>6523</v>
      </c>
      <c r="B1469" s="8" t="s">
        <v>6524</v>
      </c>
      <c r="C1469" s="8" t="s">
        <v>6247</v>
      </c>
      <c r="D1469" s="8" t="s">
        <v>109</v>
      </c>
      <c r="E1469" s="9" t="s">
        <v>44</v>
      </c>
      <c r="F1469" s="9" t="s">
        <v>20</v>
      </c>
      <c r="G1469" s="9" t="s">
        <v>80</v>
      </c>
      <c r="H1469" s="8" t="s">
        <v>6525</v>
      </c>
      <c r="I1469" s="8" t="s">
        <v>6526</v>
      </c>
      <c r="J1469" s="9">
        <v>17.14</v>
      </c>
      <c r="K1469" s="9">
        <v>5.0</v>
      </c>
      <c r="L1469" s="8" t="s">
        <v>6250</v>
      </c>
      <c r="M1469" s="8" t="s">
        <v>6527</v>
      </c>
      <c r="N1469" s="7" t="str">
        <f>IFERROR(__xludf.DUMMYFUNCTION("GOOGLETRANSLATE(L1469, ""en"", ""pt"")"),"tratador de cavalos de corrida puro-sangue")</f>
        <v>tratador de cavalos de corrida puro-sangue</v>
      </c>
      <c r="O1469" s="7" t="str">
        <f>IFERROR(__xludf.DUMMYFUNCTION("IF(M1469="""","""",GOOGLETRANSLATE(M1469,""en"",""pt""))"),"Responsável pelos cuidados gerais de cavalos de corrida puro-sangue, incluindo alimentação, fornecimento de água, manutenção de baias e estábulos, limpeza, escovação, exercícios, casqueamento, desinfecção de baias e camas, administração de medicamentos co"&amp;"nforme prescrição e inspeção da condição física dos cavalos. Levantará as patas e limpará os cascos dos cavalos, aplicando linimentos e bandagens conforme necessário. Cuidará de 1 a 5 cavalos por vez. Turno dividido: das 5h às 11h e das 15h às 17h. Folgas"&amp;" rotativas. Classificação da vaga: 39-2021.00 - Cuidadores de Animais. A classificação e descrição da vaga/setor incluem informações gerais sobre o cargo, de acordo com o ONET/OES e o Sistema de Classificação Industrial da América do Norte. Consulte as Fu"&amp;"nções e a Ordem de Serviço para obter mais informações. Requisitos da vaga: Experiência necessária: Sim. Meses de experiência necessários: 1. Requisitos especiais: Deve ser capaz de levantar 23 kg. Número de horas por semana: 56. Horário de trabalho (iníc"&amp;"io/término): 5h. - 17h00")</f>
        <v>Responsável pelos cuidados gerais de cavalos de corrida puro-sangue, incluindo alimentação, fornecimento de água, manutenção de baias e estábulos, limpeza, escovação, exercícios, casqueamento, desinfecção de baias e camas, administração de medicamentos conforme prescrição e inspeção da condição física dos cavalos. Levantará as patas e limpará os cascos dos cavalos, aplicando linimentos e bandagens conforme necessário. Cuidará de 1 a 5 cavalos por vez. Turno dividido: das 5h às 11h e das 15h às 17h. Folgas rotativas. Classificação da vaga: 39-2021.00 - Cuidadores de Animais. A classificação e descrição da vaga/setor incluem informações gerais sobre o cargo, de acordo com o ONET/OES e o Sistema de Classificação Industrial da América do Norte. Consulte as Funções e a Ordem de Serviço para obter mais informações. Requisitos da vaga: Experiência necessária: Sim. Meses de experiência necessários: 1. Requisitos especiais: Deve ser capaz de levantar 23 kg. Número de horas por semana: 56. Horário de trabalho (início/término): 5h. - 17h00</v>
      </c>
    </row>
    <row r="1470" ht="20.25" customHeight="1">
      <c r="A1470" s="3" t="s">
        <v>6528</v>
      </c>
      <c r="B1470" s="3" t="s">
        <v>6529</v>
      </c>
      <c r="C1470" s="3" t="s">
        <v>6247</v>
      </c>
      <c r="D1470" s="3" t="s">
        <v>254</v>
      </c>
      <c r="E1470" s="4" t="s">
        <v>19</v>
      </c>
      <c r="F1470" s="4" t="s">
        <v>20</v>
      </c>
      <c r="G1470" s="4" t="s">
        <v>80</v>
      </c>
      <c r="H1470" s="3" t="s">
        <v>6530</v>
      </c>
      <c r="I1470" s="3" t="s">
        <v>6531</v>
      </c>
      <c r="J1470" s="4">
        <v>16.37</v>
      </c>
      <c r="K1470" s="4">
        <v>5.0</v>
      </c>
      <c r="L1470" s="3" t="s">
        <v>6359</v>
      </c>
      <c r="M1470" s="3" t="s">
        <v>6360</v>
      </c>
      <c r="N1470" s="7" t="str">
        <f>IFERROR(__xludf.DUMMYFUNCTION("GOOGLETRANSLATE(L1470, ""en"", ""pt"")"),"tratador de cavalos puro-sangue")</f>
        <v>tratador de cavalos puro-sangue</v>
      </c>
      <c r="O1470" s="7" t="str">
        <f>IFERROR(__xludf.DUMMYFUNCTION("IF(M1470="""","""",GOOGLETRANSLATE(M1470,""en"",""pt""))"),"Responsável pelos cuidados gerais de cavalos de corrida puro-sangue, incluindo alimentação, fornecimento de água, manutenção de baias e estábulos, limpeza, escovação, exercícios, casqueamento, desinfecção de baias e camas, administração de medicamentos co"&amp;"nforme prescrição e inspeção da condição física dos cavalos. Levantará as patas e limpará os cascos dos cavalos, aplicando linimentos e bandagens conforme necessário. Cuidará de 1 a 5 cavalos por vez. Turno dividido: das 5h às 11h e das 15h às 17h. Folgas"&amp;" rotativas. Classificação da vaga: 39-2021.00 - Cuidadores de Animais. A classificação e descrição da vaga/setor incluem informações gerais sobre o cargo, de acordo com o ONET/OES e o Sistema de Classificação Industrial da América do Norte. Consulte as Fu"&amp;"nções e a Ordem de Serviço para obter mais informações. Requisitos da vaga: Experiência necessária: Sim. Meses de experiência necessários: 1. Requisitos especiais: Deve ser capaz de levantar 23 kg. Número de horas por semana: 56. Horário de trabalho (iníc"&amp;"io/término): 5h. - 17h00")</f>
        <v>Responsável pelos cuidados gerais de cavalos de corrida puro-sangue, incluindo alimentação, fornecimento de água, manutenção de baias e estábulos, limpeza, escovação, exercícios, casqueamento, desinfecção de baias e camas, administração de medicamentos conforme prescrição e inspeção da condição física dos cavalos. Levantará as patas e limpará os cascos dos cavalos, aplicando linimentos e bandagens conforme necessário. Cuidará de 1 a 5 cavalos por vez. Turno dividido: das 5h às 11h e das 15h às 17h. Folgas rotativas. Classificação da vaga: 39-2021.00 - Cuidadores de Animais. A classificação e descrição da vaga/setor incluem informações gerais sobre o cargo, de acordo com o ONET/OES e o Sistema de Classificação Industrial da América do Norte. Consulte as Funções e a Ordem de Serviço para obter mais informações. Requisitos da vaga: Experiência necessária: Sim. Meses de experiência necessários: 1. Requisitos especiais: Deve ser capaz de levantar 23 kg. Número de horas por semana: 56. Horário de trabalho (início/término): 5h. - 17h00</v>
      </c>
    </row>
    <row r="1471" ht="20.25" customHeight="1">
      <c r="A1471" s="8" t="s">
        <v>6532</v>
      </c>
      <c r="B1471" s="8" t="s">
        <v>6533</v>
      </c>
      <c r="C1471" s="8" t="s">
        <v>6282</v>
      </c>
      <c r="D1471" s="8" t="s">
        <v>133</v>
      </c>
      <c r="E1471" s="9" t="s">
        <v>19</v>
      </c>
      <c r="F1471" s="9" t="s">
        <v>20</v>
      </c>
      <c r="G1471" s="9" t="s">
        <v>307</v>
      </c>
      <c r="H1471" s="8" t="s">
        <v>6534</v>
      </c>
      <c r="I1471" s="8" t="s">
        <v>6535</v>
      </c>
      <c r="J1471" s="9">
        <v>14.54</v>
      </c>
      <c r="K1471" s="9">
        <v>7.0</v>
      </c>
      <c r="L1471" s="8" t="s">
        <v>6536</v>
      </c>
      <c r="M1471" s="8" t="s">
        <v>6537</v>
      </c>
      <c r="N1471" s="7" t="str">
        <f>IFERROR(__xludf.DUMMYFUNCTION("GOOGLETRANSLATE(L1471, ""en"", ""pt"")"),"Operador de brinquedo")</f>
        <v>Operador de brinquedo</v>
      </c>
      <c r="O1471" s="7" t="str">
        <f>IFERROR(__xludf.DUMMYFUNCTION("IF(M1471="""","""",GOOGLETRANSLATE(M1471,""en"",""pt""))"),"Responsabilidades: Manter a operação diária segura dos brinquedos e áreas de brinquedos infláveis; fornecer um excelente nível de atendimento ao cliente; aplicar de forma consistente e educada as normas de segurança das instalações e as normas específicas"&amp;" de cada atração; realizar as tarefas de abertura e fechamento; informar imediatamente o gerente de plantão sobre quaisquer reclamações, comentários ou problemas disciplinares envolvendo clientes; relatar quaisquer lesões ao supervisor da área de brinqued"&amp;"os e/ou à gerência, que será responsável por fazer o backup das imagens das câmeras de vídeo e carregá-las no Formulário de Relatório de Incidentes com o termo de responsabilidade preenchido; capacidade de ler e interpretar documentos como normas de segur"&amp;"ança, instruções de operação e manutenção e manuais de procedimentos; capacidade de redigir relatórios e correspondências de rotina; capacidade de se comunicar eficazmente com grupos de clientes ou funcionários da empresa; e outras tarefas/atividades conf"&amp;"orme designadas pelo gerente geral. Classificação do cargo: 39-3091.00 - Atendentes de Parques de Diversões e Recreação. A classificação e a descrição do cargo/setor incluem informações gerais sobre a posição, de acordo com o ONET/OES e o Sistema de Class"&amp;"ificação Industrial da América do Norte. Consulte as Funções e a Ordem de Serviço para obter mais informações. Requisitos da vaga Experiência necessária: Não Requisitos especiais: Deve ser capaz de levantar 13,6 kg (30 lbs) Número de horas por semana: 56 "&amp;"Horário de trabalho (início/término): 8h às 22h")</f>
        <v>Responsabilidades: Manter a operação diária segura dos brinquedos e áreas de brinquedos infláveis; fornecer um excelente nível de atendimento ao cliente; aplicar de forma consistente e educada as normas de segurança das instalações e as normas específicas de cada atração; realizar as tarefas de abertura e fechamento; informar imediatamente o gerente de plantão sobre quaisquer reclamações, comentários ou problemas disciplinares envolvendo clientes; relatar quaisquer lesões ao supervisor da área de brinquedos e/ou à gerência, que será responsável por fazer o backup das imagens das câmeras de vídeo e carregá-las no Formulário de Relatório de Incidentes com o termo de responsabilidade preenchido; capacidade de ler e interpretar documentos como normas de segurança, instruções de operação e manutenção e manuais de procedimentos; capacidade de redigir relatórios e correspondências de rotina; capacidade de se comunicar eficazmente com grupos de clientes ou funcionários da empresa; e outras tarefas/atividades conforme designadas pelo gerente geral. Classificação do cargo: 39-3091.00 - Atendentes de Parques de Diversões e Recreação. A classificação e a descrição do cargo/setor incluem informações gerais sobre a posição, de acordo com o ONET/OES e o Sistema de Classificação Industrial da América do Norte. Consulte as Funções e a Ordem de Serviço para obter mais informações. Requisitos da vaga Experiência necessária: Não Requisitos especiais: Deve ser capaz de levantar 13,6 kg (30 lbs) Número de horas por semana: 56 Horário de trabalho (início/término): 8h às 22h</v>
      </c>
    </row>
    <row r="1472" ht="20.25" customHeight="1">
      <c r="A1472" s="3" t="s">
        <v>6538</v>
      </c>
      <c r="B1472" s="3" t="s">
        <v>6539</v>
      </c>
      <c r="C1472" s="3" t="s">
        <v>6282</v>
      </c>
      <c r="D1472" s="3" t="s">
        <v>154</v>
      </c>
      <c r="E1472" s="4" t="s">
        <v>19</v>
      </c>
      <c r="F1472" s="4" t="s">
        <v>20</v>
      </c>
      <c r="G1472" s="4" t="s">
        <v>902</v>
      </c>
      <c r="H1472" s="3" t="s">
        <v>6540</v>
      </c>
      <c r="I1472" s="3" t="s">
        <v>6541</v>
      </c>
      <c r="J1472" s="4">
        <v>23.23</v>
      </c>
      <c r="K1472" s="4">
        <v>25.0</v>
      </c>
      <c r="L1472" s="3" t="s">
        <v>6542</v>
      </c>
      <c r="M1472" s="3" t="s">
        <v>6543</v>
      </c>
      <c r="N1472" s="7" t="str">
        <f>IFERROR(__xludf.DUMMYFUNCTION("GOOGLETRANSLATE(L1472, ""en"", ""pt"")"),"Acabador/manutenção de concreto")</f>
        <v>Acabador/manutenção de concreto</v>
      </c>
      <c r="O1472" s="7" t="str">
        <f>IFERROR(__xludf.DUMMYFUNCTION("IF(M1472="""","""",GOOGLETRANSLATE(M1472,""en"",""pt""))"),"Deve ser capaz de moldar concreto e verificar se a construção está correta, trabalhar com ferramentas básicas de concreto, como níveis, pás e colheres de pedreiro, ser capaz de ler e seguir plantas, ser capaz de sinalizar para motoristas e outros funcioná"&amp;"rios, verificar se o concreto está alinhado e na profundidade correta, limpar equipamentos e áreas de trabalho. Classificação da vaga: 47-2051.00 - Pedreiros e Acabadores de Concreto. A classificação e descrição da vaga/setor inclui informações gerais sob"&amp;"re o cargo, de acordo com o ONET/OES e o Sistema de Classificação Industrial da América do Norte. Consulte as Funções e a Ordem de Serviço para obter mais informações. Requisitos da vaga: Experiência necessária: Sim. Meses de experiência necessários: 1. R"&amp;"equisitos especiais: DEVE SER CAPAZ DE LEVANTAR 23 KG. DEVE SER CAPAZ DE TRABALHAR AO AR LIVRE. VERIFICAÇÃO DE ANTECEDENTES PRÉ-CONTRATUAL OBRIGATÓRIA. TESTES DE DROGAS ALEATÓRIOS DURANTE O EMPREGO. TESTE DE DROGAS PRÉ-ADMISSÃO OBRIGATÓRIO. Os trabalhador"&amp;"es com visto H-2B serão submetidos a verificação de antecedentes e exame toxicológico após a chegada aos EUA, antes do início do trabalho, às custas do empregador. Os trabalhadores com visto H-2B que não forem aprovados na verificação de antecedentes ou n"&amp;"o exame toxicológico terão o transporte de retorno pago pelo empregador. Número de horas por semana: 40. Horário de trabalho (início/término): 7h às 16h.")</f>
        <v>Deve ser capaz de moldar concreto e verificar se a construção está correta, trabalhar com ferramentas básicas de concreto, como níveis, pás e colheres de pedreiro, ser capaz de ler e seguir plantas, ser capaz de sinalizar para motoristas e outros funcionários, verificar se o concreto está alinhado e na profundidade correta, limpar equipamentos e áreas de trabalho. Classificação da vaga: 47-2051.00 - Pedreiros e Acabadores de Concreto. A classificação e descrição da vaga/setor inclui informações gerais sobre o cargo, de acordo com o ONET/OES e o Sistema de Classificação Industrial da América do Norte. Consulte as Funções e a Ordem de Serviço para obter mais informações. Requisitos da vaga: Experiência necessária: Sim. Meses de experiência necessários: 1. Requisitos especiais: DEVE SER CAPAZ DE LEVANTAR 23 KG. DEVE SER CAPAZ DE TRABALHAR AO AR LIVRE. VERIFICAÇÃO DE ANTECEDENTES PRÉ-CONTRATUAL OBRIGATÓRIA. TESTES DE DROGAS ALEATÓRIOS DURANTE O EMPREGO. TESTE DE DROGAS PRÉ-ADMISSÃO OBRIGATÓRIO. Os trabalhadores com visto H-2B serão submetidos a verificação de antecedentes e exame toxicológico após a chegada aos EUA, antes do início do trabalho, às custas do empregador. Os trabalhadores com visto H-2B que não forem aprovados na verificação de antecedentes ou no exame toxicológico terão o transporte de retorno pago pelo empregador. Número de horas por semana: 40. Horário de trabalho (início/término): 7h às 16h.</v>
      </c>
    </row>
    <row r="1473" ht="20.25" customHeight="1">
      <c r="A1473" s="8" t="s">
        <v>6544</v>
      </c>
      <c r="B1473" s="8" t="s">
        <v>6545</v>
      </c>
      <c r="C1473" s="8" t="s">
        <v>6228</v>
      </c>
      <c r="D1473" s="8" t="s">
        <v>140</v>
      </c>
      <c r="E1473" s="9" t="s">
        <v>19</v>
      </c>
      <c r="F1473" s="9" t="s">
        <v>20</v>
      </c>
      <c r="G1473" s="9" t="s">
        <v>307</v>
      </c>
      <c r="H1473" s="8" t="s">
        <v>6546</v>
      </c>
      <c r="I1473" s="8" t="s">
        <v>6547</v>
      </c>
      <c r="J1473" s="9">
        <v>18.0</v>
      </c>
      <c r="K1473" s="9">
        <v>6.0</v>
      </c>
      <c r="L1473" s="8" t="s">
        <v>6548</v>
      </c>
      <c r="M1473" s="8" t="s">
        <v>6549</v>
      </c>
      <c r="N1473" s="7" t="str">
        <f>IFERROR(__xludf.DUMMYFUNCTION("GOOGLETRANSLATE(L1473, ""en"", ""pt"")"),"Trabalhador de manutenção de paisagismo")</f>
        <v>Trabalhador de manutenção de paisagismo</v>
      </c>
      <c r="O1473" s="7" t="str">
        <f>IFERROR(__xludf.DUMMYFUNCTION("IF(M1473="""","""",GOOGLETRANSLATE(M1473,""en"",""pt""))"),"Como jardineiro, você realizará tarefas de paisagismo como plantio de sementes, colocação de grama em placas e hidrossemeadura. Essas tarefas também incluem a aplicação de elementos estruturais, como pedras, cascalho, cobertura morta, etc., para tornar o "&amp;"jardim mais atraente. Você também poderá auxiliar no nivelamento do terreno, redistribuindo a terra conforme as instruções. Utilizará diversas ferramentas manuais para realizar as tarefas de paisagismo, como ancinhos, linhas de marcação, pás, carrinhos de"&amp;" mão, compactadores manuais, enxadas e cortadores de grama. Você será responsável pela manutenção dos trabalhos concluídos, regando e cortando a grama. Em preparação para o inverno, você fará a limpeza do local de trabalho e garantirá que os equipamentos "&amp;"sejam armazenados adequadamente para os meses mais frios. Você também realizará a semeadura complementar para preparar o terreno para a possível geada, incluindo a aplicação de fertilizantes em arbustos, árvores e outras plantas nativas. Classificação da "&amp;"Função: 37-3011.00 - Trabalhadores de Paisagismo e Manutenção de Jardins. A classificação e descrição da função/setor inclui informações gerais sobre o cargo, conforme o ONET/OES e o Sistema de Classificação Industrial da América do Norte (NAICS). Consult"&amp;"e as Funções e a Ordem de Serviço para obter mais informações. Requisitos da Função: Experiência Necessária: Não. Requisitos Especiais: O empregador realizará uma verificação de antecedentes. Treinamento no local de trabalho será fornecido. Cada candidato"&amp;" (tanto trabalhadores americanos quanto estrangeiros/com visto H-2B) deve preencher o formulário de emprego online padrão do empregador como parte do processo de contratação. O preenchimento do formulário é obrigatório para todos os candidatos e não impõe"&amp;" requisitos adicionais ou diferentes para trabalhadores americanos. Os trabalhadores estarão sujeitos a testes de drogas mediante suspeita razoável, pagos pelo empregador e aplicados igualmente a todos os trabalhadores, americanos e estrangeiros/com visto"&amp;" H-2B. A jornada de trabalho é a seguinte: 40 horas semanais, de segunda a sábado. Turnos de 8 horas, das 7h às 16h, com os funcionários escalados para trabalhar 5 dos 6 dias da semana. Número de horas por semana: 48 Horário de trabalho (início/término): "&amp;"7h00 - 16h00")</f>
        <v>Como jardineiro, você realizará tarefas de paisagismo como plantio de sementes, colocação de grama em placas e hidrossemeadura. Essas tarefas também incluem a aplicação de elementos estruturais, como pedras, cascalho, cobertura morta, etc., para tornar o jardim mais atraente. Você também poderá auxiliar no nivelamento do terreno, redistribuindo a terra conforme as instruções. Utilizará diversas ferramentas manuais para realizar as tarefas de paisagismo, como ancinhos, linhas de marcação, pás, carrinhos de mão, compactadores manuais, enxadas e cortadores de grama. Você será responsável pela manutenção dos trabalhos concluídos, regando e cortando a grama. Em preparação para o inverno, você fará a limpeza do local de trabalho e garantirá que os equipamentos sejam armazenados adequadamente para os meses mais frios. Você também realizará a semeadura complementar para preparar o terreno para a possível geada, incluindo a aplicação de fertilizantes em arbustos, árvores e outras plantas nativas. Classificação da Função: 37-3011.00 - Trabalhadores de Paisagismo e Manutenção de Jardins. A classificação e descrição da função/setor inclui informações gerais sobre o cargo, conforme o ONET/OES e o Sistema de Classificação Industrial da América do Norte (NAICS). Consulte as Funções e a Ordem de Serviço para obter mais informações. Requisitos da Função: Experiência Necessária: Não. Requisitos Especiais: O empregador realizará uma verificação de antecedentes. Treinamento no local de trabalho será fornecido. Cada candidato (tanto trabalhadores americanos quanto estrangeiros/com visto H-2B) deve preencher o formulário de emprego online padrão do empregador como parte do processo de contratação. O preenchimento do formulário é obrigatório para todos os candidatos e não impõe requisitos adicionais ou diferentes para trabalhadores americanos. Os trabalhadores estarão sujeitos a testes de drogas mediante suspeita razoável, pagos pelo empregador e aplicados igualmente a todos os trabalhadores, americanos e estrangeiros/com visto H-2B. A jornada de trabalho é a seguinte: 40 horas semanais, de segunda a sábado. Turnos de 8 horas, das 7h às 16h, com os funcionários escalados para trabalhar 5 dos 6 dias da semana. Número de horas por semana: 48 Horário de trabalho (início/término): 7h00 - 16h00</v>
      </c>
    </row>
    <row r="1474" ht="20.25" customHeight="1">
      <c r="A1474" s="3" t="s">
        <v>6550</v>
      </c>
      <c r="B1474" s="3" t="s">
        <v>6551</v>
      </c>
      <c r="C1474" s="3" t="s">
        <v>6247</v>
      </c>
      <c r="D1474" s="3" t="s">
        <v>71</v>
      </c>
      <c r="E1474" s="4" t="s">
        <v>44</v>
      </c>
      <c r="F1474" s="4" t="s">
        <v>20</v>
      </c>
      <c r="G1474" s="4" t="s">
        <v>80</v>
      </c>
      <c r="H1474" s="3" t="s">
        <v>6552</v>
      </c>
      <c r="I1474" s="3" t="s">
        <v>6553</v>
      </c>
      <c r="J1474" s="4">
        <v>18.57</v>
      </c>
      <c r="K1474" s="4">
        <v>6.0</v>
      </c>
      <c r="L1474" s="3" t="s">
        <v>6359</v>
      </c>
      <c r="M1474" s="3" t="s">
        <v>6336</v>
      </c>
      <c r="N1474" s="7" t="str">
        <f>IFERROR(__xludf.DUMMYFUNCTION("GOOGLETRANSLATE(L1474, ""en"", ""pt"")"),"tratador de cavalos puro-sangue")</f>
        <v>tratador de cavalos puro-sangue</v>
      </c>
      <c r="O1474" s="7" t="str">
        <f>IFERROR(__xludf.DUMMYFUNCTION("IF(M1474="""","""",GOOGLETRANSLATE(M1474,""en"",""pt""))"),"Responsável pelos cuidados gerais de cavalos de corrida puro-sangue, incluindo alimentação, fornecimento de água, manutenção de baias e estábulos, limpeza, escovação, exercícios, casqueamento, desinfecção de baias e camas, administração de medicamentos co"&amp;"nforme prescrição e inspeção da condição física dos cavalos. Levantará as patas e limpará os cascos dos cavalos, aplicando linimentos e bandagens conforme necessário. Cuidará de 1 a 5 cavalos por vez. Turno dividido: das 5h às 11h e das 15h às 17h. Folgas"&amp;" rotativas. Classificação da vaga: 39-2021.00 - Cuidadores de Animais. A classificação e descrição da vaga/setor incluem informações gerais sobre o cargo, de acordo com o ONET/OES e o Sistema de Classificação Industrial da América do Norte. Consulte as Fu"&amp;"nções e a Ordem de Serviço para obter mais informações. Requisitos da vaga: Experiência necessária: Sim. Meses de experiência necessários: 1. Requisitos especiais: Deve ser capaz de levantar 23 kg. Número de horas por semana: 56. Horário de trabalho (iníc"&amp;"io/término): 5h. - 17h00")</f>
        <v>Responsável pelos cuidados gerais de cavalos de corrida puro-sangue, incluindo alimentação, fornecimento de água, manutenção de baias e estábulos, limpeza, escovação, exercícios, casqueamento, desinfecção de baias e camas, administração de medicamentos conforme prescrição e inspeção da condição física dos cavalos. Levantará as patas e limpará os cascos dos cavalos, aplicando linimentos e bandagens conforme necessário. Cuidará de 1 a 5 cavalos por vez. Turno dividido: das 5h às 11h e das 15h às 17h. Folgas rotativas. Classificação da vaga: 39-2021.00 - Cuidadores de Animais. A classificação e descrição da vaga/setor incluem informações gerais sobre o cargo, de acordo com o ONET/OES e o Sistema de Classificação Industrial da América do Norte. Consulte as Funções e a Ordem de Serviço para obter mais informações. Requisitos da vaga: Experiência necessária: Sim. Meses de experiência necessários: 1. Requisitos especiais: Deve ser capaz de levantar 23 kg. Número de horas por semana: 56. Horário de trabalho (início/término): 5h. - 17h00</v>
      </c>
    </row>
    <row r="1475" ht="20.25" customHeight="1">
      <c r="A1475" s="8" t="s">
        <v>6554</v>
      </c>
      <c r="B1475" s="8" t="s">
        <v>6555</v>
      </c>
      <c r="C1475" s="8" t="s">
        <v>6282</v>
      </c>
      <c r="D1475" s="8" t="s">
        <v>36</v>
      </c>
      <c r="E1475" s="9" t="s">
        <v>19</v>
      </c>
      <c r="F1475" s="9" t="s">
        <v>20</v>
      </c>
      <c r="G1475" s="9" t="s">
        <v>307</v>
      </c>
      <c r="H1475" s="8" t="s">
        <v>6556</v>
      </c>
      <c r="I1475" s="8" t="s">
        <v>6557</v>
      </c>
      <c r="J1475" s="9">
        <v>17.08</v>
      </c>
      <c r="K1475" s="9">
        <v>10.0</v>
      </c>
      <c r="L1475" s="8" t="s">
        <v>59</v>
      </c>
      <c r="M1475" s="8" t="s">
        <v>6558</v>
      </c>
      <c r="N1475" s="7" t="str">
        <f>IFERROR(__xludf.DUMMYFUNCTION("GOOGLETRANSLATE(L1475, ""en"", ""pt"")"),"Trabalhador de paisagismo")</f>
        <v>Trabalhador de paisagismo</v>
      </c>
      <c r="O1475" s="7" t="str">
        <f>IFERROR(__xludf.DUMMYFUNCTION("IF(M1475="""","""",GOOGLETRANSLATE(M1475,""en"",""pt""))"),"Corte de grama, roçada, poda de arbustos e paisagismo; os equipamentos utilizados são cortador de grama, roçadeiras, sopradores de folhas, aparadores de cerca viva, pás e carrinhos de mão. Todas as ferramentas serão fornecidas gratuitamente ao trabalhador"&amp;". Classificação da função: 37-3011.00 - Trabalhadores de Paisagismo e Manutenção de Jardins. A classificação e descrição da função/setor incluem informações gerais sobre o cargo, de acordo com o ONET/OES e o Sistema de Classificação Industrial da América "&amp;"do Norte (NAICS). Consulte as Funções e a Ordem de Serviço para obter mais informações. Requisitos da vaga: Experiência necessária: Sim. Meses de experiência necessários: 1. Requisitos especiais: Deve ser capaz de levantar 23 kg. Número de horas por seman"&amp;"a: 40. Horário de trabalho (início/término): 7h às 16h.")</f>
        <v>Corte de grama, roçada, poda de arbustos e paisagismo; os equipamentos utilizados são cortador de grama, roçadeiras, sopradores de folhas, aparadores de cerca viva, pás e carrinhos de mão. Todas as ferramentas serão fornecidas gratuitamente ao trabalhador. Classificação da função: 37-3011.00 - Trabalhadores de Paisagismo e Manutenção de Jardins. A classificação e descrição da função/setor incluem informações gerais sobre o cargo, de acordo com o ONET/OES e o Sistema de Classificação Industrial da América do Norte (NAICS). Consulte as Funções e a Ordem de Serviço para obter mais informações. Requisitos da vaga: Experiência necessária: Sim. Meses de experiência necessários: 1. Requisitos especiais: Deve ser capaz de levantar 23 kg. Número de horas por semana: 40. Horário de trabalho (início/término): 7h às 16h.</v>
      </c>
    </row>
    <row r="1476" ht="20.25" customHeight="1">
      <c r="A1476" s="3" t="s">
        <v>6559</v>
      </c>
      <c r="B1476" s="3" t="s">
        <v>6560</v>
      </c>
      <c r="C1476" s="3" t="s">
        <v>6282</v>
      </c>
      <c r="D1476" s="3" t="s">
        <v>55</v>
      </c>
      <c r="E1476" s="4" t="s">
        <v>19</v>
      </c>
      <c r="F1476" s="4" t="s">
        <v>20</v>
      </c>
      <c r="G1476" s="4" t="s">
        <v>56</v>
      </c>
      <c r="H1476" s="3" t="s">
        <v>6561</v>
      </c>
      <c r="I1476" s="3" t="s">
        <v>6562</v>
      </c>
      <c r="J1476" s="4">
        <v>32.93</v>
      </c>
      <c r="K1476" s="4">
        <v>12.0</v>
      </c>
      <c r="L1476" s="3" t="s">
        <v>6563</v>
      </c>
      <c r="M1476" s="3" t="s">
        <v>6564</v>
      </c>
      <c r="N1476" s="7" t="str">
        <f>IFERROR(__xludf.DUMMYFUNCTION("GOOGLETRANSLATE(L1476, ""en"", ""pt"")"),"Acabador de concreto")</f>
        <v>Acabador de concreto</v>
      </c>
      <c r="O1476" s="7" t="str">
        <f>IFERROR(__xludf.DUMMYFUNCTION("IF(M1476="""","""",GOOGLETRANSLATE(M1476,""en"",""pt""))"),"Deve ser capaz de moldar concreto e verificar se a construção está correta, trabalhar com ferramentas básicas de concreto, como níveis, pás e colheres de pedreiro, ser capaz de ler e seguir plantas, ser capaz de sinalizar para motoristas e outros funcioná"&amp;"rios, verificar se o concreto está alinhado e na profundidade correta, limpar equipamentos e áreas de trabalho. Todas as ferramentas serão fornecidas. Classificação do Cargo: 47-2051.00 - Pedreiros e Acabadores de Concreto. A classificação e descrição do "&amp;"cargo/setor inclui informações gerais sobre a posição, de acordo com o ONET/OES e o Sistema de Classificação Industrial da América do Norte. Consulte as Funções e a Ordem de Serviço para obter mais informações. Requisitos do Cargo Experiência Necessária: "&amp;"Sim Meses de Experiência Necessários: 1 Requisitos Especiais: - DEVE SER CAPAZ DE LEVANTAR 23 KG. - DEVE SER CAPAZ DE TRABALHAR AO AR LIVRE. - VERIFICAÇÃO DE ANTECEDENTES PRÉ-ADMISSÃO OBRIGATÓRIA. TESTES DE DROGAS ALEATÓRIOS DURANTE O EMPREGO. TESTE DE DR"&amp;"OGAS PRÉ-ADMISSÃO OBRIGATÓRIO. Os trabalhadores com visto H-2B serão submetidos a verificação de antecedentes e exame toxicológico após a chegada aos EUA, antes do início do trabalho, às custas do empregador. Os trabalhadores com visto H-2B que não forem "&amp;"aprovados na verificação de antecedentes ou no exame toxicológico terão o transporte de retorno pago pelo empregador. Número de horas por semana: 40. Horário de trabalho (início/término): 7h às 16h.")</f>
        <v>Deve ser capaz de moldar concreto e verificar se a construção está correta, trabalhar com ferramentas básicas de concreto, como níveis, pás e colheres de pedreiro, ser capaz de ler e seguir plantas, ser capaz de sinalizar para motoristas e outros funcionários, verificar se o concreto está alinhado e na profundidade correta, limpar equipamentos e áreas de trabalho. Todas as ferramentas serão fornecidas. Classificação do Cargo: 47-2051.00 - Pedreiros e Acabadores de Concreto. A classificação e descrição do cargo/setor inclui informações gerais sobre a posição, de acordo com o ONET/OES e o Sistema de Classificação Industrial da América do Norte. Consulte as Funções e a Ordem de Serviço para obter mais informações. Requisitos do Cargo Experiência Necessária: Sim Meses de Experiência Necessários: 1 Requisitos Especiais: - DEVE SER CAPAZ DE LEVANTAR 23 KG. - DEVE SER CAPAZ DE TRABALHAR AO AR LIVRE. - VERIFICAÇÃO DE ANTECEDENTES PRÉ-ADMISSÃO OBRIGATÓRIA. TESTES DE DROGAS ALEATÓRIOS DURANTE O EMPREGO. TESTE DE DROGAS PRÉ-ADMISSÃO OBRIGATÓRIO. Os trabalhadores com visto H-2B serão submetidos a verificação de antecedentes e exame toxicológico após a chegada aos EUA, antes do início do trabalho, às custas do empregador. Os trabalhadores com visto H-2B que não forem aprovados na verificação de antecedentes ou no exame toxicológico terão o transporte de retorno pago pelo empregador. Número de horas por semana: 40. Horário de trabalho (início/término): 7h às 16h.</v>
      </c>
    </row>
    <row r="1477" ht="20.25" customHeight="1">
      <c r="A1477" s="8" t="s">
        <v>6565</v>
      </c>
      <c r="B1477" s="8" t="s">
        <v>6566</v>
      </c>
      <c r="C1477" s="8" t="s">
        <v>6228</v>
      </c>
      <c r="D1477" s="8" t="s">
        <v>109</v>
      </c>
      <c r="E1477" s="9" t="s">
        <v>19</v>
      </c>
      <c r="F1477" s="9" t="s">
        <v>20</v>
      </c>
      <c r="G1477" s="9" t="s">
        <v>369</v>
      </c>
      <c r="H1477" s="8" t="s">
        <v>6567</v>
      </c>
      <c r="I1477" s="8" t="s">
        <v>6568</v>
      </c>
      <c r="J1477" s="9">
        <v>15.88</v>
      </c>
      <c r="K1477" s="9">
        <v>6.0</v>
      </c>
      <c r="L1477" s="8" t="s">
        <v>165</v>
      </c>
      <c r="M1477" s="8" t="s">
        <v>6569</v>
      </c>
      <c r="N1477" s="7" t="str">
        <f>IFERROR(__xludf.DUMMYFUNCTION("GOOGLETRANSLATE(L1477, ""en"", ""pt"")"),"Trabalhador de remoção de neve")</f>
        <v>Trabalhador de remoção de neve</v>
      </c>
      <c r="O1477" s="7" t="str">
        <f>IFERROR(__xludf.DUMMYFUNCTION("IF(M1477="""","""",GOOGLETRANSLATE(M1477,""en"",""pt""))"),"Os trabalhadores realizarão serviços de manutenção de inverno em propriedades comerciais e residenciais. Eles removerão neve e gelo de calçadas, entradas, acessos para veículos, caminhos e estacionamentos usando ferramentas manuais, como pás e sopradores "&amp;"de neve. Nenhum trabalho será realizado em rodovias ou vias municipais. Os trabalhadores aplicarão sal e outros materiais de degelo para evitar condições perigosas. As tarefas incluem limpar calçadas, espalhar sal para derreter gelo e realizar a limpeza g"&amp;"eral após tempestades de inverno para garantir o acesso seguro às propriedades. Os trabalhadores se prepararão para eventos de neve organizando e estocando materiais, incluindo o carregamento e a distribuição de suprimentos, como sacos de sal para derrete"&amp;"r gelo. Eles também limparão e farão a manutenção das ferramentas e equipamentos após o uso. Todas as tarefas de remoção de neve são realizadas manualmente, ao nível do solo. Classificação da função: 37-2011.00 - Zeladores e Faxineiros, exceto empregadas "&amp;"domésticas e faxineiras. A classificação e a descrição da função/setor incluem informações gerais sobre o cargo, de acordo com o ONET/OES e o Sistema de Classificação Industrial da América do Norte. Consulte as Funções e a Ordem de Serviço para obter mais"&amp;" informações. Requisitos da Vaga Experiência Necessária: Sim Meses de Experiência Necessários: 1 Requisitos Especiais: 1 mês de experiência relacionada é necessário. Deve ser capaz de levantar e carregar até 23 kg. Os funcionários devem estar disponíveis "&amp;"para trabalhar nos fins de semana e feriados, conforme necessário, de acordo com as condições climáticas, para realizar as tarefas de remoção de neve. Horas extras podem ser oferecidas dependendo das condições climáticas, necessidades da empresa e demanda"&amp;"s operacionais. O horário de trabalho pode variar e condições climáticas como frio extremo, neve ou tempestades podem afetar a programação exata. Os trabalhadores serão submetidos a testes de drogas, tanto para americanos quanto para estrangeiros/H-2B. Os"&amp;" trabalhadores estão sujeitos a verificação de antecedentes criminais, paga pelo empregador e aplicada igualmente a todos os trabalhadores, americanos e estrangeiros/H-2B. Número de Horas por Semana: 35 Horário de Trabalho (Início/Término): 7h30 - 15h30")</f>
        <v>Os trabalhadores realizarão serviços de manutenção de inverno em propriedades comerciais e residenciais. Eles removerão neve e gelo de calçadas, entradas, acessos para veículos, caminhos e estacionamentos usando ferramentas manuais, como pás e sopradores de neve. Nenhum trabalho será realizado em rodovias ou vias municipais. Os trabalhadores aplicarão sal e outros materiais de degelo para evitar condições perigosas. As tarefas incluem limpar calçadas, espalhar sal para derreter gelo e realizar a limpeza geral após tempestades de inverno para garantir o acesso seguro às propriedades. Os trabalhadores se prepararão para eventos de neve organizando e estocando materiais, incluindo o carregamento e a distribuição de suprimentos, como sacos de sal para derreter gelo. Eles também limparão e farão a manutenção das ferramentas e equipamentos após o uso. Todas as tarefas de remoção de neve são realizadas manualmente, ao nível do solo. Classificação da função: 37-2011.00 - Zeladores e Faxineiros, exceto empregadas domésticas e faxineiras. A classificação e a descrição da função/setor incluem informações gerais sobre o cargo, de acordo com o ONET/OES e o Sistema de Classificação Industrial da América do Norte. Consulte as Funções e a Ordem de Serviço para obter mais informações. Requisitos da Vaga Experiência Necessária: Sim Meses de Experiência Necessários: 1 Requisitos Especiais: 1 mês de experiência relacionada é necessário. Deve ser capaz de levantar e carregar até 23 kg. Os funcionários devem estar disponíveis para trabalhar nos fins de semana e feriados, conforme necessário, de acordo com as condições climáticas, para realizar as tarefas de remoção de neve. Horas extras podem ser oferecidas dependendo das condições climáticas, necessidades da empresa e demandas operacionais. O horário de trabalho pode variar e condições climáticas como frio extremo, neve ou tempestades podem afetar a programação exata. Os trabalhadores serão submetidos a testes de drogas, tanto para americanos quanto para estrangeiros/H-2B. Os trabalhadores estão sujeitos a verificação de antecedentes criminais, paga pelo empregador e aplicada igualmente a todos os trabalhadores, americanos e estrangeiros/H-2B. Número de Horas por Semana: 35 Horário de Trabalho (Início/Término): 7h30 - 15h30</v>
      </c>
    </row>
    <row r="1478" ht="20.25" customHeight="1">
      <c r="A1478" s="3" t="s">
        <v>6570</v>
      </c>
      <c r="B1478" s="3" t="s">
        <v>6571</v>
      </c>
      <c r="C1478" s="3" t="s">
        <v>6228</v>
      </c>
      <c r="D1478" s="3" t="s">
        <v>1051</v>
      </c>
      <c r="E1478" s="4" t="s">
        <v>19</v>
      </c>
      <c r="F1478" s="4" t="s">
        <v>20</v>
      </c>
      <c r="G1478" s="4" t="s">
        <v>56</v>
      </c>
      <c r="H1478" s="3" t="s">
        <v>6572</v>
      </c>
      <c r="I1478" s="3" t="s">
        <v>6573</v>
      </c>
      <c r="J1478" s="4">
        <v>40.73</v>
      </c>
      <c r="K1478" s="4">
        <v>2.0</v>
      </c>
      <c r="L1478" s="3" t="s">
        <v>6574</v>
      </c>
      <c r="M1478" s="3" t="s">
        <v>6575</v>
      </c>
      <c r="N1478" s="7" t="str">
        <f>IFERROR(__xludf.DUMMYFUNCTION("GOOGLETRANSLATE(L1478, ""en"", ""pt"")"),"Operadores de Equipamentos Pesados")</f>
        <v>Operadores de Equipamentos Pesados</v>
      </c>
      <c r="O1478" s="7" t="str">
        <f>IFERROR(__xludf.DUMMYFUNCTION("IF(M1478="""","""",GOOGLETRANSLATE(M1478,""en"",""pt""))"),"Como operador de equipamentos pesados, o trabalhador operará todos os tipos de equipamentos Caterpillar, escavadeiras, pás carregadeiras, minicarregadeiras de esteiras, tratores de esteira, motoniveladoras e empilhadeiras. Utilizará mecanismos de controle"&amp;" ou atividade física direta para operar máquinas ou processos, incluindo ligar a máquina, acionar a embreagem e empurrar e mover alavancas para guiar a máquina ao longo de formas ou linhas-guia e para controlar a operação dos implementos da máquina. Utili"&amp;"zando escavadeiras, pás carregadeiras, minicarregadeiras de esteiras e tratores de esteiras, o trabalhador movimentará materiais e detritos conforme solicitado pelo líder da equipe. Os equipamentos operados serão utilizados para aplicar concreto, asfalto "&amp;"ou outros materiais em leitos de estradas, estacionamentos ou pistas e vias de circulação de aeroportos, ou para compactar cascalho, terra ou outros materiais. O trabalhador também realizará tarefas de final de temporada, como limpeza de detritos dos loca"&amp;"is de trabalho, remoção de gelo/neve dos locais de trabalho e realização de limpeza, lubrificação e manutenção dos equipamentos em preparação para o armazenamento. Para realizar a remoção de gelo e neve no local de trabalho, os trabalhadores operarão pás "&amp;"carregadeiras e minicarregadeiras equipadas com empurradores de neve e caçambas para remover a neve e o gelo acumulados em equipamentos, estoques de materiais e pontos de acesso ao local de trabalho. A neve e o gelo removidos serão empilhados ou descartad"&amp;"os em áreas de estocagem designadas ou carregados em caminhões basculantes para transporte para fora do local, conforme necessário. Os trabalhadores também podem usar ferramentas manuais, incluindo pás e raspadores de gelo, para remover neve e gelo ao red"&amp;"or de equipamentos e estruturas que não podem ser acessadas por equipamentos pesados. Os equipamentos e ferramentas utilizados incluem pás carregadeiras, minicarregadeiras, empurradores de neve, caçambas para neve, caminhões basculantes, pás e raspadores "&amp;"de gelo. Classificação da função: 47-2071.00 - Operadores de Equipamentos de Pavimentação, Revestimento e Compactação. A classificação e descrição da função/setor inclui informações gerais sobre o cargo, de acordo com o ONET/OES e o Sistema de Classificaç"&amp;"ão Industrial da América do Norte (NAICS). Consulte as Funções e a Ordem de Serviço para obter mais informações. Requisitos da Vaga Experiência Necessária: Sim Meses de Experiência Necessária: 6 Requisitos Especiais: Seis (6) meses de experiência em traba"&amp;"lho braçal na construção civil. Deve ser capaz de levantar e carregar 23 kg (50 lbs) frequentemente. Deve ser aprovado em um teste toxicológico pós-acidente pago pelo empregador. Os trabalhadores estarão sujeitos a testes toxicológicos mediante suspeita r"&amp;"azoável, pagos pelo empregador e aplicados igualmente a todos os trabalhadores, americanos e estrangeiros/H-2B. Após um acidente, o trabalhador deverá ser aprovado em um teste toxicológico pós-acidente pago pelo empregador. Número de Horas por Semana: 40 "&amp;"Horário de Trabalho (Início/Término): 8h00 - 17h00")</f>
        <v>Como operador de equipamentos pesados, o trabalhador operará todos os tipos de equipamentos Caterpillar, escavadeiras, pás carregadeiras, minicarregadeiras de esteiras, tratores de esteira, motoniveladoras e empilhadeiras. Utilizará mecanismos de controle ou atividade física direta para operar máquinas ou processos, incluindo ligar a máquina, acionar a embreagem e empurrar e mover alavancas para guiar a máquina ao longo de formas ou linhas-guia e para controlar a operação dos implementos da máquina. Utilizando escavadeiras, pás carregadeiras, minicarregadeiras de esteiras e tratores de esteiras, o trabalhador movimentará materiais e detritos conforme solicitado pelo líder da equipe. Os equipamentos operados serão utilizados para aplicar concreto, asfalto ou outros materiais em leitos de estradas, estacionamentos ou pistas e vias de circulação de aeroportos, ou para compactar cascalho, terra ou outros materiais. O trabalhador também realizará tarefas de final de temporada, como limpeza de detritos dos locais de trabalho, remoção de gelo/neve dos locais de trabalho e realização de limpeza, lubrificação e manutenção dos equipamentos em preparação para o armazenamento. Para realizar a remoção de gelo e neve no local de trabalho, os trabalhadores operarão pás carregadeiras e minicarregadeiras equipadas com empurradores de neve e caçambas para remover a neve e o gelo acumulados em equipamentos, estoques de materiais e pontos de acesso ao local de trabalho. A neve e o gelo removidos serão empilhados ou descartados em áreas de estocagem designadas ou carregados em caminhões basculantes para transporte para fora do local, conforme necessário. Os trabalhadores também podem usar ferramentas manuais, incluindo pás e raspadores de gelo, para remover neve e gelo ao redor de equipamentos e estruturas que não podem ser acessadas por equipamentos pesados. Os equipamentos e ferramentas utilizados incluem pás carregadeiras, minicarregadeiras, empurradores de neve, caçambas para neve, caminhões basculantes, pás e raspadores de gelo. Classificação da função: 47-2071.00 - Operadores de Equipamentos de Pavimentação, Revestimento e Compactação. A classificação e descrição da função/setor inclui informações gerais sobre o cargo, de acordo com o ONET/OES e o Sistema de Classificação Industrial da América do Norte (NAICS). Consulte as Funções e a Ordem de Serviço para obter mais informações. Requisitos da Vaga Experiência Necessária: Sim Meses de Experiência Necessária: 6 Requisitos Especiais: Seis (6) meses de experiência em trabalho braçal na construção civil. Deve ser capaz de levantar e carregar 23 kg (50 lbs) frequentemente. Deve ser aprovado em um teste toxicológico pós-acidente pago pelo empregador. Os trabalhadores estarão sujeitos a testes toxicológicos mediante suspeita razoável, pagos pelo empregador e aplicados igualmente a todos os trabalhadores, americanos e estrangeiros/H-2B. Após um acidente, o trabalhador deverá ser aprovado em um teste toxicológico pós-acidente pago pelo empregador. Número de Horas por Semana: 40 Horário de Trabalho (Início/Término): 8h00 - 17h00</v>
      </c>
    </row>
    <row r="1479" ht="20.25" customHeight="1">
      <c r="A1479" s="8" t="s">
        <v>6576</v>
      </c>
      <c r="B1479" s="8" t="s">
        <v>6571</v>
      </c>
      <c r="C1479" s="8" t="s">
        <v>6228</v>
      </c>
      <c r="D1479" s="8" t="s">
        <v>1051</v>
      </c>
      <c r="E1479" s="9" t="s">
        <v>44</v>
      </c>
      <c r="F1479" s="9" t="s">
        <v>20</v>
      </c>
      <c r="G1479" s="9" t="s">
        <v>56</v>
      </c>
      <c r="H1479" s="8" t="s">
        <v>6572</v>
      </c>
      <c r="I1479" s="8" t="s">
        <v>6577</v>
      </c>
      <c r="J1479" s="9">
        <v>33.19</v>
      </c>
      <c r="K1479" s="9">
        <v>2.0</v>
      </c>
      <c r="L1479" s="8" t="s">
        <v>1709</v>
      </c>
      <c r="M1479" s="8" t="s">
        <v>6578</v>
      </c>
      <c r="N1479" s="7" t="str">
        <f>IFERROR(__xludf.DUMMYFUNCTION("GOOGLETRANSLATE(L1479, ""en"", ""pt"")"),"Trabalhadores")</f>
        <v>Trabalhadores</v>
      </c>
      <c r="O1479" s="7" t="str">
        <f>IFERROR(__xludf.DUMMYFUNCTION("IF(M1479="""","""",GOOGLETRANSLATE(M1479,""en"",""pt""))"),"Executar trabalhos gerais no local de trabalho. Preparar o terreno para a concretagem, instalar tubulações de serviços públicos, compactar manualmente materiais de cascalho em valas, verificar o nivelamento com GPS ou laser, usar pá e operar equipamentos "&amp;"controlados remotamente. Separar a carga antes do carregamento e descarregamento. Manter e limpar as áreas de trabalho para garantir um ambiente de trabalho seguro. Os trabalhadores também realizarão tarefas de fim de temporada, como limpeza de detritos d"&amp;"os locais de trabalho, remoção de gelo/neve e limpeza, lubrificação e manutenção de equipamentos para armazenamento. Os trabalhadores prepararão o terreno para a concretagem, medindo, marcando, nivelando e terraplanando as áreas de trabalho. As tarefas es"&amp;"pecíficas incluem espalhar, rastelar e nivelar solo, cascalho, areia e agregados; remover o excesso de material; compactar as superfícies do subleito; e verificar as elevações para garantir a inclinação e o nivelamento adequados antes da concretagem. Ao d"&amp;"esempenhar essas funções, os trabalhadores usarão pás, ancinhos, barras de nivelamento, picaretas, compactadores manuais, compactadores de placa, níveis a laser, dispositivos de controle de nivelamento por GPS, trenas, linhas de prumo e tinta de marcação,"&amp;" e trabalharão com materiais como solo, cascalho, areia, base agregada e formas de concreto. Os trabalhadores auxiliarão na instalação de tubulações subterrâneas de serviços públicos, colocando material de assentamento em valas, posicionando e alinhando s"&amp;"eções de tubos, instalando conexões e acoplamentos, aterrando valas e compactando o material de enchimento ao redor dos tubos instalados. Os trabalhadores também colocarão, espalharão e compactarão cascalho, areia e solo em valas e ao redor das instalaçõe"&amp;"s de serviços públicos. Ao desempenhar essas funções, os trabalhadores usarão pás, ancinhos, compactadores manuais, compactadores de placa, lasers para tubos, trenas, níveis, cintas para tubos, compactadores de solo e ferramentas manuais usadas para conec"&amp;"tar e fixar seções de tubos, e trabalharão com materiais como tubos de PVC, PEAD, concreto e metal; conexões e acoplamentos; cascalho, areia, materiais de assentamento e materiais de enchimento. Os trabalhadores podem operar rolos compactadores de vala e "&amp;"placas vibratórias controlados remotamente. Usando unidades de controle remoto, os trabalhadores manobrarão o equipamento para compactar solo, cascalho e materiais de aterro em valas, ao redor de linhas de serviços públicos e em áreas de trabalho confinad"&amp;"as ou perigosas. As funções específicas incluem ligar e desligar o equipamento, controlar o movimento e os padrões de compactação, monitorar o desempenho do equipamento e garantir a compactação adequada dos materiais de acordo com as especificações do pro"&amp;"jeto. Os trabalhadores auxiliarão na instalação de tubulações subterrâneas de água potável, esgoto sanitário e drenagem pluvial. Classificação da função: 47-2151.00 - Instaladores de tubulações. A classificação e a descrição da função/setor incluem inform"&amp;"ações gerais sobre o cargo, de acordo com o ONET/OES e o Sistema de Classificação Industrial da América do Norte. Consulte as Funções e a Ordem de Serviço para obter mais informações. Requisitos da vaga: Experiência necessária: Sim. Meses de experiência n"&amp;"ecessários: 6. Requisitos especiais: Seis (6) meses de experiência em serviços gerais de construção. Deve ser capaz de levantar e carregar 23 kg (50 lbs) frequentemente. Deve passar em um teste toxicológico pós-acidente pago pelo empregador. Os trabalhado"&amp;"res serão submetidos a testes de drogas mediante suspeita razoável, pagos pelo empregador e aplicados igualmente a todos os trabalhadores, americanos e estrangeiros/H-2B. Após um acidente, o trabalhador deverá ser aprovado em um teste de drogas pós-aciden"&amp;"te pago pelo empregador. Número de horas por semana: 40. Horário de trabalho (início/término): 8h às 17h.")</f>
        <v>Executar trabalhos gerais no local de trabalho. Preparar o terreno para a concretagem, instalar tubulações de serviços públicos, compactar manualmente materiais de cascalho em valas, verificar o nivelamento com GPS ou laser, usar pá e operar equipamentos controlados remotamente. Separar a carga antes do carregamento e descarregamento. Manter e limpar as áreas de trabalho para garantir um ambiente de trabalho seguro. Os trabalhadores também realizarão tarefas de fim de temporada, como limpeza de detritos dos locais de trabalho, remoção de gelo/neve e limpeza, lubrificação e manutenção de equipamentos para armazenamento. Os trabalhadores prepararão o terreno para a concretagem, medindo, marcando, nivelando e terraplanando as áreas de trabalho. As tarefas específicas incluem espalhar, rastelar e nivelar solo, cascalho, areia e agregados; remover o excesso de material; compactar as superfícies do subleito; e verificar as elevações para garantir a inclinação e o nivelamento adequados antes da concretagem. Ao desempenhar essas funções, os trabalhadores usarão pás, ancinhos, barras de nivelamento, picaretas, compactadores manuais, compactadores de placa, níveis a laser, dispositivos de controle de nivelamento por GPS, trenas, linhas de prumo e tinta de marcação, e trabalharão com materiais como solo, cascalho, areia, base agregada e formas de concreto. Os trabalhadores auxiliarão na instalação de tubulações subterrâneas de serviços públicos, colocando material de assentamento em valas, posicionando e alinhando seções de tubos, instalando conexões e acoplamentos, aterrando valas e compactando o material de enchimento ao redor dos tubos instalados. Os trabalhadores também colocarão, espalharão e compactarão cascalho, areia e solo em valas e ao redor das instalações de serviços públicos. Ao desempenhar essas funções, os trabalhadores usarão pás, ancinhos, compactadores manuais, compactadores de placa, lasers para tubos, trenas, níveis, cintas para tubos, compactadores de solo e ferramentas manuais usadas para conectar e fixar seções de tubos, e trabalharão com materiais como tubos de PVC, PEAD, concreto e metal; conexões e acoplamentos; cascalho, areia, materiais de assentamento e materiais de enchimento. Os trabalhadores podem operar rolos compactadores de vala e placas vibratórias controlados remotamente. Usando unidades de controle remoto, os trabalhadores manobrarão o equipamento para compactar solo, cascalho e materiais de aterro em valas, ao redor de linhas de serviços públicos e em áreas de trabalho confinadas ou perigosas. As funções específicas incluem ligar e desligar o equipamento, controlar o movimento e os padrões de compactação, monitorar o desempenho do equipamento e garantir a compactação adequada dos materiais de acordo com as especificações do projeto. Os trabalhadores auxiliarão na instalação de tubulações subterrâneas de água potável, esgoto sanitário e drenagem pluvial. Classificação da função: 47-2151.00 - Instaladores de tubulações. A classificação e a descrição da função/setor incluem informações gerais sobre o cargo, de acordo com o ONET/OES e o Sistema de Classificação Industrial da América do Norte. Consulte as Funções e a Ordem de Serviço para obter mais informações. Requisitos da vaga: Experiência necessária: Sim. Meses de experiência necessários: 6. Requisitos especiais: Seis (6) meses de experiência em serviços gerais de construção. Deve ser capaz de levantar e carregar 23 kg (50 lbs) frequentemente. Deve passar em um teste toxicológico pós-acidente pago pelo empregador. Os trabalhadores serão submetidos a testes de drogas mediante suspeita razoável, pagos pelo empregador e aplicados igualmente a todos os trabalhadores, americanos e estrangeiros/H-2B. Após um acidente, o trabalhador deverá ser aprovado em um teste de drogas pós-acidente pago pelo empregador. Número de horas por semana: 40. Horário de trabalho (início/término): 8h às 17h.</v>
      </c>
    </row>
    <row r="1480" ht="20.25" customHeight="1">
      <c r="A1480" s="3" t="s">
        <v>6579</v>
      </c>
      <c r="B1480" s="3" t="s">
        <v>6580</v>
      </c>
      <c r="C1480" s="3" t="s">
        <v>6228</v>
      </c>
      <c r="D1480" s="3" t="s">
        <v>117</v>
      </c>
      <c r="E1480" s="4" t="s">
        <v>19</v>
      </c>
      <c r="F1480" s="4" t="s">
        <v>20</v>
      </c>
      <c r="G1480" s="4" t="s">
        <v>146</v>
      </c>
      <c r="H1480" s="3" t="s">
        <v>6581</v>
      </c>
      <c r="I1480" s="3" t="s">
        <v>6582</v>
      </c>
      <c r="J1480" s="4">
        <v>23.38</v>
      </c>
      <c r="K1480" s="4">
        <v>6.0</v>
      </c>
      <c r="L1480" s="3" t="s">
        <v>6583</v>
      </c>
      <c r="M1480" s="3" t="s">
        <v>6584</v>
      </c>
      <c r="N1480" s="7" t="str">
        <f>IFERROR(__xludf.DUMMYFUNCTION("GOOGLETRANSLATE(L1480, ""en"", ""pt"")"),"Trabalhador de paisagismo de inverno")</f>
        <v>Trabalhador de paisagismo de inverno</v>
      </c>
      <c r="O1480" s="7" t="str">
        <f>IFERROR(__xludf.DUMMYFUNCTION("IF(M1480="""","""",GOOGLETRANSLATE(M1480,""en"",""pt""))"),"Os trabalhadores realizarão tarefas de manutenção de gramados e instalação de paisagismo comercial, como o plantio de árvores, arbustos e plantas perenes. Também instalarão cobertura morta, pedras de rio, manta geotêxtil, bordas para paisagismo (bordas de"&amp;" plástico preto, bordas de aço, bordas arredondadas, etc.). Utilizarão ferramentas manuais como ancinhos, pás, carrinhos de mão e picaretas. Instalarão grama em placas, preparando o solo e assentando grama em placas ou sementes por hidrossemeadura. Auxili"&amp;"arão na instalação de mantas de controle de erosão, muros de contenção e pavimentação de concreto. Operarão equipamentos motorizados como cortadores de grama, roçadeiras, serras para corte de materiais de paisagismo e minicarregadeiras e tratores para pla"&amp;"ntar árvores, instalar muros de contenção e preparar áreas para a instalação de pedras/cobertura morta. Realizarão também tarefas de preparação para o inverno, como a poda de plantas perenes e outras plantas, a fim de preparar adequadamente o gramado ou o"&amp;" paisagismo para o clima de inverno e o novo crescimento na primavera. Farão a manutenção de sistemas de irrigação, incluindo a preparação dos sistemas para o inverno antes que as temperaturas caiam abaixo de zero, para evitar danos. Classificação da Funç"&amp;"ão: 47-4091.00 - Pavimentadora Segmentada. A classificação e descrição da função/setor inclui informações gerais sobre o cargo, de acordo com o ONET/OES e o Sistema de Classificação Industrial da América do Norte (NAICS). Consulte as Funções e a Ordem de "&amp;"Serviço para obter mais informações. Requisitos da Função: Experiência Necessária: Sim. Meses de Experiência Necessários: 3. Requisitos Especiais: Deve ser capaz de levantar 23 kg (50 lbs) frequentemente durante o expediente. Os funcionários podem trabalh"&amp;"ar ocasionalmente aos sábados. Número de Horas por Semana: 40. Horário de Trabalho (Início/Término): 7h00 - 17h00.")</f>
        <v>Os trabalhadores realizarão tarefas de manutenção de gramados e instalação de paisagismo comercial, como o plantio de árvores, arbustos e plantas perenes. Também instalarão cobertura morta, pedras de rio, manta geotêxtil, bordas para paisagismo (bordas de plástico preto, bordas de aço, bordas arredondadas, etc.). Utilizarão ferramentas manuais como ancinhos, pás, carrinhos de mão e picaretas. Instalarão grama em placas, preparando o solo e assentando grama em placas ou sementes por hidrossemeadura. Auxiliarão na instalação de mantas de controle de erosão, muros de contenção e pavimentação de concreto. Operarão equipamentos motorizados como cortadores de grama, roçadeiras, serras para corte de materiais de paisagismo e minicarregadeiras e tratores para plantar árvores, instalar muros de contenção e preparar áreas para a instalação de pedras/cobertura morta. Realizarão também tarefas de preparação para o inverno, como a poda de plantas perenes e outras plantas, a fim de preparar adequadamente o gramado ou o paisagismo para o clima de inverno e o novo crescimento na primavera. Farão a manutenção de sistemas de irrigação, incluindo a preparação dos sistemas para o inverno antes que as temperaturas caiam abaixo de zero, para evitar danos. Classificação da Função: 47-4091.00 - Pavimentadora Segmentada. A classificação e descrição da função/setor inclui informações gerais sobre o cargo, de acordo com o ONET/OES e o Sistema de Classificação Industrial da América do Norte (NAICS). Consulte as Funções e a Ordem de Serviço para obter mais informações. Requisitos da Função: Experiência Necessária: Sim. Meses de Experiência Necessários: 3. Requisitos Especiais: Deve ser capaz de levantar 23 kg (50 lbs) frequentemente durante o expediente. Os funcionários podem trabalhar ocasionalmente aos sábados. Número de Horas por Semana: 40. Horário de Trabalho (Início/Término): 7h00 - 17h00.</v>
      </c>
    </row>
    <row r="1481" ht="20.25" customHeight="1">
      <c r="A1481" s="8" t="s">
        <v>6585</v>
      </c>
      <c r="B1481" s="8" t="s">
        <v>6580</v>
      </c>
      <c r="C1481" s="8" t="s">
        <v>6228</v>
      </c>
      <c r="D1481" s="8" t="s">
        <v>117</v>
      </c>
      <c r="E1481" s="9" t="s">
        <v>19</v>
      </c>
      <c r="F1481" s="9" t="s">
        <v>20</v>
      </c>
      <c r="G1481" s="9" t="s">
        <v>146</v>
      </c>
      <c r="H1481" s="8" t="s">
        <v>6581</v>
      </c>
      <c r="I1481" s="8" t="s">
        <v>6582</v>
      </c>
      <c r="J1481" s="9">
        <v>19.33</v>
      </c>
      <c r="K1481" s="9">
        <v>6.0</v>
      </c>
      <c r="L1481" s="8" t="s">
        <v>6586</v>
      </c>
      <c r="M1481" s="8" t="s">
        <v>6587</v>
      </c>
      <c r="N1481" s="7" t="str">
        <f>IFERROR(__xludf.DUMMYFUNCTION("GOOGLETRANSLATE(L1481, ""en"", ""pt"")"),"Técnico de manutenção e corte de grama no inverno")</f>
        <v>Técnico de manutenção e corte de grama no inverno</v>
      </c>
      <c r="O1481" s="7" t="str">
        <f>IFERROR(__xludf.DUMMYFUNCTION("IF(M1481="""","""",GOOGLETRANSLATE(M1481,""en"",""pt""))"),"Os trabalhadores auxiliarão na limpeza do jardim, remoção de folhas, aplicação ou substituição de cobertura morta e coleta de folhas. Realizarão diversas tarefas de preparação para o inverno e atividades outonais, como plantio de árvores/arbustos/plantas "&amp;"anuais de inverno, poda de inverno de árvores/arbustos, escavação, rastelagem, remoção de folhas, aeração e semeadura de gramados. Também realizarão serviços de paisagismo e/ou manutenção do terreno da propriedade utilizando ferramentas manuais ou elétric"&amp;"as, incluindo, entre outras, aparadores de borda, cortadores de grama de raio zero, aeradores, pulverizadores, sopradores, semeadores, ancinhos, pás, tesouras de poda e tesouras de cerca viva. Os trabalhadores geralmente executam uma variedade de tarefas,"&amp;" que podem incluir qualquer combinação das seguintes: coleta e remoção de lixo, colocação de grama em placas, corte de grama, poda, plantio, aeração, semeadura, irrigação, escavação, rastelagem e instalação de aspersores. Auxiliarão na limpeza do jardim, "&amp;"remoção de neve, aplicação ou substituição de cobertura morta e coleta de folhas. Os trabalhadores também usarão ferramentas manuais para instalar e remover plantas. Classificação da função: 37-3011.00 - Trabalhadores de Paisagismo e Manutenção de Jardins"&amp;". A classificação e descrição da função/setor inclui informações gerais sobre o cargo, de acordo com o ONET/OES e o Sistema de Classificação Industrial da América do Norte. Consulte as Funções e a Ordem de Serviço para obter mais informações. Requisitos d"&amp;"a vaga: Experiência necessária: Sim. Meses de experiência necessários: 3. Requisitos especiais: Deve ser capaz de levantar 23 kg (50 lbs) frequentemente durante o expediente. Número de horas por semana: 40. Horário de trabalho (início/término): 7h às 17h.")</f>
        <v>Os trabalhadores auxiliarão na limpeza do jardim, remoção de folhas, aplicação ou substituição de cobertura morta e coleta de folhas. Realizarão diversas tarefas de preparação para o inverno e atividades outonais, como plantio de árvores/arbustos/plantas anuais de inverno, poda de inverno de árvores/arbustos, escavação, rastelagem, remoção de folhas, aeração e semeadura de gramados. Também realizarão serviços de paisagismo e/ou manutenção do terreno da propriedade utilizando ferramentas manuais ou elétricas, incluindo, entre outras, aparadores de borda, cortadores de grama de raio zero, aeradores, pulverizadores, sopradores, semeadores, ancinhos, pás, tesouras de poda e tesouras de cerca viva. Os trabalhadores geralmente executam uma variedade de tarefas, que podem incluir qualquer combinação das seguintes: coleta e remoção de lixo, colocação de grama em placas, corte de grama, poda, plantio, aeração, semeadura, irrigação, escavação, rastelagem e instalação de aspersores. Auxiliarão na limpeza do jardim, remoção de neve, aplicação ou substituição de cobertura morta e coleta de folhas. Os trabalhadores também usarão ferramentas manuais para instalar e remover plantas. Classificação da função: 37-3011.00 - Trabalhadores de Paisagismo e Manutenção de Jardins. A classificação e descrição da função/setor inclui informações gerais sobre o cargo, de acordo com o ONET/OES e o Sistema de Classificação Industrial da América do Norte. Consulte as Funções e a Ordem de Serviço para obter mais informações. Requisitos da vaga: Experiência necessária: Sim. Meses de experiência necessários: 3. Requisitos especiais: Deve ser capaz de levantar 23 kg (50 lbs) frequentemente durante o expediente. Número de horas por semana: 40. Horário de trabalho (início/término): 7h às 17h.</v>
      </c>
    </row>
    <row r="1482" ht="20.25" customHeight="1">
      <c r="A1482" s="3" t="s">
        <v>6588</v>
      </c>
      <c r="B1482" s="3" t="s">
        <v>6589</v>
      </c>
      <c r="C1482" s="3" t="s">
        <v>6228</v>
      </c>
      <c r="D1482" s="3" t="s">
        <v>271</v>
      </c>
      <c r="E1482" s="4" t="s">
        <v>19</v>
      </c>
      <c r="F1482" s="4" t="s">
        <v>20</v>
      </c>
      <c r="G1482" s="4" t="s">
        <v>377</v>
      </c>
      <c r="H1482" s="3" t="s">
        <v>6590</v>
      </c>
      <c r="I1482" s="3" t="s">
        <v>6591</v>
      </c>
      <c r="J1482" s="4">
        <v>19.56</v>
      </c>
      <c r="K1482" s="4">
        <v>9.0</v>
      </c>
      <c r="L1482" s="3" t="s">
        <v>387</v>
      </c>
      <c r="M1482" s="3" t="s">
        <v>6592</v>
      </c>
      <c r="N1482" s="7" t="str">
        <f>IFERROR(__xludf.DUMMYFUNCTION("GOOGLETRANSLATE(L1482, ""en"", ""pt"")"),"Ordem de serviço não disponível")</f>
        <v>Ordem de serviço não disponível</v>
      </c>
      <c r="O1482" s="7" t="str">
        <f>IFERROR(__xludf.DUMMYFUNCTION("IF(M1482="""","""",GOOGLETRANSLATE(M1482,""en"",""pt""))"),"Os cozinheiros produzirão alimentos de alta qualidade de acordo com as receitas e cardápios, ou executarão tarefas especiais designadas, de maneira organizada e dentro do prazo. Os cozinheiros prepararão, temperarão e cozinharão sopas, carnes, legumes, so"&amp;"bremesas e outros itens alimentícios em um restaurante. Os cozinheiros garantirão um alto nível de higiene e segurança em todos os momentos. Classificação do Cargo: 35-2014.00 - Cozinheiros, Restaurante. A classificação e descrição do cargo/setor incluem "&amp;"informações gerais sobre a posição, de acordo com o ONET/OES e o Sistema de Classificação Industrial da América do Norte. Consulte as Funções e a Ordem de Serviço para obter mais informações. Requisitos do Cargo Experiência Necessária: Não. Requisitos Esp"&amp;"eciais: Não há exigência mínima de escolaridade ou treinamento. Deve ser capaz de levantar, empurrar e puxar 23 kg. Deve ter disponibilidade para trabalhar pelo menos 5 dias por semana. Deve ter disponibilidade para trabalhar nos fins de semana e feriados"&amp;", conforme necessário. Deve obter a Certificação ServSafe de Manipuladores de Alimentos. Cada candidato (tanto trabalhadores americanos quanto com visto H-2B) deve preencher o formulário de emprego online padrão do empregador como parte do processo de con"&amp;"tratação. A aplicação do formulário é obrigatória para todos os candidatos e não impõe requisitos adicionais ou diferentes aos trabalhadores americanos. Os trabalhadores estarão sujeitos a testes de drogas mediante suspeita razoável, pagos pelo empregador"&amp;" e aplicados igualmente a todos os trabalhadores, americanos e estrangeiros/H-2B. Os trabalhadores estão sujeitos a verificações de antecedentes criminais, pagas pelo empregador e aplicadas igualmente a todos os trabalhadores, americanos e estrangeiros/H-"&amp;"2B. De domingo a sábado, em turnos rotativos e variáveis ​​de 8 horas, das 5h às 1h. Os dias de trabalho e os horários dos turnos podem variar de acordo com a ocupação e os eventos. Número de horas por semana: 35. Horário de trabalho (início/término): 5h "&amp;"- 1h.")</f>
        <v>Os cozinheiros produzirão alimentos de alta qualidade de acordo com as receitas e cardápios, ou executarão tarefas especiais designadas, de maneira organizada e dentro do prazo. Os cozinheiros prepararão, temperarão e cozinharão sopas, carnes, legumes, sobremesas e outros itens alimentícios em um restaurante. Os cozinheiros garantirão um alto nível de higiene e segurança em todos os momentos. Classificação do Cargo: 35-2014.00 - Cozinheiros, Restaurante. A classificação e descrição do cargo/setor incluem informações gerais sobre a posição, de acordo com o ONET/OES e o Sistema de Classificação Industrial da América do Norte. Consulte as Funções e a Ordem de Serviço para obter mais informações. Requisitos do Cargo Experiência Necessária: Não. Requisitos Especiais: Não há exigência mínima de escolaridade ou treinamento. Deve ser capaz de levantar, empurrar e puxar 23 kg. Deve ter disponibilidade para trabalhar pelo menos 5 dias por semana. Deve ter disponibilidade para trabalhar nos fins de semana e feriados, conforme necessário. Deve obter a Certificação ServSafe de Manipuladores de Alimentos. Cada candidato (tanto trabalhadores americanos quanto com visto H-2B) deve preencher o formulário de emprego online padrão do empregador como parte do processo de contratação. A aplicação do formulário é obrigatória para todos os candidatos e não impõe requisitos adicionais ou diferentes aos trabalhadores americanos. Os trabalhadores estarão sujeitos a testes de drogas mediante suspeita razoável, pagos pelo empregador e aplicados igualmente a todos os trabalhadores, americanos e estrangeiros/H-2B. Os trabalhadores estão sujeitos a verificações de antecedentes criminais, pagas pelo empregador e aplicadas igualmente a todos os trabalhadores, americanos e estrangeiros/H-2B. De domingo a sábado, em turnos rotativos e variáveis ​​de 8 horas, das 5h às 1h. Os dias de trabalho e os horários dos turnos podem variar de acordo com a ocupação e os eventos. Número de horas por semana: 35. Horário de trabalho (início/término): 5h - 1h.</v>
      </c>
    </row>
    <row r="1483" ht="20.25" customHeight="1">
      <c r="A1483" s="8" t="s">
        <v>6593</v>
      </c>
      <c r="B1483" s="8" t="s">
        <v>6589</v>
      </c>
      <c r="C1483" s="8" t="s">
        <v>6228</v>
      </c>
      <c r="D1483" s="8" t="s">
        <v>271</v>
      </c>
      <c r="E1483" s="9" t="s">
        <v>44</v>
      </c>
      <c r="F1483" s="9" t="s">
        <v>20</v>
      </c>
      <c r="G1483" s="9" t="s">
        <v>377</v>
      </c>
      <c r="H1483" s="8" t="s">
        <v>6590</v>
      </c>
      <c r="I1483" s="8" t="s">
        <v>6591</v>
      </c>
      <c r="J1483" s="9">
        <v>19.21</v>
      </c>
      <c r="K1483" s="9">
        <v>16.0</v>
      </c>
      <c r="L1483" s="8" t="s">
        <v>354</v>
      </c>
      <c r="M1483" s="8" t="s">
        <v>6594</v>
      </c>
      <c r="N1483" s="7" t="str">
        <f>IFERROR(__xludf.DUMMYFUNCTION("GOOGLETRANSLATE(L1483, ""en"", ""pt"")"),"Governanta")</f>
        <v>Governanta</v>
      </c>
      <c r="O1483" s="7" t="str">
        <f>IFERROR(__xludf.DUMMYFUNCTION("IF(M1483="""","""",GOOGLETRANSLATE(M1483,""en"",""pt""))"),"Os funcionários da limpeza manterão o hotel/resort/villa limpo e organizado. Suas responsabilidades incluem a limpeza de quartos, salas de conferência, corredores, áreas públicas, banheiros e janelas, além da limpeza e polimento de espelhos. Deverão remov"&amp;"er, separar, dobrar, transportar e repor roupas de cama e banho; arrumar camas, repor suprimentos, organizar móveis, quadros e comodidades dos quartos e salas de reunião de acordo com os padrões do resort. Também deverão tirar o pó, passar pano, aspirar, "&amp;"lavar carpetes e descartar o lixo. Deverão seguir os procedimentos de limpeza e higienização seguros exigidos. Classificação da Função: 37-2011.00 - Zeladores e Faxineiros, exceto Camareiras e Auxiliares de Limpeza. A classificação e descrição da função/s"&amp;"etor inclui informações gerais sobre o cargo, conforme o ONET/OES e o Sistema de Classificação Industrial da América do Norte. Consulte as Funções e a Ordem de Serviço para obter mais informações. Requisitos da Função: Experiência Necessária: Não. Requisi"&amp;"tos Especiais: Não há exigência mínima de escolaridade ou treinamento. O candidato deve ser capaz de levantar, empurrar e puxar até 23 kg. É necessário ter disponibilidade para trabalhar no mínimo 5 dias por semana. É necessário ter disponibilidade para t"&amp;"rabalhar nos fins de semana e feriados, conforme necessário. Todos os candidatos (tanto americanos quanto estrangeiros/com visto H-2B) devem preencher o formulário de emprego online padrão do empregador como parte do processo de contratação. O preenchimen"&amp;"to do formulário é obrigatório para todos os candidatos e não impõe requisitos adicionais ou diferentes aos trabalhadores americanos. Os trabalhadores estarão sujeitos a testes de drogas mediante suspeita razoável, pagos pelo empregador e aplicados igualm"&amp;"ente a todos os trabalhadores, americanos e estrangeiros/com visto H-2B. Os trabalhadores estão sujeitos a verificação de antecedentes criminais, paga pelo empregador e aplicada igualmente a todos os trabalhadores, americanos e estrangeiros/com visto H-2B"&amp;". De domingo a sábado, em turnos rotativos e variáveis ​​de 8 horas, das 5h às 2h. Os dias de trabalho e os horários dos turnos podem variar de acordo com a ocupação e os eventos. Número de horas por semana: 35. Horário de trabalho (início/término): 5h às"&amp;" 2h.")</f>
        <v>Os funcionários da limpeza manterão o hotel/resort/villa limpo e organizado. Suas responsabilidades incluem a limpeza de quartos, salas de conferência, corredores, áreas públicas, banheiros e janelas, além da limpeza e polimento de espelhos. Deverão remover, separar, dobrar, transportar e repor roupas de cama e banho; arrumar camas, repor suprimentos, organizar móveis, quadros e comodidades dos quartos e salas de reunião de acordo com os padrões do resort. Também deverão tirar o pó, passar pano, aspirar, lavar carpetes e descartar o lixo. Deverão seguir os procedimentos de limpeza e higienização seguros exigidos. Classificação da Função: 37-2011.00 - Zeladores e Faxineiros, exceto Camareiras e Auxiliares de Limpeza. A classificação e descrição da função/setor inclui informações gerais sobre o cargo, conforme o ONET/OES e o Sistema de Classificação Industrial da América do Norte. Consulte as Funções e a Ordem de Serviço para obter mais informações. Requisitos da Função: Experiência Necessária: Não. Requisitos Especiais: Não há exigência mínima de escolaridade ou treinamento. O candidato deve ser capaz de levantar, empurrar e puxar até 23 kg. É necessário ter disponibilidade para trabalhar no mínimo 5 dias por semana. É necessário ter disponibilidade para trabalhar nos fins de semana e feriados, conforme necessário. Todos os candidatos (tanto americanos quanto estrangeiros/com visto H-2B) devem preencher o formulário de emprego online padrão do empregador como parte do processo de contratação. O preenchimento do formulário é obrigatório para todos os candidatos e não impõe requisitos adicionais ou diferentes aos trabalhadores americanos. Os trabalhadores estarão sujeitos a testes de drogas mediante suspeita razoável, pagos pelo empregador e aplicados igualmente a todos os trabalhadores, americanos e estrangeiros/com visto H-2B. Os trabalhadores estão sujeitos a verificação de antecedentes criminais, paga pelo empregador e aplicada igualmente a todos os trabalhadores, americanos e estrangeiros/com visto H-2B. De domingo a sábado, em turnos rotativos e variáveis ​​de 8 horas, das 5h às 2h. Os dias de trabalho e os horários dos turnos podem variar de acordo com a ocupação e os eventos. Número de horas por semana: 35. Horário de trabalho (início/término): 5h às 2h.</v>
      </c>
    </row>
    <row r="1484" ht="20.25" customHeight="1">
      <c r="A1484" s="3" t="s">
        <v>6595</v>
      </c>
      <c r="B1484" s="3" t="s">
        <v>6596</v>
      </c>
      <c r="C1484" s="3" t="s">
        <v>6282</v>
      </c>
      <c r="D1484" s="3" t="s">
        <v>154</v>
      </c>
      <c r="E1484" s="4" t="s">
        <v>19</v>
      </c>
      <c r="F1484" s="4" t="s">
        <v>20</v>
      </c>
      <c r="G1484" s="4" t="s">
        <v>307</v>
      </c>
      <c r="H1484" s="3" t="s">
        <v>6597</v>
      </c>
      <c r="I1484" s="3" t="s">
        <v>6598</v>
      </c>
      <c r="J1484" s="4">
        <v>27.43</v>
      </c>
      <c r="K1484" s="4">
        <v>3.0</v>
      </c>
      <c r="L1484" s="3" t="s">
        <v>6599</v>
      </c>
      <c r="M1484" s="3" t="s">
        <v>6600</v>
      </c>
      <c r="N1484" s="7" t="str">
        <f>IFERROR(__xludf.DUMMYFUNCTION("GOOGLETRANSLATE(L1484, ""en"", ""pt"")"),"Motorista de CDL")</f>
        <v>Motorista de CDL</v>
      </c>
      <c r="O1484" s="7" t="str">
        <f>IFERROR(__xludf.DUMMYFUNCTION("IF(M1484="""","""",GOOGLETRANSLATE(M1484,""en"",""pt""))"),"***Resposta à Solicitação de Informações (RFI)*** Necessário possuir CNH categoria E (ou equivalente) válida para condução comercial de longa distância. Experiência de 2 anos é desejável. O motorista será responsável por garantir que as cargas sejam cober"&amp;"tas com lona, ​​amarradas e fixadas corretamente. O motorista deve ser profissional, atento à segurança e seguir as normas e leis do Departamento de Transportes. O motorista deve ser aprovado nos exames toxicológicos e de alcoolemia pré-admissionais. O mo"&amp;"torista deve possuir carteira de saúde válida. O motorista deve ser capaz de dirigir um caminhão com reboque com peso bruto total de 36 toneladas (80.000 lbs). ***Original F.a.2*** Fixação de cargas, cobertura com lona e condução de reboques plataforma. C"&amp;"lassificação da função: 53-3032.00 - Motoristas de caminhão pesado e caminhão-trator. A classificação e descrição da função/setor incluem informações gerais sobre o cargo, conforme ONET/OES e o Sistema de Classificação Industrial da América do Norte (NAIC"&amp;"S). Consulte as Funções e a Ordem de Serviço para obter mais informações. Requisitos da vaga Experiência necessária: Sim Meses de experiência necessários: 2 Requisitos especiais: Carteira de habilitação CDL (categoria D) Capacidade de levantar 23 kg Númer"&amp;"o de horas por semana: 40 Horário de trabalho (início/término): 7h às 18h")</f>
        <v>***Resposta à Solicitação de Informações (RFI)*** Necessário possuir CNH categoria E (ou equivalente) válida para condução comercial de longa distância. Experiência de 2 anos é desejável. O motorista será responsável por garantir que as cargas sejam cobertas com lona, ​​amarradas e fixadas corretamente. O motorista deve ser profissional, atento à segurança e seguir as normas e leis do Departamento de Transportes. O motorista deve ser aprovado nos exames toxicológicos e de alcoolemia pré-admissionais. O motorista deve possuir carteira de saúde válida. O motorista deve ser capaz de dirigir um caminhão com reboque com peso bruto total de 36 toneladas (80.000 lbs). ***Original F.a.2*** Fixação de cargas, cobertura com lona e condução de reboques plataforma. Classificação da função: 53-3032.00 - Motoristas de caminhão pesado e caminhão-trator. A classificação e descrição da função/setor incluem informações gerais sobre o cargo, conforme ONET/OES e o Sistema de Classificação Industrial da América do Norte (NAICS). Consulte as Funções e a Ordem de Serviço para obter mais informações. Requisitos da vaga Experiência necessária: Sim Meses de experiência necessários: 2 Requisitos especiais: Carteira de habilitação CDL (categoria D) Capacidade de levantar 23 kg Número de horas por semana: 40 Horário de trabalho (início/término): 7h às 18h</v>
      </c>
    </row>
    <row r="1485" ht="20.25" customHeight="1">
      <c r="A1485" s="8" t="s">
        <v>6601</v>
      </c>
      <c r="B1485" s="8" t="s">
        <v>6602</v>
      </c>
      <c r="C1485" s="8" t="s">
        <v>6282</v>
      </c>
      <c r="D1485" s="8" t="s">
        <v>154</v>
      </c>
      <c r="E1485" s="9" t="s">
        <v>44</v>
      </c>
      <c r="F1485" s="9" t="s">
        <v>20</v>
      </c>
      <c r="G1485" s="9" t="s">
        <v>307</v>
      </c>
      <c r="H1485" s="8" t="s">
        <v>6603</v>
      </c>
      <c r="I1485" s="8" t="s">
        <v>6604</v>
      </c>
      <c r="J1485" s="9">
        <v>22.66</v>
      </c>
      <c r="K1485" s="9">
        <v>16.0</v>
      </c>
      <c r="L1485" s="8" t="s">
        <v>6605</v>
      </c>
      <c r="M1485" s="8" t="s">
        <v>6606</v>
      </c>
      <c r="N1485" s="7" t="str">
        <f>IFERROR(__xludf.DUMMYFUNCTION("GOOGLETRANSLATE(L1485, ""en"", ""pt"")"),"Operário/acabador de concreto")</f>
        <v>Operário/acabador de concreto</v>
      </c>
      <c r="O1485" s="7" t="str">
        <f>IFERROR(__xludf.DUMMYFUNCTION("IF(M1485="""","""",GOOGLETRANSLATE(M1485,""en"",""pt""))"),"Limpeza e preparação de canteiros de obras, carga e descarga de materiais, concretagem e acabamento de concreto, construção de formas e auxílio a profissionais qualificados em suas funções. Necessário trabalhar ao ar livre por 8 horas diárias. Classificaç"&amp;"ão da função: 47-2051.00 - Pedreiros e Acabadores de Concreto. A classificação e descrição da função/setor incluem informações gerais sobre o cargo, conforme ONET/OES e o Sistema de Classificação Industrial da América do Norte (NAICS). Consulte as Funções"&amp;" e a Ordem de Serviço para obter mais informações. Requisitos da vaga: Experiência necessária: Sim. Meses de experiência necessários: 1. Requisitos especiais: Capacidade de levantar 23 kg. Número de horas por semana: 40. Horário de trabalho (início/términ"&amp;"o): 7h às 16h.")</f>
        <v>Limpeza e preparação de canteiros de obras, carga e descarga de materiais, concretagem e acabamento de concreto, construção de formas e auxílio a profissionais qualificados em suas funções. Necessário trabalhar ao ar livre por 8 horas diárias. Classificação da função: 47-2051.00 - Pedreiros e Acabadores de Concreto. A classificação e descrição da função/setor incluem informações gerais sobre o cargo, conforme ONET/OES e o Sistema de Classificação Industrial da América do Norte (NAICS). Consulte as Funções e a Ordem de Serviço para obter mais informações. Requisitos da vaga: Experiência necessária: Sim. Meses de experiência necessários: 1. Requisitos especiais: Capacidade de levantar 23 kg. Número de horas por semana: 40. Horário de trabalho (início/término): 7h às 16h.</v>
      </c>
    </row>
    <row r="1486" ht="20.25" customHeight="1">
      <c r="A1486" s="3" t="s">
        <v>6607</v>
      </c>
      <c r="B1486" s="3" t="s">
        <v>6608</v>
      </c>
      <c r="C1486" s="3" t="s">
        <v>6282</v>
      </c>
      <c r="D1486" s="3" t="s">
        <v>64</v>
      </c>
      <c r="E1486" s="4" t="s">
        <v>19</v>
      </c>
      <c r="F1486" s="4" t="s">
        <v>20</v>
      </c>
      <c r="G1486" s="4" t="s">
        <v>307</v>
      </c>
      <c r="H1486" s="3" t="s">
        <v>6609</v>
      </c>
      <c r="I1486" s="3" t="s">
        <v>6610</v>
      </c>
      <c r="J1486" s="4">
        <v>22.95</v>
      </c>
      <c r="K1486" s="4">
        <v>6.0</v>
      </c>
      <c r="L1486" s="3" t="s">
        <v>262</v>
      </c>
      <c r="M1486" s="3" t="s">
        <v>6611</v>
      </c>
      <c r="N1486" s="7" t="str">
        <f>IFERROR(__xludf.DUMMYFUNCTION("GOOGLETRANSLATE(L1486, ""en"", ""pt"")"),"Operário da construção civil")</f>
        <v>Operário da construção civil</v>
      </c>
      <c r="O1486" s="7" t="str">
        <f>IFERROR(__xludf.DUMMYFUNCTION("IF(M1486="""","""",GOOGLETRANSLATE(M1486,""en"",""pt""))"),"Organizar as áreas de trabalho, descarregar materiais, preparar os locais de trabalho para que os profissionais qualificados realizem serviços especializados (ou seja, organizar ferramentas, estender lonas, montar escadas), entregar ferramentas ao supervi"&amp;"sor, limpar detritos e áreas de trabalho, despejar e dar acabamento ao concreto. Classificação da função: 47-2051.00 - Pedreiros e Acabadores de Concreto. A classificação e descrição da função/setor incluem informações gerais sobre o cargo, de acordo com "&amp;"o ONET/OES e o Sistema de Classificação Industrial da América do Norte. Consulte as Funções e a Ordem de Serviço para obter mais informações. Requisitos da vaga: Experiência necessária: Sim. Meses de experiência necessários: 1. Requisitos especiais: Deve "&amp;"ser capaz de levantar 23 kg. Número de horas por semana: 40. Horário de trabalho (início/término): 9h às 17h.")</f>
        <v>Organizar as áreas de trabalho, descarregar materiais, preparar os locais de trabalho para que os profissionais qualificados realizem serviços especializados (ou seja, organizar ferramentas, estender lonas, montar escadas), entregar ferramentas ao supervisor, limpar detritos e áreas de trabalho, despejar e dar acabamento ao concreto. Classificação da função: 47-2051.00 - Pedreiros e Acabadores de Concreto. A classificação e descrição da função/setor incluem informações gerais sobre o cargo, de acordo com o ONET/OES e o Sistema de Classificação Industrial da América do Norte. Consulte as Funções e a Ordem de Serviço para obter mais informações. Requisitos da vaga: Experiência necessária: Sim. Meses de experiência necessários: 1. Requisitos especiais: Deve ser capaz de levantar 23 kg. Número de horas por semana: 40. Horário de trabalho (início/término): 9h às 17h.</v>
      </c>
    </row>
    <row r="1487" ht="20.25" customHeight="1">
      <c r="A1487" s="8" t="s">
        <v>6612</v>
      </c>
      <c r="B1487" s="8" t="s">
        <v>6613</v>
      </c>
      <c r="C1487" s="8" t="s">
        <v>6247</v>
      </c>
      <c r="D1487" s="8" t="s">
        <v>109</v>
      </c>
      <c r="E1487" s="9" t="s">
        <v>19</v>
      </c>
      <c r="F1487" s="9" t="s">
        <v>20</v>
      </c>
      <c r="G1487" s="9" t="s">
        <v>80</v>
      </c>
      <c r="H1487" s="8" t="s">
        <v>6614</v>
      </c>
      <c r="I1487" s="8" t="s">
        <v>6615</v>
      </c>
      <c r="J1487" s="9">
        <v>17.14</v>
      </c>
      <c r="K1487" s="9">
        <v>3.0</v>
      </c>
      <c r="L1487" s="8" t="s">
        <v>6250</v>
      </c>
      <c r="M1487" s="8" t="s">
        <v>6527</v>
      </c>
      <c r="N1487" s="7" t="str">
        <f>IFERROR(__xludf.DUMMYFUNCTION("GOOGLETRANSLATE(L1487, ""en"", ""pt"")"),"tratador de cavalos de corrida puro-sangue")</f>
        <v>tratador de cavalos de corrida puro-sangue</v>
      </c>
      <c r="O1487" s="7" t="str">
        <f>IFERROR(__xludf.DUMMYFUNCTION("IF(M1487="""","""",GOOGLETRANSLATE(M1487,""en"",""pt""))"),"Responsável pelos cuidados gerais de cavalos de corrida puro-sangue, incluindo alimentação, fornecimento de água, manutenção de baias e estábulos, limpeza, escovação, exercícios, casqueamento, desinfecção de baias e camas, administração de medicamentos co"&amp;"nforme prescrição e inspeção da condição física dos cavalos. Levantará as patas e limpará os cascos dos cavalos, aplicando linimentos e bandagens conforme necessário. Cuidará de 1 a 5 cavalos por vez. Turno dividido: das 5h às 11h e das 15h às 17h. Folgas"&amp;" rotativas. Classificação da vaga: 39-2021.00 - Cuidadores de Animais. A classificação e descrição da vaga/setor incluem informações gerais sobre o cargo, de acordo com o ONET/OES e o Sistema de Classificação Industrial da América do Norte. Consulte as Fu"&amp;"nções e a Ordem de Serviço para obter mais informações. Requisitos da vaga: Experiência necessária: Sim. Meses de experiência necessários: 1. Requisitos especiais: Deve ser capaz de levantar 23 kg. Número de horas por semana: 56. Horário de trabalho (iníc"&amp;"io/término): 5h. - 17h00")</f>
        <v>Responsável pelos cuidados gerais de cavalos de corrida puro-sangue, incluindo alimentação, fornecimento de água, manutenção de baias e estábulos, limpeza, escovação, exercícios, casqueamento, desinfecção de baias e camas, administração de medicamentos conforme prescrição e inspeção da condição física dos cavalos. Levantará as patas e limpará os cascos dos cavalos, aplicando linimentos e bandagens conforme necessário. Cuidará de 1 a 5 cavalos por vez. Turno dividido: das 5h às 11h e das 15h às 17h. Folgas rotativas. Classificação da vaga: 39-2021.00 - Cuidadores de Animais. A classificação e descrição da vaga/setor incluem informações gerais sobre o cargo, de acordo com o ONET/OES e o Sistema de Classificação Industrial da América do Norte. Consulte as Funções e a Ordem de Serviço para obter mais informações. Requisitos da vaga: Experiência necessária: Sim. Meses de experiência necessários: 1. Requisitos especiais: Deve ser capaz de levantar 23 kg. Número de horas por semana: 56. Horário de trabalho (início/término): 5h. - 17h00</v>
      </c>
    </row>
    <row r="1488" ht="20.25" customHeight="1">
      <c r="A1488" s="3" t="s">
        <v>6616</v>
      </c>
      <c r="B1488" s="3" t="s">
        <v>6617</v>
      </c>
      <c r="C1488" s="3" t="s">
        <v>6247</v>
      </c>
      <c r="D1488" s="3" t="s">
        <v>71</v>
      </c>
      <c r="E1488" s="4" t="s">
        <v>44</v>
      </c>
      <c r="F1488" s="4" t="s">
        <v>20</v>
      </c>
      <c r="G1488" s="4" t="s">
        <v>80</v>
      </c>
      <c r="H1488" s="3" t="s">
        <v>6618</v>
      </c>
      <c r="I1488" s="3" t="s">
        <v>6619</v>
      </c>
      <c r="J1488" s="4">
        <v>16.07</v>
      </c>
      <c r="K1488" s="4">
        <v>10.0</v>
      </c>
      <c r="L1488" s="3" t="s">
        <v>6359</v>
      </c>
      <c r="M1488" s="3" t="s">
        <v>6508</v>
      </c>
      <c r="N1488" s="7" t="str">
        <f>IFERROR(__xludf.DUMMYFUNCTION("GOOGLETRANSLATE(L1488, ""en"", ""pt"")"),"tratador de cavalos puro-sangue")</f>
        <v>tratador de cavalos puro-sangue</v>
      </c>
      <c r="O1488" s="7" t="str">
        <f>IFERROR(__xludf.DUMMYFUNCTION("IF(M1488="""","""",GOOGLETRANSLATE(M1488,""en"",""pt""))"),"Responsável pelos cuidados gerais de cavalos de corrida puro-sangue, incluindo alimentação, fornecimento de água, manutenção de baias e estábulos, limpeza, escovação, exercícios, casqueamento, desinfecção de baias e camas, administração de medicamentos co"&amp;"nforme prescrição e inspeção da condição física dos cavalos. Levantará as patas e limpará os cascos dos cavalos, aplicando linimentos e bandagens conforme necessário. Cuidará de 1 a 5 cavalos por vez. Turno dividido: das 5h às 11h e das 15h às 17h. Folgas"&amp;" rotativas. Classificação da vaga: 39-2021.00 - Cuidadores de Animais. A classificação e descrição da vaga/setor incluem informações gerais sobre o cargo, de acordo com o ONET/OES e o Sistema de Classificação Industrial da América do Norte. Consulte as Fu"&amp;"nções e a Ordem de Serviço para obter mais informações. Requisitos da vaga: Experiência necessária: Sim. Meses de experiência necessários: 1. Requisitos especiais: Deve ser capaz de levantar 23 kg. Número de horas por semana: 56. Horário de trabalho (iníc"&amp;"io/término): 5h. - 17h00")</f>
        <v>Responsável pelos cuidados gerais de cavalos de corrida puro-sangue, incluindo alimentação, fornecimento de água, manutenção de baias e estábulos, limpeza, escovação, exercícios, casqueamento, desinfecção de baias e camas, administração de medicamentos conforme prescrição e inspeção da condição física dos cavalos. Levantará as patas e limpará os cascos dos cavalos, aplicando linimentos e bandagens conforme necessário. Cuidará de 1 a 5 cavalos por vez. Turno dividido: das 5h às 11h e das 15h às 17h. Folgas rotativas. Classificação da vaga: 39-2021.00 - Cuidadores de Animais. A classificação e descrição da vaga/setor incluem informações gerais sobre o cargo, de acordo com o ONET/OES e o Sistema de Classificação Industrial da América do Norte. Consulte as Funções e a Ordem de Serviço para obter mais informações. Requisitos da vaga: Experiência necessária: Sim. Meses de experiência necessários: 1. Requisitos especiais: Deve ser capaz de levantar 23 kg. Número de horas por semana: 56. Horário de trabalho (início/término): 5h. - 17h00</v>
      </c>
    </row>
    <row r="1489" ht="20.25" customHeight="1">
      <c r="A1489" s="8" t="s">
        <v>6620</v>
      </c>
      <c r="B1489" s="8" t="s">
        <v>6621</v>
      </c>
      <c r="C1489" s="8" t="s">
        <v>6247</v>
      </c>
      <c r="D1489" s="8" t="s">
        <v>71</v>
      </c>
      <c r="E1489" s="9" t="s">
        <v>44</v>
      </c>
      <c r="F1489" s="9" t="s">
        <v>20</v>
      </c>
      <c r="G1489" s="9" t="s">
        <v>80</v>
      </c>
      <c r="H1489" s="8" t="s">
        <v>6622</v>
      </c>
      <c r="I1489" s="8" t="s">
        <v>6623</v>
      </c>
      <c r="J1489" s="9">
        <v>18.57</v>
      </c>
      <c r="K1489" s="9">
        <v>20.0</v>
      </c>
      <c r="L1489" s="8" t="s">
        <v>6359</v>
      </c>
      <c r="M1489" s="8" t="s">
        <v>6433</v>
      </c>
      <c r="N1489" s="7" t="str">
        <f>IFERROR(__xludf.DUMMYFUNCTION("GOOGLETRANSLATE(L1489, ""en"", ""pt"")"),"tratador de cavalos puro-sangue")</f>
        <v>tratador de cavalos puro-sangue</v>
      </c>
      <c r="O1489" s="7" t="str">
        <f>IFERROR(__xludf.DUMMYFUNCTION("IF(M1489="""","""",GOOGLETRANSLATE(M1489,""en"",""pt""))"),"Responsável pelos cuidados gerais de cavalos de corrida puro-sangue, incluindo alimentação, fornecimento de água, manutenção de baias e estábulos, limpeza, escovação, exercícios, casqueamento, desinfecção de baias e camas, administração de medicamentos co"&amp;"nforme prescrição e inspeção da condição física dos cavalos. Levantará as patas e limpará os cascos dos cavalos, aplicando linimentos e bandagens conforme necessário. Cuidará de 1 a 5 cavalos por vez. Turno dividido: das 5h às 11h e das 15h às 17h. Folgas"&amp;" rotativas. Classificação da vaga: 39-2021.00 - Cuidadores de Animais. A classificação e descrição da vaga/setor incluem informações gerais sobre o cargo, de acordo com o ONET/OES e o Sistema de Classificação Industrial da América do Norte. Consulte as Fu"&amp;"nções e a Ordem de Serviço para obter mais informações. Requisitos da vaga: Experiência necessária: Sim. Meses de experiência necessários: 1. Requisitos especiais: Deve ser capaz de levantar até 23 kg. Número de horas por semana: 56. Horário de trabalho ("&amp;"início/término): 5h. - 17h00")</f>
        <v>Responsável pelos cuidados gerais de cavalos de corrida puro-sangue, incluindo alimentação, fornecimento de água, manutenção de baias e estábulos, limpeza, escovação, exercícios, casqueamento, desinfecção de baias e camas, administração de medicamentos conforme prescrição e inspeção da condição física dos cavalos. Levantará as patas e limpará os cascos dos cavalos, aplicando linimentos e bandagens conforme necessário. Cuidará de 1 a 5 cavalos por vez. Turno dividido: das 5h às 11h e das 15h às 17h. Folgas rotativas. Classificação da vaga: 39-2021.00 - Cuidadores de Animais. A classificação e descrição da vaga/setor incluem informações gerais sobre o cargo, de acordo com o ONET/OES e o Sistema de Classificação Industrial da América do Norte. Consulte as Funções e a Ordem de Serviço para obter mais informações. Requisitos da vaga: Experiência necessária: Sim. Meses de experiência necessários: 1. Requisitos especiais: Deve ser capaz de levantar até 23 kg. Número de horas por semana: 56. Horário de trabalho (início/término): 5h. - 17h00</v>
      </c>
    </row>
    <row r="1490" ht="20.25" customHeight="1">
      <c r="A1490" s="3" t="s">
        <v>6624</v>
      </c>
      <c r="B1490" s="3" t="s">
        <v>6625</v>
      </c>
      <c r="C1490" s="3" t="s">
        <v>6247</v>
      </c>
      <c r="D1490" s="3" t="s">
        <v>71</v>
      </c>
      <c r="E1490" s="4" t="s">
        <v>19</v>
      </c>
      <c r="F1490" s="4" t="s">
        <v>20</v>
      </c>
      <c r="G1490" s="4" t="s">
        <v>80</v>
      </c>
      <c r="H1490" s="3" t="s">
        <v>6626</v>
      </c>
      <c r="I1490" s="3" t="s">
        <v>6627</v>
      </c>
      <c r="J1490" s="4">
        <v>18.57</v>
      </c>
      <c r="K1490" s="4">
        <v>50.0</v>
      </c>
      <c r="L1490" s="3" t="s">
        <v>6359</v>
      </c>
      <c r="M1490" s="3" t="s">
        <v>6360</v>
      </c>
      <c r="N1490" s="7" t="str">
        <f>IFERROR(__xludf.DUMMYFUNCTION("GOOGLETRANSLATE(L1490, ""en"", ""pt"")"),"tratador de cavalos puro-sangue")</f>
        <v>tratador de cavalos puro-sangue</v>
      </c>
      <c r="O1490" s="7" t="str">
        <f>IFERROR(__xludf.DUMMYFUNCTION("IF(M1490="""","""",GOOGLETRANSLATE(M1490,""en"",""pt""))"),"Responsável pelos cuidados gerais de cavalos de corrida puro-sangue, incluindo alimentação, fornecimento de água, manutenção de baias e estábulos, limpeza, escovação, exercícios, casqueamento, desinfecção de baias e camas, administração de medicamentos co"&amp;"nforme prescrição e inspeção da condição física dos cavalos. Levantará as patas e limpará os cascos dos cavalos, aplicando linimentos e bandagens conforme necessário. Cuidará de 1 a 5 cavalos por vez. Turno dividido: das 5h às 11h e das 15h às 17h. Folgas"&amp;" rotativas. Classificação da vaga: 39-2021.00 - Cuidadores de Animais. A classificação e descrição da vaga/setor incluem informações gerais sobre o cargo, de acordo com o ONET/OES e o Sistema de Classificação Industrial da América do Norte. Consulte as Fu"&amp;"nções e a Ordem de Serviço para obter mais informações. Requisitos da vaga: Experiência necessária: Sim. Meses de experiência necessários: 1. Requisitos especiais: Deve ser capaz de levantar 23 kg. Número de horas por semana: 56. Horário de trabalho (iníc"&amp;"io/término): 5h. - 17h00")</f>
        <v>Responsável pelos cuidados gerais de cavalos de corrida puro-sangue, incluindo alimentação, fornecimento de água, manutenção de baias e estábulos, limpeza, escovação, exercícios, casqueamento, desinfecção de baias e camas, administração de medicamentos conforme prescrição e inspeção da condição física dos cavalos. Levantará as patas e limpará os cascos dos cavalos, aplicando linimentos e bandagens conforme necessário. Cuidará de 1 a 5 cavalos por vez. Turno dividido: das 5h às 11h e das 15h às 17h. Folgas rotativas. Classificação da vaga: 39-2021.00 - Cuidadores de Animais. A classificação e descrição da vaga/setor incluem informações gerais sobre o cargo, de acordo com o ONET/OES e o Sistema de Classificação Industrial da América do Norte. Consulte as Funções e a Ordem de Serviço para obter mais informações. Requisitos da vaga: Experiência necessária: Sim. Meses de experiência necessários: 1. Requisitos especiais: Deve ser capaz de levantar 23 kg. Número de horas por semana: 56. Horário de trabalho (início/término): 5h. - 17h00</v>
      </c>
    </row>
    <row r="1491" ht="20.25" customHeight="1">
      <c r="A1491" s="8" t="s">
        <v>6628</v>
      </c>
      <c r="B1491" s="8" t="s">
        <v>6629</v>
      </c>
      <c r="C1491" s="8" t="s">
        <v>6247</v>
      </c>
      <c r="D1491" s="8" t="s">
        <v>51</v>
      </c>
      <c r="E1491" s="9" t="s">
        <v>19</v>
      </c>
      <c r="F1491" s="9" t="s">
        <v>20</v>
      </c>
      <c r="G1491" s="9" t="s">
        <v>345</v>
      </c>
      <c r="H1491" s="8" t="s">
        <v>6630</v>
      </c>
      <c r="I1491" s="8" t="s">
        <v>6631</v>
      </c>
      <c r="J1491" s="9">
        <v>14.09</v>
      </c>
      <c r="K1491" s="9">
        <v>4.0</v>
      </c>
      <c r="L1491" s="8" t="s">
        <v>6250</v>
      </c>
      <c r="M1491" s="8" t="s">
        <v>6632</v>
      </c>
      <c r="N1491" s="7" t="str">
        <f>IFERROR(__xludf.DUMMYFUNCTION("GOOGLETRANSLATE(L1491, ""en"", ""pt"")"),"tratador de cavalos de corrida puro-sangue")</f>
        <v>tratador de cavalos de corrida puro-sangue</v>
      </c>
      <c r="O1491" s="7" t="str">
        <f>IFERROR(__xludf.DUMMYFUNCTION("IF(M1491="""","""",GOOGLETRANSLATE(M1491,""en"",""pt""))"),"Responsável pelos cuidados gerais de cavalos de corrida puro-sangue, incluindo alimentação, água, manutenção das baias e arreios, limpeza, escovação, exercícios, casqueamento, desinfecção das baias e camas. Levantará as patas e limpará os cascos dos caval"&amp;"os, aplicando linimentos e bandagens conforme necessário. Cuidará de 1 a 5 cavalos por vez. Turnos divididos: das 5h às 11h e das 15h às 17h. Folgas rotativas. Os funcionários trabalharão 40 horas semanais, a menos que optem por fazer horas extras. Classi"&amp;"ficação da vaga: 39-2021.00 - Cuidadores de Animais. A classificação e descrição da vaga/setor inclui informações gerais sobre o cargo, conforme ONET/OES e o Sistema de Classificação Industrial da América do Norte. Consulte as atribuições e a ordem de ser"&amp;"viço para obter mais informações. Requisitos da vaga Experiência necessária: Sim Meses de experiência necessários: 1 Requisitos especiais: Deve ser capaz de levantar 23 kg. Número de horas por semana: 56 Horário de trabalho (início/término): 5h às 17h")</f>
        <v>Responsável pelos cuidados gerais de cavalos de corrida puro-sangue, incluindo alimentação, água, manutenção das baias e arreios, limpeza, escovação, exercícios, casqueamento, desinfecção das baias e camas. Levantará as patas e limpará os cascos dos cavalos, aplicando linimentos e bandagens conforme necessário. Cuidará de 1 a 5 cavalos por vez. Turnos divididos: das 5h às 11h e das 15h às 17h. Folgas rotativas. Os funcionários trabalharão 40 horas semanais, a menos que optem por fazer horas extras. Classificação da vaga: 39-2021.00 - Cuidadores de Animais. A classificação e descrição da vaga/setor inclui informações gerais sobre o cargo, conforme ONET/OES e o Sistema de Classificação Industrial da América do Norte. Consulte as atribuições e a ordem de serviço para obter mais informações. Requisitos da vaga Experiência necessária: Sim Meses de experiência necessários: 1 Requisitos especiais: Deve ser capaz de levantar 23 kg. Número de horas por semana: 56 Horário de trabalho (início/término): 5h às 17h</v>
      </c>
    </row>
    <row r="1492" ht="20.25" customHeight="1">
      <c r="A1492" s="3" t="s">
        <v>6633</v>
      </c>
      <c r="B1492" s="3" t="s">
        <v>6634</v>
      </c>
      <c r="C1492" s="3" t="s">
        <v>6247</v>
      </c>
      <c r="D1492" s="3" t="s">
        <v>254</v>
      </c>
      <c r="E1492" s="4" t="s">
        <v>19</v>
      </c>
      <c r="F1492" s="4" t="s">
        <v>20</v>
      </c>
      <c r="G1492" s="4" t="s">
        <v>80</v>
      </c>
      <c r="H1492" s="3" t="s">
        <v>6635</v>
      </c>
      <c r="I1492" s="3" t="s">
        <v>6636</v>
      </c>
      <c r="J1492" s="4">
        <v>16.37</v>
      </c>
      <c r="K1492" s="4">
        <v>3.0</v>
      </c>
      <c r="L1492" s="3" t="s">
        <v>6250</v>
      </c>
      <c r="M1492" s="3" t="s">
        <v>6360</v>
      </c>
      <c r="N1492" s="7" t="str">
        <f>IFERROR(__xludf.DUMMYFUNCTION("GOOGLETRANSLATE(L1492, ""en"", ""pt"")"),"tratador de cavalos de corrida puro-sangue")</f>
        <v>tratador de cavalos de corrida puro-sangue</v>
      </c>
      <c r="O1492" s="7" t="str">
        <f>IFERROR(__xludf.DUMMYFUNCTION("IF(M1492="""","""",GOOGLETRANSLATE(M1492,""en"",""pt""))"),"Responsável pelos cuidados gerais de cavalos de corrida puro-sangue, incluindo alimentação, fornecimento de água, manutenção de baias e estábulos, limpeza, escovação, exercícios, casqueamento, desinfecção de baias e camas, administração de medicamentos co"&amp;"nforme prescrição e inspeção da condição física dos cavalos. Levantará as patas e limpará os cascos dos cavalos, aplicando linimentos e bandagens conforme necessário. Cuidará de 1 a 5 cavalos por vez. Turno dividido: das 5h às 11h e das 15h às 17h. Folgas"&amp;" rotativas. Classificação da vaga: 39-2021.00 - Cuidadores de Animais. A classificação e descrição da vaga/setor incluem informações gerais sobre o cargo, de acordo com o ONET/OES e o Sistema de Classificação Industrial da América do Norte. Consulte as Fu"&amp;"nções e a Ordem de Serviço para obter mais informações. Requisitos da vaga: Experiência necessária: Sim. Meses de experiência necessários: 1. Requisitos especiais: Deve ser capaz de levantar 23 kg. Número de horas por semana: 56. Horário de trabalho (iníc"&amp;"io/término): 5h. - 17h00")</f>
        <v>Responsável pelos cuidados gerais de cavalos de corrida puro-sangue, incluindo alimentação, fornecimento de água, manutenção de baias e estábulos, limpeza, escovação, exercícios, casqueamento, desinfecção de baias e camas, administração de medicamentos conforme prescrição e inspeção da condição física dos cavalos. Levantará as patas e limpará os cascos dos cavalos, aplicando linimentos e bandagens conforme necessário. Cuidará de 1 a 5 cavalos por vez. Turno dividido: das 5h às 11h e das 15h às 17h. Folgas rotativas. Classificação da vaga: 39-2021.00 - Cuidadores de Animais. A classificação e descrição da vaga/setor incluem informações gerais sobre o cargo, de acordo com o ONET/OES e o Sistema de Classificação Industrial da América do Norte. Consulte as Funções e a Ordem de Serviço para obter mais informações. Requisitos da vaga: Experiência necessária: Sim. Meses de experiência necessários: 1. Requisitos especiais: Deve ser capaz de levantar 23 kg. Número de horas por semana: 56. Horário de trabalho (início/término): 5h. - 17h00</v>
      </c>
    </row>
    <row r="1493" ht="20.25" customHeight="1">
      <c r="A1493" s="8" t="s">
        <v>6637</v>
      </c>
      <c r="B1493" s="8" t="s">
        <v>6638</v>
      </c>
      <c r="C1493" s="8" t="s">
        <v>6639</v>
      </c>
      <c r="D1493" s="8" t="s">
        <v>64</v>
      </c>
      <c r="E1493" s="9" t="s">
        <v>44</v>
      </c>
      <c r="F1493" s="9" t="s">
        <v>20</v>
      </c>
      <c r="G1493" s="9" t="s">
        <v>369</v>
      </c>
      <c r="H1493" s="8" t="s">
        <v>6640</v>
      </c>
      <c r="I1493" s="8" t="s">
        <v>6641</v>
      </c>
      <c r="J1493" s="9">
        <v>23.31</v>
      </c>
      <c r="K1493" s="9">
        <v>60.0</v>
      </c>
      <c r="L1493" s="8" t="s">
        <v>406</v>
      </c>
      <c r="M1493" s="8" t="s">
        <v>6642</v>
      </c>
      <c r="N1493" s="7" t="str">
        <f>IFERROR(__xludf.DUMMYFUNCTION("GOOGLETRANSLATE(L1493, ""en"", ""pt"")"),"Trabalhador")</f>
        <v>Trabalhador</v>
      </c>
      <c r="O1493" s="7" t="str">
        <f>IFERROR(__xludf.DUMMYFUNCTION("IF(M1493="""","""",GOOGLETRANSLATE(M1493,""en"",""pt""))"),"Remoção e poda de árvores e arbustos; limpeza e remoção de folhas e detritos do solo; descarte de galhos, ramos e árvores; plantio de paisagismo de inverno, incluindo azevinho e outras coníferas, espalhamento de cobertura morta; plantio, aplicação e ferti"&amp;"lização de azevém perene; proteção de plantas e árvores contra geadas, com manutenção de inverno dos jardins e controle de drenagem; plantio de flores anuais de inverno; poda e remoção de flores murchas de plantas perenes; aplicação, aplicação e fertiliza"&amp;"ção de cobertura morta em toda a propriedade para proteger as plantas, e preparação e drenagem do sistema de irrigação para o inverno; limpeza de lagoas de retenção. Remoção de gelo e aplicação de sal. Organização e preparação de diversos itens de decoraç"&amp;"ão natalina, incluindo luzes de cordão, enfeites e arranjos, exposições e decorações sazonais e de feriados. Também inclui a instalação e/ou remoção desses itens de decoração/estoque e materiais dos locais de trabalho e a preparação para armazenamento. Ca"&amp;"rregamento e descarregamento de materiais e equipamentos. Levantamento de peso de até 23 kg (50 libras). Trabalho realizado em locais de trabalho na região, com transporte fornecido pelo empregador de ida e volta a partir de um ponto de encontro centraliz"&amp;"ado na área de atuação especificada. Classificação da vaga: 49-9099.00 - Trabalhadores de Instalação, Manutenção e Reparo, Outros. A classificação e descrição da vaga/setor inclui informações gerais sobre o cargo, de acordo com o ONET/OES e o Sistema de C"&amp;"lassificação Industrial da América do Norte (NAICS). Consulte as Funções e a Ordem de Serviço para obter mais informações. Requisitos da vaga: Experiência exigida: Não. Requisitos especiais: Ter 18 anos ou mais. Apresentar comprovante de autorização legal"&amp;" para trabalhar nos Estados Unidos. Executar atividades físicas, como levantar, equilibrar-se, caminhar, abaixar-se, manusear, posicionar, mover e manipular materiais; usar força estática para exercer força muscular máxima para levantar, empurrar, puxar e"&amp;" carregar objetos de até 23 kg. Todos os candidatos devem ser capazes, dispostos e qualificados para executar o trabalho descrito e devem estar disponíveis durante todo o período especificado. Trabalho ao ar livre, exposto às intempéries; deve ser capaz d"&amp;"e realizar trabalho fisicamente extenuante por longas horas, ocasionalmente em calor ou frio extremos. Condições climáticas variáveis ​​se aplicam. A carga horária pode variar (+/-), podendo haver períodos de inatividade e/ou horas extras. Testes toxicoló"&amp;"gicos podem ser exigidos de trabalhadores estrangeiros e nacionais após a contratação ou em caso de acidente, sem custo para o trabalhador. O empregador arca com os custos do teste toxicológico e da verificação de antecedentes criminais antes da contrataç"&amp;"ão. Número de horas por semana: 40. Horário de trabalho (início/término): 6h30 às 15h30.")</f>
        <v>Remoção e poda de árvores e arbustos; limpeza e remoção de folhas e detritos do solo; descarte de galhos, ramos e árvores; plantio de paisagismo de inverno, incluindo azevinho e outras coníferas, espalhamento de cobertura morta; plantio, aplicação e fertilização de azevém perene; proteção de plantas e árvores contra geadas, com manutenção de inverno dos jardins e controle de drenagem; plantio de flores anuais de inverno; poda e remoção de flores murchas de plantas perenes; aplicação, aplicação e fertilização de cobertura morta em toda a propriedade para proteger as plantas, e preparação e drenagem do sistema de irrigação para o inverno; limpeza de lagoas de retenção. Remoção de gelo e aplicação de sal. Organização e preparação de diversos itens de decoração natalina, incluindo luzes de cordão, enfeites e arranjos, exposições e decorações sazonais e de feriados. Também inclui a instalação e/ou remoção desses itens de decoração/estoque e materiais dos locais de trabalho e a preparação para armazenamento. Carregamento e descarregamento de materiais e equipamentos. Levantamento de peso de até 23 kg (50 libras). Trabalho realizado em locais de trabalho na região, com transporte fornecido pelo empregador de ida e volta a partir de um ponto de encontro centralizado na área de atuação especificada. Classificação da vaga: 49-9099.00 - Trabalhadores de Instalação, Manutenção e Reparo, Outros. A classificação e descrição da vaga/setor inclui informações gerais sobre o cargo, de acordo com o ONET/OES e o Sistema de Classificação Industrial da América do Norte (NAICS). Consulte as Funções e a Ordem de Serviço para obter mais informações. Requisitos da vaga: Experiência exigida: Não. Requisitos especiais: Ter 18 anos ou mais. Apresentar comprovante de autorização legal para trabalhar nos Estados Unidos. Executar atividades físicas, como levantar, equilibrar-se, caminhar, abaixar-se, manusear, posicionar, mover e manipular materiais; usar força estática para exercer força muscular máxima para levantar, empurrar, puxar e carregar objetos de até 23 kg. Todos os candidatos devem ser capazes, dispostos e qualificados para executar o trabalho descrito e devem estar disponíveis durante todo o período especificado. Trabalho ao ar livre, exposto às intempéries; deve ser capaz de realizar trabalho fisicamente extenuante por longas horas, ocasionalmente em calor ou frio extremos. Condições climáticas variáveis ​​se aplicam. A carga horária pode variar (+/-), podendo haver períodos de inatividade e/ou horas extras. Testes toxicológicos podem ser exigidos de trabalhadores estrangeiros e nacionais após a contratação ou em caso de acidente, sem custo para o trabalhador. O empregador arca com os custos do teste toxicológico e da verificação de antecedentes criminais antes da contratação. Número de horas por semana: 40. Horário de trabalho (início/término): 6h30 às 15h30.</v>
      </c>
    </row>
    <row r="1494" ht="20.25" customHeight="1">
      <c r="A1494" s="3" t="s">
        <v>6643</v>
      </c>
      <c r="B1494" s="3" t="s">
        <v>6644</v>
      </c>
      <c r="C1494" s="3" t="s">
        <v>1030</v>
      </c>
      <c r="D1494" s="3" t="s">
        <v>64</v>
      </c>
      <c r="E1494" s="4" t="s">
        <v>19</v>
      </c>
      <c r="F1494" s="4" t="s">
        <v>20</v>
      </c>
      <c r="G1494" s="4" t="s">
        <v>236</v>
      </c>
      <c r="H1494" s="3" t="s">
        <v>6645</v>
      </c>
      <c r="I1494" s="3" t="s">
        <v>6646</v>
      </c>
      <c r="J1494" s="4">
        <v>18.42</v>
      </c>
      <c r="K1494" s="4">
        <v>10.0</v>
      </c>
      <c r="L1494" s="3" t="s">
        <v>59</v>
      </c>
      <c r="M1494" s="3" t="s">
        <v>6647</v>
      </c>
      <c r="N1494" s="7" t="str">
        <f>IFERROR(__xludf.DUMMYFUNCTION("GOOGLETRANSLATE(L1494, ""en"", ""pt"")"),"Trabalhador de paisagismo")</f>
        <v>Trabalhador de paisagismo</v>
      </c>
      <c r="O1494" s="7" t="str">
        <f>IFERROR(__xludf.DUMMYFUNCTION("IF(M1494="""","""",GOOGLETRANSLATE(M1494,""en"",""pt""))"),"Cortar, aparar, regar e aparar a grama; recolher e soprar folhas; cavar buracos com ferramentas manuais com profundidade/largura máxima de 90 cm para plantio; arrancar e cortar ervas daninhas, podar, aparar e transportar terra vegetal e cobertura morta. I"&amp;"nclui o carregamento e descarregamento de ferramentas, suprimentos e equipamentos com peso de até 23 kg. Envolve trabalho ao ar livre em todos os tipos de clima. Envolve ficar em pé, sentado ou caminhando por longos períodos. Envolve agachar-se ou curvar-"&amp;"se com frequência. Envolve movimentos repetitivos. Veículo da empresa opcional para transporte pessoal e profissional, conforme necessário e, se disponível, é preciso possuir carteira de habilitação e estar apto a dirigir. Possibilidade de aumento salaria"&amp;"l com base no desempenho, bônus, horas extras e trabalho aos sábados, conforme necessário. Transporte fornecido para vários locais de trabalho a partir da localização central em Denton, TX. Intervalos de 60 minutos não remunerados ao longo do dia. A jorna"&amp;"da de trabalho diária pode variar entre os horários de início e término listados, dependendo do clima ou das tarefas atribuídas. Classificação da função: 37-3011.00 - Trabalhadores de paisagismo e manutenção de áreas verdes. A classificação e descrição da"&amp;" função/setor inclui informações gerais sobre o cargo, conforme o ONET/OES e o Sistema de Classificação Industrial da América do Norte (NAICS). Consulte as atribuições e a ordem de serviço para obter mais informações. Requisitos da vaga: Experiência neces"&amp;"sária: Não. Número de horas por semana: 40. Horário de trabalho (início/término): 6h30 às 15h30.")</f>
        <v>Cortar, aparar, regar e aparar a grama; recolher e soprar folhas; cavar buracos com ferramentas manuais com profundidade/largura máxima de 90 cm para plantio; arrancar e cortar ervas daninhas, podar, aparar e transportar terra vegetal e cobertura morta. Inclui o carregamento e descarregamento de ferramentas, suprimentos e equipamentos com peso de até 23 kg. Envolve trabalho ao ar livre em todos os tipos de clima. Envolve ficar em pé, sentado ou caminhando por longos períodos. Envolve agachar-se ou curvar-se com frequência. Envolve movimentos repetitivos. Veículo da empresa opcional para transporte pessoal e profissional, conforme necessário e, se disponível, é preciso possuir carteira de habilitação e estar apto a dirigir. Possibilidade de aumento salarial com base no desempenho, bônus, horas extras e trabalho aos sábados, conforme necessário. Transporte fornecido para vários locais de trabalho a partir da localização central em Denton, TX. Intervalos de 60 minutos não remunerados ao longo do dia. A jornada de trabalho diária pode variar entre os horários de início e término listados, dependendo do clima ou das tarefas atribuídas. Classificação da função: 37-3011.00 - Trabalhadores de paisagismo e manutenção de áreas verdes. A classificação e descrição da função/setor inclui informações gerais sobre o cargo, conforme o ONET/OES e o Sistema de Classificação Industrial da América do Norte (NAICS). Consulte as atribuições e a ordem de serviço para obter mais informações. Requisitos da vaga: Experiência necessária: Não. Número de horas por semana: 40. Horário de trabalho (início/término): 6h30 às 15h30.</v>
      </c>
    </row>
    <row r="1495" ht="20.25" customHeight="1">
      <c r="A1495" s="8" t="s">
        <v>6648</v>
      </c>
      <c r="B1495" s="8" t="s">
        <v>6649</v>
      </c>
      <c r="C1495" s="8" t="s">
        <v>5563</v>
      </c>
      <c r="D1495" s="8" t="s">
        <v>186</v>
      </c>
      <c r="E1495" s="9" t="s">
        <v>44</v>
      </c>
      <c r="F1495" s="9" t="s">
        <v>20</v>
      </c>
      <c r="G1495" s="9" t="s">
        <v>377</v>
      </c>
      <c r="H1495" s="8" t="s">
        <v>6650</v>
      </c>
      <c r="I1495" s="8" t="s">
        <v>6651</v>
      </c>
      <c r="J1495" s="9">
        <v>17.39</v>
      </c>
      <c r="K1495" s="9">
        <v>15.0</v>
      </c>
      <c r="L1495" s="8" t="s">
        <v>105</v>
      </c>
      <c r="M1495" s="8" t="s">
        <v>6652</v>
      </c>
      <c r="N1495" s="7" t="str">
        <f>IFERROR(__xludf.DUMMYFUNCTION("GOOGLETRANSLATE(L1495, ""en"", ""pt"")"),"Abridores de Ostras")</f>
        <v>Abridores de Ostras</v>
      </c>
      <c r="O1495" s="7" t="str">
        <f>IFERROR(__xludf.DUMMYFUNCTION("IF(M1495="""","""",GOOGLETRANSLATE(M1495,""en"",""pt""))"),"**RFI** Nenhuma ferramenta é usada para esta tarefa. O trabalhador despeja um balde que está em um sistema de pórtico à sua frente. Isso coloca as ostras em suas estações de trabalho. **Original** Obter e distribuir o produto; usar uma faca para cortar a "&amp;"ostra da concha; descartar a concha; inspecionar a carne em busca de imperfeições e removê-las/descartá-las; separar a carne processada por tamanho ou qualidade e colocar as ostras em recipientes; auxiliar no manuseio de ostras com concha; auxiliar na lim"&amp;"peza da estação de trabalho no final do turno. Sem experiência/Sem escolaridade. Treinamento de 7 dias no local de trabalho fornecido. Consulte o adendo em anexo. Classificação do Cargo: 51-3022.00 - Cortadores e Aparadores de Carne, Aves e Peixes. A clas"&amp;"sificação e descrição do cargo/setor inclui informações gerais sobre a posição da ONET/OES e do Sistema de Classificação Industrial da América do Norte. Consulte as Funções e a Ordem de Serviço para obter mais informações. Requisitos do Cargo Experiência "&amp;"Necessária: Não. Requisitos Especiais: Levantar/carregar até 34 kg. Teste de drogas aleatório pago pelo empregador. O empregador poderá realizar verificações legais e relacionadas ao trabalho dos candidatos, incluindo consultas sobre antecedentes criminai"&amp;"s, quando permitido pelas leis federais, estaduais e locais aplicáveis. Qualquer análise de antecedentes criminais será feita individualmente e as decisões de contratação serão tomadas de forma não discriminatória, em conformidade com as leis aplicáveis ​"&amp;"​e as necessidades da empresa. Não são permitidas doenças infecciosas; alergias a frutos do mar podem ser fatais. Número de horas por semana: 35. Horário de trabalho (início/término): 6h às 13h.")</f>
        <v>**RFI** Nenhuma ferramenta é usada para esta tarefa. O trabalhador despeja um balde que está em um sistema de pórtico à sua frente. Isso coloca as ostras em suas estações de trabalho. **Original** Obter e distribuir o produto; usar uma faca para cortar a ostra da concha; descartar a concha; inspecionar a carne em busca de imperfeições e removê-las/descartá-las; separar a carne processada por tamanho ou qualidade e colocar as ostras em recipientes; auxiliar no manuseio de ostras com concha; auxiliar na limpeza da estação de trabalho no final do turno. Sem experiência/Sem escolaridade. Treinamento de 7 dias no local de trabalho fornecido. Consulte o adendo em anexo. Classificação do Cargo: 51-3022.00 - Cortadores e Aparadores de Carne, Aves e Peixes. A classificação e descrição do cargo/setor inclui informações gerais sobre a posição da ONET/OES e do Sistema de Classificação Industrial da América do Norte. Consulte as Funções e a Ordem de Serviço para obter mais informações. Requisitos do Cargo Experiência Necessária: Não. Requisitos Especiais: Levantar/carregar até 34 kg. Teste de drogas aleatório pago pelo empregador. O empregador poderá realizar verificações legais e relacionadas ao trabalho dos candidatos, incluindo consultas sobre antecedentes criminais, quando permitido pelas leis federais, estaduais e locais aplicáveis. Qualquer análise de antecedentes criminais será feita individualmente e as decisões de contratação serão tomadas de forma não discriminatória, em conformidade com as leis aplicáveis ​​e as necessidades da empresa. Não são permitidas doenças infecciosas; alergias a frutos do mar podem ser fatais. Número de horas por semana: 35. Horário de trabalho (início/término): 6h às 13h.</v>
      </c>
    </row>
    <row r="1496" ht="20.25" customHeight="1">
      <c r="A1496" s="3" t="s">
        <v>6653</v>
      </c>
      <c r="B1496" s="3" t="s">
        <v>6654</v>
      </c>
      <c r="C1496" s="3" t="s">
        <v>6247</v>
      </c>
      <c r="D1496" s="3" t="s">
        <v>254</v>
      </c>
      <c r="E1496" s="4" t="s">
        <v>19</v>
      </c>
      <c r="F1496" s="4" t="s">
        <v>20</v>
      </c>
      <c r="G1496" s="4" t="s">
        <v>80</v>
      </c>
      <c r="H1496" s="3" t="s">
        <v>6655</v>
      </c>
      <c r="I1496" s="3" t="s">
        <v>6656</v>
      </c>
      <c r="J1496" s="4">
        <v>15.8</v>
      </c>
      <c r="K1496" s="4">
        <v>3.0</v>
      </c>
      <c r="L1496" s="3" t="s">
        <v>6359</v>
      </c>
      <c r="M1496" s="3" t="s">
        <v>6657</v>
      </c>
      <c r="N1496" s="7" t="str">
        <f>IFERROR(__xludf.DUMMYFUNCTION("GOOGLETRANSLATE(L1496, ""en"", ""pt"")"),"tratador de cavalos puro-sangue")</f>
        <v>tratador de cavalos puro-sangue</v>
      </c>
      <c r="O1496" s="7" t="str">
        <f>IFERROR(__xludf.DUMMYFUNCTION("IF(M1496="""","""",GOOGLETRANSLATE(M1496,""en"",""pt""))"),"Responsável pelos cuidados gerais de cavalos de corrida puro-sangue, incluindo alimentação, fornecimento de água, manutenção de baias e estábulos, limpeza, escovação, exercícios, casqueamento, desinfecção de baias e camas, administração de medicamentos co"&amp;"nforme prescrição e inspeção da condição física dos cavalos. Levantará as patas e limpará os cascos dos cavalos, aplicando linimentos e bandagens conforme necessário. Cuidará de 1 a 5 cavalos por vez. Turno dividido: das 5h às 11h e das 15h às 17h. Folgas"&amp;" rotativas. Classificação da vaga: 39-2021.00 - Cuidadores de Animais. A classificação e descrição da vaga/setor incluem informações gerais sobre o cargo, de acordo com o ONET/OES e o Sistema de Classificação Industrial da América do Norte. Consulte as Fu"&amp;"nções e a Ordem de Serviço para obter mais informações. Requisitos da vaga: Experiência necessária: Sim. Meses de experiência necessários: 1. Requisitos especiais: Deve ser capaz de levantar até 23 kg. Número de horas por semana: 56. Horário de trabalho ("&amp;"início/término): 5h. - 17h00")</f>
        <v>Responsável pelos cuidados gerais de cavalos de corrida puro-sangue, incluindo alimentação, fornecimento de água, manutenção de baias e estábulos, limpeza, escovação, exercícios, casqueamento, desinfecção de baias e camas, administração de medicamentos conforme prescrição e inspeção da condição física dos cavalos. Levantará as patas e limpará os cascos dos cavalos, aplicando linimentos e bandagens conforme necessário. Cuidará de 1 a 5 cavalos por vez. Turno dividido: das 5h às 11h e das 15h às 17h. Folgas rotativas. Classificação da vaga: 39-2021.00 - Cuidadores de Animais. A classificação e descrição da vaga/setor incluem informações gerais sobre o cargo, de acordo com o ONET/OES e o Sistema de Classificação Industrial da América do Norte. Consulte as Funções e a Ordem de Serviço para obter mais informações. Requisitos da vaga: Experiência necessária: Sim. Meses de experiência necessários: 1. Requisitos especiais: Deve ser capaz de levantar até 23 kg. Número de horas por semana: 56. Horário de trabalho (início/término): 5h. - 17h00</v>
      </c>
    </row>
    <row r="1497" ht="20.25" customHeight="1">
      <c r="A1497" s="8" t="s">
        <v>6658</v>
      </c>
      <c r="B1497" s="8" t="s">
        <v>6659</v>
      </c>
      <c r="C1497" s="8" t="s">
        <v>6247</v>
      </c>
      <c r="D1497" s="8" t="s">
        <v>71</v>
      </c>
      <c r="E1497" s="9" t="s">
        <v>44</v>
      </c>
      <c r="F1497" s="9" t="s">
        <v>20</v>
      </c>
      <c r="G1497" s="9" t="s">
        <v>345</v>
      </c>
      <c r="H1497" s="8" t="s">
        <v>6660</v>
      </c>
      <c r="I1497" s="8" t="s">
        <v>6661</v>
      </c>
      <c r="J1497" s="9">
        <v>18.57</v>
      </c>
      <c r="K1497" s="9">
        <v>3.0</v>
      </c>
      <c r="L1497" s="8" t="s">
        <v>6359</v>
      </c>
      <c r="M1497" s="8" t="s">
        <v>6360</v>
      </c>
      <c r="N1497" s="7" t="str">
        <f>IFERROR(__xludf.DUMMYFUNCTION("GOOGLETRANSLATE(L1497, ""en"", ""pt"")"),"tratador de cavalos puro-sangue")</f>
        <v>tratador de cavalos puro-sangue</v>
      </c>
      <c r="O1497" s="7" t="str">
        <f>IFERROR(__xludf.DUMMYFUNCTION("IF(M1497="""","""",GOOGLETRANSLATE(M1497,""en"",""pt""))"),"Responsável pelos cuidados gerais de cavalos de corrida puro-sangue, incluindo alimentação, fornecimento de água, manutenção de baias e estábulos, limpeza, escovação, exercícios, casqueamento, desinfecção de baias e camas, administração de medicamentos co"&amp;"nforme prescrição e inspeção da condição física dos cavalos. Levantará as patas e limpará os cascos dos cavalos, aplicando linimentos e bandagens conforme necessário. Cuidará de 1 a 5 cavalos por vez. Turno dividido: das 5h às 11h e das 15h às 17h. Folgas"&amp;" rotativas. Classificação da vaga: 39-2021.00 - Cuidadores de Animais. A classificação e descrição da vaga/setor incluem informações gerais sobre o cargo, de acordo com o ONET/OES e o Sistema de Classificação Industrial da América do Norte. Consulte as Fu"&amp;"nções e a Ordem de Serviço para obter mais informações. Requisitos da vaga: Experiência necessária: Sim. Meses de experiência necessários: 1. Requisitos especiais: Deve ser capaz de levantar 23 kg. Número de horas por semana: 56. Horário de trabalho (iníc"&amp;"io/término): 5h. - 17h00")</f>
        <v>Responsável pelos cuidados gerais de cavalos de corrida puro-sangue, incluindo alimentação, fornecimento de água, manutenção de baias e estábulos, limpeza, escovação, exercícios, casqueamento, desinfecção de baias e camas, administração de medicamentos conforme prescrição e inspeção da condição física dos cavalos. Levantará as patas e limpará os cascos dos cavalos, aplicando linimentos e bandagens conforme necessário. Cuidará de 1 a 5 cavalos por vez. Turno dividido: das 5h às 11h e das 15h às 17h. Folgas rotativas. Classificação da vaga: 39-2021.00 - Cuidadores de Animais. A classificação e descrição da vaga/setor incluem informações gerais sobre o cargo, de acordo com o ONET/OES e o Sistema de Classificação Industrial da América do Norte. Consulte as Funções e a Ordem de Serviço para obter mais informações. Requisitos da vaga: Experiência necessária: Sim. Meses de experiência necessários: 1. Requisitos especiais: Deve ser capaz de levantar 23 kg. Número de horas por semana: 56. Horário de trabalho (início/término): 5h. - 17h00</v>
      </c>
    </row>
    <row r="1498" ht="20.25" customHeight="1">
      <c r="A1498" s="3" t="s">
        <v>6662</v>
      </c>
      <c r="B1498" s="3" t="s">
        <v>6663</v>
      </c>
      <c r="C1498" s="3" t="s">
        <v>6247</v>
      </c>
      <c r="D1498" s="3" t="s">
        <v>51</v>
      </c>
      <c r="E1498" s="4" t="s">
        <v>44</v>
      </c>
      <c r="F1498" s="4" t="s">
        <v>20</v>
      </c>
      <c r="G1498" s="4" t="s">
        <v>80</v>
      </c>
      <c r="H1498" s="3" t="s">
        <v>6664</v>
      </c>
      <c r="I1498" s="3" t="s">
        <v>6665</v>
      </c>
      <c r="J1498" s="4">
        <v>15.17</v>
      </c>
      <c r="K1498" s="4">
        <v>4.0</v>
      </c>
      <c r="L1498" s="3" t="s">
        <v>6250</v>
      </c>
      <c r="M1498" s="3" t="s">
        <v>6360</v>
      </c>
      <c r="N1498" s="7" t="str">
        <f>IFERROR(__xludf.DUMMYFUNCTION("GOOGLETRANSLATE(L1498, ""en"", ""pt"")"),"tratador de cavalos de corrida puro-sangue")</f>
        <v>tratador de cavalos de corrida puro-sangue</v>
      </c>
      <c r="O1498" s="7" t="str">
        <f>IFERROR(__xludf.DUMMYFUNCTION("IF(M1498="""","""",GOOGLETRANSLATE(M1498,""en"",""pt""))"),"Responsável pelos cuidados gerais de cavalos de corrida puro-sangue, incluindo alimentação, fornecimento de água, manutenção de baias e estábulos, limpeza, escovação, exercícios, casqueamento, desinfecção de baias e camas, administração de medicamentos co"&amp;"nforme prescrição e inspeção da condição física dos cavalos. Levantará as patas e limpará os cascos dos cavalos, aplicando linimentos e bandagens conforme necessário. Cuidará de 1 a 5 cavalos por vez. Turno dividido: das 5h às 11h e das 15h às 17h. Folgas"&amp;" rotativas. Classificação da vaga: 39-2021.00 - Cuidadores de Animais. A classificação e descrição da vaga/setor incluem informações gerais sobre o cargo, de acordo com o ONET/OES e o Sistema de Classificação Industrial da América do Norte. Consulte as Fu"&amp;"nções e a Ordem de Serviço para obter mais informações. Requisitos da vaga: Experiência necessária: Sim. Meses de experiência necessários: 1. Requisitos especiais: Deve ser capaz de levantar 23 kg. Número de horas por semana: 56. Horário de trabalho (iníc"&amp;"io/término): 5h. - 17h00")</f>
        <v>Responsável pelos cuidados gerais de cavalos de corrida puro-sangue, incluindo alimentação, fornecimento de água, manutenção de baias e estábulos, limpeza, escovação, exercícios, casqueamento, desinfecção de baias e camas, administração de medicamentos conforme prescrição e inspeção da condição física dos cavalos. Levantará as patas e limpará os cascos dos cavalos, aplicando linimentos e bandagens conforme necessário. Cuidará de 1 a 5 cavalos por vez. Turno dividido: das 5h às 11h e das 15h às 17h. Folgas rotativas. Classificação da vaga: 39-2021.00 - Cuidadores de Animais. A classificação e descrição da vaga/setor incluem informações gerais sobre o cargo, de acordo com o ONET/OES e o Sistema de Classificação Industrial da América do Norte. Consulte as Funções e a Ordem de Serviço para obter mais informações. Requisitos da vaga: Experiência necessária: Sim. Meses de experiência necessários: 1. Requisitos especiais: Deve ser capaz de levantar 23 kg. Número de horas por semana: 56. Horário de trabalho (início/término): 5h. - 17h00</v>
      </c>
    </row>
    <row r="1499" ht="20.25" customHeight="1">
      <c r="A1499" s="8" t="s">
        <v>6666</v>
      </c>
      <c r="B1499" s="8" t="s">
        <v>6667</v>
      </c>
      <c r="C1499" s="8" t="s">
        <v>6247</v>
      </c>
      <c r="D1499" s="8" t="s">
        <v>28</v>
      </c>
      <c r="E1499" s="9" t="s">
        <v>19</v>
      </c>
      <c r="F1499" s="9" t="s">
        <v>20</v>
      </c>
      <c r="G1499" s="9" t="s">
        <v>80</v>
      </c>
      <c r="H1499" s="8" t="s">
        <v>6668</v>
      </c>
      <c r="I1499" s="8" t="s">
        <v>6669</v>
      </c>
      <c r="J1499" s="9">
        <v>13.7</v>
      </c>
      <c r="K1499" s="9">
        <v>3.0</v>
      </c>
      <c r="L1499" s="8" t="s">
        <v>6359</v>
      </c>
      <c r="M1499" s="8" t="s">
        <v>6670</v>
      </c>
      <c r="N1499" s="7" t="str">
        <f>IFERROR(__xludf.DUMMYFUNCTION("GOOGLETRANSLATE(L1499, ""en"", ""pt"")"),"tratador de cavalos puro-sangue")</f>
        <v>tratador de cavalos puro-sangue</v>
      </c>
      <c r="O1499" s="7" t="str">
        <f>IFERROR(__xludf.DUMMYFUNCTION("IF(M1499="""","""",GOOGLETRANSLATE(M1499,""en"",""pt""))"),"Responsável pelos cuidados gerais de cavalos de corrida puro-sangue, incluindo alimentação, água, manutenção das baias e arreios, limpeza, escovação, exercícios, casqueamento, desinfecção das baias e camas. Levantará as patas dos cavalos, limpará os casco"&amp;"s e aplicará linimentos e bandagens conforme necessário. Cuidará de 5 cavalos por vez. Turnos divididos: das 5h às 11h e das 15h às 17h. Folgas rotativas. Classificação da vaga: 39-2021.00 - Cuidadores de Animais. A classificação e descrição da vaga/setor"&amp;" inclui informações gerais sobre o cargo, de acordo com o ONET/OES e o Sistema de Classificação Industrial da América do Norte. Consulte as atribuições e a ordem de serviço para obter mais informações. Requisitos da vaga: Experiência necessária: Sim. Mese"&amp;"s de experiência necessários: 1. Requisitos especiais: Deve ser capaz de levantar 23 kg. Número de horas por semana: 56 Horário de trabalho (início/término): 5h00 - 17h00")</f>
        <v>Responsável pelos cuidados gerais de cavalos de corrida puro-sangue, incluindo alimentação, água, manutenção das baias e arreios, limpeza, escovação, exercícios, casqueamento, desinfecção das baias e camas. Levantará as patas dos cavalos, limpará os cascos e aplicará linimentos e bandagens conforme necessário. Cuidará de 5 cavalos por vez. Turnos divididos: das 5h às 11h e das 15h às 17h. Folgas rotativas. Classificação da vaga: 39-2021.00 - Cuidadores de Animais. A classificação e descrição da vaga/setor inclui informações gerais sobre o cargo, de acordo com o ONET/OES e o Sistema de Classificação Industrial da América do Norte. Consulte as atribuições e a ordem de serviço para obter mais informações. Requisitos da vaga: Experiência necessária: Sim. Meses de experiência necessários: 1. Requisitos especiais: Deve ser capaz de levantar 23 kg. Número de horas por semana: 56 Horário de trabalho (início/término): 5h00 - 17h00</v>
      </c>
    </row>
    <row r="1500" ht="20.25" customHeight="1">
      <c r="A1500" s="3" t="s">
        <v>6671</v>
      </c>
      <c r="B1500" s="3" t="s">
        <v>6672</v>
      </c>
      <c r="C1500" s="3" t="s">
        <v>6247</v>
      </c>
      <c r="D1500" s="3" t="s">
        <v>249</v>
      </c>
      <c r="E1500" s="4" t="s">
        <v>19</v>
      </c>
      <c r="F1500" s="4" t="s">
        <v>20</v>
      </c>
      <c r="G1500" s="4" t="s">
        <v>80</v>
      </c>
      <c r="H1500" s="3" t="s">
        <v>6673</v>
      </c>
      <c r="I1500" s="3" t="s">
        <v>6674</v>
      </c>
      <c r="J1500" s="4">
        <v>13.89</v>
      </c>
      <c r="K1500" s="4">
        <v>4.0</v>
      </c>
      <c r="L1500" s="3" t="s">
        <v>6250</v>
      </c>
      <c r="M1500" s="3" t="s">
        <v>6527</v>
      </c>
      <c r="N1500" s="7" t="str">
        <f>IFERROR(__xludf.DUMMYFUNCTION("GOOGLETRANSLATE(L1500, ""en"", ""pt"")"),"tratador de cavalos de corrida puro-sangue")</f>
        <v>tratador de cavalos de corrida puro-sangue</v>
      </c>
      <c r="O1500" s="7" t="str">
        <f>IFERROR(__xludf.DUMMYFUNCTION("IF(M1500="""","""",GOOGLETRANSLATE(M1500,""en"",""pt""))"),"Responsável pelos cuidados gerais de cavalos de corrida puro-sangue, incluindo alimentação, fornecimento de água, manutenção de baias e estábulos, limpeza, escovação, exercícios, casqueamento, desinfecção de baias e camas, administração de medicamentos co"&amp;"nforme prescrição e inspeção da condição física dos cavalos. Levantará as patas e limpará os cascos dos cavalos, aplicando linimentos e bandagens conforme necessário. Cuidará de 1 a 5 cavalos por vez. Turno dividido: das 5h às 11h e das 15h às 17h. Folgas"&amp;" rotativas. Classificação da vaga: 39-2021.00 - Cuidadores de Animais. A classificação e descrição da vaga/setor incluem informações gerais sobre o cargo, de acordo com o ONET/OES e o Sistema de Classificação Industrial da América do Norte. Consulte as Fu"&amp;"nções e a Ordem de Serviço para obter mais informações. Requisitos da vaga: Experiência necessária: Sim. Meses de experiência necessários: 1. Requisitos especiais: Deve ser capaz de levantar 23 kg. Número de horas por semana: 56. Horário de trabalho (iníc"&amp;"io/término): 5h. - 17h00")</f>
        <v>Responsável pelos cuidados gerais de cavalos de corrida puro-sangue, incluindo alimentação, fornecimento de água, manutenção de baias e estábulos, limpeza, escovação, exercícios, casqueamento, desinfecção de baias e camas, administração de medicamentos conforme prescrição e inspeção da condição física dos cavalos. Levantará as patas e limpará os cascos dos cavalos, aplicando linimentos e bandagens conforme necessário. Cuidará de 1 a 5 cavalos por vez. Turno dividido: das 5h às 11h e das 15h às 17h. Folgas rotativas. Classificação da vaga: 39-2021.00 - Cuidadores de Animais. A classificação e descrição da vaga/setor incluem informações gerais sobre o cargo, de acordo com o ONET/OES e o Sistema de Classificação Industrial da América do Norte. Consulte as Funções e a Ordem de Serviço para obter mais informações. Requisitos da vaga: Experiência necessária: Sim. Meses de experiência necessários: 1. Requisitos especiais: Deve ser capaz de levantar 23 kg. Número de horas por semana: 56. Horário de trabalho (início/término): 5h. - 17h00</v>
      </c>
    </row>
    <row r="1501" ht="20.25" customHeight="1">
      <c r="A1501" s="8" t="s">
        <v>6675</v>
      </c>
      <c r="B1501" s="8" t="s">
        <v>6676</v>
      </c>
      <c r="C1501" s="8" t="s">
        <v>6228</v>
      </c>
      <c r="D1501" s="8" t="s">
        <v>1132</v>
      </c>
      <c r="E1501" s="9" t="s">
        <v>19</v>
      </c>
      <c r="F1501" s="9" t="s">
        <v>20</v>
      </c>
      <c r="G1501" s="9" t="s">
        <v>110</v>
      </c>
      <c r="H1501" s="8" t="s">
        <v>6677</v>
      </c>
      <c r="I1501" s="8" t="s">
        <v>6678</v>
      </c>
      <c r="J1501" s="9">
        <v>18.51</v>
      </c>
      <c r="K1501" s="9">
        <v>5.0</v>
      </c>
      <c r="L1501" s="8" t="s">
        <v>6679</v>
      </c>
      <c r="M1501" s="8" t="s">
        <v>6680</v>
      </c>
      <c r="N1501" s="7" t="str">
        <f>IFERROR(__xludf.DUMMYFUNCTION("GOOGLETRANSLATE(L1501, ""en"", ""pt"")"),"Cozinheiro de Produção")</f>
        <v>Cozinheiro de Produção</v>
      </c>
      <c r="O1501" s="7" t="str">
        <f>IFERROR(__xludf.DUMMYFUNCTION("IF(M1501="""","""",GOOGLETRANSLATE(M1501,""en"",""pt""))"),"O Cozinheiro de Produção é responsável pelo preparo e manuseio de alimentos em nossa cozinha industrial para atender ao aumento da demanda no inverno e para formar estoque para períodos de redução de mão de obra, principalmente quando a equipe está focada"&amp;" na produção de carne durante o verão. Esta função envolve operar e manter máquinas e equipamentos de produção, seguindo os Procedimentos Operacionais Padrão (POPs) e as diretrizes de sanitização para garantir a segurança e a higiene. O Cozinheiro de Prod"&amp;"ução embala os produtos acabados para distribuição e venda, reporta quaisquer defeitos nos equipamentos ou problemas de segurança ao supervisor e colabora com os membros da equipe para atingir as metas de produção. Sob a supervisão do Supervisor da Fábric"&amp;"a, o cozinheiro prepara os produtos de acordo com receitas padronizadas e controles de porcionamento, auxilia nas tarefas de limpeza da cozinha, área de embalagem e outras zonas designadas, e preenche todos os registros necessários para garantir a conform"&amp;"idade com as diretrizes e procedimentos do USDA (Departamento de Agricultura dos Estados Unidos). Outras tarefas, conforme designadas, também podem fazer parte desta função. O Cozinheiro de Produção preparará produtos à base de carne, incluindo carne de p"&amp;"orco desfiada, chili para cachorro-quente, chili com feijão e recheio para tacos. O método de cozimento é a fervura. O cozinheiro opera caldeiras industriais para cozinhar os produtos até as temperaturas internas necessárias, em conformidade com os padrõe"&amp;"s de tratamento térmico do USDA. O cozinheiro monitora a temperatura das caldeiras, ajusta as configurações de calor e garante a consistência do produto de acordo com as receitas padronizadas e os controles de porcionamento. Esta função dá suporte ao aume"&amp;"nto do volume de produção no inverno e cria estoque para períodos de mão de obra reduzida, principalmente quando a equipe está focada na produção de carne durante o verão. O cozinheiro de produção operará equipamentos e ferramentas comerciais de produção "&amp;"de alimentos, incluindo o uso de caldeiras a gás comerciais de 60 galões, pás e garfos de aço inoxidável, abridor de latas comercial, liquidificador de imersão com rebarbas, balança eletrônica e impressora de etiquetas, facas, baldes, copos medidores, pan"&amp;"elas, conchas, termômetros, aplicador de fita adesiva, congelador de ar forçado, moedor, paleteira e etiquetadora de datas. O cozinheiro de produção é responsável pelo preparo e manuseio de alimentos em uma planta monitorada pelo USDA para produtos alimen"&amp;"tícios termicamente processados. Classificação do Cargo: 51-3093.00 - Operadores e Auxiliares de Máquinas de Cozimento de Alimentos. A classificação e descrição do cargo/setor incluem informações gerais sobre a posição da ONET/OES e do Sistema de Classifi"&amp;"cação Industrial da América do Norte. Consulte as Funções e a Ordem de Serviço para obter mais informações. Requisitos da Vaga Experiência Necessária: Sim Meses de Experiência Necessários: 1 Requisitos Especiais: Os candidatos devem ser capazes de seguir "&amp;"receitas e instruções escritas para cozinhar e embalar alimentos, com muita atenção aos detalhes e compromisso com a qualidade. É essencial ter conhecimento básico de segurança alimentar e práticas de higiene. A função exige a capacidade de trabalhar em u"&amp;"m ambiente frio e dinâmico, permanecendo em pé e caminhando por longos períodos. As capacidades físicas incluem levantar, carregar e posicionar até 9 kg regularmente, até 23 kg frequentemente e até 45 kg ocasionalmente. Os funcionários devem se curvar, al"&amp;"cançar acima da altura dos ombros, agarrar objetos, subir, ajoelhar, agachar, girar e ficar em pé com frequência durante o turno, com capacidade de empurrar e puxar até 68 kg ocasionalmente. Também é necessário usar as mãos e os dedos para manusear objeto"&amp;"s, ferramentas ou controles. O ambiente de trabalho é mantido a aproximadamente 4°C. Os trabalhadores estarão sujeitos a testes de drogas pré-emprego e aleatórios, pagos pelo empregador e aplicados igualmente a todos os trabalhadores, americanos e estrang"&amp;"eiros/H-2B. Os trabalhadores estão sujeitos a verificações de antecedentes criminais antes e depois da contratação, pagas pelo empregador e aplicadas igualmente a todos os trabalhadores, sejam eles americanos ou estrangeiros/com visto H-2B. Os trabalhador"&amp;"es elegíveis, autorizados e qualificados para dirigir veículos, podem ser designados para transportar outros trabalhadores entre as acomodações fornecidas pelo empregador e os locais de trabalho designados, ou entre os locais de trabalho, conforme necessá"&amp;"rio. Todo o tempo gasto dirigindo a mando do empregador será considerado hora trabalhada e será remunerado de acordo com a taxa horária aplicável. Número de horas por semana: 40. Horário de trabalho (início/término): 7h às 17h.")</f>
        <v>O Cozinheiro de Produção é responsável pelo preparo e manuseio de alimentos em nossa cozinha industrial para atender ao aumento da demanda no inverno e para formar estoque para períodos de redução de mão de obra, principalmente quando a equipe está focada na produção de carne durante o verão. Esta função envolve operar e manter máquinas e equipamentos de produção, seguindo os Procedimentos Operacionais Padrão (POPs) e as diretrizes de sanitização para garantir a segurança e a higiene. O Cozinheiro de Produção embala os produtos acabados para distribuição e venda, reporta quaisquer defeitos nos equipamentos ou problemas de segurança ao supervisor e colabora com os membros da equipe para atingir as metas de produção. Sob a supervisão do Supervisor da Fábrica, o cozinheiro prepara os produtos de acordo com receitas padronizadas e controles de porcionamento, auxilia nas tarefas de limpeza da cozinha, área de embalagem e outras zonas designadas, e preenche todos os registros necessários para garantir a conformidade com as diretrizes e procedimentos do USDA (Departamento de Agricultura dos Estados Unidos). Outras tarefas, conforme designadas, também podem fazer parte desta função. O Cozinheiro de Produção preparará produtos à base de carne, incluindo carne de porco desfiada, chili para cachorro-quente, chili com feijão e recheio para tacos. O método de cozimento é a fervura. O cozinheiro opera caldeiras industriais para cozinhar os produtos até as temperaturas internas necessárias, em conformidade com os padrões de tratamento térmico do USDA. O cozinheiro monitora a temperatura das caldeiras, ajusta as configurações de calor e garante a consistência do produto de acordo com as receitas padronizadas e os controles de porcionamento. Esta função dá suporte ao aumento do volume de produção no inverno e cria estoque para períodos de mão de obra reduzida, principalmente quando a equipe está focada na produção de carne durante o verão. O cozinheiro de produção operará equipamentos e ferramentas comerciais de produção de alimentos, incluindo o uso de caldeiras a gás comerciais de 60 galões, pás e garfos de aço inoxidável, abridor de latas comercial, liquidificador de imersão com rebarbas, balança eletrônica e impressora de etiquetas, facas, baldes, copos medidores, panelas, conchas, termômetros, aplicador de fita adesiva, congelador de ar forçado, moedor, paleteira e etiquetadora de datas. O cozinheiro de produção é responsável pelo preparo e manuseio de alimentos em uma planta monitorada pelo USDA para produtos alimentícios termicamente processados. Classificação do Cargo: 51-3093.00 - Operadores e Auxiliares de Máquinas de Cozimento de Alimentos. A classificação e descrição do cargo/setor incluem informações gerais sobre a posição da ONET/OES e do Sistema de Classificação Industrial da América do Norte. Consulte as Funções e a Ordem de Serviço para obter mais informações. Requisitos da Vaga Experiência Necessária: Sim Meses de Experiência Necessários: 1 Requisitos Especiais: Os candidatos devem ser capazes de seguir receitas e instruções escritas para cozinhar e embalar alimentos, com muita atenção aos detalhes e compromisso com a qualidade. É essencial ter conhecimento básico de segurança alimentar e práticas de higiene. A função exige a capacidade de trabalhar em um ambiente frio e dinâmico, permanecendo em pé e caminhando por longos períodos. As capacidades físicas incluem levantar, carregar e posicionar até 9 kg regularmente, até 23 kg frequentemente e até 45 kg ocasionalmente. Os funcionários devem se curvar, alcançar acima da altura dos ombros, agarrar objetos, subir, ajoelhar, agachar, girar e ficar em pé com frequência durante o turno, com capacidade de empurrar e puxar até 68 kg ocasionalmente. Também é necessário usar as mãos e os dedos para manusear objetos, ferramentas ou controles. O ambiente de trabalho é mantido a aproximadamente 4°C. Os trabalhadores estarão sujeitos a testes de drogas pré-emprego e aleatórios, pagos pelo empregador e aplicados igualmente a todos os trabalhadores, americanos e estrangeiros/H-2B. Os trabalhadores estão sujeitos a verificações de antecedentes criminais antes e depois da contratação, pagas pelo empregador e aplicadas igualmente a todos os trabalhadores, sejam eles americanos ou estrangeiros/com visto H-2B. Os trabalhadores elegíveis, autorizados e qualificados para dirigir veículos, podem ser designados para transportar outros trabalhadores entre as acomodações fornecidas pelo empregador e os locais de trabalho designados, ou entre os locais de trabalho, conforme necessário. Todo o tempo gasto dirigindo a mando do empregador será considerado hora trabalhada e será remunerado de acordo com a taxa horária aplicável. Número de horas por semana: 40. Horário de trabalho (início/término): 7h às 17h.</v>
      </c>
    </row>
    <row r="1502" ht="20.25" customHeight="1">
      <c r="A1502" s="3" t="s">
        <v>6681</v>
      </c>
      <c r="B1502" s="3" t="s">
        <v>6682</v>
      </c>
      <c r="C1502" s="3" t="s">
        <v>444</v>
      </c>
      <c r="D1502" s="3" t="s">
        <v>596</v>
      </c>
      <c r="E1502" s="4" t="s">
        <v>19</v>
      </c>
      <c r="F1502" s="4" t="s">
        <v>20</v>
      </c>
      <c r="G1502" s="4" t="s">
        <v>118</v>
      </c>
      <c r="H1502" s="3" t="s">
        <v>6683</v>
      </c>
      <c r="I1502" s="3" t="s">
        <v>6684</v>
      </c>
      <c r="J1502" s="4">
        <v>18.76</v>
      </c>
      <c r="K1502" s="4">
        <v>6.0</v>
      </c>
      <c r="L1502" s="3" t="s">
        <v>165</v>
      </c>
      <c r="M1502" s="3" t="s">
        <v>6685</v>
      </c>
      <c r="N1502" s="7" t="str">
        <f>IFERROR(__xludf.DUMMYFUNCTION("GOOGLETRANSLATE(L1502, ""en"", ""pt"")"),"Trabalhador de remoção de neve")</f>
        <v>Trabalhador de remoção de neve</v>
      </c>
      <c r="O1502" s="7" t="str">
        <f>IFERROR(__xludf.DUMMYFUNCTION("IF(M1502="""","""",GOOGLETRANSLATE(M1502,""en"",""pt""))"),"Os trabalhadores realizarão serviços sazonais de remoção de neve e manutenção de áreas externas no inverno, exclusivamente em propriedades residenciais e comerciais. As tarefas incluem remover a neve manualmente de calçadas, entradas, escadas, ao redor de"&amp;" postes de acesso para deficientes e em portas de saída de emergência, além de espalhar sal nessas áreas. Os trabalhadores operarão sopradores de neve manuais/de mochila (não regulamentados pelo Departamento de Transportes dos EUA) para a remoção da neve."&amp;" Outras tarefas incluem coleta de lixo, limpeza de detritos, demarcação de propriedades e limpeza e preparação de equipamentos para a temporada de inverno. O trabalho é realizado apenas em propriedades privadas ou contratadas por empresas privadas e não i"&amp;"nclui a manutenção de vias públicas, rodovias ou infraestrutura municipal. Salário: O salário base é de US$ 18,76/hora. Um adicional de hora extra de US$ 28,14/hora será pago quando exigido por lei federal, estadual ou municipal, incluindo hora e meia apó"&amp;"s 40 horas semanais de trabalho. O empregador poderá oferecer aumentos/bônus aos funcionários temporários contratados sob esta ordem de serviço, a seu exclusivo critério, com base em fatores individuais como desempenho, habilidades e tempo de serviço. Os "&amp;"salários serão calculados com base em uma semana de trabalho. Os funcionários receberão pagamento semanalmente. Horário: Os turnos podem variar, mas um dia de trabalho típico é das 7h às 15h, de segunda a sexta-feira. A carga horária esperada é de aproxim"&amp;"adamente 35 horas semanais. O empregador poderá oferecer mais horas do que o especificado, dependendo das necessidades da empresa e de outras condições. O empregador fornecerá transporte diário de ida e volta ao local de trabalho sem custo para o trabalha"&amp;"dor. O uso do transporte é voluntário. O empregador fornece transporte diário entre os locais de trabalho. Classificação do Cargo: 37-2011.00 - Zeladores e Faxineiros, exceto Empregadas Domésticas e Faxineiros. A classificação e descrição do cargo/setor i"&amp;"ncluem informações gerais sobre a posição, de acordo com o ONET/OES e o Sistema de Classificação Industrial da América do Norte. Consulte as Funções e a Ordem de Serviço para obter mais informações. Requisitos da vaga Experiência necessária: Não Requisito"&amp;"s especiais: Os funcionários poderão ser solicitados a trabalhar à noite e nos fins de semana quando as condições climáticas exigirem ajustes na escala de trabalho. Número de horas por semana: 35 Horário de trabalho (início/término): 7h às 15h")</f>
        <v>Os trabalhadores realizarão serviços sazonais de remoção de neve e manutenção de áreas externas no inverno, exclusivamente em propriedades residenciais e comerciais. As tarefas incluem remover a neve manualmente de calçadas, entradas, escadas, ao redor de postes de acesso para deficientes e em portas de saída de emergência, além de espalhar sal nessas áreas. Os trabalhadores operarão sopradores de neve manuais/de mochila (não regulamentados pelo Departamento de Transportes dos EUA) para a remoção da neve. Outras tarefas incluem coleta de lixo, limpeza de detritos, demarcação de propriedades e limpeza e preparação de equipamentos para a temporada de inverno. O trabalho é realizado apenas em propriedades privadas ou contratadas por empresas privadas e não inclui a manutenção de vias públicas, rodovias ou infraestrutura municipal. Salário: O salário base é de US$ 18,76/hora. Um adicional de hora extra de US$ 28,14/hora será pago quando exigido por lei federal, estadual ou municipal, incluindo hora e meia após 40 horas semanais de trabalho. O empregador poderá oferecer aumentos/bônus aos funcionários temporários contratados sob esta ordem de serviço, a seu exclusivo critério, com base em fatores individuais como desempenho, habilidades e tempo de serviço. Os salários serão calculados com base em uma semana de trabalho. Os funcionários receberão pagamento semanalmente. Horário: Os turnos podem variar, mas um dia de trabalho típico é das 7h às 15h, de segunda a sexta-feira. A carga horária esperada é de aproximadamente 35 horas semanais. O empregador poderá oferecer mais horas do que o especificado, dependendo das necessidades da empresa e de outras condições. O empregador fornecerá transporte diário de ida e volta ao local de trabalho sem custo para o trabalhador. O uso do transporte é voluntário. O empregador fornece transporte diário entre os locais de trabalho. Classificação do Cargo: 37-2011.00 - Zeladores e Faxineiros, exceto Empregadas Domésticas e Faxineiros. A classificação e descrição do cargo/setor incluem informações gerais sobre a posição, de acordo com o ONET/OES e o Sistema de Classificação Industrial da América do Norte. Consulte as Funções e a Ordem de Serviço para obter mais informações. Requisitos da vaga Experiência necessária: Não Requisitos especiais: Os funcionários poderão ser solicitados a trabalhar à noite e nos fins de semana quando as condições climáticas exigirem ajustes na escala de trabalho. Número de horas por semana: 35 Horário de trabalho (início/término): 7h às 15h</v>
      </c>
    </row>
    <row r="1503" ht="20.25" customHeight="1">
      <c r="A1503" s="8" t="s">
        <v>6686</v>
      </c>
      <c r="B1503" s="8" t="s">
        <v>6687</v>
      </c>
      <c r="C1503" s="8" t="s">
        <v>6247</v>
      </c>
      <c r="D1503" s="8" t="s">
        <v>109</v>
      </c>
      <c r="E1503" s="9" t="s">
        <v>19</v>
      </c>
      <c r="F1503" s="9" t="s">
        <v>20</v>
      </c>
      <c r="G1503" s="9" t="s">
        <v>80</v>
      </c>
      <c r="H1503" s="8" t="s">
        <v>6688</v>
      </c>
      <c r="I1503" s="8" t="s">
        <v>6689</v>
      </c>
      <c r="J1503" s="9">
        <v>17.14</v>
      </c>
      <c r="K1503" s="9">
        <v>3.0</v>
      </c>
      <c r="L1503" s="8" t="s">
        <v>6250</v>
      </c>
      <c r="M1503" s="8" t="s">
        <v>6527</v>
      </c>
      <c r="N1503" s="7" t="str">
        <f>IFERROR(__xludf.DUMMYFUNCTION("GOOGLETRANSLATE(L1503, ""en"", ""pt"")"),"tratador de cavalos de corrida puro-sangue")</f>
        <v>tratador de cavalos de corrida puro-sangue</v>
      </c>
      <c r="O1503" s="7" t="str">
        <f>IFERROR(__xludf.DUMMYFUNCTION("IF(M1503="""","""",GOOGLETRANSLATE(M1503,""en"",""pt""))"),"Responsável pelos cuidados gerais de cavalos de corrida puro-sangue, incluindo alimentação, fornecimento de água, manutenção de baias e estábulos, limpeza, escovação, exercícios, casqueamento, desinfecção de baias e camas, administração de medicamentos co"&amp;"nforme prescrição e inspeção da condição física dos cavalos. Levantará as patas e limpará os cascos dos cavalos, aplicando linimentos e bandagens conforme necessário. Cuidará de 1 a 5 cavalos por vez. Turno dividido: das 5h às 11h e das 15h às 17h. Folgas"&amp;" rotativas. Classificação da vaga: 39-2021.00 - Cuidadores de Animais. A classificação e descrição da vaga/setor incluem informações gerais sobre o cargo, de acordo com o ONET/OES e o Sistema de Classificação Industrial da América do Norte. Consulte as Fu"&amp;"nções e a Ordem de Serviço para obter mais informações. Requisitos da vaga: Experiência necessária: Sim. Meses de experiência necessários: 1. Requisitos especiais: Deve ser capaz de levantar 23 kg. Número de horas por semana: 56. Horário de trabalho (iníc"&amp;"io/término): 5h. - 17h00")</f>
        <v>Responsável pelos cuidados gerais de cavalos de corrida puro-sangue, incluindo alimentação, fornecimento de água, manutenção de baias e estábulos, limpeza, escovação, exercícios, casqueamento, desinfecção de baias e camas, administração de medicamentos conforme prescrição e inspeção da condição física dos cavalos. Levantará as patas e limpará os cascos dos cavalos, aplicando linimentos e bandagens conforme necessário. Cuidará de 1 a 5 cavalos por vez. Turno dividido: das 5h às 11h e das 15h às 17h. Folgas rotativas. Classificação da vaga: 39-2021.00 - Cuidadores de Animais. A classificação e descrição da vaga/setor incluem informações gerais sobre o cargo, de acordo com o ONET/OES e o Sistema de Classificação Industrial da América do Norte. Consulte as Funções e a Ordem de Serviço para obter mais informações. Requisitos da vaga: Experiência necessária: Sim. Meses de experiência necessários: 1. Requisitos especiais: Deve ser capaz de levantar 23 kg. Número de horas por semana: 56. Horário de trabalho (início/término): 5h. - 17h00</v>
      </c>
    </row>
    <row r="1504" ht="20.25" customHeight="1">
      <c r="A1504" s="3" t="s">
        <v>6690</v>
      </c>
      <c r="B1504" s="3" t="s">
        <v>6691</v>
      </c>
      <c r="C1504" s="3" t="s">
        <v>6692</v>
      </c>
      <c r="D1504" s="3" t="s">
        <v>795</v>
      </c>
      <c r="E1504" s="4" t="s">
        <v>19</v>
      </c>
      <c r="F1504" s="4" t="s">
        <v>20</v>
      </c>
      <c r="G1504" s="4" t="s">
        <v>6693</v>
      </c>
      <c r="H1504" s="3" t="s">
        <v>6694</v>
      </c>
      <c r="I1504" s="3" t="s">
        <v>6695</v>
      </c>
      <c r="J1504" s="4">
        <v>14.51</v>
      </c>
      <c r="K1504" s="4">
        <v>1.0</v>
      </c>
      <c r="L1504" s="3" t="s">
        <v>387</v>
      </c>
      <c r="M1504" s="3" t="s">
        <v>6696</v>
      </c>
      <c r="N1504" s="7" t="str">
        <f>IFERROR(__xludf.DUMMYFUNCTION("GOOGLETRANSLATE(L1504, ""en"", ""pt"")"),"Ordem de serviço não disponível")</f>
        <v>Ordem de serviço não disponível</v>
      </c>
      <c r="O1504" s="7" t="str">
        <f>IFERROR(__xludf.DUMMYFUNCTION("IF(M1504="""","""",GOOGLETRANSLATE(M1504,""en"",""pt""))"),"Cuidar da criança e realizar todas as tarefas relacionadas aos cuidados infantis, preparar refeições e lanches, auxiliar na higiene da criança, incluindo escovar os dentes, vestir a criança adequadamente para suas atividades, ensinar comportamentos sociai"&amp;"s apropriados, supervisionar as atividades da criança e monitorar sua segurança em todos os momentos, colocar a criança para dormir durante os cochilos, trabalhar com os pais para definir diretrizes disciplinares apropriadas e para o crescimento e desenvo"&amp;"lvimento social da criança, supervisionar as brincadeiras com os amigos da criança, organizar e conduzir atividades recreativas adequadas à idade, como jogos, artes e artesanato e esportes. Classificação da vaga: 39-9011.01 - Babás. A classificação e desc"&amp;"rição da vaga/setor incluem informações gerais sobre o cargo, de acordo com o ONET/OES e o Sistema de Classificação Industrial da América do Norte. Consulte as Funções e a Ordem de Serviço para obter mais informações. Requisitos da vaga: Experiência exigi"&amp;"da: Sim. Meses de experiência exigidos: 12. Número de horas por semana: 40. Horário de trabalho (início/término): 9h às 17h.")</f>
        <v>Cuidar da criança e realizar todas as tarefas relacionadas aos cuidados infantis, preparar refeições e lanches, auxiliar na higiene da criança, incluindo escovar os dentes, vestir a criança adequadamente para suas atividades, ensinar comportamentos sociais apropriados, supervisionar as atividades da criança e monitorar sua segurança em todos os momentos, colocar a criança para dormir durante os cochilos, trabalhar com os pais para definir diretrizes disciplinares apropriadas e para o crescimento e desenvolvimento social da criança, supervisionar as brincadeiras com os amigos da criança, organizar e conduzir atividades recreativas adequadas à idade, como jogos, artes e artesanato e esportes. Classificação da vaga: 39-9011.01 - Babás. A classificação e descrição da vaga/setor incluem informações gerais sobre o cargo, de acordo com o ONET/OES e o Sistema de Classificação Industrial da América do Norte. Consulte as Funções e a Ordem de Serviço para obter mais informações. Requisitos da vaga: Experiência exigida: Sim. Meses de experiência exigidos: 12. Número de horas por semana: 40. Horário de trabalho (início/término): 9h às 17h.</v>
      </c>
    </row>
    <row r="1505" ht="20.25" customHeight="1">
      <c r="A1505" s="8" t="s">
        <v>6697</v>
      </c>
      <c r="B1505" s="8" t="s">
        <v>6698</v>
      </c>
      <c r="C1505" s="8" t="s">
        <v>6282</v>
      </c>
      <c r="D1505" s="8" t="s">
        <v>64</v>
      </c>
      <c r="E1505" s="9" t="s">
        <v>19</v>
      </c>
      <c r="F1505" s="9" t="s">
        <v>20</v>
      </c>
      <c r="G1505" s="9" t="s">
        <v>307</v>
      </c>
      <c r="H1505" s="8" t="s">
        <v>6699</v>
      </c>
      <c r="I1505" s="8" t="s">
        <v>6700</v>
      </c>
      <c r="J1505" s="9">
        <v>23.31</v>
      </c>
      <c r="K1505" s="9">
        <v>6.0</v>
      </c>
      <c r="L1505" s="8" t="s">
        <v>6563</v>
      </c>
      <c r="M1505" s="8" t="s">
        <v>6701</v>
      </c>
      <c r="N1505" s="7" t="str">
        <f>IFERROR(__xludf.DUMMYFUNCTION("GOOGLETRANSLATE(L1505, ""en"", ""pt"")"),"Acabador de concreto")</f>
        <v>Acabador de concreto</v>
      </c>
      <c r="O1505" s="7" t="str">
        <f>IFERROR(__xludf.DUMMYFUNCTION("IF(M1505="""","""",GOOGLETRANSLATE(M1505,""en"",""pt""))"),"Acabador de concreto para piscinas. Irá montar as fôrmas para receber o concreto; verificar se as fôrmas estão construídas corretamente de acordo com as especificações do arquiteto; projetar o concreto com uma máquina de gunite nas fôrmas; após a projeção"&amp;" do concreto, espalhar e alisar o concreto usando ferramentas básicas como níveis, pás e colheres de pedreiro; remover, raspar e lixar pontos altos, saliências e projeções ásperas para dar acabamento ao concreto, usando cinzéis pneumáticos, esmerilhadeira"&amp;"s ou ferramentas manuais; umedecer a superfície do concreto e esfregá-la com pedra para alisá-la e obter o acabamento especificado; ser capaz de ler plantas; ser capaz de sinalizar para motoristas e outros funcionários direcionarem a projeção de gunite pa"&amp;"ra as áreas especificadas; verificar se o concreto está alinhado e na profundidade correta; limpar os equipamentos e as áreas de trabalho. Todas as ferramentas são fornecidas pelo empregador. Classificação da vaga: 47-2051.00 - Pedreiros e Acabadores de C"&amp;"oncreto. A classificação e descrição da vaga/indústria incluem informações gerais sobre o cargo, de acordo com o ONET/OES e o Sistema de Classificação Industrial da América do Norte. Consulte as Funções e a Ordem de Serviço para obter mais informações. Re"&amp;"quisitos da Vaga Experiência Necessária: Sim Meses de Experiência Necessários: 1 Requisitos Especiais: DEVE SER CAPAZ DE LEVANTAR 23 KG. TESTE DE DROGAS PRÉ-ADMISSÃO OBRIGATÓRIO, TESTES DE DROGAS ALEATÓRIOS DURANTE O EMPREGO POR JUSTA CAUSA. CAPACIDADE FÍ"&amp;"SICA NECESSÁRIA PARA AGACHAR, RASTEJAR, AJOELHAR, DOBRAR E MANOBRAR EM ESPAÇOS PEQUENOS. TRABALHADORES COM VISTO H-2B TERÃO VERIFICAÇÃO DE ANTECEDENTES E TESTE DE DROGAS APÓS A CHEGADA AOS EUA, ANTES DO INÍCIO DO TRABALHO, ÀS CUSTAS DO EMPREGADOR. TRABALH"&amp;"ADORES COM VISTO H-2B QUE NÃO FOREM APROVADOS NA VERIFICAÇÃO DE ANTECEDENTES OU NO TESTE DE DROGAS TERÃO O TRANSPORTE DE RETORNO PAGO PELO EMPREGADOR. Número de Horas por Semana: 40 Horário de Trabalho (Início/Término): 6h00 - 18h00")</f>
        <v>Acabador de concreto para piscinas. Irá montar as fôrmas para receber o concreto; verificar se as fôrmas estão construídas corretamente de acordo com as especificações do arquiteto; projetar o concreto com uma máquina de gunite nas fôrmas; após a projeção do concreto, espalhar e alisar o concreto usando ferramentas básicas como níveis, pás e colheres de pedreiro; remover, raspar e lixar pontos altos, saliências e projeções ásperas para dar acabamento ao concreto, usando cinzéis pneumáticos, esmerilhadeiras ou ferramentas manuais; umedecer a superfície do concreto e esfregá-la com pedra para alisá-la e obter o acabamento especificado; ser capaz de ler plantas; ser capaz de sinalizar para motoristas e outros funcionários direcionarem a projeção de gunite para as áreas especificadas; verificar se o concreto está alinhado e na profundidade correta; limpar os equipamentos e as áreas de trabalho. Todas as ferramentas são fornecidas pelo empregador. Classificação da vaga: 47-2051.00 - Pedreiros e Acabadores de Concreto. A classificação e descrição da vaga/indústria incluem informações gerais sobre o cargo, de acordo com o ONET/OES e o Sistema de Classificação Industrial da América do Norte. Consulte as Funções e a Ordem de Serviço para obter mais informações. Requisitos da Vaga Experiência Necessária: Sim Meses de Experiência Necessários: 1 Requisitos Especiais: DEVE SER CAPAZ DE LEVANTAR 23 KG. TESTE DE DROGAS PRÉ-ADMISSÃO OBRIGATÓRIO, TESTES DE DROGAS ALEATÓRIOS DURANTE O EMPREGO POR JUSTA CAUSA. CAPACIDADE FÍSICA NECESSÁRIA PARA AGACHAR, RASTEJAR, AJOELHAR, DOBRAR E MANOBRAR EM ESPAÇOS PEQUENOS. TRABALHADORES COM VISTO H-2B TERÃO VERIFICAÇÃO DE ANTECEDENTES E TESTE DE DROGAS APÓS A CHEGADA AOS EUA, ANTES DO INÍCIO DO TRABALHO, ÀS CUSTAS DO EMPREGADOR. TRABALHADORES COM VISTO H-2B QUE NÃO FOREM APROVADOS NA VERIFICAÇÃO DE ANTECEDENTES OU NO TESTE DE DROGAS TERÃO O TRANSPORTE DE RETORNO PAGO PELO EMPREGADOR. Número de Horas por Semana: 40 Horário de Trabalho (Início/Término): 6h00 - 18h00</v>
      </c>
    </row>
    <row r="1506" ht="20.25" customHeight="1">
      <c r="A1506" s="3" t="s">
        <v>6702</v>
      </c>
      <c r="B1506" s="3" t="s">
        <v>6703</v>
      </c>
      <c r="C1506" s="3" t="s">
        <v>6282</v>
      </c>
      <c r="D1506" s="3" t="s">
        <v>154</v>
      </c>
      <c r="E1506" s="4" t="s">
        <v>19</v>
      </c>
      <c r="F1506" s="4" t="s">
        <v>20</v>
      </c>
      <c r="G1506" s="4" t="s">
        <v>345</v>
      </c>
      <c r="H1506" s="3" t="s">
        <v>6704</v>
      </c>
      <c r="I1506" s="3" t="s">
        <v>6705</v>
      </c>
      <c r="J1506" s="4">
        <v>19.18</v>
      </c>
      <c r="K1506" s="4">
        <v>20.0</v>
      </c>
      <c r="L1506" s="3" t="s">
        <v>6706</v>
      </c>
      <c r="M1506" s="3" t="s">
        <v>6707</v>
      </c>
      <c r="N1506" s="7" t="str">
        <f>IFERROR(__xludf.DUMMYFUNCTION("GOOGLETRANSLATE(L1506, ""en"", ""pt"")"),"Ajudantes/carpinteiros")</f>
        <v>Ajudantes/carpinteiros</v>
      </c>
      <c r="O1506" s="7" t="str">
        <f>IFERROR(__xludf.DUMMYFUNCTION("IF(M1506="""","""",GOOGLETRANSLATE(M1506,""en"",""pt""))"),"Limpar áreas de trabalho, máquinas ou equipamentos para manter um local de trabalho limpo e seguro. Fixar vigas ou peças de madeira com cola, parafusos, cavilhas ou pregos e instalar ferragens. Realizar o planejamento do espaçamento das travessas e medir,"&amp;" marcar, furar ou cortar. Selecionar ferramentas, equipamentos ou materiais do estoque e transportá-los para o local de trabalho. Furar vigas ou peças de madeira. Classificação da função: 47-3012.00 - Ajudantes de Carpinteiro. A classificação e descrição "&amp;"da função/setor inclui informações gerais sobre o cargo, de acordo com o ONET/OES e o Sistema de Classificação Industrial da América do Norte (NAICS). Consulte as Funções e a Ordem de Serviço para obter mais informações. Requisitos da vaga: Experiência ne"&amp;"cessária: Sim. Meses de experiência necessários: 1. Requisitos especiais: Deve ser capaz de levantar 23 kg. Número de horas por semana: 40. Horário de trabalho (início/término): 8h às 17h.")</f>
        <v>Limpar áreas de trabalho, máquinas ou equipamentos para manter um local de trabalho limpo e seguro. Fixar vigas ou peças de madeira com cola, parafusos, cavilhas ou pregos e instalar ferragens. Realizar o planejamento do espaçamento das travessas e medir, marcar, furar ou cortar. Selecionar ferramentas, equipamentos ou materiais do estoque e transportá-los para o local de trabalho. Furar vigas ou peças de madeira. Classificação da função: 47-3012.00 - Ajudantes de Carpinteiro. A classificação e descrição da função/setor inclui informações gerais sobre o cargo, de acordo com o ONET/OES e o Sistema de Classificação Industrial da América do Norte (NAICS). Consulte as Funções e a Ordem de Serviço para obter mais informações. Requisitos da vaga: Experiência necessária: Sim. Meses de experiência necessários: 1. Requisitos especiais: Deve ser capaz de levantar 23 kg. Número de horas por semana: 40. Horário de trabalho (início/término): 8h às 17h.</v>
      </c>
    </row>
    <row r="1507" ht="20.25" customHeight="1">
      <c r="A1507" s="8" t="s">
        <v>6708</v>
      </c>
      <c r="B1507" s="8" t="s">
        <v>6709</v>
      </c>
      <c r="C1507" s="8" t="s">
        <v>6247</v>
      </c>
      <c r="D1507" s="8" t="s">
        <v>254</v>
      </c>
      <c r="E1507" s="9" t="s">
        <v>44</v>
      </c>
      <c r="F1507" s="9" t="s">
        <v>20</v>
      </c>
      <c r="G1507" s="9" t="s">
        <v>80</v>
      </c>
      <c r="H1507" s="8" t="s">
        <v>6710</v>
      </c>
      <c r="I1507" s="8" t="s">
        <v>6711</v>
      </c>
      <c r="J1507" s="9">
        <v>16.37</v>
      </c>
      <c r="K1507" s="9">
        <v>4.0</v>
      </c>
      <c r="L1507" s="8" t="s">
        <v>6250</v>
      </c>
      <c r="M1507" s="8" t="s">
        <v>6527</v>
      </c>
      <c r="N1507" s="7" t="str">
        <f>IFERROR(__xludf.DUMMYFUNCTION("GOOGLETRANSLATE(L1507, ""en"", ""pt"")"),"tratador de cavalos de corrida puro-sangue")</f>
        <v>tratador de cavalos de corrida puro-sangue</v>
      </c>
      <c r="O1507" s="7" t="str">
        <f>IFERROR(__xludf.DUMMYFUNCTION("IF(M1507="""","""",GOOGLETRANSLATE(M1507,""en"",""pt""))"),"Responsável pelos cuidados gerais de cavalos de corrida puro-sangue, incluindo alimentação, fornecimento de água, manutenção de baias e estábulos, limpeza, escovação, exercícios, casqueamento, desinfecção de baias e camas, administração de medicamentos co"&amp;"nforme prescrição e inspeção da condição física dos cavalos. Levantará as patas e limpará os cascos dos cavalos, aplicando linimentos e bandagens conforme necessário. Cuidará de 1 a 5 cavalos por vez. Turno dividido: das 5h às 11h e das 15h às 17h. Folgas"&amp;" rotativas. Classificação da vaga: 39-2021.00 - Cuidadores de Animais. A classificação e descrição da vaga/setor incluem informações gerais sobre o cargo, de acordo com o ONET/OES e o Sistema de Classificação Industrial da América do Norte. Consulte as Fu"&amp;"nções e a Ordem de Serviço para obter mais informações. Requisitos da vaga: Experiência necessária: Sim. Meses de experiência necessários: 1. Requisitos especiais: Deve ser capaz de levantar 23 kg. Número de horas por semana: 56. Horário de trabalho (iníc"&amp;"io/término): 5h. - 17h00")</f>
        <v>Responsável pelos cuidados gerais de cavalos de corrida puro-sangue, incluindo alimentação, fornecimento de água, manutenção de baias e estábulos, limpeza, escovação, exercícios, casqueamento, desinfecção de baias e camas, administração de medicamentos conforme prescrição e inspeção da condição física dos cavalos. Levantará as patas e limpará os cascos dos cavalos, aplicando linimentos e bandagens conforme necessário. Cuidará de 1 a 5 cavalos por vez. Turno dividido: das 5h às 11h e das 15h às 17h. Folgas rotativas. Classificação da vaga: 39-2021.00 - Cuidadores de Animais. A classificação e descrição da vaga/setor incluem informações gerais sobre o cargo, de acordo com o ONET/OES e o Sistema de Classificação Industrial da América do Norte. Consulte as Funções e a Ordem de Serviço para obter mais informações. Requisitos da vaga: Experiência necessária: Sim. Meses de experiência necessários: 1. Requisitos especiais: Deve ser capaz de levantar 23 kg. Número de horas por semana: 56. Horário de trabalho (início/término): 5h. - 17h00</v>
      </c>
    </row>
    <row r="1508" ht="20.25" customHeight="1">
      <c r="A1508" s="3" t="s">
        <v>6712</v>
      </c>
      <c r="B1508" s="3" t="s">
        <v>6713</v>
      </c>
      <c r="C1508" s="3" t="s">
        <v>6247</v>
      </c>
      <c r="D1508" s="3" t="s">
        <v>154</v>
      </c>
      <c r="E1508" s="4" t="s">
        <v>19</v>
      </c>
      <c r="F1508" s="4" t="s">
        <v>20</v>
      </c>
      <c r="G1508" s="4" t="s">
        <v>345</v>
      </c>
      <c r="H1508" s="3" t="s">
        <v>6714</v>
      </c>
      <c r="I1508" s="3" t="s">
        <v>6715</v>
      </c>
      <c r="J1508" s="4">
        <v>14.55</v>
      </c>
      <c r="K1508" s="4">
        <v>3.0</v>
      </c>
      <c r="L1508" s="3" t="s">
        <v>6250</v>
      </c>
      <c r="M1508" s="3" t="s">
        <v>6527</v>
      </c>
      <c r="N1508" s="7" t="str">
        <f>IFERROR(__xludf.DUMMYFUNCTION("GOOGLETRANSLATE(L1508, ""en"", ""pt"")"),"tratador de cavalos de corrida puro-sangue")</f>
        <v>tratador de cavalos de corrida puro-sangue</v>
      </c>
      <c r="O1508" s="7" t="str">
        <f>IFERROR(__xludf.DUMMYFUNCTION("IF(M1508="""","""",GOOGLETRANSLATE(M1508,""en"",""pt""))"),"Responsável pelos cuidados gerais de cavalos de corrida puro-sangue, incluindo alimentação, fornecimento de água, manutenção de baias e estábulos, limpeza, escovação, exercícios, casqueamento, desinfecção de baias e camas, administração de medicamentos co"&amp;"nforme prescrição e inspeção da condição física dos cavalos. Levantará as patas e limpará os cascos dos cavalos, aplicando linimentos e bandagens conforme necessário. Cuidará de 1 a 5 cavalos por vez. Turno dividido: das 5h às 11h e das 15h às 17h. Folgas"&amp;" rotativas. Classificação da vaga: 39-2021.00 - Cuidadores de Animais. A classificação e descrição da vaga/setor incluem informações gerais sobre o cargo, de acordo com o ONET/OES e o Sistema de Classificação Industrial da América do Norte. Consulte as Fu"&amp;"nções e a Ordem de Serviço para obter mais informações. Requisitos da vaga: Experiência necessária: Sim. Meses de experiência necessários: 1. Requisitos especiais: Deve ser capaz de levantar 23 kg. Número de horas por semana: 56. Horário de trabalho (iníc"&amp;"io/término): 5h. - 17h00")</f>
        <v>Responsável pelos cuidados gerais de cavalos de corrida puro-sangue, incluindo alimentação, fornecimento de água, manutenção de baias e estábulos, limpeza, escovação, exercícios, casqueamento, desinfecção de baias e camas, administração de medicamentos conforme prescrição e inspeção da condição física dos cavalos. Levantará as patas e limpará os cascos dos cavalos, aplicando linimentos e bandagens conforme necessário. Cuidará de 1 a 5 cavalos por vez. Turno dividido: das 5h às 11h e das 15h às 17h. Folgas rotativas. Classificação da vaga: 39-2021.00 - Cuidadores de Animais. A classificação e descrição da vaga/setor incluem informações gerais sobre o cargo, de acordo com o ONET/OES e o Sistema de Classificação Industrial da América do Norte. Consulte as Funções e a Ordem de Serviço para obter mais informações. Requisitos da vaga: Experiência necessária: Sim. Meses de experiência necessários: 1. Requisitos especiais: Deve ser capaz de levantar 23 kg. Número de horas por semana: 56. Horário de trabalho (início/término): 5h. - 17h00</v>
      </c>
    </row>
    <row r="1509" ht="20.25" customHeight="1">
      <c r="A1509" s="8" t="s">
        <v>6716</v>
      </c>
      <c r="B1509" s="8" t="s">
        <v>6717</v>
      </c>
      <c r="C1509" s="8" t="s">
        <v>6247</v>
      </c>
      <c r="D1509" s="8" t="s">
        <v>71</v>
      </c>
      <c r="E1509" s="9" t="s">
        <v>19</v>
      </c>
      <c r="F1509" s="9" t="s">
        <v>20</v>
      </c>
      <c r="G1509" s="9" t="s">
        <v>80</v>
      </c>
      <c r="H1509" s="8" t="s">
        <v>6622</v>
      </c>
      <c r="I1509" s="8" t="s">
        <v>6718</v>
      </c>
      <c r="J1509" s="9">
        <v>16.07</v>
      </c>
      <c r="K1509" s="9">
        <v>99.0</v>
      </c>
      <c r="L1509" s="8" t="s">
        <v>6359</v>
      </c>
      <c r="M1509" s="8" t="s">
        <v>6433</v>
      </c>
      <c r="N1509" s="7" t="str">
        <f>IFERROR(__xludf.DUMMYFUNCTION("GOOGLETRANSLATE(L1509, ""en"", ""pt"")"),"tratador de cavalos puro-sangue")</f>
        <v>tratador de cavalos puro-sangue</v>
      </c>
      <c r="O1509" s="7" t="str">
        <f>IFERROR(__xludf.DUMMYFUNCTION("IF(M1509="""","""",GOOGLETRANSLATE(M1509,""en"",""pt""))"),"Responsável pelos cuidados gerais de cavalos de corrida puro-sangue, incluindo alimentação, fornecimento de água, manutenção de baias e estábulos, limpeza, escovação, exercícios, casqueamento, desinfecção de baias e camas, administração de medicamentos co"&amp;"nforme prescrição e inspeção da condição física dos cavalos. Levantará as patas e limpará os cascos dos cavalos, aplicando linimentos e bandagens conforme necessário. Cuidará de 1 a 5 cavalos por vez. Turno dividido: das 5h às 11h e das 15h às 17h. Folgas"&amp;" rotativas. Classificação da vaga: 39-2021.00 - Cuidadores de Animais. A classificação e descrição da vaga/setor incluem informações gerais sobre o cargo, de acordo com o ONET/OES e o Sistema de Classificação Industrial da América do Norte. Consulte as Fu"&amp;"nções e a Ordem de Serviço para obter mais informações. Requisitos da vaga: Experiência necessária: Sim. Meses de experiência necessários: 1. Requisitos especiais: Deve ser capaz de levantar até 23 kg. Número de horas por semana: 56. Horário de trabalho ("&amp;"início/término): 5h. - 17h00")</f>
        <v>Responsável pelos cuidados gerais de cavalos de corrida puro-sangue, incluindo alimentação, fornecimento de água, manutenção de baias e estábulos, limpeza, escovação, exercícios, casqueamento, desinfecção de baias e camas, administração de medicamentos conforme prescrição e inspeção da condição física dos cavalos. Levantará as patas e limpará os cascos dos cavalos, aplicando linimentos e bandagens conforme necessário. Cuidará de 1 a 5 cavalos por vez. Turno dividido: das 5h às 11h e das 15h às 17h. Folgas rotativas. Classificação da vaga: 39-2021.00 - Cuidadores de Animais. A classificação e descrição da vaga/setor incluem informações gerais sobre o cargo, de acordo com o ONET/OES e o Sistema de Classificação Industrial da América do Norte. Consulte as Funções e a Ordem de Serviço para obter mais informações. Requisitos da vaga: Experiência necessária: Sim. Meses de experiência necessários: 1. Requisitos especiais: Deve ser capaz de levantar até 23 kg. Número de horas por semana: 56. Horário de trabalho (início/término): 5h. - 17h00</v>
      </c>
    </row>
    <row r="1510" ht="20.25" customHeight="1">
      <c r="A1510" s="3" t="s">
        <v>6719</v>
      </c>
      <c r="B1510" s="3" t="s">
        <v>6720</v>
      </c>
      <c r="C1510" s="3" t="s">
        <v>6247</v>
      </c>
      <c r="D1510" s="3" t="s">
        <v>51</v>
      </c>
      <c r="E1510" s="4" t="s">
        <v>19</v>
      </c>
      <c r="F1510" s="4" t="s">
        <v>20</v>
      </c>
      <c r="G1510" s="4" t="s">
        <v>80</v>
      </c>
      <c r="H1510" s="3" t="s">
        <v>6721</v>
      </c>
      <c r="I1510" s="3" t="s">
        <v>6722</v>
      </c>
      <c r="J1510" s="4">
        <v>14.09</v>
      </c>
      <c r="K1510" s="4">
        <v>4.0</v>
      </c>
      <c r="L1510" s="3" t="s">
        <v>6250</v>
      </c>
      <c r="M1510" s="3" t="s">
        <v>6527</v>
      </c>
      <c r="N1510" s="7" t="str">
        <f>IFERROR(__xludf.DUMMYFUNCTION("GOOGLETRANSLATE(L1510, ""en"", ""pt"")"),"tratador de cavalos de corrida puro-sangue")</f>
        <v>tratador de cavalos de corrida puro-sangue</v>
      </c>
      <c r="O1510" s="7" t="str">
        <f>IFERROR(__xludf.DUMMYFUNCTION("IF(M1510="""","""",GOOGLETRANSLATE(M1510,""en"",""pt""))"),"Responsável pelos cuidados gerais de cavalos de corrida puro-sangue, incluindo alimentação, fornecimento de água, manutenção de baias e estábulos, limpeza, escovação, exercícios, casqueamento, desinfecção de baias e camas, administração de medicamentos co"&amp;"nforme prescrição e inspeção da condição física dos cavalos. Levantará as patas e limpará os cascos dos cavalos, aplicando linimentos e bandagens conforme necessário. Cuidará de 1 a 5 cavalos por vez. Turno dividido: das 5h às 11h e das 15h às 17h. Folgas"&amp;" rotativas. Classificação da vaga: 39-2021.00 - Cuidadores de Animais. A classificação e descrição da vaga/setor incluem informações gerais sobre o cargo, de acordo com o ONET/OES e o Sistema de Classificação Industrial da América do Norte. Consulte as Fu"&amp;"nções e a Ordem de Serviço para obter mais informações. Requisitos da vaga: Experiência necessária: Sim. Meses de experiência necessários: 1. Requisitos especiais: Deve ser capaz de levantar 23 kg. Número de horas por semana: 56. Horário de trabalho (iníc"&amp;"io/término): 5h. - 17h00")</f>
        <v>Responsável pelos cuidados gerais de cavalos de corrida puro-sangue, incluindo alimentação, fornecimento de água, manutenção de baias e estábulos, limpeza, escovação, exercícios, casqueamento, desinfecção de baias e camas, administração de medicamentos conforme prescrição e inspeção da condição física dos cavalos. Levantará as patas e limpará os cascos dos cavalos, aplicando linimentos e bandagens conforme necessário. Cuidará de 1 a 5 cavalos por vez. Turno dividido: das 5h às 11h e das 15h às 17h. Folgas rotativas. Classificação da vaga: 39-2021.00 - Cuidadores de Animais. A classificação e descrição da vaga/setor incluem informações gerais sobre o cargo, de acordo com o ONET/OES e o Sistema de Classificação Industrial da América do Norte. Consulte as Funções e a Ordem de Serviço para obter mais informações. Requisitos da vaga: Experiência necessária: Sim. Meses de experiência necessários: 1. Requisitos especiais: Deve ser capaz de levantar 23 kg. Número de horas por semana: 56. Horário de trabalho (início/término): 5h. - 17h00</v>
      </c>
    </row>
    <row r="1511" ht="20.25" customHeight="1">
      <c r="A1511" s="8" t="s">
        <v>6723</v>
      </c>
      <c r="B1511" s="8" t="s">
        <v>6720</v>
      </c>
      <c r="C1511" s="8" t="s">
        <v>6247</v>
      </c>
      <c r="D1511" s="8" t="s">
        <v>254</v>
      </c>
      <c r="E1511" s="9" t="s">
        <v>44</v>
      </c>
      <c r="F1511" s="9" t="s">
        <v>20</v>
      </c>
      <c r="G1511" s="9" t="s">
        <v>80</v>
      </c>
      <c r="H1511" s="8" t="s">
        <v>6721</v>
      </c>
      <c r="I1511" s="8" t="s">
        <v>6722</v>
      </c>
      <c r="J1511" s="9">
        <v>16.37</v>
      </c>
      <c r="K1511" s="9">
        <v>4.0</v>
      </c>
      <c r="L1511" s="8" t="s">
        <v>6250</v>
      </c>
      <c r="M1511" s="8" t="s">
        <v>6527</v>
      </c>
      <c r="N1511" s="7" t="str">
        <f>IFERROR(__xludf.DUMMYFUNCTION("GOOGLETRANSLATE(L1511, ""en"", ""pt"")"),"tratador de cavalos de corrida puro-sangue")</f>
        <v>tratador de cavalos de corrida puro-sangue</v>
      </c>
      <c r="O1511" s="7" t="str">
        <f>IFERROR(__xludf.DUMMYFUNCTION("IF(M1511="""","""",GOOGLETRANSLATE(M1511,""en"",""pt""))"),"Responsável pelos cuidados gerais de cavalos de corrida puro-sangue, incluindo alimentação, fornecimento de água, manutenção de baias e estábulos, limpeza, escovação, exercícios, casqueamento, desinfecção de baias e camas, administração de medicamentos co"&amp;"nforme prescrição e inspeção da condição física dos cavalos. Levantará as patas e limpará os cascos dos cavalos, aplicando linimentos e bandagens conforme necessário. Cuidará de 1 a 5 cavalos por vez. Turno dividido: das 5h às 11h e das 15h às 17h. Folgas"&amp;" rotativas. Classificação da vaga: 39-2021.00 - Cuidadores de Animais. A classificação e descrição da vaga/setor incluem informações gerais sobre o cargo, de acordo com o ONET/OES e o Sistema de Classificação Industrial da América do Norte. Consulte as Fu"&amp;"nções e a Ordem de Serviço para obter mais informações. Requisitos da vaga: Experiência necessária: Sim. Meses de experiência necessários: 1. Requisitos especiais: Deve ser capaz de levantar 23 kg. Número de horas por semana: 56. Horário de trabalho (iníc"&amp;"io/término): 5h. - 17h00")</f>
        <v>Responsável pelos cuidados gerais de cavalos de corrida puro-sangue, incluindo alimentação, fornecimento de água, manutenção de baias e estábulos, limpeza, escovação, exercícios, casqueamento, desinfecção de baias e camas, administração de medicamentos conforme prescrição e inspeção da condição física dos cavalos. Levantará as patas e limpará os cascos dos cavalos, aplicando linimentos e bandagens conforme necessário. Cuidará de 1 a 5 cavalos por vez. Turno dividido: das 5h às 11h e das 15h às 17h. Folgas rotativas. Classificação da vaga: 39-2021.00 - Cuidadores de Animais. A classificação e descrição da vaga/setor incluem informações gerais sobre o cargo, de acordo com o ONET/OES e o Sistema de Classificação Industrial da América do Norte. Consulte as Funções e a Ordem de Serviço para obter mais informações. Requisitos da vaga: Experiência necessária: Sim. Meses de experiência necessários: 1. Requisitos especiais: Deve ser capaz de levantar 23 kg. Número de horas por semana: 56. Horário de trabalho (início/término): 5h. - 17h00</v>
      </c>
    </row>
    <row r="1512" ht="20.25" customHeight="1">
      <c r="A1512" s="3" t="s">
        <v>6724</v>
      </c>
      <c r="B1512" s="3" t="s">
        <v>6725</v>
      </c>
      <c r="C1512" s="3" t="s">
        <v>6247</v>
      </c>
      <c r="D1512" s="3" t="s">
        <v>71</v>
      </c>
      <c r="E1512" s="4" t="s">
        <v>19</v>
      </c>
      <c r="F1512" s="4" t="s">
        <v>20</v>
      </c>
      <c r="G1512" s="4" t="s">
        <v>345</v>
      </c>
      <c r="H1512" s="3" t="s">
        <v>6726</v>
      </c>
      <c r="I1512" s="3" t="s">
        <v>6727</v>
      </c>
      <c r="J1512" s="4">
        <v>16.67</v>
      </c>
      <c r="K1512" s="4">
        <v>17.0</v>
      </c>
      <c r="L1512" s="3" t="s">
        <v>6250</v>
      </c>
      <c r="M1512" s="3" t="s">
        <v>6508</v>
      </c>
      <c r="N1512" s="7" t="str">
        <f>IFERROR(__xludf.DUMMYFUNCTION("GOOGLETRANSLATE(L1512, ""en"", ""pt"")"),"tratador de cavalos de corrida puro-sangue")</f>
        <v>tratador de cavalos de corrida puro-sangue</v>
      </c>
      <c r="O1512" s="7" t="str">
        <f>IFERROR(__xludf.DUMMYFUNCTION("IF(M1512="""","""",GOOGLETRANSLATE(M1512,""en"",""pt""))"),"Responsável pelos cuidados gerais de cavalos de corrida puro-sangue, incluindo alimentação, fornecimento de água, manutenção de baias e estábulos, limpeza, escovação, exercícios, casqueamento, desinfecção de baias e camas, administração de medicamentos co"&amp;"nforme prescrição e inspeção da condição física dos cavalos. Levantará as patas e limpará os cascos dos cavalos, aplicando linimentos e bandagens conforme necessário. Cuidará de 1 a 5 cavalos por vez. Turno dividido: das 5h às 11h e das 15h às 17h. Folgas"&amp;" rotativas. Classificação da vaga: 39-2021.00 - Cuidadores de Animais. A classificação e descrição da vaga/setor incluem informações gerais sobre o cargo, de acordo com o ONET/OES e o Sistema de Classificação Industrial da América do Norte. Consulte as Fu"&amp;"nções e a Ordem de Serviço para obter mais informações. Requisitos da vaga: Experiência necessária: Sim. Meses de experiência necessários: 1. Requisitos especiais: Deve ser capaz de levantar 23 kg. Número de horas por semana: 56. Horário de trabalho (iníc"&amp;"io/término): 5h. - 17h00")</f>
        <v>Responsável pelos cuidados gerais de cavalos de corrida puro-sangue, incluindo alimentação, fornecimento de água, manutenção de baias e estábulos, limpeza, escovação, exercícios, casqueamento, desinfecção de baias e camas, administração de medicamentos conforme prescrição e inspeção da condição física dos cavalos. Levantará as patas e limpará os cascos dos cavalos, aplicando linimentos e bandagens conforme necessário. Cuidará de 1 a 5 cavalos por vez. Turno dividido: das 5h às 11h e das 15h às 17h. Folgas rotativas. Classificação da vaga: 39-2021.00 - Cuidadores de Animais. A classificação e descrição da vaga/setor incluem informações gerais sobre o cargo, de acordo com o ONET/OES e o Sistema de Classificação Industrial da América do Norte. Consulte as Funções e a Ordem de Serviço para obter mais informações. Requisitos da vaga: Experiência necessária: Sim. Meses de experiência necessários: 1. Requisitos especiais: Deve ser capaz de levantar 23 kg. Número de horas por semana: 56. Horário de trabalho (início/término): 5h. - 17h00</v>
      </c>
    </row>
    <row r="1513" ht="20.25" customHeight="1">
      <c r="A1513" s="8" t="s">
        <v>6728</v>
      </c>
      <c r="B1513" s="8" t="s">
        <v>6729</v>
      </c>
      <c r="C1513" s="8" t="s">
        <v>6247</v>
      </c>
      <c r="D1513" s="8" t="s">
        <v>71</v>
      </c>
      <c r="E1513" s="9" t="s">
        <v>19</v>
      </c>
      <c r="F1513" s="9" t="s">
        <v>20</v>
      </c>
      <c r="G1513" s="9" t="s">
        <v>345</v>
      </c>
      <c r="H1513" s="8" t="s">
        <v>6730</v>
      </c>
      <c r="I1513" s="8" t="s">
        <v>6731</v>
      </c>
      <c r="J1513" s="9">
        <v>18.57</v>
      </c>
      <c r="K1513" s="9">
        <v>12.0</v>
      </c>
      <c r="L1513" s="8" t="s">
        <v>6250</v>
      </c>
      <c r="M1513" s="8" t="s">
        <v>6527</v>
      </c>
      <c r="N1513" s="7" t="str">
        <f>IFERROR(__xludf.DUMMYFUNCTION("GOOGLETRANSLATE(L1513, ""en"", ""pt"")"),"tratador de cavalos de corrida puro-sangue")</f>
        <v>tratador de cavalos de corrida puro-sangue</v>
      </c>
      <c r="O1513" s="7" t="str">
        <f>IFERROR(__xludf.DUMMYFUNCTION("IF(M1513="""","""",GOOGLETRANSLATE(M1513,""en"",""pt""))"),"Responsável pelos cuidados gerais de cavalos de corrida puro-sangue, incluindo alimentação, fornecimento de água, manutenção de baias e estábulos, limpeza, escovação, exercícios, casqueamento, desinfecção de baias e camas, administração de medicamentos co"&amp;"nforme prescrição e inspeção da condição física dos cavalos. Levantará as patas e limpará os cascos dos cavalos, aplicando linimentos e bandagens conforme necessário. Cuidará de 1 a 5 cavalos por vez. Turno dividido: das 5h às 11h e das 15h às 17h. Folgas"&amp;" rotativas. Classificação da vaga: 39-2021.00 - Cuidadores de Animais. A classificação e descrição da vaga/setor incluem informações gerais sobre o cargo, de acordo com o ONET/OES e o Sistema de Classificação Industrial da América do Norte. Consulte as Fu"&amp;"nções e a Ordem de Serviço para obter mais informações. Requisitos da vaga: Experiência necessária: Sim. Meses de experiência necessários: 1. Requisitos especiais: Deve ser capaz de levantar 23 kg. Número de horas por semana: 56. Horário de trabalho (iníc"&amp;"io/término): 5h. - 17h00")</f>
        <v>Responsável pelos cuidados gerais de cavalos de corrida puro-sangue, incluindo alimentação, fornecimento de água, manutenção de baias e estábulos, limpeza, escovação, exercícios, casqueamento, desinfecção de baias e camas, administração de medicamentos conforme prescrição e inspeção da condição física dos cavalos. Levantará as patas e limpará os cascos dos cavalos, aplicando linimentos e bandagens conforme necessário. Cuidará de 1 a 5 cavalos por vez. Turno dividido: das 5h às 11h e das 15h às 17h. Folgas rotativas. Classificação da vaga: 39-2021.00 - Cuidadores de Animais. A classificação e descrição da vaga/setor incluem informações gerais sobre o cargo, de acordo com o ONET/OES e o Sistema de Classificação Industrial da América do Norte. Consulte as Funções e a Ordem de Serviço para obter mais informações. Requisitos da vaga: Experiência necessária: Sim. Meses de experiência necessários: 1. Requisitos especiais: Deve ser capaz de levantar 23 kg. Número de horas por semana: 56. Horário de trabalho (início/término): 5h. - 17h00</v>
      </c>
    </row>
    <row r="1514" ht="20.25" customHeight="1">
      <c r="A1514" s="3" t="s">
        <v>6732</v>
      </c>
      <c r="B1514" s="3" t="s">
        <v>6733</v>
      </c>
      <c r="C1514" s="3" t="s">
        <v>6228</v>
      </c>
      <c r="D1514" s="3" t="s">
        <v>71</v>
      </c>
      <c r="E1514" s="4" t="s">
        <v>19</v>
      </c>
      <c r="F1514" s="4" t="s">
        <v>20</v>
      </c>
      <c r="G1514" s="4" t="s">
        <v>307</v>
      </c>
      <c r="H1514" s="3" t="s">
        <v>6734</v>
      </c>
      <c r="I1514" s="3" t="s">
        <v>6735</v>
      </c>
      <c r="J1514" s="4">
        <v>18.23</v>
      </c>
      <c r="K1514" s="4">
        <v>12.0</v>
      </c>
      <c r="L1514" s="3" t="s">
        <v>6736</v>
      </c>
      <c r="M1514" s="3" t="s">
        <v>6737</v>
      </c>
      <c r="N1514" s="7" t="str">
        <f>IFERROR(__xludf.DUMMYFUNCTION("GOOGLETRANSLATE(L1514, ""en"", ""pt"")"),"Paisagista de inverno")</f>
        <v>Paisagista de inverno</v>
      </c>
      <c r="O1514" s="7" t="str">
        <f>IFERROR(__xludf.DUMMYFUNCTION("IF(M1514="""","""",GOOGLETRANSLATE(M1514,""en"",""pt""))"),"Os jardineiros cuidam da manutenção dos jardins e propriedades utilizando ferramentas manuais ou elétricas, como cortadores de grama, sopradores de folhas, aparadores de grama e tesouras de poda. Os trabalhadores geralmente executam uma variedade de taref"&amp;"as, que podem incluir qualquer combinação das seguintes: colocação de grama em placas, corte de grama, poda, plantio, irrigação, adubação, escavação, rastelagem, instalação de sistemas de irrigação e instalação de blocos de concreto pré-moldado sem argama"&amp;"ssa. Podem operar veículos ou equipamentos motorizados, como cortadores de grama, tratores, minicarregadeiras e miniescavadeiras. Auxiliam na limpeza do jardim, remoção de folhas, aplicação ou substituição de cobertura morta e coleta de folhas. Em prepara"&amp;"ção para o inverno, realizam a limpeza do local de trabalho e garantem que os equipamentos sejam armazenados adequadamente para os meses mais frios. Também realizam a semeadura para preparar o terreno para possíveis geadas, incluindo a aplicação de fertil"&amp;"izantes em arbustos, árvores e outras plantas nativas. Os trabalhadores realizarão a poda de inverno das plantas para preparar adequadamente o gramado/paisagem para o clima de inverno e o novo crescimento na primavera. Realizarão a manutenção dos sistemas"&amp;" de irrigação dos canteiros de flores, incluindo a preparação dos sistemas para o inverno antes da queda de temperatura, devido à possibilidade de geadas, a fim de evitar danos. O empregador oferece 90 dias de treinamento. Classificação da vaga: 37-3011.0"&amp;"0 - Trabalhadores de Paisagismo e Manutenção de Jardins. A classificação e descrição da vaga/setor incluem informações gerais sobre o cargo, de acordo com o ONET/OES e o Sistema de Classificação Industrial da América do Norte (NAICS). Consulte as Funções "&amp;"e a Ordem de Serviço para obter mais informações. Requisitos da vaga: Experiência necessária: Não. Requisitos especiais: Capacidade de levantar até 34 kg por 70 metros ao longo do dia. Aprovação em exames toxicológicos aleatórios ou pós-acidente, pagos pe"&amp;"lo empregador. Número de horas por semana: 40. Horário de trabalho (início/término): 6h30 às 17h.")</f>
        <v>Os jardineiros cuidam da manutenção dos jardins e propriedades utilizando ferramentas manuais ou elétricas, como cortadores de grama, sopradores de folhas, aparadores de grama e tesouras de poda. Os trabalhadores geralmente executam uma variedade de tarefas, que podem incluir qualquer combinação das seguintes: colocação de grama em placas, corte de grama, poda, plantio, irrigação, adubação, escavação, rastelagem, instalação de sistemas de irrigação e instalação de blocos de concreto pré-moldado sem argamassa. Podem operar veículos ou equipamentos motorizados, como cortadores de grama, tratores, minicarregadeiras e miniescavadeiras. Auxiliam na limpeza do jardim, remoção de folhas, aplicação ou substituição de cobertura morta e coleta de folhas. Em preparação para o inverno, realizam a limpeza do local de trabalho e garantem que os equipamentos sejam armazenados adequadamente para os meses mais frios. Também realizam a semeadura para preparar o terreno para possíveis geadas, incluindo a aplicação de fertilizantes em arbustos, árvores e outras plantas nativas. Os trabalhadores realizarão a poda de inverno das plantas para preparar adequadamente o gramado/paisagem para o clima de inverno e o novo crescimento na primavera. Realizarão a manutenção dos sistemas de irrigação dos canteiros de flores, incluindo a preparação dos sistemas para o inverno antes da queda de temperatura, devido à possibilidade de geadas, a fim de evitar danos. O empregador oferece 90 dias de treinamento. Classificação da vaga: 37-3011.00 - Trabalhadores de Paisagismo e Manutenção de Jardins. A classificação e descrição da vaga/setor incluem informações gerais sobre o cargo, de acordo com o ONET/OES e o Sistema de Classificação Industrial da América do Norte (NAICS). Consulte as Funções e a Ordem de Serviço para obter mais informações. Requisitos da vaga: Experiência necessária: Não. Requisitos especiais: Capacidade de levantar até 34 kg por 70 metros ao longo do dia. Aprovação em exames toxicológicos aleatórios ou pós-acidente, pagos pelo empregador. Número de horas por semana: 40. Horário de trabalho (início/término): 6h30 às 17h.</v>
      </c>
    </row>
    <row r="1515" ht="20.25" customHeight="1">
      <c r="A1515" s="8" t="s">
        <v>6738</v>
      </c>
      <c r="B1515" s="8" t="s">
        <v>6739</v>
      </c>
      <c r="C1515" s="8" t="s">
        <v>6282</v>
      </c>
      <c r="D1515" s="8" t="s">
        <v>154</v>
      </c>
      <c r="E1515" s="9" t="s">
        <v>44</v>
      </c>
      <c r="F1515" s="9" t="s">
        <v>20</v>
      </c>
      <c r="G1515" s="9" t="s">
        <v>524</v>
      </c>
      <c r="H1515" s="8" t="s">
        <v>6740</v>
      </c>
      <c r="I1515" s="8" t="s">
        <v>6741</v>
      </c>
      <c r="J1515" s="9">
        <v>20.94</v>
      </c>
      <c r="K1515" s="9">
        <v>54.0</v>
      </c>
      <c r="L1515" s="8" t="s">
        <v>121</v>
      </c>
      <c r="M1515" s="8" t="s">
        <v>6742</v>
      </c>
      <c r="N1515" s="7" t="str">
        <f>IFERROR(__xludf.DUMMYFUNCTION("GOOGLETRANSLATE(L1515, ""en"", ""pt"")"),"Trabalhador braçal")</f>
        <v>Trabalhador braçal</v>
      </c>
      <c r="O1515" s="7" t="str">
        <f>IFERROR(__xludf.DUMMYFUNCTION("IF(M1515="""","""",GOOGLETRANSLATE(M1515,""en"",""pt""))"),"Limpeza e preparação de canteiros de obras, carga e descarga de materiais e auxílio a profissionais qualificados em suas tarefas. Classificação da função: 47-2061.00 - Auxiliares de Construção. A classificação e descrição da função/setor incluem informaçõ"&amp;"es gerais sobre o cargo, de acordo com o ONET/OES e o Sistema de Classificação Industrial da América do Norte (NAICS). Consulte as Funções e a Ordem de Serviço para obter mais informações. Requisitos da vaga: Experiência necessária: Não. Requisitos especi"&amp;"ais: Capacidade de levantar 23 kg. Número de horas por semana: 40. Horário de trabalho (início/término): 7h às 16h.")</f>
        <v>Limpeza e preparação de canteiros de obras, carga e descarga de materiais e auxílio a profissionais qualificados em suas tarefas. Classificação da função: 47-2061.00 - Auxiliares de Construção. A classificação e descrição da função/setor incluem informações gerais sobre o cargo, de acordo com o ONET/OES e o Sistema de Classificação Industrial da América do Norte (NAICS). Consulte as Funções e a Ordem de Serviço para obter mais informações. Requisitos da vaga: Experiência necessária: Não. Requisitos especiais: Capacidade de levantar 23 kg. Número de horas por semana: 40. Horário de trabalho (início/término): 7h às 16h.</v>
      </c>
    </row>
    <row r="1516" ht="20.25" customHeight="1">
      <c r="A1516" s="3" t="s">
        <v>6743</v>
      </c>
      <c r="B1516" s="3" t="s">
        <v>6744</v>
      </c>
      <c r="C1516" s="3" t="s">
        <v>6247</v>
      </c>
      <c r="D1516" s="3" t="s">
        <v>109</v>
      </c>
      <c r="E1516" s="4" t="s">
        <v>19</v>
      </c>
      <c r="F1516" s="4" t="s">
        <v>20</v>
      </c>
      <c r="G1516" s="4" t="s">
        <v>80</v>
      </c>
      <c r="H1516" s="3" t="s">
        <v>6745</v>
      </c>
      <c r="I1516" s="3" t="s">
        <v>6746</v>
      </c>
      <c r="J1516" s="4">
        <v>17.14</v>
      </c>
      <c r="K1516" s="4">
        <v>5.0</v>
      </c>
      <c r="L1516" s="3" t="s">
        <v>6250</v>
      </c>
      <c r="M1516" s="3" t="s">
        <v>6336</v>
      </c>
      <c r="N1516" s="7" t="str">
        <f>IFERROR(__xludf.DUMMYFUNCTION("GOOGLETRANSLATE(L1516, ""en"", ""pt"")"),"tratador de cavalos de corrida puro-sangue")</f>
        <v>tratador de cavalos de corrida puro-sangue</v>
      </c>
      <c r="O1516" s="7" t="str">
        <f>IFERROR(__xludf.DUMMYFUNCTION("IF(M1516="""","""",GOOGLETRANSLATE(M1516,""en"",""pt""))"),"Responsável pelos cuidados gerais de cavalos de corrida puro-sangue, incluindo alimentação, fornecimento de água, manutenção de baias e estábulos, limpeza, escovação, exercícios, casqueamento, desinfecção de baias e camas, administração de medicamentos co"&amp;"nforme prescrição e inspeção da condição física dos cavalos. Levantará as patas e limpará os cascos dos cavalos, aplicando linimentos e bandagens conforme necessário. Cuidará de 1 a 5 cavalos por vez. Turno dividido: das 5h às 11h e das 15h às 17h. Folgas"&amp;" rotativas. Classificação da vaga: 39-2021.00 - Cuidadores de Animais. A classificação e descrição da vaga/setor incluem informações gerais sobre o cargo, de acordo com o ONET/OES e o Sistema de Classificação Industrial da América do Norte. Consulte as Fu"&amp;"nções e a Ordem de Serviço para obter mais informações. Requisitos da vaga: Experiência necessária: Sim. Meses de experiência necessários: 1. Requisitos especiais: Deve ser capaz de levantar 23 kg. Número de horas por semana: 56. Horário de trabalho (iníc"&amp;"io/término): 5h. - 17h00")</f>
        <v>Responsável pelos cuidados gerais de cavalos de corrida puro-sangue, incluindo alimentação, fornecimento de água, manutenção de baias e estábulos, limpeza, escovação, exercícios, casqueamento, desinfecção de baias e camas, administração de medicamentos conforme prescrição e inspeção da condição física dos cavalos. Levantará as patas e limpará os cascos dos cavalos, aplicando linimentos e bandagens conforme necessário. Cuidará de 1 a 5 cavalos por vez. Turno dividido: das 5h às 11h e das 15h às 17h. Folgas rotativas. Classificação da vaga: 39-2021.00 - Cuidadores de Animais. A classificação e descrição da vaga/setor incluem informações gerais sobre o cargo, de acordo com o ONET/OES e o Sistema de Classificação Industrial da América do Norte. Consulte as Funções e a Ordem de Serviço para obter mais informações. Requisitos da vaga: Experiência necessária: Sim. Meses de experiência necessários: 1. Requisitos especiais: Deve ser capaz de levantar 23 kg. Número de horas por semana: 56. Horário de trabalho (início/término): 5h. - 17h00</v>
      </c>
    </row>
    <row r="1517" ht="20.25" customHeight="1">
      <c r="A1517" s="8" t="s">
        <v>6747</v>
      </c>
      <c r="B1517" s="8" t="s">
        <v>6748</v>
      </c>
      <c r="C1517" s="8" t="s">
        <v>6282</v>
      </c>
      <c r="D1517" s="8" t="s">
        <v>71</v>
      </c>
      <c r="E1517" s="9" t="s">
        <v>44</v>
      </c>
      <c r="F1517" s="9" t="s">
        <v>20</v>
      </c>
      <c r="G1517" s="9" t="s">
        <v>307</v>
      </c>
      <c r="H1517" s="8" t="s">
        <v>6749</v>
      </c>
      <c r="I1517" s="8" t="s">
        <v>6750</v>
      </c>
      <c r="J1517" s="9">
        <v>23.32</v>
      </c>
      <c r="K1517" s="9">
        <v>4.0</v>
      </c>
      <c r="L1517" s="8" t="s">
        <v>262</v>
      </c>
      <c r="M1517" s="8" t="s">
        <v>6751</v>
      </c>
      <c r="N1517" s="7" t="str">
        <f>IFERROR(__xludf.DUMMYFUNCTION("GOOGLETRANSLATE(L1517, ""en"", ""pt"")"),"Operário da construção civil")</f>
        <v>Operário da construção civil</v>
      </c>
      <c r="O1517" s="7" t="str">
        <f>IFERROR(__xludf.DUMMYFUNCTION("IF(M1517="""","""",GOOGLETRANSLATE(M1517,""en"",""pt""))"),"Organizar as áreas de trabalho, descarregar materiais, preparar os locais de trabalho para que os profissionais qualificados realizem serviços especializados (ou seja, organizar ferramentas, estender lonas, montar escadas), entregar ferramentas ao supervi"&amp;"sor, limpar detritos e áreas de trabalho, despejar e dar acabamento ao concreto. Classificação da função: 47-2051.00 - Pedreiros e Acabadores de Concreto. A classificação e descrição da função/setor incluem informações gerais sobre o cargo, de acordo com "&amp;"o ONET/OES e o Sistema de Classificação Industrial da América do Norte. Consulte as Funções e a Ordem de Serviço para obter mais informações. Requisitos da vaga: Experiência necessária: Sim. Meses de experiência necessários: 1. Requisitos especiais: Deve "&amp;"ser capaz de levantar 23 kg. Número de horas por semana: 40. Horário de trabalho (início/término): 7h às 16h.")</f>
        <v>Organizar as áreas de trabalho, descarregar materiais, preparar os locais de trabalho para que os profissionais qualificados realizem serviços especializados (ou seja, organizar ferramentas, estender lonas, montar escadas), entregar ferramentas ao supervisor, limpar detritos e áreas de trabalho, despejar e dar acabamento ao concreto. Classificação da função: 47-2051.00 - Pedreiros e Acabadores de Concreto. A classificação e descrição da função/setor incluem informações gerais sobre o cargo, de acordo com o ONET/OES e o Sistema de Classificação Industrial da América do Norte. Consulte as Funções e a Ordem de Serviço para obter mais informações. Requisitos da vaga: Experiência necessária: Sim. Meses de experiência necessários: 1. Requisitos especiais: Deve ser capaz de levantar 23 kg. Número de horas por semana: 40. Horário de trabalho (início/término): 7h às 16h.</v>
      </c>
    </row>
    <row r="1518" ht="20.25" customHeight="1">
      <c r="A1518" s="3" t="s">
        <v>6752</v>
      </c>
      <c r="B1518" s="3" t="s">
        <v>6753</v>
      </c>
      <c r="C1518" s="3" t="s">
        <v>6247</v>
      </c>
      <c r="D1518" s="3" t="s">
        <v>403</v>
      </c>
      <c r="E1518" s="4" t="s">
        <v>44</v>
      </c>
      <c r="F1518" s="4" t="s">
        <v>20</v>
      </c>
      <c r="G1518" s="4" t="s">
        <v>345</v>
      </c>
      <c r="H1518" s="3" t="s">
        <v>6754</v>
      </c>
      <c r="I1518" s="3" t="s">
        <v>6755</v>
      </c>
      <c r="J1518" s="4">
        <v>18.6</v>
      </c>
      <c r="K1518" s="4">
        <v>16.0</v>
      </c>
      <c r="L1518" s="3" t="s">
        <v>6250</v>
      </c>
      <c r="M1518" s="3" t="s">
        <v>6527</v>
      </c>
      <c r="N1518" s="7" t="str">
        <f>IFERROR(__xludf.DUMMYFUNCTION("GOOGLETRANSLATE(L1518, ""en"", ""pt"")"),"tratador de cavalos de corrida puro-sangue")</f>
        <v>tratador de cavalos de corrida puro-sangue</v>
      </c>
      <c r="O1518" s="7" t="str">
        <f>IFERROR(__xludf.DUMMYFUNCTION("IF(M1518="""","""",GOOGLETRANSLATE(M1518,""en"",""pt""))"),"Responsável pelos cuidados gerais de cavalos de corrida puro-sangue, incluindo alimentação, fornecimento de água, manutenção de baias e estábulos, limpeza, escovação, exercícios, casqueamento, desinfecção de baias e camas, administração de medicamentos co"&amp;"nforme prescrição e inspeção da condição física dos cavalos. Levantará as patas e limpará os cascos dos cavalos, aplicando linimentos e bandagens conforme necessário. Cuidará de 1 a 5 cavalos por vez. Turno dividido: das 5h às 11h e das 15h às 17h. Folgas"&amp;" rotativas. Classificação da vaga: 39-2021.00 - Cuidadores de Animais. A classificação e descrição da vaga/setor incluem informações gerais sobre o cargo, de acordo com o ONET/OES e o Sistema de Classificação Industrial da América do Norte. Consulte as Fu"&amp;"nções e a Ordem de Serviço para obter mais informações. Requisitos da vaga: Experiência necessária: Sim. Meses de experiência necessários: 1. Requisitos especiais: Deve ser capaz de levantar 23 kg. Número de horas por semana: 56. Horário de trabalho (iníc"&amp;"io/término): 5h. - 17h00")</f>
        <v>Responsável pelos cuidados gerais de cavalos de corrida puro-sangue, incluindo alimentação, fornecimento de água, manutenção de baias e estábulos, limpeza, escovação, exercícios, casqueamento, desinfecção de baias e camas, administração de medicamentos conforme prescrição e inspeção da condição física dos cavalos. Levantará as patas e limpará os cascos dos cavalos, aplicando linimentos e bandagens conforme necessário. Cuidará de 1 a 5 cavalos por vez. Turno dividido: das 5h às 11h e das 15h às 17h. Folgas rotativas. Classificação da vaga: 39-2021.00 - Cuidadores de Animais. A classificação e descrição da vaga/setor incluem informações gerais sobre o cargo, de acordo com o ONET/OES e o Sistema de Classificação Industrial da América do Norte. Consulte as Funções e a Ordem de Serviço para obter mais informações. Requisitos da vaga: Experiência necessária: Sim. Meses de experiência necessários: 1. Requisitos especiais: Deve ser capaz de levantar 23 kg. Número de horas por semana: 56. Horário de trabalho (início/término): 5h. - 17h00</v>
      </c>
    </row>
    <row r="1519" ht="20.25" customHeight="1">
      <c r="A1519" s="8" t="s">
        <v>6756</v>
      </c>
      <c r="B1519" s="8" t="s">
        <v>6757</v>
      </c>
      <c r="C1519" s="8" t="s">
        <v>6282</v>
      </c>
      <c r="D1519" s="8" t="s">
        <v>1297</v>
      </c>
      <c r="E1519" s="9" t="s">
        <v>19</v>
      </c>
      <c r="F1519" s="9" t="s">
        <v>20</v>
      </c>
      <c r="G1519" s="9" t="s">
        <v>307</v>
      </c>
      <c r="H1519" s="8" t="s">
        <v>6758</v>
      </c>
      <c r="I1519" s="8" t="s">
        <v>6759</v>
      </c>
      <c r="J1519" s="9">
        <v>29.04</v>
      </c>
      <c r="K1519" s="9">
        <v>12.0</v>
      </c>
      <c r="L1519" s="8" t="s">
        <v>6760</v>
      </c>
      <c r="M1519" s="8" t="s">
        <v>6761</v>
      </c>
      <c r="N1519" s="7" t="str">
        <f>IFERROR(__xludf.DUMMYFUNCTION("GOOGLETRANSLATE(L1519, ""en"", ""pt"")"),"Acabador de gesso")</f>
        <v>Acabador de gesso</v>
      </c>
      <c r="O1519" s="7" t="str">
        <f>IFERROR(__xludf.DUMMYFUNCTION("IF(M1519="""","""",GOOGLETRANSLATE(M1519,""en"",""pt""))"),"Acabamento de concreto rebocado e concretagem de piscinas. Os trabalhadores irão montar as formas, espalhar o concreto, nivelá-lo e alisá-lo utilizando ferramentas básicas, como níveis, pás, vassouras e colheres de pedreiro. Os acabadores irão lixar as bo"&amp;"rdas ásperas e dar acabamento, utilizando esmerilhadeira pneumática ou ferramentas manuais. É necessário saber ler plantas básicas e limpar equipamentos e áreas de trabalho. Todas as ferramentas são fornecidas pelo empregador. Classificação da vaga: 47-20"&amp;"51.00 - Pedreiros e Acabadores de Concreto. A classificação e descrição da vaga/setor incluem informações gerais sobre o cargo, de acordo com o ONET/OES e o Sistema de Classificação Industrial da América do Norte (NAICS). Consulte as Funções e a Ordem de "&amp;"Serviço para obter mais informações. Requisitos da vaga: Experiência necessária: Sim. Meses de experiência necessários: 1. Requisitos especiais: Capacidade de levantar 23 kg. Número de horas por semana: 40. Horário de trabalho (início/término): 8h às 17h.")</f>
        <v>Acabamento de concreto rebocado e concretagem de piscinas. Os trabalhadores irão montar as formas, espalhar o concreto, nivelá-lo e alisá-lo utilizando ferramentas básicas, como níveis, pás, vassouras e colheres de pedreiro. Os acabadores irão lixar as bordas ásperas e dar acabamento, utilizando esmerilhadeira pneumática ou ferramentas manuais. É necessário saber ler plantas básicas e limpar equipamentos e áreas de trabalho. Todas as ferramentas são fornecidas pelo empregador. Classificação da vaga: 47-2051.00 - Pedreiros e Acabadores de Concreto. A classificação e descrição da vaga/setor incluem informações gerais sobre o cargo, de acordo com o ONET/OES e o Sistema de Classificação Industrial da América do Norte (NAICS). Consulte as Funções e a Ordem de Serviço para obter mais informações. Requisitos da vaga: Experiência necessária: Sim. Meses de experiência necessários: 1. Requisitos especiais: Capacidade de levantar 23 kg. Número de horas por semana: 40. Horário de trabalho (início/término): 8h às 17h.</v>
      </c>
    </row>
    <row r="1520" ht="20.25" customHeight="1">
      <c r="A1520" s="3" t="s">
        <v>6762</v>
      </c>
      <c r="B1520" s="3" t="s">
        <v>6763</v>
      </c>
      <c r="C1520" s="3" t="s">
        <v>6282</v>
      </c>
      <c r="D1520" s="3" t="s">
        <v>254</v>
      </c>
      <c r="E1520" s="4" t="s">
        <v>19</v>
      </c>
      <c r="F1520" s="4" t="s">
        <v>20</v>
      </c>
      <c r="G1520" s="4" t="s">
        <v>524</v>
      </c>
      <c r="H1520" s="3" t="s">
        <v>6764</v>
      </c>
      <c r="I1520" s="3" t="s">
        <v>6765</v>
      </c>
      <c r="J1520" s="4">
        <v>17.86</v>
      </c>
      <c r="K1520" s="4">
        <v>5.0</v>
      </c>
      <c r="L1520" s="3" t="s">
        <v>387</v>
      </c>
      <c r="M1520" s="3" t="s">
        <v>6766</v>
      </c>
      <c r="N1520" s="7" t="str">
        <f>IFERROR(__xludf.DUMMYFUNCTION("GOOGLETRANSLATE(L1520, ""en"", ""pt"")"),"Ordem de serviço não disponível")</f>
        <v>Ordem de serviço não disponível</v>
      </c>
      <c r="O1520" s="7" t="str">
        <f>IFERROR(__xludf.DUMMYFUNCTION("IF(M1520="""","""",GOOGLETRANSLATE(M1520,""en"",""pt""))"),"Preparar bolos e pães seguindo receitas, encomendar ingredientes, receber pedidos de clientes, limpar a cozinha e os equipamentos. Classificação da vaga: 51-3011.00 - Padeiros. A classificação e descrição da vaga/setor incluem informações gerais sobre o c"&amp;"argo, de acordo com o ONET/OES e o Sistema de Classificação Industrial da América do Norte (NAICS). Consulte as Funções e a Ordem de Serviço para obter mais informações. Requisitos da vaga: Experiência necessária: Não. Requisitos especiais: Deve ser capaz"&amp;" de levantar 23 kg. Deve cumprir as normas estabelecidas pelo Departamento de Saúde Pública de Louisville Metro. Número de horas por semana: 56. Horário de trabalho (início/término): 7h às 16h.")</f>
        <v>Preparar bolos e pães seguindo receitas, encomendar ingredientes, receber pedidos de clientes, limpar a cozinha e os equipamentos. Classificação da vaga: 51-3011.00 - Padeiros. A classificação e descrição da vaga/setor incluem informações gerais sobre o cargo, de acordo com o ONET/OES e o Sistema de Classificação Industrial da América do Norte (NAICS). Consulte as Funções e a Ordem de Serviço para obter mais informações. Requisitos da vaga: Experiência necessária: Não. Requisitos especiais: Deve ser capaz de levantar 23 kg. Deve cumprir as normas estabelecidas pelo Departamento de Saúde Pública de Louisville Metro. Número de horas por semana: 56. Horário de trabalho (início/término): 7h às 16h.</v>
      </c>
    </row>
    <row r="1521" ht="20.25" customHeight="1">
      <c r="A1521" s="8" t="s">
        <v>6767</v>
      </c>
      <c r="B1521" s="8" t="s">
        <v>6768</v>
      </c>
      <c r="C1521" s="8" t="s">
        <v>6282</v>
      </c>
      <c r="D1521" s="8" t="s">
        <v>154</v>
      </c>
      <c r="E1521" s="9" t="s">
        <v>19</v>
      </c>
      <c r="F1521" s="9" t="s">
        <v>20</v>
      </c>
      <c r="G1521" s="9" t="s">
        <v>524</v>
      </c>
      <c r="H1521" s="8" t="s">
        <v>6769</v>
      </c>
      <c r="I1521" s="8" t="s">
        <v>6770</v>
      </c>
      <c r="J1521" s="9">
        <v>17.14</v>
      </c>
      <c r="K1521" s="9">
        <v>6.0</v>
      </c>
      <c r="L1521" s="8" t="s">
        <v>586</v>
      </c>
      <c r="M1521" s="8" t="s">
        <v>6771</v>
      </c>
      <c r="N1521" s="7" t="str">
        <f>IFERROR(__xludf.DUMMYFUNCTION("GOOGLETRANSLATE(L1521, ""en"", ""pt"")"),"Cozinheiro de linha")</f>
        <v>Cozinheiro de linha</v>
      </c>
      <c r="O1521" s="7" t="str">
        <f>IFERROR(__xludf.DUMMYFUNCTION("IF(M1521="""","""",GOOGLETRANSLATE(M1521,""en"",""pt""))"),"***Resposta à Solicitação de Informações*** “Preparação e manuseio de alimentos, práticas de higiene na cozinha e entrega de pratos preparados aos clientes. Preparação de carnes, frutos do mar, vegetais e outros itens necessários, além de outros itens par"&amp;"a eventos especiais, conforme designado. Reaquecer e empratar os pratos preparados pelo Chef para os clientes. Montar corretamente todas as ferramentas e utensílios necessários para o desempenho das funções, utilizando procedimentos seguros e higiênicos d"&amp;"e manipulação de alimentos, incluindo os relacionados à higiene pessoal. Manter e limpar a estação de trabalho e os equipamentos. Descartar o lixo e os resíduos da preparação de alimentos ao final do turno”. ***Original F.a.2*** Preparação e manuseio de a"&amp;"limentos, práticas de higiene na cozinha e entrega de pratos preparados aos clientes. Preparar carnes, frutos do mar, vegetais e outros itens necessários, além de outros itens para eventos especiais, conforme designado. Seguir cuidadosamente as receitas p"&amp;"adrão ao pré-preparar e preparar todos os itens. Montar corretamente todas as ferramentas e utensílios necessários para o desempenho das funções, utilizando procedimentos seguros e higiênicos de manipulação de alimentos, incluindo os relacionados à higien"&amp;"e pessoal. Manter e limpar a estação de trabalho e os equipamentos. Descartar o lixo e os resíduos da preparação de alimentos ao final do turno. Classificação da vaga: 35-2014.00 - Cozinheiros(as) de Restaurante. A classificação e descrição da vaga/setor "&amp;"inclui informações gerais sobre o cargo, de acordo com o ONET/OES e o Sistema de Classificação Industrial da América do Norte (NAICS). Consulte as Funções e a Ordem de Serviço para obter mais informações. Requisitos da vaga: Experiência necessária: Sim. M"&amp;"eses de experiência necessários: 1. Requisitos especiais: Deve ser capaz de levantar 23 kg. Número de horas por semana: 56. Horário de trabalho (início/término): 7h às 23h30.")</f>
        <v>***Resposta à Solicitação de Informações*** “Preparação e manuseio de alimentos, práticas de higiene na cozinha e entrega de pratos preparados aos clientes. Preparação de carnes, frutos do mar, vegetais e outros itens necessários, além de outros itens para eventos especiais, conforme designado. Reaquecer e empratar os pratos preparados pelo Chef para os clientes. Montar corretamente todas as ferramentas e utensílios necessários para o desempenho das funções, utilizando procedimentos seguros e higiênicos de manipulação de alimentos, incluindo os relacionados à higiene pessoal. Manter e limpar a estação de trabalho e os equipamentos. Descartar o lixo e os resíduos da preparação de alimentos ao final do turno”. ***Original F.a.2*** Preparação e manuseio de alimentos, práticas de higiene na cozinha e entrega de pratos preparados aos clientes. Preparar carnes, frutos do mar, vegetais e outros itens necessários, além de outros itens para eventos especiais, conforme designado. Seguir cuidadosamente as receitas padrão ao pré-preparar e preparar todos os itens. Montar corretamente todas as ferramentas e utensílios necessários para o desempenho das funções, utilizando procedimentos seguros e higiênicos de manipulação de alimentos, incluindo os relacionados à higiene pessoal. Manter e limpar a estação de trabalho e os equipamentos. Descartar o lixo e os resíduos da preparação de alimentos ao final do turno. Classificação da vaga: 35-2014.00 - Cozinheiros(as) de Restaurante. A classificação e descrição da vaga/setor inclui informações gerais sobre o cargo, de acordo com o ONET/OES e o Sistema de Classificação Industrial da América do Norte (NAICS). Consulte as Funções e a Ordem de Serviço para obter mais informações. Requisitos da vaga: Experiência necessária: Sim. Meses de experiência necessários: 1. Requisitos especiais: Deve ser capaz de levantar 23 kg. Número de horas por semana: 56. Horário de trabalho (início/término): 7h às 23h30.</v>
      </c>
    </row>
    <row r="1522" ht="20.25" customHeight="1">
      <c r="A1522" s="3" t="s">
        <v>6772</v>
      </c>
      <c r="B1522" s="3" t="s">
        <v>6773</v>
      </c>
      <c r="C1522" s="3" t="s">
        <v>6234</v>
      </c>
      <c r="D1522" s="3" t="s">
        <v>64</v>
      </c>
      <c r="E1522" s="4" t="s">
        <v>19</v>
      </c>
      <c r="F1522" s="4" t="s">
        <v>20</v>
      </c>
      <c r="G1522" s="4" t="s">
        <v>6774</v>
      </c>
      <c r="H1522" s="3" t="s">
        <v>6775</v>
      </c>
      <c r="I1522" s="3" t="s">
        <v>6776</v>
      </c>
      <c r="J1522" s="4">
        <v>15.24</v>
      </c>
      <c r="K1522" s="4">
        <v>30.0</v>
      </c>
      <c r="L1522" s="3" t="s">
        <v>406</v>
      </c>
      <c r="M1522" s="3" t="s">
        <v>6777</v>
      </c>
      <c r="N1522" s="7" t="str">
        <f>IFERROR(__xludf.DUMMYFUNCTION("GOOGLETRANSLATE(L1522, ""en"", ""pt"")"),"Trabalhador")</f>
        <v>Trabalhador</v>
      </c>
      <c r="O1522" s="7" t="str">
        <f>IFERROR(__xludf.DUMMYFUNCTION("IF(M1522="""","""",GOOGLETRANSLATE(M1522,""en"",""pt""))"),"Remoção e poda de árvores e arbustos; limpeza e remoção de folhas e detritos do solo; descarte de galhos, ramos e árvores; plantio de paisagismo de inverno, incluindo azevinho e outras coníferas, espalhamento de cobertura morta; instalação, aplicação e fe"&amp;"rtilização de azevém perene; preparação de plantas e árvores para protegê-las do frio; plantio de flores anuais de inverno; poda e remoção de flores murchas de plantas perenes; instalação, aplicação e fertilização de cobertura morta em toda a propriedade "&amp;"para proteger as plantas, e preparação e drenagem do sistema de irrigação para o inverno; limpeza de lagoas de retenção. Remoção contínua de depósitos de neve acumulados em condições climáticas extremas em diversas propriedades comerciais, utilizando sopr"&amp;"adores de neve e pás de neve comerciais padrão. Remediação de gelo e aplicação de sal. Carregamento e descarregamento de materiais e equipamentos. Levantamento de peso de até 23 kg. O trabalho é realizado em locais de trabalho na região, com transporte fo"&amp;"rnecido pelo empregador de ida e volta a partir de um ponto de coleta centralizado na área de atuação. Classificação da Função: 37-3011.00 - Trabalhadores de Paisagismo e Manutenção de Jardins. A classificação e descrição da função/setor inclui informaçõe"&amp;"s gerais sobre o cargo, conforme o ONET/OES e o Sistema de Classificação Industrial da América do Norte (NAICS). Consulte as Funções e a Ordem de Serviço para obter mais informações. Requisitos da Função: Experiência Necessária: Não. Requisitos Especiais:"&amp;" Nenhum. Número de Horas por Semana: 40. Horário de Trabalho (Início/Término): 6h30 às 15h30.")</f>
        <v>Remoção e poda de árvores e arbustos; limpeza e remoção de folhas e detritos do solo; descarte de galhos, ramos e árvores; plantio de paisagismo de inverno, incluindo azevinho e outras coníferas, espalhamento de cobertura morta; instalação, aplicação e fertilização de azevém perene; preparação de plantas e árvores para protegê-las do frio; plantio de flores anuais de inverno; poda e remoção de flores murchas de plantas perenes; instalação, aplicação e fertilização de cobertura morta em toda a propriedade para proteger as plantas, e preparação e drenagem do sistema de irrigação para o inverno; limpeza de lagoas de retenção. Remoção contínua de depósitos de neve acumulados em condições climáticas extremas em diversas propriedades comerciais, utilizando sopradores de neve e pás de neve comerciais padrão. Remediação de gelo e aplicação de sal. Carregamento e descarregamento de materiais e equipamentos. Levantamento de peso de até 23 kg. O trabalho é realizado em locais de trabalho na região, com transporte fornecido pelo empregador de ida e volta a partir de um ponto de coleta centralizado na área de atuação. Classificação da Função: 37-3011.00 - Trabalhadores de Paisagismo e Manutenção de Jardins. A classificação e descrição da função/setor inclui informações gerais sobre o cargo, conforme o ONET/OES e o Sistema de Classificação Industrial da América do Norte (NAICS). Consulte as Funções e a Ordem de Serviço para obter mais informações. Requisitos da Função: Experiência Necessária: Não. Requisitos Especiais: Nenhum. Número de Horas por Semana: 40. Horário de Trabalho (Início/Término): 6h30 às 15h30.</v>
      </c>
    </row>
    <row r="1523" ht="20.25" customHeight="1">
      <c r="A1523" s="8" t="s">
        <v>6778</v>
      </c>
      <c r="B1523" s="8" t="s">
        <v>6779</v>
      </c>
      <c r="C1523" s="8" t="s">
        <v>6247</v>
      </c>
      <c r="D1523" s="8" t="s">
        <v>596</v>
      </c>
      <c r="E1523" s="9" t="s">
        <v>19</v>
      </c>
      <c r="F1523" s="9" t="s">
        <v>20</v>
      </c>
      <c r="G1523" s="9" t="s">
        <v>80</v>
      </c>
      <c r="H1523" s="8" t="s">
        <v>6780</v>
      </c>
      <c r="I1523" s="8" t="s">
        <v>6781</v>
      </c>
      <c r="J1523" s="9">
        <v>19.25</v>
      </c>
      <c r="K1523" s="9">
        <v>14.0</v>
      </c>
      <c r="L1523" s="8" t="s">
        <v>6250</v>
      </c>
      <c r="M1523" s="8" t="s">
        <v>6782</v>
      </c>
      <c r="N1523" s="7" t="str">
        <f>IFERROR(__xludf.DUMMYFUNCTION("GOOGLETRANSLATE(L1523, ""en"", ""pt"")"),"tratador de cavalos de corrida puro-sangue")</f>
        <v>tratador de cavalos de corrida puro-sangue</v>
      </c>
      <c r="O1523" s="7" t="str">
        <f>IFERROR(__xludf.DUMMYFUNCTION("IF(M1523="""","""",GOOGLETRANSLATE(M1523,""en"",""pt""))"),"Responsável pelos cuidados gerais de cavalos de corrida puro-sangue, incluindo alimentação, fornecimento de água, manutenção de baias e estábulos, limpeza, escovação, exercícios, casqueamento, desinfecção de baias e camas, administração de medicamentos co"&amp;"nforme prescrição e inspeção da condição física dos cavalos. Irá levantar as patas e limpar os cascos dos cavalos, aplicando linimentos e bandagens conforme necessário. Cuidará de 5 cavalos por vez. Turno dividido: das 5h às 11h e das 15h às 17h. Folgas r"&amp;"otativas. Classificação da vaga: 39-2021.00 - Cuidadores de Animais. A classificação e descrição da vaga/setor incluem informações gerais sobre o cargo, de acordo com o ONET/OES e o Sistema de Classificação Industrial da América do Norte. Consulte as Funç"&amp;"ões e a Ordem de Serviço para obter mais informações. Requisitos da vaga: Experiência necessária: Sim. Meses de experiência necessários: 1. Requisitos especiais: Deve ser capaz de levantar 34 kg. Número de horas por semana: 56. Horário de trabalho (início"&amp;"/término): 5h. - 17h00")</f>
        <v>Responsável pelos cuidados gerais de cavalos de corrida puro-sangue, incluindo alimentação, fornecimento de água, manutenção de baias e estábulos, limpeza, escovação, exercícios, casqueamento, desinfecção de baias e camas, administração de medicamentos conforme prescrição e inspeção da condição física dos cavalos. Irá levantar as patas e limpar os cascos dos cavalos, aplicando linimentos e bandagens conforme necessário. Cuidará de 5 cavalos por vez. Turno dividido: das 5h às 11h e das 15h às 17h. Folgas rotativas. Classificação da vaga: 39-2021.00 - Cuidadores de Animais. A classificação e descrição da vaga/setor incluem informações gerais sobre o cargo, de acordo com o ONET/OES e o Sistema de Classificação Industrial da América do Norte. Consulte as Funções e a Ordem de Serviço para obter mais informações. Requisitos da vaga: Experiência necessária: Sim. Meses de experiência necessários: 1. Requisitos especiais: Deve ser capaz de levantar 34 kg. Número de horas por semana: 56. Horário de trabalho (início/término): 5h. - 17h00</v>
      </c>
    </row>
    <row r="1524" ht="20.25" customHeight="1">
      <c r="A1524" s="3" t="s">
        <v>6783</v>
      </c>
      <c r="B1524" s="3" t="s">
        <v>6784</v>
      </c>
      <c r="C1524" s="3" t="s">
        <v>6247</v>
      </c>
      <c r="D1524" s="3" t="s">
        <v>403</v>
      </c>
      <c r="E1524" s="4" t="s">
        <v>19</v>
      </c>
      <c r="F1524" s="4" t="s">
        <v>20</v>
      </c>
      <c r="G1524" s="4" t="s">
        <v>80</v>
      </c>
      <c r="H1524" s="3" t="s">
        <v>6785</v>
      </c>
      <c r="I1524" s="3" t="s">
        <v>6786</v>
      </c>
      <c r="J1524" s="4">
        <v>18.6</v>
      </c>
      <c r="K1524" s="4">
        <v>20.0</v>
      </c>
      <c r="L1524" s="3" t="s">
        <v>6250</v>
      </c>
      <c r="M1524" s="3" t="s">
        <v>6527</v>
      </c>
      <c r="N1524" s="7" t="str">
        <f>IFERROR(__xludf.DUMMYFUNCTION("GOOGLETRANSLATE(L1524, ""en"", ""pt"")"),"tratador de cavalos de corrida puro-sangue")</f>
        <v>tratador de cavalos de corrida puro-sangue</v>
      </c>
      <c r="O1524" s="7" t="str">
        <f>IFERROR(__xludf.DUMMYFUNCTION("IF(M1524="""","""",GOOGLETRANSLATE(M1524,""en"",""pt""))"),"Responsável pelos cuidados gerais de cavalos de corrida puro-sangue, incluindo alimentação, fornecimento de água, manutenção de baias e estábulos, limpeza, escovação, exercícios, casqueamento, desinfecção de baias e camas, administração de medicamentos co"&amp;"nforme prescrição e inspeção da condição física dos cavalos. Levantará as patas e limpará os cascos dos cavalos, aplicando linimentos e bandagens conforme necessário. Cuidará de 1 a 5 cavalos por vez. Turno dividido: das 5h às 11h e das 15h às 17h. Folgas"&amp;" rotativas. Classificação da vaga: 39-2021.00 - Cuidadores de Animais. A classificação e descrição da vaga/setor incluem informações gerais sobre o cargo, de acordo com o ONET/OES e o Sistema de Classificação Industrial da América do Norte. Consulte as Fu"&amp;"nções e a Ordem de Serviço para obter mais informações. Requisitos da vaga: Experiência necessária: Sim. Meses de experiência necessários: 1. Requisitos especiais: Deve ser capaz de levantar 23 kg. Número de horas por semana: 56. Horário de trabalho (iníc"&amp;"io/término): 5h. - 17h00")</f>
        <v>Responsável pelos cuidados gerais de cavalos de corrida puro-sangue, incluindo alimentação, fornecimento de água, manutenção de baias e estábulos, limpeza, escovação, exercícios, casqueamento, desinfecção de baias e camas, administração de medicamentos conforme prescrição e inspeção da condição física dos cavalos. Levantará as patas e limpará os cascos dos cavalos, aplicando linimentos e bandagens conforme necessário. Cuidará de 1 a 5 cavalos por vez. Turno dividido: das 5h às 11h e das 15h às 17h. Folgas rotativas. Classificação da vaga: 39-2021.00 - Cuidadores de Animais. A classificação e descrição da vaga/setor incluem informações gerais sobre o cargo, de acordo com o ONET/OES e o Sistema de Classificação Industrial da América do Norte. Consulte as Funções e a Ordem de Serviço para obter mais informações. Requisitos da vaga: Experiência necessária: Sim. Meses de experiência necessários: 1. Requisitos especiais: Deve ser capaz de levantar 23 kg. Número de horas por semana: 56. Horário de trabalho (início/término): 5h. - 17h00</v>
      </c>
    </row>
    <row r="1525" ht="20.25" customHeight="1">
      <c r="A1525" s="8" t="s">
        <v>6787</v>
      </c>
      <c r="B1525" s="8" t="s">
        <v>6788</v>
      </c>
      <c r="C1525" s="8" t="s">
        <v>6247</v>
      </c>
      <c r="D1525" s="8" t="s">
        <v>403</v>
      </c>
      <c r="E1525" s="9" t="s">
        <v>19</v>
      </c>
      <c r="F1525" s="9" t="s">
        <v>20</v>
      </c>
      <c r="G1525" s="9" t="s">
        <v>80</v>
      </c>
      <c r="H1525" s="8" t="s">
        <v>6789</v>
      </c>
      <c r="I1525" s="8" t="s">
        <v>6790</v>
      </c>
      <c r="J1525" s="9">
        <v>18.6</v>
      </c>
      <c r="K1525" s="9">
        <v>3.0</v>
      </c>
      <c r="L1525" s="8" t="s">
        <v>6250</v>
      </c>
      <c r="M1525" s="8" t="s">
        <v>6251</v>
      </c>
      <c r="N1525" s="7" t="str">
        <f>IFERROR(__xludf.DUMMYFUNCTION("GOOGLETRANSLATE(L1525, ""en"", ""pt"")"),"tratador de cavalos de corrida puro-sangue")</f>
        <v>tratador de cavalos de corrida puro-sangue</v>
      </c>
      <c r="O1525" s="7" t="str">
        <f>IFERROR(__xludf.DUMMYFUNCTION("IF(M1525="""","""",GOOGLETRANSLATE(M1525,""en"",""pt""))"),"Responsável pelos cuidados gerais de cavalos de corrida puro-sangue, incluindo alimentação, fornecimento de água, manutenção de baias e estábulos, limpeza, escovação, exercícios, casqueamento, desinfecção de baias e camas, administração de medicamentos co"&amp;"nforme prescrição e inspeção da condição física dos cavalos. Levantará as patas e limpará os cascos dos cavalos, aplicando linimentos e bandagens conforme necessário. Cuidará de 1 a 5 cavalos por vez. Turno dividido: das 5h às 11h e das 15h às 17h. Folgas"&amp;" rotativas. Classificação da vaga: 39-2021.00 - Cuidadores de Animais. A classificação e descrição da vaga/setor incluem informações gerais sobre o cargo, de acordo com o ONET/OES e o Sistema de Classificação Industrial da América do Norte. Consulte as Fu"&amp;"nções e a Ordem de Serviço para obter mais informações. Requisitos da vaga: Experiência necessária: Sim. Meses de experiência necessários: 1. Requisitos especiais: Deve ser capaz de levantar 23 kg. Número de horas por semana: 56. Horário de trabalho (iníc"&amp;"io/término): 5h. - 17h00")</f>
        <v>Responsável pelos cuidados gerais de cavalos de corrida puro-sangue, incluindo alimentação, fornecimento de água, manutenção de baias e estábulos, limpeza, escovação, exercícios, casqueamento, desinfecção de baias e camas, administração de medicamentos conforme prescrição e inspeção da condição física dos cavalos. Levantará as patas e limpará os cascos dos cavalos, aplicando linimentos e bandagens conforme necessário. Cuidará de 1 a 5 cavalos por vez. Turno dividido: das 5h às 11h e das 15h às 17h. Folgas rotativas. Classificação da vaga: 39-2021.00 - Cuidadores de Animais. A classificação e descrição da vaga/setor incluem informações gerais sobre o cargo, de acordo com o ONET/OES e o Sistema de Classificação Industrial da América do Norte. Consulte as Funções e a Ordem de Serviço para obter mais informações. Requisitos da vaga: Experiência necessária: Sim. Meses de experiência necessários: 1. Requisitos especiais: Deve ser capaz de levantar 23 kg. Número de horas por semana: 56. Horário de trabalho (início/término): 5h. - 17h00</v>
      </c>
    </row>
    <row r="1526" ht="20.25" customHeight="1">
      <c r="A1526" s="3" t="s">
        <v>6791</v>
      </c>
      <c r="B1526" s="3" t="s">
        <v>6792</v>
      </c>
      <c r="C1526" s="3" t="s">
        <v>6247</v>
      </c>
      <c r="D1526" s="3" t="s">
        <v>403</v>
      </c>
      <c r="E1526" s="4" t="s">
        <v>19</v>
      </c>
      <c r="F1526" s="4" t="s">
        <v>20</v>
      </c>
      <c r="G1526" s="4" t="s">
        <v>80</v>
      </c>
      <c r="H1526" s="3" t="s">
        <v>6793</v>
      </c>
      <c r="I1526" s="3" t="s">
        <v>6794</v>
      </c>
      <c r="J1526" s="4">
        <v>18.6</v>
      </c>
      <c r="K1526" s="4">
        <v>10.0</v>
      </c>
      <c r="L1526" s="3" t="s">
        <v>6250</v>
      </c>
      <c r="M1526" s="3" t="s">
        <v>6795</v>
      </c>
      <c r="N1526" s="7" t="str">
        <f>IFERROR(__xludf.DUMMYFUNCTION("GOOGLETRANSLATE(L1526, ""en"", ""pt"")"),"tratador de cavalos de corrida puro-sangue")</f>
        <v>tratador de cavalos de corrida puro-sangue</v>
      </c>
      <c r="O1526" s="7" t="str">
        <f>IFERROR(__xludf.DUMMYFUNCTION("IF(M1526="""","""",GOOGLETRANSLATE(M1526,""en"",""pt""))"),"Responsável pelos cuidados gerais de cavalos puro-sangue, incluindo alimentação, fornecimento de água, manutenção das baias e arreios, limpeza, escovação, casqueamento, desinfecção das baias e camas, administração de medicamentos conforme prescrição e ins"&amp;"peção da condição física dos cavalos. Levantará as patas e limpará os cascos dos cavalos, aplicando linimentos e bandagens conforme necessário. Cuidará de 1 a 5 cavalos por vez. A jornada de trabalho é em turnos divididos: das 5h às 11h e das 15h às 17h. "&amp;"Os dias de folga são rotativos. Classificação da vaga: 39-2021.00 - Cuidadores de Animais. A classificação e descrição da vaga/setor incluem informações gerais sobre o cargo, de acordo com o ONET/OES e o Sistema de Classificação Industrial da América do N"&amp;"orte. Consulte as Funções e a Ordem de Serviço para obter mais informações. Requisitos da vaga: Experiência necessária: Sim. Meses de experiência necessários: 1. Requisitos especiais: Deve ser capaz de levantar 23 kg. Número de horas por semana: 56. Horár"&amp;"io de trabalho (início/término): 5h. - 17h00")</f>
        <v>Responsável pelos cuidados gerais de cavalos puro-sangue, incluindo alimentação, fornecimento de água, manutenção das baias e arreios, limpeza, escovação, casqueamento, desinfecção das baias e camas, administração de medicamentos conforme prescrição e inspeção da condição física dos cavalos. Levantará as patas e limpará os cascos dos cavalos, aplicando linimentos e bandagens conforme necessário. Cuidará de 1 a 5 cavalos por vez. A jornada de trabalho é em turnos divididos: das 5h às 11h e das 15h às 17h. Os dias de folga são rotativos. Classificação da vaga: 39-2021.00 - Cuidadores de Animais. A classificação e descrição da vaga/setor incluem informações gerais sobre o cargo, de acordo com o ONET/OES e o Sistema de Classificação Industrial da América do Norte. Consulte as Funções e a Ordem de Serviço para obter mais informações. Requisitos da vaga: Experiência necessária: Sim. Meses de experiência necessários: 1. Requisitos especiais: Deve ser capaz de levantar 23 kg. Número de horas por semana: 56. Horário de trabalho (início/término): 5h. - 17h00</v>
      </c>
    </row>
    <row r="1527" ht="20.25" customHeight="1">
      <c r="A1527" s="8" t="s">
        <v>6796</v>
      </c>
      <c r="B1527" s="8" t="s">
        <v>6797</v>
      </c>
      <c r="C1527" s="8" t="s">
        <v>6282</v>
      </c>
      <c r="D1527" s="8" t="s">
        <v>55</v>
      </c>
      <c r="E1527" s="9" t="s">
        <v>19</v>
      </c>
      <c r="F1527" s="9" t="s">
        <v>20</v>
      </c>
      <c r="G1527" s="9" t="s">
        <v>307</v>
      </c>
      <c r="H1527" s="8" t="s">
        <v>6798</v>
      </c>
      <c r="I1527" s="8" t="s">
        <v>6799</v>
      </c>
      <c r="J1527" s="9">
        <v>21.95</v>
      </c>
      <c r="K1527" s="9">
        <v>1.0</v>
      </c>
      <c r="L1527" s="8" t="s">
        <v>6800</v>
      </c>
      <c r="M1527" s="8" t="s">
        <v>6801</v>
      </c>
      <c r="N1527" s="7" t="str">
        <f>IFERROR(__xludf.DUMMYFUNCTION("GOOGLETRANSLATE(L1527, ""en"", ""pt"")"),"Auxiliar de Escritório")</f>
        <v>Auxiliar de Escritório</v>
      </c>
      <c r="O1527" s="7" t="str">
        <f>IFERROR(__xludf.DUMMYFUNCTION("IF(M1527="""","""",GOOGLETRANSLATE(M1527,""en"",""pt""))"),"Auxiliará o gerente do escritório em tarefas administrativas sob supervisão. As funções incluem redigir memorandos, organizar a entrega de materiais e agendar datas para operações no local de trabalho. Classificação da vaga: 43-6014.00 - Secretárias e Ass"&amp;"istentes Administrativos, exceto para as áreas Jurídica, Médica e Executiva. A classificação e descrição da vaga/setor incluem informações gerais sobre o cargo, de acordo com o ONET/OES e o Sistema de Classificação Industrial da América do Norte (NAICS). "&amp;"Consulte as Funções e a Ordem de Serviço para obter mais informações. Requisitos da vaga: Experiência necessária: Sim. Meses de experiência necessários: 1. Requisitos especiais: Deve ser capaz de levantar 13,6 kg. Número de horas por semana: 40. Horário d"&amp;"e trabalho (início/término): 8h às 17h.")</f>
        <v>Auxiliará o gerente do escritório em tarefas administrativas sob supervisão. As funções incluem redigir memorandos, organizar a entrega de materiais e agendar datas para operações no local de trabalho. Classificação da vaga: 43-6014.00 - Secretárias e Assistentes Administrativos, exceto para as áreas Jurídica, Médica e Executiva. A classificação e descrição da vaga/setor incluem informações gerais sobre o cargo, de acordo com o ONET/OES e o Sistema de Classificação Industrial da América do Norte (NAICS). Consulte as Funções e a Ordem de Serviço para obter mais informações. Requisitos da vaga: Experiência necessária: Sim. Meses de experiência necessários: 1. Requisitos especiais: Deve ser capaz de levantar 13,6 kg. Número de horas por semana: 40. Horário de trabalho (início/término): 8h às 17h.</v>
      </c>
    </row>
    <row r="1528" ht="20.25" customHeight="1">
      <c r="A1528" s="3" t="s">
        <v>6802</v>
      </c>
      <c r="B1528" s="3" t="s">
        <v>6803</v>
      </c>
      <c r="C1528" s="3" t="s">
        <v>6282</v>
      </c>
      <c r="D1528" s="3" t="s">
        <v>596</v>
      </c>
      <c r="E1528" s="4" t="s">
        <v>44</v>
      </c>
      <c r="F1528" s="4" t="s">
        <v>20</v>
      </c>
      <c r="G1528" s="4" t="s">
        <v>94</v>
      </c>
      <c r="H1528" s="3" t="s">
        <v>6804</v>
      </c>
      <c r="I1528" s="3" t="s">
        <v>6805</v>
      </c>
      <c r="J1528" s="4">
        <v>26.93</v>
      </c>
      <c r="K1528" s="4">
        <v>10.0</v>
      </c>
      <c r="L1528" s="3" t="s">
        <v>1490</v>
      </c>
      <c r="M1528" s="3" t="s">
        <v>6806</v>
      </c>
      <c r="N1528" s="7" t="str">
        <f>IFERROR(__xludf.DUMMYFUNCTION("GOOGLETRANSLATE(L1528, ""en"", ""pt"")"),"Zelador")</f>
        <v>Zelador</v>
      </c>
      <c r="O1528" s="7" t="str">
        <f>IFERROR(__xludf.DUMMYFUNCTION("IF(M1528="""","""",GOOGLETRANSLATE(M1528,""en"",""pt""))"),"Limpar e preparar o exterior de residências e comércios para a decoração de festas, removendo obstruções e detritos conforme necessário. Auxiliar na montagem e instalação de decorações sazonais externas. Remover as decorações ao final da temporada. Limpar"&amp;" e guardar em recipientes apropriados. Descartar o lixo. Classificação da função: 49-9099.00 - Trabalhadores de Instalação, Manutenção e Reparo, Outros. A classificação e descrição da função/setor incluem informações gerais sobre o cargo, conforme ONET/OE"&amp;"S e o Sistema de Classificação Industrial da América do Norte (NAICS). Consulte as Funções e a Ordem de Serviço para obter mais informações. Requisitos da vaga: Experiência necessária: Sim. Meses de experiência necessários: 1. Requisitos especiais: Capaci"&amp;"dade de levantar 23 kg. Número de horas por semana: 40. Horário de trabalho (início/término): 7h às 17h.")</f>
        <v>Limpar e preparar o exterior de residências e comércios para a decoração de festas, removendo obstruções e detritos conforme necessário. Auxiliar na montagem e instalação de decorações sazonais externas. Remover as decorações ao final da temporada. Limpar e guardar em recipientes apropriados. Descartar o lixo. Classificação da função: 49-9099.00 - Trabalhadores de Instalação, Manutenção e Reparo, Outros. A classificação e descrição da função/setor incluem informações gerais sobre o cargo, conforme ONET/OES e o Sistema de Classificação Industrial da América do Norte (NAICS). Consulte as Funções e a Ordem de Serviço para obter mais informações. Requisitos da vaga: Experiência necessária: Sim. Meses de experiência necessários: 1. Requisitos especiais: Capacidade de levantar 23 kg. Número de horas por semana: 40. Horário de trabalho (início/término): 7h às 17h.</v>
      </c>
    </row>
    <row r="1529" ht="20.25" customHeight="1">
      <c r="A1529" s="8" t="s">
        <v>6807</v>
      </c>
      <c r="B1529" s="8" t="s">
        <v>6589</v>
      </c>
      <c r="C1529" s="8" t="s">
        <v>6228</v>
      </c>
      <c r="D1529" s="8" t="s">
        <v>271</v>
      </c>
      <c r="E1529" s="9" t="s">
        <v>19</v>
      </c>
      <c r="F1529" s="9" t="s">
        <v>20</v>
      </c>
      <c r="G1529" s="9" t="s">
        <v>377</v>
      </c>
      <c r="H1529" s="8" t="s">
        <v>6590</v>
      </c>
      <c r="I1529" s="8" t="s">
        <v>6591</v>
      </c>
      <c r="J1529" s="9">
        <v>19.21</v>
      </c>
      <c r="K1529" s="9">
        <v>5.0</v>
      </c>
      <c r="L1529" s="8" t="s">
        <v>1636</v>
      </c>
      <c r="M1529" s="8" t="s">
        <v>6808</v>
      </c>
      <c r="N1529" s="7" t="str">
        <f>IFERROR(__xludf.DUMMYFUNCTION("GOOGLETRANSLATE(L1529, ""en"", ""pt"")"),"Mordomo")</f>
        <v>Mordomo</v>
      </c>
      <c r="O1529" s="7" t="str">
        <f>IFERROR(__xludf.DUMMYFUNCTION("IF(M1529="""","""",GOOGLETRANSLATE(M1529,""en"",""pt""))"),"Limpeza e higienização de porcelana, copos, talheres, panelas, utensílios de aço inoxidável e toda a área da cozinha, incluindo paredes, pisos, ralos e equipamentos. Reportar equipamentos quebrados ou danificados para reparo. Descartar o lixo da área da c"&amp;"ozinha corretamente e manter a área da lixeira organizada. Seguir os procedimentos de limpeza e higienização seguros exigidos. Classificação da vaga: 35-9021.00 - Lavadores de Louça. A classificação e descrição da vaga/setor incluem informações gerais sob"&amp;"re o cargo, de acordo com o ONET/OES e o Sistema de Classificação Industrial da América do Norte (NAICS). Consulte as Funções e a Ordem de Serviço para obter mais informações. Requisitos da vaga: Experiência exigida: Não. Requisitos especiais: Não há exig"&amp;"ência mínima de escolaridade ou treinamento. Deve ser capaz de levantar, empurrar e puxar 23 kg. Deve ter disponibilidade para trabalhar pelo menos 5 dias por semana. Deve ter disponibilidade para trabalhar nos fins de semana e feriados, conforme necessár"&amp;"io. Deve obter a Certificação ServSafe de Manipuladores de Alimentos. Cada candidato (tanto trabalhadores americanos quanto com visto H-2B) deve preencher o formulário de emprego online padrão do empregador como parte do processo de contratação. A aplicaç"&amp;"ão do formulário é obrigatória para todos os candidatos e não impõe requisitos adicionais ou diferentes aos trabalhadores americanos. Os trabalhadores estarão sujeitos a testes de drogas mediante suspeita razoável, pagos pelo empregador e aplicados igualm"&amp;"ente a todos os trabalhadores, americanos e estrangeiros/H-2B. Os trabalhadores estão sujeitos a verificações de antecedentes criminais, pagas pelo empregador e aplicadas igualmente a todos os trabalhadores, americanos e estrangeiros/H-2B. De domingo a sá"&amp;"bado, em turnos rotativos e variáveis ​​de 8 horas, das 5h às 1h. Os dias de trabalho e os horários dos turnos podem variar de acordo com a ocupação e os eventos. Número de horas por semana: 35. Horário de trabalho (início/término): 5h - 1h.")</f>
        <v>Limpeza e higienização de porcelana, copos, talheres, panelas, utensílios de aço inoxidável e toda a área da cozinha, incluindo paredes, pisos, ralos e equipamentos. Reportar equipamentos quebrados ou danificados para reparo. Descartar o lixo da área da cozinha corretamente e manter a área da lixeira organizada. Seguir os procedimentos de limpeza e higienização seguros exigidos. Classificação da vaga: 35-9021.00 - Lavadores de Louça. A classificação e descrição da vaga/setor incluem informações gerais sobre o cargo, de acordo com o ONET/OES e o Sistema de Classificação Industrial da América do Norte (NAICS). Consulte as Funções e a Ordem de Serviço para obter mais informações. Requisitos da vaga: Experiência exigida: Não. Requisitos especiais: Não há exigência mínima de escolaridade ou treinamento. Deve ser capaz de levantar, empurrar e puxar 23 kg. Deve ter disponibilidade para trabalhar pelo menos 5 dias por semana. Deve ter disponibilidade para trabalhar nos fins de semana e feriados, conforme necessário. Deve obter a Certificação ServSafe de Manipuladores de Alimentos. Cada candidato (tanto trabalhadores americanos quanto com visto H-2B) deve preencher o formulário de emprego online padrão do empregador como parte do processo de contratação. A aplicação do formulário é obrigatória para todos os candidatos e não impõe requisitos adicionais ou diferentes aos trabalhadores americanos. Os trabalhadores estarão sujeitos a testes de drogas mediante suspeita razoável, pagos pelo empregador e aplicados igualmente a todos os trabalhadores, americanos e estrangeiros/H-2B. Os trabalhadores estão sujeitos a verificações de antecedentes criminais, pagas pelo empregador e aplicadas igualmente a todos os trabalhadores, americanos e estrangeiros/H-2B. De domingo a sábado, em turnos rotativos e variáveis ​​de 8 horas, das 5h às 1h. Os dias de trabalho e os horários dos turnos podem variar de acordo com a ocupação e os eventos. Número de horas por semana: 35. Horário de trabalho (início/término): 5h - 1h.</v>
      </c>
    </row>
    <row r="1530" ht="20.25" customHeight="1">
      <c r="A1530" s="3" t="s">
        <v>6809</v>
      </c>
      <c r="B1530" s="3" t="s">
        <v>6810</v>
      </c>
      <c r="C1530" s="3" t="s">
        <v>6247</v>
      </c>
      <c r="D1530" s="3" t="s">
        <v>403</v>
      </c>
      <c r="E1530" s="4" t="s">
        <v>44</v>
      </c>
      <c r="F1530" s="4" t="s">
        <v>20</v>
      </c>
      <c r="G1530" s="4" t="s">
        <v>80</v>
      </c>
      <c r="H1530" s="3" t="s">
        <v>6811</v>
      </c>
      <c r="I1530" s="3" t="s">
        <v>6812</v>
      </c>
      <c r="J1530" s="4">
        <v>18.46</v>
      </c>
      <c r="K1530" s="4">
        <v>4.0</v>
      </c>
      <c r="L1530" s="3" t="s">
        <v>6250</v>
      </c>
      <c r="M1530" s="3" t="s">
        <v>6251</v>
      </c>
      <c r="N1530" s="7" t="str">
        <f>IFERROR(__xludf.DUMMYFUNCTION("GOOGLETRANSLATE(L1530, ""en"", ""pt"")"),"tratador de cavalos de corrida puro-sangue")</f>
        <v>tratador de cavalos de corrida puro-sangue</v>
      </c>
      <c r="O1530" s="7" t="str">
        <f>IFERROR(__xludf.DUMMYFUNCTION("IF(M1530="""","""",GOOGLETRANSLATE(M1530,""en"",""pt""))"),"Responsável pelos cuidados gerais de cavalos de corrida puro-sangue, incluindo alimentação, fornecimento de água, manutenção de baias e estábulos, limpeza, escovação, exercícios, casqueamento, desinfecção de baias e camas, administração de medicamentos co"&amp;"nforme prescrição e inspeção da condição física dos cavalos. Levantará as patas e limpará os cascos dos cavalos, aplicando linimentos e bandagens conforme necessário. Cuidará de 1 a 5 cavalos por vez. Turno dividido: das 5h às 11h e das 15h às 17h. Folgas"&amp;" rotativas. Classificação da vaga: 39-2021.00 - Cuidadores de Animais. A classificação e descrição da vaga/setor incluem informações gerais sobre o cargo, de acordo com o ONET/OES e o Sistema de Classificação Industrial da América do Norte. Consulte as Fu"&amp;"nções e a Ordem de Serviço para obter mais informações. Requisitos da vaga: Experiência necessária: Sim. Meses de experiência necessários: 1. Requisitos especiais: Deve ser capaz de levantar 23 kg. Número de horas por semana: 56. Horário de trabalho (iníc"&amp;"io/término): 5h. - 17h00")</f>
        <v>Responsável pelos cuidados gerais de cavalos de corrida puro-sangue, incluindo alimentação, fornecimento de água, manutenção de baias e estábulos, limpeza, escovação, exercícios, casqueamento, desinfecção de baias e camas, administração de medicamentos conforme prescrição e inspeção da condição física dos cavalos. Levantará as patas e limpará os cascos dos cavalos, aplicando linimentos e bandagens conforme necessário. Cuidará de 1 a 5 cavalos por vez. Turno dividido: das 5h às 11h e das 15h às 17h. Folgas rotativas. Classificação da vaga: 39-2021.00 - Cuidadores de Animais. A classificação e descrição da vaga/setor incluem informações gerais sobre o cargo, de acordo com o ONET/OES e o Sistema de Classificação Industrial da América do Norte. Consulte as Funções e a Ordem de Serviço para obter mais informações. Requisitos da vaga: Experiência necessária: Sim. Meses de experiência necessários: 1. Requisitos especiais: Deve ser capaz de levantar 23 kg. Número de horas por semana: 56. Horário de trabalho (início/término): 5h. - 17h00</v>
      </c>
    </row>
    <row r="1531" ht="20.25" customHeight="1">
      <c r="A1531" s="8" t="s">
        <v>6813</v>
      </c>
      <c r="B1531" s="8" t="s">
        <v>6814</v>
      </c>
      <c r="C1531" s="8" t="s">
        <v>6282</v>
      </c>
      <c r="D1531" s="8" t="s">
        <v>154</v>
      </c>
      <c r="E1531" s="9" t="s">
        <v>19</v>
      </c>
      <c r="F1531" s="9" t="s">
        <v>20</v>
      </c>
      <c r="G1531" s="9" t="s">
        <v>307</v>
      </c>
      <c r="H1531" s="8" t="s">
        <v>6815</v>
      </c>
      <c r="I1531" s="8" t="s">
        <v>6816</v>
      </c>
      <c r="J1531" s="9">
        <v>23.23</v>
      </c>
      <c r="K1531" s="9">
        <v>5.0</v>
      </c>
      <c r="L1531" s="8" t="s">
        <v>262</v>
      </c>
      <c r="M1531" s="8" t="s">
        <v>6817</v>
      </c>
      <c r="N1531" s="7" t="str">
        <f>IFERROR(__xludf.DUMMYFUNCTION("GOOGLETRANSLATE(L1531, ""en"", ""pt"")"),"Operário da construção civil")</f>
        <v>Operário da construção civil</v>
      </c>
      <c r="O1531" s="7" t="str">
        <f>IFERROR(__xludf.DUMMYFUNCTION("IF(M1531="""","""",GOOGLETRANSLATE(M1531,""en"",""pt""))"),"Limpeza e preparação de canteiros de obras, carga e descarga de materiais, concretagem e acabamento, construção de formas e auxílio a profissionais qualificados em suas funções. Classificação da vaga: 47-2051.00 - Pedreiros e Acabadores de Concreto. A cla"&amp;"ssificação e descrição da vaga/setor incluem informações gerais sobre o cargo, de acordo com o ONET/OES e o Sistema de Classificação Industrial da América do Norte (NAICS). Consulte as Funções e a Ordem de Serviço para obter mais informações. Requisitos d"&amp;"a vaga: Experiência necessária: Sim. Meses de experiência necessários: 1. Requisitos especiais: Capacidade de levantar 23 kg. Número de horas por semana: 40. Horário de trabalho (início/término): 7h às 16h.")</f>
        <v>Limpeza e preparação de canteiros de obras, carga e descarga de materiais, concretagem e acabamento, construção de formas e auxílio a profissionais qualificados em suas funções. Classificação da vaga: 47-2051.00 - Pedreiros e Acabadores de Concreto. A classificação e descrição da vaga/setor incluem informações gerais sobre o cargo, de acordo com o ONET/OES e o Sistema de Classificação Industrial da América do Norte (NAICS). Consulte as Funções e a Ordem de Serviço para obter mais informações. Requisitos da vaga: Experiência necessária: Sim. Meses de experiência necessários: 1. Requisitos especiais: Capacidade de levantar 23 kg. Número de horas por semana: 40. Horário de trabalho (início/término): 7h às 16h.</v>
      </c>
    </row>
    <row r="1532" ht="20.25" customHeight="1">
      <c r="A1532" s="3" t="s">
        <v>6818</v>
      </c>
      <c r="B1532" s="3" t="s">
        <v>6819</v>
      </c>
      <c r="C1532" s="3" t="s">
        <v>6247</v>
      </c>
      <c r="D1532" s="3" t="s">
        <v>254</v>
      </c>
      <c r="E1532" s="4" t="s">
        <v>19</v>
      </c>
      <c r="F1532" s="4" t="s">
        <v>20</v>
      </c>
      <c r="G1532" s="4" t="s">
        <v>80</v>
      </c>
      <c r="H1532" s="3" t="s">
        <v>6820</v>
      </c>
      <c r="I1532" s="3" t="s">
        <v>6821</v>
      </c>
      <c r="J1532" s="4">
        <v>16.37</v>
      </c>
      <c r="K1532" s="4">
        <v>7.0</v>
      </c>
      <c r="L1532" s="3" t="s">
        <v>6250</v>
      </c>
      <c r="M1532" s="3" t="s">
        <v>6433</v>
      </c>
      <c r="N1532" s="7" t="str">
        <f>IFERROR(__xludf.DUMMYFUNCTION("GOOGLETRANSLATE(L1532, ""en"", ""pt"")"),"tratador de cavalos de corrida puro-sangue")</f>
        <v>tratador de cavalos de corrida puro-sangue</v>
      </c>
      <c r="O1532" s="7" t="str">
        <f>IFERROR(__xludf.DUMMYFUNCTION("IF(M1532="""","""",GOOGLETRANSLATE(M1532,""en"",""pt""))"),"Responsável pelos cuidados gerais de cavalos de corrida puro-sangue, incluindo alimentação, fornecimento de água, manutenção de baias e estábulos, limpeza, escovação, exercícios, casqueamento, desinfecção de baias e camas, administração de medicamentos co"&amp;"nforme prescrição e inspeção da condição física dos cavalos. Levantará as patas e limpará os cascos dos cavalos, aplicando linimentos e bandagens conforme necessário. Cuidará de 1 a 5 cavalos por vez. Turno dividido: das 5h às 11h e das 15h às 17h. Folgas"&amp;" rotativas. Classificação da vaga: 39-2021.00 - Cuidadores de Animais. A classificação e descrição da vaga/setor incluem informações gerais sobre o cargo, de acordo com o ONET/OES e o Sistema de Classificação Industrial da América do Norte. Consulte as Fu"&amp;"nções e a Ordem de Serviço para obter mais informações. Requisitos da vaga: Experiência necessária: Sim. Meses de experiência necessários: 1. Requisitos especiais: Deve ser capaz de levantar até 23 kg. Número de horas por semana: 56. Horário de trabalho ("&amp;"início/término): 5h. - 17h00")</f>
        <v>Responsável pelos cuidados gerais de cavalos de corrida puro-sangue, incluindo alimentação, fornecimento de água, manutenção de baias e estábulos, limpeza, escovação, exercícios, casqueamento, desinfecção de baias e camas, administração de medicamentos conforme prescrição e inspeção da condição física dos cavalos. Levantará as patas e limpará os cascos dos cavalos, aplicando linimentos e bandagens conforme necessário. Cuidará de 1 a 5 cavalos por vez. Turno dividido: das 5h às 11h e das 15h às 17h. Folgas rotativas. Classificação da vaga: 39-2021.00 - Cuidadores de Animais. A classificação e descrição da vaga/setor incluem informações gerais sobre o cargo, de acordo com o ONET/OES e o Sistema de Classificação Industrial da América do Norte. Consulte as Funções e a Ordem de Serviço para obter mais informações. Requisitos da vaga: Experiência necessária: Sim. Meses de experiência necessários: 1. Requisitos especiais: Deve ser capaz de levantar até 23 kg. Número de horas por semana: 56. Horário de trabalho (início/término): 5h. - 17h00</v>
      </c>
    </row>
    <row r="1533" ht="20.25" customHeight="1">
      <c r="A1533" s="8" t="s">
        <v>6822</v>
      </c>
      <c r="B1533" s="8" t="s">
        <v>6823</v>
      </c>
      <c r="C1533" s="8" t="s">
        <v>6282</v>
      </c>
      <c r="D1533" s="8" t="s">
        <v>18</v>
      </c>
      <c r="E1533" s="9" t="s">
        <v>19</v>
      </c>
      <c r="F1533" s="9" t="s">
        <v>20</v>
      </c>
      <c r="G1533" s="9" t="s">
        <v>307</v>
      </c>
      <c r="H1533" s="8" t="s">
        <v>6824</v>
      </c>
      <c r="I1533" s="8" t="s">
        <v>6825</v>
      </c>
      <c r="J1533" s="9">
        <v>24.15</v>
      </c>
      <c r="K1533" s="9">
        <v>8.0</v>
      </c>
      <c r="L1533" s="8" t="s">
        <v>6760</v>
      </c>
      <c r="M1533" s="8" t="s">
        <v>6826</v>
      </c>
      <c r="N1533" s="7" t="str">
        <f>IFERROR(__xludf.DUMMYFUNCTION("GOOGLETRANSLATE(L1533, ""en"", ""pt"")"),"Acabador de gesso")</f>
        <v>Acabador de gesso</v>
      </c>
      <c r="O1533" s="7" t="str">
        <f>IFERROR(__xludf.DUMMYFUNCTION("IF(M1533="""","""",GOOGLETRANSLATE(M1533,""en"",""pt""))"),"Acabamento de concreto e reboco em piscinas de cimento Portland. Os trabalhadores irão montar as formas, espalhar o concreto, nivelá-lo e alisá-lo utilizando ferramentas básicas, como níveis, pás, vassouras e colheres de pedreiro. Os acabadores irão lixar"&amp;" as bordas e dar o acabamento, utilizando esmerilhadeira pneumática ou ferramentas manuais. É necessário saber ler plantas básicas e limpar equipamentos e áreas de trabalho. Classificação da vaga: 47-2051.00 - Pedreiros e Acabadores de Concreto. A classif"&amp;"icação e descrição da vaga/setor inclui informações gerais sobre o cargo, de acordo com o ONET/OES e o Sistema de Classificação Industrial da América do Norte (NAICS). Consulte as Funções e a Ordem de Serviço para obter mais informações. Requisitos da vag"&amp;"a: Experiência necessária: Sim. Meses de experiência necessários: 1. Requisitos especiais: DEVE SER CAPAZ DE LEVANTAR 23 KG. DEVE SER CAPAZ DE TRABALHAR AO AR LIVRE. VERIFICAÇÃO DE ANTECEDENTES PRÉ-CONTRATUAL OBRIGATÓRIA. TESTES DE DROGAS ALEATÓRIOS DURAN"&amp;"TE O EMPREGO. TESTE DE DROGAS PRÉ-ADMISSÃO OBRIGATÓRIO. Os trabalhadores com visto H-2B serão submetidos a verificação de antecedentes e exame toxicológico após a chegada aos EUA, antes do início do trabalho, às custas do empregador. Os trabalhadores com "&amp;"visto H-2B que não forem aprovados na verificação de antecedentes ou no exame toxicológico terão o transporte de retorno pago pelo empregador. D. Número de horas por semana: 40. Horário de trabalho (início/término): 7h às 16h.")</f>
        <v>Acabamento de concreto e reboco em piscinas de cimento Portland. Os trabalhadores irão montar as formas, espalhar o concreto, nivelá-lo e alisá-lo utilizando ferramentas básicas, como níveis, pás, vassouras e colheres de pedreiro. Os acabadores irão lixar as bordas e dar o acabamento, utilizando esmerilhadeira pneumática ou ferramentas manuais. É necessário saber ler plantas básicas e limpar equipamentos e áreas de trabalho. Classificação da vaga: 47-2051.00 - Pedreiros e Acabadores de Concreto. A classificação e descrição da vaga/setor inclui informações gerais sobre o cargo, de acordo com o ONET/OES e o Sistema de Classificação Industrial da América do Norte (NAICS). Consulte as Funções e a Ordem de Serviço para obter mais informações. Requisitos da vaga: Experiência necessária: Sim. Meses de experiência necessários: 1. Requisitos especiais: DEVE SER CAPAZ DE LEVANTAR 23 KG. DEVE SER CAPAZ DE TRABALHAR AO AR LIVRE. VERIFICAÇÃO DE ANTECEDENTES PRÉ-CONTRATUAL OBRIGATÓRIA. TESTES DE DROGAS ALEATÓRIOS DURANTE O EMPREGO. TESTE DE DROGAS PRÉ-ADMISSÃO OBRIGATÓRIO. Os trabalhadores com visto H-2B serão submetidos a verificação de antecedentes e exame toxicológico após a chegada aos EUA, antes do início do trabalho, às custas do empregador. Os trabalhadores com visto H-2B que não forem aprovados na verificação de antecedentes ou no exame toxicológico terão o transporte de retorno pago pelo empregador. D. Número de horas por semana: 40. Horário de trabalho (início/término): 7h às 16h.</v>
      </c>
    </row>
    <row r="1534" ht="20.25" customHeight="1">
      <c r="A1534" s="3" t="s">
        <v>6827</v>
      </c>
      <c r="B1534" s="3" t="s">
        <v>6828</v>
      </c>
      <c r="C1534" s="3" t="s">
        <v>6247</v>
      </c>
      <c r="D1534" s="3" t="s">
        <v>1297</v>
      </c>
      <c r="E1534" s="4" t="s">
        <v>19</v>
      </c>
      <c r="F1534" s="4" t="s">
        <v>20</v>
      </c>
      <c r="G1534" s="4" t="s">
        <v>80</v>
      </c>
      <c r="H1534" s="3" t="s">
        <v>6829</v>
      </c>
      <c r="I1534" s="3" t="s">
        <v>6830</v>
      </c>
      <c r="J1534" s="4">
        <v>15.1</v>
      </c>
      <c r="K1534" s="4">
        <v>10.0</v>
      </c>
      <c r="L1534" s="3" t="s">
        <v>6250</v>
      </c>
      <c r="M1534" s="3" t="s">
        <v>6251</v>
      </c>
      <c r="N1534" s="7" t="str">
        <f>IFERROR(__xludf.DUMMYFUNCTION("GOOGLETRANSLATE(L1534, ""en"", ""pt"")"),"tratador de cavalos de corrida puro-sangue")</f>
        <v>tratador de cavalos de corrida puro-sangue</v>
      </c>
      <c r="O1534" s="7" t="str">
        <f>IFERROR(__xludf.DUMMYFUNCTION("IF(M1534="""","""",GOOGLETRANSLATE(M1534,""en"",""pt""))"),"Responsável pelos cuidados gerais de cavalos de corrida puro-sangue, incluindo alimentação, fornecimento de água, manutenção de baias e estábulos, limpeza, escovação, exercícios, casqueamento, desinfecção de baias e camas, administração de medicamentos co"&amp;"nforme prescrição e inspeção da condição física dos cavalos. Levantará as patas e limpará os cascos dos cavalos, aplicando linimentos e bandagens conforme necessário. Cuidará de 1 a 5 cavalos por vez. Turno dividido: das 5h às 11h e das 15h às 17h. Folgas"&amp;" rotativas. Classificação da vaga: 39-2021.00 - Cuidadores de Animais. A classificação e descrição da vaga/setor incluem informações gerais sobre o cargo, de acordo com o ONET/OES e o Sistema de Classificação Industrial da América do Norte. Consulte as Fu"&amp;"nções e a Ordem de Serviço para obter mais informações. Requisitos da vaga: Experiência necessária: Sim. Meses de experiência necessários: 1. Requisitos especiais: Deve ser capaz de levantar 23 kg. Número de horas por semana: 56. Horário de trabalho (iníc"&amp;"io/término): 5h. - 17h00")</f>
        <v>Responsável pelos cuidados gerais de cavalos de corrida puro-sangue, incluindo alimentação, fornecimento de água, manutenção de baias e estábulos, limpeza, escovação, exercícios, casqueamento, desinfecção de baias e camas, administração de medicamentos conforme prescrição e inspeção da condição física dos cavalos. Levantará as patas e limpará os cascos dos cavalos, aplicando linimentos e bandagens conforme necessário. Cuidará de 1 a 5 cavalos por vez. Turno dividido: das 5h às 11h e das 15h às 17h. Folgas rotativas. Classificação da vaga: 39-2021.00 - Cuidadores de Animais. A classificação e descrição da vaga/setor incluem informações gerais sobre o cargo, de acordo com o ONET/OES e o Sistema de Classificação Industrial da América do Norte. Consulte as Funções e a Ordem de Serviço para obter mais informações. Requisitos da vaga: Experiência necessária: Sim. Meses de experiência necessários: 1. Requisitos especiais: Deve ser capaz de levantar 23 kg. Número de horas por semana: 56. Horário de trabalho (início/término): 5h. - 17h00</v>
      </c>
    </row>
    <row r="1535" ht="20.25" customHeight="1">
      <c r="A1535" s="8" t="s">
        <v>6831</v>
      </c>
      <c r="B1535" s="8" t="s">
        <v>6832</v>
      </c>
      <c r="C1535" s="8" t="s">
        <v>6247</v>
      </c>
      <c r="D1535" s="8" t="s">
        <v>64</v>
      </c>
      <c r="E1535" s="9" t="s">
        <v>19</v>
      </c>
      <c r="F1535" s="9" t="s">
        <v>20</v>
      </c>
      <c r="G1535" s="9" t="s">
        <v>345</v>
      </c>
      <c r="H1535" s="8" t="s">
        <v>6833</v>
      </c>
      <c r="I1535" s="8" t="s">
        <v>6834</v>
      </c>
      <c r="J1535" s="9">
        <v>16.1</v>
      </c>
      <c r="K1535" s="9">
        <v>13.0</v>
      </c>
      <c r="L1535" s="8" t="s">
        <v>6250</v>
      </c>
      <c r="M1535" s="8" t="s">
        <v>6527</v>
      </c>
      <c r="N1535" s="7" t="str">
        <f>IFERROR(__xludf.DUMMYFUNCTION("GOOGLETRANSLATE(L1535, ""en"", ""pt"")"),"tratador de cavalos de corrida puro-sangue")</f>
        <v>tratador de cavalos de corrida puro-sangue</v>
      </c>
      <c r="O1535" s="7" t="str">
        <f>IFERROR(__xludf.DUMMYFUNCTION("IF(M1535="""","""",GOOGLETRANSLATE(M1535,""en"",""pt""))"),"Responsável pelos cuidados gerais de cavalos de corrida puro-sangue, incluindo alimentação, fornecimento de água, manutenção de baias e estábulos, limpeza, escovação, exercícios, casqueamento, desinfecção de baias e camas, administração de medicamentos co"&amp;"nforme prescrição e inspeção da condição física dos cavalos. Levantará as patas e limpará os cascos dos cavalos, aplicando linimentos e bandagens conforme necessário. Cuidará de 1 a 5 cavalos por vez. Turno dividido: das 5h às 11h e das 15h às 17h. Folgas"&amp;" rotativas. Classificação da vaga: 39-2021.00 - Cuidadores de Animais. A classificação e descrição da vaga/setor incluem informações gerais sobre o cargo, de acordo com o ONET/OES e o Sistema de Classificação Industrial da América do Norte. Consulte as Fu"&amp;"nções e a Ordem de Serviço para obter mais informações. Requisitos da vaga: Experiência necessária: Sim. Meses de experiência necessários: 1. Requisitos especiais: Deve ser capaz de levantar 23 kg. Número de horas por semana: 56. Horário de trabalho (iníc"&amp;"io/término): 5h. - 17h00")</f>
        <v>Responsável pelos cuidados gerais de cavalos de corrida puro-sangue, incluindo alimentação, fornecimento de água, manutenção de baias e estábulos, limpeza, escovação, exercícios, casqueamento, desinfecção de baias e camas, administração de medicamentos conforme prescrição e inspeção da condição física dos cavalos. Levantará as patas e limpará os cascos dos cavalos, aplicando linimentos e bandagens conforme necessário. Cuidará de 1 a 5 cavalos por vez. Turno dividido: das 5h às 11h e das 15h às 17h. Folgas rotativas. Classificação da vaga: 39-2021.00 - Cuidadores de Animais. A classificação e descrição da vaga/setor incluem informações gerais sobre o cargo, de acordo com o ONET/OES e o Sistema de Classificação Industrial da América do Norte. Consulte as Funções e a Ordem de Serviço para obter mais informações. Requisitos da vaga: Experiência necessária: Sim. Meses de experiência necessários: 1. Requisitos especiais: Deve ser capaz de levantar 23 kg. Número de horas por semana: 56. Horário de trabalho (início/término): 5h. - 17h00</v>
      </c>
    </row>
    <row r="1536" ht="20.25" customHeight="1">
      <c r="A1536" s="3" t="s">
        <v>6835</v>
      </c>
      <c r="B1536" s="3" t="s">
        <v>6836</v>
      </c>
      <c r="C1536" s="3" t="s">
        <v>6247</v>
      </c>
      <c r="D1536" s="3" t="s">
        <v>71</v>
      </c>
      <c r="E1536" s="4" t="s">
        <v>19</v>
      </c>
      <c r="F1536" s="4" t="s">
        <v>20</v>
      </c>
      <c r="G1536" s="4" t="s">
        <v>345</v>
      </c>
      <c r="H1536" s="3" t="s">
        <v>6837</v>
      </c>
      <c r="I1536" s="3" t="s">
        <v>6838</v>
      </c>
      <c r="J1536" s="4">
        <v>18.57</v>
      </c>
      <c r="K1536" s="4">
        <v>3.0</v>
      </c>
      <c r="L1536" s="3" t="s">
        <v>6359</v>
      </c>
      <c r="M1536" s="3" t="s">
        <v>6360</v>
      </c>
      <c r="N1536" s="7" t="str">
        <f>IFERROR(__xludf.DUMMYFUNCTION("GOOGLETRANSLATE(L1536, ""en"", ""pt"")"),"tratador de cavalos puro-sangue")</f>
        <v>tratador de cavalos puro-sangue</v>
      </c>
      <c r="O1536" s="7" t="str">
        <f>IFERROR(__xludf.DUMMYFUNCTION("IF(M1536="""","""",GOOGLETRANSLATE(M1536,""en"",""pt""))"),"Responsável pelos cuidados gerais de cavalos de corrida puro-sangue, incluindo alimentação, fornecimento de água, manutenção de baias e estábulos, limpeza, escovação, exercícios, casqueamento, desinfecção de baias e camas, administração de medicamentos co"&amp;"nforme prescrição e inspeção da condição física dos cavalos. Levantará as patas e limpará os cascos dos cavalos, aplicando linimentos e bandagens conforme necessário. Cuidará de 1 a 5 cavalos por vez. Turno dividido: das 5h às 11h e das 15h às 17h. Folgas"&amp;" rotativas. Classificação da vaga: 39-2021.00 - Cuidadores de Animais. A classificação e descrição da vaga/setor incluem informações gerais sobre o cargo, de acordo com o ONET/OES e o Sistema de Classificação Industrial da América do Norte. Consulte as Fu"&amp;"nções e a Ordem de Serviço para obter mais informações. Requisitos da vaga: Experiência necessária: Sim. Meses de experiência necessários: 1. Requisitos especiais: Deve ser capaz de levantar 23 kg. Número de horas por semana: 56. Horário de trabalho (iníc"&amp;"io/término): 5h. - 17h00")</f>
        <v>Responsável pelos cuidados gerais de cavalos de corrida puro-sangue, incluindo alimentação, fornecimento de água, manutenção de baias e estábulos, limpeza, escovação, exercícios, casqueamento, desinfecção de baias e camas, administração de medicamentos conforme prescrição e inspeção da condição física dos cavalos. Levantará as patas e limpará os cascos dos cavalos, aplicando linimentos e bandagens conforme necessário. Cuidará de 1 a 5 cavalos por vez. Turno dividido: das 5h às 11h e das 15h às 17h. Folgas rotativas. Classificação da vaga: 39-2021.00 - Cuidadores de Animais. A classificação e descrição da vaga/setor incluem informações gerais sobre o cargo, de acordo com o ONET/OES e o Sistema de Classificação Industrial da América do Norte. Consulte as Funções e a Ordem de Serviço para obter mais informações. Requisitos da vaga: Experiência necessária: Sim. Meses de experiência necessários: 1. Requisitos especiais: Deve ser capaz de levantar 23 kg. Número de horas por semana: 56. Horário de trabalho (início/término): 5h. - 17h00</v>
      </c>
    </row>
    <row r="1537" ht="20.25" customHeight="1">
      <c r="A1537" s="8" t="s">
        <v>6839</v>
      </c>
      <c r="B1537" s="8" t="s">
        <v>6840</v>
      </c>
      <c r="C1537" s="8" t="s">
        <v>63</v>
      </c>
      <c r="D1537" s="8" t="s">
        <v>36</v>
      </c>
      <c r="E1537" s="9" t="s">
        <v>19</v>
      </c>
      <c r="F1537" s="9" t="s">
        <v>20</v>
      </c>
      <c r="G1537" s="9" t="s">
        <v>146</v>
      </c>
      <c r="H1537" s="14" t="s">
        <v>6841</v>
      </c>
      <c r="I1537" s="8" t="s">
        <v>6842</v>
      </c>
      <c r="J1537" s="9">
        <v>16.92</v>
      </c>
      <c r="K1537" s="9">
        <v>10.0</v>
      </c>
      <c r="L1537" s="8" t="s">
        <v>567</v>
      </c>
      <c r="M1537" s="8" t="s">
        <v>568</v>
      </c>
      <c r="N1537" s="7" t="str">
        <f>IFERROR(__xludf.DUMMYFUNCTION("GOOGLETRANSLATE(L1537, ""en"", ""pt"")"),"Trabalhador de manutenção de terrenos")</f>
        <v>Trabalhador de manutenção de terrenos</v>
      </c>
      <c r="O1537" s="7" t="str">
        <f>IFERROR(__xludf.DUMMYFUNCTION("IF(M1537="""","""",GOOGLETRANSLATE(M1537,""en"",""pt""))"),"Paisagismo e manutenção de terrenos. Os trabalhadores geralmente executam uma variedade de tarefas, que podem incluir qualquer combinação das seguintes: Operar equipamentos mecanizados, como cortadores de grama, cortadores de grama acoplados a tratores e "&amp;"roçadeiras para cortar grama/limpar mato; aparar/cortar bordas, remover lixo. Carregar/descarregar equipamentos. Diagnosticar/fazer reparos de rotina em equipamentos, conforme necessário. Deve exercer julgamento independente; pode ser solicitado a demonst"&amp;"rar tarefas a outros funcionários, mas a função não inclui a supervisão de outros trabalhadores. Classificação da função: 37-3011.00 - Trabalhadores de Paisagismo e Manutenção de Terrenos. A classificação e descrição da função/setor inclui informações ger"&amp;"ais sobre o cargo, de acordo com o ONET/OES e o Sistema de Classificação Industrial da América do Norte. Consulte as Funções e a Ordem de Serviço para obter mais informações. Requisitos da função: Experiência necessária: Sim. Meses de experiência necessár"&amp;"ios: 3. Requisitos especiais: Deve levantar/carregar 23 kg, quando necessário. Trabalho aos sábados e domingos, quando necessário. Testes aleatórios de drogas após a contratação, após acidentes e em caso de suspeita de uso são obrigatórios para trabalhado"&amp;"res estrangeiros e nacionais. A verificação de elegibilidade para emprego (e-Verify) após a contratação também é obrigatória para trabalhadores estrangeiros e nacionais. O empregador pode oferecer mais horas de trabalho do que as estipuladas, dependendo d"&amp;"o clima, das necessidades da empresa e de outras condições. Calor extremo, frio, chuva ou seca podem afetar o horário de trabalho exato. Número de horas por semana: 40. Horário de trabalho (início/término): 8h às 16h30.")</f>
        <v>Paisagismo e manutenção de terrenos. Os trabalhadores geralmente executam uma variedade de tarefas, que podem incluir qualquer combinação das seguintes: Operar equipamentos mecanizados, como cortadores de grama, cortadores de grama acoplados a tratores e roçadeiras para cortar grama/limpar mato; aparar/cortar bordas, remover lixo. Carregar/descarregar equipamentos. Diagnosticar/fazer reparos de rotina em equipamentos, conforme necessário. Deve exercer julgamento independente; pode ser solicitado a demonstrar tarefas a outros funcionários, mas a função não inclui a supervisão de outros trabalhadores. Classificação da função: 37-3011.00 - Trabalhadores de Paisagismo e Manutenção de Terrenos. A classificação e descrição da função/setor inclui informações gerais sobre o cargo, de acordo com o ONET/OES e o Sistema de Classificação Industrial da América do Norte. Consulte as Funções e a Ordem de Serviço para obter mais informações. Requisitos da função: Experiência necessária: Sim. Meses de experiência necessários: 3. Requisitos especiais: Deve levantar/carregar 23 kg, quando necessário. Trabalho aos sábados e domingos, quando necessário. Testes aleatórios de drogas após a contratação, após acidentes e em caso de suspeita de uso são obrigatórios para trabalhadores estrangeiros e nacionais. A verificação de elegibilidade para emprego (e-Verify) após a contratação também é obrigatória para trabalhadores estrangeiros e nacionais. O empregador pode oferecer mais horas de trabalho do que as estipuladas, dependendo do clima, das necessidades da empresa e de outras condições. Calor extremo, frio, chuva ou seca podem afetar o horário de trabalho exato. Número de horas por semana: 40. Horário de trabalho (início/término): 8h às 16h30.</v>
      </c>
    </row>
    <row r="1538" ht="20.25" customHeight="1">
      <c r="A1538" s="3" t="s">
        <v>6843</v>
      </c>
      <c r="B1538" s="3" t="s">
        <v>6844</v>
      </c>
      <c r="C1538" s="3" t="s">
        <v>6282</v>
      </c>
      <c r="D1538" s="3" t="s">
        <v>71</v>
      </c>
      <c r="E1538" s="4" t="s">
        <v>19</v>
      </c>
      <c r="F1538" s="4" t="s">
        <v>20</v>
      </c>
      <c r="G1538" s="4" t="s">
        <v>384</v>
      </c>
      <c r="H1538" s="3" t="s">
        <v>6845</v>
      </c>
      <c r="I1538" s="3" t="s">
        <v>6846</v>
      </c>
      <c r="J1538" s="4">
        <v>17.47</v>
      </c>
      <c r="K1538" s="4">
        <v>15.0</v>
      </c>
      <c r="L1538" s="3" t="s">
        <v>586</v>
      </c>
      <c r="M1538" s="3" t="s">
        <v>6847</v>
      </c>
      <c r="N1538" s="7" t="str">
        <f>IFERROR(__xludf.DUMMYFUNCTION("GOOGLETRANSLATE(L1538, ""en"", ""pt"")"),"Cozinheiro de linha")</f>
        <v>Cozinheiro de linha</v>
      </c>
      <c r="O1538" s="7" t="str">
        <f>IFERROR(__xludf.DUMMYFUNCTION("IF(M1538="""","""",GOOGLETRANSLATE(M1538,""en"",""pt""))"),"Preparar, temperar e cozinhar sopas, carnes, legumes, frutas, sobremesas e outros alimentos em restaurantes no local. Conhecimento de manuseio seguro e adequado de facas e segurança alimentar. Classificação do Cargo: 35-2014.00 - Cozinheiros, Restaurante."&amp;" A classificação e descrição do cargo/setor inclui informações gerais sobre a posição, de acordo com o ONET/OES e o Sistema de Classificação Industrial da América do Norte. Consulte as Funções e a Ordem de Serviço para obter mais informações. Requisitos d"&amp;"o Cargo: Experiência Necessária: Sim. Meses de Experiência Necessários: 1. Requisitos Especiais: Deve ser capaz de levantar 13,6 kg. Número de Horas por Semana: 56. Horário de Trabalho (Início/Término): 8h às 22h.")</f>
        <v>Preparar, temperar e cozinhar sopas, carnes, legumes, frutas, sobremesas e outros alimentos em restaurantes no local. Conhecimento de manuseio seguro e adequado de facas e segurança alimentar. Classificação do Cargo: 35-2014.00 - Cozinheiros, Restaurante. A classificação e descrição do cargo/setor inclui informações gerais sobre a posição, de acordo com o ONET/OES e o Sistema de Classificação Industrial da América do Norte. Consulte as Funções e a Ordem de Serviço para obter mais informações. Requisitos do Cargo: Experiência Necessária: Sim. Meses de Experiência Necessários: 1. Requisitos Especiais: Deve ser capaz de levantar 13,6 kg. Número de Horas por Semana: 56. Horário de Trabalho (Início/Término): 8h às 22h.</v>
      </c>
    </row>
    <row r="1539" ht="20.25" customHeight="1">
      <c r="A1539" s="8" t="s">
        <v>6848</v>
      </c>
      <c r="B1539" s="8" t="s">
        <v>6844</v>
      </c>
      <c r="C1539" s="8" t="s">
        <v>6282</v>
      </c>
      <c r="D1539" s="8" t="s">
        <v>71</v>
      </c>
      <c r="E1539" s="9" t="s">
        <v>19</v>
      </c>
      <c r="F1539" s="9" t="s">
        <v>20</v>
      </c>
      <c r="G1539" s="9" t="s">
        <v>384</v>
      </c>
      <c r="H1539" s="8" t="s">
        <v>6845</v>
      </c>
      <c r="I1539" s="8" t="s">
        <v>6846</v>
      </c>
      <c r="J1539" s="9">
        <v>16.47</v>
      </c>
      <c r="K1539" s="9">
        <v>10.0</v>
      </c>
      <c r="L1539" s="8" t="s">
        <v>6849</v>
      </c>
      <c r="M1539" s="8" t="s">
        <v>6850</v>
      </c>
      <c r="N1539" s="7" t="str">
        <f>IFERROR(__xludf.DUMMYFUNCTION("GOOGLETRANSLATE(L1539, ""en"", ""pt"")"),"Produtos de limpeza")</f>
        <v>Produtos de limpeza</v>
      </c>
      <c r="O1539" s="7" t="str">
        <f>IFERROR(__xludf.DUMMYFUNCTION("IF(M1539="""","""",GOOGLETRANSLATE(M1539,""en"",""pt""))"),"Varrição do chão, desinfecção de superfícies, retirada de lixo, limpeza de banheiros. Classificação da vaga: 37-2011.00 - Zeladores e Faxineiros, exceto empregadas domésticas e faxineiras. A classificação e descrição da vaga/setor incluem informações gera"&amp;"is sobre o cargo, de acordo com o ONET/OES e o Sistema de Classificação Industrial da América do Norte (NAICS). Consulte as atribuições e a ordem de serviço para obter mais informações. Requisitos da vaga: Experiência necessária: Sim. Meses de experiência"&amp;" necessários: 1. Requisitos especiais: Deve ser capaz de levantar 13,6 kg (30 lbs). Número de horas por semana: 56. Horário de trabalho (início/término): 8h às 22h.")</f>
        <v>Varrição do chão, desinfecção de superfícies, retirada de lixo, limpeza de banheiros. Classificação da vaga: 37-2011.00 - Zeladores e Faxineiros, exceto empregadas domésticas e faxineiras. A classificação e descrição da vaga/setor incluem informações gerais sobre o cargo, de acordo com o ONET/OES e o Sistema de Classificação Industrial da América do Norte (NAICS). Consulte as atribuições e a ordem de serviço para obter mais informações. Requisitos da vaga: Experiência necessária: Sim. Meses de experiência necessários: 1. Requisitos especiais: Deve ser capaz de levantar 13,6 kg (30 lbs). Número de horas por semana: 56. Horário de trabalho (início/término): 8h às 22h.</v>
      </c>
    </row>
    <row r="1540" ht="20.25" customHeight="1">
      <c r="A1540" s="3" t="s">
        <v>6851</v>
      </c>
      <c r="B1540" s="3" t="s">
        <v>6852</v>
      </c>
      <c r="C1540" s="3" t="s">
        <v>6247</v>
      </c>
      <c r="D1540" s="3" t="s">
        <v>28</v>
      </c>
      <c r="E1540" s="4" t="s">
        <v>19</v>
      </c>
      <c r="F1540" s="4" t="s">
        <v>20</v>
      </c>
      <c r="G1540" s="4" t="s">
        <v>345</v>
      </c>
      <c r="H1540" s="3" t="s">
        <v>6853</v>
      </c>
      <c r="I1540" s="3" t="s">
        <v>6854</v>
      </c>
      <c r="J1540" s="4">
        <v>14.22</v>
      </c>
      <c r="K1540" s="4">
        <v>12.0</v>
      </c>
      <c r="L1540" s="3" t="s">
        <v>6359</v>
      </c>
      <c r="M1540" s="3" t="s">
        <v>6360</v>
      </c>
      <c r="N1540" s="7" t="str">
        <f>IFERROR(__xludf.DUMMYFUNCTION("GOOGLETRANSLATE(L1540, ""en"", ""pt"")"),"tratador de cavalos puro-sangue")</f>
        <v>tratador de cavalos puro-sangue</v>
      </c>
      <c r="O1540" s="7" t="str">
        <f>IFERROR(__xludf.DUMMYFUNCTION("IF(M1540="""","""",GOOGLETRANSLATE(M1540,""en"",""pt""))"),"Responsável pelos cuidados gerais de cavalos de corrida puro-sangue, incluindo alimentação, fornecimento de água, manutenção de baias e estábulos, limpeza, escovação, exercícios, casqueamento, desinfecção de baias e camas, administração de medicamentos co"&amp;"nforme prescrição e inspeção da condição física dos cavalos. Levantará as patas e limpará os cascos dos cavalos, aplicando linimentos e bandagens conforme necessário. Cuidará de 1 a 5 cavalos por vez. Turno dividido: das 5h às 11h e das 15h às 17h. Folgas"&amp;" rotativas. Classificação da vaga: 39-2021.00 - Cuidadores de Animais. A classificação e descrição da vaga/setor incluem informações gerais sobre o cargo, de acordo com o ONET/OES e o Sistema de Classificação Industrial da América do Norte. Consulte as Fu"&amp;"nções e a Ordem de Serviço para obter mais informações. Requisitos da vaga: Experiência necessária: Sim. Meses de experiência necessários: 1. Requisitos especiais: Deve ser capaz de levantar 23 kg. Número de horas por semana: 56. Horário de trabalho (iníc"&amp;"io/término): 5h. - 17h00")</f>
        <v>Responsável pelos cuidados gerais de cavalos de corrida puro-sangue, incluindo alimentação, fornecimento de água, manutenção de baias e estábulos, limpeza, escovação, exercícios, casqueamento, desinfecção de baias e camas, administração de medicamentos conforme prescrição e inspeção da condição física dos cavalos. Levantará as patas e limpará os cascos dos cavalos, aplicando linimentos e bandagens conforme necessário. Cuidará de 1 a 5 cavalos por vez. Turno dividido: das 5h às 11h e das 15h às 17h. Folgas rotativas. Classificação da vaga: 39-2021.00 - Cuidadores de Animais. A classificação e descrição da vaga/setor incluem informações gerais sobre o cargo, de acordo com o ONET/OES e o Sistema de Classificação Industrial da América do Norte. Consulte as Funções e a Ordem de Serviço para obter mais informações. Requisitos da vaga: Experiência necessária: Sim. Meses de experiência necessários: 1. Requisitos especiais: Deve ser capaz de levantar 23 kg. Número de horas por semana: 56. Horário de trabalho (início/término): 5h. - 17h00</v>
      </c>
    </row>
    <row r="1541" ht="20.25" customHeight="1">
      <c r="A1541" s="8" t="s">
        <v>6855</v>
      </c>
      <c r="B1541" s="8" t="s">
        <v>6638</v>
      </c>
      <c r="C1541" s="8" t="s">
        <v>6639</v>
      </c>
      <c r="D1541" s="8" t="s">
        <v>64</v>
      </c>
      <c r="E1541" s="9" t="s">
        <v>44</v>
      </c>
      <c r="F1541" s="9" t="s">
        <v>20</v>
      </c>
      <c r="G1541" s="9" t="s">
        <v>369</v>
      </c>
      <c r="H1541" s="8" t="s">
        <v>6640</v>
      </c>
      <c r="I1541" s="8" t="s">
        <v>6641</v>
      </c>
      <c r="J1541" s="9">
        <v>23.16</v>
      </c>
      <c r="K1541" s="9">
        <v>6.0</v>
      </c>
      <c r="L1541" s="8" t="s">
        <v>406</v>
      </c>
      <c r="M1541" s="8" t="s">
        <v>6856</v>
      </c>
      <c r="N1541" s="7" t="str">
        <f>IFERROR(__xludf.DUMMYFUNCTION("GOOGLETRANSLATE(L1541, ""en"", ""pt"")"),"Trabalhador")</f>
        <v>Trabalhador</v>
      </c>
      <c r="O1541" s="7" t="str">
        <f>IFERROR(__xludf.DUMMYFUNCTION("IF(M1541="""","""",GOOGLETRANSLATE(M1541,""en"",""pt""))"),"Remoção e poda de árvores e arbustos; limpeza e remoção de folhas e detritos do solo; descarte de galhos, ramos e árvores; plantio de paisagismo de inverno, incluindo azevinho e outras coníferas, espalhamento de cobertura morta; plantio, aplicação e ferti"&amp;"lização de azevém perene; proteção de plantas e árvores contra geadas, com manutenção de inverno dos jardins e controle de drenagem; plantio de flores anuais de inverno; poda e remoção de flores murchas de plantas perenes; aplicação, aplicação e fertiliza"&amp;"ção de cobertura morta em toda a propriedade para proteger as plantas, e preparação e drenagem do sistema de irrigação para o inverno; limpeza de lagoas de retenção. Remoção de gelo e aplicação de sal. Organização e preparação de diversos itens de decoraç"&amp;"ão natalina, incluindo luzes de cordão, enfeites e arranjos, exposições e decorações sazonais e de feriados. Também inclui a instalação e/ou remoção desses itens de decoração/estoque e materiais dos locais de trabalho e a preparação para armazenamento. Ca"&amp;"rregamento e descarregamento de materiais e equipamentos. Levantamento de peso de até 23 kg (50 libras). Trabalho realizado em locais de trabalho na região, com transporte fornecido pelo empregador de ida e volta a partir de um ponto de encontro centraliz"&amp;"ado na área de atuação especificada. Classificação da vaga: 49-9099.00 - Trabalhadores de Instalação, Manutenção e Reparo, Outros. A classificação e descrição da vaga/setor incluem informações gerais sobre a posição, de acordo com o ONET/OES e o Sistema d"&amp;"e Classificação Industrial da América do Norte (NAICS). Consulte as Funções e a Ordem de Serviço para obter mais informações. Requisitos da vaga: Experiência exigida: Não. Requisitos especiais: Ter 18 anos ou mais. Apresentar comprovante de autorização le"&amp;"gal para trabalhar nos Estados Unidos. Executar atividades físicas, como levantar, equilibrar-se, caminhar, abaixar-se, manusear, posicionar, mover e manipular materiais; usar força estática para exercer força muscular máxima para levantar, empurrar, puxa"&amp;"r e carregar objetos de até 23 kg. Todos os candidatos devem ser capazes, dispostos e qualificados para executar o trabalho descrito e devem estar disponíveis durante todo o período especificado. Trabalho ao ar livre, exposto às intempéries; deve ser capa"&amp;"z de realizar trabalho fisicamente extenuante por longas horas, ocasionalmente em calor ou frio extremos. Condições climáticas variáveis ​​se aplicam. O horário de trabalho pode variar (+/-), com possibilidade de períodos de inatividade e/ou horas extras."&amp;" O empregador arcará com os custos do exame toxicológico e da verificação de antecedentes criminais antes da contratação. Número de horas semanais: 40. Horário de trabalho (início/término): 6h30 às 15h30.")</f>
        <v>Remoção e poda de árvores e arbustos; limpeza e remoção de folhas e detritos do solo; descarte de galhos, ramos e árvores; plantio de paisagismo de inverno, incluindo azevinho e outras coníferas, espalhamento de cobertura morta; plantio, aplicação e fertilização de azevém perene; proteção de plantas e árvores contra geadas, com manutenção de inverno dos jardins e controle de drenagem; plantio de flores anuais de inverno; poda e remoção de flores murchas de plantas perenes; aplicação, aplicação e fertilização de cobertura morta em toda a propriedade para proteger as plantas, e preparação e drenagem do sistema de irrigação para o inverno; limpeza de lagoas de retenção. Remoção de gelo e aplicação de sal. Organização e preparação de diversos itens de decoração natalina, incluindo luzes de cordão, enfeites e arranjos, exposições e decorações sazonais e de feriados. Também inclui a instalação e/ou remoção desses itens de decoração/estoque e materiais dos locais de trabalho e a preparação para armazenamento. Carregamento e descarregamento de materiais e equipamentos. Levantamento de peso de até 23 kg (50 libras). Trabalho realizado em locais de trabalho na região, com transporte fornecido pelo empregador de ida e volta a partir de um ponto de encontro centralizado na área de atuação especificada. Classificação da vaga: 49-9099.00 - Trabalhadores de Instalação, Manutenção e Reparo, Outros. A classificação e descrição da vaga/setor incluem informações gerais sobre a posição, de acordo com o ONET/OES e o Sistema de Classificação Industrial da América do Norte (NAICS). Consulte as Funções e a Ordem de Serviço para obter mais informações. Requisitos da vaga: Experiência exigida: Não. Requisitos especiais: Ter 18 anos ou mais. Apresentar comprovante de autorização legal para trabalhar nos Estados Unidos. Executar atividades físicas, como levantar, equilibrar-se, caminhar, abaixar-se, manusear, posicionar, mover e manipular materiais; usar força estática para exercer força muscular máxima para levantar, empurrar, puxar e carregar objetos de até 23 kg. Todos os candidatos devem ser capazes, dispostos e qualificados para executar o trabalho descrito e devem estar disponíveis durante todo o período especificado. Trabalho ao ar livre, exposto às intempéries; deve ser capaz de realizar trabalho fisicamente extenuante por longas horas, ocasionalmente em calor ou frio extremos. Condições climáticas variáveis ​​se aplicam. O horário de trabalho pode variar (+/-), com possibilidade de períodos de inatividade e/ou horas extras. O empregador arcará com os custos do exame toxicológico e da verificação de antecedentes criminais antes da contratação. Número de horas semanais: 40. Horário de trabalho (início/término): 6h30 às 15h30.</v>
      </c>
    </row>
    <row r="1542" ht="20.25" customHeight="1">
      <c r="A1542" s="3" t="s">
        <v>6857</v>
      </c>
      <c r="B1542" s="3" t="s">
        <v>6858</v>
      </c>
      <c r="C1542" s="3" t="s">
        <v>6247</v>
      </c>
      <c r="D1542" s="3" t="s">
        <v>71</v>
      </c>
      <c r="E1542" s="4" t="s">
        <v>19</v>
      </c>
      <c r="F1542" s="4" t="s">
        <v>20</v>
      </c>
      <c r="G1542" s="4" t="s">
        <v>80</v>
      </c>
      <c r="H1542" s="3" t="s">
        <v>6859</v>
      </c>
      <c r="I1542" s="3" t="s">
        <v>6860</v>
      </c>
      <c r="J1542" s="4">
        <v>18.57</v>
      </c>
      <c r="K1542" s="4">
        <v>13.0</v>
      </c>
      <c r="L1542" s="3" t="s">
        <v>6250</v>
      </c>
      <c r="M1542" s="3" t="s">
        <v>6336</v>
      </c>
      <c r="N1542" s="7" t="str">
        <f>IFERROR(__xludf.DUMMYFUNCTION("GOOGLETRANSLATE(L1542, ""en"", ""pt"")"),"tratador de cavalos de corrida puro-sangue")</f>
        <v>tratador de cavalos de corrida puro-sangue</v>
      </c>
      <c r="O1542" s="7" t="str">
        <f>IFERROR(__xludf.DUMMYFUNCTION("IF(M1542="""","""",GOOGLETRANSLATE(M1542,""en"",""pt""))"),"Responsável pelos cuidados gerais de cavalos de corrida puro-sangue, incluindo alimentação, fornecimento de água, manutenção de baias e estábulos, limpeza, escovação, exercícios, casqueamento, desinfecção de baias e camas, administração de medicamentos co"&amp;"nforme prescrição e inspeção da condição física dos cavalos. Levantará as patas e limpará os cascos dos cavalos, aplicando linimentos e bandagens conforme necessário. Cuidará de 1 a 5 cavalos por vez. Turno dividido: das 5h às 11h e das 15h às 17h. Folgas"&amp;" rotativas. Classificação da vaga: 39-2021.00 - Cuidadores de Animais. A classificação e descrição da vaga/setor incluem informações gerais sobre o cargo, de acordo com o ONET/OES e o Sistema de Classificação Industrial da América do Norte. Consulte as Fu"&amp;"nções e a Ordem de Serviço para obter mais informações. Requisitos da vaga: Experiência necessária: Sim. Meses de experiência necessários: 1. Requisitos especiais: Deve ser capaz de levantar 23 kg. Número de horas por semana: 56. Horário de trabalho (iníc"&amp;"io/término): 5h. - 17h00")</f>
        <v>Responsável pelos cuidados gerais de cavalos de corrida puro-sangue, incluindo alimentação, fornecimento de água, manutenção de baias e estábulos, limpeza, escovação, exercícios, casqueamento, desinfecção de baias e camas, administração de medicamentos conforme prescrição e inspeção da condição física dos cavalos. Levantará as patas e limpará os cascos dos cavalos, aplicando linimentos e bandagens conforme necessário. Cuidará de 1 a 5 cavalos por vez. Turno dividido: das 5h às 11h e das 15h às 17h. Folgas rotativas. Classificação da vaga: 39-2021.00 - Cuidadores de Animais. A classificação e descrição da vaga/setor incluem informações gerais sobre o cargo, de acordo com o ONET/OES e o Sistema de Classificação Industrial da América do Norte. Consulte as Funções e a Ordem de Serviço para obter mais informações. Requisitos da vaga: Experiência necessária: Sim. Meses de experiência necessários: 1. Requisitos especiais: Deve ser capaz de levantar 23 kg. Número de horas por semana: 56. Horário de trabalho (início/término): 5h. - 17h00</v>
      </c>
    </row>
    <row r="1543" ht="20.25" customHeight="1">
      <c r="A1543" s="8" t="s">
        <v>6861</v>
      </c>
      <c r="B1543" s="8" t="s">
        <v>6862</v>
      </c>
      <c r="C1543" s="8" t="s">
        <v>6282</v>
      </c>
      <c r="D1543" s="8" t="s">
        <v>154</v>
      </c>
      <c r="E1543" s="9" t="s">
        <v>19</v>
      </c>
      <c r="F1543" s="9" t="s">
        <v>20</v>
      </c>
      <c r="G1543" s="9" t="s">
        <v>307</v>
      </c>
      <c r="H1543" s="8" t="s">
        <v>6863</v>
      </c>
      <c r="I1543" s="8" t="s">
        <v>6864</v>
      </c>
      <c r="J1543" s="9">
        <v>17.06</v>
      </c>
      <c r="K1543" s="9">
        <v>5.0</v>
      </c>
      <c r="L1543" s="8" t="s">
        <v>59</v>
      </c>
      <c r="M1543" s="8" t="s">
        <v>6865</v>
      </c>
      <c r="N1543" s="7" t="str">
        <f>IFERROR(__xludf.DUMMYFUNCTION("GOOGLETRANSLATE(L1543, ""en"", ""pt"")"),"Trabalhador de paisagismo")</f>
        <v>Trabalhador de paisagismo</v>
      </c>
      <c r="O1543" s="7" t="str">
        <f>IFERROR(__xludf.DUMMYFUNCTION("IF(M1543="""","""",GOOGLETRANSLATE(M1543,""en"",""pt""))"),"Manutenção e instalação de gramados e paisagismo. Corte, aparo, acabamento e limpeza de gramados com soprador. Recolhimento de resíduos, capina, cobertura morta e plantio de canteiros de flores. Poda de arbustos, instalação de plantas e árvores. Utilizaçã"&amp;"o de cortadores de grama motorizados e manuais, aparadores, bordadeiras, roçadeiras, sopradores, aparadores de cerca viva e motosserras. Classificação da vaga: 37-3011.00 - Trabalhadores de Paisagismo e Jardinagem. A classificação e descrição da vaga/seto"&amp;"r incluem informações gerais sobre o cargo, de acordo com o ONET/OES e o Sistema de Classificação Industrial da América do Norte. Consulte as Funções e a Ordem de Serviço para obter mais informações. Requisitos da vaga: Experiência necessária: Não. Requis"&amp;"itos especiais: Capacidade de levantar 23 kg. Número de horas por semana: 40. Horário de trabalho (início/término): 7h às 17h.")</f>
        <v>Manutenção e instalação de gramados e paisagismo. Corte, aparo, acabamento e limpeza de gramados com soprador. Recolhimento de resíduos, capina, cobertura morta e plantio de canteiros de flores. Poda de arbustos, instalação de plantas e árvores. Utilização de cortadores de grama motorizados e manuais, aparadores, bordadeiras, roçadeiras, sopradores, aparadores de cerca viva e motosserras. Classificação da vaga: 37-3011.00 - Trabalhadores de Paisagismo e Jardinagem. A classificação e descrição da vaga/setor incluem informações gerais sobre o cargo, de acordo com o ONET/OES e o Sistema de Classificação Industrial da América do Norte. Consulte as Funções e a Ordem de Serviço para obter mais informações. Requisitos da vaga: Experiência necessária: Não. Requisitos especiais: Capacidade de levantar 23 kg. Número de horas por semana: 40. Horário de trabalho (início/término): 7h às 17h.</v>
      </c>
    </row>
    <row r="1544" ht="20.25" customHeight="1">
      <c r="A1544" s="3" t="s">
        <v>6866</v>
      </c>
      <c r="B1544" s="3" t="s">
        <v>6867</v>
      </c>
      <c r="C1544" s="3" t="s">
        <v>6228</v>
      </c>
      <c r="D1544" s="3" t="s">
        <v>133</v>
      </c>
      <c r="E1544" s="4" t="s">
        <v>19</v>
      </c>
      <c r="F1544" s="4" t="s">
        <v>20</v>
      </c>
      <c r="G1544" s="4" t="s">
        <v>307</v>
      </c>
      <c r="H1544" s="3" t="s">
        <v>6868</v>
      </c>
      <c r="I1544" s="3" t="s">
        <v>6869</v>
      </c>
      <c r="J1544" s="4">
        <v>20.41</v>
      </c>
      <c r="K1544" s="4">
        <v>20.0</v>
      </c>
      <c r="L1544" s="3" t="s">
        <v>6870</v>
      </c>
      <c r="M1544" s="3" t="s">
        <v>6871</v>
      </c>
      <c r="N1544" s="7" t="str">
        <f>IFERROR(__xludf.DUMMYFUNCTION("GOOGLETRANSLATE(L1544, ""en"", ""pt"")"),"Operadores de máquinas para trabalhar madeira")</f>
        <v>Operadores de máquinas para trabalhar madeira</v>
      </c>
      <c r="O1544" s="7" t="str">
        <f>IFERROR(__xludf.DUMMYFUNCTION("IF(M1544="""","""",GOOGLETRANSLATE(M1544,""en"",""pt""))"),"Preparar, operar e manter máquinas de marcenaria ou auxiliar em tarefas associadas a essas máquinas. Classificar, movimentar, fixar e posicionar madeira. Examinar as peças acabadas quanto à suavidade, forma, ângulo, profundidade de corte e conformidade co"&amp;"m as especificações, além de verificar as dimensões visualmente e utilizando as mãos, réguas, paquímetros, gabaritos ou calibradores. Monitorar o funcionamento das máquinas e realizar ajustes para corrigir problemas e garantir a conformidade com as especi"&amp;"ficações. Realizar a limpeza geral do local; e, durante os meses de inverno, executar tarefas de apoio em clima frio, como remover neve e gelo das áreas de trabalho, passarelas e pontos de acesso aos equipamentos, aplicar materiais de degelo conforme nece"&amp;"ssário, proteger materiais e equipamentos do congelamento, auxiliar na preparação de ferramentas e máquinas para o inverno e manter ambientes de trabalho seguros, acessíveis e operacionais em condições climáticas adversas. Preparar, operar e auxiliar na o"&amp;"peração de equipamentos de marcenaria e de produção automatizados utilizados na fabricação de componentes estruturais de madeira engenheirada. Os trabalhadores posicionarão, alinharão e fixarão as peças de madeira de acordo com as especificações de produç"&amp;"ão e os requisitos da máquina. Inspecionar os produtos acabados quanto à precisão dimensional, alinhamento, forma, ângulo e conformidade com as especificações por meio de inspeção visual e uso de instrumentos de medição, incluindo réguas, gabaritos, calib"&amp;"radores e paquímetros. Monitorar as operações das máquinas, identificar problemas de produção, realizar ajustes de rotina nos equipamentos e auxiliar na manutenção do desempenho eficiente das máquinas. Carregar e descarregar materiais, remover resíduos de"&amp;" produção, manter as áreas de trabalho limpas e seguras e realizar a limpeza de rotina ao redor das máquinas e equipamentos de produção. Quando necessário durante os meses de inverno, proteger materiais e equipamentos do congelamento, limpando e lubrifica"&amp;"ndo ferramentas manuais e pneumáticas e armazenando-as em local fechado para evitar a exposição às intempéries. Utilizar paleteiras para movimentar contêineres de placas de conexão e fixadores para dentro e para fora dos edifícios, evitando a exposição ao"&amp;"s elementos. Durante períodos de mau tempo, os trabalhadores podem remover neve e gelo dos pontos de acesso à produção, áreas de armazenamento de materiais e ao redor dos equipamentos de empilhamento para manter a operação segura dos equipamentos de produ"&amp;"ção de madeira. Os trabalhadores seguirão os processos descritos abaixo utilizando os equipamentos especificados: Mesas de treliças com gabarito automático, que utilizam dispositivos de posicionamento automatizados para manter as peças de madeira no lugar"&amp;" durante o processo de fabricação. Os operários colocam a madeira composta no sistema de gabarito e verificam o alinhamento correto antes da operação da máquina. Um sistema de visualização por projeção a laser controlado por computador projeta os layouts "&amp;"de produção e os locais de posicionamento dos componentes diretamente nas mesas de fabricação. Os operários ativam, monitoram e seguem os padrões projetados para garantir que os componentes sejam posicionados de acordo com as especificações. Sistemas de p"&amp;"rensas de pórtico são usados ​​para rolar as treliças e prensar as placas de conexão que unem as peças de madeira. Os operários controlam o equipamento de pórtico a partir de uma plataforma de operador usando joysticks, monitoram as operações de prensagem"&amp;" e fazem ajustes operacionais conforme necessário para garantir a manutenção dos padrões de qualidade e produção. Sistemas de esteiras motorizadas transportam matérias-primas, componentes em processo e produtos acabados ao longo do processo de fabricação."&amp;" Os operários carregam, posicionam, transferem e removem materiais dos sistemas de esteiras, mantendo o fluxo contínuo de produção. Empilhadeiras de treliças automatizadas são usadas para levantar, empilhar, agrupar e organizar os produtos acabados para a"&amp;"rmazenamento e expedição. Os operários utilizam sistemas de controle remoto para operar o equipamento de empilhamento e monitorar seu desempenho para garantir o manuseio adequado dos produtos acabados. Transpaleteiras elétricas são usadas para movimentar "&amp;"contêineres de placas de conexão e fixadores para dentro e para fora dos edifícios, evitando a exposição às intempéries. Pás e raspadores usados ​​para remoção de neve e gelo ao redor de portas. Classificação da função: 51-7042.00 - Preparadores, operador"&amp;"es e auxiliares de máquinas para trabalhar madeira, exceto serras. A classificação e descrição da função/setor inclui informações gerais sobre o cargo, de acordo com o ONET/OES e o Sistema de Classificação Industrial da América do Norte. Consulte as atrib"&amp;"uições e a ordem de serviço para obter mais informações. Requisitos da vaga: Experiência necessária: Sim. Meses de experiência necessários: 3. Requisitos especiais: Deve ser capaz de levantar 34 kg por 69 metros. Deve ser capaz de passar por testes de dro"&amp;"gas pré-emprego, pós-acidente e outros testes aleatórios pagos pelo empregador. Número de horas por semana: 40. Horário de trabalho (início/término): 7h às 23h.")</f>
        <v>Preparar, operar e manter máquinas de marcenaria ou auxiliar em tarefas associadas a essas máquinas. Classificar, movimentar, fixar e posicionar madeira. Examinar as peças acabadas quanto à suavidade, forma, ângulo, profundidade de corte e conformidade com as especificações, além de verificar as dimensões visualmente e utilizando as mãos, réguas, paquímetros, gabaritos ou calibradores. Monitorar o funcionamento das máquinas e realizar ajustes para corrigir problemas e garantir a conformidade com as especificações. Realizar a limpeza geral do local; e, durante os meses de inverno, executar tarefas de apoio em clima frio, como remover neve e gelo das áreas de trabalho, passarelas e pontos de acesso aos equipamentos, aplicar materiais de degelo conforme necessário, proteger materiais e equipamentos do congelamento, auxiliar na preparação de ferramentas e máquinas para o inverno e manter ambientes de trabalho seguros, acessíveis e operacionais em condições climáticas adversas. Preparar, operar e auxiliar na operação de equipamentos de marcenaria e de produção automatizados utilizados na fabricação de componentes estruturais de madeira engenheirada. Os trabalhadores posicionarão, alinharão e fixarão as peças de madeira de acordo com as especificações de produção e os requisitos da máquina. Inspecionar os produtos acabados quanto à precisão dimensional, alinhamento, forma, ângulo e conformidade com as especificações por meio de inspeção visual e uso de instrumentos de medição, incluindo réguas, gabaritos, calibradores e paquímetros. Monitorar as operações das máquinas, identificar problemas de produção, realizar ajustes de rotina nos equipamentos e auxiliar na manutenção do desempenho eficiente das máquinas. Carregar e descarregar materiais, remover resíduos de produção, manter as áreas de trabalho limpas e seguras e realizar a limpeza de rotina ao redor das máquinas e equipamentos de produção. Quando necessário durante os meses de inverno, proteger materiais e equipamentos do congelamento, limpando e lubrificando ferramentas manuais e pneumáticas e armazenando-as em local fechado para evitar a exposição às intempéries. Utilizar paleteiras para movimentar contêineres de placas de conexão e fixadores para dentro e para fora dos edifícios, evitando a exposição aos elementos. Durante períodos de mau tempo, os trabalhadores podem remover neve e gelo dos pontos de acesso à produção, áreas de armazenamento de materiais e ao redor dos equipamentos de empilhamento para manter a operação segura dos equipamentos de produção de madeira. Os trabalhadores seguirão os processos descritos abaixo utilizando os equipamentos especificados: Mesas de treliças com gabarito automático, que utilizam dispositivos de posicionamento automatizados para manter as peças de madeira no lugar durante o processo de fabricação. Os operários colocam a madeira composta no sistema de gabarito e verificam o alinhamento correto antes da operação da máquina. Um sistema de visualização por projeção a laser controlado por computador projeta os layouts de produção e os locais de posicionamento dos componentes diretamente nas mesas de fabricação. Os operários ativam, monitoram e seguem os padrões projetados para garantir que os componentes sejam posicionados de acordo com as especificações. Sistemas de prensas de pórtico são usados ​​para rolar as treliças e prensar as placas de conexão que unem as peças de madeira. Os operários controlam o equipamento de pórtico a partir de uma plataforma de operador usando joysticks, monitoram as operações de prensagem e fazem ajustes operacionais conforme necessário para garantir a manutenção dos padrões de qualidade e produção. Sistemas de esteiras motorizadas transportam matérias-primas, componentes em processo e produtos acabados ao longo do processo de fabricação. Os operários carregam, posicionam, transferem e removem materiais dos sistemas de esteiras, mantendo o fluxo contínuo de produção. Empilhadeiras de treliças automatizadas são usadas para levantar, empilhar, agrupar e organizar os produtos acabados para armazenamento e expedição. Os operários utilizam sistemas de controle remoto para operar o equipamento de empilhamento e monitorar seu desempenho para garantir o manuseio adequado dos produtos acabados. Transpaleteiras elétricas são usadas para movimentar contêineres de placas de conexão e fixadores para dentro e para fora dos edifícios, evitando a exposição às intempéries. Pás e raspadores usados ​​para remoção de neve e gelo ao redor de portas. Classificação da função: 51-7042.00 - Preparadores, operadores e auxiliares de máquinas para trabalhar madeira, exceto serras. A classificação e descrição da função/setor inclui informações gerais sobre o cargo, de acordo com o ONET/OES e o Sistema de Classificação Industrial da América do Norte. Consulte as atribuições e a ordem de serviço para obter mais informações. Requisitos da vaga: Experiência necessária: Sim. Meses de experiência necessários: 3. Requisitos especiais: Deve ser capaz de levantar 34 kg por 69 metros. Deve ser capaz de passar por testes de drogas pré-emprego, pós-acidente e outros testes aleatórios pagos pelo empregador. Número de horas por semana: 40. Horário de trabalho (início/término): 7h às 23h.</v>
      </c>
    </row>
    <row r="1545" ht="20.25" customHeight="1">
      <c r="A1545" s="8" t="s">
        <v>6872</v>
      </c>
      <c r="B1545" s="8" t="s">
        <v>6867</v>
      </c>
      <c r="C1545" s="8" t="s">
        <v>6228</v>
      </c>
      <c r="D1545" s="8" t="s">
        <v>133</v>
      </c>
      <c r="E1545" s="9" t="s">
        <v>19</v>
      </c>
      <c r="F1545" s="9" t="s">
        <v>20</v>
      </c>
      <c r="G1545" s="9" t="s">
        <v>307</v>
      </c>
      <c r="H1545" s="8" t="s">
        <v>6868</v>
      </c>
      <c r="I1545" s="8" t="s">
        <v>6869</v>
      </c>
      <c r="J1545" s="9">
        <v>20.41</v>
      </c>
      <c r="K1545" s="9">
        <v>30.0</v>
      </c>
      <c r="L1545" s="8" t="s">
        <v>6873</v>
      </c>
      <c r="M1545" s="8" t="s">
        <v>6874</v>
      </c>
      <c r="N1545" s="7" t="str">
        <f>IFERROR(__xludf.DUMMYFUNCTION("GOOGLETRANSLATE(L1545, ""en"", ""pt"")"),"Auxiliar de Operário de Produção")</f>
        <v>Auxiliar de Operário de Produção</v>
      </c>
      <c r="O1545" s="7" t="str">
        <f>IFERROR(__xludf.DUMMYFUNCTION("IF(M1545="""","""",GOOGLETRANSLATE(M1545,""en"",""pt""))"),"Auxiliar os operários da produção executando tarefas que exigem menos habilidade, incluindo o fornecimento ou manuseio de materiais ou ferramentas e a limpeza da área de trabalho e dos equipamentos; auxiliar no trabalho geral de produção e na montagem de "&amp;"treliças, carregando madeira em mesas de treliça nas juntas e fixando componentes usando ferramentas como martelos, pregos, furadeiras, parafusos e aplicação de cola; operar rolos para fixar as placas da treliça; carregar e descarregar itens em equipament"&amp;"os para processamento e embalar produtos acabados para envio; garantir que os produtos estejam em conformidade com as especificações da empresa; registrar com precisão os dados do produto e remover equipamentos danificados ou ineficazes da linha de proces"&amp;"samento; e, durante os meses de inverno, executar tarefas de apoio em clima frio, como remover neve e gelo de áreas de trabalho, passarelas e zonas de carregamento, aplicar materiais de degelo conforme necessário, auxiliar no manuseio seguro de materiais "&amp;"em condições escorregadias ou congelantes, proteger madeira e equipamentos da umidade e de temperaturas congelantes e manter ambientes de trabalho limpos, seguros e acessíveis em condições climáticas adversas. Classificação da Função: 51-7042.00 - Prepara"&amp;"dores, Operadores e Auxiliares de Máquinas para Trabalhar Madeira, Exceto Serras. A classificação e descrição da função/setor inclui informações gerais sobre o cargo, de acordo com o ONET/OES e o Sistema de Classificação Industrial da América do Norte. Co"&amp;"nsulte as Funções e a Ordem de Serviço para obter mais informações. Requisitos da Função Experiência Necessária: Sim Meses de Experiência Necessários: 3 Requisitos Especiais: Três (3) meses de experiência em produção ou áreas afins são necessários. Deve s"&amp;"er capaz de levantar 34 kg (75 lbs) frequentemente durante o expediente. Deve ser capaz de passar por testes de drogas pré-emprego, pós-acidente e outros testes aleatórios pagos pelo empregador. Número de Horas por Semana: 40 Horário de Trabalho (Início/T"&amp;"érmino): 7h00 - 23h00")</f>
        <v>Auxiliar os operários da produção executando tarefas que exigem menos habilidade, incluindo o fornecimento ou manuseio de materiais ou ferramentas e a limpeza da área de trabalho e dos equipamentos; auxiliar no trabalho geral de produção e na montagem de treliças, carregando madeira em mesas de treliça nas juntas e fixando componentes usando ferramentas como martelos, pregos, furadeiras, parafusos e aplicação de cola; operar rolos para fixar as placas da treliça; carregar e descarregar itens em equipamentos para processamento e embalar produtos acabados para envio; garantir que os produtos estejam em conformidade com as especificações da empresa; registrar com precisão os dados do produto e remover equipamentos danificados ou ineficazes da linha de processamento; e, durante os meses de inverno, executar tarefas de apoio em clima frio, como remover neve e gelo de áreas de trabalho, passarelas e zonas de carregamento, aplicar materiais de degelo conforme necessário, auxiliar no manuseio seguro de materiais em condições escorregadias ou congelantes, proteger madeira e equipamentos da umidade e de temperaturas congelantes e manter ambientes de trabalho limpos, seguros e acessíveis em condições climáticas adversas. Classificação da Função: 51-7042.00 - Preparadores, Operadores e Auxiliares de Máquinas para Trabalhar Madeira, Exceto Serras. A classificação e descrição da função/setor inclui informações gerais sobre o cargo, de acordo com o ONET/OES e o Sistema de Classificação Industrial da América do Norte. Consulte as Funções e a Ordem de Serviço para obter mais informações. Requisitos da Função Experiência Necessária: Sim Meses de Experiência Necessários: 3 Requisitos Especiais: Três (3) meses de experiência em produção ou áreas afins são necessários. Deve ser capaz de levantar 34 kg (75 lbs) frequentemente durante o expediente. Deve ser capaz de passar por testes de drogas pré-emprego, pós-acidente e outros testes aleatórios pagos pelo empregador. Número de Horas por Semana: 40 Horário de Trabalho (Início/Término): 7h00 - 23h00</v>
      </c>
    </row>
    <row r="1546" ht="20.25" customHeight="1">
      <c r="A1546" s="3" t="s">
        <v>6875</v>
      </c>
      <c r="B1546" s="3" t="s">
        <v>6876</v>
      </c>
      <c r="C1546" s="3" t="s">
        <v>6282</v>
      </c>
      <c r="D1546" s="3" t="s">
        <v>154</v>
      </c>
      <c r="E1546" s="4" t="s">
        <v>19</v>
      </c>
      <c r="F1546" s="4" t="s">
        <v>20</v>
      </c>
      <c r="G1546" s="4" t="s">
        <v>307</v>
      </c>
      <c r="H1546" s="3" t="s">
        <v>6877</v>
      </c>
      <c r="I1546" s="3" t="s">
        <v>6878</v>
      </c>
      <c r="J1546" s="4">
        <v>23.23</v>
      </c>
      <c r="K1546" s="4">
        <v>5.0</v>
      </c>
      <c r="L1546" s="3" t="s">
        <v>6563</v>
      </c>
      <c r="M1546" s="3" t="s">
        <v>6879</v>
      </c>
      <c r="N1546" s="7" t="str">
        <f>IFERROR(__xludf.DUMMYFUNCTION("GOOGLETRANSLATE(L1546, ""en"", ""pt"")"),"Acabador de concreto")</f>
        <v>Acabador de concreto</v>
      </c>
      <c r="O1546" s="7" t="str">
        <f>IFERROR(__xludf.DUMMYFUNCTION("IF(M1546="""","""",GOOGLETRANSLATE(M1546,""en"",""pt""))"),"Acabamento de concreto e reboco em piscinas de cimento Portland. Os trabalhadores irão montar as formas, espalhar o concreto, nivelá-lo e alisá-lo utilizando ferramentas básicas, como níveis, pás, vassouras e colheres de pedreiro. Os acabadores irão lixar"&amp;" as bordas e dar o acabamento, utilizando esmerilhadeira pneumática ou ferramentas manuais. É necessário saber ler plantas básicas e limpar equipamentos e áreas de trabalho. Classificação da função: 47-2051.00 - Pedreiros e Acabadores de Concreto. A class"&amp;"ificação e descrição da função/indústria incluem informações gerais sobre o cargo, de acordo com o ONET/OES e o Sistema de Classificação Industrial da América do Norte (NAICS). Consulte as Funções e a Ordem de Serviço para obter mais informações. Requisit"&amp;"os da vaga: Experiência necessária: Sim. Meses de experiência necessários: 1. Requisitos especiais: Capacidade de levantar 23 kg. Número de horas por semana: 40. Horário de trabalho (início/término): 7h às 16h.")</f>
        <v>Acabamento de concreto e reboco em piscinas de cimento Portland. Os trabalhadores irão montar as formas, espalhar o concreto, nivelá-lo e alisá-lo utilizando ferramentas básicas, como níveis, pás, vassouras e colheres de pedreiro. Os acabadores irão lixar as bordas e dar o acabamento, utilizando esmerilhadeira pneumática ou ferramentas manuais. É necessário saber ler plantas básicas e limpar equipamentos e áreas de trabalho. Classificação da função: 47-2051.00 - Pedreiros e Acabadores de Concreto. A classificação e descrição da função/indústria incluem informações gerais sobre o cargo, de acordo com o ONET/OES e o Sistema de Classificação Industrial da América do Norte (NAICS). Consulte as Funções e a Ordem de Serviço para obter mais informações. Requisitos da vaga: Experiência necessária: Sim. Meses de experiência necessários: 1. Requisitos especiais: Capacidade de levantar 23 kg. Número de horas por semana: 40. Horário de trabalho (início/término): 7h às 16h.</v>
      </c>
    </row>
    <row r="1547" ht="20.25" customHeight="1">
      <c r="A1547" s="8" t="s">
        <v>6880</v>
      </c>
      <c r="B1547" s="8" t="s">
        <v>6881</v>
      </c>
      <c r="C1547" s="8" t="s">
        <v>6247</v>
      </c>
      <c r="D1547" s="8" t="s">
        <v>71</v>
      </c>
      <c r="E1547" s="9" t="s">
        <v>19</v>
      </c>
      <c r="F1547" s="9" t="s">
        <v>20</v>
      </c>
      <c r="G1547" s="9" t="s">
        <v>345</v>
      </c>
      <c r="H1547" s="8" t="s">
        <v>6882</v>
      </c>
      <c r="I1547" s="8" t="s">
        <v>6883</v>
      </c>
      <c r="J1547" s="9">
        <v>18.57</v>
      </c>
      <c r="K1547" s="9">
        <v>12.0</v>
      </c>
      <c r="L1547" s="8" t="s">
        <v>6359</v>
      </c>
      <c r="M1547" s="8" t="s">
        <v>6433</v>
      </c>
      <c r="N1547" s="7" t="str">
        <f>IFERROR(__xludf.DUMMYFUNCTION("GOOGLETRANSLATE(L1547, ""en"", ""pt"")"),"tratador de cavalos puro-sangue")</f>
        <v>tratador de cavalos puro-sangue</v>
      </c>
      <c r="O1547" s="7" t="str">
        <f>IFERROR(__xludf.DUMMYFUNCTION("IF(M1547="""","""",GOOGLETRANSLATE(M1547,""en"",""pt""))"),"Responsável pelos cuidados gerais de cavalos de corrida puro-sangue, incluindo alimentação, fornecimento de água, manutenção de baias e estábulos, limpeza, escovação, exercícios, casqueamento, desinfecção de baias e camas, administração de medicamentos co"&amp;"nforme prescrição e inspeção da condição física dos cavalos. Levantará as patas e limpará os cascos dos cavalos, aplicando linimentos e bandagens conforme necessário. Cuidará de 1 a 5 cavalos por vez. Turno dividido: das 5h às 11h e das 15h às 17h. Folgas"&amp;" rotativas. Classificação da vaga: 39-2021.00 - Cuidadores de Animais. A classificação e descrição da vaga/setor incluem informações gerais sobre o cargo, de acordo com o ONET/OES e o Sistema de Classificação Industrial da América do Norte. Consulte as Fu"&amp;"nções e a Ordem de Serviço para obter mais informações. Requisitos da vaga: Experiência necessária: Sim. Meses de experiência necessários: 1. Requisitos especiais: Deve ser capaz de levantar até 23 kg. Número de horas por semana: 56. Horário de trabalho ("&amp;"início/término): 5h. - 17h00")</f>
        <v>Responsável pelos cuidados gerais de cavalos de corrida puro-sangue, incluindo alimentação, fornecimento de água, manutenção de baias e estábulos, limpeza, escovação, exercícios, casqueamento, desinfecção de baias e camas, administração de medicamentos conforme prescrição e inspeção da condição física dos cavalos. Levantará as patas e limpará os cascos dos cavalos, aplicando linimentos e bandagens conforme necessário. Cuidará de 1 a 5 cavalos por vez. Turno dividido: das 5h às 11h e das 15h às 17h. Folgas rotativas. Classificação da vaga: 39-2021.00 - Cuidadores de Animais. A classificação e descrição da vaga/setor incluem informações gerais sobre o cargo, de acordo com o ONET/OES e o Sistema de Classificação Industrial da América do Norte. Consulte as Funções e a Ordem de Serviço para obter mais informações. Requisitos da vaga: Experiência necessária: Sim. Meses de experiência necessários: 1. Requisitos especiais: Deve ser capaz de levantar até 23 kg. Número de horas por semana: 56. Horário de trabalho (início/término): 5h. - 17h00</v>
      </c>
    </row>
    <row r="1548" ht="20.25" customHeight="1">
      <c r="A1548" s="3" t="s">
        <v>6884</v>
      </c>
      <c r="B1548" s="3" t="s">
        <v>6672</v>
      </c>
      <c r="C1548" s="3" t="s">
        <v>6247</v>
      </c>
      <c r="D1548" s="3" t="s">
        <v>71</v>
      </c>
      <c r="E1548" s="4" t="s">
        <v>19</v>
      </c>
      <c r="F1548" s="4" t="s">
        <v>20</v>
      </c>
      <c r="G1548" s="4" t="s">
        <v>80</v>
      </c>
      <c r="H1548" s="3" t="s">
        <v>6673</v>
      </c>
      <c r="I1548" s="3" t="s">
        <v>6674</v>
      </c>
      <c r="J1548" s="4">
        <v>16.67</v>
      </c>
      <c r="K1548" s="4">
        <v>4.0</v>
      </c>
      <c r="L1548" s="3" t="s">
        <v>6250</v>
      </c>
      <c r="M1548" s="3" t="s">
        <v>6527</v>
      </c>
      <c r="N1548" s="7" t="str">
        <f>IFERROR(__xludf.DUMMYFUNCTION("GOOGLETRANSLATE(L1548, ""en"", ""pt"")"),"tratador de cavalos de corrida puro-sangue")</f>
        <v>tratador de cavalos de corrida puro-sangue</v>
      </c>
      <c r="O1548" s="7" t="str">
        <f>IFERROR(__xludf.DUMMYFUNCTION("IF(M1548="""","""",GOOGLETRANSLATE(M1548,""en"",""pt""))"),"Responsável pelos cuidados gerais de cavalos de corrida puro-sangue, incluindo alimentação, fornecimento de água, manutenção de baias e estábulos, limpeza, escovação, exercícios, casqueamento, desinfecção de baias e camas, administração de medicamentos co"&amp;"nforme prescrição e inspeção da condição física dos cavalos. Levantará as patas e limpará os cascos dos cavalos, aplicando linimentos e bandagens conforme necessário. Cuidará de 1 a 5 cavalos por vez. Turno dividido: das 5h às 11h e das 15h às 17h. Folgas"&amp;" rotativas. Classificação da vaga: 39-2021.00 - Cuidadores de Animais. A classificação e descrição da vaga/setor incluem informações gerais sobre o cargo, de acordo com o ONET/OES e o Sistema de Classificação Industrial da América do Norte. Consulte as Fu"&amp;"nções e a Ordem de Serviço para obter mais informações. Requisitos da vaga: Experiência necessária: Sim. Meses de experiência necessários: 1. Requisitos especiais: Deve ser capaz de levantar 23 kg. Número de horas por semana: 56. Horário de trabalho (iníc"&amp;"io/término): 5h. - 17h00")</f>
        <v>Responsável pelos cuidados gerais de cavalos de corrida puro-sangue, incluindo alimentação, fornecimento de água, manutenção de baias e estábulos, limpeza, escovação, exercícios, casqueamento, desinfecção de baias e camas, administração de medicamentos conforme prescrição e inspeção da condição física dos cavalos. Levantará as patas e limpará os cascos dos cavalos, aplicando linimentos e bandagens conforme necessário. Cuidará de 1 a 5 cavalos por vez. Turno dividido: das 5h às 11h e das 15h às 17h. Folgas rotativas. Classificação da vaga: 39-2021.00 - Cuidadores de Animais. A classificação e descrição da vaga/setor incluem informações gerais sobre o cargo, de acordo com o ONET/OES e o Sistema de Classificação Industrial da América do Norte. Consulte as Funções e a Ordem de Serviço para obter mais informações. Requisitos da vaga: Experiência necessária: Sim. Meses de experiência necessários: 1. Requisitos especiais: Deve ser capaz de levantar 23 kg. Número de horas por semana: 56. Horário de trabalho (início/término): 5h. - 17h00</v>
      </c>
    </row>
    <row r="1549" ht="20.25" customHeight="1">
      <c r="A1549" s="8" t="s">
        <v>6885</v>
      </c>
      <c r="B1549" s="8" t="s">
        <v>6886</v>
      </c>
      <c r="C1549" s="8" t="s">
        <v>6363</v>
      </c>
      <c r="D1549" s="8" t="s">
        <v>2494</v>
      </c>
      <c r="E1549" s="9" t="s">
        <v>19</v>
      </c>
      <c r="F1549" s="9" t="s">
        <v>20</v>
      </c>
      <c r="G1549" s="9" t="s">
        <v>155</v>
      </c>
      <c r="H1549" s="8" t="s">
        <v>6887</v>
      </c>
      <c r="I1549" s="8" t="s">
        <v>6888</v>
      </c>
      <c r="J1549" s="9">
        <v>17.69</v>
      </c>
      <c r="K1549" s="9">
        <v>22.0</v>
      </c>
      <c r="L1549" s="8" t="s">
        <v>6889</v>
      </c>
      <c r="M1549" s="8" t="s">
        <v>6890</v>
      </c>
      <c r="N1549" s="7" t="str">
        <f>IFERROR(__xludf.DUMMYFUNCTION("GOOGLETRANSLATE(L1549, ""en"", ""pt"")"),"Operário de pátio e fábrica")</f>
        <v>Operário de pátio e fábrica</v>
      </c>
      <c r="O1549" s="7" t="str">
        <f>IFERROR(__xludf.DUMMYFUNCTION("IF(M1549="""","""",GOOGLETRANSLATE(M1549,""en"",""pt""))"),"1. Operar ou supervisionar equipamentos que limpam, fatiam e processam diversos produtos da beterraba sacarina (operação de calhas, operação de coletores de pedras/resíduos, limpeza e operação de filtros, manuseio e operação de cal, operação da unidade de"&amp;" trituração, afiação e ajuste de lâminas, etc.). 2. Realizar tarefas de higienização e limpeza (limpar pisos, corrimãos e superfícies de trabalho, recolher detritos e manter a área de trabalho organizada, etc.). 3. Adicionar enxofre para manter um fluxo c"&amp;"onstante no sistema de alimentação do forno (encher a tremonha, contabilizar a quantidade utilizada, observar o fluxo de materiais, ficar atento a falhas na máquina, monitorar os manômetros de temperatura/umidade/pressão, etc., ajustar os controles para m"&amp;"anter as condições operacionais prescritas e notificar os supervisores caso as ações corretivas falhem). 4. Observar, sentir, provar ou examinar os produtos durante e após o processamento para garantir a conformidade com os padrões. 5. Ajustar os controle"&amp;"s de temperatura e tempo e ligar equipamentos, como esteiras transportadoras, fornos, caldeiras, sopradores, secadores ou bombas. 6. Observe o fluxo de materiais e fique atento a falhas na máquina, como travamentos ou derramamentos, e notifique os supervi"&amp;"sores caso as ações corretivas não sejam eficazes. 7. Observe os indicadores de temperatura, umidade e pressão, bem como as amostras do produto, e ajuste os controles, como termostatos e válvulas, para manter as condições operacionais prescritas para cada"&amp;" etapa específica. 8. Outras tarefas especificadas pelo empregador ou supervisor. Classificação da vaga: 51-9032.00 - Preparadores, Operadores e Auxiliares de Máquinas de Corte e Fatiamento. A classificação e descrição da vaga/setor incluem informações ge"&amp;"rais sobre o cargo, de acordo com o ONET/OES e o Sistema de Classificação Industrial da América do Norte (NAICS). Consulte as Funções e a Ordem de Serviço para obter mais informações. Requisitos da vaga Experiência exigida: Não. Requisitos especiais: É ne"&amp;"cessário passar por um teste toxicológico pré-admissional, pós-acidente e por suspeita razoável, pago pelo empregador e aplicado igualmente a todos os trabalhadores, americanos e estrangeiros/H-2B. É necessário ter disponibilidade para trabalhar nos fins "&amp;"de semana e feriados. Os candidatos devem preencher uma ficha de inscrição. É necessário ter no mínimo 18 anos. É necessário ser capaz de levantar 23 kg. É necessário ser capaz de ficar em pé por longos períodos. É necessário ser capaz de trabalhar em tem"&amp;"peraturas abaixo de zero e acima de 38°C. É necessário ser capaz de subir escadas e escadas de mão. Número de horas por semana: 40. Horário de trabalho (início/término): 6h às 14h.")</f>
        <v>1. Operar ou supervisionar equipamentos que limpam, fatiam e processam diversos produtos da beterraba sacarina (operação de calhas, operação de coletores de pedras/resíduos, limpeza e operação de filtros, manuseio e operação de cal, operação da unidade de trituração, afiação e ajuste de lâminas, etc.). 2. Realizar tarefas de higienização e limpeza (limpar pisos, corrimãos e superfícies de trabalho, recolher detritos e manter a área de trabalho organizada, etc.). 3. Adicionar enxofre para manter um fluxo constante no sistema de alimentação do forno (encher a tremonha, contabilizar a quantidade utilizada, observar o fluxo de materiais, ficar atento a falhas na máquina, monitorar os manômetros de temperatura/umidade/pressão, etc., ajustar os controles para manter as condições operacionais prescritas e notificar os supervisores caso as ações corretivas falhem). 4. Observar, sentir, provar ou examinar os produtos durante e após o processamento para garantir a conformidade com os padrões. 5. Ajustar os controles de temperatura e tempo e ligar equipamentos, como esteiras transportadoras, fornos, caldeiras, sopradores, secadores ou bombas. 6. Observe o fluxo de materiais e fique atento a falhas na máquina, como travamentos ou derramamentos, e notifique os supervisores caso as ações corretivas não sejam eficazes. 7. Observe os indicadores de temperatura, umidade e pressão, bem como as amostras do produto, e ajuste os controles, como termostatos e válvulas, para manter as condições operacionais prescritas para cada etapa específica. 8. Outras tarefas especificadas pelo empregador ou supervisor. Classificação da vaga: 51-9032.00 - Preparadores, Operadores e Auxiliares de Máquinas de Corte e Fatiamento. A classificação e descrição da vaga/setor incluem informações gerais sobre o cargo, de acordo com o ONET/OES e o Sistema de Classificação Industrial da América do Norte (NAICS). Consulte as Funções e a Ordem de Serviço para obter mais informações. Requisitos da vaga Experiência exigida: Não. Requisitos especiais: É necessário passar por um teste toxicológico pré-admissional, pós-acidente e por suspeita razoável, pago pelo empregador e aplicado igualmente a todos os trabalhadores, americanos e estrangeiros/H-2B. É necessário ter disponibilidade para trabalhar nos fins de semana e feriados. Os candidatos devem preencher uma ficha de inscrição. É necessário ter no mínimo 18 anos. É necessário ser capaz de levantar 23 kg. É necessário ser capaz de ficar em pé por longos períodos. É necessário ser capaz de trabalhar em temperaturas abaixo de zero e acima de 38°C. É necessário ser capaz de subir escadas e escadas de mão. Número de horas por semana: 40. Horário de trabalho (início/término): 6h às 14h.</v>
      </c>
    </row>
    <row r="1550" ht="20.25" customHeight="1">
      <c r="A1550" s="3" t="s">
        <v>6891</v>
      </c>
      <c r="B1550" s="3" t="s">
        <v>6892</v>
      </c>
      <c r="C1550" s="3" t="s">
        <v>6247</v>
      </c>
      <c r="D1550" s="3" t="s">
        <v>71</v>
      </c>
      <c r="E1550" s="4" t="s">
        <v>44</v>
      </c>
      <c r="F1550" s="4" t="s">
        <v>20</v>
      </c>
      <c r="G1550" s="4" t="s">
        <v>345</v>
      </c>
      <c r="H1550" s="3" t="s">
        <v>6893</v>
      </c>
      <c r="I1550" s="3" t="s">
        <v>6894</v>
      </c>
      <c r="J1550" s="4">
        <v>18.57</v>
      </c>
      <c r="K1550" s="4">
        <v>21.0</v>
      </c>
      <c r="L1550" s="3" t="s">
        <v>6359</v>
      </c>
      <c r="M1550" s="3" t="s">
        <v>6360</v>
      </c>
      <c r="N1550" s="7" t="str">
        <f>IFERROR(__xludf.DUMMYFUNCTION("GOOGLETRANSLATE(L1550, ""en"", ""pt"")"),"tratador de cavalos puro-sangue")</f>
        <v>tratador de cavalos puro-sangue</v>
      </c>
      <c r="O1550" s="7" t="str">
        <f>IFERROR(__xludf.DUMMYFUNCTION("IF(M1550="""","""",GOOGLETRANSLATE(M1550,""en"",""pt""))"),"Responsável pelos cuidados gerais de cavalos de corrida puro-sangue, incluindo alimentação, fornecimento de água, manutenção de baias e estábulos, limpeza, escovação, exercícios, casqueamento, desinfecção de baias e camas, administração de medicamentos co"&amp;"nforme prescrição e inspeção da condição física dos cavalos. Levantará as patas e limpará os cascos dos cavalos, aplicando linimentos e bandagens conforme necessário. Cuidará de 1 a 5 cavalos por vez. Turno dividido: das 5h às 11h e das 15h às 17h. Folgas"&amp;" rotativas. Classificação da vaga: 39-2021.00 - Cuidadores de Animais. A classificação e descrição da vaga/setor incluem informações gerais sobre o cargo, de acordo com o ONET/OES e o Sistema de Classificação Industrial da América do Norte. Consulte as Fu"&amp;"nções e a Ordem de Serviço para obter mais informações. Requisitos da vaga: Experiência necessária: Sim. Meses de experiência necessários: 1. Requisitos especiais: Deve ser capaz de levantar 23 kg. Número de horas por semana: 56. Horário de trabalho (iníc"&amp;"io/término): 5h. - 17h00")</f>
        <v>Responsável pelos cuidados gerais de cavalos de corrida puro-sangue, incluindo alimentação, fornecimento de água, manutenção de baias e estábulos, limpeza, escovação, exercícios, casqueamento, desinfecção de baias e camas, administração de medicamentos conforme prescrição e inspeção da condição física dos cavalos. Levantará as patas e limpará os cascos dos cavalos, aplicando linimentos e bandagens conforme necessário. Cuidará de 1 a 5 cavalos por vez. Turno dividido: das 5h às 11h e das 15h às 17h. Folgas rotativas. Classificação da vaga: 39-2021.00 - Cuidadores de Animais. A classificação e descrição da vaga/setor incluem informações gerais sobre o cargo, de acordo com o ONET/OES e o Sistema de Classificação Industrial da América do Norte. Consulte as Funções e a Ordem de Serviço para obter mais informações. Requisitos da vaga: Experiência necessária: Sim. Meses de experiência necessários: 1. Requisitos especiais: Deve ser capaz de levantar 23 kg. Número de horas por semana: 56. Horário de trabalho (início/término): 5h. - 17h00</v>
      </c>
    </row>
    <row r="1551" ht="20.25" customHeight="1">
      <c r="A1551" s="8" t="s">
        <v>6895</v>
      </c>
      <c r="B1551" s="8" t="s">
        <v>6896</v>
      </c>
      <c r="C1551" s="8" t="s">
        <v>6247</v>
      </c>
      <c r="D1551" s="8" t="s">
        <v>403</v>
      </c>
      <c r="E1551" s="9" t="s">
        <v>19</v>
      </c>
      <c r="F1551" s="9" t="s">
        <v>20</v>
      </c>
      <c r="G1551" s="9" t="s">
        <v>80</v>
      </c>
      <c r="H1551" s="8" t="s">
        <v>6897</v>
      </c>
      <c r="I1551" s="8" t="s">
        <v>6898</v>
      </c>
      <c r="J1551" s="9">
        <v>18.6</v>
      </c>
      <c r="K1551" s="9">
        <v>7.0</v>
      </c>
      <c r="L1551" s="8" t="s">
        <v>6250</v>
      </c>
      <c r="M1551" s="8" t="s">
        <v>6326</v>
      </c>
      <c r="N1551" s="7" t="str">
        <f>IFERROR(__xludf.DUMMYFUNCTION("GOOGLETRANSLATE(L1551, ""en"", ""pt"")"),"tratador de cavalos de corrida puro-sangue")</f>
        <v>tratador de cavalos de corrida puro-sangue</v>
      </c>
      <c r="O1551" s="7" t="str">
        <f>IFERROR(__xludf.DUMMYFUNCTION("IF(M1551="""","""",GOOGLETRANSLATE(M1551,""en"",""pt""))"),"Responsável pelos cuidados gerais de cavalos de corrida puro-sangue, incluindo alimentação, fornecimento de água, manutenção de baias e estábulos, limpeza, escovação, exercícios, casqueamento, desinfecção de baias e camas, administração de medicamentos co"&amp;"nforme prescrição e inspeção da condição física dos cavalos. Levantará as patas e limpará os cascos dos cavalos, aplicando linimentos e bandagens conforme necessário. Cuidará de 1 a 5 cavalos por vez. Turno dividido: das 5h às 11h e das 15h às 17h. Folgas"&amp;" rotativas. Classificação da vaga: 39-2021.00 - Cuidadores de Animais. A classificação e descrição da vaga/setor incluem informações gerais sobre o cargo, de acordo com o ONET/OES e o Sistema de Classificação Industrial da América do Norte. Consulte as Fu"&amp;"nções e a Ordem de Serviço para obter mais informações. Requisitos da vaga: Experiência necessária: Sim. Meses de experiência necessários: 1. Requisitos especiais: Deve ser capaz de levantar 23 kg. Número de horas por semana: 56. Horário de trabalho (iníc"&amp;"io/término): 5h. - 17h00")</f>
        <v>Responsável pelos cuidados gerais de cavalos de corrida puro-sangue, incluindo alimentação, fornecimento de água, manutenção de baias e estábulos, limpeza, escovação, exercícios, casqueamento, desinfecção de baias e camas, administração de medicamentos conforme prescrição e inspeção da condição física dos cavalos. Levantará as patas e limpará os cascos dos cavalos, aplicando linimentos e bandagens conforme necessário. Cuidará de 1 a 5 cavalos por vez. Turno dividido: das 5h às 11h e das 15h às 17h. Folgas rotativas. Classificação da vaga: 39-2021.00 - Cuidadores de Animais. A classificação e descrição da vaga/setor incluem informações gerais sobre o cargo, de acordo com o ONET/OES e o Sistema de Classificação Industrial da América do Norte. Consulte as Funções e a Ordem de Serviço para obter mais informações. Requisitos da vaga: Experiência necessária: Sim. Meses de experiência necessários: 1. Requisitos especiais: Deve ser capaz de levantar 23 kg. Número de horas por semana: 56. Horário de trabalho (início/término): 5h. - 17h00</v>
      </c>
    </row>
    <row r="1552" ht="20.25" customHeight="1">
      <c r="A1552" s="3" t="s">
        <v>6899</v>
      </c>
      <c r="B1552" s="3" t="s">
        <v>6900</v>
      </c>
      <c r="C1552" s="3" t="s">
        <v>6234</v>
      </c>
      <c r="D1552" s="3" t="s">
        <v>64</v>
      </c>
      <c r="E1552" s="4" t="s">
        <v>44</v>
      </c>
      <c r="F1552" s="4" t="s">
        <v>20</v>
      </c>
      <c r="G1552" s="4" t="s">
        <v>155</v>
      </c>
      <c r="H1552" s="3" t="s">
        <v>6901</v>
      </c>
      <c r="I1552" s="3" t="s">
        <v>6902</v>
      </c>
      <c r="J1552" s="4">
        <v>18.93</v>
      </c>
      <c r="K1552" s="4">
        <v>30.0</v>
      </c>
      <c r="L1552" s="3" t="s">
        <v>6311</v>
      </c>
      <c r="M1552" s="3" t="s">
        <v>6903</v>
      </c>
      <c r="N1552" s="7" t="str">
        <f>IFERROR(__xludf.DUMMYFUNCTION("GOOGLETRANSLATE(L1552, ""en"", ""pt"")"),"Manutenção qualificada de jardins no inverno")</f>
        <v>Manutenção qualificada de jardins no inverno</v>
      </c>
      <c r="O1552" s="7" t="str">
        <f>IFERROR(__xludf.DUMMYFUNCTION("IF(M1552="""","""",GOOGLETRANSLATE(M1552,""en"",""pt""))"),"Descrição das funções: A vaga é para um auxiliar de paisagismo experiente, com no mínimo 3 meses de experiência na área, que seja capaz de trabalhar e demonstrar os métodos e procedimentos de paisagismo da empresa, em conjunto com até 3 colegas. As respon"&amp;"sabilidades incluem: remoção e poda de arbustos; poda e remoção de árvores caídas utilizando motosserras e podadores; limpeza e remoção de folhas e detritos do terreno; descarte de galhos, ramos e árvores caídas utilizando ferramentas como motosserras e t"&amp;"rituradores para limpar o terreno de árvores caídas após tempestades de inverno e carregar os galhos cortados/pequenos troncos em caminhão para remoção; plantio de paisagismo de inverno, incluindo azevinho e outras coníferas, espalhamento de cobertura mor"&amp;"ta; instalação, aplicação e fertilização de azevém perene; preparação de plantas e árvores para o inverno, protegendo-as de geadas e realizando a manutenção de jardins com controle de drenagem; plantio de flores anuais de inverno; instalação, aplicação e "&amp;"fertilização de cobertura morta em toda a propriedade para proteger as plantas; preparação e drenagem do sistema de irrigação; limpeza de lagoas de retenção. Carregamento e descarregamento de materiais e equipamentos. Capacidade de levantar até 23 kg. Tra"&amp;"balho realizado em canteiros de obras na região, com transporte fornecido pelo empregador de ida e volta a partir de um ponto de encontro centralizado na área de atuação especificada. Classificação da vaga: 37-3011.00 - Trabalhadores de Paisagismo e Manut"&amp;"enção de Áreas Verdes. A classificação e descrição da vaga/setor incluem informações gerais sobre o cargo, de acordo com o ONET/OES e o Sistema de Classificação Industrial da América do Norte (NAICS). Consulte as Funções e a Ordem de Serviço para obter ma"&amp;"is informações. Requisitos da vaga: Experiência exigida: Sim. Meses de experiência exigidos: 3. Número de horas por semana: 40. Horário de trabalho (início/término): 7h às 16h.")</f>
        <v>Descrição das funções: A vaga é para um auxiliar de paisagismo experiente, com no mínimo 3 meses de experiência na área, que seja capaz de trabalhar e demonstrar os métodos e procedimentos de paisagismo da empresa, em conjunto com até 3 colegas. As responsabilidades incluem: remoção e poda de arbustos; poda e remoção de árvores caídas utilizando motosserras e podadores; limpeza e remoção de folhas e detritos do terreno; descarte de galhos, ramos e árvores caídas utilizando ferramentas como motosserras e trituradores para limpar o terreno de árvores caídas após tempestades de inverno e carregar os galhos cortados/pequenos troncos em caminhão para remoção; plantio de paisagismo de inverno, incluindo azevinho e outras coníferas, espalhamento de cobertura morta; instalação, aplicação e fertilização de azevém perene; preparação de plantas e árvores para o inverno, protegendo-as de geadas e realizando a manutenção de jardins com controle de drenagem; plantio de flores anuais de inverno; instalação, aplicação e fertilização de cobertura morta em toda a propriedade para proteger as plantas; preparação e drenagem do sistema de irrigação; limpeza de lagoas de retenção. Carregamento e descarregamento de materiais e equipamentos. Capacidade de levantar até 23 kg. Trabalho realizado em canteiros de obras na região, com transporte fornecido pelo empregador de ida e volta a partir de um ponto de encontro centralizado na área de atuação especificada. Classificação da vaga: 37-3011.00 - Trabalhadores de Paisagismo e Manutenção de Áreas Verdes. A classificação e descrição da vaga/setor incluem informações gerais sobre o cargo, de acordo com o ONET/OES e o Sistema de Classificação Industrial da América do Norte (NAICS). Consulte as Funções e a Ordem de Serviço para obter mais informações. Requisitos da vaga: Experiência exigida: Sim. Meses de experiência exigidos: 3. Número de horas por semana: 40. Horário de trabalho (início/término): 7h às 16h.</v>
      </c>
    </row>
    <row r="1553" ht="20.25" customHeight="1">
      <c r="A1553" s="8" t="s">
        <v>6904</v>
      </c>
      <c r="B1553" s="8" t="s">
        <v>6905</v>
      </c>
      <c r="C1553" s="8" t="s">
        <v>6906</v>
      </c>
      <c r="D1553" s="8" t="s">
        <v>3015</v>
      </c>
      <c r="E1553" s="9" t="s">
        <v>44</v>
      </c>
      <c r="F1553" s="9" t="s">
        <v>20</v>
      </c>
      <c r="G1553" s="9" t="s">
        <v>3670</v>
      </c>
      <c r="H1553" s="8" t="s">
        <v>6907</v>
      </c>
      <c r="I1553" s="8" t="s">
        <v>6908</v>
      </c>
      <c r="J1553" s="9">
        <v>25.06</v>
      </c>
      <c r="K1553" s="9">
        <v>5.0</v>
      </c>
      <c r="L1553" s="8" t="s">
        <v>6909</v>
      </c>
      <c r="M1553" s="8" t="s">
        <v>6910</v>
      </c>
      <c r="N1553" s="7" t="str">
        <f>IFERROR(__xludf.DUMMYFUNCTION("GOOGLETRANSLATE(L1553, ""en"", ""pt"")"),"Construção de Paisagens")</f>
        <v>Construção de Paisagens</v>
      </c>
      <c r="O1553" s="7" t="str">
        <f>IFERROR(__xludf.DUMMYFUNCTION("IF(M1553="""","""",GOOGLETRANSLATE(M1553,""en"",""pt""))"),"RESPONSABILIDADES: plantar árvores e arbustos, movimentar terra, grama e cobertura morta, auxiliar os líderes de equipe com ferramentas manuais e máquinas autopropelidas para escavar pequenas valas para tubulações de irrigação e instalação de aspersores ("&amp;"aproximadamente 15 cm de largura e 30 cm de profundidade), puxar, cortar e colar tubos de PVC para aspersores, auxiliar na instalação de tubulações, aspersores e válvulas de irrigação, montar cercas preparando o local, escavar buracos para postes (aproxim"&amp;"adamente 60 cm de profundidade), fixar os trilhos superior e inferior aos postes da cerca usando suportes, parafusos ou pregos, assentar os postes em bases de concreto, instalar portões nas aberturas designadas usando dobradiças e trincos, cortar a grama,"&amp;" soprar folhas e aparar as bordas durante a estação de crescimento, podar ao redor das plantas existentes, remover estacas de suporte e cercas de proteção contra animais selvagens nas plantas, limpeza de outono, poda, espalhamento de fertilizante granulad"&amp;"o, aplicação de proteção contra roedores nas plantas, instalação de cercas de proteção contra animais selvagens, aparar, remover neve e gelo e limpar madeira e detritos. FERRAMENTAS incluem pás, ancinhos, Ferramentas manuais incluem cavadeiras, martelos, "&amp;"serras, carrinhos de mão, além de máquinas motorizadas como uma escavadeira de valas ou uma mini-minicarregadeira. Além dessas ferramentas, as ferramentas manuais incluem serras manuais, tesouras de poda, cortadores de grama e aparadores. Classificação da"&amp;" função: 47-4031.00 - Montadores de Cercas. A classificação e descrição da função/setor inclui informações gerais sobre o cargo, de acordo com o ONET/OES e o Sistema de Classificação Industrial da América do Norte. Consulte as Funções e a Ordem de Serviço"&amp;" para obter mais informações. Requisitos da função: Experiência necessária: Não. Requisitos especiais: Deve ser capaz de levantar até 23 kg e permanecer em pé ou curvado durante todo ou a maior parte do turno de trabalho. Número de horas por semana: 40. H"&amp;"orário de trabalho (início/término): 7h às 16h30.")</f>
        <v>RESPONSABILIDADES: plantar árvores e arbustos, movimentar terra, grama e cobertura morta, auxiliar os líderes de equipe com ferramentas manuais e máquinas autopropelidas para escavar pequenas valas para tubulações de irrigação e instalação de aspersores (aproximadamente 15 cm de largura e 30 cm de profundidade), puxar, cortar e colar tubos de PVC para aspersores, auxiliar na instalação de tubulações, aspersores e válvulas de irrigação, montar cercas preparando o local, escavar buracos para postes (aproximadamente 60 cm de profundidade), fixar os trilhos superior e inferior aos postes da cerca usando suportes, parafusos ou pregos, assentar os postes em bases de concreto, instalar portões nas aberturas designadas usando dobradiças e trincos, cortar a grama, soprar folhas e aparar as bordas durante a estação de crescimento, podar ao redor das plantas existentes, remover estacas de suporte e cercas de proteção contra animais selvagens nas plantas, limpeza de outono, poda, espalhamento de fertilizante granulado, aplicação de proteção contra roedores nas plantas, instalação de cercas de proteção contra animais selvagens, aparar, remover neve e gelo e limpar madeira e detritos. FERRAMENTAS incluem pás, ancinhos, Ferramentas manuais incluem cavadeiras, martelos, serras, carrinhos de mão, além de máquinas motorizadas como uma escavadeira de valas ou uma mini-minicarregadeira. Além dessas ferramentas, as ferramentas manuais incluem serras manuais, tesouras de poda, cortadores de grama e aparadores. Classificação da função: 47-4031.00 - Montadores de Cercas. A classificação e descrição da função/setor inclui informações gerais sobre o cargo, de acordo com o ONET/OES e o Sistema de Classificação Industrial da América do Norte. Consulte as Funções e a Ordem de Serviço para obter mais informações. Requisitos da função: Experiência necessária: Não. Requisitos especiais: Deve ser capaz de levantar até 23 kg e permanecer em pé ou curvado durante todo ou a maior parte do turno de trabalho. Número de horas por semana: 40. Horário de trabalho (início/término): 7h às 16h30.</v>
      </c>
    </row>
    <row r="1554" ht="20.25" customHeight="1">
      <c r="A1554" s="3" t="s">
        <v>6911</v>
      </c>
      <c r="B1554" s="3" t="s">
        <v>6912</v>
      </c>
      <c r="C1554" s="3" t="s">
        <v>6247</v>
      </c>
      <c r="D1554" s="3" t="s">
        <v>64</v>
      </c>
      <c r="E1554" s="4" t="s">
        <v>19</v>
      </c>
      <c r="F1554" s="4" t="s">
        <v>20</v>
      </c>
      <c r="G1554" s="4" t="s">
        <v>345</v>
      </c>
      <c r="H1554" s="3" t="s">
        <v>6913</v>
      </c>
      <c r="I1554" s="3" t="s">
        <v>6914</v>
      </c>
      <c r="J1554" s="4">
        <v>16.1</v>
      </c>
      <c r="K1554" s="4">
        <v>3.0</v>
      </c>
      <c r="L1554" s="3" t="s">
        <v>6250</v>
      </c>
      <c r="M1554" s="3" t="s">
        <v>6527</v>
      </c>
      <c r="N1554" s="7" t="str">
        <f>IFERROR(__xludf.DUMMYFUNCTION("GOOGLETRANSLATE(L1554, ""en"", ""pt"")"),"tratador de cavalos de corrida puro-sangue")</f>
        <v>tratador de cavalos de corrida puro-sangue</v>
      </c>
      <c r="O1554" s="7" t="str">
        <f>IFERROR(__xludf.DUMMYFUNCTION("IF(M1554="""","""",GOOGLETRANSLATE(M1554,""en"",""pt""))"),"Responsável pelos cuidados gerais de cavalos de corrida puro-sangue, incluindo alimentação, fornecimento de água, manutenção de baias e estábulos, limpeza, escovação, exercícios, casqueamento, desinfecção de baias e camas, administração de medicamentos co"&amp;"nforme prescrição e inspeção da condição física dos cavalos. Levantará as patas e limpará os cascos dos cavalos, aplicando linimentos e bandagens conforme necessário. Cuidará de 1 a 5 cavalos por vez. Turno dividido: das 5h às 11h e das 15h às 17h. Folgas"&amp;" rotativas. Classificação da vaga: 39-2021.00 - Cuidadores de Animais. A classificação e descrição da vaga/setor incluem informações gerais sobre o cargo, de acordo com o ONET/OES e o Sistema de Classificação Industrial da América do Norte. Consulte as Fu"&amp;"nções e a Ordem de Serviço para obter mais informações. Requisitos da vaga: Experiência necessária: Sim. Meses de experiência necessários: 1. Requisitos especiais: Deve ser capaz de levantar 23 kg. Número de horas por semana: 56. Horário de trabalho (iníc"&amp;"io/término): 5h. - 17h00")</f>
        <v>Responsável pelos cuidados gerais de cavalos de corrida puro-sangue, incluindo alimentação, fornecimento de água, manutenção de baias e estábulos, limpeza, escovação, exercícios, casqueamento, desinfecção de baias e camas, administração de medicamentos conforme prescrição e inspeção da condição física dos cavalos. Levantará as patas e limpará os cascos dos cavalos, aplicando linimentos e bandagens conforme necessário. Cuidará de 1 a 5 cavalos por vez. Turno dividido: das 5h às 11h e das 15h às 17h. Folgas rotativas. Classificação da vaga: 39-2021.00 - Cuidadores de Animais. A classificação e descrição da vaga/setor incluem informações gerais sobre o cargo, de acordo com o ONET/OES e o Sistema de Classificação Industrial da América do Norte. Consulte as Funções e a Ordem de Serviço para obter mais informações. Requisitos da vaga: Experiência necessária: Sim. Meses de experiência necessários: 1. Requisitos especiais: Deve ser capaz de levantar 23 kg. Número de horas por semana: 56. Horário de trabalho (início/término): 5h. - 17h00</v>
      </c>
    </row>
    <row r="1555" ht="20.25" customHeight="1">
      <c r="A1555" s="8" t="s">
        <v>6915</v>
      </c>
      <c r="B1555" s="8" t="s">
        <v>6916</v>
      </c>
      <c r="C1555" s="8" t="s">
        <v>6247</v>
      </c>
      <c r="D1555" s="8" t="s">
        <v>1297</v>
      </c>
      <c r="E1555" s="9" t="s">
        <v>44</v>
      </c>
      <c r="F1555" s="9" t="s">
        <v>20</v>
      </c>
      <c r="G1555" s="9" t="s">
        <v>80</v>
      </c>
      <c r="H1555" s="8" t="s">
        <v>6917</v>
      </c>
      <c r="I1555" s="8" t="s">
        <v>6918</v>
      </c>
      <c r="J1555" s="9">
        <v>15.1</v>
      </c>
      <c r="K1555" s="9">
        <v>6.0</v>
      </c>
      <c r="L1555" s="8" t="s">
        <v>6250</v>
      </c>
      <c r="M1555" s="8" t="s">
        <v>6326</v>
      </c>
      <c r="N1555" s="7" t="str">
        <f>IFERROR(__xludf.DUMMYFUNCTION("GOOGLETRANSLATE(L1555, ""en"", ""pt"")"),"tratador de cavalos de corrida puro-sangue")</f>
        <v>tratador de cavalos de corrida puro-sangue</v>
      </c>
      <c r="O1555" s="7" t="str">
        <f>IFERROR(__xludf.DUMMYFUNCTION("IF(M1555="""","""",GOOGLETRANSLATE(M1555,""en"",""pt""))"),"Responsável pelos cuidados gerais de cavalos de corrida puro-sangue, incluindo alimentação, fornecimento de água, manutenção de baias e estábulos, limpeza, escovação, exercícios, casqueamento, desinfecção de baias e camas, administração de medicamentos co"&amp;"nforme prescrição e inspeção da condição física dos cavalos. Levantará as patas e limpará os cascos dos cavalos, aplicando linimentos e bandagens conforme necessário. Cuidará de 1 a 5 cavalos por vez. Turno dividido: das 5h às 11h e das 15h às 17h. Folgas"&amp;" rotativas. Classificação da vaga: 39-2021.00 - Cuidadores de Animais. A classificação e descrição da vaga/setor incluem informações gerais sobre o cargo, de acordo com o ONET/OES e o Sistema de Classificação Industrial da América do Norte. Consulte as Fu"&amp;"nções e a Ordem de Serviço para obter mais informações. Requisitos da vaga: Experiência necessária: Sim. Meses de experiência necessários: 1. Requisitos especiais: Deve ser capaz de levantar 23 kg. Número de horas por semana: 56. Horário de trabalho (iníc"&amp;"io/término): 5h. - 17h00")</f>
        <v>Responsável pelos cuidados gerais de cavalos de corrida puro-sangue, incluindo alimentação, fornecimento de água, manutenção de baias e estábulos, limpeza, escovação, exercícios, casqueamento, desinfecção de baias e camas, administração de medicamentos conforme prescrição e inspeção da condição física dos cavalos. Levantará as patas e limpará os cascos dos cavalos, aplicando linimentos e bandagens conforme necessário. Cuidará de 1 a 5 cavalos por vez. Turno dividido: das 5h às 11h e das 15h às 17h. Folgas rotativas. Classificação da vaga: 39-2021.00 - Cuidadores de Animais. A classificação e descrição da vaga/setor incluem informações gerais sobre o cargo, de acordo com o ONET/OES e o Sistema de Classificação Industrial da América do Norte. Consulte as Funções e a Ordem de Serviço para obter mais informações. Requisitos da vaga: Experiência necessária: Sim. Meses de experiência necessários: 1. Requisitos especiais: Deve ser capaz de levantar 23 kg. Número de horas por semana: 56. Horário de trabalho (início/término): 5h. - 17h00</v>
      </c>
    </row>
    <row r="1556" ht="20.25" customHeight="1">
      <c r="A1556" s="3" t="s">
        <v>6919</v>
      </c>
      <c r="B1556" s="3" t="s">
        <v>6920</v>
      </c>
      <c r="C1556" s="3" t="s">
        <v>6921</v>
      </c>
      <c r="D1556" s="3" t="s">
        <v>4521</v>
      </c>
      <c r="E1556" s="4" t="s">
        <v>44</v>
      </c>
      <c r="F1556" s="4" t="s">
        <v>20</v>
      </c>
      <c r="G1556" s="4" t="s">
        <v>155</v>
      </c>
      <c r="H1556" s="3" t="s">
        <v>6922</v>
      </c>
      <c r="I1556" s="3"/>
      <c r="J1556" s="4">
        <v>20.0</v>
      </c>
      <c r="K1556" s="4">
        <v>38.0</v>
      </c>
      <c r="L1556" s="3" t="s">
        <v>354</v>
      </c>
      <c r="M1556" s="3" t="s">
        <v>6923</v>
      </c>
      <c r="N1556" s="7" t="str">
        <f>IFERROR(__xludf.DUMMYFUNCTION("GOOGLETRANSLATE(L1556, ""en"", ""pt"")"),"Governanta")</f>
        <v>Governanta</v>
      </c>
      <c r="O1556" s="7" t="str">
        <f>IFERROR(__xludf.DUMMYFUNCTION("IF(M1556="""","""",GOOGLETRANSLATE(M1556,""en"",""pt""))"),"Limpar pisos, aspirar, varrer, tirar o pó, passar pano, lavar, remover cera, encerar, polir e lavar carpetes. Lavar janelas, paredes, mesas, etc. Tirar o pó de móveis, acessórios e peças de madeira. Trocar a roupa de cama e arrumar as camas. Limpar e abas"&amp;"tecer os banheiros. Arrumar os quartos, abastecer os quartos de hóspedes com copos, artigos de papelaria, etc. Esvaziar lixeiras e recolher o lixo dentro e ao redor dos edifícios. Entregar itens nos quartos de hóspedes. Mover móveis. Seguir os procediment"&amp;"os de saúde e segurança estabelecidos para o uso de produtos químicos de limpeza, etc. Reabastecer os armários de roupa de cama. Devolver os objetos esquecidos nos quartos ao setor de achados e perdidos, seguindo a política. Manter todas as normas de segu"&amp;"rança. Estocar e organizar suprimentos. Garantir a segurança dos quartos de hóspedes e a privacidade dos hóspedes. Apresentar-se ao trabalho com o uniforme exigido e em conformidade com o código de vestimenta. Classificação do Cargo: 37-2011.00 - Zeladore"&amp;"s e Faxineiros, Exceto Camareiras e Auxiliares de Limpeza. A classificação e descrição do cargo/setor inclui informações gerais sobre a posição, de acordo com o ONET/OES e o Sistema de Classificação Industrial da América do Norte. Consulte as Funções e a "&amp;"Ordem de Serviço para obter mais informações. Requisitos da vaga Experiência necessária: Não. Requisitos especiais: Deve ser capaz de levantar, empurrar e puxar no mínimo 11 kg. Deve ser capaz de se comunicar e entender inglês básico. Verificação de antec"&amp;"edentes pré-contratação obrigatória. Referências poderão ser solicitadas. Treinamento no local de trabalho fornecido. Treinamento oferecido. Os seguintes turnos estão disponíveis 7 dias por semana, incluindo fins de semana e feriados. Horários de trabalho"&amp;": 7h às 15h30, 7h30 às 16h, 8h às 16h30, 15h às 23h30, 18h às 2h, 23h às 7h30, 23h às 19h30, 22h às 6h. Os turnos podem variar de acordo com a época do ano, a disponibilidade de luz e a necessidade. Salário por hora: De US$ 20,00 a US$ 23,00 por hora (com"&amp;" base no mérito e na experiência anterior na empresa). Possibilidade de horas extras: Horas extras podem estar disponíveis com pagamento de US$ 30,00 a US$ 34,50 por hora. Benefícios: Refeições gratuitas durante o turno e acesso a todos os descontos e ben"&amp;"efícios concedidos a qualquer funcionário com o mesmo nível de contratação. Número de horas semanais: 35. Horário de trabalho (início/término): 7h às 15h30.")</f>
        <v>Limpar pisos, aspirar, varrer, tirar o pó, passar pano, lavar, remover cera, encerar, polir e lavar carpetes. Lavar janelas, paredes, mesas, etc. Tirar o pó de móveis, acessórios e peças de madeira. Trocar a roupa de cama e arrumar as camas. Limpar e abastecer os banheiros. Arrumar os quartos, abastecer os quartos de hóspedes com copos, artigos de papelaria, etc. Esvaziar lixeiras e recolher o lixo dentro e ao redor dos edifícios. Entregar itens nos quartos de hóspedes. Mover móveis. Seguir os procedimentos de saúde e segurança estabelecidos para o uso de produtos químicos de limpeza, etc. Reabastecer os armários de roupa de cama. Devolver os objetos esquecidos nos quartos ao setor de achados e perdidos, seguindo a política. Manter todas as normas de segurança. Estocar e organizar suprimentos. Garantir a segurança dos quartos de hóspedes e a privacidade dos hóspedes. Apresentar-se ao trabalho com o uniforme exigido e em conformidade com o código de vestimenta. Classificação do Cargo: 37-2011.00 - Zeladores e Faxineiros, Exceto Camareiras e Auxiliares de Limpeza. A classificação e descrição do cargo/setor inclui informações gerais sobre a posição, de acordo com o ONET/OES e o Sistema de Classificação Industrial da América do Norte. Consulte as Funções e a Ordem de Serviço para obter mais informações. Requisitos da vaga Experiência necessária: Não. Requisitos especiais: Deve ser capaz de levantar, empurrar e puxar no mínimo 11 kg. Deve ser capaz de se comunicar e entender inglês básico. Verificação de antecedentes pré-contratação obrigatória. Referências poderão ser solicitadas. Treinamento no local de trabalho fornecido. Treinamento oferecido. Os seguintes turnos estão disponíveis 7 dias por semana, incluindo fins de semana e feriados. Horários de trabalho: 7h às 15h30, 7h30 às 16h, 8h às 16h30, 15h às 23h30, 18h às 2h, 23h às 7h30, 23h às 19h30, 22h às 6h. Os turnos podem variar de acordo com a época do ano, a disponibilidade de luz e a necessidade. Salário por hora: De US$ 20,00 a US$ 23,00 por hora (com base no mérito e na experiência anterior na empresa). Possibilidade de horas extras: Horas extras podem estar disponíveis com pagamento de US$ 30,00 a US$ 34,50 por hora. Benefícios: Refeições gratuitas durante o turno e acesso a todos os descontos e benefícios concedidos a qualquer funcionário com o mesmo nível de contratação. Número de horas semanais: 35. Horário de trabalho (início/término): 7h às 15h30.</v>
      </c>
    </row>
    <row r="1557" ht="20.25" customHeight="1">
      <c r="A1557" s="8" t="s">
        <v>6924</v>
      </c>
      <c r="B1557" s="8" t="s">
        <v>6925</v>
      </c>
      <c r="C1557" s="8" t="s">
        <v>6247</v>
      </c>
      <c r="D1557" s="8" t="s">
        <v>28</v>
      </c>
      <c r="E1557" s="9" t="s">
        <v>19</v>
      </c>
      <c r="F1557" s="9" t="s">
        <v>20</v>
      </c>
      <c r="G1557" s="9" t="s">
        <v>345</v>
      </c>
      <c r="H1557" s="8" t="s">
        <v>6926</v>
      </c>
      <c r="I1557" s="8" t="s">
        <v>6927</v>
      </c>
      <c r="J1557" s="9">
        <v>14.22</v>
      </c>
      <c r="K1557" s="9">
        <v>7.0</v>
      </c>
      <c r="L1557" s="8" t="s">
        <v>6250</v>
      </c>
      <c r="M1557" s="8" t="s">
        <v>6527</v>
      </c>
      <c r="N1557" s="7" t="str">
        <f>IFERROR(__xludf.DUMMYFUNCTION("GOOGLETRANSLATE(L1557, ""en"", ""pt"")"),"tratador de cavalos de corrida puro-sangue")</f>
        <v>tratador de cavalos de corrida puro-sangue</v>
      </c>
      <c r="O1557" s="7" t="str">
        <f>IFERROR(__xludf.DUMMYFUNCTION("IF(M1557="""","""",GOOGLETRANSLATE(M1557,""en"",""pt""))"),"Responsável pelos cuidados gerais de cavalos de corrida puro-sangue, incluindo alimentação, fornecimento de água, manutenção de baias e estábulos, limpeza, escovação, exercícios, casqueamento, desinfecção de baias e camas, administração de medicamentos co"&amp;"nforme prescrição e inspeção da condição física dos cavalos. Levantará as patas e limpará os cascos dos cavalos, aplicando linimentos e bandagens conforme necessário. Cuidará de 1 a 5 cavalos por vez. Turno dividido: das 5h às 11h e das 15h às 17h. Folgas"&amp;" rotativas. Classificação da vaga: 39-2021.00 - Cuidadores de Animais. A classificação e descrição da vaga/setor incluem informações gerais sobre o cargo, de acordo com o ONET/OES e o Sistema de Classificação Industrial da América do Norte. Consulte as Fu"&amp;"nções e a Ordem de Serviço para obter mais informações. Requisitos da vaga: Experiência necessária: Sim. Meses de experiência necessários: 1. Requisitos especiais: Deve ser capaz de levantar 23 kg. Número de horas por semana: 56. Horário de trabalho (iníc"&amp;"io/término): 5h. - 17h00")</f>
        <v>Responsável pelos cuidados gerais de cavalos de corrida puro-sangue, incluindo alimentação, fornecimento de água, manutenção de baias e estábulos, limpeza, escovação, exercícios, casqueamento, desinfecção de baias e camas, administração de medicamentos conforme prescrição e inspeção da condição física dos cavalos. Levantará as patas e limpará os cascos dos cavalos, aplicando linimentos e bandagens conforme necessário. Cuidará de 1 a 5 cavalos por vez. Turno dividido: das 5h às 11h e das 15h às 17h. Folgas rotativas. Classificação da vaga: 39-2021.00 - Cuidadores de Animais. A classificação e descrição da vaga/setor incluem informações gerais sobre o cargo, de acordo com o ONET/OES e o Sistema de Classificação Industrial da América do Norte. Consulte as Funções e a Ordem de Serviço para obter mais informações. Requisitos da vaga: Experiência necessária: Sim. Meses de experiência necessários: 1. Requisitos especiais: Deve ser capaz de levantar 23 kg. Número de horas por semana: 56. Horário de trabalho (início/término): 5h. - 17h00</v>
      </c>
    </row>
    <row r="1558" ht="20.25" customHeight="1">
      <c r="A1558" s="3" t="s">
        <v>6928</v>
      </c>
      <c r="B1558" s="3" t="s">
        <v>6929</v>
      </c>
      <c r="C1558" s="3" t="s">
        <v>6247</v>
      </c>
      <c r="D1558" s="3" t="s">
        <v>254</v>
      </c>
      <c r="E1558" s="4" t="s">
        <v>44</v>
      </c>
      <c r="F1558" s="4" t="s">
        <v>20</v>
      </c>
      <c r="G1558" s="4" t="s">
        <v>80</v>
      </c>
      <c r="H1558" s="3" t="s">
        <v>6930</v>
      </c>
      <c r="I1558" s="3" t="s">
        <v>6931</v>
      </c>
      <c r="J1558" s="4">
        <v>16.37</v>
      </c>
      <c r="K1558" s="4">
        <v>9.0</v>
      </c>
      <c r="L1558" s="3" t="s">
        <v>6250</v>
      </c>
      <c r="M1558" s="3" t="s">
        <v>6508</v>
      </c>
      <c r="N1558" s="7" t="str">
        <f>IFERROR(__xludf.DUMMYFUNCTION("GOOGLETRANSLATE(L1558, ""en"", ""pt"")"),"tratador de cavalos de corrida puro-sangue")</f>
        <v>tratador de cavalos de corrida puro-sangue</v>
      </c>
      <c r="O1558" s="7" t="str">
        <f>IFERROR(__xludf.DUMMYFUNCTION("IF(M1558="""","""",GOOGLETRANSLATE(M1558,""en"",""pt""))"),"Responsável pelos cuidados gerais de cavalos de corrida puro-sangue, incluindo alimentação, fornecimento de água, manutenção de baias e estábulos, limpeza, escovação, exercícios, casqueamento, desinfecção de baias e camas, administração de medicamentos co"&amp;"nforme prescrição e inspeção da condição física dos cavalos. Levantará as patas e limpará os cascos dos cavalos, aplicando linimentos e bandagens conforme necessário. Cuidará de 1 a 5 cavalos por vez. Turno dividido: das 5h às 11h e das 15h às 17h. Folgas"&amp;" rotativas. Classificação da vaga: 39-2021.00 - Cuidadores de Animais. A classificação e descrição da vaga/setor incluem informações gerais sobre o cargo, de acordo com o ONET/OES e o Sistema de Classificação Industrial da América do Norte. Consulte as Fu"&amp;"nções e a Ordem de Serviço para obter mais informações. Requisitos da vaga: Experiência necessária: Sim. Meses de experiência necessários: 1. Requisitos especiais: Deve ser capaz de levantar 23 kg. Número de horas por semana: 56. Horário de trabalho (iníc"&amp;"io/término): 5h. - 17h00")</f>
        <v>Responsável pelos cuidados gerais de cavalos de corrida puro-sangue, incluindo alimentação, fornecimento de água, manutenção de baias e estábulos, limpeza, escovação, exercícios, casqueamento, desinfecção de baias e camas, administração de medicamentos conforme prescrição e inspeção da condição física dos cavalos. Levantará as patas e limpará os cascos dos cavalos, aplicando linimentos e bandagens conforme necessário. Cuidará de 1 a 5 cavalos por vez. Turno dividido: das 5h às 11h e das 15h às 17h. Folgas rotativas. Classificação da vaga: 39-2021.00 - Cuidadores de Animais. A classificação e descrição da vaga/setor incluem informações gerais sobre o cargo, de acordo com o ONET/OES e o Sistema de Classificação Industrial da América do Norte. Consulte as Funções e a Ordem de Serviço para obter mais informações. Requisitos da vaga: Experiência necessária: Sim. Meses de experiência necessários: 1. Requisitos especiais: Deve ser capaz de levantar 23 kg. Número de horas por semana: 56. Horário de trabalho (início/término): 5h. - 17h00</v>
      </c>
    </row>
    <row r="1559" ht="20.25" customHeight="1">
      <c r="A1559" s="8" t="s">
        <v>6932</v>
      </c>
      <c r="B1559" s="8" t="s">
        <v>6275</v>
      </c>
      <c r="C1559" s="8" t="s">
        <v>6276</v>
      </c>
      <c r="D1559" s="8" t="s">
        <v>596</v>
      </c>
      <c r="E1559" s="9" t="s">
        <v>19</v>
      </c>
      <c r="F1559" s="9" t="s">
        <v>20</v>
      </c>
      <c r="G1559" s="9" t="s">
        <v>377</v>
      </c>
      <c r="H1559" s="8" t="s">
        <v>6277</v>
      </c>
      <c r="I1559" s="8" t="s">
        <v>6278</v>
      </c>
      <c r="J1559" s="9">
        <v>24.1</v>
      </c>
      <c r="K1559" s="9">
        <v>1.0</v>
      </c>
      <c r="L1559" s="8" t="s">
        <v>1684</v>
      </c>
      <c r="M1559" s="8" t="s">
        <v>6933</v>
      </c>
      <c r="N1559" s="7" t="str">
        <f>IFERROR(__xludf.DUMMYFUNCTION("GOOGLETRANSLATE(L1559, ""en"", ""pt"")"),"Barman")</f>
        <v>Barman</v>
      </c>
      <c r="O1559" s="7" t="str">
        <f>IFERROR(__xludf.DUMMYFUNCTION("IF(M1559="""","""",GOOGLETRANSLATE(M1559,""en"",""pt""))"),"Funções: O bartender preparará coquetéis artesanais e servirá bebidas aos clientes, diretamente ou por meio dos garçons. O bartender cumprimentará todos os clientes e membros de forma rápida e educada, chamando-os pelo nome sempre que possível. O funcioná"&amp;"rio manterá a limpeza e a organização do bar e das áreas de armazenamento do bar em todos os momentos. O funcionário executará receitas de coquetéis e demonstrará habilidade em seguir receitas de xaropes e todos os ingredientes da casa. O funcionário regi"&amp;"strará todas as transações corretamente no sistema de ponto de venda e emitirá contas precisas para membros e clientes. O funcionário demonstrará amplo conhecimento de todas as bebidas e ingredientes, bem como recomendações de harmonização com alimentos. "&amp;"O funcionário demonstrará conhecimento abrangente de vinhos e habilidade em fazer recomendações da carta de vinhos do clube. O funcionário demonstrará senso de urgência para atender às necessidades dos clientes durante todas as interações. Não é necessári"&amp;"a experiência. Classificação do Cargo: 35-3011.00 - Bartenders. A classificação e descrição do cargo/setor incluem informações gerais sobre a posição de acordo com o ONET/OES e o Sistema de Classificação Industrial da América do Norte. Consulte as Funções"&amp;" e a Ordem de Serviço para obter mais informações. Requisitos da vaga Experiência necessária: Não. Requisitos especiais: O funcionário trabalhará de segunda a domingo, em média 40 horas por semana. Deve ter disponibilidade para trabalhar em qualquer turno"&amp;" de 8 horas entre 8h e 23h, em qualquer dia da semana; folgas rotativas, turnos variáveis, trabalho em fins de semana e feriados é obrigatório. Este trabalho exige movimentação constante, incluindo agachar, levantar e empurrar objetos regularmente. É nece"&amp;"ssário ser flexível, ter boa comunicação em inglês e ser um bom membro da equipe. Deve ser capaz de levantar/carregar até 18 kg quando necessário. Número de horas por semana: 40. Horário de trabalho (início/término): 8h às 23h.")</f>
        <v>Funções: O bartender preparará coquetéis artesanais e servirá bebidas aos clientes, diretamente ou por meio dos garçons. O bartender cumprimentará todos os clientes e membros de forma rápida e educada, chamando-os pelo nome sempre que possível. O funcionário manterá a limpeza e a organização do bar e das áreas de armazenamento do bar em todos os momentos. O funcionário executará receitas de coquetéis e demonstrará habilidade em seguir receitas de xaropes e todos os ingredientes da casa. O funcionário registrará todas as transações corretamente no sistema de ponto de venda e emitirá contas precisas para membros e clientes. O funcionário demonstrará amplo conhecimento de todas as bebidas e ingredientes, bem como recomendações de harmonização com alimentos. O funcionário demonstrará conhecimento abrangente de vinhos e habilidade em fazer recomendações da carta de vinhos do clube. O funcionário demonstrará senso de urgência para atender às necessidades dos clientes durante todas as interações. Não é necessária experiência. Classificação do Cargo: 35-3011.00 - Bartenders. A classificação e descrição do cargo/setor incluem informações gerais sobre a posição de acordo com o ONET/OES e o Sistema de Classificação Industrial da América do Norte. Consulte as Funções e a Ordem de Serviço para obter mais informações. Requisitos da vaga Experiência necessária: Não. Requisitos especiais: O funcionário trabalhará de segunda a domingo, em média 40 horas por semana. Deve ter disponibilidade para trabalhar em qualquer turno de 8 horas entre 8h e 23h, em qualquer dia da semana; folgas rotativas, turnos variáveis, trabalho em fins de semana e feriados é obrigatório. Este trabalho exige movimentação constante, incluindo agachar, levantar e empurrar objetos regularmente. É necessário ser flexível, ter boa comunicação em inglês e ser um bom membro da equipe. Deve ser capaz de levantar/carregar até 18 kg quando necessário. Número de horas por semana: 40. Horário de trabalho (início/término): 8h às 23h.</v>
      </c>
    </row>
    <row r="1560" ht="20.25" customHeight="1">
      <c r="A1560" s="3" t="s">
        <v>6934</v>
      </c>
      <c r="B1560" s="3" t="s">
        <v>6935</v>
      </c>
      <c r="C1560" s="3" t="s">
        <v>6234</v>
      </c>
      <c r="D1560" s="3" t="s">
        <v>64</v>
      </c>
      <c r="E1560" s="4" t="s">
        <v>19</v>
      </c>
      <c r="F1560" s="4" t="s">
        <v>20</v>
      </c>
      <c r="G1560" s="4" t="s">
        <v>1650</v>
      </c>
      <c r="H1560" s="3" t="s">
        <v>6936</v>
      </c>
      <c r="I1560" s="3" t="s">
        <v>6937</v>
      </c>
      <c r="J1560" s="4">
        <v>17.42</v>
      </c>
      <c r="K1560" s="4">
        <v>50.0</v>
      </c>
      <c r="L1560" s="3" t="s">
        <v>59</v>
      </c>
      <c r="M1560" s="3" t="s">
        <v>6938</v>
      </c>
      <c r="N1560" s="7" t="str">
        <f>IFERROR(__xludf.DUMMYFUNCTION("GOOGLETRANSLATE(L1560, ""en"", ""pt"")"),"Trabalhador de paisagismo")</f>
        <v>Trabalhador de paisagismo</v>
      </c>
      <c r="O1560" s="7" t="str">
        <f>IFERROR(__xludf.DUMMYFUNCTION("IF(M1560="""","""",GOOGLETRANSLATE(M1560,""en"",""pt""))"),"Remoção e poda de arbustos; poda e remoção de árvores caídas utilizando motosserras e podadores; limpeza e remoção de folhas e detritos; descarte de galhos, ramos e árvores caídas utilizando ferramentas como motosserras e trituradores para limpar o terren"&amp;"o de árvores caídas após tempestades de inverno e carregar os galhos cortados/pequenos troncos em caminhão para remoção; plantio de paisagismo de inverno, incluindo azevinho e outras coníferas, espalhamento de cobertura morta; instalação, aplicação e fert"&amp;"ilização de azevém perene, proteção de plantas e árvores contra geadas com manutenção de inverno dos jardins com controle de drenagem; instalação de flores anuais de inverno; instalação, aplicação e fertilização de cobertura morta em toda a propriedade pa"&amp;"ra proteger as plantas, e preparação e drenagem do sistema de irrigação para o inverno; limpeza de lagoas de retenção. Carregamento e descarregamento de materiais e equipamentos. Levantamento de peso de até 23 kg. O trabalho é realizado em locais de traba"&amp;"lho na região, com transporte fornecido pelo empregador de ida e volta a partir de um ponto de coleta centralizado na área de atuação. Classificação da Função: 37-3011.00 - Trabalhadores de Paisagismo e Manutenção de Jardins. A classificação e descrição d"&amp;"a função/setor inclui informações gerais sobre o cargo, conforme o ONET/OES e o Sistema de Classificação Industrial da América do Norte (NAICS). Consulte as Funções e a Ordem de Serviço para obter mais informações. Requisitos da Função Experiência Necessá"&amp;"ria: Não. Requisitos Especiais: Exame toxicológico pré-admissional e verificação de antecedentes criminais, ambos pagos pelo empregador. Número de Horas por Semana: 40. Horário de Trabalho (Início/Término): 7h às 16h.")</f>
        <v>Remoção e poda de arbustos; poda e remoção de árvores caídas utilizando motosserras e podadores; limpeza e remoção de folhas e detritos; descarte de galhos, ramos e árvores caídas utilizando ferramentas como motosserras e trituradores para limpar o terreno de árvores caídas após tempestades de inverno e carregar os galhos cortados/pequenos troncos em caminhão para remoção; plantio de paisagismo de inverno, incluindo azevinho e outras coníferas, espalhamento de cobertura morta; instalação, aplicação e fertilização de azevém perene, proteção de plantas e árvores contra geadas com manutenção de inverno dos jardins com controle de drenagem; instalação de flores anuais de inverno; instalação, aplicação e fertilização de cobertura morta em toda a propriedade para proteger as plantas, e preparação e drenagem do sistema de irrigação para o inverno; limpeza de lagoas de retenção. Carregamento e descarregamento de materiais e equipamentos. Levantamento de peso de até 23 kg. O trabalho é realizado em locais de trabalho na região, com transporte fornecido pelo empregador de ida e volta a partir de um ponto de coleta centralizado na área de atuação. Classificação da Função: 37-3011.00 - Trabalhadores de Paisagismo e Manutenção de Jardins. A classificação e descrição da função/setor inclui informações gerais sobre o cargo, conforme o ONET/OES e o Sistema de Classificação Industrial da América do Norte (NAICS). Consulte as Funções e a Ordem de Serviço para obter mais informações. Requisitos da Função Experiência Necessária: Não. Requisitos Especiais: Exame toxicológico pré-admissional e verificação de antecedentes criminais, ambos pagos pelo empregador. Número de Horas por Semana: 40. Horário de Trabalho (Início/Término): 7h às 16h.</v>
      </c>
    </row>
    <row r="1561" ht="20.25" customHeight="1">
      <c r="A1561" s="8" t="s">
        <v>6939</v>
      </c>
      <c r="B1561" s="8" t="s">
        <v>6940</v>
      </c>
      <c r="C1561" s="8" t="s">
        <v>6282</v>
      </c>
      <c r="D1561" s="8" t="s">
        <v>154</v>
      </c>
      <c r="E1561" s="9" t="s">
        <v>44</v>
      </c>
      <c r="F1561" s="9" t="s">
        <v>20</v>
      </c>
      <c r="G1561" s="9" t="s">
        <v>94</v>
      </c>
      <c r="H1561" s="8" t="s">
        <v>6941</v>
      </c>
      <c r="I1561" s="8" t="s">
        <v>6942</v>
      </c>
      <c r="J1561" s="9">
        <v>24.72</v>
      </c>
      <c r="K1561" s="9">
        <v>3.0</v>
      </c>
      <c r="L1561" s="8" t="s">
        <v>6943</v>
      </c>
      <c r="M1561" s="8" t="s">
        <v>6944</v>
      </c>
      <c r="N1561" s="7" t="str">
        <f>IFERROR(__xludf.DUMMYFUNCTION("GOOGLETRANSLATE(L1561, ""en"", ""pt"")"),"Decoradores de Natal e jardineiros")</f>
        <v>Decoradores de Natal e jardineiros</v>
      </c>
      <c r="O1561" s="7" t="str">
        <f>IFERROR(__xludf.DUMMYFUNCTION("IF(M1561="""","""",GOOGLETRANSLATE(M1561,""en"",""pt""))"),"***Resposta à Solicitação de Informações*** “Limpar e preparar o exterior de residências e comércios para a decoração de festas de fim de ano, removendo obstruções e detritos conforme necessário. Auxiliar na montagem e instalação de decorações sazonais ex"&amp;"ternas; fixar luzes, guirlandas, coroas de flores e outras decorações pré-embaladas em janelas, portas e beirais. Remover as decorações ao final da temporada. Limpar e guardar em recipientes apropriados. Descartar o lixo.” ***Original F.a.2*** Auxiliar na"&amp;" montagem e instalação de decorações sazonais externas; fixar luzes, guirlandas, coroas de flores e outras decorações em janelas, portas e beirais. Remover as decorações ao final da temporada. Limpar e guardar em recipientes apropriados. Descartar o lixo."&amp;" Pode auxiliar na limpeza do exterior de residências e comércios em preparação para a temporada de festas de fim de ano. Classificação da Função: 49-9099.00 - Trabalhadores de Instalação, Manutenção e Reparo, Outros. A classificação e descrição da função/"&amp;"setor inclui informações gerais sobre o cargo, conforme o ONET/OES e o Sistema de Classificação Industrial da América do Norte. Consulte as Funções e a Ordem de Serviço para obter mais informações. Requisitos da vaga Experiência necessária: Não Requisitos"&amp;" especiais: Deve ser capaz de levantar 23 kg Número de horas por semana: 40 Horário de trabalho (início/término): 7h às 17h")</f>
        <v>***Resposta à Solicitação de Informações*** “Limpar e preparar o exterior de residências e comércios para a decoração de festas de fim de ano, removendo obstruções e detritos conforme necessário. Auxiliar na montagem e instalação de decorações sazonais externas; fixar luzes, guirlandas, coroas de flores e outras decorações pré-embaladas em janelas, portas e beirais. Remover as decorações ao final da temporada. Limpar e guardar em recipientes apropriados. Descartar o lixo.” ***Original F.a.2*** Auxiliar na montagem e instalação de decorações sazonais externas; fixar luzes, guirlandas, coroas de flores e outras decorações em janelas, portas e beirais. Remover as decorações ao final da temporada. Limpar e guardar em recipientes apropriados. Descartar o lixo. Pode auxiliar na limpeza do exterior de residências e comércios em preparação para a temporada de festas de fim de ano. Classificação da Função: 49-9099.00 - Trabalhadores de Instalação, Manutenção e Reparo, Outros. A classificação e descrição da função/setor inclui informações gerais sobre o cargo, conforme o ONET/OES e o Sistema de Classificação Industrial da América do Norte. Consulte as Funções e a Ordem de Serviço para obter mais informações. Requisitos da vaga Experiência necessária: Não Requisitos especiais: Deve ser capaz de levantar 23 kg Número de horas por semana: 40 Horário de trabalho (início/término): 7h às 17h</v>
      </c>
    </row>
    <row r="1562" ht="20.25" customHeight="1">
      <c r="A1562" s="3" t="s">
        <v>6945</v>
      </c>
      <c r="B1562" s="3" t="s">
        <v>6946</v>
      </c>
      <c r="C1562" s="3" t="s">
        <v>6247</v>
      </c>
      <c r="D1562" s="3" t="s">
        <v>403</v>
      </c>
      <c r="E1562" s="4" t="s">
        <v>19</v>
      </c>
      <c r="F1562" s="4" t="s">
        <v>20</v>
      </c>
      <c r="G1562" s="4" t="s">
        <v>345</v>
      </c>
      <c r="H1562" s="3" t="s">
        <v>6947</v>
      </c>
      <c r="I1562" s="3" t="s">
        <v>6948</v>
      </c>
      <c r="J1562" s="4">
        <v>17.14</v>
      </c>
      <c r="K1562" s="4">
        <v>8.0</v>
      </c>
      <c r="L1562" s="3" t="s">
        <v>6359</v>
      </c>
      <c r="M1562" s="3" t="s">
        <v>6527</v>
      </c>
      <c r="N1562" s="7" t="str">
        <f>IFERROR(__xludf.DUMMYFUNCTION("GOOGLETRANSLATE(L1562, ""en"", ""pt"")"),"tratador de cavalos puro-sangue")</f>
        <v>tratador de cavalos puro-sangue</v>
      </c>
      <c r="O1562" s="7" t="str">
        <f>IFERROR(__xludf.DUMMYFUNCTION("IF(M1562="""","""",GOOGLETRANSLATE(M1562,""en"",""pt""))"),"Responsável pelos cuidados gerais de cavalos de corrida puro-sangue, incluindo alimentação, fornecimento de água, manutenção de baias e estábulos, limpeza, escovação, exercícios, casqueamento, desinfecção de baias e camas, administração de medicamentos co"&amp;"nforme prescrição e inspeção da condição física dos cavalos. Levantará as patas e limpará os cascos dos cavalos, aplicando linimentos e bandagens conforme necessário. Cuidará de 1 a 5 cavalos por vez. Turno dividido: das 5h às 11h e das 15h às 17h. Folgas"&amp;" rotativas. Classificação da vaga: 39-2021.00 - Cuidadores de Animais. A classificação e descrição da vaga/setor incluem informações gerais sobre o cargo, de acordo com o ONET/OES e o Sistema de Classificação Industrial da América do Norte. Consulte as Fu"&amp;"nções e a Ordem de Serviço para obter mais informações. Requisitos da vaga: Experiência necessária: Sim. Meses de experiência necessários: 1. Requisitos especiais: Deve ser capaz de levantar 23 kg. Número de horas por semana: 56. Horário de trabalho (iníc"&amp;"io/término): 5h. - 17h00")</f>
        <v>Responsável pelos cuidados gerais de cavalos de corrida puro-sangue, incluindo alimentação, fornecimento de água, manutenção de baias e estábulos, limpeza, escovação, exercícios, casqueamento, desinfecção de baias e camas, administração de medicamentos conforme prescrição e inspeção da condição física dos cavalos. Levantará as patas e limpará os cascos dos cavalos, aplicando linimentos e bandagens conforme necessário. Cuidará de 1 a 5 cavalos por vez. Turno dividido: das 5h às 11h e das 15h às 17h. Folgas rotativas. Classificação da vaga: 39-2021.00 - Cuidadores de Animais. A classificação e descrição da vaga/setor incluem informações gerais sobre o cargo, de acordo com o ONET/OES e o Sistema de Classificação Industrial da América do Norte. Consulte as Funções e a Ordem de Serviço para obter mais informações. Requisitos da vaga: Experiência necessária: Sim. Meses de experiência necessários: 1. Requisitos especiais: Deve ser capaz de levantar 23 kg. Número de horas por semana: 56. Horário de trabalho (início/término): 5h. - 17h00</v>
      </c>
    </row>
    <row r="1563" ht="20.25" customHeight="1">
      <c r="A1563" s="8" t="s">
        <v>6949</v>
      </c>
      <c r="B1563" s="8" t="s">
        <v>6950</v>
      </c>
      <c r="C1563" s="8" t="s">
        <v>6951</v>
      </c>
      <c r="D1563" s="8" t="s">
        <v>126</v>
      </c>
      <c r="E1563" s="9" t="s">
        <v>19</v>
      </c>
      <c r="F1563" s="9" t="s">
        <v>20</v>
      </c>
      <c r="G1563" s="9" t="s">
        <v>2339</v>
      </c>
      <c r="H1563" s="8" t="s">
        <v>6952</v>
      </c>
      <c r="I1563" s="8" t="s">
        <v>6953</v>
      </c>
      <c r="J1563" s="9">
        <v>19.66</v>
      </c>
      <c r="K1563" s="9">
        <v>9.0</v>
      </c>
      <c r="L1563" s="8" t="s">
        <v>586</v>
      </c>
      <c r="M1563" s="8" t="s">
        <v>6954</v>
      </c>
      <c r="N1563" s="7" t="str">
        <f>IFERROR(__xludf.DUMMYFUNCTION("GOOGLETRANSLATE(L1563, ""en"", ""pt"")"),"Cozinheiro de linha")</f>
        <v>Cozinheiro de linha</v>
      </c>
      <c r="O1563" s="7" t="str">
        <f>IFERROR(__xludf.DUMMYFUNCTION("IF(M1563="""","""",GOOGLETRANSLATE(M1563,""en"",""pt""))"),"Os cozinheiros de linha serão responsáveis ​​por preparar, temperar e cozinhar pratos como sopas, carnes, legumes ou sobremesas no restaurante. Podem também solicitar suprimentos, manter registros e contas, precificar itens no cardápio ou planejar o cardá"&amp;"pio. Classificação do Cargo: 35-2014.00 - Cozinheiros, Restaurante. A classificação e descrição do cargo/setor inclui informações gerais sobre a posição, de acordo com o ONET/OES e o Sistema de Classificação Industrial da América do Norte. Consulte as Fun"&amp;"ções e a Ordem de Serviço para obter mais informações. Requisitos do Cargo: Experiência Necessária: Não. Requisitos Especiais: F.A.5 A-H. (CONTINUAÇÃO) HORÁRIO: 40 HORAS POR SEMANA. O HORÁRIO DE TRABALHO PODE VARIAR E INCLUIR NOITES, FINS DE SEMANA E FERI"&amp;"ADOS. O TRABALHO PODE SER REALIZADO EM QUALQUER DIA DA SEMANA, DE SEGUNDA A DOMINGO. OS DIAS DE FOLGA VARIAM. EXEMPLOS DE TURNOS: 7h às 15h, 10h às 18h, 15h às 23h. O HORÁRIO DOS TURNOS PODE VARIAR. Número de horas por semana: 40. Horário de trabalho (iní"&amp;"cio/término): 7h às 15h.")</f>
        <v>Os cozinheiros de linha serão responsáveis ​​por preparar, temperar e cozinhar pratos como sopas, carnes, legumes ou sobremesas no restaurante. Podem também solicitar suprimentos, manter registros e contas, precificar itens no cardápio ou planejar o cardápio. Classificação do Cargo: 35-2014.00 - Cozinheiros, Restaurante. A classificação e descrição do cargo/setor inclui informações gerais sobre a posição, de acordo com o ONET/OES e o Sistema de Classificação Industrial da América do Norte. Consulte as Funções e a Ordem de Serviço para obter mais informações. Requisitos do Cargo: Experiência Necessária: Não. Requisitos Especiais: F.A.5 A-H. (CONTINUAÇÃO) HORÁRIO: 40 HORAS POR SEMANA. O HORÁRIO DE TRABALHO PODE VARIAR E INCLUIR NOITES, FINS DE SEMANA E FERIADOS. O TRABALHO PODE SER REALIZADO EM QUALQUER DIA DA SEMANA, DE SEGUNDA A DOMINGO. OS DIAS DE FOLGA VARIAM. EXEMPLOS DE TURNOS: 7h às 15h, 10h às 18h, 15h às 23h. O HORÁRIO DOS TURNOS PODE VARIAR. Número de horas por semana: 40. Horário de trabalho (início/término): 7h às 15h.</v>
      </c>
    </row>
    <row r="1564" ht="20.25" customHeight="1">
      <c r="A1564" s="3" t="s">
        <v>6955</v>
      </c>
      <c r="B1564" s="3" t="s">
        <v>6956</v>
      </c>
      <c r="C1564" s="3" t="s">
        <v>6234</v>
      </c>
      <c r="D1564" s="3" t="s">
        <v>64</v>
      </c>
      <c r="E1564" s="4" t="s">
        <v>19</v>
      </c>
      <c r="F1564" s="4" t="s">
        <v>20</v>
      </c>
      <c r="G1564" s="4" t="s">
        <v>3670</v>
      </c>
      <c r="H1564" s="3" t="s">
        <v>6957</v>
      </c>
      <c r="I1564" s="3" t="s">
        <v>6958</v>
      </c>
      <c r="J1564" s="4">
        <v>23.16</v>
      </c>
      <c r="K1564" s="4">
        <v>4.0</v>
      </c>
      <c r="L1564" s="3" t="s">
        <v>2394</v>
      </c>
      <c r="M1564" s="3" t="s">
        <v>6959</v>
      </c>
      <c r="N1564" s="7" t="str">
        <f>IFERROR(__xludf.DUMMYFUNCTION("GOOGLETRANSLATE(L1564, ""en"", ""pt"")"),"Trabalhador de Iluminação Natalina")</f>
        <v>Trabalhador de Iluminação Natalina</v>
      </c>
      <c r="O1564" s="7" t="str">
        <f>IFERROR(__xludf.DUMMYFUNCTION("IF(M1564="""","""",GOOGLETRANSLATE(M1564,""en"",""pt""))"),"Organizar e preparar diversos itens de decoração natalina, incluindo luzes de Natal, enfeites e arranjos sazonais e festivos, com o funcionário fixando os enfeites em guirlandas, coroas e árvores conforme necessário. Montar expositores externos para fotos"&amp;" com suportes de solo e ancoragem usando martelos, estacas e arame. Também inclui instalar e/ou remover esses itens de decoração natalina dos locais de trabalho para armazenamento. Carregar e descarregar materiais e equipamentos, como caixas plásticas com"&amp;" lâmpadas e fios, caixas pequenas de guirlandas/enfeites e suprimentos para montagem de expositores externos, manualmente. É necessário levantar até 23 kg. O trabalho é realizado em locais de trabalho na região, com transporte fornecido pelo empregador de"&amp;" ida e volta a partir de um ponto de coleta centralizado na área de atuação. Classificação da vaga: 49-9099.00 - Trabalhadores de Instalação, Manutenção e Reparo, Outros. A classificação e descrição da vaga/setor inclui informações gerais sobre o cargo, d"&amp;"e acordo com o ONET/OES e o Sistema de Classificação Industrial da América do Norte. Consulte as Funções e a Ordem de Serviço para obter mais informações. Requisitos da vaga Experiência necessária: Não Número de horas por semana: 40 Horário de trabalho (i"&amp;"nício/término): 8h às 17h")</f>
        <v>Organizar e preparar diversos itens de decoração natalina, incluindo luzes de Natal, enfeites e arranjos sazonais e festivos, com o funcionário fixando os enfeites em guirlandas, coroas e árvores conforme necessário. Montar expositores externos para fotos com suportes de solo e ancoragem usando martelos, estacas e arame. Também inclui instalar e/ou remover esses itens de decoração natalina dos locais de trabalho para armazenamento. Carregar e descarregar materiais e equipamentos, como caixas plásticas com lâmpadas e fios, caixas pequenas de guirlandas/enfeites e suprimentos para montagem de expositores externos, manualmente. É necessário levantar até 23 kg. O trabalho é realizado em locais de trabalho na região, com transporte fornecido pelo empregador de ida e volta a partir de um ponto de coleta centralizado na área de atuação. Classificação da vaga: 49-9099.00 - Trabalhadores de Instalação, Manutenção e Reparo, Outros. A classificação e descrição da vaga/setor inclui informações gerais sobre o cargo, de acordo com o ONET/OES e o Sistema de Classificação Industrial da América do Norte. Consulte as Funções e a Ordem de Serviço para obter mais informações. Requisitos da vaga Experiência necessária: Não Número de horas por semana: 40 Horário de trabalho (início/término): 8h às 17h</v>
      </c>
    </row>
    <row r="1565" ht="20.25" customHeight="1">
      <c r="A1565" s="8" t="s">
        <v>6960</v>
      </c>
      <c r="B1565" s="8" t="s">
        <v>6961</v>
      </c>
      <c r="C1565" s="8" t="s">
        <v>6951</v>
      </c>
      <c r="D1565" s="8" t="s">
        <v>126</v>
      </c>
      <c r="E1565" s="9" t="s">
        <v>44</v>
      </c>
      <c r="F1565" s="9" t="s">
        <v>20</v>
      </c>
      <c r="G1565" s="9" t="s">
        <v>2339</v>
      </c>
      <c r="H1565" s="8" t="s">
        <v>6962</v>
      </c>
      <c r="I1565" s="8" t="s">
        <v>6953</v>
      </c>
      <c r="J1565" s="9">
        <v>22.69</v>
      </c>
      <c r="K1565" s="9">
        <v>14.0</v>
      </c>
      <c r="L1565" s="8" t="s">
        <v>6963</v>
      </c>
      <c r="M1565" s="8" t="s">
        <v>6964</v>
      </c>
      <c r="N1565" s="7" t="str">
        <f>IFERROR(__xludf.DUMMYFUNCTION("GOOGLETRANSLATE(L1565, ""en"", ""pt"")"),"Açougueiro")</f>
        <v>Açougueiro</v>
      </c>
      <c r="O1565" s="7" t="str">
        <f>IFERROR(__xludf.DUMMYFUNCTION("IF(M1565="""","""",GOOGLETRANSLATE(M1565,""en"",""pt""))"),"Os açougueiros serão responsáveis ​​pelo corte, processamento e embalagem artesanal de carnes. Irão levantar e pendurar a carcaça do animal em ganchos até o momento do corte; desossar, aparar a gordura e dividir grandes pedaços de carne de acordo com as e"&amp;"specificações, utilizando equipamentos de processamento de carne, como ganchos para desossar, facas de corte, serras de fita para carne e ossos, tábuas de corte e balanças; embalar os cortes utilizando máquinas de selagem a vácuo semiautomáticas e sacos a"&amp;" vácuo para carne, que serão então refrigerados. Classificação da Função: 51-3021.00 - Açougueiros e Cortadores de Carne. A classificação e descrição da função/indústria incluem informações gerais sobre o cargo, de acordo com o ONET/OES e o Sistema de Cla"&amp;"ssificação Industrial da América do Norte. Consulte as Funções e a Ordem de Serviço para obter mais informações. Requisitos da Função: Experiência Necessária: Não. Requisitos Especiais: F.A.5 A-H. (CONTINUAÇÃO) HORÁRIO: 40 HORAS POR SEMANA. O horário de t"&amp;"rabalho pode variar e incluir noites, fins de semana e feriados. O trabalho é realizado em qualquer dia da semana, de segunda a domingo. Os dias de folga variam. Exemplos de turnos: 7h às 15h, 10h às 18h, 15h às 23h. A duração dos turnos pode variar. Núme"&amp;"ro de horas por semana: 40. Horário de trabalho (início/término): 7h às 15h.")</f>
        <v>Os açougueiros serão responsáveis ​​pelo corte, processamento e embalagem artesanal de carnes. Irão levantar e pendurar a carcaça do animal em ganchos até o momento do corte; desossar, aparar a gordura e dividir grandes pedaços de carne de acordo com as especificações, utilizando equipamentos de processamento de carne, como ganchos para desossar, facas de corte, serras de fita para carne e ossos, tábuas de corte e balanças; embalar os cortes utilizando máquinas de selagem a vácuo semiautomáticas e sacos a vácuo para carne, que serão então refrigerados. Classificação da Função: 51-3021.00 - Açougueiros e Cortadores de Carne. A classificação e descrição da função/indústria incluem informações gerais sobre o cargo, de acordo com o ONET/OES e o Sistema de Classificação Industrial da América do Norte. Consulte as Funções e a Ordem de Serviço para obter mais informações. Requisitos da Função: Experiência Necessária: Não. Requisitos Especiais: F.A.5 A-H. (CONTINUAÇÃO) HORÁRIO: 40 HORAS POR SEMANA. O horário de trabalho pode variar e incluir noites, fins de semana e feriados. O trabalho é realizado em qualquer dia da semana, de segunda a domingo. Os dias de folga variam. Exemplos de turnos: 7h às 15h, 10h às 18h, 15h às 23h. A duração dos turnos pode variar. Número de horas por semana: 40. Horário de trabalho (início/término): 7h às 15h.</v>
      </c>
    </row>
    <row r="1566" ht="20.25" customHeight="1">
      <c r="A1566" s="3" t="s">
        <v>6965</v>
      </c>
      <c r="B1566" s="3" t="s">
        <v>6966</v>
      </c>
      <c r="C1566" s="3" t="s">
        <v>6247</v>
      </c>
      <c r="D1566" s="3" t="s">
        <v>71</v>
      </c>
      <c r="E1566" s="4" t="s">
        <v>19</v>
      </c>
      <c r="F1566" s="4" t="s">
        <v>20</v>
      </c>
      <c r="G1566" s="4" t="s">
        <v>345</v>
      </c>
      <c r="H1566" s="3" t="s">
        <v>6967</v>
      </c>
      <c r="I1566" s="3" t="s">
        <v>6968</v>
      </c>
      <c r="J1566" s="4">
        <v>18.57</v>
      </c>
      <c r="K1566" s="4">
        <v>8.0</v>
      </c>
      <c r="L1566" s="3" t="s">
        <v>6250</v>
      </c>
      <c r="M1566" s="3" t="s">
        <v>6527</v>
      </c>
      <c r="N1566" s="7" t="str">
        <f>IFERROR(__xludf.DUMMYFUNCTION("GOOGLETRANSLATE(L1566, ""en"", ""pt"")"),"tratador de cavalos de corrida puro-sangue")</f>
        <v>tratador de cavalos de corrida puro-sangue</v>
      </c>
      <c r="O1566" s="7" t="str">
        <f>IFERROR(__xludf.DUMMYFUNCTION("IF(M1566="""","""",GOOGLETRANSLATE(M1566,""en"",""pt""))"),"Responsável pelos cuidados gerais de cavalos de corrida puro-sangue, incluindo alimentação, fornecimento de água, manutenção de baias e estábulos, limpeza, escovação, exercícios, casqueamento, desinfecção de baias e camas, administração de medicamentos co"&amp;"nforme prescrição e inspeção da condição física dos cavalos. Levantará as patas e limpará os cascos dos cavalos, aplicando linimentos e bandagens conforme necessário. Cuidará de 1 a 5 cavalos por vez. Turno dividido: das 5h às 11h e das 15h às 17h. Folgas"&amp;" rotativas. Classificação da vaga: 39-2021.00 - Cuidadores de Animais. A classificação e descrição da vaga/setor incluem informações gerais sobre o cargo, de acordo com o ONET/OES e o Sistema de Classificação Industrial da América do Norte. Consulte as Fu"&amp;"nções e a Ordem de Serviço para obter mais informações. Requisitos da vaga: Experiência necessária: Sim. Meses de experiência necessários: 1. Requisitos especiais: Deve ser capaz de levantar 23 kg. Número de horas por semana: 56. Horário de trabalho (iníc"&amp;"io/término): 5h. - 17h00")</f>
        <v>Responsável pelos cuidados gerais de cavalos de corrida puro-sangue, incluindo alimentação, fornecimento de água, manutenção de baias e estábulos, limpeza, escovação, exercícios, casqueamento, desinfecção de baias e camas, administração de medicamentos conforme prescrição e inspeção da condição física dos cavalos. Levantará as patas e limpará os cascos dos cavalos, aplicando linimentos e bandagens conforme necessário. Cuidará de 1 a 5 cavalos por vez. Turno dividido: das 5h às 11h e das 15h às 17h. Folgas rotativas. Classificação da vaga: 39-2021.00 - Cuidadores de Animais. A classificação e descrição da vaga/setor incluem informações gerais sobre o cargo, de acordo com o ONET/OES e o Sistema de Classificação Industrial da América do Norte. Consulte as Funções e a Ordem de Serviço para obter mais informações. Requisitos da vaga: Experiência necessária: Sim. Meses de experiência necessários: 1. Requisitos especiais: Deve ser capaz de levantar 23 kg. Número de horas por semana: 56. Horário de trabalho (início/término): 5h. - 17h00</v>
      </c>
    </row>
    <row r="1567" ht="20.25" customHeight="1">
      <c r="A1567" s="8" t="s">
        <v>6969</v>
      </c>
      <c r="B1567" s="8" t="s">
        <v>6970</v>
      </c>
      <c r="C1567" s="8" t="s">
        <v>6234</v>
      </c>
      <c r="D1567" s="8" t="s">
        <v>64</v>
      </c>
      <c r="E1567" s="9" t="s">
        <v>19</v>
      </c>
      <c r="F1567" s="9" t="s">
        <v>20</v>
      </c>
      <c r="G1567" s="9" t="s">
        <v>1706</v>
      </c>
      <c r="H1567" s="8" t="s">
        <v>6971</v>
      </c>
      <c r="I1567" s="8" t="s">
        <v>6972</v>
      </c>
      <c r="J1567" s="9">
        <v>18.93</v>
      </c>
      <c r="K1567" s="9">
        <v>21.0</v>
      </c>
      <c r="L1567" s="8" t="s">
        <v>59</v>
      </c>
      <c r="M1567" s="8" t="s">
        <v>6973</v>
      </c>
      <c r="N1567" s="7" t="str">
        <f>IFERROR(__xludf.DUMMYFUNCTION("GOOGLETRANSLATE(L1567, ""en"", ""pt"")"),"Trabalhador de paisagismo")</f>
        <v>Trabalhador de paisagismo</v>
      </c>
      <c r="O1567" s="7" t="str">
        <f>IFERROR(__xludf.DUMMYFUNCTION("IF(M1567="""","""",GOOGLETRANSLATE(M1567,""en"",""pt""))"),"Responsabilidades: rastelar e limpar o terreno, remover folhas e detritos; descartar galhos, ramos e árvores caídas utilizando ferramentas como motosserras para cortar e limpar o terreno de árvores caídas devido a tempestades de inverno, carregando pequen"&amp;"os troncos e galhos cortados em reboque; plantio de paisagismo de inverno, incluindo azevinho e outras coníferas, espalhando cobertura morta; instalação, aplicação e fertilização de azevém perene, protegendo plantas e árvores do frio com manutenção de inv"&amp;"erno, incluindo controle de drenagem; plantio de flores anuais de inverno; poda e remoção de flores murchas de plantas perenes; instalação, aplicação e fertilização de cobertura morta em toda a propriedade para proteger as plantas, e preparação e drenagem"&amp;" do sistema de irrigação para o inverno; organizar e preparar diversos itens de decoração natalina, incluindo luzes de cordão, enfeites e arranjos, exposições e decorações sazonais e de feriados. Também inclui a instalação e/ou remoção desses itens de dec"&amp;"oração/estoque e materiais dos locais de trabalho e a preparação para armazenamento. Carregar e descarregar materiais e equipamentos. Levantamento de peso de até 23 kg (50 libras). Trabalho realizado em canteiros de obras na região, com transporte forneci"&amp;"do pelo empregador de ida e volta a partir de um ponto de encontro centralizado na área de atuação especificada. Classificação da vaga: 37-3011.00 - Trabalhadores de Paisagismo e Manutenção de Áreas Verdes. A classificação e descrição da vaga/setor inclue"&amp;"m informações gerais sobre o cargo, de acordo com o ONET/OES e o Sistema de Classificação Industrial da América do Norte (NAICS). Consulte as Funções e a Ordem de Serviço para obter mais informações. Requisitos da vaga: Experiência exigida: Não. Número de"&amp;" horas por semana: 40. Horário de trabalho (início/término): 8h às 17h.")</f>
        <v>Responsabilidades: rastelar e limpar o terreno, remover folhas e detritos; descartar galhos, ramos e árvores caídas utilizando ferramentas como motosserras para cortar e limpar o terreno de árvores caídas devido a tempestades de inverno, carregando pequenos troncos e galhos cortados em reboque; plantio de paisagismo de inverno, incluindo azevinho e outras coníferas, espalhando cobertura morta; instalação, aplicação e fertilização de azevém perene, protegendo plantas e árvores do frio com manutenção de inverno, incluindo controle de drenagem; plantio de flores anuais de inverno; poda e remoção de flores murchas de plantas perenes; instalação, aplicação e fertilização de cobertura morta em toda a propriedade para proteger as plantas, e preparação e drenagem do sistema de irrigação para o inverno; organizar e preparar diversos itens de decoração natalina, incluindo luzes de cordão, enfeites e arranjos, exposições e decorações sazonais e de feriados. Também inclui a instalação e/ou remoção desses itens de decoração/estoque e materiais dos locais de trabalho e a preparação para armazenamento. Carregar e descarregar materiais e equipamentos. Levantamento de peso de até 23 kg (50 libras). Trabalho realizado em canteiros de obras na região, com transporte fornecido pelo empregador de ida e volta a partir de um ponto de encontro centralizado na área de atuação especificada. Classificação da vaga: 37-3011.00 - Trabalhadores de Paisagismo e Manutenção de Áreas Verdes. A classificação e descrição da vaga/setor incluem informações gerais sobre o cargo, de acordo com o ONET/OES e o Sistema de Classificação Industrial da América do Norte (NAICS). Consulte as Funções e a Ordem de Serviço para obter mais informações. Requisitos da vaga: Experiência exigida: Não. Número de horas por semana: 40. Horário de trabalho (início/término): 8h às 17h.</v>
      </c>
    </row>
    <row r="1568" ht="20.25" customHeight="1">
      <c r="A1568" s="3" t="s">
        <v>6974</v>
      </c>
      <c r="B1568" s="3" t="s">
        <v>6975</v>
      </c>
      <c r="C1568" s="3" t="s">
        <v>6247</v>
      </c>
      <c r="D1568" s="3" t="s">
        <v>71</v>
      </c>
      <c r="E1568" s="4" t="s">
        <v>19</v>
      </c>
      <c r="F1568" s="4" t="s">
        <v>20</v>
      </c>
      <c r="G1568" s="4" t="s">
        <v>345</v>
      </c>
      <c r="H1568" s="3" t="s">
        <v>6976</v>
      </c>
      <c r="I1568" s="3" t="s">
        <v>6631</v>
      </c>
      <c r="J1568" s="4">
        <v>18.57</v>
      </c>
      <c r="K1568" s="4">
        <v>10.0</v>
      </c>
      <c r="L1568" s="3" t="s">
        <v>6359</v>
      </c>
      <c r="M1568" s="3" t="s">
        <v>6360</v>
      </c>
      <c r="N1568" s="7" t="str">
        <f>IFERROR(__xludf.DUMMYFUNCTION("GOOGLETRANSLATE(L1568, ""en"", ""pt"")"),"tratador de cavalos puro-sangue")</f>
        <v>tratador de cavalos puro-sangue</v>
      </c>
      <c r="O1568" s="7" t="str">
        <f>IFERROR(__xludf.DUMMYFUNCTION("IF(M1568="""","""",GOOGLETRANSLATE(M1568,""en"",""pt""))"),"Responsável pelos cuidados gerais de cavalos de corrida puro-sangue, incluindo alimentação, fornecimento de água, manutenção de baias e estábulos, limpeza, escovação, exercícios, casqueamento, desinfecção de baias e camas, administração de medicamentos co"&amp;"nforme prescrição e inspeção da condição física dos cavalos. Levantará as patas e limpará os cascos dos cavalos, aplicando linimentos e bandagens conforme necessário. Cuidará de 1 a 5 cavalos por vez. Turno dividido: das 5h às 11h e das 15h às 17h. Folgas"&amp;" rotativas. Classificação da vaga: 39-2021.00 - Cuidadores de Animais. A classificação e descrição da vaga/setor incluem informações gerais sobre o cargo, de acordo com o ONET/OES e o Sistema de Classificação Industrial da América do Norte. Consulte as Fu"&amp;"nções e a Ordem de Serviço para obter mais informações. Requisitos da vaga: Experiência necessária: Sim. Meses de experiência necessários: 1. Requisitos especiais: Deve ser capaz de levantar 23 kg. Número de horas por semana: 56. Horário de trabalho (iníc"&amp;"io/término): 5h. - 17h00")</f>
        <v>Responsável pelos cuidados gerais de cavalos de corrida puro-sangue, incluindo alimentação, fornecimento de água, manutenção de baias e estábulos, limpeza, escovação, exercícios, casqueamento, desinfecção de baias e camas, administração de medicamentos conforme prescrição e inspeção da condição física dos cavalos. Levantará as patas e limpará os cascos dos cavalos, aplicando linimentos e bandagens conforme necessário. Cuidará de 1 a 5 cavalos por vez. Turno dividido: das 5h às 11h e das 15h às 17h. Folgas rotativas. Classificação da vaga: 39-2021.00 - Cuidadores de Animais. A classificação e descrição da vaga/setor incluem informações gerais sobre o cargo, de acordo com o ONET/OES e o Sistema de Classificação Industrial da América do Norte. Consulte as Funções e a Ordem de Serviço para obter mais informações. Requisitos da vaga: Experiência necessária: Sim. Meses de experiência necessários: 1. Requisitos especiais: Deve ser capaz de levantar 23 kg. Número de horas por semana: 56. Horário de trabalho (início/término): 5h. - 17h00</v>
      </c>
    </row>
    <row r="1569" ht="20.25" customHeight="1">
      <c r="A1569" s="8" t="s">
        <v>6977</v>
      </c>
      <c r="B1569" s="8" t="s">
        <v>6978</v>
      </c>
      <c r="C1569" s="8" t="s">
        <v>6247</v>
      </c>
      <c r="D1569" s="8" t="s">
        <v>71</v>
      </c>
      <c r="E1569" s="9" t="s">
        <v>19</v>
      </c>
      <c r="F1569" s="9" t="s">
        <v>20</v>
      </c>
      <c r="G1569" s="9" t="s">
        <v>345</v>
      </c>
      <c r="H1569" s="8" t="s">
        <v>6979</v>
      </c>
      <c r="I1569" s="8" t="s">
        <v>6980</v>
      </c>
      <c r="J1569" s="9">
        <v>18.57</v>
      </c>
      <c r="K1569" s="9">
        <v>7.0</v>
      </c>
      <c r="L1569" s="8" t="s">
        <v>6250</v>
      </c>
      <c r="M1569" s="8" t="s">
        <v>6508</v>
      </c>
      <c r="N1569" s="7" t="str">
        <f>IFERROR(__xludf.DUMMYFUNCTION("GOOGLETRANSLATE(L1569, ""en"", ""pt"")"),"tratador de cavalos de corrida puro-sangue")</f>
        <v>tratador de cavalos de corrida puro-sangue</v>
      </c>
      <c r="O1569" s="7" t="str">
        <f>IFERROR(__xludf.DUMMYFUNCTION("IF(M1569="""","""",GOOGLETRANSLATE(M1569,""en"",""pt""))"),"Responsável pelos cuidados gerais de cavalos de corrida puro-sangue, incluindo alimentação, fornecimento de água, manutenção de baias e estábulos, limpeza, escovação, exercícios, casqueamento, desinfecção de baias e camas, administração de medicamentos co"&amp;"nforme prescrição e inspeção da condição física dos cavalos. Levantará as patas e limpará os cascos dos cavalos, aplicando linimentos e bandagens conforme necessário. Cuidará de 1 a 5 cavalos por vez. Turno dividido: das 5h às 11h e das 15h às 17h. Folgas"&amp;" rotativas. Classificação da vaga: 39-2021.00 - Cuidadores de Animais. A classificação e descrição da vaga/setor incluem informações gerais sobre o cargo, de acordo com o ONET/OES e o Sistema de Classificação Industrial da América do Norte. Consulte as Fu"&amp;"nções e a Ordem de Serviço para obter mais informações. Requisitos da vaga: Experiência necessária: Sim. Meses de experiência necessários: 1. Requisitos especiais: Deve ser capaz de levantar 23 kg. Número de horas por semana: 56. Horário de trabalho (iníc"&amp;"io/término): 5h. - 17h00")</f>
        <v>Responsável pelos cuidados gerais de cavalos de corrida puro-sangue, incluindo alimentação, fornecimento de água, manutenção de baias e estábulos, limpeza, escovação, exercícios, casqueamento, desinfecção de baias e camas, administração de medicamentos conforme prescrição e inspeção da condição física dos cavalos. Levantará as patas e limpará os cascos dos cavalos, aplicando linimentos e bandagens conforme necessário. Cuidará de 1 a 5 cavalos por vez. Turno dividido: das 5h às 11h e das 15h às 17h. Folgas rotativas. Classificação da vaga: 39-2021.00 - Cuidadores de Animais. A classificação e descrição da vaga/setor incluem informações gerais sobre o cargo, de acordo com o ONET/OES e o Sistema de Classificação Industrial da América do Norte. Consulte as Funções e a Ordem de Serviço para obter mais informações. Requisitos da vaga: Experiência necessária: Sim. Meses de experiência necessários: 1. Requisitos especiais: Deve ser capaz de levantar 23 kg. Número de horas por semana: 56. Horário de trabalho (início/término): 5h. - 17h00</v>
      </c>
    </row>
    <row r="1570" ht="20.25" customHeight="1">
      <c r="A1570" s="3" t="s">
        <v>6981</v>
      </c>
      <c r="B1570" s="3" t="s">
        <v>6982</v>
      </c>
      <c r="C1570" s="3" t="s">
        <v>6906</v>
      </c>
      <c r="D1570" s="3" t="s">
        <v>3015</v>
      </c>
      <c r="E1570" s="4" t="s">
        <v>19</v>
      </c>
      <c r="F1570" s="4" t="s">
        <v>20</v>
      </c>
      <c r="G1570" s="4" t="s">
        <v>80</v>
      </c>
      <c r="H1570" s="3" t="s">
        <v>6983</v>
      </c>
      <c r="I1570" s="3" t="s">
        <v>6984</v>
      </c>
      <c r="J1570" s="4">
        <v>26.21</v>
      </c>
      <c r="K1570" s="4">
        <v>10.0</v>
      </c>
      <c r="L1570" s="3" t="s">
        <v>262</v>
      </c>
      <c r="M1570" s="3" t="s">
        <v>6985</v>
      </c>
      <c r="N1570" s="7" t="str">
        <f>IFERROR(__xludf.DUMMYFUNCTION("GOOGLETRANSLATE(L1570, ""en"", ""pt"")"),"Operário da construção civil")</f>
        <v>Operário da construção civil</v>
      </c>
      <c r="O1570" s="7" t="str">
        <f>IFERROR(__xludf.DUMMYFUNCTION("IF(M1570="""","""",GOOGLETRANSLATE(M1570,""en"",""pt""))"),"***Resposta à Solicitação de Informações*** Executar tarefas que envolvam trabalho físico em canteiros de obras e auxiliar membros seniores da equipe na operação de ferramentas manuais e elétricas de todos os tipos, incluindo pregadores pneumáticos Milwau"&amp;"kee, martelos pneumáticos Husky, compactadores de solo Stark, betoneiras Yardmax, guinchos mecânicos pequenos Vevor, serras de esquadria DeWalt e equipamentos de topografia e medição Bosch; utilizar ferramentas não motorizadas, como pás, para cavar valas,"&amp;" instalar escoras de madeira (2x4” ou 2x6”) para sustentar as laterais das escavações, montar andaimes e usar pás para limpar e preparar os locais, remover entulhos e detritos e, se necessário, neve e gelo. ***Original*** ATRIBUIÇÕES: Executar tarefas que"&amp;" envolvam trabalho físico em canteiros de obras; operar ferramentas manuais e elétricas de todos os tipos: martelos pneumáticos, compactadores de solo, betoneiras, guinchos mecânicos pequenos, equipamentos de topografia e medição e uma variedade de outros"&amp;" equipamentos e instrumentos; Utiliza ferramentas para limpar e preparar locais, cavar valas, instalar escoras para sustentar as laterais das escavações, montar andaimes e limpar entulhos, detritos e outros materiais residuais; auxiliará outros membros da"&amp;" equipe e, se necessário, removerá neve e gelo. Classificação da função: 47-2061.00 - Auxiliares de Construção. A classificação e descrição da função/setor incluem informações gerais sobre o cargo, de acordo com o ONET/OES e o Sistema de Classificação Ind"&amp;"ustrial da América do Norte (NAICS). Consulte as Funções e a Ordem de Serviço para obter mais informações. Requisitos da função: Experiência necessária: Não. Requisitos especiais: Deve ser capaz de levantar até 34 kg e permanecer em pé ou curvado durante "&amp;"todo ou a maior parte do turno de trabalho. Número de horas por semana: 40. Horário de trabalho (início/término): 7h às 16h30.")</f>
        <v>***Resposta à Solicitação de Informações*** Executar tarefas que envolvam trabalho físico em canteiros de obras e auxiliar membros seniores da equipe na operação de ferramentas manuais e elétricas de todos os tipos, incluindo pregadores pneumáticos Milwaukee, martelos pneumáticos Husky, compactadores de solo Stark, betoneiras Yardmax, guinchos mecânicos pequenos Vevor, serras de esquadria DeWalt e equipamentos de topografia e medição Bosch; utilizar ferramentas não motorizadas, como pás, para cavar valas, instalar escoras de madeira (2x4” ou 2x6”) para sustentar as laterais das escavações, montar andaimes e usar pás para limpar e preparar os locais, remover entulhos e detritos e, se necessário, neve e gelo. ***Original*** ATRIBUIÇÕES: Executar tarefas que envolvam trabalho físico em canteiros de obras; operar ferramentas manuais e elétricas de todos os tipos: martelos pneumáticos, compactadores de solo, betoneiras, guinchos mecânicos pequenos, equipamentos de topografia e medição e uma variedade de outros equipamentos e instrumentos; Utiliza ferramentas para limpar e preparar locais, cavar valas, instalar escoras para sustentar as laterais das escavações, montar andaimes e limpar entulhos, detritos e outros materiais residuais; auxiliará outros membros da equipe e, se necessário, removerá neve e gelo. Classificação da função: 47-2061.00 - Auxiliares de Construção. A classificação e descrição da função/setor incluem informações gerais sobre o cargo, de acordo com o ONET/OES e o Sistema de Classificação Industrial da América do Norte (NAICS). Consulte as Funções e a Ordem de Serviço para obter mais informações. Requisitos da função: Experiência necessária: Não. Requisitos especiais: Deve ser capaz de levantar até 34 kg e permanecer em pé ou curvado durante todo ou a maior parte do turno de trabalho. Número de horas por semana: 40. Horário de trabalho (início/término): 7h às 16h30.</v>
      </c>
    </row>
    <row r="1571" ht="20.25" customHeight="1">
      <c r="A1571" s="8" t="s">
        <v>6986</v>
      </c>
      <c r="B1571" s="8" t="s">
        <v>6987</v>
      </c>
      <c r="C1571" s="8" t="s">
        <v>6247</v>
      </c>
      <c r="D1571" s="8" t="s">
        <v>254</v>
      </c>
      <c r="E1571" s="9" t="s">
        <v>19</v>
      </c>
      <c r="F1571" s="9" t="s">
        <v>20</v>
      </c>
      <c r="G1571" s="9" t="s">
        <v>345</v>
      </c>
      <c r="H1571" s="8" t="s">
        <v>6988</v>
      </c>
      <c r="I1571" s="8" t="s">
        <v>6989</v>
      </c>
      <c r="J1571" s="9">
        <v>15.28</v>
      </c>
      <c r="K1571" s="9">
        <v>3.0</v>
      </c>
      <c r="L1571" s="8" t="s">
        <v>6250</v>
      </c>
      <c r="M1571" s="8" t="s">
        <v>6508</v>
      </c>
      <c r="N1571" s="7" t="str">
        <f>IFERROR(__xludf.DUMMYFUNCTION("GOOGLETRANSLATE(L1571, ""en"", ""pt"")"),"tratador de cavalos de corrida puro-sangue")</f>
        <v>tratador de cavalos de corrida puro-sangue</v>
      </c>
      <c r="O1571" s="7" t="str">
        <f>IFERROR(__xludf.DUMMYFUNCTION("IF(M1571="""","""",GOOGLETRANSLATE(M1571,""en"",""pt""))"),"Responsável pelos cuidados gerais de cavalos de corrida puro-sangue, incluindo alimentação, fornecimento de água, manutenção de baias e estábulos, limpeza, escovação, exercícios, casqueamento, desinfecção de baias e camas, administração de medicamentos co"&amp;"nforme prescrição e inspeção da condição física dos cavalos. Levantará as patas e limpará os cascos dos cavalos, aplicando linimentos e bandagens conforme necessário. Cuidará de 1 a 5 cavalos por vez. Turno dividido: das 5h às 11h e das 15h às 17h. Folgas"&amp;" rotativas. Classificação da vaga: 39-2021.00 - Cuidadores de Animais. A classificação e descrição da vaga/setor incluem informações gerais sobre o cargo, de acordo com o ONET/OES e o Sistema de Classificação Industrial da América do Norte. Consulte as Fu"&amp;"nções e a Ordem de Serviço para obter mais informações. Requisitos da vaga: Experiência necessária: Sim. Meses de experiência necessários: 1. Requisitos especiais: Deve ser capaz de levantar 23 kg. Número de horas por semana: 56. Horário de trabalho (iníc"&amp;"io/término): 5h. - 17h00")</f>
        <v>Responsável pelos cuidados gerais de cavalos de corrida puro-sangue, incluindo alimentação, fornecimento de água, manutenção de baias e estábulos, limpeza, escovação, exercícios, casqueamento, desinfecção de baias e camas, administração de medicamentos conforme prescrição e inspeção da condição física dos cavalos. Levantará as patas e limpará os cascos dos cavalos, aplicando linimentos e bandagens conforme necessário. Cuidará de 1 a 5 cavalos por vez. Turno dividido: das 5h às 11h e das 15h às 17h. Folgas rotativas. Classificação da vaga: 39-2021.00 - Cuidadores de Animais. A classificação e descrição da vaga/setor incluem informações gerais sobre o cargo, de acordo com o ONET/OES e o Sistema de Classificação Industrial da América do Norte. Consulte as Funções e a Ordem de Serviço para obter mais informações. Requisitos da vaga: Experiência necessária: Sim. Meses de experiência necessários: 1. Requisitos especiais: Deve ser capaz de levantar 23 kg. Número de horas por semana: 56. Horário de trabalho (início/término): 5h. - 17h00</v>
      </c>
    </row>
    <row r="1572" ht="20.25" customHeight="1">
      <c r="A1572" s="3" t="s">
        <v>6990</v>
      </c>
      <c r="B1572" s="3" t="s">
        <v>6991</v>
      </c>
      <c r="C1572" s="3" t="s">
        <v>6247</v>
      </c>
      <c r="D1572" s="3" t="s">
        <v>71</v>
      </c>
      <c r="E1572" s="4" t="s">
        <v>44</v>
      </c>
      <c r="F1572" s="4" t="s">
        <v>20</v>
      </c>
      <c r="G1572" s="4" t="s">
        <v>345</v>
      </c>
      <c r="H1572" s="3" t="s">
        <v>6992</v>
      </c>
      <c r="I1572" s="3" t="s">
        <v>6993</v>
      </c>
      <c r="J1572" s="4">
        <v>18.57</v>
      </c>
      <c r="K1572" s="4">
        <v>14.0</v>
      </c>
      <c r="L1572" s="3" t="s">
        <v>6250</v>
      </c>
      <c r="M1572" s="3" t="s">
        <v>6527</v>
      </c>
      <c r="N1572" s="7" t="str">
        <f>IFERROR(__xludf.DUMMYFUNCTION("GOOGLETRANSLATE(L1572, ""en"", ""pt"")"),"tratador de cavalos de corrida puro-sangue")</f>
        <v>tratador de cavalos de corrida puro-sangue</v>
      </c>
      <c r="O1572" s="7" t="str">
        <f>IFERROR(__xludf.DUMMYFUNCTION("IF(M1572="""","""",GOOGLETRANSLATE(M1572,""en"",""pt""))"),"Responsável pelos cuidados gerais de cavalos de corrida puro-sangue, incluindo alimentação, fornecimento de água, manutenção de baias e estábulos, limpeza, escovação, exercícios, casqueamento, desinfecção de baias e camas, administração de medicamentos co"&amp;"nforme prescrição e inspeção da condição física dos cavalos. Levantará as patas e limpará os cascos dos cavalos, aplicando linimentos e bandagens conforme necessário. Cuidará de 1 a 5 cavalos por vez. Turno dividido: das 5h às 11h e das 15h às 17h. Folgas"&amp;" rotativas. Classificação da vaga: 39-2021.00 - Cuidadores de Animais. A classificação e descrição da vaga/setor incluem informações gerais sobre o cargo, de acordo com o ONET/OES e o Sistema de Classificação Industrial da América do Norte. Consulte as Fu"&amp;"nções e a Ordem de Serviço para obter mais informações. Requisitos da vaga: Experiência necessária: Sim. Meses de experiência necessários: 1. Requisitos especiais: Deve ser capaz de levantar 23 kg. Número de horas por semana: 56. Horário de trabalho (iníc"&amp;"io/término): 5h. - 17h00")</f>
        <v>Responsável pelos cuidados gerais de cavalos de corrida puro-sangue, incluindo alimentação, fornecimento de água, manutenção de baias e estábulos, limpeza, escovação, exercícios, casqueamento, desinfecção de baias e camas, administração de medicamentos conforme prescrição e inspeção da condição física dos cavalos. Levantará as patas e limpará os cascos dos cavalos, aplicando linimentos e bandagens conforme necessário. Cuidará de 1 a 5 cavalos por vez. Turno dividido: das 5h às 11h e das 15h às 17h. Folgas rotativas. Classificação da vaga: 39-2021.00 - Cuidadores de Animais. A classificação e descrição da vaga/setor incluem informações gerais sobre o cargo, de acordo com o ONET/OES e o Sistema de Classificação Industrial da América do Norte. Consulte as Funções e a Ordem de Serviço para obter mais informações. Requisitos da vaga: Experiência necessária: Sim. Meses de experiência necessários: 1. Requisitos especiais: Deve ser capaz de levantar 23 kg. Número de horas por semana: 56. Horário de trabalho (início/término): 5h. - 17h00</v>
      </c>
    </row>
    <row r="1573" ht="20.25" customHeight="1">
      <c r="A1573" s="8" t="s">
        <v>6994</v>
      </c>
      <c r="B1573" s="8" t="s">
        <v>6995</v>
      </c>
      <c r="C1573" s="8" t="s">
        <v>6247</v>
      </c>
      <c r="D1573" s="8" t="s">
        <v>28</v>
      </c>
      <c r="E1573" s="9" t="s">
        <v>44</v>
      </c>
      <c r="F1573" s="9" t="s">
        <v>20</v>
      </c>
      <c r="G1573" s="9" t="s">
        <v>345</v>
      </c>
      <c r="H1573" s="8" t="s">
        <v>6996</v>
      </c>
      <c r="I1573" s="8" t="s">
        <v>6997</v>
      </c>
      <c r="J1573" s="9">
        <v>14.22</v>
      </c>
      <c r="K1573" s="9">
        <v>10.0</v>
      </c>
      <c r="L1573" s="8" t="s">
        <v>6359</v>
      </c>
      <c r="M1573" s="8" t="s">
        <v>6527</v>
      </c>
      <c r="N1573" s="7" t="str">
        <f>IFERROR(__xludf.DUMMYFUNCTION("GOOGLETRANSLATE(L1573, ""en"", ""pt"")"),"tratador de cavalos puro-sangue")</f>
        <v>tratador de cavalos puro-sangue</v>
      </c>
      <c r="O1573" s="7" t="str">
        <f>IFERROR(__xludf.DUMMYFUNCTION("IF(M1573="""","""",GOOGLETRANSLATE(M1573,""en"",""pt""))"),"Responsável pelos cuidados gerais de cavalos de corrida puro-sangue, incluindo alimentação, fornecimento de água, manutenção de baias e estábulos, limpeza, escovação, exercícios, casqueamento, desinfecção de baias e camas, administração de medicamentos co"&amp;"nforme prescrição e inspeção da condição física dos cavalos. Levantará as patas e limpará os cascos dos cavalos, aplicando linimentos e bandagens conforme necessário. Cuidará de 1 a 5 cavalos por vez. Turno dividido: das 5h às 11h e das 15h às 17h. Folgas"&amp;" rotativas. Classificação da vaga: 39-2021.00 - Cuidadores de Animais. A classificação e descrição da vaga/setor incluem informações gerais sobre o cargo, de acordo com o ONET/OES e o Sistema de Classificação Industrial da América do Norte. Consulte as Fu"&amp;"nções e a Ordem de Serviço para obter mais informações. Requisitos da vaga: Experiência necessária: Sim. Meses de experiência necessários: 1. Requisitos especiais: Deve ser capaz de levantar 23 kg. Número de horas por semana: 56. Horário de trabalho (iníc"&amp;"io/término): 5h. - 17h00")</f>
        <v>Responsável pelos cuidados gerais de cavalos de corrida puro-sangue, incluindo alimentação, fornecimento de água, manutenção de baias e estábulos, limpeza, escovação, exercícios, casqueamento, desinfecção de baias e camas, administração de medicamentos conforme prescrição e inspeção da condição física dos cavalos. Levantará as patas e limpará os cascos dos cavalos, aplicando linimentos e bandagens conforme necessário. Cuidará de 1 a 5 cavalos por vez. Turno dividido: das 5h às 11h e das 15h às 17h. Folgas rotativas. Classificação da vaga: 39-2021.00 - Cuidadores de Animais. A classificação e descrição da vaga/setor incluem informações gerais sobre o cargo, de acordo com o ONET/OES e o Sistema de Classificação Industrial da América do Norte. Consulte as Funções e a Ordem de Serviço para obter mais informações. Requisitos da vaga: Experiência necessária: Sim. Meses de experiência necessários: 1. Requisitos especiais: Deve ser capaz de levantar 23 kg. Número de horas por semana: 56. Horário de trabalho (início/término): 5h. - 17h00</v>
      </c>
    </row>
    <row r="1574" ht="20.25" customHeight="1">
      <c r="A1574" s="3" t="s">
        <v>6998</v>
      </c>
      <c r="B1574" s="3" t="s">
        <v>6999</v>
      </c>
      <c r="C1574" s="3" t="s">
        <v>7000</v>
      </c>
      <c r="D1574" s="3" t="s">
        <v>3015</v>
      </c>
      <c r="E1574" s="4" t="s">
        <v>44</v>
      </c>
      <c r="F1574" s="4" t="s">
        <v>20</v>
      </c>
      <c r="G1574" s="4" t="s">
        <v>29</v>
      </c>
      <c r="H1574" s="3" t="s">
        <v>7001</v>
      </c>
      <c r="I1574" s="3" t="s">
        <v>7002</v>
      </c>
      <c r="J1574" s="4">
        <v>18.26</v>
      </c>
      <c r="K1574" s="4">
        <v>8.0</v>
      </c>
      <c r="L1574" s="3" t="s">
        <v>354</v>
      </c>
      <c r="M1574" s="3" t="s">
        <v>7003</v>
      </c>
      <c r="N1574" s="7" t="str">
        <f>IFERROR(__xludf.DUMMYFUNCTION("GOOGLETRANSLATE(L1574, ""en"", ""pt"")"),"Governanta")</f>
        <v>Governanta</v>
      </c>
      <c r="O1574" s="7" t="str">
        <f>IFERROR(__xludf.DUMMYFUNCTION("IF(M1574="""","""",GOOGLETRANSLATE(M1574,""en"",""pt""))"),"Transportar roupas de cama, toalhas, artigos de higiene pessoal e produtos de limpeza utilizando carrinhos com rodas; limpar quartos, corredores, saguões, salas de estar, banheiros, elevadores, escadas, vestiários e outras áreas de trabalho de acordo com "&amp;"as normas sanitárias aplicáveis; desinfetar equipamentos e suprimentos utilizando germicidas e/ou esterilizadores a vapor; repor suprimentos, como copos, roupas de cama, materiais de escrita e itens de banheiro; limpar tapetes, carpetes, móveis estofados "&amp;"e cortinas, utilizando aspiradores de pó e lavadoras de carpetes; manter as áreas de armazenamento e os carrinhos bem abastecidos, limpos e organizados. Classificação da Função: 37-2012.00 - Camareiras e Auxiliares de Limpeza. A classificação e descrição "&amp;"da função/setor inclui informações gerais sobre o cargo, conforme o ONET/OES e o Sistema de Classificação Industrial da América do Norte. Consulte as Funções e a Ordem de Serviço para obter mais informações. Requisitos da Função: Experiência Necessária: N"&amp;"ão. Requisitos Especiais: Deve ser capaz de levantar até 23 kg e permanecer em pé ou se abaixar durante todo ou a maior parte do turno de trabalho. Horário: 35 horas semanais. De segunda a domingo (horário variável). A jornada de trabalho pode incluir noi"&amp;"tes, fins de semana e feriados. Turnos: das 9h às 16h (os horários dos turnos podem variar). Número de horas por semana: 35. Horário de trabalho (início/término): 9h às 16h.")</f>
        <v>Transportar roupas de cama, toalhas, artigos de higiene pessoal e produtos de limpeza utilizando carrinhos com rodas; limpar quartos, corredores, saguões, salas de estar, banheiros, elevadores, escadas, vestiários e outras áreas de trabalho de acordo com as normas sanitárias aplicáveis; desinfetar equipamentos e suprimentos utilizando germicidas e/ou esterilizadores a vapor; repor suprimentos, como copos, roupas de cama, materiais de escrita e itens de banheiro; limpar tapetes, carpetes, móveis estofados e cortinas, utilizando aspiradores de pó e lavadoras de carpetes; manter as áreas de armazenamento e os carrinhos bem abastecidos, limpos e organizados. Classificação da Função: 37-2012.00 - Camareiras e Auxiliares de Limpeza. A classificação e descrição da função/setor inclui informações gerais sobre o cargo, conforme o ONET/OES e o Sistema de Classificação Industrial da América do Norte. Consulte as Funções e a Ordem de Serviço para obter mais informações. Requisitos da Função: Experiência Necessária: Não. Requisitos Especiais: Deve ser capaz de levantar até 23 kg e permanecer em pé ou se abaixar durante todo ou a maior parte do turno de trabalho. Horário: 35 horas semanais. De segunda a domingo (horário variável). A jornada de trabalho pode incluir noites, fins de semana e feriados. Turnos: das 9h às 16h (os horários dos turnos podem variar). Número de horas por semana: 35. Horário de trabalho (início/término): 9h às 16h.</v>
      </c>
    </row>
    <row r="1575" ht="20.25" customHeight="1">
      <c r="A1575" s="8" t="s">
        <v>7004</v>
      </c>
      <c r="B1575" s="8" t="s">
        <v>7005</v>
      </c>
      <c r="C1575" s="8" t="s">
        <v>6247</v>
      </c>
      <c r="D1575" s="8" t="s">
        <v>254</v>
      </c>
      <c r="E1575" s="9" t="s">
        <v>44</v>
      </c>
      <c r="F1575" s="9" t="s">
        <v>20</v>
      </c>
      <c r="G1575" s="9" t="s">
        <v>345</v>
      </c>
      <c r="H1575" s="8" t="s">
        <v>7006</v>
      </c>
      <c r="I1575" s="8" t="s">
        <v>7007</v>
      </c>
      <c r="J1575" s="9">
        <v>13.88</v>
      </c>
      <c r="K1575" s="9">
        <v>10.0</v>
      </c>
      <c r="L1575" s="8" t="s">
        <v>7008</v>
      </c>
      <c r="M1575" s="8" t="s">
        <v>7009</v>
      </c>
      <c r="N1575" s="7" t="str">
        <f>IFERROR(__xludf.DUMMYFUNCTION("GOOGLETRANSLATE(L1575, ""en"", ""pt"")"),"tratador de cavalos de exposição")</f>
        <v>tratador de cavalos de exposição</v>
      </c>
      <c r="O1575" s="7" t="str">
        <f>IFERROR(__xludf.DUMMYFUNCTION("IF(M1575="""","""",GOOGLETRANSLATE(M1575,""en"",""pt""))"),"***Resposta à Solicitação de Informações*** Responsável pelos cuidados gerais de cavalos de exposição das raças Árabe e American Saddlebred, incluindo alimentação, fornecimento de água, limpeza, escovação, tosa para exposições, inspeção da condição física"&amp;" dos cavalos, limpeza das baias, descanso dos cavalos, banho e colocação da sela. Folgas rotativas. Turnos divididos das 5h às 11h e das 15h às 17h. ***Original F.a.2*** Responsável pelos cuidados gerais de cavalos de exposição das raças Árabe e American "&amp;"Saddlebred, incluindo alimentação, fornecimento de água, limpeza, escovação, tosa para exposições, inspeção da condição física dos cavalos, limpeza das baias, descanso dos cavalos, banho e colocação da sela. Turnos divididos das 5h às 11h e das 15h às 17h"&amp;". Classificação da Função: 39-2021.00 - Cuidadores de Animais. A classificação e descrição da função/setor inclui informações gerais sobre o cargo, conforme o ONET/OES e o Sistema de Classificação Industrial da América do Norte. Consulte as Funções e a Or"&amp;"dem de Serviço para obter mais informações. Requisitos da vaga Experiência necessária: Sim Meses de experiência necessários: 1 Requisitos especiais: Deve ser capaz de levantar 23 kg Número de horas por semana: 56 Horário de trabalho (início/término): 5h à"&amp;"s 17h")</f>
        <v>***Resposta à Solicitação de Informações*** Responsável pelos cuidados gerais de cavalos de exposição das raças Árabe e American Saddlebred, incluindo alimentação, fornecimento de água, limpeza, escovação, tosa para exposições, inspeção da condição física dos cavalos, limpeza das baias, descanso dos cavalos, banho e colocação da sela. Folgas rotativas. Turnos divididos das 5h às 11h e das 15h às 17h. ***Original F.a.2*** Responsável pelos cuidados gerais de cavalos de exposição das raças Árabe e American Saddlebred, incluindo alimentação, fornecimento de água, limpeza, escovação, tosa para exposições, inspeção da condição física dos cavalos, limpeza das baias, descanso dos cavalos, banho e colocação da sela. Turnos divididos das 5h às 11h e das 15h às 17h. Classificação da Função: 39-2021.00 - Cuidadores de Animais. A classificação e descrição da função/setor inclui informações gerais sobre o cargo, conforme o ONET/OES e o Sistema de Classificação Industrial da América do Norte. Consulte as Funções e a Ordem de Serviço para obter mais informações. Requisitos da vaga Experiência necessária: Sim Meses de experiência necessários: 1 Requisitos especiais: Deve ser capaz de levantar 23 kg Número de horas por semana: 56 Horário de trabalho (início/término): 5h às 17h</v>
      </c>
    </row>
    <row r="1576" ht="20.25" customHeight="1">
      <c r="A1576" s="3" t="s">
        <v>7010</v>
      </c>
      <c r="B1576" s="3" t="s">
        <v>7011</v>
      </c>
      <c r="C1576" s="3" t="s">
        <v>6247</v>
      </c>
      <c r="D1576" s="3" t="s">
        <v>71</v>
      </c>
      <c r="E1576" s="4" t="s">
        <v>19</v>
      </c>
      <c r="F1576" s="4" t="s">
        <v>20</v>
      </c>
      <c r="G1576" s="4" t="s">
        <v>345</v>
      </c>
      <c r="H1576" s="3" t="s">
        <v>7012</v>
      </c>
      <c r="I1576" s="3" t="s">
        <v>7013</v>
      </c>
      <c r="J1576" s="4">
        <v>18.57</v>
      </c>
      <c r="K1576" s="4">
        <v>7.0</v>
      </c>
      <c r="L1576" s="3" t="s">
        <v>6359</v>
      </c>
      <c r="M1576" s="3" t="s">
        <v>6336</v>
      </c>
      <c r="N1576" s="7" t="str">
        <f>IFERROR(__xludf.DUMMYFUNCTION("GOOGLETRANSLATE(L1576, ""en"", ""pt"")"),"tratador de cavalos puro-sangue")</f>
        <v>tratador de cavalos puro-sangue</v>
      </c>
      <c r="O1576" s="7" t="str">
        <f>IFERROR(__xludf.DUMMYFUNCTION("IF(M1576="""","""",GOOGLETRANSLATE(M1576,""en"",""pt""))"),"Responsável pelos cuidados gerais de cavalos de corrida puro-sangue, incluindo alimentação, fornecimento de água, manutenção de baias e estábulos, limpeza, escovação, exercícios, casqueamento, desinfecção de baias e camas, administração de medicamentos co"&amp;"nforme prescrição e inspeção da condição física dos cavalos. Levantará as patas e limpará os cascos dos cavalos, aplicando linimentos e bandagens conforme necessário. Cuidará de 1 a 5 cavalos por vez. Turno dividido: das 5h às 11h e das 15h às 17h. Folgas"&amp;" rotativas. Classificação da vaga: 39-2021.00 - Cuidadores de Animais. A classificação e descrição da vaga/setor incluem informações gerais sobre o cargo, de acordo com o ONET/OES e o Sistema de Classificação Industrial da América do Norte. Consulte as Fu"&amp;"nções e a Ordem de Serviço para obter mais informações. Requisitos da vaga: Experiência necessária: Sim. Meses de experiência necessários: 1. Requisitos especiais: Deve ser capaz de levantar 23 kg. Número de horas por semana: 56. Horário de trabalho (iníc"&amp;"io/término): 5h. - 17h00")</f>
        <v>Responsável pelos cuidados gerais de cavalos de corrida puro-sangue, incluindo alimentação, fornecimento de água, manutenção de baias e estábulos, limpeza, escovação, exercícios, casqueamento, desinfecção de baias e camas, administração de medicamentos conforme prescrição e inspeção da condição física dos cavalos. Levantará as patas e limpará os cascos dos cavalos, aplicando linimentos e bandagens conforme necessário. Cuidará de 1 a 5 cavalos por vez. Turno dividido: das 5h às 11h e das 15h às 17h. Folgas rotativas. Classificação da vaga: 39-2021.00 - Cuidadores de Animais. A classificação e descrição da vaga/setor incluem informações gerais sobre o cargo, de acordo com o ONET/OES e o Sistema de Classificação Industrial da América do Norte. Consulte as Funções e a Ordem de Serviço para obter mais informações. Requisitos da vaga: Experiência necessária: Sim. Meses de experiência necessários: 1. Requisitos especiais: Deve ser capaz de levantar 23 kg. Número de horas por semana: 56. Horário de trabalho (início/término): 5h. - 17h00</v>
      </c>
    </row>
    <row r="1577" ht="20.25" customHeight="1">
      <c r="A1577" s="8" t="s">
        <v>7014</v>
      </c>
      <c r="B1577" s="8" t="s">
        <v>7015</v>
      </c>
      <c r="C1577" s="8" t="s">
        <v>444</v>
      </c>
      <c r="D1577" s="8" t="s">
        <v>833</v>
      </c>
      <c r="E1577" s="9" t="s">
        <v>19</v>
      </c>
      <c r="F1577" s="9" t="s">
        <v>20</v>
      </c>
      <c r="G1577" s="9" t="s">
        <v>467</v>
      </c>
      <c r="H1577" s="8" t="s">
        <v>7016</v>
      </c>
      <c r="I1577" s="8" t="s">
        <v>7017</v>
      </c>
      <c r="J1577" s="9">
        <v>25.44</v>
      </c>
      <c r="K1577" s="9">
        <v>10.0</v>
      </c>
      <c r="L1577" s="8" t="s">
        <v>7018</v>
      </c>
      <c r="M1577" s="8" t="s">
        <v>7019</v>
      </c>
      <c r="N1577" s="7" t="str">
        <f>IFERROR(__xludf.DUMMYFUNCTION("GOOGLETRANSLATE(L1577, ""en"", ""pt"")"),"Trabalhadores para remoção de neve")</f>
        <v>Trabalhadores para remoção de neve</v>
      </c>
      <c r="O1577" s="7" t="str">
        <f>IFERROR(__xludf.DUMMYFUNCTION("IF(M1577="""","""",GOOGLETRANSLATE(M1577,""en"",""pt""))"),"Diversas tarefas de remoção de neve utilizando ferramentas manuais e equipamentos como picadores de gelo, pás, mini-tratores de neve, sopradores de neve e espalhadores de sal. Operar veículos (não regulamentados pelo DOT) com arado e/ou espalhadores de sa"&amp;"l para limpar neve/gelo de calçadas, estacionamentos e outras superfícies, além de outras atividades relacionadas à remoção de neve. O trabalho é realizado somente em propriedades privadas ou contratadas por empresas privadas e não inclui a manutenção de "&amp;"vias públicas, rodovias ou infraestrutura municipal. O empregador fornecerá transporte diário de ida e volta ao local de trabalho sem custo para o trabalhador. O uso do transporte é voluntário. O empregador fornece transporte diário entre os locais de tra"&amp;"balho. Salário: O salário base é de US$ 25,44/hora. Um adicional de hora extra de US$ 38,16/hora será pago quando exigido por lei federal, estadual ou local, incluindo hora e meia após 40 horas semanais de trabalho. O empregador poderá oferecer aumentos/b"&amp;"ônus aos funcionários temporários contratados sob esta ordem de serviço, a seu exclusivo critério, com base em fatores individuais como desempenho, habilidades e tempo de serviço. Os salários serão calculados com base em uma semana de trabalho. Os funcion"&amp;"ários receberão pagamento quinzenalmente. Horário: Os turnos podem variar, mas um dia de trabalho típico é das 7h às 16h, de segunda a sexta-feira. O turno inclui um intervalo de 60 minutos não remunerado. A carga horária esperada é de aproximadamente 40 "&amp;"horas semanais. O empregador poderá oferecer mais horas do que o especificado, dependendo das necessidades da empresa e de outras condições. Treinamento no local de trabalho está disponível. Classificação do Cargo: 47-4051.00 - Trabalhadores de Manutenção"&amp;" de Rodovias. A classificação e descrição do cargo/setor incluem informações gerais sobre a posição, de acordo com o ONET/OES e o Sistema de Classificação Industrial da América do Norte (NAICS). Consulte as Funções e a Ordem de Serviço para obter mais inf"&amp;"ormações. Requisitos do Cargo: Experiência Necessária: Não. Requisitos Especiais: Não há exigência de escolaridade ou experiência mínima. Deve ser capaz de levantar, carregar, empurrar e puxar objetos de até 23 kg. O trabalho é realizado ao ar livre, expo"&amp;"sto a condições climáticas variáveis. O candidato deve preencher uma ficha de emprego. O trabalho aos sábados e domingos poderá ser necessário, dependendo das condições climáticas e das necessidades da empresa. Todos os candidatos devem ser capazes, estar"&amp;" dispostos e qualificados para realizar o trabalho descrito durante todo o período especificado. Deve apresentar comprovante de autorização legal para trabalhar nos EUA. Ambiente de trabalho livre de drogas, álcool e tabaco. Número de horas por semana: 40"&amp;". Horário de trabalho (início/término): 7h às 16h.")</f>
        <v>Diversas tarefas de remoção de neve utilizando ferramentas manuais e equipamentos como picadores de gelo, pás, mini-tratores de neve, sopradores de neve e espalhadores de sal. Operar veículos (não regulamentados pelo DOT) com arado e/ou espalhadores de sal para limpar neve/gelo de calçadas, estacionamentos e outras superfícies, além de outras atividades relacionadas à remoção de neve. O trabalho é realizado somente em propriedades privadas ou contratadas por empresas privadas e não inclui a manutenção de vias públicas, rodovias ou infraestrutura municipal. O empregador fornecerá transporte diário de ida e volta ao local de trabalho sem custo para o trabalhador. O uso do transporte é voluntário. O empregador fornece transporte diário entre os locais de trabalho. Salário: O salário base é de US$ 25,44/hora. Um adicional de hora extra de US$ 38,16/hora será pago quando exigido por lei federal, estadual ou local, incluindo hora e meia após 40 horas semanais de trabalho. O empregador poderá oferecer aumentos/bônus aos funcionários temporários contratados sob esta ordem de serviço, a seu exclusivo critério, com base em fatores individuais como desempenho, habilidades e tempo de serviço. Os salários serão calculados com base em uma semana de trabalho. Os funcionários receberão pagamento quinzenalmente. Horário: Os turnos podem variar, mas um dia de trabalho típico é das 7h às 16h, de segunda a sexta-feira. O turno inclui um intervalo de 60 minutos não remunerado. A carga horária esperada é de aproximadamente 40 horas semanais. O empregador poderá oferecer mais horas do que o especificado, dependendo das necessidades da empresa e de outras condições. Treinamento no local de trabalho está disponível. Classificação do Cargo: 47-4051.00 - Trabalhadores de Manutenção de Rodovias. A classificação e descrição do cargo/setor incluem informações gerais sobre a posição, de acordo com o ONET/OES e o Sistema de Classificação Industrial da América do Norte (NAICS). Consulte as Funções e a Ordem de Serviço para obter mais informações. Requisitos do Cargo: Experiência Necessária: Não. Requisitos Especiais: Não há exigência de escolaridade ou experiência mínima. Deve ser capaz de levantar, carregar, empurrar e puxar objetos de até 23 kg. O trabalho é realizado ao ar livre, exposto a condições climáticas variáveis. O candidato deve preencher uma ficha de emprego. O trabalho aos sábados e domingos poderá ser necessário, dependendo das condições climáticas e das necessidades da empresa. Todos os candidatos devem ser capazes, estar dispostos e qualificados para realizar o trabalho descrito durante todo o período especificado. Deve apresentar comprovante de autorização legal para trabalhar nos EUA. Ambiente de trabalho livre de drogas, álcool e tabaco. Número de horas por semana: 40. Horário de trabalho (início/término): 7h às 16h.</v>
      </c>
    </row>
    <row r="1578" ht="20.25" customHeight="1">
      <c r="A1578" s="15" t="s">
        <v>7020</v>
      </c>
      <c r="B1578" s="15" t="s">
        <v>7021</v>
      </c>
      <c r="C1578" s="15" t="s">
        <v>1030</v>
      </c>
      <c r="D1578" s="15" t="s">
        <v>64</v>
      </c>
      <c r="E1578" s="16" t="s">
        <v>44</v>
      </c>
      <c r="F1578" s="16" t="s">
        <v>20</v>
      </c>
      <c r="G1578" s="16" t="s">
        <v>56</v>
      </c>
      <c r="H1578" s="17" t="s">
        <v>7022</v>
      </c>
      <c r="I1578" s="15" t="s">
        <v>7023</v>
      </c>
      <c r="J1578" s="16">
        <v>18.42</v>
      </c>
      <c r="K1578" s="16">
        <v>10.0</v>
      </c>
      <c r="L1578" s="15" t="s">
        <v>59</v>
      </c>
      <c r="M1578" s="15" t="s">
        <v>7024</v>
      </c>
      <c r="N1578" s="7" t="str">
        <f>IFERROR(__xludf.DUMMYFUNCTION("GOOGLETRANSLATE(L1578, ""en"", ""pt"")"),"Trabalhador de paisagismo")</f>
        <v>Trabalhador de paisagismo</v>
      </c>
      <c r="O1578" s="7" t="str">
        <f>IFERROR(__xludf.DUMMYFUNCTION("IF(M1578="""","""",GOOGLETRANSLATE(M1578,""en"",""pt""))"),"Utilizar ferramentas elétricas e manuais para a manutenção de gramados. Rastelar e soprar folhas; podar e transportar terra vegetal e cobertura morta. Recolher lixo e detritos. Envolve o carregamento e descarregamento de ferramentas, suprimentos e equipam"&amp;"entos com peso de até 23 kg. Envolve trabalho ao ar livre em todos os tipos de clima. Envolve longos períodos em pé, sentado ou caminhando. Envolve agachar-se ou curvar-se com frequência. Envolve movimentos repetitivos. Possibilidade de aumento salarial c"&amp;"om base no desempenho, bônus, horas extras e trabalho aos sábados, conforme necessário. Transporte fornecido para vários locais de trabalho a partir da localização central em Carrollton, TX. 60 minutos de intervalos não remunerados ao longo do dia. O horá"&amp;"rio de trabalho diário pode variar entre os horários de início e término listados, dependendo do clima ou das tarefas atribuídas. Classificação do Cargo: 37-3011.00 - Trabalhadores de Paisagismo e Manutenção de Jardins. A classificação e descrição do carg"&amp;"o/setor inclui informações gerais sobre a posição, de acordo com o ONET/OES e o Sistema de Classificação Industrial da América do Norte. Consulte as Funções e a Ordem de Serviço para obter mais informações. Requisitos do Cargo: Experiência Necessária: Não"&amp;". Requisitos Especiais: Nenhum. Número de horas por semana: 40 Horário de trabalho (início/término): 7h00 - 15h00")</f>
        <v>Utilizar ferramentas elétricas e manuais para a manutenção de gramados. Rastelar e soprar folhas; podar e transportar terra vegetal e cobertura morta. Recolher lixo e detritos. Envolve o carregamento e descarregamento de ferramentas, suprimentos e equipamentos com peso de até 23 kg. Envolve trabalho ao ar livre em todos os tipos de clima. Envolve longos períodos em pé, sentado ou caminhando. Envolve agachar-se ou curvar-se com frequência. Envolve movimentos repetitivos. Possibilidade de aumento salarial com base no desempenho, bônus, horas extras e trabalho aos sábados, conforme necessário. Transporte fornecido para vários locais de trabalho a partir da localização central em Carrollton, TX. 60 minutos de intervalos não remunerados ao longo do dia. O horário de trabalho diário pode variar entre os horários de início e término listados, dependendo do clima ou das tarefas atribuídas. Classificação do Cargo: 37-3011.00 - Trabalhadores de Paisagismo e Manutenção de Jardins. A classificação e descrição do cargo/setor inclui informações gerais sobre a posição, de acordo com o ONET/OES e o Sistema de Classificação Industrial da América do Norte. Consulte as Funções e a Ordem de Serviço para obter mais informações. Requisitos do Cargo: Experiência Necessária: Não. Requisitos Especiais: Nenhum. Número de horas por semana: 40 Horário de trabalho (início/término): 7h00 - 15h00</v>
      </c>
    </row>
    <row r="1579" ht="20.25" customHeight="1">
      <c r="A1579" s="8" t="s">
        <v>7025</v>
      </c>
      <c r="B1579" s="8" t="s">
        <v>7026</v>
      </c>
      <c r="C1579" s="8" t="s">
        <v>6228</v>
      </c>
      <c r="D1579" s="8" t="s">
        <v>299</v>
      </c>
      <c r="E1579" s="9" t="s">
        <v>44</v>
      </c>
      <c r="F1579" s="9" t="s">
        <v>20</v>
      </c>
      <c r="G1579" s="9" t="s">
        <v>307</v>
      </c>
      <c r="H1579" s="8" t="s">
        <v>6868</v>
      </c>
      <c r="I1579" s="8" t="s">
        <v>7027</v>
      </c>
      <c r="J1579" s="9">
        <v>22.03</v>
      </c>
      <c r="K1579" s="9">
        <v>10.0</v>
      </c>
      <c r="L1579" s="8" t="s">
        <v>7028</v>
      </c>
      <c r="M1579" s="8" t="s">
        <v>7029</v>
      </c>
      <c r="N1579" s="7" t="str">
        <f>IFERROR(__xludf.DUMMYFUNCTION("GOOGLETRANSLATE(L1579, ""en"", ""pt"")"),"Operador de Máquina para Trabalhar Madeira")</f>
        <v>Operador de Máquina para Trabalhar Madeira</v>
      </c>
      <c r="O1579" s="7" t="str">
        <f>IFERROR(__xludf.DUMMYFUNCTION("IF(M1579="""","""",GOOGLETRANSLATE(M1579,""en"",""pt""))"),"Preparar, ajustar, operar e auxiliar na operação de máquinas de marcenaria utilizadas para cortar, moldar e dar acabamento a componentes de madeira. As tarefas incluem manusear, carregar e posicionar madeira serrada e outros materiais para processamento. "&amp;"Os funcionários irão classificar, movimentar e organizar a madeira por tamanho e tipo, bem como medir, alinhar, posicionar e fixar peças de madeira utilizando ferramentas manuais, pregos, parafusos e adesivos. Os funcionários podem auxiliar operadores exp"&amp;"erientes fornecendo materiais, segurando componentes no lugar e apoiando tarefas gerais de produção. As responsabilidades também incluem manter a área de trabalho limpa e organizada. Os funcionários utilizarão as máquinas listadas abaixo no desempenho de "&amp;"suas funções. Nenhuma dessas máquinas envolve operações de serragem. • Mesas de treliças com gabarito automático, • Sistemas de visualização por projeção a laser, • Empilhadeiras de treliças, • Sistemas de esteiras transportadoras e • Sistemas de prensas "&amp;"pórtico. Classificação da Função: 51-7042.00 - Preparadores, Operadores e Auxiliares de Máquinas para Trabalhar Madeira, exceto Serragem. A classificação e descrição da função/setor inclui informações gerais sobre o cargo, de acordo com o ONET/OES e o Sis"&amp;"tema de Classificação Industrial da América do Norte (NAICS). Consulte as Funções e a Ordem de Serviço para obter mais informações. Requisitos da Função Experiência Necessária: Não. Requisitos Especiais: Deve ser capaz de levantar e carregar 34 kg por 68 "&amp;"metros e suportar temperaturas extremas. Número de Horas por Semana: 40. Horário de Trabalho (Início/Término): 7h30 - 16h30.")</f>
        <v>Preparar, ajustar, operar e auxiliar na operação de máquinas de marcenaria utilizadas para cortar, moldar e dar acabamento a componentes de madeira. As tarefas incluem manusear, carregar e posicionar madeira serrada e outros materiais para processamento. Os funcionários irão classificar, movimentar e organizar a madeira por tamanho e tipo, bem como medir, alinhar, posicionar e fixar peças de madeira utilizando ferramentas manuais, pregos, parafusos e adesivos. Os funcionários podem auxiliar operadores experientes fornecendo materiais, segurando componentes no lugar e apoiando tarefas gerais de produção. As responsabilidades também incluem manter a área de trabalho limpa e organizada. Os funcionários utilizarão as máquinas listadas abaixo no desempenho de suas funções. Nenhuma dessas máquinas envolve operações de serragem. • Mesas de treliças com gabarito automático, • Sistemas de visualização por projeção a laser, • Empilhadeiras de treliças, • Sistemas de esteiras transportadoras e • Sistemas de prensas pórtico. Classificação da Função: 51-7042.00 - Preparadores, Operadores e Auxiliares de Máquinas para Trabalhar Madeira, exceto Serragem. A classificação e descrição da função/setor inclui informações gerais sobre o cargo, de acordo com o ONET/OES e o Sistema de Classificação Industrial da América do Norte (NAICS). Consulte as Funções e a Ordem de Serviço para obter mais informações. Requisitos da Função Experiência Necessária: Não. Requisitos Especiais: Deve ser capaz de levantar e carregar 34 kg por 68 metros e suportar temperaturas extremas. Número de Horas por Semana: 40. Horário de Trabalho (Início/Término): 7h30 - 16h30.</v>
      </c>
    </row>
    <row r="1580" ht="20.25" customHeight="1">
      <c r="A1580" s="3" t="s">
        <v>7030</v>
      </c>
      <c r="B1580" s="3" t="s">
        <v>7031</v>
      </c>
      <c r="C1580" s="3" t="s">
        <v>6228</v>
      </c>
      <c r="D1580" s="3" t="s">
        <v>833</v>
      </c>
      <c r="E1580" s="4" t="s">
        <v>19</v>
      </c>
      <c r="F1580" s="4" t="s">
        <v>20</v>
      </c>
      <c r="G1580" s="4" t="s">
        <v>307</v>
      </c>
      <c r="H1580" s="3" t="s">
        <v>6868</v>
      </c>
      <c r="I1580" s="3" t="s">
        <v>7027</v>
      </c>
      <c r="J1580" s="4">
        <v>22.01</v>
      </c>
      <c r="K1580" s="4">
        <v>16.0</v>
      </c>
      <c r="L1580" s="3" t="s">
        <v>6873</v>
      </c>
      <c r="M1580" s="3" t="s">
        <v>7032</v>
      </c>
      <c r="N1580" s="7" t="str">
        <f>IFERROR(__xludf.DUMMYFUNCTION("GOOGLETRANSLATE(L1580, ""en"", ""pt"")"),"Auxiliar de Operário de Produção")</f>
        <v>Auxiliar de Operário de Produção</v>
      </c>
      <c r="O1580" s="7" t="str">
        <f>IFERROR(__xludf.DUMMYFUNCTION("IF(M1580="""","""",GOOGLETRANSLATE(M1580,""en"",""pt""))"),"Os auxiliares de produção desempenharão funções que exigem menos habilidade. As tarefas incluem: fornecer ou segurar materiais ou ferramentas e limpar a área de trabalho e os equipamentos. Os auxiliares também auxiliarão no trabalho geral de produção e na"&amp;" montagem de painéis de parede treliçados. Eles ajudarão a carregar manualmente a madeira em mesas de montagem, onde diversas ferramentas, como martelos, pregadores pneumáticos, pregos, furadeiras, outras ferramentas manuais diversas, parafusos e aplicaçã"&amp;"o de cola, serão utilizadas para fixar a madeira e criar o produto final do painel de parede. O auxiliar também auxiliará no carregamento e descarregamento de itens nos equipamentos de processamento e embalará os produtos acabados para envio, utilizando m"&amp;"étodos padrão sem o uso de motor (por exemplo, carrinhos de mão ou trabalho em equipe). O auxiliar ajudará a garantir que os produtos estejam em conformidade com as especificações da empresa. O auxiliar de produção registrará com precisão os dados do prod"&amp;"uto e descartará equipamentos danificados ou ineficazes. Durante os meses de inverno, os trabalhadores auxiliarão em tarefas adicionais, incluindo a remoção de neve e gelo das áreas de trabalho, a manutenção de espaços de produção seguros e acessíveis, o "&amp;"manuseio e armazenamento de materiais em condições de frio, a realização de manutenção geral das instalações e o apoio às operações de produção, conforme necessário, para garantir a continuidade do fluxo de trabalho, apesar das condições climáticas sazona"&amp;"is. Classificação do Cargo: 51-9198.00 - Auxiliares - Operadores de Produção. A classificação e descrição do cargo/setor incluem informações gerais sobre a posição, de acordo com o ONET/OES e o Sistema de Classificação Industrial da América do Norte (NAIC"&amp;"S). Consulte as Funções e a Ordem de Serviço para obter mais informações. Requisitos do Cargo Experiência Necessária: Sim Meses de Experiência Necessários: 3 Requisitos Especiais: Deve ser capaz de levantar 34 kg (75 lbs) frequentemente ao longo do dia de"&amp;" trabalho. Deve ser capaz de passar nos testes de drogas pré-emprego, pós-acidente e outros testes aleatórios, pagos pelo empregador. Pode ser necessário ter disponibilidade para horários flexíveis. Número de Horas por Semana: 40 Horário de Trabalho (Iníc"&amp;"io/Término): 7h30 - 16h30.")</f>
        <v>Os auxiliares de produção desempenharão funções que exigem menos habilidade. As tarefas incluem: fornecer ou segurar materiais ou ferramentas e limpar a área de trabalho e os equipamentos. Os auxiliares também auxiliarão no trabalho geral de produção e na montagem de painéis de parede treliçados. Eles ajudarão a carregar manualmente a madeira em mesas de montagem, onde diversas ferramentas, como martelos, pregadores pneumáticos, pregos, furadeiras, outras ferramentas manuais diversas, parafusos e aplicação de cola, serão utilizadas para fixar a madeira e criar o produto final do painel de parede. O auxiliar também auxiliará no carregamento e descarregamento de itens nos equipamentos de processamento e embalará os produtos acabados para envio, utilizando métodos padrão sem o uso de motor (por exemplo, carrinhos de mão ou trabalho em equipe). O auxiliar ajudará a garantir que os produtos estejam em conformidade com as especificações da empresa. O auxiliar de produção registrará com precisão os dados do produto e descartará equipamentos danificados ou ineficazes. Durante os meses de inverno, os trabalhadores auxiliarão em tarefas adicionais, incluindo a remoção de neve e gelo das áreas de trabalho, a manutenção de espaços de produção seguros e acessíveis, o manuseio e armazenamento de materiais em condições de frio, a realização de manutenção geral das instalações e o apoio às operações de produção, conforme necessário, para garantir a continuidade do fluxo de trabalho, apesar das condições climáticas sazonais. Classificação do Cargo: 51-9198.00 - Auxiliares - Operadores de Produção. A classificação e descrição do cargo/setor incluem informações gerais sobre a posição, de acordo com o ONET/OES e o Sistema de Classificação Industrial da América do Norte (NAICS). Consulte as Funções e a Ordem de Serviço para obter mais informações. Requisitos do Cargo Experiência Necessária: Sim Meses de Experiência Necessários: 3 Requisitos Especiais: Deve ser capaz de levantar 34 kg (75 lbs) frequentemente ao longo do dia de trabalho. Deve ser capaz de passar nos testes de drogas pré-emprego, pós-acidente e outros testes aleatórios, pagos pelo empregador. Pode ser necessário ter disponibilidade para horários flexíveis. Número de Horas por Semana: 40 Horário de Trabalho (Início/Término): 7h30 - 16h30.</v>
      </c>
    </row>
    <row r="1581" ht="20.25" customHeight="1">
      <c r="A1581" s="8" t="s">
        <v>7033</v>
      </c>
      <c r="B1581" s="8" t="s">
        <v>7034</v>
      </c>
      <c r="C1581" s="8" t="s">
        <v>6247</v>
      </c>
      <c r="D1581" s="8" t="s">
        <v>71</v>
      </c>
      <c r="E1581" s="9" t="s">
        <v>19</v>
      </c>
      <c r="F1581" s="9" t="s">
        <v>20</v>
      </c>
      <c r="G1581" s="9" t="s">
        <v>80</v>
      </c>
      <c r="H1581" s="8" t="s">
        <v>7035</v>
      </c>
      <c r="I1581" s="8" t="s">
        <v>7036</v>
      </c>
      <c r="J1581" s="9">
        <v>16.07</v>
      </c>
      <c r="K1581" s="9">
        <v>5.0</v>
      </c>
      <c r="L1581" s="8" t="s">
        <v>6359</v>
      </c>
      <c r="M1581" s="8" t="s">
        <v>6433</v>
      </c>
      <c r="N1581" s="7" t="str">
        <f>IFERROR(__xludf.DUMMYFUNCTION("GOOGLETRANSLATE(L1581, ""en"", ""pt"")"),"tratador de cavalos puro-sangue")</f>
        <v>tratador de cavalos puro-sangue</v>
      </c>
      <c r="O1581" s="7" t="str">
        <f>IFERROR(__xludf.DUMMYFUNCTION("IF(M1581="""","""",GOOGLETRANSLATE(M1581,""en"",""pt""))"),"Responsável pelos cuidados gerais de cavalos de corrida puro-sangue, incluindo alimentação, fornecimento de água, manutenção de baias e estábulos, limpeza, escovação, exercícios, casqueamento, desinfecção de baias e camas, administração de medicamentos co"&amp;"nforme prescrição e inspeção da condição física dos cavalos. Levantará as patas e limpará os cascos dos cavalos, aplicando linimentos e bandagens conforme necessário. Cuidará de 1 a 5 cavalos por vez. Turno dividido: das 5h às 11h e das 15h às 17h. Folgas"&amp;" rotativas. Classificação da vaga: 39-2021.00 - Cuidadores de Animais. A classificação e descrição da vaga/setor incluem informações gerais sobre o cargo, de acordo com o ONET/OES e o Sistema de Classificação Industrial da América do Norte. Consulte as Fu"&amp;"nções e a Ordem de Serviço para obter mais informações. Requisitos da vaga: Experiência necessária: Sim. Meses de experiência necessários: 1. Requisitos especiais: Deve ser capaz de levantar até 23 kg. Número de horas por semana: 56. Horário de trabalho ("&amp;"início/término): 5h. - 17h00")</f>
        <v>Responsável pelos cuidados gerais de cavalos de corrida puro-sangue, incluindo alimentação, fornecimento de água, manutenção de baias e estábulos, limpeza, escovação, exercícios, casqueamento, desinfecção de baias e camas, administração de medicamentos conforme prescrição e inspeção da condição física dos cavalos. Levantará as patas e limpará os cascos dos cavalos, aplicando linimentos e bandagens conforme necessário. Cuidará de 1 a 5 cavalos por vez. Turno dividido: das 5h às 11h e das 15h às 17h. Folgas rotativas. Classificação da vaga: 39-2021.00 - Cuidadores de Animais. A classificação e descrição da vaga/setor incluem informações gerais sobre o cargo, de acordo com o ONET/OES e o Sistema de Classificação Industrial da América do Norte. Consulte as Funções e a Ordem de Serviço para obter mais informações. Requisitos da vaga: Experiência necessária: Sim. Meses de experiência necessários: 1. Requisitos especiais: Deve ser capaz de levantar até 23 kg. Número de horas por semana: 56. Horário de trabalho (início/término): 5h. - 17h00</v>
      </c>
    </row>
    <row r="1582" ht="20.25" customHeight="1">
      <c r="A1582" s="3" t="s">
        <v>7037</v>
      </c>
      <c r="B1582" s="3" t="s">
        <v>7038</v>
      </c>
      <c r="C1582" s="3" t="s">
        <v>6247</v>
      </c>
      <c r="D1582" s="3" t="s">
        <v>71</v>
      </c>
      <c r="E1582" s="4" t="s">
        <v>44</v>
      </c>
      <c r="F1582" s="4" t="s">
        <v>20</v>
      </c>
      <c r="G1582" s="4" t="s">
        <v>345</v>
      </c>
      <c r="H1582" s="3" t="s">
        <v>7039</v>
      </c>
      <c r="I1582" s="3" t="s">
        <v>7040</v>
      </c>
      <c r="J1582" s="4">
        <v>18.57</v>
      </c>
      <c r="K1582" s="4">
        <v>6.0</v>
      </c>
      <c r="L1582" s="3" t="s">
        <v>6359</v>
      </c>
      <c r="M1582" s="3" t="s">
        <v>6360</v>
      </c>
      <c r="N1582" s="7" t="str">
        <f>IFERROR(__xludf.DUMMYFUNCTION("GOOGLETRANSLATE(L1582, ""en"", ""pt"")"),"tratador de cavalos puro-sangue")</f>
        <v>tratador de cavalos puro-sangue</v>
      </c>
      <c r="O1582" s="7" t="str">
        <f>IFERROR(__xludf.DUMMYFUNCTION("IF(M1582="""","""",GOOGLETRANSLATE(M1582,""en"",""pt""))"),"Responsável pelos cuidados gerais de cavalos de corrida puro-sangue, incluindo alimentação, fornecimento de água, manutenção de baias e estábulos, limpeza, escovação, exercícios, casqueamento, desinfecção de baias e camas, administração de medicamentos co"&amp;"nforme prescrição e inspeção da condição física dos cavalos. Levantará as patas e limpará os cascos dos cavalos, aplicando linimentos e bandagens conforme necessário. Cuidará de 1 a 5 cavalos por vez. Turno dividido: das 5h às 11h e das 15h às 17h. Folgas"&amp;" rotativas. Classificação da vaga: 39-2021.00 - Cuidadores de Animais. A classificação e descrição da vaga/setor incluem informações gerais sobre o cargo, de acordo com o ONET/OES e o Sistema de Classificação Industrial da América do Norte. Consulte as Fu"&amp;"nções e a Ordem de Serviço para obter mais informações. Requisitos da vaga: Experiência necessária: Sim. Meses de experiência necessários: 1. Requisitos especiais: Deve ser capaz de levantar 23 kg. Número de horas por semana: 56. Horário de trabalho (iníc"&amp;"io/término): 5h. - 17h00")</f>
        <v>Responsável pelos cuidados gerais de cavalos de corrida puro-sangue, incluindo alimentação, fornecimento de água, manutenção de baias e estábulos, limpeza, escovação, exercícios, casqueamento, desinfecção de baias e camas, administração de medicamentos conforme prescrição e inspeção da condição física dos cavalos. Levantará as patas e limpará os cascos dos cavalos, aplicando linimentos e bandagens conforme necessário. Cuidará de 1 a 5 cavalos por vez. Turno dividido: das 5h às 11h e das 15h às 17h. Folgas rotativas. Classificação da vaga: 39-2021.00 - Cuidadores de Animais. A classificação e descrição da vaga/setor incluem informações gerais sobre o cargo, de acordo com o ONET/OES e o Sistema de Classificação Industrial da América do Norte. Consulte as Funções e a Ordem de Serviço para obter mais informações. Requisitos da vaga: Experiência necessária: Sim. Meses de experiência necessários: 1. Requisitos especiais: Deve ser capaz de levantar 23 kg. Número de horas por semana: 56. Horário de trabalho (início/término): 5h. - 17h00</v>
      </c>
    </row>
    <row r="1583" ht="20.25" customHeight="1">
      <c r="A1583" s="8" t="s">
        <v>7041</v>
      </c>
      <c r="B1583" s="8" t="s">
        <v>7042</v>
      </c>
      <c r="C1583" s="8" t="s">
        <v>6247</v>
      </c>
      <c r="D1583" s="8" t="s">
        <v>109</v>
      </c>
      <c r="E1583" s="9" t="s">
        <v>19</v>
      </c>
      <c r="F1583" s="9" t="s">
        <v>20</v>
      </c>
      <c r="G1583" s="9" t="s">
        <v>80</v>
      </c>
      <c r="H1583" s="8" t="s">
        <v>7043</v>
      </c>
      <c r="I1583" s="8" t="s">
        <v>7044</v>
      </c>
      <c r="J1583" s="9">
        <v>17.14</v>
      </c>
      <c r="K1583" s="9">
        <v>5.0</v>
      </c>
      <c r="L1583" s="8" t="s">
        <v>6250</v>
      </c>
      <c r="M1583" s="8" t="s">
        <v>6508</v>
      </c>
      <c r="N1583" s="7" t="str">
        <f>IFERROR(__xludf.DUMMYFUNCTION("GOOGLETRANSLATE(L1583, ""en"", ""pt"")"),"tratador de cavalos de corrida puro-sangue")</f>
        <v>tratador de cavalos de corrida puro-sangue</v>
      </c>
      <c r="O1583" s="7" t="str">
        <f>IFERROR(__xludf.DUMMYFUNCTION("IF(M1583="""","""",GOOGLETRANSLATE(M1583,""en"",""pt""))"),"Responsável pelos cuidados gerais de cavalos de corrida puro-sangue, incluindo alimentação, fornecimento de água, manutenção de baias e estábulos, limpeza, escovação, exercícios, casqueamento, desinfecção de baias e camas, administração de medicamentos co"&amp;"nforme prescrição e inspeção da condição física dos cavalos. Levantará as patas e limpará os cascos dos cavalos, aplicando linimentos e bandagens conforme necessário. Cuidará de 1 a 5 cavalos por vez. Turno dividido: das 5h às 11h e das 15h às 17h. Folgas"&amp;" rotativas. Classificação da vaga: 39-2021.00 - Cuidadores de Animais. A classificação e descrição da vaga/setor incluem informações gerais sobre o cargo, de acordo com o ONET/OES e o Sistema de Classificação Industrial da América do Norte. Consulte as Fu"&amp;"nções e a Ordem de Serviço para obter mais informações. Requisitos da vaga: Experiência necessária: Sim. Meses de experiência necessários: 1. Requisitos especiais: Deve ser capaz de levantar 23 kg. Número de horas por semana: 56. Horário de trabalho (iníc"&amp;"io/término): 5h. - 17h00")</f>
        <v>Responsável pelos cuidados gerais de cavalos de corrida puro-sangue, incluindo alimentação, fornecimento de água, manutenção de baias e estábulos, limpeza, escovação, exercícios, casqueamento, desinfecção de baias e camas, administração de medicamentos conforme prescrição e inspeção da condição física dos cavalos. Levantará as patas e limpará os cascos dos cavalos, aplicando linimentos e bandagens conforme necessário. Cuidará de 1 a 5 cavalos por vez. Turno dividido: das 5h às 11h e das 15h às 17h. Folgas rotativas. Classificação da vaga: 39-2021.00 - Cuidadores de Animais. A classificação e descrição da vaga/setor incluem informações gerais sobre o cargo, de acordo com o ONET/OES e o Sistema de Classificação Industrial da América do Norte. Consulte as Funções e a Ordem de Serviço para obter mais informações. Requisitos da vaga: Experiência necessária: Sim. Meses de experiência necessários: 1. Requisitos especiais: Deve ser capaz de levantar 23 kg. Número de horas por semana: 56. Horário de trabalho (início/término): 5h. - 17h00</v>
      </c>
    </row>
    <row r="1584" ht="20.25" customHeight="1">
      <c r="A1584" s="3" t="s">
        <v>7045</v>
      </c>
      <c r="B1584" s="3" t="s">
        <v>7046</v>
      </c>
      <c r="C1584" s="3" t="s">
        <v>1030</v>
      </c>
      <c r="D1584" s="3" t="s">
        <v>64</v>
      </c>
      <c r="E1584" s="4" t="s">
        <v>19</v>
      </c>
      <c r="F1584" s="4" t="s">
        <v>20</v>
      </c>
      <c r="G1584" s="4" t="s">
        <v>236</v>
      </c>
      <c r="H1584" s="3" t="s">
        <v>7047</v>
      </c>
      <c r="I1584" s="3" t="s">
        <v>7048</v>
      </c>
      <c r="J1584" s="4">
        <v>18.42</v>
      </c>
      <c r="K1584" s="4">
        <v>30.0</v>
      </c>
      <c r="L1584" s="3" t="s">
        <v>7049</v>
      </c>
      <c r="M1584" s="3" t="s">
        <v>7050</v>
      </c>
      <c r="N1584" s="7" t="str">
        <f>IFERROR(__xludf.DUMMYFUNCTION("GOOGLETRANSLATE(L1584, ""en"", ""pt"")"),"Auxiliar de equipe de manutenção de gramados")</f>
        <v>Auxiliar de equipe de manutenção de gramados</v>
      </c>
      <c r="O1584" s="7" t="str">
        <f>IFERROR(__xludf.DUMMYFUNCTION("IF(M1584="""","""",GOOGLETRANSLATE(M1584,""en"",""pt""))"),"Utilizar ferramentas manuais e elétricas para manutenção de gramados, cavar buracos e valas com ferramentas manuais, com profundidade/largura máxima de 90 cm, para instalar sistemas de irrigação e/ou plantas, colocar grama e plantar. Pode operar veículos "&amp;"motorizados. Envolve o carregamento e descarregamento de ferramentas, suprimentos e equipamentos com peso de até 23 kg. Envolve trabalho ao ar livre em todos os tipos de clima. Envolve ficar em pé, sentado ou caminhando por longos períodos. Envolve agacha"&amp;"r-se ou curvar-se com frequência. Envolve movimentos repetitivos. Exame toxicológico pós-contratação pago pelo empregador. Adiantamento opcional de US$ 200 para despesas iniciais. Plano de saúde opcional de US$ 38,24/US$ 48,48, plano odontológico e plano "&amp;"de visão de US$ 10,12/US$ 11,45. Seguro de vida, invalidez e acidentes opcionais: dependendo da cobertura, a partir de US$ 4,65. Possibilidade de aumento salarial com base no desempenho, bônus, horas extras e trabalho aos sábados, conforme necessário. Tra"&amp;"nsporte fornecido para diversos locais de trabalho a partir de uma localização central em Dallas, TX. Intervalos de 60 minutos não remunerados ao longo do dia. O horário de trabalho diário pode variar entre os horários de início e término listados, depend"&amp;"endo das condições climáticas ou das tarefas atribuídas. Classificação do Cargo: 37-3011.00 - Trabalhadores de Paisagismo e Manutenção de Áreas Verdes. A classificação e descrição do cargo/setor incluem informações gerais sobre a posição, de acordo com o "&amp;"ONET/OES e o Sistema de Classificação Industrial da América do Norte (NAICS). Consulte as Funções e a Ordem de Serviço para obter mais informações. Requisitos do Cargo Experiência Necessária: Não. Requisitos Especiais: Nenhum. Número de Horas por Semana: "&amp;"40. Horário de Trabalho (Início/Término): 7h às 16h.")</f>
        <v>Utilizar ferramentas manuais e elétricas para manutenção de gramados, cavar buracos e valas com ferramentas manuais, com profundidade/largura máxima de 90 cm, para instalar sistemas de irrigação e/ou plantas, colocar grama e plantar. Pode operar veículos motorizados. Envolve o carregamento e descarregamento de ferramentas, suprimentos e equipamentos com peso de até 23 kg. Envolve trabalho ao ar livre em todos os tipos de clima. Envolve ficar em pé, sentado ou caminhando por longos períodos. Envolve agachar-se ou curvar-se com frequência. Envolve movimentos repetitivos. Exame toxicológico pós-contratação pago pelo empregador. Adiantamento opcional de US$ 200 para despesas iniciais. Plano de saúde opcional de US$ 38,24/US$ 48,48, plano odontológico e plano de visão de US$ 10,12/US$ 11,45. Seguro de vida, invalidez e acidentes opcionais: dependendo da cobertura, a partir de US$ 4,65. Possibilidade de aumento salarial com base no desempenho, bônus, horas extras e trabalho aos sábados, conforme necessário. Transporte fornecido para diversos locais de trabalho a partir de uma localização central em Dallas, TX. Intervalos de 60 minutos não remunerados ao longo do dia. O horário de trabalho diário pode variar entre os horários de início e término listados, dependendo das condições climáticas ou das tarefas atribuídas. Classificação do Cargo: 37-3011.00 - Trabalhadores de Paisagismo e Manutenção de Áreas Verdes. A classificação e descrição do cargo/setor incluem informações gerais sobre a posição, de acordo com o ONET/OES e o Sistema de Classificação Industrial da América do Norte (NAICS). Consulte as Funções e a Ordem de Serviço para obter mais informações. Requisitos do Cargo Experiência Necessária: Não. Requisitos Especiais: Nenhum. Número de Horas por Semana: 40. Horário de Trabalho (Início/Término): 7h às 16h.</v>
      </c>
    </row>
    <row r="1585" ht="20.25" customHeight="1">
      <c r="A1585" s="8" t="s">
        <v>7051</v>
      </c>
      <c r="B1585" s="8" t="s">
        <v>7052</v>
      </c>
      <c r="C1585" s="8" t="s">
        <v>6282</v>
      </c>
      <c r="D1585" s="8" t="s">
        <v>154</v>
      </c>
      <c r="E1585" s="9" t="s">
        <v>19</v>
      </c>
      <c r="F1585" s="9" t="s">
        <v>20</v>
      </c>
      <c r="G1585" s="9" t="s">
        <v>467</v>
      </c>
      <c r="H1585" s="8" t="s">
        <v>7053</v>
      </c>
      <c r="I1585" s="8" t="s">
        <v>7054</v>
      </c>
      <c r="J1585" s="9">
        <v>17.3</v>
      </c>
      <c r="K1585" s="9">
        <v>6.0</v>
      </c>
      <c r="L1585" s="8" t="s">
        <v>4549</v>
      </c>
      <c r="M1585" s="8" t="s">
        <v>7055</v>
      </c>
      <c r="N1585" s="7" t="str">
        <f>IFERROR(__xludf.DUMMYFUNCTION("GOOGLETRANSLATE(L1585, ""en"", ""pt"")"),"Trabalhador de serviços de alimentação")</f>
        <v>Trabalhador de serviços de alimentação</v>
      </c>
      <c r="O1585" s="7" t="str">
        <f>IFERROR(__xludf.DUMMYFUNCTION("IF(M1585="""","""",GOOGLETRANSLATE(M1585,""en"",""pt""))"),"Preparação e manuseio de alimentos, práticas de higiene na cozinha, entrega de pratos preparados aos clientes. Classificação da vaga: 35-9099.00 - Trabalhadores relacionados à preparação e serviço de alimentos, todos os outros. A classificação e descrição"&amp;" da vaga/setor inclui informações gerais sobre o cargo, de acordo com o ONET/OES e o Sistema de Classificação Industrial da América do Norte (NAICS). Consulte as atribuições e a ordem de serviço para obter mais informações. Requisitos da vaga: Experiência"&amp;" necessária: Sim. Meses de experiência necessários: 1. Requisitos especiais: Deve ser capaz de levantar 23 kg. Número de horas por semana: 40. Horário de trabalho (início/término): 7h às 16h.")</f>
        <v>Preparação e manuseio de alimentos, práticas de higiene na cozinha, entrega de pratos preparados aos clientes. Classificação da vaga: 35-9099.00 - Trabalhadores relacionados à preparação e serviço de alimentos, todos os outros. A classificação e descrição da vaga/setor inclui informações gerais sobre o cargo, de acordo com o ONET/OES e o Sistema de Classificação Industrial da América do Norte (NAICS). Consulte as atribuições e a ordem de serviço para obter mais informações. Requisitos da vaga: Experiência necessária: Sim. Meses de experiência necessários: 1. Requisitos especiais: Deve ser capaz de levantar 23 kg. Número de horas por semana: 40. Horário de trabalho (início/término): 7h às 16h.</v>
      </c>
    </row>
    <row r="1586" ht="20.25" customHeight="1">
      <c r="A1586" s="3" t="s">
        <v>7056</v>
      </c>
      <c r="B1586" s="3" t="s">
        <v>7057</v>
      </c>
      <c r="C1586" s="3" t="s">
        <v>6228</v>
      </c>
      <c r="D1586" s="3" t="s">
        <v>186</v>
      </c>
      <c r="E1586" s="4" t="s">
        <v>44</v>
      </c>
      <c r="F1586" s="4" t="s">
        <v>20</v>
      </c>
      <c r="G1586" s="4" t="s">
        <v>146</v>
      </c>
      <c r="H1586" s="3" t="s">
        <v>7058</v>
      </c>
      <c r="I1586" s="3" t="s">
        <v>7059</v>
      </c>
      <c r="J1586" s="4">
        <v>22.66</v>
      </c>
      <c r="K1586" s="4">
        <v>35.0</v>
      </c>
      <c r="L1586" s="3" t="s">
        <v>1922</v>
      </c>
      <c r="M1586" s="3" t="s">
        <v>7060</v>
      </c>
      <c r="N1586" s="7" t="str">
        <f>IFERROR(__xludf.DUMMYFUNCTION("GOOGLETRANSLATE(L1586, ""en"", ""pt"")"),"Trabalhador de inverno")</f>
        <v>Trabalhador de inverno</v>
      </c>
      <c r="O1586" s="7" t="str">
        <f>IFERROR(__xludf.DUMMYFUNCTION("IF(M1586="""","""",GOOGLETRANSLATE(M1586,""en"",""pt""))"),"Os trabalhadores realizam trabalhos de paisagismo ou manutenção de terrenos utilizando ferramentas manuais ou elétricas, incluindo aparadores de borda, pulverizadores, sopradores, ancinhos, pás, tesouras de poda e tesouras de cerca viva. As tarefas geralm"&amp;"ente incluem uma variedade de atividades, como: plantio de árvores/arbustos/plantas anuais de inverno, poda de inverno de árvores/arbustos, escavação, rastelagem, remoção de folhas, aeração e semeadura de gramados, preparação de sistemas de irrigação para"&amp;" o inverno, colocação de grama em placas, corte de grama, aparo, plantio, rega, escavação, rastelagem, auxílio na criação de jardins de pedra, lagos, decks, sistemas de drenagem, sistemas de irrigação, muros de arrimo, cercas, floreiras ou equipamentos de"&amp;" playground. Não será utilizada argamassa na instalação de muros de arrimo segmentados. Esses dispositivos se encaixam uns nos outros por meio de ""abas"" integradas ao produto. Eles são empilhados até a parte superior, onde uma ""tampa"" é colada. A funç"&amp;"ão dos trabalhadores será auxiliar no transporte dos segmentos individuais dos blocos até a área e posicioná-los atrás dela, para que o líder da equipe possa colocá-los no lugar. Eles também poderão ajudar a espalhar manualmente o cascalho usando pás de p"&amp;"onta redonda e rastelos rígidos, preparando o terreno para os segmentos e a área atrás deles. Além disso, os trabalhadores não realizarão a instalação, pois esta não está incluída nas tarefas atribuídas. Para os tubos de drenagem, os trabalhadores instala"&amp;"rão tubos de drenagem corrugados ADS de 4 polegadas (tubo flexível preto) em valas abertas e os cobrirão com terra usando ancinhos e pás. Para os sistemas de irrigação, os trabalhadores desligarão os sistemas para a temporada de inverno (invernização da i"&amp;"rrigação). Esse processo envolve fechar a válvula de serviço de água e abrir a válvula de drenagem do ponto mais baixo para permitir que a água escoe por gravidade. Em alguns sistemas, eles podem auxiliar o técnico de irrigação conectando uma mangueira de"&amp;" compressor de ar aos tubos de irrigação (meia volta na mangueira) e abrindo as válvulas para que o ar empurre a água para fora até que não haja mais água (geralmente 2 minutos ou menos por zona). Atualmente, não há trabalhos de cercas planejados. Os trab"&amp;"alhadores decorarão os jardins com pedras ou plantas. Devido às festividades de outono e inverno, os trabalhadores de inverno também auxiliarão nas decorações de Natal e Halloween. Os trabalhadores também trabalharão na remoção de neve, transporte ou espa"&amp;"lhamento de terra vegetal ou espalhamento de palha sobre o solo semeado para mantê-lo no lugar. Cuidarão dos campos de grama natural, garantindo que o solo subjacente tenha a composição necessária para permitir uma drenagem adequada. e para auxiliar no co"&amp;"rte da grama. Para isso, os trabalhadores operarão veículos pequenos ou equipamentos motorizados, como cortadores de grama, motosserras, aparadores elétricos, cortadores de grama em rolo ou serras de poda. Os trabalhadores usarão cortadores de grama John "&amp;"Deere para realizar o corte quando necessário. Além disso, os trabalhadores poderão ser solicitados a dirigir caminhonetes, como uma Ford F150 fornecida pelo empregador, para ir e voltar do local de trabalho, caso possuam carteira de habilitação válida. E"&amp;"mbora a temporada de corte de grama termine no final de outubro, os trabalhadores poderão ser solicitados a cortar a grama usando o cortador de grama John Deere Z960. Este cortador pesa aproximadamente 608 kg. Os trabalhadores não dirigirão caminhonetes p"&amp;"ara realizar o trabalho. Todos os trabalhadores de inverno ocuparão cargos de nível inicial, supervisionados por um superior ou líder de equipe. Os trabalhadores auxiliarão na criação de fontes decorativas revestidas de borracha, decks, muros de contenção"&amp;", cercas e áreas de recreação, carregando e posicionando materiais, cavando buracos para postes, espalhando cascalho e lascas de madeira para playground e colocando borracha manualmente. Instalação de revestimentos, tubos, bordas e blocos, além da limpeza"&amp;" do local. As ferramentas e materiais incluem pás, ancinhos, martelos, serras, níveis, carrinhos de mão, tubos de PVC, revestimentos, pedras, madeira, concreto, cascalho, blocos e bordas. Os trabalhadores auxiliarão na colocação de decorações sazonais, in"&amp;"cluindo abóboras, crisântemos, guirlandas, cordas, árvores artificiais, poinsétias e iluminação, utilizando as mãos, varas telescópicas e abraçadeiras de arame. As tarefas de remoção de neve incluem cavar, raspar e aplicar gelo utilizando pás, raspadores,"&amp;" espalhadores, sal grosso e cloreto de cálcio. Classificação do Cargo: 49-9099.00 - Trabalhadores de Instalação, Manutenção e Reparo, Outros. A classificação e descrição do cargo/setor inclui informações gerais sobre a posição, de acordo com o ONET/OES e "&amp;"o Sistema de Classificação Industrial da América do Norte. Consulte as Funções do Cargo e a Ordem de Serviço para obter mais informações. Requisitos do Cargo Experiência Necessária: Não. Requisitos Especiais: Deve levantar/carregar 23 kg, quando necessári"&amp;"o. Trabalho aos sábados e domingos é necessário. Necessário. Testes aleatórios de drogas após a contratação, após acidentes e em caso de suspeita de uso são obrigatórios para trabalhadores estrangeiros e nacionais, sendo esses testes pagos pelo empregador"&amp;". Verificações de antecedentes após a contratação podem ser exigidas para trabalhadores estrangeiros e nacionais, com base nos requisitos contratuais. Os empregadores podem oferecer mais horas de trabalho do que as estipuladas, dependendo do clima, das ne"&amp;"cessidades da empresa e de outras condições. Calor extremo, frio, chuva ou seca podem afetar o horário de trabalho exato. Treinamento no local de trabalho será fornecido ao trabalhador. Número de horas por semana: 35. Horário de trabalho (início/término):"&amp;" 7h00 - 15h30.")</f>
        <v>Os trabalhadores realizam trabalhos de paisagismo ou manutenção de terrenos utilizando ferramentas manuais ou elétricas, incluindo aparadores de borda, pulverizadores, sopradores, ancinhos, pás, tesouras de poda e tesouras de cerca viva. As tarefas geralmente incluem uma variedade de atividades, como: plantio de árvores/arbustos/plantas anuais de inverno, poda de inverno de árvores/arbustos, escavação, rastelagem, remoção de folhas, aeração e semeadura de gramados, preparação de sistemas de irrigação para o inverno, colocação de grama em placas, corte de grama, aparo, plantio, rega, escavação, rastelagem, auxílio na criação de jardins de pedra, lagos, decks, sistemas de drenagem, sistemas de irrigação, muros de arrimo, cercas, floreiras ou equipamentos de playground. Não será utilizada argamassa na instalação de muros de arrimo segmentados. Esses dispositivos se encaixam uns nos outros por meio de "abas" integradas ao produto. Eles são empilhados até a parte superior, onde uma "tampa" é colada. A função dos trabalhadores será auxiliar no transporte dos segmentos individuais dos blocos até a área e posicioná-los atrás dela, para que o líder da equipe possa colocá-los no lugar. Eles também poderão ajudar a espalhar manualmente o cascalho usando pás de ponta redonda e rastelos rígidos, preparando o terreno para os segmentos e a área atrás deles. Além disso, os trabalhadores não realizarão a instalação, pois esta não está incluída nas tarefas atribuídas. Para os tubos de drenagem, os trabalhadores instalarão tubos de drenagem corrugados ADS de 4 polegadas (tubo flexível preto) em valas abertas e os cobrirão com terra usando ancinhos e pás. Para os sistemas de irrigação, os trabalhadores desligarão os sistemas para a temporada de inverno (invernização da irrigação). Esse processo envolve fechar a válvula de serviço de água e abrir a válvula de drenagem do ponto mais baixo para permitir que a água escoe por gravidade. Em alguns sistemas, eles podem auxiliar o técnico de irrigação conectando uma mangueira de compressor de ar aos tubos de irrigação (meia volta na mangueira) e abrindo as válvulas para que o ar empurre a água para fora até que não haja mais água (geralmente 2 minutos ou menos por zona). Atualmente, não há trabalhos de cercas planejados. Os trabalhadores decorarão os jardins com pedras ou plantas. Devido às festividades de outono e inverno, os trabalhadores de inverno também auxiliarão nas decorações de Natal e Halloween. Os trabalhadores também trabalharão na remoção de neve, transporte ou espalhamento de terra vegetal ou espalhamento de palha sobre o solo semeado para mantê-lo no lugar. Cuidarão dos campos de grama natural, garantindo que o solo subjacente tenha a composição necessária para permitir uma drenagem adequada. e para auxiliar no corte da grama. Para isso, os trabalhadores operarão veículos pequenos ou equipamentos motorizados, como cortadores de grama, motosserras, aparadores elétricos, cortadores de grama em rolo ou serras de poda. Os trabalhadores usarão cortadores de grama John Deere para realizar o corte quando necessário. Além disso, os trabalhadores poderão ser solicitados a dirigir caminhonetes, como uma Ford F150 fornecida pelo empregador, para ir e voltar do local de trabalho, caso possuam carteira de habilitação válida. Embora a temporada de corte de grama termine no final de outubro, os trabalhadores poderão ser solicitados a cortar a grama usando o cortador de grama John Deere Z960. Este cortador pesa aproximadamente 608 kg. Os trabalhadores não dirigirão caminhonetes para realizar o trabalho. Todos os trabalhadores de inverno ocuparão cargos de nível inicial, supervisionados por um superior ou líder de equipe. Os trabalhadores auxiliarão na criação de fontes decorativas revestidas de borracha, decks, muros de contenção, cercas e áreas de recreação, carregando e posicionando materiais, cavando buracos para postes, espalhando cascalho e lascas de madeira para playground e colocando borracha manualmente. Instalação de revestimentos, tubos, bordas e blocos, além da limpeza do local. As ferramentas e materiais incluem pás, ancinhos, martelos, serras, níveis, carrinhos de mão, tubos de PVC, revestimentos, pedras, madeira, concreto, cascalho, blocos e bordas. Os trabalhadores auxiliarão na colocação de decorações sazonais, incluindo abóboras, crisântemos, guirlandas, cordas, árvores artificiais, poinsétias e iluminação, utilizando as mãos, varas telescópicas e abraçadeiras de arame. As tarefas de remoção de neve incluem cavar, raspar e aplicar gelo utilizando pás, raspadores, espalhadores, sal grosso e cloreto de cálcio. Classificação do Cargo: 49-9099.00 - Trabalhadores de Instalação, Manutenção e Reparo, Outros. A classificação e descrição do cargo/setor inclui informações gerais sobre a posição, de acordo com o ONET/OES e o Sistema de Classificação Industrial da América do Norte. Consulte as Funções do Cargo e a Ordem de Serviço para obter mais informações. Requisitos do Cargo Experiência Necessária: Não. Requisitos Especiais: Deve levantar/carregar 23 kg, quando necessário. Trabalho aos sábados e domingos é necessário. Necessário. Testes aleatórios de drogas após a contratação, após acidentes e em caso de suspeita de uso são obrigatórios para trabalhadores estrangeiros e nacionais, sendo esses testes pagos pelo empregador. Verificações de antecedentes após a contratação podem ser exigidas para trabalhadores estrangeiros e nacionais, com base nos requisitos contratuais. Os empregadores podem oferecer mais horas de trabalho do que as estipuladas, dependendo do clima, das necessidades da empresa e de outras condições. Calor extremo, frio, chuva ou seca podem afetar o horário de trabalho exato. Treinamento no local de trabalho será fornecido ao trabalhador. Número de horas por semana: 35. Horário de trabalho (início/término): 7h00 - 15h30.</v>
      </c>
    </row>
    <row r="1587" ht="20.25" customHeight="1">
      <c r="A1587" s="8" t="s">
        <v>7061</v>
      </c>
      <c r="B1587" s="8" t="s">
        <v>7062</v>
      </c>
      <c r="C1587" s="8" t="s">
        <v>6247</v>
      </c>
      <c r="D1587" s="8" t="s">
        <v>28</v>
      </c>
      <c r="E1587" s="9" t="s">
        <v>19</v>
      </c>
      <c r="F1587" s="9" t="s">
        <v>20</v>
      </c>
      <c r="G1587" s="9" t="s">
        <v>80</v>
      </c>
      <c r="H1587" s="8" t="s">
        <v>7063</v>
      </c>
      <c r="I1587" s="8" t="s">
        <v>7064</v>
      </c>
      <c r="J1587" s="9">
        <v>14.22</v>
      </c>
      <c r="K1587" s="9">
        <v>19.0</v>
      </c>
      <c r="L1587" s="8" t="s">
        <v>6250</v>
      </c>
      <c r="M1587" s="8" t="s">
        <v>7065</v>
      </c>
      <c r="N1587" s="7" t="str">
        <f>IFERROR(__xludf.DUMMYFUNCTION("GOOGLETRANSLATE(L1587, ""en"", ""pt"")"),"tratador de cavalos de corrida puro-sangue")</f>
        <v>tratador de cavalos de corrida puro-sangue</v>
      </c>
      <c r="O1587" s="7" t="str">
        <f>IFERROR(__xludf.DUMMYFUNCTION("IF(M1587="""","""",GOOGLETRANSLATE(M1587,""en"",""pt""))"),"Responsável pelos cuidados gerais de cavalos de corrida puro-sangue, incluindo alimentação, fornecimento de água, manutenção de baias e estábulos, limpeza, escovação, exercícios, casqueamento, desinfecção de baias e camas, administração de medicamentos co"&amp;"nforme prescrição e inspeção da condição física dos cavalos. Levantará as patas e limpará os cascos dos cavalos, aplicando linimentos e bandagens conforme necessário. Cuidará de 1 a 5 cavalos por vez. Turno dividido: das 5h às 11h e das 15h às 17h. Folgas"&amp;" rotativas. Classificação da vaga: 39-2021.00 - Cuidadores de Animais. A classificação e descrição da vaga/setor incluem informações gerais sobre o cargo, de acordo com o ONET/OES e o Sistema de Classificação Industrial da América do Norte. Consulte as Fu"&amp;"nções e a Ordem de Serviço para obter mais informações. Requisitos da vaga: Experiência necessária: Sim. Meses de experiência necessários: 1. Requisitos especiais: Deve ser capaz de levantar 23 kg. Número de horas por semana: 56. Horário de trabalho (iníc"&amp;"io/término): 17h. - 17h00")</f>
        <v>Responsável pelos cuidados gerais de cavalos de corrida puro-sangue, incluindo alimentação, fornecimento de água, manutenção de baias e estábulos, limpeza, escovação, exercícios, casqueamento, desinfecção de baias e camas, administração de medicamentos conforme prescrição e inspeção da condição física dos cavalos. Levantará as patas e limpará os cascos dos cavalos, aplicando linimentos e bandagens conforme necessário. Cuidará de 1 a 5 cavalos por vez. Turno dividido: das 5h às 11h e das 15h às 17h. Folgas rotativas. Classificação da vaga: 39-2021.00 - Cuidadores de Animais. A classificação e descrição da vaga/setor incluem informações gerais sobre o cargo, de acordo com o ONET/OES e o Sistema de Classificação Industrial da América do Norte. Consulte as Funções e a Ordem de Serviço para obter mais informações. Requisitos da vaga: Experiência necessária: Sim. Meses de experiência necessários: 1. Requisitos especiais: Deve ser capaz de levantar 23 kg. Número de horas por semana: 56. Horário de trabalho (início/término): 17h. - 17h00</v>
      </c>
    </row>
    <row r="1588" ht="20.25" customHeight="1">
      <c r="A1588" s="3" t="s">
        <v>7066</v>
      </c>
      <c r="B1588" s="3" t="s">
        <v>7067</v>
      </c>
      <c r="C1588" s="3"/>
      <c r="D1588" s="3" t="s">
        <v>1103</v>
      </c>
      <c r="E1588" s="4" t="s">
        <v>44</v>
      </c>
      <c r="F1588" s="4" t="s">
        <v>20</v>
      </c>
      <c r="G1588" s="4" t="s">
        <v>307</v>
      </c>
      <c r="H1588" s="3" t="s">
        <v>7068</v>
      </c>
      <c r="I1588" s="3" t="s">
        <v>7069</v>
      </c>
      <c r="J1588" s="4">
        <v>20.01</v>
      </c>
      <c r="K1588" s="4">
        <v>7.0</v>
      </c>
      <c r="L1588" s="3" t="s">
        <v>59</v>
      </c>
      <c r="M1588" s="3" t="s">
        <v>7070</v>
      </c>
      <c r="N1588" s="7" t="str">
        <f>IFERROR(__xludf.DUMMYFUNCTION("GOOGLETRANSLATE(L1588, ""en"", ""pt"")"),"Trabalhador de paisagismo")</f>
        <v>Trabalhador de paisagismo</v>
      </c>
      <c r="O1588" s="7" t="str">
        <f>IFERROR(__xludf.DUMMYFUNCTION("IF(M1588="""","""",GOOGLETRANSLATE(M1588,""en"",""pt""))"),"Serviços gerais de paisagismo, incluindo: nivelamento e preparação do terreno para aplicação de materiais de paisagismo ou cobertura morta de casca de árvore. Varrição de ruas e estacionamentos após a conclusão do projeto. Manutenção geral de paisagismo, "&amp;"incluindo: corte de grama, coleta de lixo, roçada ou acabamento de bordas, uso de sopradores para recolher a grama cortada. Classificação da vaga: 37-3011.00 - Trabalhadores de paisagismo e jardinagem. A classificação e descrição da vaga/setor incluem inf"&amp;"ormações gerais sobre o cargo, de acordo com o ONET/OES e o Sistema de Classificação Industrial da América do Norte (NAICS). Consulte as atribuições e a ordem de serviço para obter mais informações. Requisitos da vaga: Experiência necessária: Sim. Meses d"&amp;"e experiência necessários: 2. Requisitos especiais: Compreensão de declives/inclinações e como usar equipamentos a laser para executar tarefas. Número de horas por semana: 40. Horário de trabalho (início/término): 8h às 16h30.")</f>
        <v>Serviços gerais de paisagismo, incluindo: nivelamento e preparação do terreno para aplicação de materiais de paisagismo ou cobertura morta de casca de árvore. Varrição de ruas e estacionamentos após a conclusão do projeto. Manutenção geral de paisagismo, incluindo: corte de grama, coleta de lixo, roçada ou acabamento de bordas, uso de sopradores para recolher a grama cortada. Classificação da vaga: 37-3011.00 - Trabalhadores de paisagismo e jardinagem. A classificação e descrição da vaga/setor incluem informações gerais sobre o cargo, de acordo com o ONET/OES e o Sistema de Classificação Industrial da América do Norte (NAICS). Consulte as atribuições e a ordem de serviço para obter mais informações. Requisitos da vaga: Experiência necessária: Sim. Meses de experiência necessários: 2. Requisitos especiais: Compreensão de declives/inclinações e como usar equipamentos a laser para executar tarefas. Número de horas por semana: 40. Horário de trabalho (início/término): 8h às 16h30.</v>
      </c>
    </row>
    <row r="1589" ht="20.25" customHeight="1">
      <c r="A1589" s="8" t="s">
        <v>7071</v>
      </c>
      <c r="B1589" s="8" t="s">
        <v>7072</v>
      </c>
      <c r="C1589" s="8" t="s">
        <v>6247</v>
      </c>
      <c r="D1589" s="8" t="s">
        <v>28</v>
      </c>
      <c r="E1589" s="9" t="s">
        <v>44</v>
      </c>
      <c r="F1589" s="9" t="s">
        <v>20</v>
      </c>
      <c r="G1589" s="9" t="s">
        <v>345</v>
      </c>
      <c r="H1589" s="8" t="s">
        <v>7073</v>
      </c>
      <c r="I1589" s="8" t="s">
        <v>7074</v>
      </c>
      <c r="J1589" s="9">
        <v>14.22</v>
      </c>
      <c r="K1589" s="9">
        <v>16.0</v>
      </c>
      <c r="L1589" s="8" t="s">
        <v>6359</v>
      </c>
      <c r="M1589" s="8" t="s">
        <v>6336</v>
      </c>
      <c r="N1589" s="7" t="str">
        <f>IFERROR(__xludf.DUMMYFUNCTION("GOOGLETRANSLATE(L1589, ""en"", ""pt"")"),"tratador de cavalos puro-sangue")</f>
        <v>tratador de cavalos puro-sangue</v>
      </c>
      <c r="O1589" s="7" t="str">
        <f>IFERROR(__xludf.DUMMYFUNCTION("IF(M1589="""","""",GOOGLETRANSLATE(M1589,""en"",""pt""))"),"Responsável pelos cuidados gerais de cavalos de corrida puro-sangue, incluindo alimentação, fornecimento de água, manutenção de baias e estábulos, limpeza, escovação, exercícios, casqueamento, desinfecção de baias e camas, administração de medicamentos co"&amp;"nforme prescrição e inspeção da condição física dos cavalos. Levantará as patas e limpará os cascos dos cavalos, aplicando linimentos e bandagens conforme necessário. Cuidará de 1 a 5 cavalos por vez. Turno dividido: das 5h às 11h e das 15h às 17h. Folgas"&amp;" rotativas. Classificação da vaga: 39-2021.00 - Cuidadores de Animais. A classificação e descrição da vaga/setor incluem informações gerais sobre o cargo, de acordo com o ONET/OES e o Sistema de Classificação Industrial da América do Norte. Consulte as Fu"&amp;"nções e a Ordem de Serviço para obter mais informações. Requisitos da vaga: Experiência necessária: Sim. Meses de experiência necessários: 1. Requisitos especiais: Deve ser capaz de levantar 23 kg. Número de horas por semana: 56. Horário de trabalho (iníc"&amp;"io/término): 5h. - 17h00")</f>
        <v>Responsável pelos cuidados gerais de cavalos de corrida puro-sangue, incluindo alimentação, fornecimento de água, manutenção de baias e estábulos, limpeza, escovação, exercícios, casqueamento, desinfecção de baias e camas, administração de medicamentos conforme prescrição e inspeção da condição física dos cavalos. Levantará as patas e limpará os cascos dos cavalos, aplicando linimentos e bandagens conforme necessário. Cuidará de 1 a 5 cavalos por vez. Turno dividido: das 5h às 11h e das 15h às 17h. Folgas rotativas. Classificação da vaga: 39-2021.00 - Cuidadores de Animais. A classificação e descrição da vaga/setor incluem informações gerais sobre o cargo, de acordo com o ONET/OES e o Sistema de Classificação Industrial da América do Norte. Consulte as Funções e a Ordem de Serviço para obter mais informações. Requisitos da vaga: Experiência necessária: Sim. Meses de experiência necessários: 1. Requisitos especiais: Deve ser capaz de levantar 23 kg. Número de horas por semana: 56. Horário de trabalho (início/término): 5h. - 17h00</v>
      </c>
    </row>
    <row r="1590" ht="20.25" customHeight="1">
      <c r="A1590" s="3" t="s">
        <v>7075</v>
      </c>
      <c r="B1590" s="3" t="s">
        <v>7076</v>
      </c>
      <c r="C1590" s="3" t="s">
        <v>5563</v>
      </c>
      <c r="D1590" s="3" t="s">
        <v>186</v>
      </c>
      <c r="E1590" s="4" t="s">
        <v>19</v>
      </c>
      <c r="F1590" s="4" t="s">
        <v>20</v>
      </c>
      <c r="G1590" s="4" t="s">
        <v>80</v>
      </c>
      <c r="H1590" s="3" t="s">
        <v>7077</v>
      </c>
      <c r="I1590" s="3" t="s">
        <v>7078</v>
      </c>
      <c r="J1590" s="4">
        <v>20.42</v>
      </c>
      <c r="K1590" s="4">
        <v>40.0</v>
      </c>
      <c r="L1590" s="3" t="s">
        <v>3977</v>
      </c>
      <c r="M1590" s="3" t="s">
        <v>7079</v>
      </c>
      <c r="N1590" s="7" t="str">
        <f>IFERROR(__xludf.DUMMYFUNCTION("GOOGLETRANSLATE(L1590, ""en"", ""pt"")"),"Processador de frutos do mar")</f>
        <v>Processador de frutos do mar</v>
      </c>
      <c r="O1590" s="7" t="str">
        <f>IFERROR(__xludf.DUMMYFUNCTION("IF(M1590="""","""",GOOGLETRANSLATE(M1590,""en"",""pt""))"),"Abrir e retirar a carne das ostras das conchas, separar a carne por tamanho/qualidade, preparar as ostras para venda no atacado/varejo, limpar e higienizar as áreas de trabalho e os equipamentos, colocar as ostras em recipientes, selar e embalar as ostras"&amp;" em recipientes, movimentar, despejar e distribuir o produto cru, retirar as ostras de barcos ou caminhões, ocasionalmente usar equipamentos de movimentação de materiais (lavadora de conchas, balanças e equipamentos para manusear frutos do mar), congelar "&amp;"e colocar as ostras em recipientes. Consulte o adendo em anexo. Classificação da função: 53-7062.00 - Operários e Movimentadores de Carga, Estoque e Materiais. A classificação e a descrição da função/setor incluem informações gerais sobre o cargo, de acor"&amp;"do com o ONET/OES e o Sistema de Classificação Industrial da América do Norte. Consulte as Funções e a Ordem de Serviço para obter mais informações. Requisitos da função: Experiência necessária: Não. Requisitos especiais: Levantar/carregar até 23 kg. O em"&amp;"pregador mantém um ambiente de trabalho livre do uso de drogas ilícitas, álcool e substâncias controladas não autorizadas. É proibido o uso, a posse, a venda ou o estado de embriaguez sob o efeito de drogas ilícitas ou álcool durante o horário de trabalho"&amp;" ou nas dependências do empregador. O empregador poderá realizar verificações legais e relacionadas ao trabalho, incluindo a verificação de antecedentes criminais, quando permitido pelas leis federais, estaduais e locais aplicáveis. Qualquer análise de an"&amp;"tecedentes criminais será feita individualmente e as decisões de contratação serão tomadas de forma não discriminatória, em conformidade com as leis aplicáveis ​​e as necessidades da empresa. Não são permitidas doenças infecciosas; alergias a frutos do ma"&amp;"r podem ser fatais. Número de horas por semana: 40. Horário de trabalho (início/término): 6h às 14h.")</f>
        <v>Abrir e retirar a carne das ostras das conchas, separar a carne por tamanho/qualidade, preparar as ostras para venda no atacado/varejo, limpar e higienizar as áreas de trabalho e os equipamentos, colocar as ostras em recipientes, selar e embalar as ostras em recipientes, movimentar, despejar e distribuir o produto cru, retirar as ostras de barcos ou caminhões, ocasionalmente usar equipamentos de movimentação de materiais (lavadora de conchas, balanças e equipamentos para manusear frutos do mar), congelar e colocar as ostras em recipientes. Consulte o adendo em anexo. Classificação da função: 53-7062.00 - Operários e Movimentadores de Carga, Estoque e Materiais. A classificação e a descrição da função/setor incluem informações gerais sobre o cargo, de acordo com o ONET/OES e o Sistema de Classificação Industrial da América do Norte. Consulte as Funções e a Ordem de Serviço para obter mais informações. Requisitos da função: Experiência necessária: Não. Requisitos especiais: Levantar/carregar até 23 kg. O empregador mantém um ambiente de trabalho livre do uso de drogas ilícitas, álcool e substâncias controladas não autorizadas. É proibido o uso, a posse, a venda ou o estado de embriaguez sob o efeito de drogas ilícitas ou álcool durante o horário de trabalho ou nas dependências do empregador. O empregador poderá realizar verificações legais e relacionadas ao trabalho, incluindo a verificação de antecedentes criminais, quando permitido pelas leis federais, estaduais e locais aplicáveis. Qualquer análise de antecedentes criminais será feita individualmente e as decisões de contratação serão tomadas de forma não discriminatória, em conformidade com as leis aplicáveis ​​e as necessidades da empresa. Não são permitidas doenças infecciosas; alergias a frutos do mar podem ser fatais. Número de horas por semana: 40. Horário de trabalho (início/término): 6h às 14h.</v>
      </c>
    </row>
    <row r="1591" ht="20.25" customHeight="1">
      <c r="A1591" s="15" t="s">
        <v>7080</v>
      </c>
      <c r="B1591" s="15" t="s">
        <v>7081</v>
      </c>
      <c r="C1591" s="15" t="s">
        <v>7082</v>
      </c>
      <c r="D1591" s="15" t="s">
        <v>284</v>
      </c>
      <c r="E1591" s="16" t="s">
        <v>44</v>
      </c>
      <c r="F1591" s="16" t="s">
        <v>20</v>
      </c>
      <c r="G1591" s="16" t="s">
        <v>377</v>
      </c>
      <c r="H1591" s="17" t="s">
        <v>7083</v>
      </c>
      <c r="I1591" s="15" t="s">
        <v>7084</v>
      </c>
      <c r="J1591" s="16">
        <v>24.55</v>
      </c>
      <c r="K1591" s="16">
        <v>25.0</v>
      </c>
      <c r="L1591" s="15" t="s">
        <v>7085</v>
      </c>
      <c r="M1591" s="15" t="s">
        <v>7086</v>
      </c>
      <c r="N1591" s="7" t="str">
        <f>IFERROR(__xludf.DUMMYFUNCTION("GOOGLETRANSLATE(L1591, ""en"", ""pt"")"),"Podadores de árvores")</f>
        <v>Podadores de árvores</v>
      </c>
      <c r="O1591" s="7" t="str">
        <f>IFERROR(__xludf.DUMMYFUNCTION("IF(M1591="""","""",GOOGLETRANSLATE(M1591,""en"",""pt""))"),"O profissional será responsável por cortar galhos mortos ou em excesso de árvores para manter ou melhorar a aparência, a saúde e o valor das árvores na floresta. Utilizará diversas técnicas para podar, aparar e remover galhos de árvores por razões estétic"&amp;"as e para tornar uma área mais segura caso a árvore represente uma ameaça potencial. Operará uma variedade de equipamentos para remover e descartar galhos indesejados, o que pode incluir o uso de trituradores de galhos, caminhões com guindaste, triturador"&amp;"es de tocos, motosserras e muitos outros; subirá em árvores utilizando ganchos de escalada, cintos e escadas para acessar o local de trabalho; podará a copa das árvores para torná-las utilizáveis ​​como postes de conduítes; limpará o local após a conclusã"&amp;"o do trabalho, carregando galhos e outros detritos no caminhão de trabalho. Este trabalho será realizado no topo das árvores na floresta. Classificação da função: 37-3013.00 - Podadores e Podadores de Árvores. A classificação e descrição da função/indústr"&amp;"ia incluem informações gerais sobre o cargo, de acordo com o ONET/OES e o Sistema de Classificação Industrial da América do Norte. Consulte as Funções e a Ordem de Serviço para obter mais informações. Requisitos da vaga Experiência necessária: Sim Meses d"&amp;"e experiência necessários: 12 Número de horas por semana: 40 Horário de trabalho (início/término): 8h às 16h")</f>
        <v>O profissional será responsável por cortar galhos mortos ou em excesso de árvores para manter ou melhorar a aparência, a saúde e o valor das árvores na floresta. Utilizará diversas técnicas para podar, aparar e remover galhos de árvores por razões estéticas e para tornar uma área mais segura caso a árvore represente uma ameaça potencial. Operará uma variedade de equipamentos para remover e descartar galhos indesejados, o que pode incluir o uso de trituradores de galhos, caminhões com guindaste, trituradores de tocos, motosserras e muitos outros; subirá em árvores utilizando ganchos de escalada, cintos e escadas para acessar o local de trabalho; podará a copa das árvores para torná-las utilizáveis ​​como postes de conduítes; limpará o local após a conclusão do trabalho, carregando galhos e outros detritos no caminhão de trabalho. Este trabalho será realizado no topo das árvores na floresta. Classificação da função: 37-3013.00 - Podadores e Podadores de Árvores. A classificação e descrição da função/indústria incluem informações gerais sobre o cargo, de acordo com o ONET/OES e o Sistema de Classificação Industrial da América do Norte. Consulte as Funções e a Ordem de Serviço para obter mais informações. Requisitos da vaga Experiência necessária: Sim Meses de experiência necessários: 12 Número de horas por semana: 40 Horário de trabalho (início/término): 8h às 16h</v>
      </c>
    </row>
    <row r="1592" ht="20.25" customHeight="1">
      <c r="A1592" s="3" t="s">
        <v>7087</v>
      </c>
      <c r="B1592" s="3" t="s">
        <v>7088</v>
      </c>
      <c r="C1592" s="3" t="s">
        <v>6247</v>
      </c>
      <c r="D1592" s="3" t="s">
        <v>71</v>
      </c>
      <c r="E1592" s="4" t="s">
        <v>44</v>
      </c>
      <c r="F1592" s="4" t="s">
        <v>20</v>
      </c>
      <c r="G1592" s="4" t="s">
        <v>345</v>
      </c>
      <c r="H1592" s="3" t="s">
        <v>7089</v>
      </c>
      <c r="I1592" s="3" t="s">
        <v>7090</v>
      </c>
      <c r="J1592" s="4">
        <v>18.57</v>
      </c>
      <c r="K1592" s="4">
        <v>1.0</v>
      </c>
      <c r="L1592" s="3" t="s">
        <v>7008</v>
      </c>
      <c r="M1592" s="3" t="s">
        <v>7091</v>
      </c>
      <c r="N1592" s="7" t="str">
        <f>IFERROR(__xludf.DUMMYFUNCTION("GOOGLETRANSLATE(L1592, ""en"", ""pt"")"),"tratador de cavalos de exposição")</f>
        <v>tratador de cavalos de exposição</v>
      </c>
      <c r="O1592" s="7" t="str">
        <f>IFERROR(__xludf.DUMMYFUNCTION("IF(M1592="""","""",GOOGLETRANSLATE(M1592,""en"",""pt""))"),"***Resposta à Solicitação de Informações*** Responsável pelos cuidados gerais de cavalos de exposição das raças Árabe e American Saddlebred, incluindo alimentação, fornecimento de água, limpeza, escovação, tosa para exposições, inspeção da condição física"&amp;" dos cavalos, limpeza das baias, descanso dos cavalos, banho e colocação da sela. Folgas rotativas. Turnos divididos das 5h às 11h e das 15h às 17h. ***Original F.a.2*** Responsável pelos cuidados gerais de cavalos de exposição das raças Árabe e American "&amp;"Saddlebred, incluindo alimentação, fornecimento de água, limpeza, escovação, tosa para exposições, inspeção da condição física dos cavalos, limpeza das baias, descanso dos cavalos, banho e colocação da sela. Folgas rotativas. Turnos divididos das 5h às 11"&amp;"h e das 15h às 17h. Classificação da Função: 39-2021.00 - Cuidadores de Animais. A classificação e descrição da função/setor inclui informações gerais sobre o cargo, conforme o ONET/OES e o Sistema de Classificação Industrial da América do Norte. Consulte"&amp;" as Funções e a Ordem de Serviço para obter mais informações. Requisitos da vaga Experiência necessária: Sim Meses de experiência necessários: 1 Requisitos especiais: Deve ser capaz de levantar 23 kg Número de horas por semana: 56 Horário de trabalho (iní"&amp;"cio/término): 5h às 17h")</f>
        <v>***Resposta à Solicitação de Informações*** Responsável pelos cuidados gerais de cavalos de exposição das raças Árabe e American Saddlebred, incluindo alimentação, fornecimento de água, limpeza, escovação, tosa para exposições, inspeção da condição física dos cavalos, limpeza das baias, descanso dos cavalos, banho e colocação da sela. Folgas rotativas. Turnos divididos das 5h às 11h e das 15h às 17h. ***Original F.a.2*** Responsável pelos cuidados gerais de cavalos de exposição das raças Árabe e American Saddlebred, incluindo alimentação, fornecimento de água, limpeza, escovação, tosa para exposições, inspeção da condição física dos cavalos, limpeza das baias, descanso dos cavalos, banho e colocação da sela. Folgas rotativas. Turnos divididos das 5h às 11h e das 15h às 17h. Classificação da Função: 39-2021.00 - Cuidadores de Animais. A classificação e descrição da função/setor inclui informações gerais sobre o cargo, conforme o ONET/OES e o Sistema de Classificação Industrial da América do Norte. Consulte as Funções e a Ordem de Serviço para obter mais informações. Requisitos da vaga Experiência necessária: Sim Meses de experiência necessários: 1 Requisitos especiais: Deve ser capaz de levantar 23 kg Número de horas por semana: 56 Horário de trabalho (início/término): 5h às 17h</v>
      </c>
    </row>
    <row r="1593" ht="20.25" customHeight="1">
      <c r="A1593" s="8" t="s">
        <v>7092</v>
      </c>
      <c r="B1593" s="8" t="s">
        <v>7093</v>
      </c>
      <c r="C1593" s="8" t="s">
        <v>7094</v>
      </c>
      <c r="D1593" s="8" t="s">
        <v>532</v>
      </c>
      <c r="E1593" s="9" t="s">
        <v>19</v>
      </c>
      <c r="F1593" s="9" t="s">
        <v>20</v>
      </c>
      <c r="G1593" s="9" t="s">
        <v>524</v>
      </c>
      <c r="H1593" s="8" t="s">
        <v>7095</v>
      </c>
      <c r="I1593" s="8" t="s">
        <v>7096</v>
      </c>
      <c r="J1593" s="9">
        <v>26.0</v>
      </c>
      <c r="K1593" s="9">
        <v>6.0</v>
      </c>
      <c r="L1593" s="8" t="s">
        <v>7097</v>
      </c>
      <c r="M1593" s="8" t="s">
        <v>7098</v>
      </c>
      <c r="N1593" s="7" t="str">
        <f>IFERROR(__xludf.DUMMYFUNCTION("GOOGLETRANSLATE(L1593, ""en"", ""pt"")"),"Treinador assistente de esqui alpino")</f>
        <v>Treinador assistente de esqui alpino</v>
      </c>
      <c r="O1593" s="7" t="str">
        <f>IFERROR(__xludf.DUMMYFUNCTION("IF(M1593="""","""",GOOGLETRANSLATE(M1593,""en"",""pt""))"),"A Sugar Bowl Ski Team &amp; Academy em Norden, CA, busca 6 Assistentes Técnicos de Esqui Alpino para contratação temporária em tempo integral (01/10/2026 a 31/05/2027). Responsabilidades: Os Assistentes Técnicos de Esqui Alpino desempenharão as seguintes funç"&amp;"ões: TREINAMENTO, PREPARAÇÃO E ADMINISTRAÇÃO DE ATLETAS: Chegar no horário para preparar o equipamento (portões, cronometragem, vídeo) para cada sessão de treinamento. Auxiliar o Técnico Principal e compartilhar o treinamento, definir o percurso, manter o"&amp;" percurso e a pista, ser responsável pelo vídeo e pela cronometragem, conforme orientação do Técnico Principal. Estar disponível para liderar sessões de esqui livre quando necessário. Comunicar-se efetivamente com os atletas. Utilizar técnicas de revisão/"&amp;"arquivamento de vídeo online (Sprongo, Dropbox, etc.). Reunir-se com atletas, treinadores e pais para noites de apresentação/explicações do programa. Auxiliar nas sessões de condicionamento físico. Auxiliar nas recomendações e manutenção de equipamentos p"&amp;"ara todos os atletas. Administrar o estabelecimento de metas e, juntamente com o Técnico Principal, acompanhar as metas de cada atleta e participar da avaliação dos atletas. Comparecer às reuniões conforme necessário. Comparecer ao Banquete de Premiação d"&amp;"e fim de ano. VIAGENS: Transportar os atletas da SBSTA para competições e projetos. Quando instruído pelo Treinador Principal, estar pronto para assumir a responsabilidade por uma viagem de projeto ou competição como Treinador Principal interino. Após cad"&amp;"a viagem, orientar os atletas a limpar adequadamente o interior do veículo (com os atletas). Preencher uma ficha de registro de veículos após cada viagem. Reportar as despesas (com recibos) ao Treinador Principal e ao escritório administrativo. EQUIPAMENT"&amp;"OS: Auxiliar no reparo e manutenção dos equipamentos, conforme necessário. DESENVOLVIMENTO PROFISSIONAL: Revisar vídeos e publicações técnicas. Participar de cursos/clínicas/seminários de desenvolvimento profissional para aprimorar/atualizar as habilidade"&amp;"s pessoais. Viajar e treinar a equipe em competições de esqui divisionais, regionais, nacionais e internacionais (competições com duração de 3 a 6 dias) ao longo da temporada. Hospedagem e transporte serão fornecidos durante as viagens para competições de"&amp;" esqui com os alunos. Pode desempenhar outras funções de acordo com o regulamento 27-2022, Treinadores e Observadores. F.A.5.A-F.A.6B: 35+ horas/semana. Turnos de 6 horas de terça a domingo, entre 8h e 14h. 6 dias por semana, de terça a domingo. Pode trab"&amp;"alhar à noite, nos fins de semana e feriados, conforme necessário. A escala (incluindo os dias de trabalho) pode variar. Pode trabalhar mais horas do que o garantido. Não trabalhará mais de 40 horas por semana; a posição não é elegível para horas extras. "&amp;"F.B.8A: Os trabalhadores receberão, no mínimo, o salário listado. O empregador pode pagar salários mais altos aos trabalhadores com base na antiguidade na empresa e no nível de habilidade. F.B.8A: Dependendo das condições de trabalho, o empregador pode of"&amp;"erecer aos trabalhadores que realizam determinadas tarefas durante certos períodos da temporada a oportunidade de ganhar um bônus de incentivo além do salário garantido estabelecido acima. Se oferecido, esse bônus de incentivo será baseado na quantidade e"&amp;" qualidade do trabalho realizado e oferecido a todos os trabalhadores que atuam na(s) atividade(s) e durante o(s) período(s) em que o bônus de incentivo for oferecido. Caso seja oferecido um bônus de incentivo, o fato de que o bônus será oferecido e a for"&amp;"ma como será determinado serão explicados a todos os funcionários afetados antes do início de qualquer período de trabalho ou atividade sujeita a tal bônus. Os bônus de incentivo são oferecidos a critério exclusivo do empregador, e nenhum bônus ou oportun"&amp;"idade de ganhar um bônus é prometido ou garantido. Classificação do Cargo: 27-2022.00 - Treinadores e Observadores. A classificação e descrição do cargo/setor incluem informações gerais sobre a posição, de acordo com o ONET/OES e o Sistema de Classificaçã"&amp;"o Industrial da América do Norte. Consulte as Funções e a Ordem de Serviço para obter mais informações. Requisitos do Cargo Experiência Necessária: Sim Meses de Experiência Necessários: 12 Requisitos Especiais: Deve ter 3 anos de experiência em competiçõe"&amp;"s de esqui alpino como atleta de alto nível ou 12 meses de experiência como treinador de esqui alpino. Treinamento em serviço será fornecido. Deve ser um treinador de esqui certificado ou instrutor de esqui equivalente à United States Ski and Snowboard (U"&amp;"SSS) ou ter a capacidade de obter a certificação de treinador. Deve ser capaz de se comunicar bem com atletas, equipe e pais. Número de horas por semana: 35 Horário de trabalho (início/término): 8h00 - 14h00")</f>
        <v>A Sugar Bowl Ski Team &amp; Academy em Norden, CA, busca 6 Assistentes Técnicos de Esqui Alpino para contratação temporária em tempo integral (01/10/2026 a 31/05/2027). Responsabilidades: Os Assistentes Técnicos de Esqui Alpino desempenharão as seguintes funções: TREINAMENTO, PREPARAÇÃO E ADMINISTRAÇÃO DE ATLETAS: Chegar no horário para preparar o equipamento (portões, cronometragem, vídeo) para cada sessão de treinamento. Auxiliar o Técnico Principal e compartilhar o treinamento, definir o percurso, manter o percurso e a pista, ser responsável pelo vídeo e pela cronometragem, conforme orientação do Técnico Principal. Estar disponível para liderar sessões de esqui livre quando necessário. Comunicar-se efetivamente com os atletas. Utilizar técnicas de revisão/arquivamento de vídeo online (Sprongo, Dropbox, etc.). Reunir-se com atletas, treinadores e pais para noites de apresentação/explicações do programa. Auxiliar nas sessões de condicionamento físico. Auxiliar nas recomendações e manutenção de equipamentos para todos os atletas. Administrar o estabelecimento de metas e, juntamente com o Técnico Principal, acompanhar as metas de cada atleta e participar da avaliação dos atletas. Comparecer às reuniões conforme necessário. Comparecer ao Banquete de Premiação de fim de ano. VIAGENS: Transportar os atletas da SBSTA para competições e projetos. Quando instruído pelo Treinador Principal, estar pronto para assumir a responsabilidade por uma viagem de projeto ou competição como Treinador Principal interino. Após cada viagem, orientar os atletas a limpar adequadamente o interior do veículo (com os atletas). Preencher uma ficha de registro de veículos após cada viagem. Reportar as despesas (com recibos) ao Treinador Principal e ao escritório administrativo. EQUIPAMENTOS: Auxiliar no reparo e manutenção dos equipamentos, conforme necessário. DESENVOLVIMENTO PROFISSIONAL: Revisar vídeos e publicações técnicas. Participar de cursos/clínicas/seminários de desenvolvimento profissional para aprimorar/atualizar as habilidades pessoais. Viajar e treinar a equipe em competições de esqui divisionais, regionais, nacionais e internacionais (competições com duração de 3 a 6 dias) ao longo da temporada. Hospedagem e transporte serão fornecidos durante as viagens para competições de esqui com os alunos. Pode desempenhar outras funções de acordo com o regulamento 27-2022, Treinadores e Observadores. F.A.5.A-F.A.6B: 35+ horas/semana. Turnos de 6 horas de terça a domingo, entre 8h e 14h. 6 dias por semana, de terça a domingo. Pode trabalhar à noite, nos fins de semana e feriados, conforme necessário. A escala (incluindo os dias de trabalho) pode variar. Pode trabalhar mais horas do que o garantido. Não trabalhará mais de 40 horas por semana; a posição não é elegível para horas extras. F.B.8A: Os trabalhadores receberão, no mínimo, o salário listado. O empregador pode pagar salários mais altos aos trabalhadores com base na antiguidade na empresa e no nível de habilidade. F.B.8A: Dependendo das condições de trabalho, o empregador pode oferecer aos trabalhadores que realizam determinadas tarefas durante certos períodos da temporada a oportunidade de ganhar um bônus de incentivo além do salário garantido estabelecido acima. Se oferecido, esse bônus de incentivo será baseado na quantidade e qualidade do trabalho realizado e oferecido a todos os trabalhadores que atuam na(s) atividade(s) e durante o(s) período(s) em que o bônus de incentivo for oferecido. Caso seja oferecido um bônus de incentivo, o fato de que o bônus será oferecido e a forma como será determinado serão explicados a todos os funcionários afetados antes do início de qualquer período de trabalho ou atividade sujeita a tal bônus. Os bônus de incentivo são oferecidos a critério exclusivo do empregador, e nenhum bônus ou oportunidade de ganhar um bônus é prometido ou garantido. Classificação do Cargo: 27-2022.00 - Treinadores e Observadores. A classificação e descrição do cargo/setor incluem informações gerais sobre a posição, de acordo com o ONET/OES e o Sistema de Classificação Industrial da América do Norte. Consulte as Funções e a Ordem de Serviço para obter mais informações. Requisitos do Cargo Experiência Necessária: Sim Meses de Experiência Necessários: 12 Requisitos Especiais: Deve ter 3 anos de experiência em competições de esqui alpino como atleta de alto nível ou 12 meses de experiência como treinador de esqui alpino. Treinamento em serviço será fornecido. Deve ser um treinador de esqui certificado ou instrutor de esqui equivalente à United States Ski and Snowboard (USSS) ou ter a capacidade de obter a certificação de treinador. Deve ser capaz de se comunicar bem com atletas, equipe e pais. Número de horas por semana: 35 Horário de trabalho (início/término): 8h00 - 14h00</v>
      </c>
    </row>
    <row r="1594" ht="20.25" customHeight="1">
      <c r="A1594" s="3" t="s">
        <v>7099</v>
      </c>
      <c r="B1594" s="3" t="s">
        <v>7100</v>
      </c>
      <c r="C1594" s="3" t="s">
        <v>6282</v>
      </c>
      <c r="D1594" s="3" t="s">
        <v>4521</v>
      </c>
      <c r="E1594" s="4" t="s">
        <v>19</v>
      </c>
      <c r="F1594" s="4" t="s">
        <v>20</v>
      </c>
      <c r="G1594" s="4" t="s">
        <v>345</v>
      </c>
      <c r="H1594" s="3" t="s">
        <v>7101</v>
      </c>
      <c r="I1594" s="3" t="s">
        <v>7102</v>
      </c>
      <c r="J1594" s="4">
        <v>19.53</v>
      </c>
      <c r="K1594" s="4">
        <v>20.0</v>
      </c>
      <c r="L1594" s="3" t="s">
        <v>7103</v>
      </c>
      <c r="M1594" s="3" t="s">
        <v>7104</v>
      </c>
      <c r="N1594" s="7" t="str">
        <f>IFERROR(__xludf.DUMMYFUNCTION("GOOGLETRANSLATE(L1594, ""en"", ""pt"")"),"Trabalhador da área de alimentos")</f>
        <v>Trabalhador da área de alimentos</v>
      </c>
      <c r="O1594" s="7" t="str">
        <f>IFERROR(__xludf.DUMMYFUNCTION("IF(M1594="""","""",GOOGLETRANSLATE(M1594,""en"",""pt""))"),"As tarefas incluem, entre outras, a limpeza da área; a preparação para o almoço e outros eventos; a lavagem de louça; o preparo de alimentos; o serviço aos convidados no buffet; e o serviço de bebidas. Classificação da vaga: 37-2011.00 - Zeladores e Faxin"&amp;"eiros, exceto empregadas domésticas e auxiliares de limpeza. A classificação e a descrição da vaga/setor incluem informações gerais sobre o cargo, de acordo com o ONET/OES e o Sistema de Classificação Industrial da América do Norte (NAICS). Consulte as at"&amp;"ribuições e a ordem de serviço para obter mais informações. Requisitos da vaga: Experiência necessária: Não. Requisitos especiais: Capacidade de levantar 16 kg. Número de horas por semana: 56. Horário de trabalho (início/término): 8h às 22h.")</f>
        <v>As tarefas incluem, entre outras, a limpeza da área; a preparação para o almoço e outros eventos; a lavagem de louça; o preparo de alimentos; o serviço aos convidados no buffet; e o serviço de bebidas. Classificação da vaga: 37-2011.00 - Zeladores e Faxineiros, exceto empregadas domésticas e auxiliares de limpeza. A classificação e a descrição da vaga/setor incluem informações gerais sobre o cargo, de acordo com o ONET/OES e o Sistema de Classificação Industrial da América do Norte (NAICS). Consulte as atribuições e a ordem de serviço para obter mais informações. Requisitos da vaga: Experiência necessária: Não. Requisitos especiais: Capacidade de levantar 16 kg. Número de horas por semana: 56. Horário de trabalho (início/término): 8h às 22h.</v>
      </c>
    </row>
    <row r="1595" ht="20.25" customHeight="1">
      <c r="A1595" s="8" t="s">
        <v>7105</v>
      </c>
      <c r="B1595" s="8" t="s">
        <v>7100</v>
      </c>
      <c r="C1595" s="8" t="s">
        <v>6282</v>
      </c>
      <c r="D1595" s="8" t="s">
        <v>4521</v>
      </c>
      <c r="E1595" s="9" t="s">
        <v>19</v>
      </c>
      <c r="F1595" s="9" t="s">
        <v>20</v>
      </c>
      <c r="G1595" s="9" t="s">
        <v>345</v>
      </c>
      <c r="H1595" s="8" t="s">
        <v>7101</v>
      </c>
      <c r="I1595" s="8" t="s">
        <v>7102</v>
      </c>
      <c r="J1595" s="9">
        <v>20.98</v>
      </c>
      <c r="K1595" s="9">
        <v>28.0</v>
      </c>
      <c r="L1595" s="8" t="s">
        <v>7106</v>
      </c>
      <c r="M1595" s="8" t="s">
        <v>7107</v>
      </c>
      <c r="N1595" s="7" t="str">
        <f>IFERROR(__xludf.DUMMYFUNCTION("GOOGLETRANSLATE(L1595, ""en"", ""pt"")"),"Cozinheiro(a) de linha/preparação")</f>
        <v>Cozinheiro(a) de linha/preparação</v>
      </c>
      <c r="O1595" s="7" t="str">
        <f>IFERROR(__xludf.DUMMYFUNCTION("IF(M1595="""","""",GOOGLETRANSLATE(M1595,""en"",""pt""))"),"Preparar, temperar e cozinhar sopas, carnes, legumes, frutas, sobremesas e outros alimentos em um dos oito restaurantes no local. Conhecimento de manuseio seguro e adequado de facas e segurança alimentar. Classificação do Cargo: 35-2014.00 - Cozinheiros, "&amp;"Restaurante. A classificação e descrição do cargo/setor incluem informações gerais sobre a posição, de acordo com o ONET/OES e o Sistema de Classificação Industrial da América do Norte. Consulte as Funções e a Ordem de Serviço para obter mais informações."&amp;" Requisitos do Cargo: Experiência Necessária: Não. Requisitos Especiais: Deve ser capaz de levantar 16 kg. Número de Horas por Semana: 56. Horário de Trabalho (Início/Término): 8h às 22h.")</f>
        <v>Preparar, temperar e cozinhar sopas, carnes, legumes, frutas, sobremesas e outros alimentos em um dos oito restaurantes no local. Conhecimento de manuseio seguro e adequado de facas e segurança alimentar. Classificação do Cargo: 35-2014.00 - Cozinheiros, Restaurante. A classificação e descrição do cargo/setor incluem informações gerais sobre a posição, de acordo com o ONET/OES e o Sistema de Classificação Industrial da América do Norte. Consulte as Funções e a Ordem de Serviço para obter mais informações. Requisitos do Cargo: Experiência Necessária: Não. Requisitos Especiais: Deve ser capaz de levantar 16 kg. Número de Horas por Semana: 56. Horário de Trabalho (Início/Término): 8h às 22h.</v>
      </c>
    </row>
    <row r="1596" ht="20.25" customHeight="1">
      <c r="A1596" s="3" t="s">
        <v>7108</v>
      </c>
      <c r="B1596" s="3" t="s">
        <v>7100</v>
      </c>
      <c r="C1596" s="3" t="s">
        <v>6282</v>
      </c>
      <c r="D1596" s="3" t="s">
        <v>4521</v>
      </c>
      <c r="E1596" s="4" t="s">
        <v>19</v>
      </c>
      <c r="F1596" s="4" t="s">
        <v>20</v>
      </c>
      <c r="G1596" s="4" t="s">
        <v>345</v>
      </c>
      <c r="H1596" s="3" t="s">
        <v>7101</v>
      </c>
      <c r="I1596" s="3" t="s">
        <v>7102</v>
      </c>
      <c r="J1596" s="4">
        <v>19.05</v>
      </c>
      <c r="K1596" s="4">
        <v>3.0</v>
      </c>
      <c r="L1596" s="3" t="s">
        <v>7109</v>
      </c>
      <c r="M1596" s="3" t="s">
        <v>7110</v>
      </c>
      <c r="N1596" s="7" t="str">
        <f>IFERROR(__xludf.DUMMYFUNCTION("GOOGLETRANSLATE(L1596, ""en"", ""pt"")"),"Recepcionista")</f>
        <v>Recepcionista</v>
      </c>
      <c r="O1596" s="7" t="str">
        <f>IFERROR(__xludf.DUMMYFUNCTION("IF(M1596="""","""",GOOGLETRANSLATE(M1596,""en"",""pt""))"),"As funções do cargo incluem: demonstrar sempre uma postura amigável, cortês e profissional em todas as interações com hóspedes, clientes e demais funcionários. Receber e registrar hóspedes do hotel, priorizando o atendimento de suas solicitações, seguindo"&amp;" instruções específicas e respeitando as políticas e procedimentos de crédito estabelecidos. Manusear com cuidado diversas chaves. Informar e estar familiarizado com a disponibilidade de quartos e tarifas para datas atuais e futuras. Aceitar reservas, alt"&amp;"erações e cancelamentos na ausência da equipe de reservas. Selecionar e atribuir quartos para os hóspedes que chegam; realizar o pré-registro de indivíduos ou grupos, conforme necessário; auxiliar no acompanhamento de VIPs e levá-los aos seus quartos, qua"&amp;"ndo solicitado. Trabalhar em estreita colaboração com o Concierge e o Manobrista para coordenar o manuseio eficiente da bagagem dos hóspedes e dar seguimento às suas solicitações. Classificação do Cargo: 43-4081.00 - Recepcionistas de Hotel, Motel e Resor"&amp;"t. A classificação e descrição do cargo/setor incluem informações gerais sobre a posição, de acordo com o ONET/OES e o Sistema de Classificação Industrial da América do Norte. Consulte a Descrição das Funções e a Ordem de Serviço para obter mais informaçõ"&amp;"es. Requisitos da vaga Experiência necessária: Não Requisitos especiais: Deve ser capaz de levantar 16 kg Número de horas por semana: 56 Horário de trabalho (início/término): 8h às 22h")</f>
        <v>As funções do cargo incluem: demonstrar sempre uma postura amigável, cortês e profissional em todas as interações com hóspedes, clientes e demais funcionários. Receber e registrar hóspedes do hotel, priorizando o atendimento de suas solicitações, seguindo instruções específicas e respeitando as políticas e procedimentos de crédito estabelecidos. Manusear com cuidado diversas chaves. Informar e estar familiarizado com a disponibilidade de quartos e tarifas para datas atuais e futuras. Aceitar reservas, alterações e cancelamentos na ausência da equipe de reservas. Selecionar e atribuir quartos para os hóspedes que chegam; realizar o pré-registro de indivíduos ou grupos, conforme necessário; auxiliar no acompanhamento de VIPs e levá-los aos seus quartos, quando solicitado. Trabalhar em estreita colaboração com o Concierge e o Manobrista para coordenar o manuseio eficiente da bagagem dos hóspedes e dar seguimento às suas solicitações. Classificação do Cargo: 43-4081.00 - Recepcionistas de Hotel, Motel e Resort. A classificação e descrição do cargo/setor incluem informações gerais sobre a posição, de acordo com o ONET/OES e o Sistema de Classificação Industrial da América do Norte. Consulte a Descrição das Funções e a Ordem de Serviço para obter mais informações. Requisitos da vaga Experiência necessária: Não Requisitos especiais: Deve ser capaz de levantar 16 kg Número de horas por semana: 56 Horário de trabalho (início/término): 8h às 22h</v>
      </c>
    </row>
    <row r="1597" ht="20.25" customHeight="1">
      <c r="A1597" s="8" t="s">
        <v>7111</v>
      </c>
      <c r="B1597" s="8" t="s">
        <v>7100</v>
      </c>
      <c r="C1597" s="8" t="s">
        <v>6282</v>
      </c>
      <c r="D1597" s="8" t="s">
        <v>4521</v>
      </c>
      <c r="E1597" s="9" t="s">
        <v>19</v>
      </c>
      <c r="F1597" s="9" t="s">
        <v>20</v>
      </c>
      <c r="G1597" s="9" t="s">
        <v>345</v>
      </c>
      <c r="H1597" s="8" t="s">
        <v>7101</v>
      </c>
      <c r="I1597" s="8" t="s">
        <v>7102</v>
      </c>
      <c r="J1597" s="9">
        <v>17.76</v>
      </c>
      <c r="K1597" s="9">
        <v>20.0</v>
      </c>
      <c r="L1597" s="8" t="s">
        <v>354</v>
      </c>
      <c r="M1597" s="8" t="s">
        <v>7112</v>
      </c>
      <c r="N1597" s="7" t="str">
        <f>IFERROR(__xludf.DUMMYFUNCTION("GOOGLETRANSLATE(L1597, ""en"", ""pt"")"),"Governanta")</f>
        <v>Governanta</v>
      </c>
      <c r="O1597" s="7" t="str">
        <f>IFERROR(__xludf.DUMMYFUNCTION("IF(M1597="""","""",GOOGLETRANSLATE(M1597,""en"",""pt""))"),"Limpar áreas de forma completa e oportuna, de acordo com os padrões exigidos; prestar diversos serviços de limpeza aos hóspedes durante a sua estadia, como lavar janelas, aspirar e limpar carpetes e tapetes, limpar e higienizar vasos sanitários, chuveiros"&amp;", banheiras, bancadas e pias, de acordo com os padrões exigidos; reportar quaisquer problemas de manutenção, danos ou itens faltantes ao Supervisor de Limpeza da Clay Brook; e prestar um serviço cortês aos hóspedes. Classificação do Cargo: 37-2012.00 - Ca"&amp;"mareiras e Auxiliares de Limpeza. A classificação e descrição do cargo/setor inclui informações gerais sobre a posição, de acordo com o ONET/OES e o Sistema de Classificação Industrial da América do Norte. Consulte as Funções e a Ordem de Serviço para obt"&amp;"er mais informações. Requisitos do Cargo: Experiência Necessária: Não. Requisitos Especiais: Deve ser capaz de levantar 16 kg. Número de Horas por Semana: 56. Horário de Trabalho (Início/Término): 8h00 - 22h00.")</f>
        <v>Limpar áreas de forma completa e oportuna, de acordo com os padrões exigidos; prestar diversos serviços de limpeza aos hóspedes durante a sua estadia, como lavar janelas, aspirar e limpar carpetes e tapetes, limpar e higienizar vasos sanitários, chuveiros, banheiras, bancadas e pias, de acordo com os padrões exigidos; reportar quaisquer problemas de manutenção, danos ou itens faltantes ao Supervisor de Limpeza da Clay Brook; e prestar um serviço cortês aos hóspedes. Classificação do Cargo: 37-2012.00 - Camareiras e Auxiliares de Limpeza. A classificação e descrição do cargo/setor inclui informações gerais sobre a posição, de acordo com o ONET/OES e o Sistema de Classificação Industrial da América do Norte. Consulte as Funções e a Ordem de Serviço para obter mais informações. Requisitos do Cargo: Experiência Necessária: Não. Requisitos Especiais: Deve ser capaz de levantar 16 kg. Número de Horas por Semana: 56. Horário de Trabalho (Início/Término): 8h00 - 22h00.</v>
      </c>
    </row>
    <row r="1598" ht="20.25" customHeight="1">
      <c r="A1598" s="3" t="s">
        <v>7113</v>
      </c>
      <c r="B1598" s="3" t="s">
        <v>7114</v>
      </c>
      <c r="C1598" s="3" t="s">
        <v>5563</v>
      </c>
      <c r="D1598" s="3" t="s">
        <v>102</v>
      </c>
      <c r="E1598" s="4" t="s">
        <v>44</v>
      </c>
      <c r="F1598" s="4" t="s">
        <v>20</v>
      </c>
      <c r="G1598" s="4" t="s">
        <v>80</v>
      </c>
      <c r="H1598" s="3" t="s">
        <v>7115</v>
      </c>
      <c r="I1598" s="3" t="s">
        <v>7116</v>
      </c>
      <c r="J1598" s="4">
        <v>12.39</v>
      </c>
      <c r="K1598" s="4">
        <v>20.0</v>
      </c>
      <c r="L1598" s="3" t="s">
        <v>105</v>
      </c>
      <c r="M1598" s="3" t="s">
        <v>7117</v>
      </c>
      <c r="N1598" s="7" t="str">
        <f>IFERROR(__xludf.DUMMYFUNCTION("GOOGLETRANSLATE(L1598, ""en"", ""pt"")"),"Abridores de Ostras")</f>
        <v>Abridores de Ostras</v>
      </c>
      <c r="O1598" s="7" t="str">
        <f>IFERROR(__xludf.DUMMYFUNCTION("IF(M1598="""","""",GOOGLETRANSLATE(M1598,""en"",""pt""))"),"Os funcionários podem usar os braços e as mãos para transportar sacos de ostras do depósito/câmara fria até a estação de abertura. Os funcionários processarão as ostras em sua estação usando uma faca e um martelo. Suas funções incluem: obter e distribuir "&amp;"o produto; usar a faca para cortar a ostra da concha; inspecionar a carne em busca de imperfeições e removê-las/descartá-las; separar a carne processada por tamanho ou qualidade e colocar as ostras em recipientes; auxiliar na limpeza da estação de trabalh"&amp;"o ao final do turno. Poderá ser oferecido pagamento por produção; o valor será determinado com base na tabela salarial vigente. Segunda localização da fábrica: 14450 Railroad Street, Coden, AL 36523. Não é necessária experiência/educação. Treinamento de 1"&amp;"4 dias no local de trabalho será fornecido. Consulte o adendo em anexo. Classificação do cargo: 51-3022.00 - Cortadores e Aparadores de Carne, Aves e Peixes. A classificação e a descrição do cargo/setor incluem informações gerais sobre a posição, de acord"&amp;"o com o ONET/OES e o Sistema de Classificação Industrial da América do Norte. Consulte as Funções e a Ordem de Serviço para obter mais informações. Requisitos da vaga Experiência necessária: Não Requisitos especiais: Levantar/carregar até 23 kg. O emprega"&amp;"dor pagará o exame toxicológico após a contratação, em caso de suspeita. O empregador poderá realizar verificações legais relacionadas ao trabalho, incluindo consultas sobre antecedentes criminais, quando permitido pelas leis federais, estaduais e locais "&amp;"aplicáveis. Qualquer análise de antecedentes criminais será feita individualmente e as decisões de contratação serão tomadas de forma não discriminatória, em conformidade com as leis aplicáveis ​​e as necessidades da empresa. Não são permitidas doenças in"&amp;"fecciosas; alergias a frutos do mar podem ser fatais. Número de horas por semana: 35 Horário de trabalho (início/término): 3h30 - 11h00")</f>
        <v>Os funcionários podem usar os braços e as mãos para transportar sacos de ostras do depósito/câmara fria até a estação de abertura. Os funcionários processarão as ostras em sua estação usando uma faca e um martelo. Suas funções incluem: obter e distribuir o produto; usar a faca para cortar a ostra da concha; inspecionar a carne em busca de imperfeições e removê-las/descartá-las; separar a carne processada por tamanho ou qualidade e colocar as ostras em recipientes; auxiliar na limpeza da estação de trabalho ao final do turno. Poderá ser oferecido pagamento por produção; o valor será determinado com base na tabela salarial vigente. Segunda localização da fábrica: 14450 Railroad Street, Coden, AL 36523. Não é necessária experiência/educação. Treinamento de 14 dias no local de trabalho será fornecido. Consulte o adendo em anexo. Classificação do cargo: 51-3022.00 - Cortadores e Aparadores de Carne, Aves e Peixes. A classificação e a descrição do cargo/setor incluem informações gerais sobre a posição, de acordo com o ONET/OES e o Sistema de Classificação Industrial da América do Norte. Consulte as Funções e a Ordem de Serviço para obter mais informações. Requisitos da vaga Experiência necessária: Não Requisitos especiais: Levantar/carregar até 23 kg. O empregador pagará o exame toxicológico após a contratação, em caso de suspeita. O empregador poderá realizar verificações legais relacionadas ao trabalho, incluindo consultas sobre antecedentes criminais, quando permitido pelas leis federais, estaduais e locais aplicáveis. Qualquer análise de antecedentes criminais será feita individualmente e as decisões de contratação serão tomadas de forma não discriminatória, em conformidade com as leis aplicáveis ​​e as necessidades da empresa. Não são permitidas doenças infecciosas; alergias a frutos do mar podem ser fatais. Número de horas por semana: 35 Horário de trabalho (início/término): 3h30 - 11h00</v>
      </c>
    </row>
    <row r="1599" ht="20.25" customHeight="1">
      <c r="A1599" s="8" t="s">
        <v>7118</v>
      </c>
      <c r="B1599" s="8" t="s">
        <v>7119</v>
      </c>
      <c r="C1599" s="8" t="s">
        <v>6282</v>
      </c>
      <c r="D1599" s="8" t="s">
        <v>154</v>
      </c>
      <c r="E1599" s="9" t="s">
        <v>19</v>
      </c>
      <c r="F1599" s="9" t="s">
        <v>20</v>
      </c>
      <c r="G1599" s="9" t="s">
        <v>345</v>
      </c>
      <c r="H1599" s="8" t="s">
        <v>7120</v>
      </c>
      <c r="I1599" s="8" t="s">
        <v>7121</v>
      </c>
      <c r="J1599" s="9">
        <v>15.7</v>
      </c>
      <c r="K1599" s="9">
        <v>9.0</v>
      </c>
      <c r="L1599" s="8" t="s">
        <v>7122</v>
      </c>
      <c r="M1599" s="8" t="s">
        <v>7123</v>
      </c>
      <c r="N1599" s="7" t="str">
        <f>IFERROR(__xludf.DUMMYFUNCTION("GOOGLETRANSLATE(L1599, ""en"", ""pt"")"),"Operador(a) de Máquina de Bordar")</f>
        <v>Operador(a) de Máquina de Bordar</v>
      </c>
      <c r="O1599" s="7" t="str">
        <f>IFERROR(__xludf.DUMMYFUNCTION("IF(M1599="""","""",GOOGLETRANSLATE(M1599,""en"",""pt""))"),"Operar máquina de bordar utilizando desenhos pré-fabricados em vestuário esportivo. Classificação da função: 51-6031.00 - Operadores de Máquina de Costura. A classificação e descrição da função/setor incluem informações gerais sobre o cargo, de acordo com"&amp;" o ONET/OES e o Sistema de Classificação Industrial da América do Norte (NAICS). Consulte as Funções e a Ordem de Serviço para obter mais informações. Requisitos da vaga: Experiência necessária: Sim. Meses de experiência necessários: 1. Número de horas po"&amp;"r semana: 40. Horário de trabalho (início/término): 8h às 17h.")</f>
        <v>Operar máquina de bordar utilizando desenhos pré-fabricados em vestuário esportivo. Classificação da função: 51-6031.00 - Operadores de Máquina de Costura. A classificação e descrição da função/setor incluem informações gerais sobre o cargo, de acordo com o ONET/OES e o Sistema de Classificação Industrial da América do Norte (NAICS). Consulte as Funções e a Ordem de Serviço para obter mais informações. Requisitos da vaga: Experiência necessária: Sim. Meses de experiência necessários: 1. Número de horas por semana: 40. Horário de trabalho (início/término): 8h às 17h.</v>
      </c>
    </row>
    <row r="1600" ht="20.25" customHeight="1">
      <c r="A1600" s="3" t="s">
        <v>7124</v>
      </c>
      <c r="B1600" s="3" t="s">
        <v>7125</v>
      </c>
      <c r="C1600" s="3" t="s">
        <v>2338</v>
      </c>
      <c r="D1600" s="3" t="s">
        <v>87</v>
      </c>
      <c r="E1600" s="4" t="s">
        <v>44</v>
      </c>
      <c r="F1600" s="4" t="s">
        <v>20</v>
      </c>
      <c r="G1600" s="4" t="s">
        <v>307</v>
      </c>
      <c r="H1600" s="3" t="s">
        <v>7126</v>
      </c>
      <c r="I1600" s="3" t="s">
        <v>7127</v>
      </c>
      <c r="J1600" s="4">
        <v>18.21</v>
      </c>
      <c r="K1600" s="4">
        <v>4.0</v>
      </c>
      <c r="L1600" s="3" t="s">
        <v>59</v>
      </c>
      <c r="M1600" s="3" t="s">
        <v>7128</v>
      </c>
      <c r="N1600" s="7" t="str">
        <f>IFERROR(__xludf.DUMMYFUNCTION("GOOGLETRANSLATE(L1600, ""en"", ""pt"")"),"Trabalhador de paisagismo")</f>
        <v>Trabalhador de paisagismo</v>
      </c>
      <c r="O1600" s="7" t="str">
        <f>IFERROR(__xludf.DUMMYFUNCTION("IF(M1600="""","""",GOOGLETRANSLATE(M1600,""en"",""pt""))"),"Os trabalhadores serão responsáveis ​​pelo paisagismo e manutenção de terrenos e propriedades, utilizando ferramentas manuais e elétricas. Suas responsabilidades incluem cortar e manter o paisagismo existente, aparar, plantar, podar, colocar grama em rolo"&amp;", fertilizar, regar, recolher folhas, cavar, rastelar e realizar irrigação básica. Eles também varrerão calçadas, cortarão galhos de árvores, podarão arbustos e arrancarão ervas daninhas. Os trabalhadores também realizarão pequenos reparos e procedimentos"&amp;" de manutenção em equipamentos utilizados na jardinagem. Classificação da Função: 37-3011.00 - Trabalhadores de Paisagismo e Jardinagem. A classificação e descrição da função/setor inclui informações gerais sobre o cargo, de acordo com o ONET/OES e o Sist"&amp;"ema de Classificação Industrial da América do Norte (NAICS). Consulte as Funções e a Ordem de Serviço para obter mais informações. Requisitos da Função: Experiência Necessária: Sim. Meses de Experiência Necessários: 1. Requisitos Especiais: Capacidade de "&amp;"levantar 23 kg. A HORÁXIMA HORÁRIO PODE VARIAR DE ACORDO COM AS CONDIÇÕES CLIMÁTICAS. TRABALHO AOS SÁBADOS É NECESSÁRIO, QUANDO EXIGIDO. Testes toxicológicos pós-contratação podem ser realizados aleatoriamente, após acidentes e mediante suspeita, às custa"&amp;"s do empregador. É necessário deslocamento para locais de trabalho no Condado de Charleston, Carolina do Sul. Número de horas semanais: 45. Horário de trabalho (início/término): 6h45 às 15h30.")</f>
        <v>Os trabalhadores serão responsáveis ​​pelo paisagismo e manutenção de terrenos e propriedades, utilizando ferramentas manuais e elétricas. Suas responsabilidades incluem cortar e manter o paisagismo existente, aparar, plantar, podar, colocar grama em rolo, fertilizar, regar, recolher folhas, cavar, rastelar e realizar irrigação básica. Eles também varrerão calçadas, cortarão galhos de árvores, podarão arbustos e arrancarão ervas daninhas. Os trabalhadores também realizarão pequenos reparos e procedimentos de manutenção em equipamentos utilizados na jardinagem. Classificação da Função: 37-3011.00 - Trabalhadores de Paisagismo e Jardinagem. A classificação e descrição da função/setor inclui informações gerais sobre o cargo, de acordo com o ONET/OES e o Sistema de Classificação Industrial da América do Norte (NAICS). Consulte as Funções e a Ordem de Serviço para obter mais informações. Requisitos da Função: Experiência Necessária: Sim. Meses de Experiência Necessários: 1. Requisitos Especiais: Capacidade de levantar 23 kg. A HORÁXIMA HORÁRIO PODE VARIAR DE ACORDO COM AS CONDIÇÕES CLIMÁTICAS. TRABALHO AOS SÁBADOS É NECESSÁRIO, QUANDO EXIGIDO. Testes toxicológicos pós-contratação podem ser realizados aleatoriamente, após acidentes e mediante suspeita, às custas do empregador. É necessário deslocamento para locais de trabalho no Condado de Charleston, Carolina do Sul. Número de horas semanais: 45. Horário de trabalho (início/término): 6h45 às 15h30.</v>
      </c>
    </row>
    <row r="1601" ht="20.25" customHeight="1">
      <c r="A1601" s="8" t="s">
        <v>7129</v>
      </c>
      <c r="B1601" s="8" t="s">
        <v>7130</v>
      </c>
      <c r="C1601" s="8" t="s">
        <v>6247</v>
      </c>
      <c r="D1601" s="8" t="s">
        <v>403</v>
      </c>
      <c r="E1601" s="9" t="s">
        <v>19</v>
      </c>
      <c r="F1601" s="9" t="s">
        <v>20</v>
      </c>
      <c r="G1601" s="9" t="s">
        <v>80</v>
      </c>
      <c r="H1601" s="8" t="s">
        <v>7131</v>
      </c>
      <c r="I1601" s="8" t="s">
        <v>7132</v>
      </c>
      <c r="J1601" s="9">
        <v>18.6</v>
      </c>
      <c r="K1601" s="9">
        <v>10.0</v>
      </c>
      <c r="L1601" s="8" t="s">
        <v>6250</v>
      </c>
      <c r="M1601" s="8" t="s">
        <v>6508</v>
      </c>
      <c r="N1601" s="7" t="str">
        <f>IFERROR(__xludf.DUMMYFUNCTION("GOOGLETRANSLATE(L1601, ""en"", ""pt"")"),"tratador de cavalos de corrida puro-sangue")</f>
        <v>tratador de cavalos de corrida puro-sangue</v>
      </c>
      <c r="O1601" s="7" t="str">
        <f>IFERROR(__xludf.DUMMYFUNCTION("IF(M1601="""","""",GOOGLETRANSLATE(M1601,""en"",""pt""))"),"Responsável pelos cuidados gerais de cavalos de corrida puro-sangue, incluindo alimentação, fornecimento de água, manutenção de baias e estábulos, limpeza, escovação, exercícios, casqueamento, desinfecção de baias e camas, administração de medicamentos co"&amp;"nforme prescrição e inspeção da condição física dos cavalos. Levantará as patas e limpará os cascos dos cavalos, aplicando linimentos e bandagens conforme necessário. Cuidará de 1 a 5 cavalos por vez. Turno dividido: das 5h às 11h e das 15h às 17h. Folgas"&amp;" rotativas. Classificação da vaga: 39-2021.00 - Cuidadores de Animais. A classificação e descrição da vaga/setor incluem informações gerais sobre o cargo, de acordo com o ONET/OES e o Sistema de Classificação Industrial da América do Norte. Consulte as Fu"&amp;"nções e a Ordem de Serviço para obter mais informações. Requisitos da vaga: Experiência necessária: Sim. Meses de experiência necessários: 1. Requisitos especiais: Deve ser capaz de levantar 23 kg. Número de horas por semana: 56. Horário de trabalho (iníc"&amp;"io/término): 5h. - 17h00")</f>
        <v>Responsável pelos cuidados gerais de cavalos de corrida puro-sangue, incluindo alimentação, fornecimento de água, manutenção de baias e estábulos, limpeza, escovação, exercícios, casqueamento, desinfecção de baias e camas, administração de medicamentos conforme prescrição e inspeção da condição física dos cavalos. Levantará as patas e limpará os cascos dos cavalos, aplicando linimentos e bandagens conforme necessário. Cuidará de 1 a 5 cavalos por vez. Turno dividido: das 5h às 11h e das 15h às 17h. Folgas rotativas. Classificação da vaga: 39-2021.00 - Cuidadores de Animais. A classificação e descrição da vaga/setor incluem informações gerais sobre o cargo, de acordo com o ONET/OES e o Sistema de Classificação Industrial da América do Norte. Consulte as Funções e a Ordem de Serviço para obter mais informações. Requisitos da vaga: Experiência necessária: Sim. Meses de experiência necessários: 1. Requisitos especiais: Deve ser capaz de levantar 23 kg. Número de horas por semana: 56. Horário de trabalho (início/término): 5h. - 17h00</v>
      </c>
    </row>
    <row r="1602" ht="20.25" customHeight="1">
      <c r="A1602" s="3" t="s">
        <v>7133</v>
      </c>
      <c r="B1602" s="3" t="s">
        <v>7134</v>
      </c>
      <c r="C1602" s="3" t="s">
        <v>6228</v>
      </c>
      <c r="D1602" s="3" t="s">
        <v>109</v>
      </c>
      <c r="E1602" s="4" t="s">
        <v>19</v>
      </c>
      <c r="F1602" s="4" t="s">
        <v>20</v>
      </c>
      <c r="G1602" s="4" t="s">
        <v>512</v>
      </c>
      <c r="H1602" s="3" t="s">
        <v>7135</v>
      </c>
      <c r="I1602" s="3" t="s">
        <v>7136</v>
      </c>
      <c r="J1602" s="4">
        <v>39.9</v>
      </c>
      <c r="K1602" s="4">
        <v>12.0</v>
      </c>
      <c r="L1602" s="3" t="s">
        <v>7137</v>
      </c>
      <c r="M1602" s="3" t="s">
        <v>7138</v>
      </c>
      <c r="N1602" s="7" t="str">
        <f>IFERROR(__xludf.DUMMYFUNCTION("GOOGLETRANSLATE(L1602, ""en"", ""pt"")"),"Auxiliar de Assentamento de Azulejos no Inverno")</f>
        <v>Auxiliar de Assentamento de Azulejos no Inverno</v>
      </c>
      <c r="O1602" s="7" t="str">
        <f>IFERROR(__xludf.DUMMYFUNCTION("IF(M1602="""","""",GOOGLETRANSLATE(M1602,""en"",""pt""))"),"Com pouca ou nenhuma supervisão, o ajudante de assentador de azulejos aplicará azulejos, pedras e materiais similares em piscinas. Ele cortará e moldará os azulejos para encaixá-los em torno de obstáculos e em espaços e cantos irregulares. O ajudante de a"&amp;"ssentador de azulejos misturará, aplicará e espalhará gesso, concreto, argamassa, cimento, mástique, cola ou outros adesivos para formar uma base para os azulejos, usando pincel, desempenadeira e régua de nivelamento. Ele aplicará argamassa no verso do az"&amp;"ulejo, posicionará o azulejo e pressionará ou baterá com a desempenadeira para fixá-lo à base. O ajudante de assentador de azulejos medirá e marcará as superfícies a serem revestidas com azulejos, alinhando e endireitando os azulejos usando níveis e esqua"&amp;"dros. Os ajudantes de assentador de azulejos se prepararão para o inverno limpando os equipamentos e preparando-os para armazenamento. Além disso, eles realizarão os retoques finais nos projetos, como a instalação, para garantir que o trabalho seja conclu"&amp;"ído antes do inverno. Classificação da Função: 47-2044.00 - Assentador de Azulejos e Pedras. A classificação e descrição da função/setor inclui informações gerais sobre o cargo, conforme o ONET/OES e o Sistema de Classificação Industrial da América do Nor"&amp;"te (NAICS). Consulte as Funções e a Ordem de Serviço para obter mais informações. Requisitos da Função: Experiência Necessária: Sim. Meses de Experiência Necessários: 3. Requisitos Especiais: Deve ser capaz de levantar e carregar até 23 kg por 70 metros. "&amp;"Número de Horas por Semana: 40. Horário de Trabalho (Início/Término): 9h às 17h.")</f>
        <v>Com pouca ou nenhuma supervisão, o ajudante de assentador de azulejos aplicará azulejos, pedras e materiais similares em piscinas. Ele cortará e moldará os azulejos para encaixá-los em torno de obstáculos e em espaços e cantos irregulares. O ajudante de assentador de azulejos misturará, aplicará e espalhará gesso, concreto, argamassa, cimento, mástique, cola ou outros adesivos para formar uma base para os azulejos, usando pincel, desempenadeira e régua de nivelamento. Ele aplicará argamassa no verso do azulejo, posicionará o azulejo e pressionará ou baterá com a desempenadeira para fixá-lo à base. O ajudante de assentador de azulejos medirá e marcará as superfícies a serem revestidas com azulejos, alinhando e endireitando os azulejos usando níveis e esquadros. Os ajudantes de assentador de azulejos se prepararão para o inverno limpando os equipamentos e preparando-os para armazenamento. Além disso, eles realizarão os retoques finais nos projetos, como a instalação, para garantir que o trabalho seja concluído antes do inverno. Classificação da Função: 47-2044.00 - Assentador de Azulejos e Pedras. A classificação e descrição da função/setor inclui informações gerais sobre o cargo, conforme o ONET/OES e o Sistema de Classificação Industrial da América do Norte (NAICS). Consulte as Funções e a Ordem de Serviço para obter mais informações. Requisitos da Função: Experiência Necessária: Sim. Meses de Experiência Necessários: 3. Requisitos Especiais: Deve ser capaz de levantar e carregar até 23 kg por 70 metros. Número de Horas por Semana: 40. Horário de Trabalho (Início/Término): 9h às 17h.</v>
      </c>
    </row>
    <row r="1603" ht="20.25" customHeight="1">
      <c r="A1603" s="8" t="s">
        <v>7139</v>
      </c>
      <c r="B1603" s="8" t="s">
        <v>7140</v>
      </c>
      <c r="C1603" s="8" t="s">
        <v>7141</v>
      </c>
      <c r="D1603" s="8" t="s">
        <v>344</v>
      </c>
      <c r="E1603" s="9" t="s">
        <v>19</v>
      </c>
      <c r="F1603" s="9" t="s">
        <v>20</v>
      </c>
      <c r="G1603" s="9" t="s">
        <v>56</v>
      </c>
      <c r="H1603" s="8" t="s">
        <v>7142</v>
      </c>
      <c r="I1603" s="8" t="s">
        <v>7143</v>
      </c>
      <c r="J1603" s="9">
        <v>21.26</v>
      </c>
      <c r="K1603" s="9">
        <v>5.0</v>
      </c>
      <c r="L1603" s="8" t="s">
        <v>59</v>
      </c>
      <c r="M1603" s="8" t="s">
        <v>7144</v>
      </c>
      <c r="N1603" s="7" t="str">
        <f>IFERROR(__xludf.DUMMYFUNCTION("GOOGLETRANSLATE(L1603, ""en"", ""pt"")"),"Trabalhador de paisagismo")</f>
        <v>Trabalhador de paisagismo</v>
      </c>
      <c r="O1603" s="7" t="str">
        <f>IFERROR(__xludf.DUMMYFUNCTION("IF(M1603="""","""",GOOGLETRANSLATE(M1603,""en"",""pt""))"),"Cortar, aparar, regar e aparar a grama. Recolher folhas secas, arrancar e picar ervas daninhas; instalar sistemas de irrigação, transportar terra vegetal e aplicar cobertura morta. Limpar o local. Classificação da função: 37-3011.00 - Trabalhadores de Pai"&amp;"sagismo e Manutenção de Jardins. A classificação e descrição da função/setor inclui informações gerais sobre o cargo, de acordo com o ONET/OES e o Sistema de Classificação Industrial da América do Norte. Consulte as Funções e a Ordem de Serviço para obter"&amp;" mais informações. Requisitos da função: Experiência necessária: Não. Requisitos especiais: Capacidade de levantar/carregar 23 kg quando necessário. Número de horas por semana: 40. Horário de trabalho (início/término): 8h às 17h.")</f>
        <v>Cortar, aparar, regar e aparar a grama. Recolher folhas secas, arrancar e picar ervas daninhas; instalar sistemas de irrigação, transportar terra vegetal e aplicar cobertura morta. Limpar o local. Classificação da função: 37-3011.00 - Trabalhadores de Paisagismo e Manutenção de Jardins. A classificação e descrição da função/setor inclui informações gerais sobre o cargo, de acordo com o ONET/OES e o Sistema de Classificação Industrial da América do Norte. Consulte as Funções e a Ordem de Serviço para obter mais informações. Requisitos da função: Experiência necessária: Não. Requisitos especiais: Capacidade de levantar/carregar 23 kg quando necessário. Número de horas por semana: 40. Horário de trabalho (início/término): 8h às 17h.</v>
      </c>
    </row>
    <row r="1604" ht="20.25" customHeight="1">
      <c r="A1604" s="3" t="s">
        <v>7145</v>
      </c>
      <c r="B1604" s="3" t="s">
        <v>7146</v>
      </c>
      <c r="C1604" s="3" t="s">
        <v>7147</v>
      </c>
      <c r="D1604" s="3" t="s">
        <v>299</v>
      </c>
      <c r="E1604" s="4" t="s">
        <v>19</v>
      </c>
      <c r="F1604" s="4" t="s">
        <v>20</v>
      </c>
      <c r="G1604" s="4" t="s">
        <v>236</v>
      </c>
      <c r="H1604" s="3" t="s">
        <v>7148</v>
      </c>
      <c r="I1604" s="3" t="s">
        <v>7149</v>
      </c>
      <c r="J1604" s="4">
        <v>18.59</v>
      </c>
      <c r="K1604" s="4">
        <v>41.0</v>
      </c>
      <c r="L1604" s="3" t="s">
        <v>3519</v>
      </c>
      <c r="M1604" s="3" t="s">
        <v>7150</v>
      </c>
      <c r="N1604" s="7" t="str">
        <f>IFERROR(__xludf.DUMMYFUNCTION("GOOGLETRANSLATE(L1604, ""en"", ""pt"")"),"Fabricante de Coroas de Flores")</f>
        <v>Fabricante de Coroas de Flores</v>
      </c>
      <c r="O1604" s="7" t="str">
        <f>IFERROR(__xludf.DUMMYFUNCTION("IF(M1604="""","""",GOOGLETRANSLATE(M1604,""en"",""pt""))"),"As tarefas podem incluir: recolher, podar, cortar manualmente, tratar, organizar, amarrar e embalar material bruto previamente recolhido, como galhos, ramos, etc., de viveiro ou árvore de Natal. Cortar galhos de pinho natural com cerca de 28 cm (11"") com"&amp;" tesoura de poda, amarrar, tratar e arranjar para produzir coroas. Outro funcionário amarra o buquê com um gancho circular. É necessário garantir 100% de qualidade, além de outras atividades relacionadas à confecção de coroas, conforme SOC/OES 27-1023 (on"&amp;"etonline.org). Possibilidade de trabalho nos fins de semana e feriados. Horário padrão/esperado: segunda a sexta, das 7h às 18h. Oferecendo + (mais) horas por semana; não incluindo almoço e/ou intervalos aplicáveis. Possibilidade de trabalho nos fins de s"&amp;"emana e feriados. Os horários de início e término, as horas oferecidas e/ou horas extras podem variar, pois podem depender de outros fatores, como necessidades do projeto/cronograma/serviço, clima e tempo de deslocamento entre os locais de trabalho (se ap"&amp;"licável). Horas extras são possíveis, mas não obrigatórias ou garantidas. A critério exclusivo do empregador: possíveis aumentos e/ou bônus com base em fatores individuais, como desempenho ou habilidade (não garantidos). Pagamento por produção: o funcioná"&amp;"rio nunca receberá menos do que o Salário Vigente ou Salário mínimo federal/estadual/local. Classificação da vaga: 27-1023.00 - Designers Florais. A classificação e descrição da vaga/setor incluem informações gerais sobre a posição, de acordo com o ONET/O"&amp;"ES e o Sistema de Classificação Industrial da América do Norte (NAICS). Consulte as Funções e a Ordem de Serviço para obter mais informações. Requisitos da vaga: Experiência necessária: Sim. Meses de experiência necessários: 3. Requisitos especiais: É nec"&amp;"essário comprovar autorização legal para trabalhar nos Estados Unidos. Ambiente de trabalho livre de drogas, álcool e tabaco. Executar atividades físicas como: levantar, equilibrar, caminhar, abaixar, manusear, posicionar, mover e manipular materiais; usa"&amp;"r força estática para exercer força muscular máxima para levantar, empurrar, puxar e carregar objetos de até 27 kg (possivelmente com duas pessoas). Todos os candidatos devem ser capazes, dispostos e qualificados para executar o trabalho descrito e devem "&amp;"estar disponíveis durante todo o período especificado. A critério/custo do empregador: o trabalhador poderá ser submetido a testes aleatórios de drogas/álcool durante o emprego: teste positivo/recusa em cumprir o teste = demissão. Possível verificação de "&amp;"antecedentes após a contratação, às custas do empregador. É proibido fumar ou consumir bebidas alcoólicas nas acomodações. O trabalho é realizado em ambientes internos e externos. As variações de temperatura devido ao controle climático para armazenamento"&amp;"/coleta de produtos ocorrem ao ar livre. Devido às condições climáticas úmidas, pode haver risco de caminhar na lama e o trabalhador deve ser capaz de trabalhar com roupas potencialmente molhadas. Erupções cutâneas e alergias podem ocorrer devido à exposi"&amp;"ção à poeira de pinho, contaminantes e insetos. Cortes nos dedos podem ocorrer devido ao manuseio de galhos, etc. É necessário ficar em pé, agachar e curvar-se por longos períodos (não é permitido sentar, usar celular ou fumar durante o horário de trabalh"&amp;"o). As diretrizes de qualidade se aplicam. É necessário ter destreza manual. É necessário cumprir o contrato sazonal de Natal em tempo integral. A meta de produção diária deve ser atingida pelos trabalhadores. É necessário manter as acomodações limpas e o"&amp;"rganizadas. Número de horas por semana: 40. Horário de trabalho (início/término): 7h às 18h.")</f>
        <v>As tarefas podem incluir: recolher, podar, cortar manualmente, tratar, organizar, amarrar e embalar material bruto previamente recolhido, como galhos, ramos, etc., de viveiro ou árvore de Natal. Cortar galhos de pinho natural com cerca de 28 cm (11") com tesoura de poda, amarrar, tratar e arranjar para produzir coroas. Outro funcionário amarra o buquê com um gancho circular. É necessário garantir 100% de qualidade, além de outras atividades relacionadas à confecção de coroas, conforme SOC/OES 27-1023 (onetonline.org). Possibilidade de trabalho nos fins de semana e feriados. Horário padrão/esperado: segunda a sexta, das 7h às 18h. Oferecendo + (mais) horas por semana; não incluindo almoço e/ou intervalos aplicáveis. Possibilidade de trabalho nos fins de semana e feriados. Os horários de início e término, as horas oferecidas e/ou horas extras podem variar, pois podem depender de outros fatores, como necessidades do projeto/cronograma/serviço, clima e tempo de deslocamento entre os locais de trabalho (se aplicável). Horas extras são possíveis, mas não obrigatórias ou garantidas. A critério exclusivo do empregador: possíveis aumentos e/ou bônus com base em fatores individuais, como desempenho ou habilidade (não garantidos). Pagamento por produção: o funcionário nunca receberá menos do que o Salário Vigente ou Salário mínimo federal/estadual/local. Classificação da vaga: 27-1023.00 - Designers Florais. A classificação e descrição da vaga/setor incluem informações gerais sobre a posição, de acordo com o ONET/OES e o Sistema de Classificação Industrial da América do Norte (NAICS). Consulte as Funções e a Ordem de Serviço para obter mais informações. Requisitos da vaga: Experiência necessária: Sim. Meses de experiência necessários: 3. Requisitos especiais: É necessário comprovar autorização legal para trabalhar nos Estados Unidos. Ambiente de trabalho livre de drogas, álcool e tabaco. Executar atividades físicas como: levantar, equilibrar, caminhar, abaixar, manusear, posicionar, mover e manipular materiais; usar força estática para exercer força muscular máxima para levantar, empurrar, puxar e carregar objetos de até 27 kg (possivelmente com duas pessoas). Todos os candidatos devem ser capazes, dispostos e qualificados para executar o trabalho descrito e devem estar disponíveis durante todo o período especificado. A critério/custo do empregador: o trabalhador poderá ser submetido a testes aleatórios de drogas/álcool durante o emprego: teste positivo/recusa em cumprir o teste = demissão. Possível verificação de antecedentes após a contratação, às custas do empregador. É proibido fumar ou consumir bebidas alcoólicas nas acomodações. O trabalho é realizado em ambientes internos e externos. As variações de temperatura devido ao controle climático para armazenamento/coleta de produtos ocorrem ao ar livre. Devido às condições climáticas úmidas, pode haver risco de caminhar na lama e o trabalhador deve ser capaz de trabalhar com roupas potencialmente molhadas. Erupções cutâneas e alergias podem ocorrer devido à exposição à poeira de pinho, contaminantes e insetos. Cortes nos dedos podem ocorrer devido ao manuseio de galhos, etc. É necessário ficar em pé, agachar e curvar-se por longos períodos (não é permitido sentar, usar celular ou fumar durante o horário de trabalho). As diretrizes de qualidade se aplicam. É necessário ter destreza manual. É necessário cumprir o contrato sazonal de Natal em tempo integral. A meta de produção diária deve ser atingida pelos trabalhadores. É necessário manter as acomodações limpas e organizadas. Número de horas por semana: 40. Horário de trabalho (início/término): 7h às 18h.</v>
      </c>
    </row>
    <row r="1605" ht="20.25" customHeight="1">
      <c r="A1605" s="8" t="s">
        <v>7151</v>
      </c>
      <c r="B1605" s="8" t="s">
        <v>7152</v>
      </c>
      <c r="C1605" s="8" t="s">
        <v>7153</v>
      </c>
      <c r="D1605" s="8" t="s">
        <v>299</v>
      </c>
      <c r="E1605" s="9" t="s">
        <v>19</v>
      </c>
      <c r="F1605" s="9" t="s">
        <v>20</v>
      </c>
      <c r="G1605" s="9" t="s">
        <v>377</v>
      </c>
      <c r="H1605" s="8" t="s">
        <v>7154</v>
      </c>
      <c r="I1605" s="8" t="s">
        <v>7155</v>
      </c>
      <c r="J1605" s="9">
        <v>33.78</v>
      </c>
      <c r="K1605" s="9">
        <v>8.0</v>
      </c>
      <c r="L1605" s="8" t="s">
        <v>7156</v>
      </c>
      <c r="M1605" s="8" t="s">
        <v>7157</v>
      </c>
      <c r="N1605" s="7" t="str">
        <f>IFERROR(__xludf.DUMMYFUNCTION("GOOGLETRANSLATE(L1605, ""en"", ""pt"")"),"Mecânico de Casa 2º")</f>
        <v>Mecânico de Casa 2º</v>
      </c>
      <c r="O1605" s="7" t="str">
        <f>IFERROR(__xludf.DUMMYFUNCTION("IF(M1605="""","""",GOOGLETRANSLATE(M1605,""en"",""pt""))"),"Executar uma ampla variedade de tarefas e funções predominantemente associadas à área de mecânica (montagem industrial), incluindo diversas intervenções de manutenção, desde a substituição de peças básicas até a reforma de equipamentos, otimização do dese"&amp;"mpenho e solução de problemas complexos. As atividades de manutenção incluem, entre outras, inspeção, substituição de peças, alinhamento, balanceamento, instalação e reforma. Compreender e manter equipamentos de processamento complexos, incluindo seus pri"&amp;"ncípios de funcionamento e sua função no processo/fábrica. Compreender a função e a aplicação dos equipamentos a ponto de otimizar seu desempenho. Trabalhar em estreita colaboração com a Produção, obtendo um conhecimento detalhado dos parâmetros operacion"&amp;"ais para garantir que as intervenções de manutenção sejam adequadas e eficazes. Coordenar com a supervisão da produção a execução de intervenções de manutenção em equipamentos de produção para garantir que estejam configurados e/ou instalados corretamente"&amp;". É necessário ter raciocínio abstrato, capacidade de resolver problemas complexos e aplicar habilidades de solução de problemas. Manter equipamentos de transmissão de potência mecânica, incluindo acionamentos e equipamentos de transporte utilizados em di"&amp;"versas aplicações específicas da fábrica. Manter sistemas de fluidos, incluindo líquidos, pneumáticos, hidráulicos, bombas, válvulas, compressores, sopradores e ventiladores. Executar diversas atividades de junção e fabricação. Soldar, cortar, brasar e so"&amp;"ldar diversos materiais, incluindo soldagem de aço carbono usando os processos SMAW e GMAW e soldagem de aço inoxidável usando o processo SMAW. F.a.5a-F.a.6b: 36+ horas/semana. Turnos de 12 horas, das 8h às 20h (turno diurno) e das 20h às 8h (turno noturn"&amp;"o), 4 dias por semana, de domingo a sábado, em escala rotativa da Dupont: SEMANA 1: Seg-Qui: Turno diurno, Sex-Dom: Folga (total de 48 horas) SEMANA 2: Seg-Qui: Folga, Sex-Dom: Turno noturno (total de 36 horas) SEMANA 3: Seg: Turno noturno, Ter-Qui: Folga"&amp;", Sex-Dom: Turno diurno (total de 48 horas) SEMANA 4: Seg: Folga, Ter-Qui: Turno noturno, Sex-Dom: Folga (total de 36 horas) Pode ser necessário trabalhar à noite, nos fins de semana e feriados, conforme a necessidade. A escala (incluindo os dias de traba"&amp;"lho) pode variar. Pode ser necessário trabalhar mais horas do que as garantidas. Pode ser necessário fazer horas extras. As horas extras variam e devem ser previamente aprovadas. F.b.8a: O salário está sujeito a alterações a partir de 1º de agosto de 2026"&amp;", com base no Acordo Coletivo de Trabalho, mas os trabalhadores receberão, no mínimo, US$ 33,78 por hora. F.b.9: A partir de 1º de janeiro de 2024, conforme a legislação estadual de Minnesota, o funcionário acumulará uma hora de licença médica e de segura"&amp;"nça remunerada a cada 30 horas trabalhadas, até um máximo de 48 horas de Licença Médica e de Segurança Remunerada (ESST) por ano, desde que trabalhe no mínimo 80 horas no ano civil. F.d.4: Os trabalhadores têm a opção de ter moradia fornecida pelo emprega"&amp;"dor durante o primeiro mês, por US$ 500 por mês para um quarto duplo, e, caso optem por essa modalidade, o empregador deduzirá os custos do salário do trabalhador. Os trabalhadores também têm a opção de providenciar sua própria acomodação. Classificação d"&amp;"a Função: 49-9044.00 - Mecânico de Manutenção Industrial. A classificação e descrição da função/setor inclui informações gerais sobre o cargo, de acordo com o ONET/OES e o Sistema de Classificação Industrial da América do Norte (NAICS). Consulte as Funçõe"&amp;"s e a Ordem de Serviço para obter mais informações. Requisitos da Função Experiência Necessária: Sim Meses de Experiência Necessários: 12 Requisitos Especiais: Diploma do Ensino Médio, certificado GED ou equivalente estrangeiro. Não será oferecido treinam"&amp;"ento no local de trabalho. É necessário possuir 12 meses de experiência em mecânica ou montagem industrial. O candidato deve se submeter e ser aprovado em uma Avaliação de Segurança pré-admissional que avalia a capacidade do trabalhador de executar com se"&amp;"gurança as funções e tarefas deste cargo. Deve concluir e ser aprovado em um teste de aptidão mecânica. Deve concluir e ser aprovado no teste de soldagem 1G em até 180 dias após a oferta de emprego. Deve ser capaz de ler, escrever e falar inglês para comp"&amp;"reender e interpretar literatura técnica, material de referência e entender como usar as informações da FISPQ (Ficha de Informações de Segurança de Produtos Químicos). Deve ser um membro de equipe que demonstra iniciativa e ética profissional. Deve possui"&amp;"r boas habilidades de comunicação e interpessoais. Deve ter disponibilidade para trabalhar horas extras conforme necessário. Deve ter disponibilidade para trabalhar em turnos rotativos e prolongados. Requisitos Físicos/Cognitivos: Deve ser capaz de trabal"&amp;"har de forma independente e em equipe. Deve ser capaz de se comunicar eficazmente e ter treinamento/conhecimento em procedimentos de evacuação de emergência. Deve conhecer e compreender todas as Boas Práticas de Fabricação (BPF), normas/procedimentos de s"&amp;"egurança e informações de Fichas de Dados de Segurança (FDS) vigentes, aplicáveis ​​à área de embalagem e ao acondicionamento de produtos alimentícios. Deve compreender os princípios e fundamentos de operação dos equipamentos. Deve seguir as Boas Práticas"&amp;" de Fabricação e os requisitos de equipamentos de proteção individual. Exposição ocasional a níveis de ruído acima de 85 dB. A quantidade de poeira de açúcar no ar varia de leve a intensa, dependendo da área. Exposição a ambiente externo, com temperaturas"&amp;" que variam de frias a moderadamente quentes. O uso de equipamentos de proteção individual é obrigatório; deve ser capaz de realizar o teste de vedação para o uso de respiradores contra poeira. Deve ser capaz de caminhar e ficar em pé durante todo o dia. "&amp;"O funcionário deverá frequentemente girar, torcer, curvar-se, agachar-se, subir escadas e escadas de mão (incluindo escadas de navio), alcançar acima da altura dos ombros, rastejar, ajoelhar-se, equilibrar-se, empurrar/puxar, manusear açúcar com pá, reemp"&amp;"ilhar paletes, caminhar longas distâncias, às vezes em superfícies irregulares e/ou em alturas elevadas. O funcionário deve ser capaz de executar tarefas repetitivas com destreza manual. Deve ser capaz de levantar até 23 kg continuamente e de 23 a 45 kg o"&amp;"casionalmente com auxílio para levantar. O funcionário deve ser capaz de usar uma pá para colocar açúcar em recipientes na altura dos ombros ocasionalmente. Deve ser capaz de alcançar acima da cabeça com as mãos e os braços e realizar movimentos repetitiv"&amp;"os com a parte superior do corpo. Deve ser capaz de abrir as portas superiores e inferiores dos vagões ferroviários. Deve ser capaz de trabalhar em diversas superfícies, que podem estar escorregadias devido ao açúcar solto, água ou gelo, e irregulares em "&amp;"áreas de concreto, grades de aço, pisos de alumínio e pátios ferroviários. Exposição a produtos químicos de limpeza e desinfecção, água quente, alta umidade, áreas de grande circulação, máquinas em movimento, levantamento de materiais ou produtos embalado"&amp;"s, subida de escadas e áreas de trabalho elevadas. Adaptações razoáveis ​​podem ser feitas para permitir que pessoas com deficiência desempenhem as funções essenciais deste cargo. Ao determinar o candidato mais qualificado, a empresa reserva-se o direito "&amp;"de considerar diversos fatores, incluindo habilidades, treinamento, formação acadêmica, desempenho profissional avaliado pelo supervisor, histórico disciplinar e frequência do funcionário. Número de horas por semana: 36. Horário de trabalho (início/términ"&amp;"o): 8h às 20h.")</f>
        <v>Executar uma ampla variedade de tarefas e funções predominantemente associadas à área de mecânica (montagem industrial), incluindo diversas intervenções de manutenção, desde a substituição de peças básicas até a reforma de equipamentos, otimização do desempenho e solução de problemas complexos. As atividades de manutenção incluem, entre outras, inspeção, substituição de peças, alinhamento, balanceamento, instalação e reforma. Compreender e manter equipamentos de processamento complexos, incluindo seus princípios de funcionamento e sua função no processo/fábrica. Compreender a função e a aplicação dos equipamentos a ponto de otimizar seu desempenho. Trabalhar em estreita colaboração com a Produção, obtendo um conhecimento detalhado dos parâmetros operacionais para garantir que as intervenções de manutenção sejam adequadas e eficazes. Coordenar com a supervisão da produção a execução de intervenções de manutenção em equipamentos de produção para garantir que estejam configurados e/ou instalados corretamente. É necessário ter raciocínio abstrato, capacidade de resolver problemas complexos e aplicar habilidades de solução de problemas. Manter equipamentos de transmissão de potência mecânica, incluindo acionamentos e equipamentos de transporte utilizados em diversas aplicações específicas da fábrica. Manter sistemas de fluidos, incluindo líquidos, pneumáticos, hidráulicos, bombas, válvulas, compressores, sopradores e ventiladores. Executar diversas atividades de junção e fabricação. Soldar, cortar, brasar e soldar diversos materiais, incluindo soldagem de aço carbono usando os processos SMAW e GMAW e soldagem de aço inoxidável usando o processo SMAW. F.a.5a-F.a.6b: 36+ horas/semana. Turnos de 12 horas, das 8h às 20h (turno diurno) e das 20h às 8h (turno noturno), 4 dias por semana, de domingo a sábado, em escala rotativa da Dupont: SEMANA 1: Seg-Qui: Turno diurno, Sex-Dom: Folga (total de 48 horas) SEMANA 2: Seg-Qui: Folga, Sex-Dom: Turno noturno (total de 36 horas) SEMANA 3: Seg: Turno noturno, Ter-Qui: Folga, Sex-Dom: Turno diurno (total de 48 horas) SEMANA 4: Seg: Folga, Ter-Qui: Turno noturno, Sex-Dom: Folga (total de 36 horas) Pode ser necessário trabalhar à noite, nos fins de semana e feriados, conforme a necessidade. A escala (incluindo os dias de trabalho) pode variar. Pode ser necessário trabalhar mais horas do que as garantidas. Pode ser necessário fazer horas extras. As horas extras variam e devem ser previamente aprovadas. F.b.8a: O salário está sujeito a alterações a partir de 1º de agosto de 2026, com base no Acordo Coletivo de Trabalho, mas os trabalhadores receberão, no mínimo, US$ 33,78 por hora. F.b.9: A partir de 1º de janeiro de 2024, conforme a legislação estadual de Minnesota, o funcionário acumulará uma hora de licença médica e de segurança remunerada a cada 30 horas trabalhadas, até um máximo de 48 horas de Licença Médica e de Segurança Remunerada (ESST) por ano, desde que trabalhe no mínimo 80 horas no ano civil. F.d.4: Os trabalhadores têm a opção de ter moradia fornecida pelo empregador durante o primeiro mês, por US$ 500 por mês para um quarto duplo, e, caso optem por essa modalidade, o empregador deduzirá os custos do salário do trabalhador. Os trabalhadores também têm a opção de providenciar sua própria acomodação. Classificação da Função: 49-9044.00 - Mecânico de Manutenção Industrial. A classificação e descrição da função/setor inclui informações gerais sobre o cargo, de acordo com o ONET/OES e o Sistema de Classificação Industrial da América do Norte (NAICS). Consulte as Funções e a Ordem de Serviço para obter mais informações. Requisitos da Função Experiência Necessária: Sim Meses de Experiência Necessários: 12 Requisitos Especiais: Diploma do Ensino Médio, certificado GED ou equivalente estrangeiro. Não será oferecido treinamento no local de trabalho. É necessário possuir 12 meses de experiência em mecânica ou montagem industrial. O candidato deve se submeter e ser aprovado em uma Avaliação de Segurança pré-admissional que avalia a capacidade do trabalhador de executar com segurança as funções e tarefas deste cargo. Deve concluir e ser aprovado em um teste de aptidão mecânica. Deve concluir e ser aprovado no teste de soldagem 1G em até 180 dias após a oferta de emprego. Deve ser capaz de ler, escrever e falar inglês para compreender e interpretar literatura técnica, material de referência e entender como usar as informações da FISPQ (Ficha de Informações de Segurança de Produtos Químicos). Deve ser um membro de equipe que demonstra iniciativa e ética profissional. Deve possuir boas habilidades de comunicação e interpessoais. Deve ter disponibilidade para trabalhar horas extras conforme necessário. Deve ter disponibilidade para trabalhar em turnos rotativos e prolongados. Requisitos Físicos/Cognitivos: Deve ser capaz de trabalhar de forma independente e em equipe. Deve ser capaz de se comunicar eficazmente e ter treinamento/conhecimento em procedimentos de evacuação de emergência. Deve conhecer e compreender todas as Boas Práticas de Fabricação (BPF), normas/procedimentos de segurança e informações de Fichas de Dados de Segurança (FDS) vigentes, aplicáveis ​​à área de embalagem e ao acondicionamento de produtos alimentícios. Deve compreender os princípios e fundamentos de operação dos equipamentos. Deve seguir as Boas Práticas de Fabricação e os requisitos de equipamentos de proteção individual. Exposição ocasional a níveis de ruído acima de 85 dB. A quantidade de poeira de açúcar no ar varia de leve a intensa, dependendo da área. Exposição a ambiente externo, com temperaturas que variam de frias a moderadamente quentes. O uso de equipamentos de proteção individual é obrigatório; deve ser capaz de realizar o teste de vedação para o uso de respiradores contra poeira. Deve ser capaz de caminhar e ficar em pé durante todo o dia. O funcionário deverá frequentemente girar, torcer, curvar-se, agachar-se, subir escadas e escadas de mão (incluindo escadas de navio), alcançar acima da altura dos ombros, rastejar, ajoelhar-se, equilibrar-se, empurrar/puxar, manusear açúcar com pá, reempilhar paletes, caminhar longas distâncias, às vezes em superfícies irregulares e/ou em alturas elevadas. O funcionário deve ser capaz de executar tarefas repetitivas com destreza manual. Deve ser capaz de levantar até 23 kg continuamente e de 23 a 45 kg ocasionalmente com auxílio para levantar. O funcionário deve ser capaz de usar uma pá para colocar açúcar em recipientes na altura dos ombros ocasionalmente. Deve ser capaz de alcançar acima da cabeça com as mãos e os braços e realizar movimentos repetitivos com a parte superior do corpo. Deve ser capaz de abrir as portas superiores e inferiores dos vagões ferroviários. Deve ser capaz de trabalhar em diversas superfícies, que podem estar escorregadias devido ao açúcar solto, água ou gelo, e irregulares em áreas de concreto, grades de aço, pisos de alumínio e pátios ferroviários. Exposição a produtos químicos de limpeza e desinfecção, água quente, alta umidade, áreas de grande circulação, máquinas em movimento, levantamento de materiais ou produtos embalados, subida de escadas e áreas de trabalho elevadas. Adaptações razoáveis ​​podem ser feitas para permitir que pessoas com deficiência desempenhem as funções essenciais deste cargo. Ao determinar o candidato mais qualificado, a empresa reserva-se o direito de considerar diversos fatores, incluindo habilidades, treinamento, formação acadêmica, desempenho profissional avaliado pelo supervisor, histórico disciplinar e frequência do funcionário. Número de horas por semana: 36. Horário de trabalho (início/término): 8h às 20h.</v>
      </c>
    </row>
    <row r="1606" ht="20.25" customHeight="1">
      <c r="A1606" s="3" t="s">
        <v>7158</v>
      </c>
      <c r="B1606" s="3" t="s">
        <v>7159</v>
      </c>
      <c r="C1606" s="3" t="s">
        <v>5563</v>
      </c>
      <c r="D1606" s="3" t="s">
        <v>403</v>
      </c>
      <c r="E1606" s="4" t="s">
        <v>19</v>
      </c>
      <c r="F1606" s="4" t="s">
        <v>20</v>
      </c>
      <c r="G1606" s="4" t="s">
        <v>29</v>
      </c>
      <c r="H1606" s="3" t="s">
        <v>7160</v>
      </c>
      <c r="I1606" s="3" t="s">
        <v>7161</v>
      </c>
      <c r="J1606" s="4">
        <v>19.85</v>
      </c>
      <c r="K1606" s="4">
        <v>6.0</v>
      </c>
      <c r="L1606" s="3" t="s">
        <v>7162</v>
      </c>
      <c r="M1606" s="3" t="s">
        <v>7163</v>
      </c>
      <c r="N1606" s="7" t="str">
        <f>IFERROR(__xludf.DUMMYFUNCTION("GOOGLETRANSLATE(L1606, ""en"", ""pt"")"),"Processador de frutos do mar/carne de veado")</f>
        <v>Processador de frutos do mar/carne de veado</v>
      </c>
      <c r="O1606" s="7" t="str">
        <f>IFERROR(__xludf.DUMMYFUNCTION("IF(M1606="""","""",GOOGLETRANSLATE(M1606,""en"",""pt""))"),"Preparar e manusear caranguejos crus e outros frutos do mar crus, incluindo ostras e camarões. Separar caranguejos vivos por tamanho e peso; separar carnes de frutos do mar processadas por tamanho ou qualidade. Esfolar, desossar, processar e embalar carne"&amp;" de veado. Embalar frutos do mar e carne de veado em recipientes apropriados para distribuição. Selar, contar, medir, colocar gelo, desossar e preparar pedidos para vendas no atacado ou varejo. Seguir todas as diretrizes estaduais e federais de segurança "&amp;"alimentar, garantindo a limpeza das estações de trabalho e equipamentos. Limpar e manter as estações de trabalho e equipamentos para garantir condições sanitárias de processamento. Auxiliar no descarregamento de frutos do mar crus dos caminhões e colocá-l"&amp;"os na área de processamento designada ou em bancadas de trabalho. Montar materiais de embalagem, preparar produtos para envio e auxiliar no carregamento de produtos acabados em caminhões para entrega. Consulte o Adendo em anexo. Classificação do Cargo: 53"&amp;"-7064.00 - Embaladores e Operadores de Embalagens Manuais. A classificação e descrição do cargo/setor inclui informações gerais sobre a posição, de acordo com o ONET/OES e o Sistema de Classificação Industrial da América do Norte. Consulte as Funções e a "&amp;"Ordem de Serviço para obter mais informações. Requisitos da Vaga Experiência Necessária: Não Requisitos Especiais: Capacidade de levantar, carregar e mover itens com peso igual ou superior a 23 kg (50 libras), conforme necessário para o manuseio de frutos"&amp;" do mar e carne de veado, embalagens e suprimentos. O empregador mantém um ambiente de trabalho livre do uso de drogas ilícitas, álcool e substâncias controladas não autorizadas. O uso, a posse, a venda ou o estado de embriaguez sob o efeito de drogas ilí"&amp;"citas ou álcool durante o horário de trabalho ou nas dependências do empregador são proibidos. O empregador poderá realizar verificações legais relacionadas ao trabalho, incluindo consultas sobre antecedentes criminais, quando permitido pelas leis federai"&amp;"s, estaduais e locais aplicáveis. Qualquer análise de antecedentes criminais será feita individualmente e as decisões de contratação serão tomadas de forma não discriminatória, em conformidade com as leis aplicáveis ​​e as necessidades da empresa. Número "&amp;"de Horas por Semana: 35 Horário de Trabalho (Início/Término): 7h às 14h")</f>
        <v>Preparar e manusear caranguejos crus e outros frutos do mar crus, incluindo ostras e camarões. Separar caranguejos vivos por tamanho e peso; separar carnes de frutos do mar processadas por tamanho ou qualidade. Esfolar, desossar, processar e embalar carne de veado. Embalar frutos do mar e carne de veado em recipientes apropriados para distribuição. Selar, contar, medir, colocar gelo, desossar e preparar pedidos para vendas no atacado ou varejo. Seguir todas as diretrizes estaduais e federais de segurança alimentar, garantindo a limpeza das estações de trabalho e equipamentos. Limpar e manter as estações de trabalho e equipamentos para garantir condições sanitárias de processamento. Auxiliar no descarregamento de frutos do mar crus dos caminhões e colocá-los na área de processamento designada ou em bancadas de trabalho. Montar materiais de embalagem, preparar produtos para envio e auxiliar no carregamento de produtos acabados em caminhões para entrega. Consulte o Adendo em anexo. Classificação do Cargo: 53-7064.00 - Embaladores e Operadores de Embalagens Manuais. A classificação e descrição do cargo/setor inclui informações gerais sobre a posição, de acordo com o ONET/OES e o Sistema de Classificação Industrial da América do Norte. Consulte as Funções e a Ordem de Serviço para obter mais informações. Requisitos da Vaga Experiência Necessária: Não Requisitos Especiais: Capacidade de levantar, carregar e mover itens com peso igual ou superior a 23 kg (50 libras), conforme necessário para o manuseio de frutos do mar e carne de veado, embalagens e suprimentos. O empregador mantém um ambiente de trabalho livre do uso de drogas ilícitas, álcool e substâncias controladas não autorizadas. O uso, a posse, a venda ou o estado de embriaguez sob o efeito de drogas ilícitas ou álcool durante o horário de trabalho ou nas dependências do empregador são proibidos. O empregador poderá realizar verificações legais relacionadas ao trabalho, incluindo consultas sobre antecedentes criminais, quando permitido pelas leis federais, estaduais e locais aplicáveis. Qualquer análise de antecedentes criminais será feita individualmente e as decisões de contratação serão tomadas de forma não discriminatória, em conformidade com as leis aplicáveis ​​e as necessidades da empresa. Número de Horas por Semana: 35 Horário de Trabalho (Início/Término): 7h às 14h</v>
      </c>
    </row>
    <row r="1607" ht="20.25" customHeight="1">
      <c r="A1607" s="8" t="s">
        <v>7164</v>
      </c>
      <c r="B1607" s="8" t="s">
        <v>7165</v>
      </c>
      <c r="C1607" s="8" t="s">
        <v>6692</v>
      </c>
      <c r="D1607" s="8" t="s">
        <v>1132</v>
      </c>
      <c r="E1607" s="9" t="s">
        <v>19</v>
      </c>
      <c r="F1607" s="9" t="s">
        <v>20</v>
      </c>
      <c r="G1607" s="9" t="s">
        <v>7166</v>
      </c>
      <c r="H1607" s="8" t="s">
        <v>7167</v>
      </c>
      <c r="I1607" s="8" t="s">
        <v>7168</v>
      </c>
      <c r="J1607" s="9">
        <v>13.37</v>
      </c>
      <c r="K1607" s="9">
        <v>1.0</v>
      </c>
      <c r="L1607" s="8" t="s">
        <v>7169</v>
      </c>
      <c r="M1607" s="8" t="s">
        <v>7170</v>
      </c>
      <c r="N1607" s="7" t="str">
        <f>IFERROR(__xludf.DUMMYFUNCTION("GOOGLETRANSLATE(L1607, ""en"", ""pt"")"),"Informações sobre recrutamento")</f>
        <v>Informações sobre recrutamento</v>
      </c>
      <c r="O1607" s="7" t="str">
        <f>IFERROR(__xludf.DUMMYFUNCTION("IF(M1607="""","""",GOOGLETRANSLATE(M1607,""en"",""pt""))"),"Cuidar da criança e realizar todas as tarefas relacionadas aos cuidados infantis, preparar refeições e lanches, vestir a criança adequadamente para suas atividades, ensinar comportamentos sociais apropriados, supervisionar as atividades da criança e monit"&amp;"orar sua segurança em todos os momentos, colocar a criança para dormir durante os cochilos, trabalhar com os pais para definir diretrizes disciplinares apropriadas e para o crescimento e desenvolvimento social da criança, supervisionar as brincadeiras com"&amp;" os amigos da criança, organizar e conduzir atividades recreativas adequadas à idade, como jogos, artes e artesanato e esportes. Classificação da vaga: 39-9011.01 - Babás. A classificação e descrição da vaga/setor incluem informações gerais sobre o cargo,"&amp;" de acordo com o ONET/OES e o Sistema de Classificação Industrial da América do Norte. Consulte as Funções e a Ordem de Serviço para obter mais informações. Requisitos da vaga: Experiência necessária: Sim. Meses de experiência necessários: 12. Número de h"&amp;"oras por semana: 36. Horário de trabalho (início/término): 7h30 às 16h30.")</f>
        <v>Cuidar da criança e realizar todas as tarefas relacionadas aos cuidados infantis, preparar refeições e lanches, vestir a criança adequadamente para suas atividades, ensinar comportamentos sociais apropriados, supervisionar as atividades da criança e monitorar sua segurança em todos os momentos, colocar a criança para dormir durante os cochilos, trabalhar com os pais para definir diretrizes disciplinares apropriadas e para o crescimento e desenvolvimento social da criança, supervisionar as brincadeiras com os amigos da criança, organizar e conduzir atividades recreativas adequadas à idade, como jogos, artes e artesanato e esportes. Classificação da vaga: 39-9011.01 - Babás. A classificação e descrição da vaga/setor incluem informações gerais sobre o cargo, de acordo com o ONET/OES e o Sistema de Classificação Industrial da América do Norte. Consulte as Funções e a Ordem de Serviço para obter mais informações. Requisitos da vaga: Experiência necessária: Sim. Meses de experiência necessários: 12. Número de horas por semana: 36. Horário de trabalho (início/término): 7h30 às 16h30.</v>
      </c>
    </row>
    <row r="1608" ht="20.25" customHeight="1">
      <c r="A1608" s="3" t="s">
        <v>7171</v>
      </c>
      <c r="B1608" s="3" t="s">
        <v>7172</v>
      </c>
      <c r="C1608" s="3" t="s">
        <v>7173</v>
      </c>
      <c r="D1608" s="3" t="s">
        <v>1031</v>
      </c>
      <c r="E1608" s="4" t="s">
        <v>19</v>
      </c>
      <c r="F1608" s="4" t="s">
        <v>20</v>
      </c>
      <c r="G1608" s="4" t="s">
        <v>7174</v>
      </c>
      <c r="H1608" s="3" t="s">
        <v>7175</v>
      </c>
      <c r="I1608" s="3" t="s">
        <v>7176</v>
      </c>
      <c r="J1608" s="4">
        <v>20.0</v>
      </c>
      <c r="K1608" s="4">
        <v>1.0</v>
      </c>
      <c r="L1608" s="3" t="s">
        <v>7177</v>
      </c>
      <c r="M1608" s="3" t="s">
        <v>7178</v>
      </c>
      <c r="N1608" s="7" t="str">
        <f>IFERROR(__xludf.DUMMYFUNCTION("GOOGLETRANSLATE(L1608, ""en"", ""pt"")"),"Babá residente")</f>
        <v>Babá residente</v>
      </c>
      <c r="O1608" s="7" t="str">
        <f>IFERROR(__xludf.DUMMYFUNCTION("IF(M1608="""","""",GOOGLETRANSLATE(M1608,""en"",""pt""))"),"Responsabilidades: - Prestar cuidados atenciosos a uma criança pequena em um ambiente doméstico privado - Planejar e participar de atividades educativas, recreativas e ao ar livre adequadas à idade - Acompanhar a criança a parques infantis, bibliotecas ou"&amp;" locais comunitários similares - Auxiliar na manutenção de rotinas de sono consistentes e apoiar o treinamento para o uso do banheiro - Preparar refeições e lanches simples para a criança - Realizar tarefas domésticas leves relacionadas à criança, incluin"&amp;"do lavar roupa, organizar áreas de brincadeira e lavar a louça usada pela criança - Manter a limpeza das áreas comuns utilizadas em atividades de cuidados infantis Requisitos: - Não é necessário escolaridade - Mínimo de 12 meses de experiência cuidando de"&amp;" bebês ou crianças de um a três anos de idade - Certificação em RCP e Primeiros Socorros, ou disposição para obtê-la em até 15 dias úteis após a contratação - Capacidade de levantar até 14 kg e participar ativamente de atividades de cuidados infantis - Ca"&amp;"pacidade de se comunicar em inglês com o empregador sobre atividades de cuidados infantis, atualizações de horários e o estado diário da criança Horário de Trabalho: - Vaga em tempo integral com horário variável, incluindo manhãs, tardes, noites e fins de"&amp;" semana, e cobertura de horas extras conforme necessário, de acordo com a escala de trabalho do empregador. - A vaga exige residência na casa do empregador para conciliar o horário de trabalho e as responsabilidades com os cuidados infantis, que podem se "&amp;"estender além de um horário diário padrão. Classificação da vaga: 39-9011.01 - Babás. A classificação e descrição da vaga/setor incluem informações gerais sobre o cargo, de acordo com o ONET/OES e o Sistema de Classificação Industrial da América do Norte "&amp;"(NAICS). Consulte as Funções e a Ordem de Serviço para obter mais informações. Requisitos da vaga: Experiência necessária: Sim. Meses de experiência necessários: 12. Requisitos especiais: Capacidade de se comunicar em inglês com o empregador sobre ativida"&amp;"des de cuidados infantis, atualizações de horários e o estado diário das crianças. Capacidade de levantar até 13,6 kg e participar ativamente das atividades de cuidados infantis. Número de horas por semana: 43. Horário de trabalho (início/término): 7h15 à"&amp;"s 15h15.")</f>
        <v>Responsabilidades: - Prestar cuidados atenciosos a uma criança pequena em um ambiente doméstico privado - Planejar e participar de atividades educativas, recreativas e ao ar livre adequadas à idade - Acompanhar a criança a parques infantis, bibliotecas ou locais comunitários similares - Auxiliar na manutenção de rotinas de sono consistentes e apoiar o treinamento para o uso do banheiro - Preparar refeições e lanches simples para a criança - Realizar tarefas domésticas leves relacionadas à criança, incluindo lavar roupa, organizar áreas de brincadeira e lavar a louça usada pela criança - Manter a limpeza das áreas comuns utilizadas em atividades de cuidados infantis Requisitos: - Não é necessário escolaridade - Mínimo de 12 meses de experiência cuidando de bebês ou crianças de um a três anos de idade - Certificação em RCP e Primeiros Socorros, ou disposição para obtê-la em até 15 dias úteis após a contratação - Capacidade de levantar até 14 kg e participar ativamente de atividades de cuidados infantis - Capacidade de se comunicar em inglês com o empregador sobre atividades de cuidados infantis, atualizações de horários e o estado diário da criança Horário de Trabalho: - Vaga em tempo integral com horário variável, incluindo manhãs, tardes, noites e fins de semana, e cobertura de horas extras conforme necessário, de acordo com a escala de trabalho do empregador. - A vaga exige residência na casa do empregador para conciliar o horário de trabalho e as responsabilidades com os cuidados infantis, que podem se estender além de um horário diário padrão. Classificação da vaga: 39-9011.01 - Babás. A classificação e descrição da vaga/setor incluem informações gerais sobre o cargo, de acordo com o ONET/OES e o Sistema de Classificação Industrial da América do Norte (NAICS). Consulte as Funções e a Ordem de Serviço para obter mais informações. Requisitos da vaga: Experiência necessária: Sim. Meses de experiência necessários: 12. Requisitos especiais: Capacidade de se comunicar em inglês com o empregador sobre atividades de cuidados infantis, atualizações de horários e o estado diário das crianças. Capacidade de levantar até 13,6 kg e participar ativamente das atividades de cuidados infantis. Número de horas por semana: 43. Horário de trabalho (início/término): 7h15 às 15h15.</v>
      </c>
    </row>
    <row r="1609" ht="20.25" customHeight="1">
      <c r="A1609" s="8" t="s">
        <v>7179</v>
      </c>
      <c r="B1609" s="8" t="s">
        <v>7180</v>
      </c>
      <c r="C1609" s="8" t="s">
        <v>5755</v>
      </c>
      <c r="D1609" s="8" t="s">
        <v>28</v>
      </c>
      <c r="E1609" s="9" t="s">
        <v>44</v>
      </c>
      <c r="F1609" s="9" t="s">
        <v>20</v>
      </c>
      <c r="G1609" s="9" t="s">
        <v>80</v>
      </c>
      <c r="H1609" s="8" t="s">
        <v>7181</v>
      </c>
      <c r="I1609" s="8" t="s">
        <v>7182</v>
      </c>
      <c r="J1609" s="9">
        <v>13.42</v>
      </c>
      <c r="K1609" s="9">
        <v>7.0</v>
      </c>
      <c r="L1609" s="8" t="s">
        <v>6261</v>
      </c>
      <c r="M1609" s="8" t="s">
        <v>7183</v>
      </c>
      <c r="N1609" s="7" t="str">
        <f>IFERROR(__xludf.DUMMYFUNCTION("GOOGLETRANSLATE(L1609, ""en"", ""pt"")"),"Cozinheiro de Pratos Rápidos")</f>
        <v>Cozinheiro de Pratos Rápidos</v>
      </c>
      <c r="O1609" s="7" t="str">
        <f>IFERROR(__xludf.DUMMYFUNCTION("IF(M1609="""","""",GOOGLETRANSLATE(M1609,""en"",""pt""))"),"Limpar e preparar lagostins - Classificar, ferver, pesar e ensacar. Preparar e organizar os alimentos para cozinhar, grelhar, fritar, assar, ferver, etc. Manter a área de trabalho limpa - Limpar e higienizar todas as superfícies (mesas, balcões, pisos), r"&amp;"emover todos os detritos e lixo, etc. Classificação do cargo: 35-2014.00 - Cozinheiros, Restaurante. A classificação e descrição do cargo/setor incluem informações gerais sobre a posição, de acordo com o ONET/OES e o Sistema de Classificação Industrial da"&amp;" América do Norte. Consulte as Funções e a Ordem de Serviço para obter mais informações. Requisitos do cargo: Experiência necessária: Não. Requisitos especiais: Deve ter disponibilidade para trabalhar nos fins de semana. Deve ser capaz de levantar até 23 "&amp;"kg, agachar, curvar-se, sentar, caminhar, ajoelhar-se e alcançar (acima da cabeça ou ao nível do solo) por períodos prolongados. Após a contratação, o funcionário poderá ser submetido a um teste toxicológico aleatório (sem custo para o funcionário). Um re"&amp;"sultado positivo ou a recusa em realizar o teste poderá resultar em demissão imediata. O horário de trabalho padrão é das 7h às 16h, de segunda a sexta-feira. Trabalho aos sábados e domingos é necessário, quando preciso. O empregador oferece 35 horas sema"&amp;"nais. Horas extras são oferecidas, mas não garantidas. O empregador pode oferecer mais horas do que as estipuladas, dependendo da disponibilidade de produtos/frutos do mar, das necessidades da empresa e de outras condições. Número de horas por semana: 35."&amp;" Horário de trabalho (início/término): 7h às 16h.")</f>
        <v>Limpar e preparar lagostins - Classificar, ferver, pesar e ensacar. Preparar e organizar os alimentos para cozinhar, grelhar, fritar, assar, ferver, etc. Manter a área de trabalho limpa - Limpar e higienizar todas as superfícies (mesas, balcões, pisos), remover todos os detritos e lixo, etc. Classificação do cargo: 35-2014.00 - Cozinheiros, Restaurante. A classificação e descrição do cargo/setor incluem informações gerais sobre a posição, de acordo com o ONET/OES e o Sistema de Classificação Industrial da América do Norte. Consulte as Funções e a Ordem de Serviço para obter mais informações. Requisitos do cargo: Experiência necessária: Não. Requisitos especiais: Deve ter disponibilidade para trabalhar nos fins de semana. Deve ser capaz de levantar até 23 kg, agachar, curvar-se, sentar, caminhar, ajoelhar-se e alcançar (acima da cabeça ou ao nível do solo) por períodos prolongados. Após a contratação, o funcionário poderá ser submetido a um teste toxicológico aleatório (sem custo para o funcionário). Um resultado positivo ou a recusa em realizar o teste poderá resultar em demissão imediata. O horário de trabalho padrão é das 7h às 16h, de segunda a sexta-feira. Trabalho aos sábados e domingos é necessário, quando preciso. O empregador oferece 35 horas semanais. Horas extras são oferecidas, mas não garantidas. O empregador pode oferecer mais horas do que as estipuladas, dependendo da disponibilidade de produtos/frutos do mar, das necessidades da empresa e de outras condições. Número de horas por semana: 35. Horário de trabalho (início/término): 7h às 16h.</v>
      </c>
    </row>
    <row r="1610" ht="20.25" customHeight="1">
      <c r="A1610" s="3" t="s">
        <v>7184</v>
      </c>
      <c r="B1610" s="3" t="s">
        <v>7185</v>
      </c>
      <c r="C1610" s="3" t="s">
        <v>6234</v>
      </c>
      <c r="D1610" s="3" t="s">
        <v>71</v>
      </c>
      <c r="E1610" s="4" t="s">
        <v>19</v>
      </c>
      <c r="F1610" s="4" t="s">
        <v>20</v>
      </c>
      <c r="G1610" s="4" t="s">
        <v>1650</v>
      </c>
      <c r="H1610" s="3" t="s">
        <v>7186</v>
      </c>
      <c r="I1610" s="3" t="s">
        <v>7187</v>
      </c>
      <c r="J1610" s="4">
        <v>17.69</v>
      </c>
      <c r="K1610" s="4">
        <v>10.0</v>
      </c>
      <c r="L1610" s="3" t="s">
        <v>6521</v>
      </c>
      <c r="M1610" s="3" t="s">
        <v>7188</v>
      </c>
      <c r="N1610" s="7" t="str">
        <f>IFERROR(__xludf.DUMMYFUNCTION("GOOGLETRANSLATE(L1610, ""en"", ""pt"")"),"Manutenção de jardins no inverno")</f>
        <v>Manutenção de jardins no inverno</v>
      </c>
      <c r="O1610" s="7" t="str">
        <f>IFERROR(__xludf.DUMMYFUNCTION("IF(M1610="""","""",GOOGLETRANSLATE(M1610,""en"",""pt""))"),"Responsabilidades: Remoção e poda de arbustos; poda e remoção de árvores caídas utilizando motosserras e podadores; limpeza e remoção de folhas e detritos do terreno; descarte de galhos, ramos e árvores caídas utilizando ferramentas como motosserras e tri"&amp;"turadores para limpar o terreno de árvores caídas após tempestades de inverno e carregar os galhos cortados/pequenos troncos em caminhão para remoção; plantio de paisagismo de inverno, incluindo azevinho e outras coníferas, espalhamento de cobertura morta"&amp;"; instalação, aplicação e fertilização de azevém perene; preparação de plantas e árvores para protegê-las de geadas, com manutenção de inverno dos jardins e controle de drenagem; plantio de flores anuais de inverno (amor-perfeito, poinsétias, coníferas); "&amp;"instalação, aplicação e fertilização de cobertura morta em toda a propriedade para proteger as plantas e limpeza de lagoas de retenção. Organização e preparação de diversos itens de decoração natalina, incluindo luzes de cordão, enfeites e arranjos, expos"&amp;"ições e decorações sazonais/de festas. Também inclui a instalação e/ou remoção desses itens de decoração/estoque e materiais dos locais de trabalho e a preparação para armazenamento. Carregamento e descarregamento de materiais e equipamentos. É necessário"&amp;" levantar até 23 kg (50 libras). O trabalho é realizado em locais de obra na região, com transporte fornecido pelo empregador de ida e volta a partir de um ponto de coleta centralizado na área de atuação. Classificação da vaga: 37-3011.00 - Trabalhadores "&amp;"de Paisagismo e Manutenção de Áreas Verdes. A classificação e descrição da vaga/setor incluem informações gerais sobre o cargo, de acordo com o ONET/OES e o Sistema de Classificação Industrial da América do Norte (NAICS). Consulte as Funções e a Ordem de "&amp;"Serviço para obter mais informações. Requisitos da vaga: Experiência necessária: Não. Número de horas por semana: 35. Horário de trabalho (início/término): 7h às 15h.")</f>
        <v>Responsabilidades: Remoção e poda de arbustos; poda e remoção de árvores caídas utilizando motosserras e podadores; limpeza e remoção de folhas e detritos do terreno; descarte de galhos, ramos e árvores caídas utilizando ferramentas como motosserras e trituradores para limpar o terreno de árvores caídas após tempestades de inverno e carregar os galhos cortados/pequenos troncos em caminhão para remoção; plantio de paisagismo de inverno, incluindo azevinho e outras coníferas, espalhamento de cobertura morta; instalação, aplicação e fertilização de azevém perene; preparação de plantas e árvores para protegê-las de geadas, com manutenção de inverno dos jardins e controle de drenagem; plantio de flores anuais de inverno (amor-perfeito, poinsétias, coníferas); instalação, aplicação e fertilização de cobertura morta em toda a propriedade para proteger as plantas e limpeza de lagoas de retenção. Organização e preparação de diversos itens de decoração natalina, incluindo luzes de cordão, enfeites e arranjos, exposições e decorações sazonais/de festas. Também inclui a instalação e/ou remoção desses itens de decoração/estoque e materiais dos locais de trabalho e a preparação para armazenamento. Carregamento e descarregamento de materiais e equipamentos. É necessário levantar até 23 kg (50 libras). O trabalho é realizado em locais de obra na região, com transporte fornecido pelo empregador de ida e volta a partir de um ponto de coleta centralizado na área de atuação. Classificação da vaga: 37-3011.00 - Trabalhadores de Paisagismo e Manutenção de Áreas Verdes. A classificação e descrição da vaga/setor incluem informações gerais sobre o cargo, de acordo com o ONET/OES e o Sistema de Classificação Industrial da América do Norte (NAICS). Consulte as Funções e a Ordem de Serviço para obter mais informações. Requisitos da vaga: Experiência necessária: Não. Número de horas por semana: 35. Horário de trabalho (início/término): 7h às 15h.</v>
      </c>
    </row>
    <row r="1611" ht="20.25" customHeight="1">
      <c r="A1611" s="8" t="s">
        <v>7189</v>
      </c>
      <c r="B1611" s="8" t="s">
        <v>7190</v>
      </c>
      <c r="C1611" s="8" t="s">
        <v>7191</v>
      </c>
      <c r="D1611" s="8" t="s">
        <v>28</v>
      </c>
      <c r="E1611" s="9" t="s">
        <v>19</v>
      </c>
      <c r="F1611" s="9" t="s">
        <v>20</v>
      </c>
      <c r="G1611" s="9" t="s">
        <v>2256</v>
      </c>
      <c r="H1611" s="8" t="s">
        <v>7192</v>
      </c>
      <c r="I1611" s="8" t="s">
        <v>7193</v>
      </c>
      <c r="J1611" s="9">
        <v>13.44</v>
      </c>
      <c r="K1611" s="9">
        <v>7.0</v>
      </c>
      <c r="L1611" s="8" t="s">
        <v>7194</v>
      </c>
      <c r="M1611" s="8" t="s">
        <v>7195</v>
      </c>
      <c r="N1611" s="7" t="str">
        <f>IFERROR(__xludf.DUMMYFUNCTION("GOOGLETRANSLATE(L1611, ""en"", ""pt"")"),"Cozinheiro, Pedido Rápido")</f>
        <v>Cozinheiro, Pedido Rápido</v>
      </c>
      <c r="O1611" s="7" t="str">
        <f>IFERROR(__xludf.DUMMYFUNCTION("IF(M1611="""","""",GOOGLETRANSLATE(M1611,""en"",""pt""))"),"Os funcionários lavarão, prepararão e cozinharão lagostins, frutos do mar e outros itens do cardápio. Os processos de cozimento podem incluir fervura, grelha, fritura, cozimento a vapor e preparo na churrasqueira, entre outros. Os funcionários também serã"&amp;"o responsáveis ​​pela limpeza geral, incluindo a inspeção e limpeza das áreas de preparo de alimentos, como equipamentos e superfícies de trabalho, ou áreas de serviço, para garantir práticas seguras e higiênicas de manipulação de alimentos. Os funcionári"&amp;"os devem garantir o frescor dos alimentos e ingredientes, verificando a qualidade, e podem ser solicitados a fazer o rodízio de estoque. É necessário ser capaz de levantar de 13 a 18 kg, quando necessário. É NECESSÁRIO TER DISPONIBILIDADE PARA TODA A TEMP"&amp;"ORADA, SER CAPAZ, ESTAR DISPOSTO E QUALIFICADO PARA DESEMPENHAR O TRABALHO. SÃO EXIGIDOS 3 MESES DE EXPERIÊNCIA COMPROVADA NA FUNÇÃO OFERECIDA. O TRABALHADOR PODERÁ SER SUBMETIDO A UM TESTE DE DROGAS ALEATÓRIO APÓS A CONTRATAÇÃO, SEM CUSTO PARA O TRABALHA"&amp;"DOR. TESTE DE DROGAS APÓS ACIDENTE É OBRIGATÓRIO. Classificação da Função: 35-2014.00 - Cozinheiros, Restaurante. A classificação e descrição da função/setor inclui informações gerais sobre o cargo, de acordo com o ONET/OES e o Sistema de Classificação In"&amp;"dustrial da América do Norte. Consulte as Funções e a Ordem de Serviço para obter mais informações. Requisitos da Função: Experiência Exigida: Sim. Meses de Experiência Exigidos: 3. Requisitos Especiais: DEVE SER CAPAZ DE LEVANTAR DE 13 A 18 KG, QUANDO NE"&amp;"CESSÁRIO. DEVE TER DISPONIBILIDADE PARA TODA A TEMPORADA, SER CAPAZ, ESTAR DISPOSTO E QUALIFICADO PARA DESEMPENHAR O TRABALHO. O funcionário poderá ser submetido a um teste toxicológico aleatório após a contratação, sem nenhum custo para ele. Testes toxic"&amp;"ológicos pós-acidente são obrigatórios. É necessário comprovar 3 meses de experiência positiva na função oferecida. Número de horas por semana: 40. Horário de trabalho (início/término): 14h às 22h.")</f>
        <v>Os funcionários lavarão, prepararão e cozinharão lagostins, frutos do mar e outros itens do cardápio. Os processos de cozimento podem incluir fervura, grelha, fritura, cozimento a vapor e preparo na churrasqueira, entre outros. Os funcionários também serão responsáveis ​​pela limpeza geral, incluindo a inspeção e limpeza das áreas de preparo de alimentos, como equipamentos e superfícies de trabalho, ou áreas de serviço, para garantir práticas seguras e higiênicas de manipulação de alimentos. Os funcionários devem garantir o frescor dos alimentos e ingredientes, verificando a qualidade, e podem ser solicitados a fazer o rodízio de estoque. É necessário ser capaz de levantar de 13 a 18 kg, quando necessário. É NECESSÁRIO TER DISPONIBILIDADE PARA TODA A TEMPORADA, SER CAPAZ, ESTAR DISPOSTO E QUALIFICADO PARA DESEMPENHAR O TRABALHO. SÃO EXIGIDOS 3 MESES DE EXPERIÊNCIA COMPROVADA NA FUNÇÃO OFERECIDA. O TRABALHADOR PODERÁ SER SUBMETIDO A UM TESTE DE DROGAS ALEATÓRIO APÓS A CONTRATAÇÃO, SEM CUSTO PARA O TRABALHADOR. TESTE DE DROGAS APÓS ACIDENTE É OBRIGATÓRIO. Classificação da Função: 35-2014.00 - Cozinheiros, Restaurante. A classificação e descrição da função/setor inclui informações gerais sobre o cargo, de acordo com o ONET/OES e o Sistema de Classificação Industrial da América do Norte. Consulte as Funções e a Ordem de Serviço para obter mais informações. Requisitos da Função: Experiência Exigida: Sim. Meses de Experiência Exigidos: 3. Requisitos Especiais: DEVE SER CAPAZ DE LEVANTAR DE 13 A 18 KG, QUANDO NECESSÁRIO. DEVE TER DISPONIBILIDADE PARA TODA A TEMPORADA, SER CAPAZ, ESTAR DISPOSTO E QUALIFICADO PARA DESEMPENHAR O TRABALHO. O funcionário poderá ser submetido a um teste toxicológico aleatório após a contratação, sem nenhum custo para ele. Testes toxicológicos pós-acidente são obrigatórios. É necessário comprovar 3 meses de experiência positiva na função oferecida. Número de horas por semana: 40. Horário de trabalho (início/término): 14h às 22h.</v>
      </c>
    </row>
    <row r="1612" ht="20.25" customHeight="1">
      <c r="A1612" s="3" t="s">
        <v>7196</v>
      </c>
      <c r="B1612" s="3" t="s">
        <v>7197</v>
      </c>
      <c r="C1612" s="3" t="s">
        <v>6921</v>
      </c>
      <c r="D1612" s="3" t="s">
        <v>1103</v>
      </c>
      <c r="E1612" s="4" t="s">
        <v>19</v>
      </c>
      <c r="F1612" s="4" t="s">
        <v>20</v>
      </c>
      <c r="G1612" s="4" t="s">
        <v>3138</v>
      </c>
      <c r="H1612" s="3" t="s">
        <v>7198</v>
      </c>
      <c r="I1612" s="3" t="s">
        <v>7199</v>
      </c>
      <c r="J1612" s="4">
        <v>21.29</v>
      </c>
      <c r="K1612" s="4">
        <v>10.0</v>
      </c>
      <c r="L1612" s="3" t="s">
        <v>7200</v>
      </c>
      <c r="M1612" s="3" t="s">
        <v>7201</v>
      </c>
      <c r="N1612" s="7" t="str">
        <f>IFERROR(__xludf.DUMMYFUNCTION("GOOGLETRANSLATE(L1612, ""en"", ""pt"")"),"Operações na Neve Nível 1")</f>
        <v>Operações na Neve Nível 1</v>
      </c>
      <c r="O1612" s="7" t="str">
        <f>IFERROR(__xludf.DUMMYFUNCTION("IF(M1612="""","""",GOOGLETRANSLATE(M1612,""en"",""pt""))"),"Familiarizar-se e tornar-se competente com os equipamentos e técnicas de produção de neve e preparação de pistas da Deer Valley. Manter, movimentar e instalar os equipamentos de produção de neve, incluindo, entre outros, canhões de neve e mangueiras, para"&amp;" maximizar as operações de produção de neve. Realizar verificações de equipamentos e produção, incluindo o monitoramento das condições climáticas durante as operações de produção de neve. Garantir densidade e distribuição consistentes de neve, criando uma"&amp;" superfície esquiável com máquinas de preparação de pistas. A equipe de Manutenção de Pistas trabalhará em tempo integral nas equipes de Produção de Neve e/ou Preparação de Pistas, conforme a demanda ao longo da temporada. Realizar a manutenção e a soluçã"&amp;"o de problemas dos canhões de neve, hidrantes e equipamentos. Executar com competência e consciência as inspeções e manutenções necessárias nos equipamentos, registrando os resultados com precisão e completude. Operar com segurança máquinas pesadas, veícu"&amp;"los da empresa e motos de neve, conforme designado. Reportar de forma rápida e precisa qualquer problema com o produto ou equipamento a um supervisor. Auxiliar na manutenção e reparos de equipamentos, conforme necessário. Demonstrar conduta profissional e"&amp;" etiqueta adequada ao rádio. Manter a limpeza dos equipamentos e instalações. Ser receptivo a orientações e instruções durante o treinamento, execução de tarefas e mentoria de funcionários menos experientes. Classificação da Função: 51-9193.00 - Operadore"&amp;"s e Auxiliares de Equipamentos de Resfriamento e Congelamento. A classificação e descrição da função/setor inclui informações gerais sobre o cargo, de acordo com o ONET/OES e o Sistema de Classificação Industrial da América do Norte (NAICS). Consulte as F"&amp;"unções e a Ordem de Serviço para obter mais informações. Requisitos da Função Experiência Necessária: Sim Meses de Experiência Necessários: 3 Requisitos Especiais: 3 meses de experiência na operação de equipamentos de produção de neve. Capacidade de levan"&amp;"tar e carregar pelo menos 27 kg. Capacidade de caminhar em terrenos íngremes e irregulares e tolerar o trabalho em condições extremas. Disponibilidade para trabalhar em todos os turnos programados, incluindo fins de semana, feriados, turnos da tarde e da "&amp;"noite. A verificação de antecedentes criminais é realizada durante o processo de admissão ou recontratação pelo Departamento de Recursos Humanos. Exames toxicológicos são realizados aleatoriamente, em caso de acidente de trabalho ou danos à propriedade da"&amp;" Deer Valley superiores a US$ 150. Treinamento no local de trabalho fornecido. Treinamento oferecido. Dias e turnos: Dependendo das condições climáticas: 12h45 - 1h, 16h30 - 1h, 0h45 - 13h, 0h45 - 9h30, incluindo fins de semana e feriados. Salário por hor"&amp;"a: US$ 21,29 a US$ 36,05 por hora (com base no mérito e experiência anterior na empresa). Possibilidade de horas extras: Horas extras podem estar disponíveis com pagamento de US$ 31,94 a US$ 54,08 por hora. Benefícios: Refeições a US$ 3,50 por refeição, p"&amp;"asses de teleférico gratuitos, descontos de 10% a 20% em todas as lojas de Deer Valley. Número de horas por semana: 35. Horário de trabalho (início/término): 12h45 - 1h.")</f>
        <v>Familiarizar-se e tornar-se competente com os equipamentos e técnicas de produção de neve e preparação de pistas da Deer Valley. Manter, movimentar e instalar os equipamentos de produção de neve, incluindo, entre outros, canhões de neve e mangueiras, para maximizar as operações de produção de neve. Realizar verificações de equipamentos e produção, incluindo o monitoramento das condições climáticas durante as operações de produção de neve. Garantir densidade e distribuição consistentes de neve, criando uma superfície esquiável com máquinas de preparação de pistas. A equipe de Manutenção de Pistas trabalhará em tempo integral nas equipes de Produção de Neve e/ou Preparação de Pistas, conforme a demanda ao longo da temporada. Realizar a manutenção e a solução de problemas dos canhões de neve, hidrantes e equipamentos. Executar com competência e consciência as inspeções e manutenções necessárias nos equipamentos, registrando os resultados com precisão e completude. Operar com segurança máquinas pesadas, veículos da empresa e motos de neve, conforme designado. Reportar de forma rápida e precisa qualquer problema com o produto ou equipamento a um supervisor. Auxiliar na manutenção e reparos de equipamentos, conforme necessário. Demonstrar conduta profissional e etiqueta adequada ao rádio. Manter a limpeza dos equipamentos e instalações. Ser receptivo a orientações e instruções durante o treinamento, execução de tarefas e mentoria de funcionários menos experientes. Classificação da Função: 51-9193.00 - Operadores e Auxiliares de Equipamentos de Resfriamento e Congelamento. A classificação e descrição da função/setor inclui informações gerais sobre o cargo, de acordo com o ONET/OES e o Sistema de Classificação Industrial da América do Norte (NAICS). Consulte as Funções e a Ordem de Serviço para obter mais informações. Requisitos da Função Experiência Necessária: Sim Meses de Experiência Necessários: 3 Requisitos Especiais: 3 meses de experiência na operação de equipamentos de produção de neve. Capacidade de levantar e carregar pelo menos 27 kg. Capacidade de caminhar em terrenos íngremes e irregulares e tolerar o trabalho em condições extremas. Disponibilidade para trabalhar em todos os turnos programados, incluindo fins de semana, feriados, turnos da tarde e da noite. A verificação de antecedentes criminais é realizada durante o processo de admissão ou recontratação pelo Departamento de Recursos Humanos. Exames toxicológicos são realizados aleatoriamente, em caso de acidente de trabalho ou danos à propriedade da Deer Valley superiores a US$ 150. Treinamento no local de trabalho fornecido. Treinamento oferecido. Dias e turnos: Dependendo das condições climáticas: 12h45 - 1h, 16h30 - 1h, 0h45 - 13h, 0h45 - 9h30, incluindo fins de semana e feriados. Salário por hora: US$ 21,29 a US$ 36,05 por hora (com base no mérito e experiência anterior na empresa). Possibilidade de horas extras: Horas extras podem estar disponíveis com pagamento de US$ 31,94 a US$ 54,08 por hora. Benefícios: Refeições a US$ 3,50 por refeição, passes de teleférico gratuitos, descontos de 10% a 20% em todas as lojas de Deer Valley. Número de horas por semana: 35. Horário de trabalho (início/término): 12h45 - 1h.</v>
      </c>
    </row>
    <row r="1613" ht="20.25" customHeight="1">
      <c r="A1613" s="8" t="s">
        <v>7202</v>
      </c>
      <c r="B1613" s="8" t="s">
        <v>7203</v>
      </c>
      <c r="C1613" s="8" t="s">
        <v>7141</v>
      </c>
      <c r="D1613" s="8" t="s">
        <v>249</v>
      </c>
      <c r="E1613" s="9" t="s">
        <v>44</v>
      </c>
      <c r="F1613" s="9" t="s">
        <v>20</v>
      </c>
      <c r="G1613" s="9" t="s">
        <v>56</v>
      </c>
      <c r="H1613" s="8" t="s">
        <v>7204</v>
      </c>
      <c r="I1613" s="8" t="s">
        <v>7205</v>
      </c>
      <c r="J1613" s="9">
        <v>18.91</v>
      </c>
      <c r="K1613" s="9">
        <v>4.0</v>
      </c>
      <c r="L1613" s="8" t="s">
        <v>59</v>
      </c>
      <c r="M1613" s="8" t="s">
        <v>7206</v>
      </c>
      <c r="N1613" s="7" t="str">
        <f>IFERROR(__xludf.DUMMYFUNCTION("GOOGLETRANSLATE(L1613, ""en"", ""pt"")"),"Trabalhador de paisagismo")</f>
        <v>Trabalhador de paisagismo</v>
      </c>
      <c r="O1613" s="7" t="str">
        <f>IFERROR(__xludf.DUMMYFUNCTION("IF(M1613="""","""",GOOGLETRANSLATE(M1613,""en"",""pt""))"),"Cortar, aparar, regar e aparar a grama. Recolher folhas secas, arrancar e picar ervas daninhas; transportar terra vegetal e cobertura morta. Limpar o local. Classificação da função: 37-3011.00 - Trabalhadores de Paisagismo e Manutenção de Jardins. A class"&amp;"ificação e descrição da função/setor inclui informações gerais sobre o cargo, de acordo com o ONET/OES e o Sistema de Classificação Industrial da América do Norte. Consulte as Funções e a Ordem de Serviço para obter mais informações. Requisitos da função:"&amp;" Experiência necessária: Não. Requisitos especiais: Capacidade de levantar/carregar 23 kg quando necessário. Número de horas por semana: 40. Horário de trabalho (início/término): 8h às 17h.")</f>
        <v>Cortar, aparar, regar e aparar a grama. Recolher folhas secas, arrancar e picar ervas daninhas; transportar terra vegetal e cobertura morta. Limpar o local. Classificação da função: 37-3011.00 - Trabalhadores de Paisagismo e Manutenção de Jardins. A classificação e descrição da função/setor inclui informações gerais sobre o cargo, de acordo com o ONET/OES e o Sistema de Classificação Industrial da América do Norte. Consulte as Funções e a Ordem de Serviço para obter mais informações. Requisitos da função: Experiência necessária: Não. Requisitos especiais: Capacidade de levantar/carregar 23 kg quando necessário. Número de horas por semana: 40. Horário de trabalho (início/término): 8h às 17h.</v>
      </c>
    </row>
    <row r="1614" ht="20.25" customHeight="1">
      <c r="A1614" s="3" t="s">
        <v>7207</v>
      </c>
      <c r="B1614" s="3" t="s">
        <v>7208</v>
      </c>
      <c r="C1614" s="3" t="s">
        <v>7209</v>
      </c>
      <c r="D1614" s="3" t="s">
        <v>532</v>
      </c>
      <c r="E1614" s="4" t="s">
        <v>44</v>
      </c>
      <c r="F1614" s="4" t="s">
        <v>20</v>
      </c>
      <c r="G1614" s="4" t="s">
        <v>345</v>
      </c>
      <c r="H1614" s="3" t="s">
        <v>7210</v>
      </c>
      <c r="I1614" s="3" t="s">
        <v>7211</v>
      </c>
      <c r="J1614" s="4">
        <v>23.31</v>
      </c>
      <c r="K1614" s="4">
        <v>6.0</v>
      </c>
      <c r="L1614" s="3" t="s">
        <v>7212</v>
      </c>
      <c r="M1614" s="3" t="s">
        <v>7213</v>
      </c>
      <c r="N1614" s="7" t="str">
        <f>IFERROR(__xludf.DUMMYFUNCTION("GOOGLETRANSLATE(L1614, ""en"", ""pt"")"),"Pescador comercial")</f>
        <v>Pescador comercial</v>
      </c>
      <c r="O1614" s="7" t="str">
        <f>IFERROR(__xludf.DUMMYFUNCTION("IF(M1614="""","""",GOOGLETRANSLATE(M1614,""en"",""pt""))"),"Pescadores de alto mar necessários a bordo de embarcações de pesca comercial. Requer conhecimento de pesca comercial e técnicas de emenda de cordas, além de levantamento contínuo de gaiolas de 40 kg. O trabalho é realizado no mar, a bordo do navio. O pesc"&amp;"ador irá lançar, recolher, instalar e limpar redes de pesca e gaiolas para caranguejos. Outras funções incluem a manutenção rotineira de equipamentos de pesca, como o reparo de furos em redes, a garantia do funcionamento adequado dos equipamentos de pesca"&amp;", a inspeção de cordas, bem como a execução de emendas e nós. O pescador deverá seguir os procedimentos de marinharia e segurança marítima. O trabalho é realizado no mar, a bordo de uma embarcação de pesca. Os horários de início e término do trabalho diár"&amp;"io podem variar, dependendo das condições climáticas que afetam a segurança da tripulação. Classificação da vaga: 45-3031.00 - Trabalhadores da Pesca e Caça. A classificação e descrição da vaga/setor incluem informações gerais sobre o cargo, de acordo com"&amp;" o ONET/OES e o Sistema de Classificação Industrial da América do Norte. Consulte as Funções e a Ordem de Serviço para obter mais informações. Requisitos da vaga Experiência necessária: Sim Meses de experiência necessários: 3 Requisitos especiais: É neces"&amp;"sário conhecimento de técnicas de pesca comercial. Deve ser capaz de levantar continuamente gaiolas de 40 kg durante todo o expediente. É necessário conhecimento de técnicas de emenda de cordas, bem como de instalação e reparo de redes. Deve ser aprovado "&amp;"no teste de drogas, conforme as normas da Guarda Costeira dos EUA. Número de horas por semana: 40 Horário de trabalho (início/término): 7h30 às 15h30")</f>
        <v>Pescadores de alto mar necessários a bordo de embarcações de pesca comercial. Requer conhecimento de pesca comercial e técnicas de emenda de cordas, além de levantamento contínuo de gaiolas de 40 kg. O trabalho é realizado no mar, a bordo do navio. O pescador irá lançar, recolher, instalar e limpar redes de pesca e gaiolas para caranguejos. Outras funções incluem a manutenção rotineira de equipamentos de pesca, como o reparo de furos em redes, a garantia do funcionamento adequado dos equipamentos de pesca, a inspeção de cordas, bem como a execução de emendas e nós. O pescador deverá seguir os procedimentos de marinharia e segurança marítima. O trabalho é realizado no mar, a bordo de uma embarcação de pesca. Os horários de início e término do trabalho diário podem variar, dependendo das condições climáticas que afetam a segurança da tripulação. Classificação da vaga: 45-3031.00 - Trabalhadores da Pesca e Caça. A classificação e descrição da vaga/setor incluem informações gerais sobre o cargo, de acordo com o ONET/OES e o Sistema de Classificação Industrial da América do Norte. Consulte as Funções e a Ordem de Serviço para obter mais informações. Requisitos da vaga Experiência necessária: Sim Meses de experiência necessários: 3 Requisitos especiais: É necessário conhecimento de técnicas de pesca comercial. Deve ser capaz de levantar continuamente gaiolas de 40 kg durante todo o expediente. É necessário conhecimento de técnicas de emenda de cordas, bem como de instalação e reparo de redes. Deve ser aprovado no teste de drogas, conforme as normas da Guarda Costeira dos EUA. Número de horas por semana: 40 Horário de trabalho (início/término): 7h30 às 15h30</v>
      </c>
    </row>
    <row r="1615" ht="20.25" customHeight="1">
      <c r="A1615" s="3" t="s">
        <v>7214</v>
      </c>
      <c r="B1615" s="3" t="s">
        <v>7215</v>
      </c>
      <c r="C1615" s="3" t="s">
        <v>17</v>
      </c>
      <c r="D1615" s="3" t="s">
        <v>306</v>
      </c>
      <c r="E1615" s="4" t="s">
        <v>19</v>
      </c>
      <c r="F1615" s="4" t="s">
        <v>20</v>
      </c>
      <c r="G1615" s="4" t="s">
        <v>56</v>
      </c>
      <c r="H1615" s="10" t="s">
        <v>7216</v>
      </c>
      <c r="I1615" s="3" t="s">
        <v>7217</v>
      </c>
      <c r="J1615" s="4">
        <v>19.93</v>
      </c>
      <c r="K1615" s="4">
        <v>14.0</v>
      </c>
      <c r="L1615" s="3" t="s">
        <v>321</v>
      </c>
      <c r="M1615" s="3" t="s">
        <v>7218</v>
      </c>
      <c r="N1615" s="7" t="str">
        <f>IFERROR(__xludf.DUMMYFUNCTION("GOOGLETRANSLATE(L1615, ""en"", ""pt"")"),"Trabalhadores de paisagismo")</f>
        <v>Trabalhadores de paisagismo</v>
      </c>
      <c r="O1615" s="7" t="str">
        <f>IFERROR(__xludf.DUMMYFUNCTION("IF(M1615="""","""",GOOGLETRANSLATE(M1615,""en"",""pt""))"),"Paisagismo e manutenção de terrenos utilizando ferramentas manuais ou elétricas. Os trabalhadores geralmente executam uma variedade de tarefas, que podem incluir qualquer combinação das seguintes: colocação de grama, semeadura, poda, plantio, irrigação, f"&amp;"ertilização, escavação, nivelamento, rastelamento e instalação de blocos de concreto pré-moldados sem argamassa. Carregar/descarregar/mover árvores/arbustos/materiais de paisagismo; remover detritos. Nível inicial; requer supervisão. Classificação da vaga"&amp;": 37-3011.00 - Trabalhadores de Paisagismo e Manutenção de Terrenos. A classificação e descrição da vaga/setor incluem informações gerais sobre o cargo, de acordo com o ONET/OES e o Sistema de Classificação Industrial da América do Norte (NAICS). Consulte"&amp;" as Funções e a Ordem de Serviço para obter mais informações. Requisitos da vaga: Experiência exigida: Não. Requisitos especiais: Deve levantar/carregar 23 kg, quando necessário. Trabalho aos sábados, quando necessário. Exame toxicológico pós-contratação,"&amp;" pago pelo empregador, é obrigatório para trabalhadores estrangeiros e nacionais em caso de suspeita de uso. O empregador poderá oferecer uma jornada de trabalho superior à estipulada, dependendo das condições climáticas, das necessidades da empresa e de "&amp;"outros fatores. Calor extremo, frio intenso, chuva ou seca podem afetar o horário de trabalho exato. Número de horas por semana: 40. Horário de trabalho (início/término): 7h30 às 16h.")</f>
        <v>Paisagismo e manutenção de terrenos utilizando ferramentas manuais ou elétricas. Os trabalhadores geralmente executam uma variedade de tarefas, que podem incluir qualquer combinação das seguintes: colocação de grama, semeadura, poda, plantio, irrigação, fertilização, escavação, nivelamento, rastelamento e instalação de blocos de concreto pré-moldados sem argamassa. Carregar/descarregar/mover árvores/arbustos/materiais de paisagismo; remover detritos. Nível inicial; requer supervisão. Classificação da vaga: 37-3011.00 - Trabalhadores de Paisagismo e Manutenção de Terrenos. A classificação e descrição da vaga/setor incluem informações gerais sobre o cargo, de acordo com o ONET/OES e o Sistema de Classificação Industrial da América do Norte (NAICS). Consulte as Funções e a Ordem de Serviço para obter mais informações. Requisitos da vaga: Experiência exigida: Não. Requisitos especiais: Deve levantar/carregar 23 kg, quando necessário. Trabalho aos sábados, quando necessário. Exame toxicológico pós-contratação, pago pelo empregador, é obrigatório para trabalhadores estrangeiros e nacionais em caso de suspeita de uso. O empregador poderá oferecer uma jornada de trabalho superior à estipulada, dependendo das condições climáticas, das necessidades da empresa e de outros fatores. Calor extremo, frio intenso, chuva ou seca podem afetar o horário de trabalho exato. Número de horas por semana: 40. Horário de trabalho (início/término): 7h30 às 16h.</v>
      </c>
    </row>
    <row r="1616" ht="20.25" customHeight="1">
      <c r="A1616" s="3" t="s">
        <v>7219</v>
      </c>
      <c r="B1616" s="3" t="s">
        <v>7220</v>
      </c>
      <c r="C1616" s="3" t="s">
        <v>6921</v>
      </c>
      <c r="D1616" s="3" t="s">
        <v>71</v>
      </c>
      <c r="E1616" s="4" t="s">
        <v>19</v>
      </c>
      <c r="F1616" s="4" t="s">
        <v>20</v>
      </c>
      <c r="G1616" s="4" t="s">
        <v>7221</v>
      </c>
      <c r="H1616" s="3" t="s">
        <v>7222</v>
      </c>
      <c r="I1616" s="3" t="s">
        <v>7223</v>
      </c>
      <c r="J1616" s="4">
        <v>15.79</v>
      </c>
      <c r="K1616" s="4">
        <v>7.0</v>
      </c>
      <c r="L1616" s="3" t="s">
        <v>7224</v>
      </c>
      <c r="M1616" s="3" t="s">
        <v>7225</v>
      </c>
      <c r="N1616" s="7" t="str">
        <f>IFERROR(__xludf.DUMMYFUNCTION("GOOGLETRANSLATE(L1616, ""en"", ""pt"")"),"Atendente de praia")</f>
        <v>Atendente de praia</v>
      </c>
      <c r="O1616" s="7" t="str">
        <f>IFERROR(__xludf.DUMMYFUNCTION("IF(M1616="""","""",GOOGLETRANSLATE(M1616,""en"",""pt""))"),"Os atendentes de praia serão responsáveis ​​por diversas tarefas na praia, incluindo acompanhar os hóspedes até suas cadeiras, fornecer toalhas e outros itens de cama e banho quando solicitados, auxiliar os hóspedes com guarda-sóis e cadeiras, responder a"&amp;" perguntas ou encaminhar problemas e reclamações aos supervisores, manter o controle de estoque, a segurança e a limpeza das instalações da praia, varrer e lavar o deck, as mesas e as cadeiras, remover o lixo quando necessário e seguir os procedimentos op"&amp;"eracionais dos equipamentos da piscina e da academia. Os atendentes de praia auxiliarão na implementação de programas, programas para jovens, eventos especiais e atividades recreativas de conferências, auxiliando o Gerente de Recreação Familiar no monitor"&amp;"amento e apoio às atividades infantis e familiares na praia, incluindo jogos de praia, limbo e jogos na praia/piscina. Os atendentes de praia também serão responsáveis ​​por anotar e fazer pedidos, carregar bandejas e pratos, servir comida e bebidas alcoó"&amp;"licas e não alcoólicas aos hóspedes na praia ou na piscina, lavar copos e limpar e arrumar as mesas. Os atendentes de praia podem precisar levantar e carregar até 23 kg. Classificação da Função: 35-3041.00 - Garçons/Garçonetes (Não Restaurante) A classifi"&amp;"cação e descrição da função/setor inclui informações gerais sobre o cargo, de acordo com o ONET/OES e o Sistema de Classificação Industrial da América do Norte (NAICS). Consulte as Funções e a Ordem de Serviço para obter mais informações. Requisitos da Fu"&amp;"nção Experiência Necessária: Sim Meses de Experiência Necessários: 3 Requisitos Especiais: O contratante considerará para emprego qualquer pessoa que possua pelo menos três (3) meses de experiência em um hotel de alto padrão, resort ou clube privado. Indi"&amp;"víduos que não trabalharam para a empresa nos últimos 90 dias antes da nova data de início devem passar por verificação de antecedentes e exame toxicológico pré-admissional. Atendentes de Praia podem precisar levantar e carregar até 23 kg. É necessário te"&amp;"r 18 anos de idade (servir bebidas alcoólicas). É necessário saber ler, escrever e falar inglês. É necessário possuir ou ser capaz de obter a Certificação ServSafe. É necessário concluir o Treinamento sobre Tráfico Humano e o Treinamento sobre Patógenos T"&amp;"ransmitidos pelo Sangue após a contratação. É necessário concluir o Treinamento de Conformidade com as Normas sobre Bebidas Alcoólicas. É necessário possuir ou obter certificação em RCP/Primeiros Socorros. O candidato deve passar por verificação de antece"&amp;"dentes e exame toxicológico pré-admissional. Indivíduos que não trabalharam para a empresa nos últimos 90 dias antes da data de início do novo emprego também devem passar por verificação de antecedentes e exame toxicológico pré-admissional. Treinamento no"&amp;" local de trabalho oferecido. Dias e turnos: Os seguintes turnos estão disponíveis 7 dias por semana, incluindo fins de semana e feriados. Horário de trabalho: 5h30 às 12h30 / 10h às 16h / 15h às 23h. Os horários dos turnos podem variar de acordo com a ép"&amp;"oca do ano, a disponibilidade de luz solar e a necessidade. Salário por hora: De US$ 15,79 a US$ 23,00 por hora (com base no mérito e experiência anterior na empresa). Possibilidade de horas extras: Horas extras podem estar disponíveis com pagamento de US"&amp;"$ 23,69 a US$ 34,50 por hora. Os funcionários podem ser elegíveis para receber uma remuneração adicional na forma de um bônus discricionário de fim de temporada, bem como taxas de serviço para pedidos para viagem. Benefícios: Refeições gratuitas para func"&amp;"ionários, 5 uniformes gratuitos, transporte gratuito para compras semanais, passe GIBA gratuito para residentes fora da ilha, estacionamento gratuito. Número de horas por semana: 35. Horário de trabalho (início/término): 5h30 - 12h30.")</f>
        <v>Os atendentes de praia serão responsáveis ​​por diversas tarefas na praia, incluindo acompanhar os hóspedes até suas cadeiras, fornecer toalhas e outros itens de cama e banho quando solicitados, auxiliar os hóspedes com guarda-sóis e cadeiras, responder a perguntas ou encaminhar problemas e reclamações aos supervisores, manter o controle de estoque, a segurança e a limpeza das instalações da praia, varrer e lavar o deck, as mesas e as cadeiras, remover o lixo quando necessário e seguir os procedimentos operacionais dos equipamentos da piscina e da academia. Os atendentes de praia auxiliarão na implementação de programas, programas para jovens, eventos especiais e atividades recreativas de conferências, auxiliando o Gerente de Recreação Familiar no monitoramento e apoio às atividades infantis e familiares na praia, incluindo jogos de praia, limbo e jogos na praia/piscina. Os atendentes de praia também serão responsáveis ​​por anotar e fazer pedidos, carregar bandejas e pratos, servir comida e bebidas alcoólicas e não alcoólicas aos hóspedes na praia ou na piscina, lavar copos e limpar e arrumar as mesas. Os atendentes de praia podem precisar levantar e carregar até 23 kg. Classificação da Função: 35-3041.00 - Garçons/Garçonetes (Não Restaurante) A classificação e descrição da função/setor inclui informações gerais sobre o cargo, de acordo com o ONET/OES e o Sistema de Classificação Industrial da América do Norte (NAICS). Consulte as Funções e a Ordem de Serviço para obter mais informações. Requisitos da Função Experiência Necessária: Sim Meses de Experiência Necessários: 3 Requisitos Especiais: O contratante considerará para emprego qualquer pessoa que possua pelo menos três (3) meses de experiência em um hotel de alto padrão, resort ou clube privado. Indivíduos que não trabalharam para a empresa nos últimos 90 dias antes da nova data de início devem passar por verificação de antecedentes e exame toxicológico pré-admissional. Atendentes de Praia podem precisar levantar e carregar até 23 kg. É necessário ter 18 anos de idade (servir bebidas alcoólicas). É necessário saber ler, escrever e falar inglês. É necessário possuir ou ser capaz de obter a Certificação ServSafe. É necessário concluir o Treinamento sobre Tráfico Humano e o Treinamento sobre Patógenos Transmitidos pelo Sangue após a contratação. É necessário concluir o Treinamento de Conformidade com as Normas sobre Bebidas Alcoólicas. É necessário possuir ou obter certificação em RCP/Primeiros Socorros. O candidato deve passar por verificação de antecedentes e exame toxicológico pré-admissional. Indivíduos que não trabalharam para a empresa nos últimos 90 dias antes da data de início do novo emprego também devem passar por verificação de antecedentes e exame toxicológico pré-admissional. Treinamento no local de trabalho oferecido. Dias e turnos: Os seguintes turnos estão disponíveis 7 dias por semana, incluindo fins de semana e feriados. Horário de trabalho: 5h30 às 12h30 / 10h às 16h / 15h às 23h. Os horários dos turnos podem variar de acordo com a época do ano, a disponibilidade de luz solar e a necessidade. Salário por hora: De US$ 15,79 a US$ 23,00 por hora (com base no mérito e experiência anterior na empresa). Possibilidade de horas extras: Horas extras podem estar disponíveis com pagamento de US$ 23,69 a US$ 34,50 por hora. Os funcionários podem ser elegíveis para receber uma remuneração adicional na forma de um bônus discricionário de fim de temporada, bem como taxas de serviço para pedidos para viagem. Benefícios: Refeições gratuitas para funcionários, 5 uniformes gratuitos, transporte gratuito para compras semanais, passe GIBA gratuito para residentes fora da ilha, estacionamento gratuito. Número de horas por semana: 35. Horário de trabalho (início/término): 5h30 - 12h30.</v>
      </c>
    </row>
    <row r="1617" ht="20.25" customHeight="1">
      <c r="A1617" s="8" t="s">
        <v>7226</v>
      </c>
      <c r="B1617" s="8" t="s">
        <v>7220</v>
      </c>
      <c r="C1617" s="8" t="s">
        <v>6921</v>
      </c>
      <c r="D1617" s="8" t="s">
        <v>71</v>
      </c>
      <c r="E1617" s="9" t="s">
        <v>19</v>
      </c>
      <c r="F1617" s="9" t="s">
        <v>20</v>
      </c>
      <c r="G1617" s="9" t="s">
        <v>7221</v>
      </c>
      <c r="H1617" s="8" t="s">
        <v>7222</v>
      </c>
      <c r="I1617" s="8" t="s">
        <v>7223</v>
      </c>
      <c r="J1617" s="9">
        <v>17.88</v>
      </c>
      <c r="K1617" s="9">
        <v>43.0</v>
      </c>
      <c r="L1617" s="8" t="s">
        <v>387</v>
      </c>
      <c r="M1617" s="8" t="s">
        <v>7227</v>
      </c>
      <c r="N1617" s="7" t="str">
        <f>IFERROR(__xludf.DUMMYFUNCTION("GOOGLETRANSLATE(L1617, ""en"", ""pt"")"),"Ordem de serviço não disponível")</f>
        <v>Ordem de serviço não disponível</v>
      </c>
      <c r="O1617" s="7" t="str">
        <f>IFERROR(__xludf.DUMMYFUNCTION("IF(M1617="""","""",GOOGLETRANSLATE(M1617,""en"",""pt""))"),"Os cozinheiros serão responsáveis ​​por preparar, temperar e cozinhar sopas, carnes, legumes, sobremesas e outros itens alimentícios em um restaurante. Devem realizar a limpeza diária da área de trabalho da cozinha do restaurante, incluindo a limpeza da á"&amp;"rea de preparação de alimentos designada, equipamentos, superfícies de trabalho e área de serviço, utilizando pano de prato, sabão, desinfetante e quaisquer produtos de limpeza necessários. Os cozinheiros devem ser capazes de levantar e carregar objetos a"&amp;"cima da cabeça com peso de até 23 kg. Classificação do Cargo: 35-2014.00 - Cozinheiros, Restaurante. A classificação e descrição do cargo/setor incluem informações gerais sobre a posição, de acordo com o ONET/OES e o Sistema de Classificação Industrial da"&amp;" América do Norte. Consulte as Funções e a Ordem de Serviço para obter mais informações. Requisitos do Cargo: Experiência Necessária: Sim. Meses de Experiência Necessários: 6. Requisitos Especiais: O contratante considerará para emprego qualquer pessoa qu"&amp;"e possua pelo menos seis (6) meses de experiência culinária em um ambiente de alta gastronomia ou de grande movimento, em um restaurante sofisticado, resort ou clube privado. Indivíduos que não trabalharam para a empresa nos 90 dias anteriores à data de i"&amp;"nício do novo contrato devem passar por verificação de antecedentes e exame toxicológico pré-admissional. Cozinheiros devem ser capazes de levantar e carregar objetos acima da cabeça com peso de até 23 kg. Devem saber ler, escrever e falar inglês. Devem p"&amp;"ossuir ou obter a certificação ServSafe. Devem concluir os treinamentos sobre Tráfico Humano e Patógenos Transmitidos pelo Sangue após a contratação. Treinamento no local de trabalho oferecido. Treinamento será fornecido. Dias e turnos: Os seguintes turno"&amp;"s estão disponíveis 7 dias por semana, incluindo fins de semana e feriados. Horários de trabalho: 3h às 11h / 5h às 13h30 / 8h às 15h30 / 14h às 22h. Os horários dos turnos podem variar de acordo com a época do ano, a disponibilidade de luz e a necessidad"&amp;"e. Salário por hora: De US$ 17,88 a US$ 23,50 por hora (com base no mérito e experiência anterior na empresa). Possibilidade de horas extras: Horas extras podem estar disponíveis com pagamento de US$ 26,82 a US$ 35,25 por hora. Indivíduos que não trabalha"&amp;"ram para a empresa nos últimos 90 dias antes da data de início do novo contrato devem passar por verificação de antecedentes e exame toxicológico pré-admissional. Os funcionários podem ser elegíveis para receber remuneração adicional na forma de bônus dis"&amp;"cricionário de fim de temporada, bem como taxas de serviço para pedidos para viagem. Benefícios: Refeições gratuitas para funcionários, 5 uniformes gratuitos, transporte gratuito para compras semanais, passe GIBA gratuito para residentes fora da ilha, est"&amp;"acionamento gratuito. Número de horas por semana: 35. Horário de trabalho (início/término): 3h às 11h.")</f>
        <v>Os cozinheiros serão responsáveis ​​por preparar, temperar e cozinhar sopas, carnes, legumes, sobremesas e outros itens alimentícios em um restaurante. Devem realizar a limpeza diária da área de trabalho da cozinha do restaurante, incluindo a limpeza da área de preparação de alimentos designada, equipamentos, superfícies de trabalho e área de serviço, utilizando pano de prato, sabão, desinfetante e quaisquer produtos de limpeza necessários. Os cozinheiros devem ser capazes de levantar e carregar objetos acima da cabeça com peso de até 23 kg. Classificação do Cargo: 35-2014.00 - Cozinheiros, Restaurante. A classificação e descrição do cargo/setor incluem informações gerais sobre a posição, de acordo com o ONET/OES e o Sistema de Classificação Industrial da América do Norte. Consulte as Funções e a Ordem de Serviço para obter mais informações. Requisitos do Cargo: Experiência Necessária: Sim. Meses de Experiência Necessários: 6. Requisitos Especiais: O contratante considerará para emprego qualquer pessoa que possua pelo menos seis (6) meses de experiência culinária em um ambiente de alta gastronomia ou de grande movimento, em um restaurante sofisticado, resort ou clube privado. Indivíduos que não trabalharam para a empresa nos 90 dias anteriores à data de início do novo contrato devem passar por verificação de antecedentes e exame toxicológico pré-admissional. Cozinheiros devem ser capazes de levantar e carregar objetos acima da cabeça com peso de até 23 kg. Devem saber ler, escrever e falar inglês. Devem possuir ou obter a certificação ServSafe. Devem concluir os treinamentos sobre Tráfico Humano e Patógenos Transmitidos pelo Sangue após a contratação. Treinamento no local de trabalho oferecido. Treinamento será fornecido. Dias e turnos: Os seguintes turnos estão disponíveis 7 dias por semana, incluindo fins de semana e feriados. Horários de trabalho: 3h às 11h / 5h às 13h30 / 8h às 15h30 / 14h às 22h. Os horários dos turnos podem variar de acordo com a época do ano, a disponibilidade de luz e a necessidade. Salário por hora: De US$ 17,88 a US$ 23,50 por hora (com base no mérito e experiência anterior na empresa). Possibilidade de horas extras: Horas extras podem estar disponíveis com pagamento de US$ 26,82 a US$ 35,25 por hora. Indivíduos que não trabalharam para a empresa nos últimos 90 dias antes da data de início do novo contrato devem passar por verificação de antecedentes e exame toxicológico pré-admissional. Os funcionários podem ser elegíveis para receber remuneração adicional na forma de bônus discricionário de fim de temporada, bem como taxas de serviço para pedidos para viagem. Benefícios: Refeições gratuitas para funcionários, 5 uniformes gratuitos, transporte gratuito para compras semanais, passe GIBA gratuito para residentes fora da ilha, estacionamento gratuito. Número de horas por semana: 35. Horário de trabalho (início/término): 3h às 11h.</v>
      </c>
    </row>
    <row r="1618" ht="20.25" customHeight="1">
      <c r="A1618" s="3" t="s">
        <v>7228</v>
      </c>
      <c r="B1618" s="3" t="s">
        <v>7220</v>
      </c>
      <c r="C1618" s="3" t="s">
        <v>6921</v>
      </c>
      <c r="D1618" s="3" t="s">
        <v>71</v>
      </c>
      <c r="E1618" s="4" t="s">
        <v>44</v>
      </c>
      <c r="F1618" s="4" t="s">
        <v>20</v>
      </c>
      <c r="G1618" s="4" t="s">
        <v>7221</v>
      </c>
      <c r="H1618" s="3" t="s">
        <v>7222</v>
      </c>
      <c r="I1618" s="3" t="s">
        <v>7223</v>
      </c>
      <c r="J1618" s="4">
        <v>15.91</v>
      </c>
      <c r="K1618" s="4">
        <v>6.0</v>
      </c>
      <c r="L1618" s="3" t="s">
        <v>7229</v>
      </c>
      <c r="M1618" s="3" t="s">
        <v>7230</v>
      </c>
      <c r="N1618" s="7" t="str">
        <f>IFERROR(__xludf.DUMMYFUNCTION("GOOGLETRANSLATE(L1618, ""en"", ""pt"")"),"Mensageiro")</f>
        <v>Mensageiro</v>
      </c>
      <c r="O1618" s="7" t="str">
        <f>IFERROR(__xludf.DUMMYFUNCTION("IF(M1618="""","""",GOOGLETRANSLATE(M1618,""en"",""pt""))"),"Os carregadores de bagagem serão responsáveis ​​por receber e etiquetar bagagens, recepcionar os hóspedes e acompanhá-los até seus quartos, transportar hóspedes em carrinhos de golfe pelas dependências do hotel, manter a limpeza dos lobbies ou áreas de en"&amp;"trada, lidar com reclamações de hóspedes e transferir bagagens, malas e pacotes de e para os quartos, áreas de carga, veículos ou terminais de transporte, manualmente ou utilizando carrinhos de bagagem. Os carregadores de bagagem podem precisar levantar e"&amp;" carregar até 27 kg. Classificação da vaga: 39-6011.00 - Carregadores de bagagem e mensageiros. A classificação e descrição da vaga/setor inclui informações gerais sobre o cargo, de acordo com o ONET/OES e o Sistema de Classificação Industrial da América "&amp;"do Norte. Consulte as Funções e a Ordem de Serviço para obter mais informações. Requisitos da vaga: Experiência exigida: Sim. Meses de experiência exigidos: 3. Requisitos especiais: O contratante considerará para emprego qualquer pessoa que possua pelo me"&amp;"nos três (3) meses de experiência em um hotel de alto padrão, resort ou clube privado. Indivíduos que não trabalharam para a empresa nos 90 dias anteriores à data de início do novo contrato devem passar por verificação de antecedentes e exame toxicológico"&amp;" pré-admissional. É necessário saber ler, escrever e falar inglês. É necessário possuir ou obter carteira de habilitação para dirigir carrinhos de golfe. É necessário possuir ou obter a certificação ServSafe. É necessário concluir o treinamento sobre Tráf"&amp;"ico Humano e Patógenos Transmitidos pelo Sangue após a contratação. É necessário possuir ou obter a certificação de RCP/Primeiros Socorros. Treinamento no local de trabalho fornecido. Treinamento oferecido. Dias e turnos: Os seguintes turnos estão disponí"&amp;"veis 7 dias por semana, incluindo fins de semana e feriados. Horário de trabalho: 7h às 15h30 / 11h às 19h30 / 15h às 23h30 / 23h às 7h30. Os horários dos turnos podem variar de acordo com a época do ano, a disponibilidade de luz e a necessidade. Salário "&amp;"por hora: O cargo de mensageiro é considerado um cargo com gorjetas, visto que o funcionário receberá mais de US$ 30 por mês em gorjetas. No entanto, o empregador não reivindicará crédito de gorjeta. Além de um salário-hora de US$ 11,98, o funcionário tem"&amp;" direito a receber uma parte de seu salário referente às taxas de serviço (comissões) cobradas dos clientes e quaisquer gorjetas que o funcionário receba diretamente do cliente. A empresa garante que cada funcionário receberá o suficiente em salário-hora "&amp;"e taxas de serviço (comissões) para ganhar pelo menos US$ 15,91 por hora - Isento de 7i. Horas extras: As taxas de serviço recebidas pelos funcionários são consideradas comissão. De acordo com a seção 207(i) da FLSA, se certas condições forem atendidas, o"&amp;"s funcionários são isentos do pagamento de horas extras. No entanto, se essas condições não forem atendidas, o pagamento de horas extras será feito com um adicional de 50% sobre o valor da hora normal para horas trabalhadas acima de 40 horas na semana de "&amp;"trabalho, não inferior à taxa garantida de US$ 15,91 * 1,5 por hora. Os funcionários podem ser elegíveis para receber uma remuneração adicional na forma de um bônus discricionário de fim de temporada, bem como taxas de serviço. Benefícios: Refeições gratu"&amp;"itas para funcionários, 5 uniformes gratuitos, transporte gratuito para compras semanais, passe GIBA gratuito para residentes fora da ilha, estacionamento gratuito. Número de horas por semana: 35. Horário de trabalho (início/término): 7h às 15h30.")</f>
        <v>Os carregadores de bagagem serão responsáveis ​​por receber e etiquetar bagagens, recepcionar os hóspedes e acompanhá-los até seus quartos, transportar hóspedes em carrinhos de golfe pelas dependências do hotel, manter a limpeza dos lobbies ou áreas de entrada, lidar com reclamações de hóspedes e transferir bagagens, malas e pacotes de e para os quartos, áreas de carga, veículos ou terminais de transporte, manualmente ou utilizando carrinhos de bagagem. Os carregadores de bagagem podem precisar levantar e carregar até 27 kg. Classificação da vaga: 39-6011.00 - Carregadores de bagagem e mensageiros. A classificação e descrição da vaga/setor inclui informações gerais sobre o cargo, de acordo com o ONET/OES e o Sistema de Classificação Industrial da América do Norte. Consulte as Funções e a Ordem de Serviço para obter mais informações. Requisitos da vaga: Experiência exigida: Sim. Meses de experiência exigidos: 3. Requisitos especiais: O contratante considerará para emprego qualquer pessoa que possua pelo menos três (3) meses de experiência em um hotel de alto padrão, resort ou clube privado. Indivíduos que não trabalharam para a empresa nos 90 dias anteriores à data de início do novo contrato devem passar por verificação de antecedentes e exame toxicológico pré-admissional. É necessário saber ler, escrever e falar inglês. É necessário possuir ou obter carteira de habilitação para dirigir carrinhos de golfe. É necessário possuir ou obter a certificação ServSafe. É necessário concluir o treinamento sobre Tráfico Humano e Patógenos Transmitidos pelo Sangue após a contratação. É necessário possuir ou obter a certificação de RCP/Primeiros Socorros. Treinamento no local de trabalho fornecido. Treinamento oferecido. Dias e turnos: Os seguintes turnos estão disponíveis 7 dias por semana, incluindo fins de semana e feriados. Horário de trabalho: 7h às 15h30 / 11h às 19h30 / 15h às 23h30 / 23h às 7h30. Os horários dos turnos podem variar de acordo com a época do ano, a disponibilidade de luz e a necessidade. Salário por hora: O cargo de mensageiro é considerado um cargo com gorjetas, visto que o funcionário receberá mais de US$ 30 por mês em gorjetas. No entanto, o empregador não reivindicará crédito de gorjeta. Além de um salário-hora de US$ 11,98, o funcionário tem direito a receber uma parte de seu salário referente às taxas de serviço (comissões) cobradas dos clientes e quaisquer gorjetas que o funcionário receba diretamente do cliente. A empresa garante que cada funcionário receberá o suficiente em salário-hora e taxas de serviço (comissões) para ganhar pelo menos US$ 15,91 por hora - Isento de 7i. Horas extras: As taxas de serviço recebidas pelos funcionários são consideradas comissão. De acordo com a seção 207(i) da FLSA, se certas condições forem atendidas, os funcionários são isentos do pagamento de horas extras. No entanto, se essas condições não forem atendidas, o pagamento de horas extras será feito com um adicional de 50% sobre o valor da hora normal para horas trabalhadas acima de 40 horas na semana de trabalho, não inferior à taxa garantida de US$ 15,91 * 1,5 por hora. Os funcionários podem ser elegíveis para receber uma remuneração adicional na forma de um bônus discricionário de fim de temporada, bem como taxas de serviço. Benefícios: Refeições gratuitas para funcionários, 5 uniformes gratuitos, transporte gratuito para compras semanais, passe GIBA gratuito para residentes fora da ilha, estacionamento gratuito. Número de horas por semana: 35. Horário de trabalho (início/término): 7h às 15h30.</v>
      </c>
    </row>
    <row r="1619" ht="20.25" customHeight="1">
      <c r="A1619" s="8" t="s">
        <v>7231</v>
      </c>
      <c r="B1619" s="8" t="s">
        <v>7232</v>
      </c>
      <c r="C1619" s="8" t="s">
        <v>5563</v>
      </c>
      <c r="D1619" s="8" t="s">
        <v>64</v>
      </c>
      <c r="E1619" s="9" t="s">
        <v>19</v>
      </c>
      <c r="F1619" s="9" t="s">
        <v>20</v>
      </c>
      <c r="G1619" s="9" t="s">
        <v>377</v>
      </c>
      <c r="H1619" s="8" t="s">
        <v>7233</v>
      </c>
      <c r="I1619" s="8" t="s">
        <v>7234</v>
      </c>
      <c r="J1619" s="9">
        <v>14.84</v>
      </c>
      <c r="K1619" s="9">
        <v>10.0</v>
      </c>
      <c r="L1619" s="8" t="s">
        <v>105</v>
      </c>
      <c r="M1619" s="8" t="s">
        <v>7235</v>
      </c>
      <c r="N1619" s="7" t="str">
        <f>IFERROR(__xludf.DUMMYFUNCTION("GOOGLETRANSLATE(L1619, ""en"", ""pt"")"),"Abridores de Ostras")</f>
        <v>Abridores de Ostras</v>
      </c>
      <c r="O1619" s="7" t="str">
        <f>IFERROR(__xludf.DUMMYFUNCTION("IF(M1619="""","""",GOOGLETRANSLATE(M1619,""en"",""pt""))"),"Obter e distribuir o produto; usar faca para cortar ostras da concha; descartar a concha; inspecionar a carne em busca de imperfeições e removê-las/descartá-las; separar a carne processada por tamanho ou qualidade e colocar as ostras em recipientes; auxil"&amp;"iar na limpeza da estação de trabalho ao final do turno. Poderá ser oferecido pagamento por peça produzida, dependendo da taxa salarial vigente garantida. 3 meses de experiência/Sem escolaridade. Consulte o anexo. Classificação do Cargo: 51-3022.00 - Cort"&amp;"adores e Aparadores de Carne, Aves e Peixes. A classificação e descrição do cargo/setor inclui informações gerais sobre a posição, de acordo com o ONET/OES e o Sistema de Classificação Industrial da América do Norte. Consulte as Funções e a Ordem de Servi"&amp;"ço para obter mais informações. Requisitos do Cargo: Experiência Necessária: Sim. Meses de Experiência Necessários: 3. Requisitos Especiais: Levantar/carregar até 23 kg. O empregador mantém um ambiente de trabalho livre do uso de drogas ilícitas, álcool e"&amp;" substâncias controladas não autorizadas. O uso, a posse, a venda ou estar sob a influência de drogas ilícitas ou álcool durante o horário de trabalho ou nas dependências do empregador são proibidos. O empregador poderá realizar verificações legais e rela"&amp;"cionadas ao trabalho dos candidatos, incluindo consultas sobre antecedentes criminais, quando permitido pelas leis federais, estaduais e locais aplicáveis. Qualquer análise de antecedentes criminais será feita individualmente e as decisões de contratação "&amp;"serão tomadas de forma não discriminatória, em conformidade com as leis aplicáveis ​​e as necessidades da empresa. Não são permitidas doenças infecciosas; alergias a frutos do mar podem ser fatais. Número de horas por semana: 35. Horário de trabalho (iníc"&amp;"io/término): 6h às 13h.")</f>
        <v>Obter e distribuir o produto; usar faca para cortar ostras da concha; descartar a concha; inspecionar a carne em busca de imperfeições e removê-las/descartá-las; separar a carne processada por tamanho ou qualidade e colocar as ostras em recipientes; auxiliar na limpeza da estação de trabalho ao final do turno. Poderá ser oferecido pagamento por peça produzida, dependendo da taxa salarial vigente garantida. 3 meses de experiência/Sem escolaridade. Consulte o anexo. Classificação do Cargo: 51-3022.00 - Cortadores e Aparadores de Carne, Aves e Peixes. A classificação e descrição do cargo/setor inclui informações gerais sobre a posição, de acordo com o ONET/OES e o Sistema de Classificação Industrial da América do Norte. Consulte as Funções e a Ordem de Serviço para obter mais informações. Requisitos do Cargo: Experiência Necessária: Sim. Meses de Experiência Necessários: 3. Requisitos Especiais: Levantar/carregar até 23 kg. O empregador mantém um ambiente de trabalho livre do uso de drogas ilícitas, álcool e substâncias controladas não autorizadas. O uso, a posse, a venda ou estar sob a influência de drogas ilícitas ou álcool durante o horário de trabalho ou nas dependências do empregador são proibidos. O empregador poderá realizar verificações legais e relacionadas ao trabalho dos candidatos, incluindo consultas sobre antecedentes criminais, quando permitido pelas leis federais, estaduais e locais aplicáveis. Qualquer análise de antecedentes criminais será feita individualmente e as decisões de contratação serão tomadas de forma não discriminatória, em conformidade com as leis aplicáveis ​​e as necessidades da empresa. Não são permitidas doenças infecciosas; alergias a frutos do mar podem ser fatais. Número de horas por semana: 35. Horário de trabalho (início/término): 6h às 13h.</v>
      </c>
    </row>
    <row r="1620" ht="20.25" customHeight="1">
      <c r="A1620" s="3" t="s">
        <v>7236</v>
      </c>
      <c r="B1620" s="3" t="s">
        <v>7237</v>
      </c>
      <c r="C1620" s="3" t="s">
        <v>6234</v>
      </c>
      <c r="D1620" s="3" t="s">
        <v>64</v>
      </c>
      <c r="E1620" s="4" t="s">
        <v>19</v>
      </c>
      <c r="F1620" s="4" t="s">
        <v>20</v>
      </c>
      <c r="G1620" s="4" t="s">
        <v>1650</v>
      </c>
      <c r="H1620" s="3" t="s">
        <v>7238</v>
      </c>
      <c r="I1620" s="3" t="s">
        <v>7239</v>
      </c>
      <c r="J1620" s="4">
        <v>18.93</v>
      </c>
      <c r="K1620" s="4">
        <v>12.0</v>
      </c>
      <c r="L1620" s="3" t="s">
        <v>7240</v>
      </c>
      <c r="M1620" s="3" t="s">
        <v>7241</v>
      </c>
      <c r="N1620" s="7" t="str">
        <f>IFERROR(__xludf.DUMMYFUNCTION("GOOGLETRANSLATE(L1620, ""en"", ""pt"")"),"Trabalhador qualificado para a temporada de inverno")</f>
        <v>Trabalhador qualificado para a temporada de inverno</v>
      </c>
      <c r="O1620" s="7" t="str">
        <f>IFERROR(__xludf.DUMMYFUNCTION("IF(M1620="""","""",GOOGLETRANSLATE(M1620,""en"",""pt""))"),"A vaga oferecida é para um trabalhador experiente para a temporada de inverno, com no mínimo três (3) meses de experiência na área, que seja capaz de trabalhar e seguir os métodos e procedimentos da empresa para a temporada de inverno, supervisionando até"&amp;" 3 colegas. As funções incluem: plantio de folhagens e plantas de inverno (coníferas, azevinho, etc.); poda de árvores e arbustos rente ao solo; limpeza e remoção de folhas e detritos; descarte de galhos, ramos e árvores; limpeza de lagoas de retenção; pr"&amp;"eparação de plantas e árvores para o inverno, protegendo-as contra geadas; manutenção de jardins no inverno, incluindo controle de drenagem; plantio, aplicação e fertilização de azevém perene e plantio de flores anuais de inverno; poda e remoção de flores"&amp;" murchas de plantas perenes; aplicação, aplicação e fertilização de cobertura morta em toda a propriedade para proteger as plantas; carga e descarga de materiais e equipamentos. É necessário levantar até 23 kg. O trabalho será realizado em locais de traba"&amp;"lho na região, com transporte fornecido pelo empregador de ida e volta a partir de um ponto de encontro centralizado na área de atuação. Classificação da vaga: 37-3011.00 - Trabalhadores de paisagismo e manutenção de áreas verdes. A classificação e descri"&amp;"ção da vaga/setor inclui informações gerais sobre o cargo, conforme o ONET/OES e o Sistema de Classificação Industrial da América do Norte (NAICS). Consulte as atribuições e a ordem de serviço para obter mais informações. Requisitos da vaga: Experiência e"&amp;"xigida: Sim. Meses de experiência exigidos: 3. Requisitos especiais: Verificação de antecedentes criminais pré-admissional e testes toxicológicos aleatórios pagos pelo empregador. Número de horas por semana: 35. Horário de trabalho (início/término): 7h30 "&amp;"às 15h.")</f>
        <v>A vaga oferecida é para um trabalhador experiente para a temporada de inverno, com no mínimo três (3) meses de experiência na área, que seja capaz de trabalhar e seguir os métodos e procedimentos da empresa para a temporada de inverno, supervisionando até 3 colegas. As funções incluem: plantio de folhagens e plantas de inverno (coníferas, azevinho, etc.); poda de árvores e arbustos rente ao solo; limpeza e remoção de folhas e detritos; descarte de galhos, ramos e árvores; limpeza de lagoas de retenção; preparação de plantas e árvores para o inverno, protegendo-as contra geadas; manutenção de jardins no inverno, incluindo controle de drenagem; plantio, aplicação e fertilização de azevém perene e plantio de flores anuais de inverno; poda e remoção de flores murchas de plantas perenes; aplicação, aplicação e fertilização de cobertura morta em toda a propriedade para proteger as plantas; carga e descarga de materiais e equipamentos. É necessário levantar até 23 kg. O trabalho será realizado em locais de trabalho na região, com transporte fornecido pelo empregador de ida e volta a partir de um ponto de encontro centralizado na área de atuação. Classificação da vaga: 37-3011.00 - Trabalhadores de paisagismo e manutenção de áreas verdes. A classificação e descrição da vaga/setor inclui informações gerais sobre o cargo, conforme o ONET/OES e o Sistema de Classificação Industrial da América do Norte (NAICS). Consulte as atribuições e a ordem de serviço para obter mais informações. Requisitos da vaga: Experiência exigida: Sim. Meses de experiência exigidos: 3. Requisitos especiais: Verificação de antecedentes criminais pré-admissional e testes toxicológicos aleatórios pagos pelo empregador. Número de horas por semana: 35. Horário de trabalho (início/término): 7h30 às 15h.</v>
      </c>
    </row>
    <row r="1621" ht="20.25" customHeight="1">
      <c r="A1621" s="8" t="s">
        <v>7242</v>
      </c>
      <c r="B1621" s="8" t="s">
        <v>7243</v>
      </c>
      <c r="C1621" s="8" t="s">
        <v>7141</v>
      </c>
      <c r="D1621" s="8" t="s">
        <v>1297</v>
      </c>
      <c r="E1621" s="9" t="s">
        <v>44</v>
      </c>
      <c r="F1621" s="9" t="s">
        <v>20</v>
      </c>
      <c r="G1621" s="9" t="s">
        <v>56</v>
      </c>
      <c r="H1621" s="8" t="s">
        <v>7244</v>
      </c>
      <c r="I1621" s="8" t="s">
        <v>7245</v>
      </c>
      <c r="J1621" s="9">
        <v>18.81</v>
      </c>
      <c r="K1621" s="9">
        <v>5.0</v>
      </c>
      <c r="L1621" s="8" t="s">
        <v>59</v>
      </c>
      <c r="M1621" s="8" t="s">
        <v>7206</v>
      </c>
      <c r="N1621" s="7" t="str">
        <f>IFERROR(__xludf.DUMMYFUNCTION("GOOGLETRANSLATE(L1621, ""en"", ""pt"")"),"Trabalhador de paisagismo")</f>
        <v>Trabalhador de paisagismo</v>
      </c>
      <c r="O1621" s="7" t="str">
        <f>IFERROR(__xludf.DUMMYFUNCTION("IF(M1621="""","""",GOOGLETRANSLATE(M1621,""en"",""pt""))"),"Cortar, aparar, regar e aparar a grama. Recolher folhas secas, arrancar e picar ervas daninhas; transportar terra vegetal e cobertura morta. Limpar o local. Classificação da função: 37-3011.00 - Trabalhadores de Paisagismo e Manutenção de Jardins. A class"&amp;"ificação e descrição da função/setor inclui informações gerais sobre o cargo, de acordo com o ONET/OES e o Sistema de Classificação Industrial da América do Norte. Consulte as Funções e a Ordem de Serviço para obter mais informações. Requisitos da função:"&amp;" Experiência necessária: Não. Requisitos especiais: Capacidade de levantar/carregar 23 kg quando necessário. Número de horas por semana: 40. Horário de trabalho (início/término): 8h às 17h.")</f>
        <v>Cortar, aparar, regar e aparar a grama. Recolher folhas secas, arrancar e picar ervas daninhas; transportar terra vegetal e cobertura morta. Limpar o local. Classificação da função: 37-3011.00 - Trabalhadores de Paisagismo e Manutenção de Jardins. A classificação e descrição da função/setor inclui informações gerais sobre o cargo, de acordo com o ONET/OES e o Sistema de Classificação Industrial da América do Norte. Consulte as Funções e a Ordem de Serviço para obter mais informações. Requisitos da função: Experiência necessária: Não. Requisitos especiais: Capacidade de levantar/carregar 23 kg quando necessário. Número de horas por semana: 40. Horário de trabalho (início/término): 8h às 17h.</v>
      </c>
    </row>
    <row r="1622" ht="20.25" customHeight="1">
      <c r="A1622" s="3" t="s">
        <v>7246</v>
      </c>
      <c r="B1622" s="3" t="s">
        <v>7247</v>
      </c>
      <c r="C1622" s="3" t="s">
        <v>391</v>
      </c>
      <c r="D1622" s="3" t="s">
        <v>64</v>
      </c>
      <c r="E1622" s="4" t="s">
        <v>19</v>
      </c>
      <c r="F1622" s="4" t="s">
        <v>20</v>
      </c>
      <c r="G1622" s="4" t="s">
        <v>377</v>
      </c>
      <c r="H1622" s="3" t="s">
        <v>7248</v>
      </c>
      <c r="I1622" s="3" t="s">
        <v>7249</v>
      </c>
      <c r="J1622" s="4">
        <v>18.98</v>
      </c>
      <c r="K1622" s="4">
        <v>350.0</v>
      </c>
      <c r="L1622" s="3" t="s">
        <v>7250</v>
      </c>
      <c r="M1622" s="3" t="s">
        <v>7251</v>
      </c>
      <c r="N1622" s="7" t="str">
        <f>IFERROR(__xludf.DUMMYFUNCTION("GOOGLETRANSLATE(L1622, ""en"", ""pt"")"),"Auxiliar de Produção")</f>
        <v>Auxiliar de Produção</v>
      </c>
      <c r="O1622" s="7" t="str">
        <f>IFERROR(__xludf.DUMMYFUNCTION("IF(M1622="""","""",GOOGLETRANSLATE(M1622,""en"",""pt""))"),"Auxiliar os operadores executando tarefas que exigem menos habilidade. As tarefas incluem fornecer ou segurar materiais ou ferramentas, e limpar a área de trabalho e os equipamentos. As tarefas incluem, mas não se limitam a: Operar máquinas utilizadas no "&amp;"processo de produção ou distribuição e auxiliar os operadores de máquinas. Examinar os produtos para verificar a conformidade com os padrões de qualidade. Observar o funcionamento dos equipamentos para detectar falhas e notificar os operadores sobre quais"&amp;"quer problemas. Levantar matérias-primas, produtos acabados e itens embalados, manualmente ou utilizando guindastes. Contar os produtos acabados para determinar se os pedidos estão completos. Marcar ou etiquetar as peças para identificação. Carregar e des"&amp;"carregar itens de máquinas, esteiras, veículos e caminhões. Registrar informações, como o número de produtos testados, leituras de medidores ou datas e horários de produção. Ambiente de trabalho: O armazém é quente e úmido nos meses de verão e frio durant"&amp;"e os meses de inverno. O alto nível de ruído exige o uso de protetores auriculares. Mínimo de 35 horas semanais, podendo chegar a 50 horas semanais. Os funcionários devem ter pelo menos um dia inteiro de descanso a cada seis dias de trabalho, sempre que p"&amp;"ossível. Aberto 7 dias por semana. Turnos rotativos, das 6h às 18h e das 18h às 6h. A escala normal inclui 3 dias de trabalho/2 dias de folga/2 dias de trabalho/3 dias de folga e pode incluir sexta, sábado e domingo. Os dias de trabalho e os horários dos "&amp;"turnos podem variar de acordo com a programação da produção. Intervalos e almoço incluídos na escala de turnos. O empregador poderá aumentar o salário com base na experiência, desempenho, tempo de serviço e/ou condições de mercado. Horas extras podem esta"&amp;"r disponíveis, mas não são obrigatórias, com remuneração de US$ 28,47 por hora. Um adicional de horas extras será pago quando exigido por lei federal, estadual ou local, incluindo hora e meia após 40 horas semanais de trabalho. Uma única semana de trabalh"&amp;"o será utilizada para calcular os salários devidos. O pagamento é recebido quinzenalmente. Classificação da vaga: 53-7062.00 - Operários e Movimentadores de Carga, Estoque e Materiais. A classificação e descrição da vaga/setor incluem informações gerais s"&amp;"obre o cargo, de acordo com o ONET/OES e o Sistema de Classificação Industrial da América do Norte (NAICS). Consulte a Descrição das Funções e a Ordem de Serviço para obter mais informações. Requisitos da Vaga Experiência Necessária: Não. Requisitos Espec"&amp;"iais: Não há exigência mínima de escolaridade ou experiência. O empregador fornecerá treinamento no local de trabalho. É necessário ter disponibilidade para trabalhar em turnos rotativos de 12 horas, incluindo fins de semana e feriados. Os turnos diurnos "&amp;"e noturnos serão atribuídos conforme a necessidade. Capacidade de levantar 23 kg diversas vezes durante o turno de 12 horas. Capacidade de se abaixar e ficar em pé repetidamente. Capacidade de empurrar 36 kg sobre roletes/rodas. Os candidatos devem preenc"&amp;"her uma ficha de emprego. O candidato deve ter pelo menos 18 anos de idade. É necessário ter disponibilidade para trabalhar durante todo o período do contrato. Exame toxicológico pré-admissional/pós-lesão ou incidente e por suspeita razoável é obrigatório"&amp;", com o custo pago pelo empregador e aplicado igualmente a todos os trabalhadores, americanos e estrangeiros/H2B. Verificação de antecedentes criminais pré-admissional é obrigatória, com o custo pago pelo empregador e aplicado igualmente a todos os trabal"&amp;"hadores, americanos e estrangeiros/H2B. O empregador garante oferecer trabalho por um número de horas equivalente a pelo menos três quartos dos dias úteis em cada período de 12 semanas do período total de emprego. Os trabalhadores com visto H-2B serão ree"&amp;"mbolsados ​​na primeira semana de trabalho por todas as taxas de visto, processamento de visto, travessia de fronteira e outras taxas relacionadas, incluindo aquelas exigidas pelo governo (exceto taxas de passaporte). Se o trabalhador completar metade do "&amp;"período de emprego, o empregador providenciará e pagará diretamente o transporte e a subsistência do local de recrutamento até o local de trabalho. Ao término do período de emprego ou em caso de demissão antecipada, o empregador fornecerá ou pagará ao tra"&amp;"balhador os custos razoáveis ​​de transporte e subsistência de retorno para casa ou para o local de onde o trabalhador partiu originalmente para trabalhar, exceto nos casos em que o trabalhador não retornará devido a um emprego subsequente com outro empre"&amp;"gador ou quando o empregador tiver relatado adequadamente o abandono voluntário do emprego pelo trabalhador. O valor do pagamento ou reembolso do transporte será equivalente ao da transportadora mais econômica e razoável para as distâncias envolvidas. Ser"&amp;"á fornecida alimentação diária a uma taxa mínima de US$ 16,78 por dia durante a viagem, podendo chegar a um máximo de US$ 68,00 por dia mediante apresentação de recibos. Todos os custos de transporte devem ser previamente aprovados. Se necessário, o empre"&amp;"gador reembolsará o trabalhador, dentro do primeiro período de pagamento, pelos custos aprovados de alimentação e hospedagem, à taxa de câmbio aplicável, não excedendo os custos razoáveis. Os recibos devem ser apresentados. Número de horas por semana: 48."&amp;" Horário de trabalho (início/término): 6h00 - 18h00.")</f>
        <v>Auxiliar os operadores executando tarefas que exigem menos habilidade. As tarefas incluem fornecer ou segurar materiais ou ferramentas, e limpar a área de trabalho e os equipamentos. As tarefas incluem, mas não se limitam a: Operar máquinas utilizadas no processo de produção ou distribuição e auxiliar os operadores de máquinas. Examinar os produtos para verificar a conformidade com os padrões de qualidade. Observar o funcionamento dos equipamentos para detectar falhas e notificar os operadores sobre quaisquer problemas. Levantar matérias-primas, produtos acabados e itens embalados, manualmente ou utilizando guindastes. Contar os produtos acabados para determinar se os pedidos estão completos. Marcar ou etiquetar as peças para identificação. Carregar e descarregar itens de máquinas, esteiras, veículos e caminhões. Registrar informações, como o número de produtos testados, leituras de medidores ou datas e horários de produção. Ambiente de trabalho: O armazém é quente e úmido nos meses de verão e frio durante os meses de inverno. O alto nível de ruído exige o uso de protetores auriculares. Mínimo de 35 horas semanais, podendo chegar a 50 horas semanais. Os funcionários devem ter pelo menos um dia inteiro de descanso a cada seis dias de trabalho, sempre que possível. Aberto 7 dias por semana. Turnos rotativos, das 6h às 18h e das 18h às 6h. A escala normal inclui 3 dias de trabalho/2 dias de folga/2 dias de trabalho/3 dias de folga e pode incluir sexta, sábado e domingo. Os dias de trabalho e os horários dos turnos podem variar de acordo com a programação da produção. Intervalos e almoço incluídos na escala de turnos. O empregador poderá aumentar o salário com base na experiência, desempenho, tempo de serviço e/ou condições de mercado. Horas extras podem estar disponíveis, mas não são obrigatórias, com remuneração de US$ 28,47 por hora. Um adicional de horas extras será pago quando exigido por lei federal, estadual ou local, incluindo hora e meia após 40 horas semanais de trabalho. Uma única semana de trabalho será utilizada para calcular os salários devidos. O pagamento é recebido quinzenalmente. Classificação da vaga: 53-7062.00 - Operários e Movimentadores de Carga, Estoque e Materiais. A classificação e descrição da vaga/setor incluem informações gerais sobre o cargo, de acordo com o ONET/OES e o Sistema de Classificação Industrial da América do Norte (NAICS). Consulte a Descrição das Funções e a Ordem de Serviço para obter mais informações. Requisitos da Vaga Experiência Necessária: Não. Requisitos Especiais: Não há exigência mínima de escolaridade ou experiência. O empregador fornecerá treinamento no local de trabalho. É necessário ter disponibilidade para trabalhar em turnos rotativos de 12 horas, incluindo fins de semana e feriados. Os turnos diurnos e noturnos serão atribuídos conforme a necessidade. Capacidade de levantar 23 kg diversas vezes durante o turno de 12 horas. Capacidade de se abaixar e ficar em pé repetidamente. Capacidade de empurrar 36 kg sobre roletes/rodas. Os candidatos devem preencher uma ficha de emprego. O candidato deve ter pelo menos 18 anos de idade. É necessário ter disponibilidade para trabalhar durante todo o período do contrato. Exame toxicológico pré-admissional/pós-lesão ou incidente e por suspeita razoável é obrigatório, com o custo pago pelo empregador e aplicado igualmente a todos os trabalhadores, americanos e estrangeiros/H2B. Verificação de antecedentes criminais pré-admissional é obrigatória, com o custo pago pelo empregador e aplicado igualmente a todos os trabalhadores, americanos e estrangeiros/H2B. O empregador garante oferecer trabalho por um número de horas equivalente a pelo menos três quartos dos dias úteis em cada período de 12 semanas do período total de emprego. Os trabalhadores com visto H-2B serão reembolsados ​​na primeira semana de trabalho por todas as taxas de visto, processamento de visto, travessia de fronteira e outras taxas relacionadas, incluindo aquelas exigidas pelo governo (exceto taxas de passaporte). Se o trabalhador completar metade do período de emprego, o empregador providenciará e pagará diretamente o transporte e a subsistência do local de recrutamento até o local de trabalho. Ao término do período de emprego ou em caso de demissão antecipada, o empregador fornecerá ou pagará ao trabalhador os custos razoáveis ​​de transporte e subsistência de retorno para casa ou para o local de onde o trabalhador partiu originalmente para trabalhar, exceto nos casos em que o trabalhador não retornará devido a um emprego subsequente com outro empregador ou quando o empregador tiver relatado adequadamente o abandono voluntário do emprego pelo trabalhador. O valor do pagamento ou reembolso do transporte será equivalente ao da transportadora mais econômica e razoável para as distâncias envolvidas. Será fornecida alimentação diária a uma taxa mínima de US$ 16,78 por dia durante a viagem, podendo chegar a um máximo de US$ 68,00 por dia mediante apresentação de recibos. Todos os custos de transporte devem ser previamente aprovados. Se necessário, o empregador reembolsará o trabalhador, dentro do primeiro período de pagamento, pelos custos aprovados de alimentação e hospedagem, à taxa de câmbio aplicável, não excedendo os custos razoáveis. Os recibos devem ser apresentados. Número de horas por semana: 48. Horário de trabalho (início/término): 6h00 - 18h00.</v>
      </c>
    </row>
    <row r="1623" ht="20.25" customHeight="1">
      <c r="A1623" s="8" t="s">
        <v>7252</v>
      </c>
      <c r="B1623" s="8" t="s">
        <v>7253</v>
      </c>
      <c r="C1623" s="8" t="s">
        <v>6234</v>
      </c>
      <c r="D1623" s="8" t="s">
        <v>64</v>
      </c>
      <c r="E1623" s="9" t="s">
        <v>19</v>
      </c>
      <c r="F1623" s="9" t="s">
        <v>20</v>
      </c>
      <c r="G1623" s="9" t="s">
        <v>94</v>
      </c>
      <c r="H1623" s="8" t="s">
        <v>7254</v>
      </c>
      <c r="I1623" s="8" t="s">
        <v>7255</v>
      </c>
      <c r="J1623" s="9">
        <v>23.16</v>
      </c>
      <c r="K1623" s="9">
        <v>3.0</v>
      </c>
      <c r="L1623" s="8" t="s">
        <v>7256</v>
      </c>
      <c r="M1623" s="8" t="s">
        <v>7257</v>
      </c>
      <c r="N1623" s="7" t="str">
        <f>IFERROR(__xludf.DUMMYFUNCTION("GOOGLETRANSLATE(L1623, ""en"", ""pt"")"),"Instalador de luzes natalinas")</f>
        <v>Instalador de luzes natalinas</v>
      </c>
      <c r="O1623" s="7" t="str">
        <f>IFERROR(__xludf.DUMMYFUNCTION("IF(M1623="""","""",GOOGLETRANSLATE(M1623,""en"",""pt""))"),"Funções do Cargo: Organizar e preparar diversos itens de decoração natalina, incluindo luzes de Natal, enfeites e arranjos sazonais e festivos, com o funcionário fixando os enfeites em guirlandas, coroas e árvores conforme necessário. Montar expositores e"&amp;"xternos para fotos, com suportes de solo e ancoragem utilizando martelos, estacas e arames. Também inclui instalar e/ou remover esses itens de decoração natalina dos locais de trabalho e prepará-los para armazenamento. Carregar e descarregar materiais e e"&amp;"quipamentos, como caixas plásticas com lâmpadas e fios, caixas pequenas de guirlandas/enfeites e suprimentos para montagem de expositores externos, manualmente. É necessário levantar até 23 kg. O trabalho é realizado em locais de trabalho na região, com t"&amp;"ransporte fornecido pelo empregador de ida e volta a partir de um ponto de coleta centralizado na área de atuação. Classificação do Cargo: 49-9099.00 - Trabalhadores de Instalação, Manutenção e Reparo, Outros. A classificação e descrição do cargo/setor in"&amp;"clui informações gerais sobre a posição, de acordo com o ONET/OES e o Sistema de Classificação Industrial da América do Norte. Consulte as Funções do Cargo e a Ordem de Serviço para obter mais informações. Requisitos da vaga Experiência necessária: Não Nú"&amp;"mero de horas por semana: 40 Horário de trabalho (início/término): 8h00 - 16h30")</f>
        <v>Funções do Cargo: Organizar e preparar diversos itens de decoração natalina, incluindo luzes de Natal, enfeites e arranjos sazonais e festivos, com o funcionário fixando os enfeites em guirlandas, coroas e árvores conforme necessário. Montar expositores externos para fotos, com suportes de solo e ancoragem utilizando martelos, estacas e arames. Também inclui instalar e/ou remover esses itens de decoração natalina dos locais de trabalho e prepará-los para armazenamento. Carregar e descarregar materiais e equipamentos, como caixas plásticas com lâmpadas e fios, caixas pequenas de guirlandas/enfeites e suprimentos para montagem de expositores externos, manualmente. É necessário levantar até 23 kg. O trabalho é realizado em locais de trabalho na região, com transporte fornecido pelo empregador de ida e volta a partir de um ponto de coleta centralizado na área de atuação. Classificação do Cargo: 49-9099.00 - Trabalhadores de Instalação, Manutenção e Reparo, Outros. A classificação e descrição do cargo/setor inclui informações gerais sobre a posição, de acordo com o ONET/OES e o Sistema de Classificação Industrial da América do Norte. Consulte as Funções do Cargo e a Ordem de Serviço para obter mais informações. Requisitos da vaga Experiência necessária: Não Número de horas por semana: 40 Horário de trabalho (início/término): 8h00 - 16h30</v>
      </c>
    </row>
    <row r="1624" ht="20.25" customHeight="1">
      <c r="A1624" s="3" t="s">
        <v>7258</v>
      </c>
      <c r="B1624" s="3" t="s">
        <v>7259</v>
      </c>
      <c r="C1624" s="3" t="s">
        <v>7260</v>
      </c>
      <c r="D1624" s="3" t="s">
        <v>249</v>
      </c>
      <c r="E1624" s="4" t="s">
        <v>19</v>
      </c>
      <c r="F1624" s="4" t="s">
        <v>20</v>
      </c>
      <c r="G1624" s="4" t="s">
        <v>56</v>
      </c>
      <c r="H1624" s="3" t="s">
        <v>7261</v>
      </c>
      <c r="I1624" s="3" t="s">
        <v>7262</v>
      </c>
      <c r="J1624" s="4">
        <v>18.91</v>
      </c>
      <c r="K1624" s="4">
        <v>6.0</v>
      </c>
      <c r="L1624" s="3" t="s">
        <v>59</v>
      </c>
      <c r="M1624" s="3" t="s">
        <v>7263</v>
      </c>
      <c r="N1624" s="7" t="str">
        <f>IFERROR(__xludf.DUMMYFUNCTION("GOOGLETRANSLATE(L1624, ""en"", ""pt"")"),"Trabalhador de paisagismo")</f>
        <v>Trabalhador de paisagismo</v>
      </c>
      <c r="O1624" s="7" t="str">
        <f>IFERROR(__xludf.DUMMYFUNCTION("IF(M1624="""","""",GOOGLETRANSLATE(M1624,""en"",""pt""))"),"Realizar a manutenção e o paisagismo de propriedades utilizando ferramentas ou equipamentos. As tarefas podem incluir cortar e aparar gramados, colocar grama em placas, aparar, plantar, regar, fertilizar, cavar, rastelar e varrer folhas; arrancar e cortar"&amp;" ervas daninhas, podar, semear, transportar e espalhar terra vegetal e cobertura morta, instalar sistemas de irrigação e instalar blocos de concreto pré-moldado sem argamassa. Classificação da função: 37-3011.00 - Trabalhadores de Paisagismo e Manutenção "&amp;"de Áreas Verdes. A classificação e a descrição da função/setor incluem informações gerais sobre o cargo, de acordo com o ONET/OES e o Sistema de Classificação Industrial da América do Norte (NAICS). Consulte as Funções e a Ordem de Serviço para obter mais"&amp;" informações. Requisitos da vaga: Experiência necessária: Não. Requisitos especiais: Capacidade de levantar/carregar 23 kg quando necessário. Número de horas por semana: 40. Horário de trabalho (início/término): 8h às 17h.")</f>
        <v>Realizar a manutenção e o paisagismo de propriedades utilizando ferramentas ou equipamentos. As tarefas podem incluir cortar e aparar gramados, colocar grama em placas, aparar, plantar, regar, fertilizar, cavar, rastelar e varrer folhas; arrancar e cortar ervas daninhas, podar, semear, transportar e espalhar terra vegetal e cobertura morta, instalar sistemas de irrigação e instalar blocos de concreto pré-moldado sem argamassa. Classificação da função: 37-3011.00 - Trabalhadores de Paisagismo e Manutenção de Áreas Verdes. A classificação e a descrição da função/setor incluem informações gerais sobre o cargo, de acordo com o ONET/OES e o Sistema de Classificação Industrial da América do Norte (NAICS). Consulte as Funções e a Ordem de Serviço para obter mais informações. Requisitos da vaga: Experiência necessária: Não. Requisitos especiais: Capacidade de levantar/carregar 23 kg quando necessário. Número de horas por semana: 40. Horário de trabalho (início/término): 8h às 17h.</v>
      </c>
    </row>
    <row r="1625" ht="20.25" customHeight="1">
      <c r="A1625" s="8" t="s">
        <v>7264</v>
      </c>
      <c r="B1625" s="8" t="s">
        <v>7265</v>
      </c>
      <c r="C1625" s="8" t="s">
        <v>7266</v>
      </c>
      <c r="D1625" s="8" t="s">
        <v>249</v>
      </c>
      <c r="E1625" s="9" t="s">
        <v>19</v>
      </c>
      <c r="F1625" s="9" t="s">
        <v>20</v>
      </c>
      <c r="G1625" s="9" t="s">
        <v>1829</v>
      </c>
      <c r="H1625" s="8" t="s">
        <v>7267</v>
      </c>
      <c r="I1625" s="8" t="s">
        <v>7268</v>
      </c>
      <c r="J1625" s="9">
        <v>17.45</v>
      </c>
      <c r="K1625" s="9">
        <v>6.0</v>
      </c>
      <c r="L1625" s="8" t="s">
        <v>7018</v>
      </c>
      <c r="M1625" s="8" t="s">
        <v>7269</v>
      </c>
      <c r="N1625" s="7" t="str">
        <f>IFERROR(__xludf.DUMMYFUNCTION("GOOGLETRANSLATE(L1625, ""en"", ""pt"")"),"Trabalhadores para remoção de neve")</f>
        <v>Trabalhadores para remoção de neve</v>
      </c>
      <c r="O1625" s="7" t="str">
        <f>IFERROR(__xludf.DUMMYFUNCTION("IF(M1625="""","""",GOOGLETRANSLATE(M1625,""en"",""pt""))"),"Os trabalhadores de remoção de neve auxiliarão na limpeza de neve e gelo de propriedades comerciais e residenciais, calçadas, entradas, acessos para veículos, escadas, estacionamentos e caminhos de pedestres durante nevascas. Os trabalhadores usarão uma c"&amp;"ombinação de ferramentas manuais e equipamentos motorizados para remoção de neve. As funções incluem: remover neve com pá e aplicar agentes de degelo, como sal ou areia, na superfície; operar máquinas de remoção de neve manuais ou pequenas máquinas autopr"&amp;"opelidas (por exemplo, sopradores de neve de um assento, sopradores de neve ou varredoras motorizadas); remover neve de espaços apertados ou elevados (por exemplo, escadas, decks, telhados quando seguro); carregar e transportar manualmente sacos ou baldes"&amp;" de materiais de degelo (como sal ou cloreto de cálcio) e aplicá-los usando espalhadores manuais, manuais ou de mochila em calçadas, escadas e outras áreas de pedestres para evitar o acúmulo de gelo e garantir a segurança ao caminhar; manter o equipamento"&amp;" limpo e abastecido. Reportar mau funcionamento aos supervisores, armazenar com segurança as ferramentas de remoção de neve e os materiais de degelo no local e transportá-los manualmente entre as áreas de trabalho usando carrinhos de mão, trenós ou carreg"&amp;"ando-os conforme necessário, seguir todos os protocolos de segurança do local, incluindo os procedimentos adequados de descarte de neve, podendo auxiliar na limpeza pós-evento ou nos esforços de remoção de neve. O trabalho exigirá que o trabalhador esteja"&amp;" exposto às intempéries/ambiente externo, ruído, baixas temperaturas e use equipamentos de proteção/segurança comuns. O trabalhador deve ser atento aos detalhes, minucioso na execução das tarefas, cooperativo e responsável. Classificação do Cargo: 37-2011"&amp;".00 - Zeladores e Faxineiros, exceto Empregadas Domésticas e Faxineiros. A classificação e descrição do cargo/setor incluem informações gerais sobre a posição, de acordo com o ONET/OES e o Sistema de Classificação Industrial da América do Norte. Consulte "&amp;"as Funções e a Ordem de Serviço para obter mais informações. Requisitos do Cargo Experiência Necessária: Não Requisitos Especiais: O trabalho exigirá que o trabalhador realize atividades físicas como levantar, equilibrar-se, caminhar, curvar-se, abaixar-s"&amp;"e, alcançar, empurrar, puxar e usar pá. Deve ser capaz de levantar 23 kg. Número de horas por semana: 35. Horário de trabalho (início/término): 6h às 14h.")</f>
        <v>Os trabalhadores de remoção de neve auxiliarão na limpeza de neve e gelo de propriedades comerciais e residenciais, calçadas, entradas, acessos para veículos, escadas, estacionamentos e caminhos de pedestres durante nevascas. Os trabalhadores usarão uma combinação de ferramentas manuais e equipamentos motorizados para remoção de neve. As funções incluem: remover neve com pá e aplicar agentes de degelo, como sal ou areia, na superfície; operar máquinas de remoção de neve manuais ou pequenas máquinas autopropelidas (por exemplo, sopradores de neve de um assento, sopradores de neve ou varredoras motorizadas); remover neve de espaços apertados ou elevados (por exemplo, escadas, decks, telhados quando seguro); carregar e transportar manualmente sacos ou baldes de materiais de degelo (como sal ou cloreto de cálcio) e aplicá-los usando espalhadores manuais, manuais ou de mochila em calçadas, escadas e outras áreas de pedestres para evitar o acúmulo de gelo e garantir a segurança ao caminhar; manter o equipamento limpo e abastecido. Reportar mau funcionamento aos supervisores, armazenar com segurança as ferramentas de remoção de neve e os materiais de degelo no local e transportá-los manualmente entre as áreas de trabalho usando carrinhos de mão, trenós ou carregando-os conforme necessário, seguir todos os protocolos de segurança do local, incluindo os procedimentos adequados de descarte de neve, podendo auxiliar na limpeza pós-evento ou nos esforços de remoção de neve. O trabalho exigirá que o trabalhador esteja exposto às intempéries/ambiente externo, ruído, baixas temperaturas e use equipamentos de proteção/segurança comuns. O trabalhador deve ser atento aos detalhes, minucioso na execução das tarefas, cooperativo e responsável. Classificação do Cargo: 37-2011.00 - Zeladores e Faxineiros, exceto Empregadas Domésticas e Faxineiros. A classificação e descrição do cargo/setor incluem informações gerais sobre a posição, de acordo com o ONET/OES e o Sistema de Classificação Industrial da América do Norte. Consulte as Funções e a Ordem de Serviço para obter mais informações. Requisitos do Cargo Experiência Necessária: Não Requisitos Especiais: O trabalho exigirá que o trabalhador realize atividades físicas como levantar, equilibrar-se, caminhar, curvar-se, abaixar-se, alcançar, empurrar, puxar e usar pá. Deve ser capaz de levantar 23 kg. Número de horas por semana: 35. Horário de trabalho (início/término): 6h às 14h.</v>
      </c>
    </row>
    <row r="1626" ht="20.25" customHeight="1">
      <c r="A1626" s="3" t="s">
        <v>7270</v>
      </c>
      <c r="B1626" s="3" t="s">
        <v>7271</v>
      </c>
      <c r="C1626" s="3" t="s">
        <v>6234</v>
      </c>
      <c r="D1626" s="3" t="s">
        <v>64</v>
      </c>
      <c r="E1626" s="4" t="s">
        <v>19</v>
      </c>
      <c r="F1626" s="4" t="s">
        <v>20</v>
      </c>
      <c r="G1626" s="4" t="s">
        <v>467</v>
      </c>
      <c r="H1626" s="3" t="s">
        <v>7272</v>
      </c>
      <c r="I1626" s="3" t="s">
        <v>7273</v>
      </c>
      <c r="J1626" s="4">
        <v>18.84</v>
      </c>
      <c r="K1626" s="4">
        <v>97.0</v>
      </c>
      <c r="L1626" s="3" t="s">
        <v>59</v>
      </c>
      <c r="M1626" s="3" t="s">
        <v>7274</v>
      </c>
      <c r="N1626" s="7" t="str">
        <f>IFERROR(__xludf.DUMMYFUNCTION("GOOGLETRANSLATE(L1626, ""en"", ""pt"")"),"Trabalhador de paisagismo")</f>
        <v>Trabalhador de paisagismo</v>
      </c>
      <c r="O1626" s="7" t="str">
        <f>IFERROR(__xludf.DUMMYFUNCTION("IF(M1626="""","""",GOOGLETRANSLATE(M1626,""en"",""pt""))"),"Responsabilidades: Remoção e poda de arbustos; poda e remoção de árvores caídas utilizando motosserras e podadores; limpeza e remoção de folhas e detritos; descarte de galhos, ramos e árvores caídas utilizando ferramentas como motosserras e trituradores p"&amp;"ara limpar o terreno de árvores caídas após tempestades de inverno e carregar os galhos cortados/pequenos troncos em caminhão para remoção; plantio de paisagismo de inverno, incluindo azevinho e outras coníferas, espalhamento de cobertura morta; instalaçã"&amp;"o, aplicação e fertilização de azevém perene; preparação de plantas e árvores para o inverno, protegendo-as de geadas e realizando a manutenção de jardins com controle de drenagem; plantio de flores de inverno anuais; instalação, aplicação e fertilização "&amp;"de cobertura morta em toda a propriedade para proteger as plantas, e preparação e drenagem do sistema de irrigação; limpeza de lagoas de retenção. Remoção contínua de depósitos de neve acumulados em condições climáticas extremas em diversas propriedades c"&amp;"omerciais utilizando sopradores de neve e pás de neve comerciais padrão. Remediação de gelo e aplicação de sal. Carregamento e descarregamento de materiais e equipamentos. Levantamento de peso de até 23 kg (50 libras). Trabalho realizado em locais de trab"&amp;"alho na região, com transporte fornecido pelo empregador de ida e volta a partir de um ponto de encontro centralizado na área de atuação especificada. Classificação da vaga: 37-3011.00 - Trabalhadores de Paisagismo e Manutenção de Áreas Verdes. A classifi"&amp;"cação e descrição da vaga/setor incluem informações gerais sobre o cargo, de acordo com o ONET/OES e o Sistema de Classificação Industrial da América do Norte (NAICS). Consulte as Funções e a Ordem de Serviço para obter mais informações. Requisitos da vag"&amp;"a: Experiência exigida: Não. Requisitos especiais: Exame toxicológico e verificação de antecedentes criminais pré-admissionais pagos pelo empregador. Número de horas por semana: 40. Horário de trabalho (início/término): 7h às 16h.")</f>
        <v>Responsabilidades: Remoção e poda de arbustos; poda e remoção de árvores caídas utilizando motosserras e podadores; limpeza e remoção de folhas e detritos; descarte de galhos, ramos e árvores caídas utilizando ferramentas como motosserras e trituradores para limpar o terreno de árvores caídas após tempestades de inverno e carregar os galhos cortados/pequenos troncos em caminhão para remoção; plantio de paisagismo de inverno, incluindo azevinho e outras coníferas, espalhamento de cobertura morta; instalação, aplicação e fertilização de azevém perene; preparação de plantas e árvores para o inverno, protegendo-as de geadas e realizando a manutenção de jardins com controle de drenagem; plantio de flores de inverno anuais; instalação, aplicação e fertilização de cobertura morta em toda a propriedade para proteger as plantas, e preparação e drenagem do sistema de irrigação; limpeza de lagoas de retenção. Remoção contínua de depósitos de neve acumulados em condições climáticas extremas em diversas propriedades comerciais utilizando sopradores de neve e pás de neve comerciais padrão. Remediação de gelo e aplicação de sal. Carregamento e descarregamento de materiais e equipamentos. Levantamento de peso de até 23 kg (50 libras). Trabalho realizado em locais de trabalho na região, com transporte fornecido pelo empregador de ida e volta a partir de um ponto de encontro centralizado na área de atuação especificada. Classificação da vaga: 37-3011.00 - Trabalhadores de Paisagismo e Manutenção de Áreas Verdes. A classificação e descrição da vaga/setor incluem informações gerais sobre o cargo, de acordo com o ONET/OES e o Sistema de Classificação Industrial da América do Norte (NAICS). Consulte as Funções e a Ordem de Serviço para obter mais informações. Requisitos da vaga: Experiência exigida: Não. Requisitos especiais: Exame toxicológico e verificação de antecedentes criminais pré-admissionais pagos pelo empregador. Número de horas por semana: 40. Horário de trabalho (início/término): 7h às 16h.</v>
      </c>
    </row>
    <row r="1627" ht="20.25" customHeight="1">
      <c r="A1627" s="8" t="s">
        <v>7275</v>
      </c>
      <c r="B1627" s="8" t="s">
        <v>7271</v>
      </c>
      <c r="C1627" s="8" t="s">
        <v>6234</v>
      </c>
      <c r="D1627" s="8" t="s">
        <v>64</v>
      </c>
      <c r="E1627" s="9" t="s">
        <v>19</v>
      </c>
      <c r="F1627" s="9" t="s">
        <v>20</v>
      </c>
      <c r="G1627" s="9" t="s">
        <v>467</v>
      </c>
      <c r="H1627" s="8" t="s">
        <v>7272</v>
      </c>
      <c r="I1627" s="8" t="s">
        <v>7273</v>
      </c>
      <c r="J1627" s="9">
        <v>18.84</v>
      </c>
      <c r="K1627" s="9">
        <v>96.0</v>
      </c>
      <c r="L1627" s="8" t="s">
        <v>6411</v>
      </c>
      <c r="M1627" s="8" t="s">
        <v>7276</v>
      </c>
      <c r="N1627" s="7" t="str">
        <f>IFERROR(__xludf.DUMMYFUNCTION("GOOGLETRANSLATE(L1627, ""en"", ""pt"")"),"Trabalhador de paisagismo qualificado")</f>
        <v>Trabalhador de paisagismo qualificado</v>
      </c>
      <c r="O1627" s="7" t="str">
        <f>IFERROR(__xludf.DUMMYFUNCTION("IF(M1627="""","""",GOOGLETRANSLATE(M1627,""en"",""pt""))"),"Descrição das funções: A vaga oferecida destina-se a um trabalhador de paisagismo experiente, com no mínimo três meses de experiência em serviços de inverno, que seja capaz de trabalhar e demonstrar os métodos e procedimentos de paisagismo da empresa, em "&amp;"conjunto com até 3 colegas. As responsabilidades incluem: remoção e poda de arbustos; poda e remoção de árvores caídas utilizando motosserras e podadores; limpeza e remoção de folhas e detritos do terreno; descarte de galhos, ramos e árvores caídas utiliz"&amp;"ando ferramentas como motosserras e trituradores para limpar o terreno de árvores caídas devido a tempestades de inverno e carregar os galhos cortados/pequenos troncos em caminhão para remoção; plantio de paisagismo de inverno, incluindo azevinho e outras"&amp;" coníferas, espalhamento de cobertura morta; instalação, aplicação e fertilização de azevém perene; preparação de plantas e árvores para o inverno, protegendo-as de geadas, com manutenção de jardins e controle de drenagem; plantio de flores anuais de inve"&amp;"rno; instalação, aplicação e fertilização de cobertura morta em toda a propriedade para proteger as plantas; preparação e drenagem do sistema de irrigação para o inverno; limpeza de lagoas de retenção. Remover depósitos acumulados de neve de forma contínu"&amp;"a em condições climáticas extremas em diversas propriedades comerciais, utilizando sopradores de neve e pás de neve comerciais padrão. Remediação de gelo e aplicação de sal. Carregar e descarregar materiais e equipamentos. Levantamento de peso de até 23 k"&amp;"g (50 libras). O trabalho é realizado em locais de trabalho na região, com transporte fornecido pelo empregador de ida e volta a partir de um ponto de coleta centralizado na área de atuação. Classificação da vaga: 37-3011.00 - Trabalhadores de Paisagismo "&amp;"e Manutenção de Áreas Verdes. A classificação e descrição da vaga/setor incluem informações gerais sobre o cargo, de acordo com o ONET/OES e o Sistema de Classificação Industrial da América do Norte (NAICS). Consulte as Funções e a Ordem de Serviço para o"&amp;"bter mais informações. Requisitos da vaga: Experiência exigida: Sim. Meses de experiência exigidos: 3. Requisitos especiais: Exame toxicológico e verificação de antecedentes criminais pré-admissionais pagos pelo empregador. Número de horas por semana: 40."&amp;" Horário de trabalho (início/término): 7h às 16h.")</f>
        <v>Descrição das funções: A vaga oferecida destina-se a um trabalhador de paisagismo experiente, com no mínimo três meses de experiência em serviços de inverno, que seja capaz de trabalhar e demonstrar os métodos e procedimentos de paisagismo da empresa, em conjunto com até 3 colegas. As responsabilidades incluem: remoção e poda de arbustos; poda e remoção de árvores caídas utilizando motosserras e podadores; limpeza e remoção de folhas e detritos do terreno; descarte de galhos, ramos e árvores caídas utilizando ferramentas como motosserras e trituradores para limpar o terreno de árvores caídas devido a tempestades de inverno e carregar os galhos cortados/pequenos troncos em caminhão para remoção; plantio de paisagismo de inverno, incluindo azevinho e outras coníferas, espalhamento de cobertura morta; instalação, aplicação e fertilização de azevém perene; preparação de plantas e árvores para o inverno, protegendo-as de geadas, com manutenção de jardins e controle de drenagem; plantio de flores anuais de inverno; instalação, aplicação e fertilização de cobertura morta em toda a propriedade para proteger as plantas; preparação e drenagem do sistema de irrigação para o inverno; limpeza de lagoas de retenção. Remover depósitos acumulados de neve de forma contínua em condições climáticas extremas em diversas propriedades comerciais, utilizando sopradores de neve e pás de neve comerciais padrão. Remediação de gelo e aplicação de sal. Carregar e descarregar materiais e equipamentos. Levantamento de peso de até 23 kg (50 libras). O trabalho é realizado em locais de trabalho na região, com transporte fornecido pelo empregador de ida e volta a partir de um ponto de coleta centralizado na área de atuação. Classificação da vaga: 37-3011.00 - Trabalhadores de Paisagismo e Manutenção de Áreas Verdes. A classificação e descrição da vaga/setor incluem informações gerais sobre o cargo, de acordo com o ONET/OES e o Sistema de Classificação Industrial da América do Norte (NAICS). Consulte as Funções e a Ordem de Serviço para obter mais informações. Requisitos da vaga: Experiência exigida: Sim. Meses de experiência exigidos: 3. Requisitos especiais: Exame toxicológico e verificação de antecedentes criminais pré-admissionais pagos pelo empregador. Número de horas por semana: 40. Horário de trabalho (início/término): 7h às 16h.</v>
      </c>
    </row>
    <row r="1628" ht="20.25" customHeight="1">
      <c r="A1628" s="3" t="s">
        <v>7277</v>
      </c>
      <c r="B1628" s="3" t="s">
        <v>7278</v>
      </c>
      <c r="C1628" s="3" t="s">
        <v>6234</v>
      </c>
      <c r="D1628" s="3" t="s">
        <v>64</v>
      </c>
      <c r="E1628" s="4" t="s">
        <v>19</v>
      </c>
      <c r="F1628" s="4" t="s">
        <v>20</v>
      </c>
      <c r="G1628" s="4" t="s">
        <v>467</v>
      </c>
      <c r="H1628" s="3" t="s">
        <v>7272</v>
      </c>
      <c r="I1628" s="3" t="s">
        <v>7273</v>
      </c>
      <c r="J1628" s="4">
        <v>17.42</v>
      </c>
      <c r="K1628" s="4">
        <v>24.0</v>
      </c>
      <c r="L1628" s="3" t="s">
        <v>59</v>
      </c>
      <c r="M1628" s="3" t="s">
        <v>7279</v>
      </c>
      <c r="N1628" s="7" t="str">
        <f>IFERROR(__xludf.DUMMYFUNCTION("GOOGLETRANSLATE(L1628, ""en"", ""pt"")"),"Trabalhador de paisagismo")</f>
        <v>Trabalhador de paisagismo</v>
      </c>
      <c r="O1628" s="7" t="str">
        <f>IFERROR(__xludf.DUMMYFUNCTION("IF(M1628="""","""",GOOGLETRANSLATE(M1628,""en"",""pt""))"),"Responsabilidades: Remoção e poda de arbustos; poda e remoção de árvores caídas utilizando motosserras e podadores; limpeza e remoção de folhas e detritos; descarte de galhos, ramos e árvores caídas utilizando ferramentas como motosserras e trituradores p"&amp;"ara limpar o terreno de árvores caídas após tempestades de inverno e carregar os galhos cortados/pequenos troncos em caminhão para remoção; plantio de paisagismo de inverno, incluindo azevinho e outras coníferas, espalhamento de cobertura morta; instalaçã"&amp;"o, aplicação e fertilização de azevém perene; preparação de plantas e árvores para o inverno, protegendo-as de geadas e realizando a manutenção de jardins com controle de drenagem; plantio de flores de inverno anuais; instalação, aplicação e fertilização "&amp;"de cobertura morta em toda a propriedade para proteger as plantas, e preparação e drenagem do sistema de irrigação; limpeza de lagoas de retenção. Remoção contínua de depósitos de neve acumulados em condições climáticas extremas em diversas propriedades c"&amp;"omerciais utilizando sopradores de neve e pás de neve comerciais padrão. Remediação de gelo e aplicação de sal. Carregamento e descarregamento de materiais e equipamentos. Levantamento de peso de até 23 kg (50 libras). Trabalho realizado em locais de trab"&amp;"alho na região, com transporte fornecido pelo empregador de ida e volta a partir de um ponto de encontro centralizado na área de atuação especificada. Classificação da vaga: 37-3011.00 - Trabalhadores de Paisagismo e Manutenção de Áreas Verdes. A classifi"&amp;"cação e descrição da vaga/setor incluem informações gerais sobre o cargo, de acordo com o ONET/OES e o Sistema de Classificação Industrial da América do Norte (NAICS). Consulte as Funções e a Ordem de Serviço para obter mais informações. Requisitos da vag"&amp;"a: Experiência exigida: Não. Requisitos especiais: Exame toxicológico e verificação de antecedentes criminais pré-admissionais pagos pelo empregador. Número de horas por semana: 40. Horário de trabalho (início/término): 7h às 16h.")</f>
        <v>Responsabilidades: Remoção e poda de arbustos; poda e remoção de árvores caídas utilizando motosserras e podadores; limpeza e remoção de folhas e detritos; descarte de galhos, ramos e árvores caídas utilizando ferramentas como motosserras e trituradores para limpar o terreno de árvores caídas após tempestades de inverno e carregar os galhos cortados/pequenos troncos em caminhão para remoção; plantio de paisagismo de inverno, incluindo azevinho e outras coníferas, espalhamento de cobertura morta; instalação, aplicação e fertilização de azevém perene; preparação de plantas e árvores para o inverno, protegendo-as de geadas e realizando a manutenção de jardins com controle de drenagem; plantio de flores de inverno anuais; instalação, aplicação e fertilização de cobertura morta em toda a propriedade para proteger as plantas, e preparação e drenagem do sistema de irrigação; limpeza de lagoas de retenção. Remoção contínua de depósitos de neve acumulados em condições climáticas extremas em diversas propriedades comerciais utilizando sopradores de neve e pás de neve comerciais padrão. Remediação de gelo e aplicação de sal. Carregamento e descarregamento de materiais e equipamentos. Levantamento de peso de até 23 kg (50 libras). Trabalho realizado em locais de trabalho na região, com transporte fornecido pelo empregador de ida e volta a partir de um ponto de encontro centralizado na área de atuação especificada. Classificação da vaga: 37-3011.00 - Trabalhadores de Paisagismo e Manutenção de Áreas Verdes. A classificação e descrição da vaga/setor incluem informações gerais sobre o cargo, de acordo com o ONET/OES e o Sistema de Classificação Industrial da América do Norte (NAICS). Consulte as Funções e a Ordem de Serviço para obter mais informações. Requisitos da vaga: Experiência exigida: Não. Requisitos especiais: Exame toxicológico e verificação de antecedentes criminais pré-admissionais pagos pelo empregador. Número de horas por semana: 40. Horário de trabalho (início/término): 7h às 16h.</v>
      </c>
    </row>
    <row r="1629" ht="20.25" customHeight="1">
      <c r="A1629" s="8" t="s">
        <v>7280</v>
      </c>
      <c r="B1629" s="8" t="s">
        <v>7278</v>
      </c>
      <c r="C1629" s="8" t="s">
        <v>6234</v>
      </c>
      <c r="D1629" s="8" t="s">
        <v>64</v>
      </c>
      <c r="E1629" s="9" t="s">
        <v>19</v>
      </c>
      <c r="F1629" s="9" t="s">
        <v>20</v>
      </c>
      <c r="G1629" s="9" t="s">
        <v>467</v>
      </c>
      <c r="H1629" s="8" t="s">
        <v>7272</v>
      </c>
      <c r="I1629" s="8" t="s">
        <v>7273</v>
      </c>
      <c r="J1629" s="9">
        <v>17.42</v>
      </c>
      <c r="K1629" s="9">
        <v>22.0</v>
      </c>
      <c r="L1629" s="8" t="s">
        <v>6411</v>
      </c>
      <c r="M1629" s="8" t="s">
        <v>7281</v>
      </c>
      <c r="N1629" s="7" t="str">
        <f>IFERROR(__xludf.DUMMYFUNCTION("GOOGLETRANSLATE(L1629, ""en"", ""pt"")"),"Trabalhador de paisagismo qualificado")</f>
        <v>Trabalhador de paisagismo qualificado</v>
      </c>
      <c r="O1629" s="7" t="str">
        <f>IFERROR(__xludf.DUMMYFUNCTION("IF(M1629="""","""",GOOGLETRANSLATE(M1629,""en"",""pt""))"),"Descrição das funções: A vaga oferecida destina-se a um trabalhador de paisagismo experiente, com no mínimo três meses de experiência em serviços de inverno, que seja capaz de trabalhar e demonstrar os métodos e procedimentos de paisagismo da empresa, em "&amp;"conjunto com até 3 colegas. As responsabilidades incluem: remoção e poda de arbustos; poda e remoção de árvores caídas utilizando motosserras e podadores; limpeza e remoção de folhas e detritos do terreno; descarte de galhos, ramos e árvores caídas utiliz"&amp;"ando ferramentas como motosserras e trituradores para limpar o terreno de árvores caídas devido a tempestades de inverno e carregar os galhos cortados/pequenos troncos em caminhão para remoção; plantio de paisagismo de inverno, incluindo azevinho e outras"&amp;" coníferas, espalhamento de cobertura morta; instalação, aplicação e fertilização de azevém perene; preparação de plantas e árvores para o inverno, protegendo-as de geadas, com manutenção de jardins e controle de drenagem; plantio de flores anuais de inve"&amp;"rno; instalação, aplicação e fertilização de cobertura morta em toda a propriedade para proteger as plantas; preparação e drenagem do sistema de irrigação para o inverno; limpeza de lagoas de retenção. Remover depósitos acumulados de neve de forma contínu"&amp;"a em condições climáticas extremas em diversas propriedades comerciais, utilizando sopradores de neve e pás de neve comerciais padrão. Remediação de gelo e aplicação de sal. Carregar e descarregar materiais e equipamentos. Levantamento de peso de até 23 k"&amp;"g (50 libras). O trabalho é realizado em locais de trabalho na região, com transporte fornecido pelo empregador de ida e volta a partir de um ponto de coleta centralizado na área de atuação especificada. Classificação da vaga: 37-3011.00 - Trabalhadores d"&amp;"e Paisagismo e Manutenção de Áreas Verdes. A classificação e descrição da vaga/setor incluem informações gerais sobre o cargo, de acordo com o ONET/OES e o Sistema de Classificação Industrial da América do Norte (NAICS). Consulte as Funções e a Ordem de S"&amp;"erviço para obter mais informações. Requisitos da vaga: Experiência exigida: Sim. Meses de experiência exigidos: 3. Requisitos especiais: Exame toxicológico e verificação de antecedentes criminais pré-admissionais pagos pelo empregador. Número de horas po"&amp;"r semana: 40. Horário de trabalho (início/término): 7h às 16h.")</f>
        <v>Descrição das funções: A vaga oferecida destina-se a um trabalhador de paisagismo experiente, com no mínimo três meses de experiência em serviços de inverno, que seja capaz de trabalhar e demonstrar os métodos e procedimentos de paisagismo da empresa, em conjunto com até 3 colegas. As responsabilidades incluem: remoção e poda de arbustos; poda e remoção de árvores caídas utilizando motosserras e podadores; limpeza e remoção de folhas e detritos do terreno; descarte de galhos, ramos e árvores caídas utilizando ferramentas como motosserras e trituradores para limpar o terreno de árvores caídas devido a tempestades de inverno e carregar os galhos cortados/pequenos troncos em caminhão para remoção; plantio de paisagismo de inverno, incluindo azevinho e outras coníferas, espalhamento de cobertura morta; instalação, aplicação e fertilização de azevém perene; preparação de plantas e árvores para o inverno, protegendo-as de geadas, com manutenção de jardins e controle de drenagem; plantio de flores anuais de inverno; instalação, aplicação e fertilização de cobertura morta em toda a propriedade para proteger as plantas; preparação e drenagem do sistema de irrigação para o inverno; limpeza de lagoas de retenção. Remover depósitos acumulados de neve de forma contínua em condições climáticas extremas em diversas propriedades comerciais, utilizando sopradores de neve e pás de neve comerciais padrão. Remediação de gelo e aplicação de sal. Carregar e descarregar materiais e equipamentos. Levantamento de peso de até 23 kg (50 libras). O trabalho é realizado em locais de trabalho na região, com transporte fornecido pelo empregador de ida e volta a partir de um ponto de coleta centralizado na área de atuação especificada. Classificação da vaga: 37-3011.00 - Trabalhadores de Paisagismo e Manutenção de Áreas Verdes. A classificação e descrição da vaga/setor incluem informações gerais sobre o cargo, de acordo com o ONET/OES e o Sistema de Classificação Industrial da América do Norte (NAICS). Consulte as Funções e a Ordem de Serviço para obter mais informações. Requisitos da vaga: Experiência exigida: Sim. Meses de experiência exigidos: 3. Requisitos especiais: Exame toxicológico e verificação de antecedentes criminais pré-admissionais pagos pelo empregador. Número de horas por semana: 40. Horário de trabalho (início/término): 7h às 16h.</v>
      </c>
    </row>
    <row r="1630" ht="20.25" customHeight="1">
      <c r="A1630" s="3" t="s">
        <v>7282</v>
      </c>
      <c r="B1630" s="3" t="s">
        <v>6999</v>
      </c>
      <c r="C1630" s="3" t="s">
        <v>7000</v>
      </c>
      <c r="D1630" s="3" t="s">
        <v>3015</v>
      </c>
      <c r="E1630" s="4" t="s">
        <v>19</v>
      </c>
      <c r="F1630" s="4" t="s">
        <v>20</v>
      </c>
      <c r="G1630" s="4" t="s">
        <v>29</v>
      </c>
      <c r="H1630" s="3" t="s">
        <v>7001</v>
      </c>
      <c r="I1630" s="3" t="s">
        <v>7002</v>
      </c>
      <c r="J1630" s="4">
        <v>16.64</v>
      </c>
      <c r="K1630" s="4">
        <v>4.0</v>
      </c>
      <c r="L1630" s="3" t="s">
        <v>7109</v>
      </c>
      <c r="M1630" s="3" t="s">
        <v>7283</v>
      </c>
      <c r="N1630" s="7" t="str">
        <f>IFERROR(__xludf.DUMMYFUNCTION("GOOGLETRANSLATE(L1630, ""en"", ""pt"")"),"Recepcionista")</f>
        <v>Recepcionista</v>
      </c>
      <c r="O1630" s="7" t="str">
        <f>IFERROR(__xludf.DUMMYFUNCTION("IF(M1630="""","""",GOOGLETRANSLATE(M1630,""en"",""pt""))"),"Acomodar hóspedes de hotéis, motéis e resorts, registrando e atribuindo quartos, entregando chaves ou cartões de acesso, transmitindo e recebendo mensagens, mantendo registros de quartos ocupados e contas dos hóspedes, fazendo e confirmando reservas, apre"&amp;"sentando contas e recebendo pagamentos dos hóspedes na saída. Classificação da vaga: 43-4081.00 - Recepcionista de Hotel, Motel e Resort. A classificação e descrição da vaga/setor incluem informações gerais sobre o cargo, de acordo com o ONET/OES e o Sist"&amp;"ema de Classificação Industrial da América do Norte (NAICS). Consulte as Funções e a Ordem de Serviço para obter mais informações. Requisitos da vaga: Experiência necessária: Não. Requisitos especiais: Capacidade de levantar até 23 kg e permanecer em pé o"&amp;"u agachado durante todo ou a maior parte do turno de trabalho, além de familiaridade com o idioma inglês. Horário: 35 horas semanais. De segunda a domingo (horário variável). A escala de trabalho pode incluir noites, fins de semana e feriados. Turnos: das"&amp;" 9h às 16h (os horários dos turnos podem variar). Número de horas por semana: 35 Horário de trabalho (início/término): 9h00 - 16h00")</f>
        <v>Acomodar hóspedes de hotéis, motéis e resorts, registrando e atribuindo quartos, entregando chaves ou cartões de acesso, transmitindo e recebendo mensagens, mantendo registros de quartos ocupados e contas dos hóspedes, fazendo e confirmando reservas, apresentando contas e recebendo pagamentos dos hóspedes na saída. Classificação da vaga: 43-4081.00 - Recepcionista de Hotel, Motel e Resort. A classificação e descrição da vaga/setor incluem informações gerais sobre o cargo, de acordo com o ONET/OES e o Sistema de Classificação Industrial da América do Norte (NAICS). Consulte as Funções e a Ordem de Serviço para obter mais informações. Requisitos da vaga: Experiência necessária: Não. Requisitos especiais: Capacidade de levantar até 23 kg e permanecer em pé ou agachado durante todo ou a maior parte do turno de trabalho, além de familiaridade com o idioma inglês. Horário: 35 horas semanais. De segunda a domingo (horário variável). A escala de trabalho pode incluir noites, fins de semana e feriados. Turnos: das 9h às 16h (os horários dos turnos podem variar). Número de horas por semana: 35 Horário de trabalho (início/término): 9h00 - 16h00</v>
      </c>
    </row>
    <row r="1631" ht="20.25" customHeight="1">
      <c r="A1631" s="8" t="s">
        <v>7284</v>
      </c>
      <c r="B1631" s="8" t="s">
        <v>7285</v>
      </c>
      <c r="C1631" s="8" t="s">
        <v>7286</v>
      </c>
      <c r="D1631" s="8" t="s">
        <v>299</v>
      </c>
      <c r="E1631" s="9" t="s">
        <v>19</v>
      </c>
      <c r="F1631" s="9" t="s">
        <v>20</v>
      </c>
      <c r="G1631" s="9" t="s">
        <v>1829</v>
      </c>
      <c r="H1631" s="8" t="s">
        <v>7287</v>
      </c>
      <c r="I1631" s="8" t="s">
        <v>7288</v>
      </c>
      <c r="J1631" s="9">
        <v>26.06</v>
      </c>
      <c r="K1631" s="9">
        <v>20.0</v>
      </c>
      <c r="L1631" s="8" t="s">
        <v>7289</v>
      </c>
      <c r="M1631" s="8" t="s">
        <v>7290</v>
      </c>
      <c r="N1631" s="7" t="str">
        <f>IFERROR(__xludf.DUMMYFUNCTION("GOOGLETRANSLATE(L1631, ""en"", ""pt"")"),"Reparador de Equipamentos de Paisagismo")</f>
        <v>Reparador de Equipamentos de Paisagismo</v>
      </c>
      <c r="O1631" s="7" t="str">
        <f>IFERROR(__xludf.DUMMYFUNCTION("IF(M1631="""","""",GOOGLETRANSLATE(M1631,""en"",""pt""))"),"Diagnosticar, ajustar, reparar ou revisar pequenos motores usados ​​para acionar cortadores de grama, arados, sopradores, motosserras e outros equipamentos de jardinagem. Todas as demais funções relacionadas ao cargo de Mecânico de Equipamentos Motorizado"&amp;"s para Jardinagem e Outros Motores de Pequeno Porte, conforme 49-3053. Pode executar outras funções conforme 49-3053, Mecânico de Equipamentos Motorizados para Jardinagem e Outros Motores de Pequeno Porte. F.a.5a-F.a.6b: 35 horas/semana. Turnos de 8 horas"&amp;" entre 7h30 e 16h. 5 dias por semana, de segunda a sexta-feira. F.b.8a: Os trabalhadores receberão, no mínimo, o salário listado. O empregador poderá pagar salários mais altos aos trabalhadores com base na antiguidade na empresa e no nível de habilidade. "&amp;"F.b.9: Os trabalhadores com visto H-2B têm direito aos seguintes benefícios: plano 401(k) com contribuição da empresa; seguro médico; seguro odontológico; seguro de visão; FSA/HSA; PerkSpot; Seguro de invalidez de longo prazo e seguro de vida; folga remun"&amp;"erada; reembolso de mensalidades escolares (após um ano de serviço). A partir de 1º de janeiro de 2024, conforme a legislação do estado de Minnesota, o funcionário acumulará uma hora de licença médica e de segurança remunerada a cada 30 horas trabalhadas,"&amp;" até um máximo de 48 horas de licença médica e de segurança acumulada (ESST) por ano, desde que trabalhe no mínimo 80 horas no ano civil. F.d.4: Os trabalhadores que não puderem retornar à sua residência durante o expediente têm a opção de moradia forneci"&amp;"da pelo empregador por US$ 600 a US$ 800 por mês, e, se essa opção for escolhida, o empregador deduzirá os custos do salário do trabalhador. Os trabalhadores também têm a opção de providenciar sua própria acomodação. Classificação da função: 49-3053.00 - "&amp;"Mecânico de Equipamentos Elétricos para Áreas Externas e Outros Motores de Pequeno Porte. A classificação e descrição da função/setor incluem informações gerais sobre o cargo, conforme o ONET/OES e o Sistema de Classificação Industrial da América do Norte"&amp;". Consulte a Descrição das Funções e a Ordem de Serviço para obter mais informações. Requisitos da Vaga Experiência Necessária: Sim Meses de Experiência Necessários: 3 Requisitos Especiais: 3 meses de experiência com ferramentas ou equipamentos de jardina"&amp;"gem são necessários. Treinamento no local de trabalho será fornecido. É necessária verificação de antecedentes criminais e exame toxicológico. O exame toxicológico deve ser concluído antes do início do trabalho. Funcionários que trabalharam para a Mariani"&amp;" Enterprises nos últimos 3 anos estão isentos da verificação de antecedentes criminais e do exame toxicológico. Número de Horas por Semana: 35 Horário de Trabalho (Início/Término): 7h30 - 16h00")</f>
        <v>Diagnosticar, ajustar, reparar ou revisar pequenos motores usados ​​para acionar cortadores de grama, arados, sopradores, motosserras e outros equipamentos de jardinagem. Todas as demais funções relacionadas ao cargo de Mecânico de Equipamentos Motorizados para Jardinagem e Outros Motores de Pequeno Porte, conforme 49-3053. Pode executar outras funções conforme 49-3053, Mecânico de Equipamentos Motorizados para Jardinagem e Outros Motores de Pequeno Porte. F.a.5a-F.a.6b: 35 horas/semana. Turnos de 8 horas entre 7h30 e 16h. 5 dias por semana, de segunda a sexta-feira. F.b.8a: Os trabalhadores receberão, no mínimo, o salário listado. O empregador poderá pagar salários mais altos aos trabalhadores com base na antiguidade na empresa e no nível de habilidade. F.b.9: Os trabalhadores com visto H-2B têm direito aos seguintes benefícios: plano 401(k) com contribuição da empresa; seguro médico; seguro odontológico; seguro de visão; FSA/HSA; PerkSpot; Seguro de invalidez de longo prazo e seguro de vida; folga remunerada; reembolso de mensalidades escolares (após um ano de serviço). A partir de 1º de janeiro de 2024, conforme a legislação do estado de Minnesota, o funcionário acumulará uma hora de licença médica e de segurança remunerada a cada 30 horas trabalhadas, até um máximo de 48 horas de licença médica e de segurança acumulada (ESST) por ano, desde que trabalhe no mínimo 80 horas no ano civil. F.d.4: Os trabalhadores que não puderem retornar à sua residência durante o expediente têm a opção de moradia fornecida pelo empregador por US$ 600 a US$ 800 por mês, e, se essa opção for escolhida, o empregador deduzirá os custos do salário do trabalhador. Os trabalhadores também têm a opção de providenciar sua própria acomodação. Classificação da função: 49-3053.00 - Mecânico de Equipamentos Elétricos para Áreas Externas e Outros Motores de Pequeno Porte. A classificação e descrição da função/setor incluem informações gerais sobre o cargo, conforme o ONET/OES e o Sistema de Classificação Industrial da América do Norte. Consulte a Descrição das Funções e a Ordem de Serviço para obter mais informações. Requisitos da Vaga Experiência Necessária: Sim Meses de Experiência Necessários: 3 Requisitos Especiais: 3 meses de experiência com ferramentas ou equipamentos de jardinagem são necessários. Treinamento no local de trabalho será fornecido. É necessária verificação de antecedentes criminais e exame toxicológico. O exame toxicológico deve ser concluído antes do início do trabalho. Funcionários que trabalharam para a Mariani Enterprises nos últimos 3 anos estão isentos da verificação de antecedentes criminais e do exame toxicológico. Número de Horas por Semana: 35 Horário de Trabalho (Início/Término): 7h30 - 16h00</v>
      </c>
    </row>
    <row r="1632" ht="20.25" customHeight="1">
      <c r="A1632" s="3" t="s">
        <v>7291</v>
      </c>
      <c r="B1632" s="3" t="s">
        <v>7285</v>
      </c>
      <c r="C1632" s="3" t="s">
        <v>7286</v>
      </c>
      <c r="D1632" s="3" t="s">
        <v>299</v>
      </c>
      <c r="E1632" s="4" t="s">
        <v>44</v>
      </c>
      <c r="F1632" s="4" t="s">
        <v>20</v>
      </c>
      <c r="G1632" s="4" t="s">
        <v>1441</v>
      </c>
      <c r="H1632" s="3" t="s">
        <v>7287</v>
      </c>
      <c r="I1632" s="3" t="s">
        <v>7288</v>
      </c>
      <c r="J1632" s="4">
        <v>22.32</v>
      </c>
      <c r="K1632" s="4">
        <v>18.0</v>
      </c>
      <c r="L1632" s="3" t="s">
        <v>567</v>
      </c>
      <c r="M1632" s="3" t="s">
        <v>7292</v>
      </c>
      <c r="N1632" s="7" t="str">
        <f>IFERROR(__xludf.DUMMYFUNCTION("GOOGLETRANSLATE(L1632, ""en"", ""pt"")"),"Trabalhador de manutenção de terrenos")</f>
        <v>Trabalhador de manutenção de terrenos</v>
      </c>
      <c r="O1632" s="7" t="str">
        <f>IFERROR(__xludf.DUMMYFUNCTION("IF(M1632="""","""",GOOGLETRANSLATE(M1632,""en"",""pt""))"),"Rastelar, aerar, descompactar, realizar manutenção geral de gramados, poda de plantas perenes, coleta de folhas, uso de soprador de folhas costal, preparação de propriedades de clientes para remoção de neve, demarcando áreas onde existem calçadas e entrad"&amp;"as de veículos em incrementos de 1,80 m para designar caminhos e evitar que equipamentos de remoção de neve danifiquem o paisagismo e a vegetação, instalação de marcadores de propriedade para remoção de neve usando martelos, estacas, mapas e pás, e outras"&amp;" tarefas relacionadas à limpeza de outono/preparação para remoção de neve, incluindo o uso de sopradores de folhas costais, rastelos, pás e carrinhos de mão e/ou carrinhos de transporte para remover folhas acumuladas e outros detritos das propriedades, ev"&amp;"itando que obstruam ou impeçam o funcionamento das máquinas utilizadas para remoção de neve. Pode executar outras tarefas de acordo com o artigo 37-3011, Trabalhadores de Paisagismo e Manutenção de Jardins. F.a.5a-F.a.6b: 35 horas/semana. Turnos de 8 hora"&amp;"s entre 7h e 16h. 5 dias por semana, de segunda a sexta-feira. Poderá trabalhar à noite, nos fins de semana e feriados, conforme necessário. O horário (incluindo os dias de trabalho) pode variar. Poderá trabalhar mais horas do que as garantidas. Poderá fa"&amp;"zer horas extras. O valor das horas extras varia. F.b.8a: Os trabalhadores receberão, no mínimo, o salário listado. O empregador poderá pagar salários mais altos aos trabalhadores com base na antiguidade na empresa e no nível de habilidade. As horas extra"&amp;"s podem variar. F.b.9: Os trabalhadores com visto H-2B têm direito aos seguintes benefícios: plano 401(k) com contribuição da empresa; seguro médico; seguro odontológico; seguro de visão; FSA/HSA; PerkSpot; seguro de invalidez de longo prazo e seguro de v"&amp;"ida; folga remunerada; reembolso de mensalidades (após um ano de serviço). A partir de 1º de janeiro de 2024, de acordo com a legislação do estado de Minnesota, o funcionário acumulará uma hora de licença médica e de segurança remunerada a cada 30 horas t"&amp;"rabalhadas, até um máximo de 48 horas de Licença Médica e de Segurança Remunerada (ESST) acumulada por ano, desde que o funcionário trabalhe um mínimo de 80 horas em um ano civil. F.c.1: Os trabalhadores temporários de manutenção de terrenos com visto H-2"&amp;"B desempenharão suas funções em 2383 Pilot Knob Road, Mendota Heights, MN 55120 e em diversos locais de trabalho dentro da área de emprego pretendida, incluindo os seguintes condados: Anoka, Carver, Dakota, Hennepin, Le Sueur, Ramsey, Scott, Washington, W"&amp;"right e Rice. F.d.1: O empregador fornecerá transporte diário de 2383 Pilot Knob Road, Mendota Heights, MN 55120 para os locais de trabalho e vice-versa, ou o funcionário poderá se apresentar diretamente no local de trabalho por conta própria. F.d.4: Os t"&amp;"rabalhadores que não puderem retornar à sua residência durante o expediente têm a opção de moradia fornecida pelo empregador por US$ 600 a US$ 800 por mês, e, se optarem por essa modalidade, o empregador deduzirá os custos do salário do trabalhador. Os tr"&amp;"abalhadores também têm a opção de providenciar sua própria acomodação. Classificação da Função: 37-3011.00 - Trabalhadores de Paisagismo e Manutenção de Jardins. A classificação e descrição da função/setor inclui informações gerais sobre o cargo, de acord"&amp;"o com o ONET/OES e o Sistema de Classificação Industrial da América do Norte (NAICS). Consulte as Funções e a Ordem de Serviço para obter mais informações. Requisitos da Função Experiência Necessária: Não. Requisitos Especiais: Não é necessário ter formaç"&amp;"ão, treinamento ou experiência formal. O treinamento será fornecido no local de trabalho. É necessário ser capaz de levantar 23 kg. É obrigatória a verificação de antecedentes criminais e o exame toxicológico. O exame toxicológico deve ser concluído antes"&amp;" do início do trabalho. Funcionários que trabalharam para a Mariani Enterprises nos últimos 3 anos estão isentos da verificação de antecedentes criminais e do exame toxicológico. Número de Horas por Semana: 35. Horário de Trabalho (Início/Término): 7h às "&amp;"16h.")</f>
        <v>Rastelar, aerar, descompactar, realizar manutenção geral de gramados, poda de plantas perenes, coleta de folhas, uso de soprador de folhas costal, preparação de propriedades de clientes para remoção de neve, demarcando áreas onde existem calçadas e entradas de veículos em incrementos de 1,80 m para designar caminhos e evitar que equipamentos de remoção de neve danifiquem o paisagismo e a vegetação, instalação de marcadores de propriedade para remoção de neve usando martelos, estacas, mapas e pás, e outras tarefas relacionadas à limpeza de outono/preparação para remoção de neve, incluindo o uso de sopradores de folhas costais, rastelos, pás e carrinhos de mão e/ou carrinhos de transporte para remover folhas acumuladas e outros detritos das propriedades, evitando que obstruam ou impeçam o funcionamento das máquinas utilizadas para remoção de neve. Pode executar outras tarefas de acordo com o artigo 37-3011, Trabalhadores de Paisagismo e Manutenção de Jardins. F.a.5a-F.a.6b: 35 horas/semana. Turnos de 8 horas entre 7h e 16h. 5 dias por semana, de segunda a sexta-feira. Poderá trabalhar à noite, nos fins de semana e feriados, conforme necessário. O horário (incluindo os dias de trabalho) pode variar. Poderá trabalhar mais horas do que as garantidas. Poderá fazer horas extras. O valor das horas extras varia. F.b.8a: Os trabalhadores receberão, no mínimo, o salário listado. O empregador poderá pagar salários mais altos aos trabalhadores com base na antiguidade na empresa e no nível de habilidade. As horas extras podem variar. F.b.9: Os trabalhadores com visto H-2B têm direito aos seguintes benefícios: plano 401(k) com contribuição da empresa; seguro médico; seguro odontológico; seguro de visão; FSA/HSA; PerkSpot; seguro de invalidez de longo prazo e seguro de vida; folga remunerada; reembolso de mensalidades (após um ano de serviço). A partir de 1º de janeiro de 2024, de acordo com a legislação do estado de Minnesota, o funcionário acumulará uma hora de licença médica e de segurança remunerada a cada 30 horas trabalhadas, até um máximo de 48 horas de Licença Médica e de Segurança Remunerada (ESST) acumulada por ano, desde que o funcionário trabalhe um mínimo de 80 horas em um ano civil. F.c.1: Os trabalhadores temporários de manutenção de terrenos com visto H-2B desempenharão suas funções em 2383 Pilot Knob Road, Mendota Heights, MN 55120 e em diversos locais de trabalho dentro da área de emprego pretendida, incluindo os seguintes condados: Anoka, Carver, Dakota, Hennepin, Le Sueur, Ramsey, Scott, Washington, Wright e Rice. F.d.1: O empregador fornecerá transporte diário de 2383 Pilot Knob Road, Mendota Heights, MN 55120 para os locais de trabalho e vice-versa, ou o funcionário poderá se apresentar diretamente no local de trabalho por conta própria. F.d.4: Os trabalhadores que não puderem retornar à sua residência durante o expediente têm a opção de moradia fornecida pelo empregador por US$ 600 a US$ 800 por mês, e, se optarem por essa modalidade, o empregador deduzirá os custos do salário do trabalhador. Os trabalhadores também têm a opção de providenciar sua própria acomodação. Classificação da Função: 37-3011.00 - Trabalhadores de Paisagismo e Manutenção de Jardins. A classificação e descrição da função/setor inclui informações gerais sobre o cargo, de acordo com o ONET/OES e o Sistema de Classificação Industrial da América do Norte (NAICS). Consulte as Funções e a Ordem de Serviço para obter mais informações. Requisitos da Função Experiência Necessária: Não. Requisitos Especiais: Não é necessário ter formação, treinamento ou experiência formal. O treinamento será fornecido no local de trabalho. É necessário ser capaz de levantar 23 kg. É obrigatória a verificação de antecedentes criminais e o exame toxicológico. O exame toxicológico deve ser concluído antes do início do trabalho. Funcionários que trabalharam para a Mariani Enterprises nos últimos 3 anos estão isentos da verificação de antecedentes criminais e do exame toxicológico. Número de Horas por Semana: 35. Horário de Trabalho (Início/Término): 7h às 16h.</v>
      </c>
    </row>
    <row r="1633" ht="20.25" customHeight="1">
      <c r="A1633" s="8" t="s">
        <v>7293</v>
      </c>
      <c r="B1633" s="8" t="s">
        <v>7285</v>
      </c>
      <c r="C1633" s="8" t="s">
        <v>7286</v>
      </c>
      <c r="D1633" s="8" t="s">
        <v>299</v>
      </c>
      <c r="E1633" s="9" t="s">
        <v>44</v>
      </c>
      <c r="F1633" s="9" t="s">
        <v>20</v>
      </c>
      <c r="G1633" s="9" t="s">
        <v>236</v>
      </c>
      <c r="H1633" s="8" t="s">
        <v>7287</v>
      </c>
      <c r="I1633" s="8" t="s">
        <v>7288</v>
      </c>
      <c r="J1633" s="9">
        <v>22.32</v>
      </c>
      <c r="K1633" s="9">
        <v>7.0</v>
      </c>
      <c r="L1633" s="8" t="s">
        <v>7294</v>
      </c>
      <c r="M1633" s="8" t="s">
        <v>7295</v>
      </c>
      <c r="N1633" s="7" t="str">
        <f>IFERROR(__xludf.DUMMYFUNCTION("GOOGLETRANSLATE(L1633, ""en"", ""pt"")"),"Operário para limpeza de sistemas de irrigação")</f>
        <v>Operário para limpeza de sistemas de irrigação</v>
      </c>
      <c r="O1633" s="7" t="str">
        <f>IFERROR(__xludf.DUMMYFUNCTION("IF(M1633="""","""",GOOGLETRANSLATE(M1633,""en"",""pt""))"),"Manutenção de sistemas de irrigação, incluindo a preparação para o inverno. Realização da preparação para o inverno e drenagem do sistema de irrigação, incluindo todas as tubulações de água, válvulas e estações de bombeamento. Pode executar outras tarefas"&amp;" de acordo com o artigo 37-3011, Trabalhadores de Paisagismo e Manutenção de Jardins. F.a.5a-F.a.6b: 35 horas/semana. Turnos de 8 horas entre 7h e 16h. 5 dias por semana, de segunda a sexta-feira. Pode trabalhar à noite, nos fins de semana e feriados, con"&amp;"forme necessário. A escala (incluindo os dias de trabalho) pode variar. Pode trabalhar mais horas do que o garantido. Pode fazer horas extras. O valor das horas extras varia. F.b.8a: Os trabalhadores receberão, no mínimo, o salário listado. O empregador p"&amp;"ode pagar salários mais altos aos trabalhadores com base na antiguidade na empresa e no nível de habilidade. As horas extras podem variar. F.b.9: Os trabalhadores com visto H-2B têm direito aos seguintes benefícios: plano 401(k) com contribuição da empres"&amp;"a; seguro médico; seguro odontológico; seguro de visão; FSA/HSA; Benefícios: PerkSpot; Seguro de Invalidez de Longo Prazo e Seguro de Vida; Férias Remuneradas; Reembolso de Matrícula (após um ano de serviço). A partir de 1º de janeiro de 2024, conforme a "&amp;"legislação do Estado de Minnesota, o funcionário acumulará uma hora de licença médica e de segurança remunerada a cada 30 horas trabalhadas, até um máximo de 48 horas de Licença Médica e de Segurança Acumulada (ESST) por ano, desde que trabalhe no mínimo "&amp;"80 horas no ano civil. F.c.1: Os trabalhadores temporários de irrigação com visto H-2B desempenharão suas funções em 2383 Pilot Knob Road, Mendota Heights, MN 55120 e em diversos locais de trabalho dentro da área de atuação pretendida, incluindo os seguin"&amp;"tes condados: Anoka, Carver, Dakota, Hennepin, Le Sueur, Ramsey, Scott, Washington, Wright e Rice. F.d.1: O empregador fornecerá transporte diário de 2383 Pilot Knob Road, Mendota Heights, MN 55120, até os locais de trabalho e vice-versa, ou o funcionário"&amp;" poderá se apresentar diretamente no local de trabalho por conta própria. F.d.4: Os trabalhadores que não puderem retornar para suas residências durante o expediente têm a opção de moradia fornecida pelo empregador por US$ 600 a US$ 800 por mês, e, se opt"&amp;"arem por essa modalidade, o empregador deduzirá os custos do salário do trabalhador. Os trabalhadores também têm a opção de providenciar sua própria acomodação. Classificação da vaga: 37-3011.00 - Trabalhadores de Paisagismo e Manutenção de Jardins. A cla"&amp;"ssificação e a descrição da vaga/setor incluem informações gerais sobre o cargo, de acordo com o ONET/OES e o Sistema de Classificação Industrial da América do Norte (NAICS). Consulte as Funções e a Ordem de Serviço para obter mais informações. Requisitos"&amp;" da vaga: Experiência exigida: Não. Requisitos especiais: Não são exigidos escolaridade, treinamento ou experiência formal. O treinamento será fornecido no local de trabalho. É necessário ser capaz de levantar 23 kg. É necessário passar por verificação de"&amp;" antecedentes criminais e exame toxicológico. O exame toxicológico deve ser concluído antes do início do trabalho. Funcionários que trabalharam para a Mariani Enterprises nos últimos 3 anos estão isentos da verificação de antecedentes criminais e do exame"&amp;" toxicológico. Número de horas por semana: 35. Horário de trabalho (início/término): 7h às 16h.")</f>
        <v>Manutenção de sistemas de irrigação, incluindo a preparação para o inverno. Realização da preparação para o inverno e drenagem do sistema de irrigação, incluindo todas as tubulações de água, válvulas e estações de bombeamento. Pode executar outras tarefas de acordo com o artigo 37-3011, Trabalhadores de Paisagismo e Manutenção de Jardins. F.a.5a-F.a.6b: 35 horas/semana. Turnos de 8 horas entre 7h e 16h. 5 dias por semana, de segunda a sexta-feira. Pode trabalhar à noite, nos fins de semana e feriados, conforme necessário. A escala (incluindo os dias de trabalho) pode variar. Pode trabalhar mais horas do que o garantido. Pode fazer horas extras. O valor das horas extras varia. F.b.8a: Os trabalhadores receberão, no mínimo, o salário listado. O empregador pode pagar salários mais altos aos trabalhadores com base na antiguidade na empresa e no nível de habilidade. As horas extras podem variar. F.b.9: Os trabalhadores com visto H-2B têm direito aos seguintes benefícios: plano 401(k) com contribuição da empresa; seguro médico; seguro odontológico; seguro de visão; FSA/HSA; Benefícios: PerkSpot; Seguro de Invalidez de Longo Prazo e Seguro de Vida; Férias Remuneradas; Reembolso de Matrícula (após um ano de serviço). A partir de 1º de janeiro de 2024, conforme a legislação do Estado de Minnesota, o funcionário acumulará uma hora de licença médica e de segurança remunerada a cada 30 horas trabalhadas, até um máximo de 48 horas de Licença Médica e de Segurança Acumulada (ESST) por ano, desde que trabalhe no mínimo 80 horas no ano civil. F.c.1: Os trabalhadores temporários de irrigação com visto H-2B desempenharão suas funções em 2383 Pilot Knob Road, Mendota Heights, MN 55120 e em diversos locais de trabalho dentro da área de atuação pretendida, incluindo os seguintes condados: Anoka, Carver, Dakota, Hennepin, Le Sueur, Ramsey, Scott, Washington, Wright e Rice. F.d.1: O empregador fornecerá transporte diário de 2383 Pilot Knob Road, Mendota Heights, MN 55120, até os locais de trabalho e vice-versa, ou o funcionário poderá se apresentar diretamente no local de trabalho por conta própria. F.d.4: Os trabalhadores que não puderem retornar para suas residências durante o expediente têm a opção de moradia fornecida pelo empregador por US$ 600 a US$ 800 por mês, e, se optarem por essa modalidade, o empregador deduzirá os custos do salário do trabalhador. Os trabalhadores também têm a opção de providenciar sua própria acomodação. Classificação da vaga: 37-3011.00 - Trabalhadores de Paisagismo e Manutenção de Jardins. A classificação e a descrição da vaga/setor incluem informações gerais sobre o cargo, de acordo com o ONET/OES e o Sistema de Classificação Industrial da América do Norte (NAICS). Consulte as Funções e a Ordem de Serviço para obter mais informações. Requisitos da vaga: Experiência exigida: Não. Requisitos especiais: Não são exigidos escolaridade, treinamento ou experiência formal. O treinamento será fornecido no local de trabalho. É necessário ser capaz de levantar 23 kg. É necessário passar por verificação de antecedentes criminais e exame toxicológico. O exame toxicológico deve ser concluído antes do início do trabalho. Funcionários que trabalharam para a Mariani Enterprises nos últimos 3 anos estão isentos da verificação de antecedentes criminais e do exame toxicológico. Número de horas por semana: 35. Horário de trabalho (início/término): 7h às 16h.</v>
      </c>
    </row>
    <row r="1634" ht="20.25" customHeight="1">
      <c r="A1634" s="3" t="s">
        <v>7296</v>
      </c>
      <c r="B1634" s="3" t="s">
        <v>7297</v>
      </c>
      <c r="C1634" s="3" t="s">
        <v>6692</v>
      </c>
      <c r="D1634" s="3" t="s">
        <v>7298</v>
      </c>
      <c r="E1634" s="4" t="s">
        <v>19</v>
      </c>
      <c r="F1634" s="4" t="s">
        <v>20</v>
      </c>
      <c r="G1634" s="4" t="s">
        <v>7299</v>
      </c>
      <c r="H1634" s="3" t="s">
        <v>7300</v>
      </c>
      <c r="I1634" s="3" t="s">
        <v>7301</v>
      </c>
      <c r="J1634" s="4">
        <v>23.0</v>
      </c>
      <c r="K1634" s="4">
        <v>1.0</v>
      </c>
      <c r="L1634" s="3" t="s">
        <v>387</v>
      </c>
      <c r="M1634" s="3" t="s">
        <v>7302</v>
      </c>
      <c r="N1634" s="7" t="str">
        <f>IFERROR(__xludf.DUMMYFUNCTION("GOOGLETRANSLATE(L1634, ""en"", ""pt"")"),"Ordem de serviço não disponível")</f>
        <v>Ordem de serviço não disponível</v>
      </c>
      <c r="O1634" s="7" t="str">
        <f>IFERROR(__xludf.DUMMYFUNCTION("IF(M1634="""","""",GOOGLETRANSLATE(M1634,""en"",""pt""))"),"Cuidar da criança e realizar todas as tarefas relacionadas aos cuidados infantis, preparar refeições e lanches, trocar fraldas, dar banho e ensinar a criança a usar o banheiro, auxiliar a criança com a higiene, incluindo escovar os dentes, vestir a crianç"&amp;"a adequadamente para suas atividades, ensinar à criança comportamentos sociais apropriados, supervisionar as atividades da criança e monitorar a segurança em todos os momentos, colocar a criança para dormir durante os cochilos, trabalhar com os pais em di"&amp;"retrizes disciplinares apropriadas e no crescimento e desenvolvimento social da criança, supervisionar o tempo de brincadeira com os amigos da criança, organizar e conduzir atividades recreativas apropriadas para a idade, como jogos, artes e artesanato e "&amp;"esportes. Classificação da vaga: 39-9011.01 - Babás. A classificação e descrição da vaga/setor incluem informações gerais sobre o cargo de acordo com o ONET/OES e o Sistema de Classificação Industrial da América do Norte. Consulte as Funções e a Ordem de "&amp;"Serviço para obter mais informações. Requisitos da vaga: Experiência necessária: Sim. Meses de experiência necessários: 12. Número de horas por semana: 40. Horário de trabalho (início/término): 8h. - 16:00")</f>
        <v>Cuidar da criança e realizar todas as tarefas relacionadas aos cuidados infantis, preparar refeições e lanches, trocar fraldas, dar banho e ensinar a criança a usar o banheiro, auxiliar a criança com a higiene, incluindo escovar os dentes, vestir a criança adequadamente para suas atividades, ensinar à criança comportamentos sociais apropriados, supervisionar as atividades da criança e monitorar a segurança em todos os momentos, colocar a criança para dormir durante os cochilos, trabalhar com os pais em diretrizes disciplinares apropriadas e no crescimento e desenvolvimento social da criança, supervisionar o tempo de brincadeira com os amigos da criança, organizar e conduzir atividades recreativas apropriadas para a idade, como jogos, artes e artesanato e esportes. Classificação da vaga: 39-9011.01 - Babás. A classificação e descrição da vaga/setor incluem informações gerais sobre o cargo de acordo com o ONET/OES e o Sistema de Classificação Industrial da América do Norte. Consulte as Funções e a Ordem de Serviço para obter mais informações. Requisitos da vaga: Experiência necessária: Sim. Meses de experiência necessários: 12. Número de horas por semana: 40. Horário de trabalho (início/término): 8h. - 16:00</v>
      </c>
    </row>
    <row r="1635" ht="20.25" customHeight="1">
      <c r="A1635" s="8" t="s">
        <v>7303</v>
      </c>
      <c r="B1635" s="8" t="s">
        <v>7304</v>
      </c>
      <c r="C1635" s="8" t="s">
        <v>7260</v>
      </c>
      <c r="D1635" s="8" t="s">
        <v>249</v>
      </c>
      <c r="E1635" s="9" t="s">
        <v>19</v>
      </c>
      <c r="F1635" s="9" t="s">
        <v>20</v>
      </c>
      <c r="G1635" s="9" t="s">
        <v>56</v>
      </c>
      <c r="H1635" s="8" t="s">
        <v>7305</v>
      </c>
      <c r="I1635" s="8" t="s">
        <v>7306</v>
      </c>
      <c r="J1635" s="9">
        <v>18.91</v>
      </c>
      <c r="K1635" s="9">
        <v>4.0</v>
      </c>
      <c r="L1635" s="8" t="s">
        <v>59</v>
      </c>
      <c r="M1635" s="8" t="s">
        <v>7307</v>
      </c>
      <c r="N1635" s="7" t="str">
        <f>IFERROR(__xludf.DUMMYFUNCTION("GOOGLETRANSLATE(L1635, ""en"", ""pt"")"),"Trabalhador de paisagismo")</f>
        <v>Trabalhador de paisagismo</v>
      </c>
      <c r="O1635" s="7" t="str">
        <f>IFERROR(__xludf.DUMMYFUNCTION("IF(M1635="""","""",GOOGLETRANSLATE(M1635,""en"",""pt""))"),"Realizar a manutenção e o paisagismo de propriedades utilizando ferramentas ou equipamentos. As tarefas podem incluir cortar e aparar gramados, colocar grama em placas, aparar, plantar, regar, fertilizar, cavar, rastelar e varrer folhas; arrancar e cortar"&amp;" ervas daninhas, podar, semear, transportar e espalhar terra vegetal e cobertura morta, instalar sistemas de irrigação e instalar blocos de concreto pré-moldado sem argamassa. Classificação da função: 37-3011.00 - Trabalhadores de Paisagismo e Manutenção "&amp;"de Áreas Verdes. A classificação e a descrição da função/setor incluem informações gerais sobre o cargo, de acordo com o ONET/OES e o Sistema de Classificação Industrial da América do Norte (NAICS). Consulte as Funções e a Ordem de Serviço para obter mais"&amp;" informações. Requisitos da vaga: Experiência necessária: Não. Requisitos especiais: Capacidade de levantar/carregar 23 kg quando necessário. Número de horas por semana: 40. Horário de trabalho (início/término): 8h às 17h.")</f>
        <v>Realizar a manutenção e o paisagismo de propriedades utilizando ferramentas ou equipamentos. As tarefas podem incluir cortar e aparar gramados, colocar grama em placas, aparar, plantar, regar, fertilizar, cavar, rastelar e varrer folhas; arrancar e cortar ervas daninhas, podar, semear, transportar e espalhar terra vegetal e cobertura morta, instalar sistemas de irrigação e instalar blocos de concreto pré-moldado sem argamassa. Classificação da função: 37-3011.00 - Trabalhadores de Paisagismo e Manutenção de Áreas Verdes. A classificação e a descrição da função/setor incluem informações gerais sobre o cargo, de acordo com o ONET/OES e o Sistema de Classificação Industrial da América do Norte (NAICS). Consulte as Funções e a Ordem de Serviço para obter mais informações. Requisitos da vaga: Experiência necessária: Não. Requisitos especiais: Capacidade de levantar/carregar 23 kg quando necessário. Número de horas por semana: 40. Horário de trabalho (início/término): 8h às 17h.</v>
      </c>
    </row>
    <row r="1636" ht="20.25" customHeight="1">
      <c r="A1636" s="3" t="s">
        <v>7308</v>
      </c>
      <c r="B1636" s="3" t="s">
        <v>7309</v>
      </c>
      <c r="C1636" s="3" t="s">
        <v>444</v>
      </c>
      <c r="D1636" s="3" t="s">
        <v>2068</v>
      </c>
      <c r="E1636" s="4" t="s">
        <v>19</v>
      </c>
      <c r="F1636" s="4" t="s">
        <v>20</v>
      </c>
      <c r="G1636" s="4" t="s">
        <v>7310</v>
      </c>
      <c r="H1636" s="3" t="s">
        <v>7311</v>
      </c>
      <c r="I1636" s="3" t="s">
        <v>7312</v>
      </c>
      <c r="J1636" s="4">
        <v>14.25</v>
      </c>
      <c r="K1636" s="4">
        <v>18.0</v>
      </c>
      <c r="L1636" s="3" t="s">
        <v>7313</v>
      </c>
      <c r="M1636" s="3" t="s">
        <v>7314</v>
      </c>
      <c r="N1636" s="7" t="str">
        <f>IFERROR(__xludf.DUMMYFUNCTION("GOOGLETRANSLATE(L1636, ""en"", ""pt"")"),"Operador de Equipamentos de Construção")</f>
        <v>Operador de Equipamentos de Construção</v>
      </c>
      <c r="O1636" s="7" t="str">
        <f>IFERROR(__xludf.DUMMYFUNCTION("IF(M1636="""","""",GOOGLETRANSLATE(M1636,""en"",""pt""))"),"Operar escavadeiras, carregadeiras, minicarregadeiras, retroescavadeiras e empilhadeiras para dar suporte à movimentação de terra, nivelamento e manuseio de materiais para o projeto pontual. Executar tarefas de escavação de valas, reaterro, compactação e "&amp;"preparação do terreno específicas para o escopo do projeto. Carregar e descarregar materiais e equipamentos. Realizar inspeções pré-operacionais, identificar problemas e relatar necessidades de manutenção. Auxiliar na limpeza do local, remoção de entulhos"&amp;" e tarefas gerais de trabalho relacionadas ao cronograma do projeto. Seguir todos os protocolos de segurança e procedimentos de operação dos equipamentos. Salário: O salário base é de US$ 14,25/hora. Um adicional de hora extra de US$ 21,38/hora será pago "&amp;"quando exigido por lei federal, estadual ou local, incluindo hora e meia após 40 horas semanais de trabalho. O empregador poderá oferecer aumentos/bônus a funcionários temporários contratados sob esta ordem de serviço, a seu exclusivo critério, com base e"&amp;"m fatores individuais como desempenho, habilidade e tempo de serviço. O salário será calculado com base em uma semana de trabalho. Os funcionários receberão pagamento semanalmente. Horário: Os turnos podem variar, mas um dia de trabalho típico é das 7h às"&amp;" 14h, de segunda a sexta-feira, e 5 horas aos sábados. A carga horária esperada é de aproximadamente 40 horas semanais. O empregador poderá oferecer mais horas do que o especificado, dependendo das necessidades da empresa e de outras condições. O empregad"&amp;"or fornecerá transporte diário de ida e volta ao local de trabalho, sem custo para o trabalhador. O uso do transporte é opcional. O empregador fornece transporte diário entre os locais de trabalho. Classificação da vaga: 47-2073.00 - Operadores de Máquina"&amp;"s e Outros Equipamentos de Construção. A classificação e descrição da vaga/setor incluem informações gerais sobre o cargo, de acordo com o ONET/OES e o Sistema de Classificação Industrial da América do Norte (NAICS). Consulte as Funções e a Ordem de Servi"&amp;"ço para obter mais informações. Requisitos da vaga: Experiência necessária: Sim. Meses de experiência necessários: 6. Requisitos especiais: 6 meses de experiência na operação de equipamentos pesados ​​de construção. Capacidade de levantar 2305 kg e trabal"&amp;"har ao ar livre. Número de horas por semana: 40 Horário de trabalho (início/término): 7h00 - 14h00")</f>
        <v>Operar escavadeiras, carregadeiras, minicarregadeiras, retroescavadeiras e empilhadeiras para dar suporte à movimentação de terra, nivelamento e manuseio de materiais para o projeto pontual. Executar tarefas de escavação de valas, reaterro, compactação e preparação do terreno específicas para o escopo do projeto. Carregar e descarregar materiais e equipamentos. Realizar inspeções pré-operacionais, identificar problemas e relatar necessidades de manutenção. Auxiliar na limpeza do local, remoção de entulhos e tarefas gerais de trabalho relacionadas ao cronograma do projeto. Seguir todos os protocolos de segurança e procedimentos de operação dos equipamentos. Salário: O salário base é de US$ 14,25/hora. Um adicional de hora extra de US$ 21,38/hora será pago quando exigido por lei federal, estadual ou local, incluindo hora e meia após 40 horas semanais de trabalho. O empregador poderá oferecer aumentos/bônus a funcionários temporários contratados sob esta ordem de serviço, a seu exclusivo critério, com base em fatores individuais como desempenho, habilidade e tempo de serviço. O salário será calculado com base em uma semana de trabalho. Os funcionários receberão pagamento semanalmente. Horário: Os turnos podem variar, mas um dia de trabalho típico é das 7h às 14h, de segunda a sexta-feira, e 5 horas aos sábados. A carga horária esperada é de aproximadamente 40 horas semanais. O empregador poderá oferecer mais horas do que o especificado, dependendo das necessidades da empresa e de outras condições. O empregador fornecerá transporte diário de ida e volta ao local de trabalho, sem custo para o trabalhador. O uso do transporte é opcional. O empregador fornece transporte diário entre os locais de trabalho. Classificação da vaga: 47-2073.00 - Operadores de Máquinas e Outros Equipamentos de Construção. A classificação e descrição da vaga/setor incluem informações gerais sobre o cargo, de acordo com o ONET/OES e o Sistema de Classificação Industrial da América do Norte (NAICS). Consulte as Funções e a Ordem de Serviço para obter mais informações. Requisitos da vaga: Experiência necessária: Sim. Meses de experiência necessários: 6. Requisitos especiais: 6 meses de experiência na operação de equipamentos pesados ​​de construção. Capacidade de levantar 2305 kg e trabalhar ao ar livre. Número de horas por semana: 40 Horário de trabalho (início/término): 7h00 - 14h00</v>
      </c>
    </row>
    <row r="1637" ht="20.25" customHeight="1">
      <c r="A1637" s="8" t="s">
        <v>7315</v>
      </c>
      <c r="B1637" s="8" t="s">
        <v>7316</v>
      </c>
      <c r="C1637" s="8" t="s">
        <v>1030</v>
      </c>
      <c r="D1637" s="8" t="s">
        <v>140</v>
      </c>
      <c r="E1637" s="9" t="s">
        <v>19</v>
      </c>
      <c r="F1637" s="9" t="s">
        <v>20</v>
      </c>
      <c r="G1637" s="9" t="s">
        <v>377</v>
      </c>
      <c r="H1637" s="8" t="s">
        <v>7317</v>
      </c>
      <c r="I1637" s="8" t="s">
        <v>7318</v>
      </c>
      <c r="J1637" s="9">
        <v>21.82</v>
      </c>
      <c r="K1637" s="9">
        <v>10.0</v>
      </c>
      <c r="L1637" s="8" t="s">
        <v>7319</v>
      </c>
      <c r="M1637" s="8" t="s">
        <v>7320</v>
      </c>
      <c r="N1637" s="7" t="str">
        <f>IFERROR(__xludf.DUMMYFUNCTION("GOOGLETRANSLATE(L1637, ""en"", ""pt"")"),"Operários da Produção")</f>
        <v>Operários da Produção</v>
      </c>
      <c r="O1637" s="7" t="str">
        <f>IFERROR(__xludf.DUMMYFUNCTION("IF(M1637="""","""",GOOGLETRANSLATE(M1637,""en"",""pt""))"),"Operar ou supervisionar máquinas para preparar produtos para armazenamento ou envio. Descarregar resíduos alimentares e utilizar o equipamento para organizar o produto para processamento posterior. Carregar o produto em máquinas automáticas de desempacota"&amp;"mento e monitorar as máquinas durante o processamento. Garantir que o produto seja entregue ao armazenamento apropriado e que os resíduos de embalagem gerados pelo desempacotamento sejam enfardados ou coletados para ações subsequentes. Preparar semirreboq"&amp;"ues para retorno ao local do cliente. Envolve o carregamento e descarregamento de ferramentas, suprimentos e equipamentos com peso de até 23 kg. Envolve trabalho ao ar livre em todos os tipos de clima. Envolve longos períodos em pé, sentado ou caminhando."&amp;" Envolve agachar-se ou curvar-se com frequência. Envolve movimentos repetitivos. Teste antidrogas pós-contratação/pago pelo empregador. Benefícios opcionais de saúde, odontológicos, etc., disponíveis por conta do funcionário. Possibilidade de aumento sala"&amp;"rial com base no desempenho, bônus, horas extras e trabalho aos sábados, conforme necessário. 60 minutos de intervalos não remunerados ao longo do dia. A jornada diária pode variar entre os horários de início e término listados, dependendo do clima ou das"&amp;" tarefas atribuídas. Classificação da vaga: 51-9111.00 - Operadores e Auxiliares de Máquinas de Embalagem e Enchimento. A classificação e descrição da vaga/setor inclui informações gerais sobre a posição, conforme o ONET/OES e o Sistema de Classificação I"&amp;"ndustrial da América do Norte (NAICS). Consulte as Funções e a Ordem de Serviço para obter mais informações. Requisitos da vaga: Experiência necessária: Não. Número de horas por semana: 40. Horário de trabalho (início/término): 6h às 18h.")</f>
        <v>Operar ou supervisionar máquinas para preparar produtos para armazenamento ou envio. Descarregar resíduos alimentares e utilizar o equipamento para organizar o produto para processamento posterior. Carregar o produto em máquinas automáticas de desempacotamento e monitorar as máquinas durante o processamento. Garantir que o produto seja entregue ao armazenamento apropriado e que os resíduos de embalagem gerados pelo desempacotamento sejam enfardados ou coletados para ações subsequentes. Preparar semirreboques para retorno ao local do cliente. Envolve o carregamento e descarregamento de ferramentas, suprimentos e equipamentos com peso de até 23 kg. Envolve trabalho ao ar livre em todos os tipos de clima. Envolve longos períodos em pé, sentado ou caminhando. Envolve agachar-se ou curvar-se com frequência. Envolve movimentos repetitivos. Teste antidrogas pós-contratação/pago pelo empregador. Benefícios opcionais de saúde, odontológicos, etc., disponíveis por conta do funcionário. Possibilidade de aumento salarial com base no desempenho, bônus, horas extras e trabalho aos sábados, conforme necessário. 60 minutos de intervalos não remunerados ao longo do dia. A jornada diária pode variar entre os horários de início e término listados, dependendo do clima ou das tarefas atribuídas. Classificação da vaga: 51-9111.00 - Operadores e Auxiliares de Máquinas de Embalagem e Enchimento. A classificação e descrição da vaga/setor inclui informações gerais sobre a posição, conforme o ONET/OES e o Sistema de Classificação Industrial da América do Norte (NAICS). Consulte as Funções e a Ordem de Serviço para obter mais informações. Requisitos da vaga: Experiência necessária: Não. Número de horas por semana: 40. Horário de trabalho (início/término): 6h às 18h.</v>
      </c>
    </row>
    <row r="1638" ht="20.25" customHeight="1">
      <c r="A1638" s="3" t="s">
        <v>7321</v>
      </c>
      <c r="B1638" s="3" t="s">
        <v>7322</v>
      </c>
      <c r="C1638" s="3" t="s">
        <v>6906</v>
      </c>
      <c r="D1638" s="3" t="s">
        <v>3015</v>
      </c>
      <c r="E1638" s="4" t="s">
        <v>44</v>
      </c>
      <c r="F1638" s="4" t="s">
        <v>20</v>
      </c>
      <c r="G1638" s="4" t="s">
        <v>155</v>
      </c>
      <c r="H1638" s="3" t="s">
        <v>7323</v>
      </c>
      <c r="I1638" s="3" t="s">
        <v>7324</v>
      </c>
      <c r="J1638" s="4">
        <v>32.1</v>
      </c>
      <c r="K1638" s="4">
        <v>6.0</v>
      </c>
      <c r="L1638" s="3" t="s">
        <v>262</v>
      </c>
      <c r="M1638" s="3" t="s">
        <v>7325</v>
      </c>
      <c r="N1638" s="7" t="str">
        <f>IFERROR(__xludf.DUMMYFUNCTION("GOOGLETRANSLATE(L1638, ""en"", ""pt"")"),"Operário da construção civil")</f>
        <v>Operário da construção civil</v>
      </c>
      <c r="O1638" s="7" t="str">
        <f>IFERROR(__xludf.DUMMYFUNCTION("IF(M1638="""","""",GOOGLETRANSLATE(M1638,""en"",""pt""))"),"***Resposta à RFI*** Auxiliar os membros seniores da equipe na operação de ferramentas manuais e elétricas, incluindo: (1) pregadores pneumáticos Dewalt, martelos pneumáticos Ingersoll Rand, betoneiras MultiQuip, compactadores e vibradores de solo Wacker-"&amp;"Neuson, guinchos mecânicos pequenos Vevor, serras de esquadria compostas Milwaukee e equipamentos de topografia e medição DeWalt; (2) se necessário, escavar e abrir valas usando uma escavadeira manual RT45 Ditch Witch de 38 HP com peso superior a 2500 lbs"&amp;" e/ou uma minicarregadeira John Deere 320G de 69 HP com peso superior a 7500 lbs; (3) usar uma combinação das ferramentas motorizadas listadas acima ou ferramentas manuais, como pás, ancinhos, martelos, serras, carrinhos de mão, para limpar e preparar os "&amp;"locais, colocar escoras de madeira (2x4” ou 2x6”) que sustentam as laterais das extensões e, se necessário, remover neve e gelo; (4) alguma aptidão mecânica, disposição para aceitar instruções e trabalhar em equipe, além de demonstrar uma atitude positiva"&amp;". ***Original*** ATRIBUIÇÕES: auxiliar os membros mais experientes da equipe na operação de ferramentas manuais e elétricas, como martelos pneumáticos, compactadores de solo, betoneiras, pequenos guindastes mecânicos, equipamentos de topografia e medição,"&amp;" e uma variedade de outros equipamentos e instrumentos; garantir que os locais estejam limpos e preparados; cavar valas; instalar escoras para sustentar as laterais das escavações; limpar entulhos, detritos e outros materiais residuais, incluindo auxiliar"&amp;" outros no local; alguma aptidão mecânica, disposição para aceitar instruções e trabalhar em equipe, além de demonstrar uma atitude positiva. Classificação da Função: 47-2073.00 - Operadores de Máquinas e Outros Equipamentos de Construção. A classificação"&amp;" e descrição da função/setor inclui informações gerais sobre o cargo, conforme o ONET/OES e o Sistema de Classificação Industrial da América do Norte. Consulte as Atribuições e a Ordem de Serviço para obter mais informações. Requisitos da vaga Experiência"&amp;" necessária: Não Requisitos especiais: Permanecer em pé, curvar-se e caminhar por longos períodos, trabalhar em alturas de até 9 metros, realizar movimentos repetitivos, incluindo flexão e empurrão, ser capaz de levantar equipamentos pesados ​​(até 23 kg)"&amp;" repetidamente e por longos períodos, ter forte atenção à segurança. Número de horas por semana: 40 Horário de trabalho (início/término): 7h às 16h30")</f>
        <v>***Resposta à RFI*** Auxiliar os membros seniores da equipe na operação de ferramentas manuais e elétricas, incluindo: (1) pregadores pneumáticos Dewalt, martelos pneumáticos Ingersoll Rand, betoneiras MultiQuip, compactadores e vibradores de solo Wacker-Neuson, guinchos mecânicos pequenos Vevor, serras de esquadria compostas Milwaukee e equipamentos de topografia e medição DeWalt; (2) se necessário, escavar e abrir valas usando uma escavadeira manual RT45 Ditch Witch de 38 HP com peso superior a 2500 lbs e/ou uma minicarregadeira John Deere 320G de 69 HP com peso superior a 7500 lbs; (3) usar uma combinação das ferramentas motorizadas listadas acima ou ferramentas manuais, como pás, ancinhos, martelos, serras, carrinhos de mão, para limpar e preparar os locais, colocar escoras de madeira (2x4” ou 2x6”) que sustentam as laterais das extensões e, se necessário, remover neve e gelo; (4) alguma aptidão mecânica, disposição para aceitar instruções e trabalhar em equipe, além de demonstrar uma atitude positiva. ***Original*** ATRIBUIÇÕES: auxiliar os membros mais experientes da equipe na operação de ferramentas manuais e elétricas, como martelos pneumáticos, compactadores de solo, betoneiras, pequenos guindastes mecânicos, equipamentos de topografia e medição, e uma variedade de outros equipamentos e instrumentos; garantir que os locais estejam limpos e preparados; cavar valas; instalar escoras para sustentar as laterais das escavações; limpar entulhos, detritos e outros materiais residuais, incluindo auxiliar outros no local; alguma aptidão mecânica, disposição para aceitar instruções e trabalhar em equipe, além de demonstrar uma atitude positiva. Classificação da Função: 47-2073.00 - Operadores de Máquinas e Outros Equipamentos de Construção. A classificação e descrição da função/setor inclui informações gerais sobre o cargo, conforme o ONET/OES e o Sistema de Classificação Industrial da América do Norte. Consulte as Atribuições e a Ordem de Serviço para obter mais informações. Requisitos da vaga Experiência necessária: Não Requisitos especiais: Permanecer em pé, curvar-se e caminhar por longos períodos, trabalhar em alturas de até 9 metros, realizar movimentos repetitivos, incluindo flexão e empurrão, ser capaz de levantar equipamentos pesados ​​(até 23 kg) repetidamente e por longos períodos, ter forte atenção à segurança. Número de horas por semana: 40 Horário de trabalho (início/término): 7h às 16h30</v>
      </c>
    </row>
    <row r="1639" ht="20.25" customHeight="1">
      <c r="A1639" s="8" t="s">
        <v>7326</v>
      </c>
      <c r="B1639" s="8" t="s">
        <v>7327</v>
      </c>
      <c r="C1639" s="8" t="s">
        <v>4507</v>
      </c>
      <c r="D1639" s="8" t="s">
        <v>596</v>
      </c>
      <c r="E1639" s="9" t="s">
        <v>44</v>
      </c>
      <c r="F1639" s="9" t="s">
        <v>20</v>
      </c>
      <c r="G1639" s="9" t="s">
        <v>236</v>
      </c>
      <c r="H1639" s="8" t="s">
        <v>7328</v>
      </c>
      <c r="I1639" s="8" t="s">
        <v>7329</v>
      </c>
      <c r="J1639" s="9">
        <v>20.7</v>
      </c>
      <c r="K1639" s="9">
        <v>3.0</v>
      </c>
      <c r="L1639" s="8" t="s">
        <v>59</v>
      </c>
      <c r="M1639" s="8" t="s">
        <v>7330</v>
      </c>
      <c r="N1639" s="7" t="str">
        <f>IFERROR(__xludf.DUMMYFUNCTION("GOOGLETRANSLATE(L1639, ""en"", ""pt"")"),"Trabalhador de paisagismo")</f>
        <v>Trabalhador de paisagismo</v>
      </c>
      <c r="O1639" s="7" t="str">
        <f>IFERROR(__xludf.DUMMYFUNCTION("IF(M1639="""","""",GOOGLETRANSLATE(M1639,""en"",""pt""))"),"***Resposta à Solicitação de Informações*** A poda de árvores é realizada a partir do nível do solo, utilizando equipamentos manuais e a gasolina, como podadores de galhos, motosserras de poda e aparadores de galhos. Pode incluir dar forma à árvore ou arb"&amp;"usto e cortar galhos mortos. ***Atribuições Originais*** Os trabalhadores de paisagismo serão responsáveis ​​por todas as fases da manutenção paisagística e serviço semanal de gramados. Isso incluirá cortar grama, roçar, rastelar, limpar folhas, cavar, po"&amp;"dar, soprar, aparar bordas, plantar/podar/aparar árvores e arbustos, nivelar o terreno, colocar cobertura morta/terra vegetal, hidrossemeadura e limpezas sazonais. Transportar barris de cobertura morta e terra vegetal. Utilizar uma variedade de ferramenta"&amp;"s manuais e a gasolina, incluindo cortadores de grama, roçadeiras, sopradores de ar e tesouras de poda. Classificação do Cargo: 37-3011.00 - Trabalhadores de Paisagismo e Manutenção de Jardins. A classificação e descrição do cargo/setor inclui informações"&amp;" gerais sobre a posição, de acordo com o ONET/OES e o Sistema de Classificação Industrial da América do Norte. Consulte a Descrição das Funções e a Ordem de Serviço para obter mais informações. Requisitos da Vaga Experiência Necessária: Sim Meses de Exper"&amp;"iência Necessários: 3 Requisitos Especiais: Capacidade de levantar de 18 a 36 kg regularmente. Trabalho aos sábados, quando necessário. Horário e escala de trabalho podem variar. Número de Horas por Semana: 40 Horário de Trabalho (Início/Término): 7h às 1"&amp;"6h")</f>
        <v>***Resposta à Solicitação de Informações*** A poda de árvores é realizada a partir do nível do solo, utilizando equipamentos manuais e a gasolina, como podadores de galhos, motosserras de poda e aparadores de galhos. Pode incluir dar forma à árvore ou arbusto e cortar galhos mortos. ***Atribuições Originais*** Os trabalhadores de paisagismo serão responsáveis ​​por todas as fases da manutenção paisagística e serviço semanal de gramados. Isso incluirá cortar grama, roçar, rastelar, limpar folhas, cavar, podar, soprar, aparar bordas, plantar/podar/aparar árvores e arbustos, nivelar o terreno, colocar cobertura morta/terra vegetal, hidrossemeadura e limpezas sazonais. Transportar barris de cobertura morta e terra vegetal. Utilizar uma variedade de ferramentas manuais e a gasolina, incluindo cortadores de grama, roçadeiras, sopradores de ar e tesouras de poda. Classificação do Cargo: 37-3011.00 - Trabalhadores de Paisagismo e Manutenção de Jardins. A classificação e descrição do cargo/setor inclui informações gerais sobre a posição, de acordo com o ONET/OES e o Sistema de Classificação Industrial da América do Norte. Consulte a Descrição das Funções e a Ordem de Serviço para obter mais informações. Requisitos da Vaga Experiência Necessária: Sim Meses de Experiência Necessários: 3 Requisitos Especiais: Capacidade de levantar de 18 a 36 kg regularmente. Trabalho aos sábados, quando necessário. Horário e escala de trabalho podem variar. Número de Horas por Semana: 40 Horário de Trabalho (Início/Término): 7h às 16h</v>
      </c>
    </row>
    <row r="1640" ht="20.25" customHeight="1">
      <c r="A1640" s="3" t="s">
        <v>7331</v>
      </c>
      <c r="B1640" s="3" t="s">
        <v>7332</v>
      </c>
      <c r="C1640" s="3" t="s">
        <v>7141</v>
      </c>
      <c r="D1640" s="3" t="s">
        <v>249</v>
      </c>
      <c r="E1640" s="4" t="s">
        <v>19</v>
      </c>
      <c r="F1640" s="4" t="s">
        <v>20</v>
      </c>
      <c r="G1640" s="4" t="s">
        <v>236</v>
      </c>
      <c r="H1640" s="3" t="s">
        <v>7333</v>
      </c>
      <c r="I1640" s="3" t="s">
        <v>7334</v>
      </c>
      <c r="J1640" s="4">
        <v>27.82</v>
      </c>
      <c r="K1640" s="4">
        <v>14.0</v>
      </c>
      <c r="L1640" s="3" t="s">
        <v>6267</v>
      </c>
      <c r="M1640" s="3" t="s">
        <v>7335</v>
      </c>
      <c r="N1640" s="7" t="str">
        <f>IFERROR(__xludf.DUMMYFUNCTION("GOOGLETRANSLATE(L1640, ""en"", ""pt"")"),"Auxiliar de construção civil")</f>
        <v>Auxiliar de construção civil</v>
      </c>
      <c r="O1640" s="7" t="str">
        <f>IFERROR(__xludf.DUMMYFUNCTION("IF(M1640="""","""",GOOGLETRANSLATE(M1640,""en"",""pt""))"),"Executar tarefas que envolvam trabalho físico em canteiros de obras. Pode operar ferramentas manuais e elétricas de todos os tipos: martelos pneumáticos, compactadores de solo, betoneiras, pequenos guindastes mecânicos, equipamentos de topografia e mediçã"&amp;"o, e uma variedade de outros equipamentos e instrumentos. Pode limpar e preparar locais, cavar valas, instalar escoras para sustentar as laterais das escavações, montar andaimes e limpar entulhos, detritos e outros materiais residuais. Pode auxiliar outro"&amp;"s trabalhadores especializados. Classificação da Função: 47-2061.00 - Auxiliares de Construção Civil. A classificação e descrição da função/setor inclui informações gerais sobre o cargo, de acordo com o ONET/OES e o Sistema de Classificação Industrial da "&amp;"América do Norte (NAICS). Consulte as Funções e a Ordem de Serviço para obter mais informações. Requisitos da Função: Experiência Necessária: Sim. Meses de Experiência Necessária: 3. Requisitos Especiais: Capacidade de levantar e carregar 36 kg quando nec"&amp;"essário; disponibilidade para horas extras e trabalho nos fins de semana. Número de Horas por Semana: 40. Horário de Trabalho (Início/Término): 8h às 17h.")</f>
        <v>Executar tarefas que envolvam trabalho físico em canteiros de obras. Pode operar ferramentas manuais e elétricas de todos os tipos: martelos pneumáticos, compactadores de solo, betoneiras, pequenos guindastes mecânicos, equipamentos de topografia e medição, e uma variedade de outros equipamentos e instrumentos. Pode limpar e preparar locais, cavar valas, instalar escoras para sustentar as laterais das escavações, montar andaimes e limpar entulhos, detritos e outros materiais residuais. Pode auxiliar outros trabalhadores especializados. Classificação da Função: 47-2061.00 - Auxiliares de Construção Civil. A classificação e descrição da função/setor inclui informações gerais sobre o cargo, de acordo com o ONET/OES e o Sistema de Classificação Industrial da América do Norte (NAICS). Consulte as Funções e a Ordem de Serviço para obter mais informações. Requisitos da Função: Experiência Necessária: Sim. Meses de Experiência Necessária: 3. Requisitos Especiais: Capacidade de levantar e carregar 36 kg quando necessário; disponibilidade para horas extras e trabalho nos fins de semana. Número de Horas por Semana: 40. Horário de Trabalho (Início/Término): 8h às 17h.</v>
      </c>
    </row>
    <row r="1641" ht="20.25" customHeight="1">
      <c r="A1641" s="8" t="s">
        <v>7336</v>
      </c>
      <c r="B1641" s="8" t="s">
        <v>7337</v>
      </c>
      <c r="C1641" s="8" t="s">
        <v>1131</v>
      </c>
      <c r="D1641" s="8" t="s">
        <v>71</v>
      </c>
      <c r="E1641" s="9" t="s">
        <v>19</v>
      </c>
      <c r="F1641" s="9" t="s">
        <v>20</v>
      </c>
      <c r="G1641" s="9" t="s">
        <v>384</v>
      </c>
      <c r="H1641" s="8" t="s">
        <v>7338</v>
      </c>
      <c r="I1641" s="8" t="s">
        <v>7339</v>
      </c>
      <c r="J1641" s="9">
        <v>19.26</v>
      </c>
      <c r="K1641" s="9">
        <v>5.0</v>
      </c>
      <c r="L1641" s="8" t="s">
        <v>7340</v>
      </c>
      <c r="M1641" s="8" t="s">
        <v>7341</v>
      </c>
      <c r="N1641" s="7" t="str">
        <f>IFERROR(__xludf.DUMMYFUNCTION("GOOGLETRANSLATE(L1641, ""en"", ""pt"")"),"Trabalhadores da Concessão")</f>
        <v>Trabalhadores da Concessão</v>
      </c>
      <c r="O1641" s="7" t="str">
        <f>IFERROR(__xludf.DUMMYFUNCTION("IF(M1641="""","""",GOOGLETRANSLATE(M1641,""en"",""pt""))"),"Montar e desmontar unidades móveis de venda de alimentos e bebidas, incluindo tendas, estruturas de suporte e equipamentos de serviço de alimentação. Abastecer as barracas com alimentos, gelo e bebidas. Guardar os itens estocados após o evento. Preparar h"&amp;"ambúrgueres, cachorros-quentes e batatas fritas com preparo mínimo. Classificação da vaga: 35-2019.00 - Cozinheiros, Outros. A classificação e descrição da vaga/setor inclui informações gerais sobre o cargo, de acordo com o ONET/OES e o Sistema de Classif"&amp;"icação Industrial da América do Norte (NAICS). Consulte as Funções e a Ordem de Serviço para obter mais informações. Requisitos da vaga: Experiência necessária: Não. Requisitos especiais: Deve ser capaz de levantar/carregar 23 kg, quando necessário. Traba"&amp;"lho aos sábados e domingos, quando necessário. Verificação de elegibilidade de emprego pós-contratação (e-Verify) obrigatória para todos os funcionários nesta função, tanto estrangeiros quanto nacionais. Número de horas por semana: 40. Horário de trabalho"&amp;" (início/término): 9h às 17h.")</f>
        <v>Montar e desmontar unidades móveis de venda de alimentos e bebidas, incluindo tendas, estruturas de suporte e equipamentos de serviço de alimentação. Abastecer as barracas com alimentos, gelo e bebidas. Guardar os itens estocados após o evento. Preparar hambúrgueres, cachorros-quentes e batatas fritas com preparo mínimo. Classificação da vaga: 35-2019.00 - Cozinheiros, Outros. A classificação e descrição da vaga/setor inclui informações gerais sobre o cargo, de acordo com o ONET/OES e o Sistema de Classificação Industrial da América do Norte (NAICS). Consulte as Funções e a Ordem de Serviço para obter mais informações. Requisitos da vaga: Experiência necessária: Não. Requisitos especiais: Deve ser capaz de levantar/carregar 23 kg, quando necessário. Trabalho aos sábados e domingos, quando necessário. Verificação de elegibilidade de emprego pós-contratação (e-Verify) obrigatória para todos os funcionários nesta função, tanto estrangeiros quanto nacionais. Número de horas por semana: 40. Horário de trabalho (início/término): 9h às 17h.</v>
      </c>
    </row>
    <row r="1642" ht="20.25" customHeight="1">
      <c r="A1642" s="3" t="s">
        <v>7342</v>
      </c>
      <c r="B1642" s="3" t="s">
        <v>7343</v>
      </c>
      <c r="C1642" s="3" t="s">
        <v>7141</v>
      </c>
      <c r="D1642" s="3" t="s">
        <v>1297</v>
      </c>
      <c r="E1642" s="4" t="s">
        <v>19</v>
      </c>
      <c r="F1642" s="4" t="s">
        <v>20</v>
      </c>
      <c r="G1642" s="4" t="s">
        <v>56</v>
      </c>
      <c r="H1642" s="3" t="s">
        <v>7344</v>
      </c>
      <c r="I1642" s="3" t="s">
        <v>7345</v>
      </c>
      <c r="J1642" s="4">
        <v>18.81</v>
      </c>
      <c r="K1642" s="4">
        <v>7.0</v>
      </c>
      <c r="L1642" s="3" t="s">
        <v>59</v>
      </c>
      <c r="M1642" s="3" t="s">
        <v>7206</v>
      </c>
      <c r="N1642" s="7" t="str">
        <f>IFERROR(__xludf.DUMMYFUNCTION("GOOGLETRANSLATE(L1642, ""en"", ""pt"")"),"Trabalhador de paisagismo")</f>
        <v>Trabalhador de paisagismo</v>
      </c>
      <c r="O1642" s="7" t="str">
        <f>IFERROR(__xludf.DUMMYFUNCTION("IF(M1642="""","""",GOOGLETRANSLATE(M1642,""en"",""pt""))"),"Cortar, aparar, regar e aparar a grama. Recolher folhas secas, arrancar e picar ervas daninhas; transportar terra vegetal e cobertura morta. Limpar o local. Classificação da função: 37-3011.00 - Trabalhadores de Paisagismo e Manutenção de Jardins. A class"&amp;"ificação e descrição da função/setor inclui informações gerais sobre o cargo, de acordo com o ONET/OES e o Sistema de Classificação Industrial da América do Norte. Consulte as Funções e a Ordem de Serviço para obter mais informações. Requisitos da função:"&amp;" Experiência necessária: Não. Requisitos especiais: Capacidade de levantar/carregar 23 kg quando necessário. Número de horas por semana: 40. Horário de trabalho (início/término): 8h às 17h.")</f>
        <v>Cortar, aparar, regar e aparar a grama. Recolher folhas secas, arrancar e picar ervas daninhas; transportar terra vegetal e cobertura morta. Limpar o local. Classificação da função: 37-3011.00 - Trabalhadores de Paisagismo e Manutenção de Jardins. A classificação e descrição da função/setor inclui informações gerais sobre o cargo, de acordo com o ONET/OES e o Sistema de Classificação Industrial da América do Norte. Consulte as Funções e a Ordem de Serviço para obter mais informações. Requisitos da função: Experiência necessária: Não. Requisitos especiais: Capacidade de levantar/carregar 23 kg quando necessário. Número de horas por semana: 40. Horário de trabalho (início/término): 8h às 17h.</v>
      </c>
    </row>
    <row r="1643" ht="20.25" customHeight="1">
      <c r="A1643" s="8" t="s">
        <v>7346</v>
      </c>
      <c r="B1643" s="8" t="s">
        <v>7347</v>
      </c>
      <c r="C1643" s="8" t="s">
        <v>7348</v>
      </c>
      <c r="D1643" s="8" t="s">
        <v>64</v>
      </c>
      <c r="E1643" s="9" t="s">
        <v>19</v>
      </c>
      <c r="F1643" s="9" t="s">
        <v>20</v>
      </c>
      <c r="G1643" s="9" t="s">
        <v>4040</v>
      </c>
      <c r="H1643" s="8" t="s">
        <v>7349</v>
      </c>
      <c r="I1643" s="8" t="s">
        <v>7350</v>
      </c>
      <c r="J1643" s="9">
        <v>24.66</v>
      </c>
      <c r="K1643" s="9">
        <v>1.0</v>
      </c>
      <c r="L1643" s="8" t="s">
        <v>7351</v>
      </c>
      <c r="M1643" s="8" t="s">
        <v>7352</v>
      </c>
      <c r="N1643" s="7" t="str">
        <f>IFERROR(__xludf.DUMMYFUNCTION("GOOGLETRANSLATE(L1643, ""en"", ""pt"")"),"Prestador de cuidados")</f>
        <v>Prestador de cuidados</v>
      </c>
      <c r="O1643" s="7" t="str">
        <f>IFERROR(__xludf.DUMMYFUNCTION("IF(M1643="""","""",GOOGLETRANSLATE(M1643,""en"",""pt""))"),"SUPERVISÃO E SEGURANÇA INFANTIL: Supervisionar continuamente um filho de 16 anos com autismo e uma filha de 18 anos com TDAH e Transtorno Opositivo-Desafiador (TOD) dentro de casa e durante atividades externas; Manter um ambiente seguro, estruturado, calm"&amp;"o e acolhedor; Monitorar as crianças quanto a sofrimento emocional, escalada comportamental, conduta impulsiva ou comportamento inseguro; Auxiliar na desescalada durante episódios comportamentais ou emocionais; Prevenir que as crianças se percam, interaçõ"&amp;"es inseguras ou comportamentos de automutilação quando necessário; Supervisionar atividades recreativas, tarefas de casa, refeições e rotinas de dormir; Acompanhar as crianças a consultas, atividades escolares, sessões de terapia e passeios comunitários q"&amp;"uando solicitado. APOIO A NECESSIDADES ESPECIAIS: Auxiliar as crianças com tarefas de funções executivas, regulação emocional, foco, organização e rotinas diárias; Fornecer lembretes estruturados para horários de medicação, higiene, tarefas escolares, ref"&amp;"eições e rotinas de sono; Reforçar os planos comportamentais e as expectativas consistentes da casa estabelecidas pelos pais e profissionais de saúde; Auxiliar na redução da sobrecarga emocional e da ansiedade por meio do gerenciamento da rotina e da inte"&amp;"ração de apoio; Orientar o paciente durante episódios de rebeldia, desregulação emocional, dificuldades de atenção ou comportamentos de oposição; Observar e relatar aos pais quaisquer mudanças comportamentais, preocupações emocionais ou incidentes incomun"&amp;"s. TAREFAS DE GERENCIAMENTO DOMÉSTICO: Realizar a limpeza e organização geral da casa, necessárias para manter condições de vida sanitárias e seguras; Limpar a cozinha, banheiros, quartos, salas de estar e áreas comuns; Lavar a louça, higienizar superfíci"&amp;"es e manter os padrões de higiene da casa; Lavar, dobrar, passar e trocar roupas de cama e banho; Organizar suprimentos domésticos, roupas, medicamentos e materiais escolares; Auxiliar nas compras de supermercado, recados, retirada de medicamentos e geren"&amp;"ciamento do estoque doméstico. PREPARO DE REFEIÇÕES E SUPORTE NUTRICIONAL: Preparar refeições e lanches diários para crianças e membros da família; Seguir as instruções dietéticas, restrições alimentares e orientações nutricionais fornecidas pelos pais; M"&amp;"anter a limpeza e a higiene nas áreas de preparo de alimentos; Auxiliar as crianças durante as refeições quando houver necessidade de supervisão ou incentivo. OUTROS APOIOS: Prestar assistência doméstica não médica para apoiar um dos pais com problemas de"&amp;" saúde e limitações físicas; Auxiliar em tarefas domésticas fisicamente exigentes que o pai ou a mãe tenha dificuldade em realizar; Ajudar a manter a estabilidade e a continuidade dos cuidados no ambiente doméstico; Supervisionar as crianças durante perío"&amp;"dos em que o pai ou a mãe estiver debilitado(a) por motivos de saúde ou em consultas médicas. Classificação da Função: 35-2013.00 - Cozinheiros(as), Residência Particular. A classificação e a descrição da função/setor incluem informações gerais sobre o ca"&amp;"rgo, de acordo com o ONET/OES e o Sistema de Classificação Industrial da América do Norte. Consulte as Funções e a Ordem de Serviço para obter mais informações. Requisitos da Função: Experiência Necessária: Sim. Meses de Experiência Necessários: 12. Requi"&amp;"sitos Especiais: Certificação(ões) de RCP e Primeiros Socorros (pode ser uma certificação conjunta para ambos ou certificações separadas). Carteira de Habilitação válida. Deve ser capaz de reconhecer sinais de sofrimento emocional, escalada comportamental"&amp;", ansiedade, impulsividade ou comportamento inseguro em crianças e responder adequadamente usando técnicas de desescalonamento não físicas. Número de horas por semana: 39 Horário de trabalho (início/término): 8h00 - 19h00")</f>
        <v>SUPERVISÃO E SEGURANÇA INFANTIL: Supervisionar continuamente um filho de 16 anos com autismo e uma filha de 18 anos com TDAH e Transtorno Opositivo-Desafiador (TOD) dentro de casa e durante atividades externas; Manter um ambiente seguro, estruturado, calmo e acolhedor; Monitorar as crianças quanto a sofrimento emocional, escalada comportamental, conduta impulsiva ou comportamento inseguro; Auxiliar na desescalada durante episódios comportamentais ou emocionais; Prevenir que as crianças se percam, interações inseguras ou comportamentos de automutilação quando necessário; Supervisionar atividades recreativas, tarefas de casa, refeições e rotinas de dormir; Acompanhar as crianças a consultas, atividades escolares, sessões de terapia e passeios comunitários quando solicitado. APOIO A NECESSIDADES ESPECIAIS: Auxiliar as crianças com tarefas de funções executivas, regulação emocional, foco, organização e rotinas diárias; Fornecer lembretes estruturados para horários de medicação, higiene, tarefas escolares, refeições e rotinas de sono; Reforçar os planos comportamentais e as expectativas consistentes da casa estabelecidas pelos pais e profissionais de saúde; Auxiliar na redução da sobrecarga emocional e da ansiedade por meio do gerenciamento da rotina e da interação de apoio; Orientar o paciente durante episódios de rebeldia, desregulação emocional, dificuldades de atenção ou comportamentos de oposição; Observar e relatar aos pais quaisquer mudanças comportamentais, preocupações emocionais ou incidentes incomuns. TAREFAS DE GERENCIAMENTO DOMÉSTICO: Realizar a limpeza e organização geral da casa, necessárias para manter condições de vida sanitárias e seguras; Limpar a cozinha, banheiros, quartos, salas de estar e áreas comuns; Lavar a louça, higienizar superfícies e manter os padrões de higiene da casa; Lavar, dobrar, passar e trocar roupas de cama e banho; Organizar suprimentos domésticos, roupas, medicamentos e materiais escolares; Auxiliar nas compras de supermercado, recados, retirada de medicamentos e gerenciamento do estoque doméstico. PREPARO DE REFEIÇÕES E SUPORTE NUTRICIONAL: Preparar refeições e lanches diários para crianças e membros da família; Seguir as instruções dietéticas, restrições alimentares e orientações nutricionais fornecidas pelos pais; Manter a limpeza e a higiene nas áreas de preparo de alimentos; Auxiliar as crianças durante as refeições quando houver necessidade de supervisão ou incentivo. OUTROS APOIOS: Prestar assistência doméstica não médica para apoiar um dos pais com problemas de saúde e limitações físicas; Auxiliar em tarefas domésticas fisicamente exigentes que o pai ou a mãe tenha dificuldade em realizar; Ajudar a manter a estabilidade e a continuidade dos cuidados no ambiente doméstico; Supervisionar as crianças durante períodos em que o pai ou a mãe estiver debilitado(a) por motivos de saúde ou em consultas médicas. Classificação da Função: 35-2013.00 - Cozinheiros(as), Residência Particular. A classificação e a descrição da função/setor incluem informações gerais sobre o cargo, de acordo com o ONET/OES e o Sistema de Classificação Industrial da América do Norte. Consulte as Funções e a Ordem de Serviço para obter mais informações. Requisitos da Função: Experiência Necessária: Sim. Meses de Experiência Necessários: 12. Requisitos Especiais: Certificação(ões) de RCP e Primeiros Socorros (pode ser uma certificação conjunta para ambos ou certificações separadas). Carteira de Habilitação válida. Deve ser capaz de reconhecer sinais de sofrimento emocional, escalada comportamental, ansiedade, impulsividade ou comportamento inseguro em crianças e responder adequadamente usando técnicas de desescalonamento não físicas. Número de horas por semana: 39 Horário de trabalho (início/término): 8h00 - 19h00</v>
      </c>
    </row>
    <row r="1644" ht="20.25" customHeight="1">
      <c r="A1644" s="3" t="s">
        <v>7353</v>
      </c>
      <c r="B1644" s="3" t="s">
        <v>7354</v>
      </c>
      <c r="C1644" s="3" t="s">
        <v>5563</v>
      </c>
      <c r="D1644" s="3" t="s">
        <v>344</v>
      </c>
      <c r="E1644" s="4" t="s">
        <v>19</v>
      </c>
      <c r="F1644" s="4" t="s">
        <v>20</v>
      </c>
      <c r="G1644" s="4" t="s">
        <v>345</v>
      </c>
      <c r="H1644" s="3" t="s">
        <v>7355</v>
      </c>
      <c r="I1644" s="3" t="s">
        <v>7356</v>
      </c>
      <c r="J1644" s="4">
        <v>19.8</v>
      </c>
      <c r="K1644" s="4">
        <v>14.0</v>
      </c>
      <c r="L1644" s="3" t="s">
        <v>59</v>
      </c>
      <c r="M1644" s="3" t="s">
        <v>7357</v>
      </c>
      <c r="N1644" s="7" t="str">
        <f>IFERROR(__xludf.DUMMYFUNCTION("GOOGLETRANSLATE(L1644, ""en"", ""pt"")"),"Trabalhador de paisagismo")</f>
        <v>Trabalhador de paisagismo</v>
      </c>
      <c r="O1644" s="7" t="str">
        <f>IFERROR(__xludf.DUMMYFUNCTION("IF(M1644="""","""",GOOGLETRANSLATE(M1644,""en"",""pt""))"),"Os trabalhadores podem ser solicitados a cortar qualquer planta que cresça espontaneamente em um canteiro e que também possa ser removida do solo. Os equipamentos utilizados podem incluir (mas não se limitam a) os seguintes: podador de galhos, podador de "&amp;"galhos a gasolina, carrinho de mão, tratores (Bobcat MT100), minicarregadeira, trituradores para remover detritos dos canteiros, caminhonetes Ford F250 ou pulverizadores manuais. Os trabalhadores não manusearão nem misturarão pesticidas ou produtos químic"&amp;"os. Os supervisores se encarregam do corte das árvores. Os trabalhadores podem ser solicitados a recolher os equipamentos e entregá-los ao supervisor a partir do nível do solo. Os detritos serão carregados manualmente em caminhões (como uma Ford F250) que"&amp;" transportam reboques utilitários. O trabalho é realizado em gramados residenciais ou comerciais. A função em questão não se enquadra em nenhuma atividade florestal. Os trabalhadores geralmente executam uma variedade de tarefas, que podem incluir qualquer"&amp;" combinação das seguintes: poda, coleta/remoção de lixo/detritos, transporte de detritos, corte de pequenas árvores e mudas, espalhamento de palha/terra vegetal. Operação de equipamentos de trituração e alimentação de galhos e arbustos nas máquinas. Opera"&amp;"ção de carregadeiras, trituradores de galhos, tratores, motosserras, caminhões, pulverizadores e outros equipamentos e ferramentas. Içamento de ferramentas e equipamentos para podadores de árvores e abaixamento de galhos até o solo. Carregamento de detrit"&amp;"os e lixo em caminhões e transporte para descarte. Carregamento do caminhão com os produtos e equipamentos necessários. Manutenção de outono da propriedade, como rastelar/soprar folhas; arrancar/cortar ervas daninhas; podar, cobertura morta. Manutenção/li"&amp;"mpeza de ferramentas, equipamentos e locais de trabalho. Esses trabalhadores são operários, não podadores de árvores ou arboristas. O código paisagístico 37-3011 deve ser atribuído (consulte a descrição do ONET). Sem experiência/Sem escolaridade. Consulte"&amp;" o adendo em anexo. Classificação do cargo: 37-3011.00 - Trabalhadores de Paisagismo e Manutenção de Jardins. A classificação e descrição do cargo/setor inclui informações gerais sobre a posição, conforme o ONET/OES e o Sistema de Classificação Industrial"&amp;" da América do Norte. Consulte as Funções e a Ordem de Serviço para obter mais informações. Requisitos do cargo: Experiência exigida: Não. Requisitos especiais: Levantar/carregar até 23 kg. O empregador mantém um ambiente de trabalho livre do uso de droga"&amp;"s ilícitas, álcool e substâncias controladas não autorizadas. O uso, a posse, a venda ou o estado de embriaguez sob o efeito de drogas ilícitas ou álcool durante o horário de trabalho ou nas dependências do empregador são proibidos. O empregador pode real"&amp;"izar verificações legais relacionadas ao trabalho dos candidatos, incluindo consultas sobre antecedentes criminais, quando permitido pelas leis federais, estaduais e locais aplicáveis. Qualquer análise de antecedentes criminais será feita individualmente "&amp;"e as decisões de contratação serão tomadas de forma não discriminatória, em conformidade com as leis aplicáveis ​​e as necessidades da empresa. Número de horas por semana: 35. Horário de trabalho (início/término): 7h às 16h.")</f>
        <v>Os trabalhadores podem ser solicitados a cortar qualquer planta que cresça espontaneamente em um canteiro e que também possa ser removida do solo. Os equipamentos utilizados podem incluir (mas não se limitam a) os seguintes: podador de galhos, podador de galhos a gasolina, carrinho de mão, tratores (Bobcat MT100), minicarregadeira, trituradores para remover detritos dos canteiros, caminhonetes Ford F250 ou pulverizadores manuais. Os trabalhadores não manusearão nem misturarão pesticidas ou produtos químicos. Os supervisores se encarregam do corte das árvores. Os trabalhadores podem ser solicitados a recolher os equipamentos e entregá-los ao supervisor a partir do nível do solo. Os detritos serão carregados manualmente em caminhões (como uma Ford F250) que transportam reboques utilitários. O trabalho é realizado em gramados residenciais ou comerciais. A função em questão não se enquadra em nenhuma atividade florestal. Os trabalhadores geralmente executam uma variedade de tarefas, que podem incluir qualquer combinação das seguintes: poda, coleta/remoção de lixo/detritos, transporte de detritos, corte de pequenas árvores e mudas, espalhamento de palha/terra vegetal. Operação de equipamentos de trituração e alimentação de galhos e arbustos nas máquinas. Operação de carregadeiras, trituradores de galhos, tratores, motosserras, caminhões, pulverizadores e outros equipamentos e ferramentas. Içamento de ferramentas e equipamentos para podadores de árvores e abaixamento de galhos até o solo. Carregamento de detritos e lixo em caminhões e transporte para descarte. Carregamento do caminhão com os produtos e equipamentos necessários. Manutenção de outono da propriedade, como rastelar/soprar folhas; arrancar/cortar ervas daninhas; podar, cobertura morta. Manutenção/limpeza de ferramentas, equipamentos e locais de trabalho. Esses trabalhadores são operários, não podadores de árvores ou arboristas. O código paisagístico 37-3011 deve ser atribuído (consulte a descrição do ONET). Sem experiência/Sem escolaridade. Consulte o adendo em anexo. Classificação do cargo: 37-3011.00 - Trabalhadores de Paisagismo e Manutenção de Jardins. A classificação e descrição do cargo/setor inclui informações gerais sobre a posição, conforme o ONET/OES e o Sistema de Classificação Industrial da América do Norte. Consulte as Funções e a Ordem de Serviço para obter mais informações. Requisitos do cargo: Experiência exigida: Não. Requisitos especiais: Levantar/carregar até 23 kg. O empregador mantém um ambiente de trabalho livre do uso de drogas ilícitas, álcool e substâncias controladas não autorizadas. O uso, a posse, a venda ou o estado de embriaguez sob o efeito de drogas ilícitas ou álcool durante o horário de trabalho ou nas dependências do empregador são proibidos. O empregador pode realizar verificações legais relacionadas ao trabalho dos candidatos, incluindo consultas sobre antecedentes criminais, quando permitido pelas leis federais, estaduais e locais aplicáveis. Qualquer análise de antecedentes criminais será feita individualmente e as decisões de contratação serão tomadas de forma não discriminatória, em conformidade com as leis aplicáveis ​​e as necessidades da empresa. Número de horas por semana: 35. Horário de trabalho (início/término): 7h às 16h.</v>
      </c>
    </row>
    <row r="1645" ht="20.25" customHeight="1">
      <c r="A1645" s="8" t="s">
        <v>7358</v>
      </c>
      <c r="B1645" s="8" t="s">
        <v>7359</v>
      </c>
      <c r="C1645" s="8" t="s">
        <v>7141</v>
      </c>
      <c r="D1645" s="8" t="s">
        <v>249</v>
      </c>
      <c r="E1645" s="9" t="s">
        <v>19</v>
      </c>
      <c r="F1645" s="9" t="s">
        <v>20</v>
      </c>
      <c r="G1645" s="9" t="s">
        <v>902</v>
      </c>
      <c r="H1645" s="8" t="s">
        <v>7360</v>
      </c>
      <c r="I1645" s="8" t="s">
        <v>7361</v>
      </c>
      <c r="J1645" s="9">
        <v>18.91</v>
      </c>
      <c r="K1645" s="9">
        <v>4.0</v>
      </c>
      <c r="L1645" s="8" t="s">
        <v>59</v>
      </c>
      <c r="M1645" s="8" t="s">
        <v>7362</v>
      </c>
      <c r="N1645" s="7" t="str">
        <f>IFERROR(__xludf.DUMMYFUNCTION("GOOGLETRANSLATE(L1645, ""en"", ""pt"")"),"Trabalhador de paisagismo")</f>
        <v>Trabalhador de paisagismo</v>
      </c>
      <c r="O1645" s="7" t="str">
        <f>IFERROR(__xludf.DUMMYFUNCTION("IF(M1645="""","""",GOOGLETRANSLATE(M1645,""en"",""pt""))"),"Paisagismo e manutenção de terrenos utilizando ferramentas manuais ou elétricas. Os trabalhadores geralmente executam uma variedade de tarefas, que podem incluir qualquer combinação das seguintes: colocação de grama, corte de grama, poda, plantio, irrigaç"&amp;"ão, fertilização, escavação, rastelagem, instalação de sprinklers e instalação de blocos de concreto pré-moldados sem argamassa. Classificação da função: 37-3011.00 - Trabalhadores de Paisagismo e Manutenção de Terrenos. A classificação e descrição da fun"&amp;"ção/setor incluem informações gerais sobre o cargo, de acordo com o ONET/OES e o Sistema de Classificação Industrial da América do Norte (NAICS). Consulte as Funções e a Ordem de Serviço para obter mais informações. Requisitos da vaga: Experiência necessá"&amp;"ria: Não. Requisitos especiais: Capacidade de levantar/carregar 23 kg. Número de horas por semana: 40. Horário de trabalho (início/término): 8h às 17h.")</f>
        <v>Paisagismo e manutenção de terrenos utilizando ferramentas manuais ou elétricas. Os trabalhadores geralmente executam uma variedade de tarefas, que podem incluir qualquer combinação das seguintes: colocação de grama, corte de grama, poda, plantio, irrigação, fertilização, escavação, rastelagem, instalação de sprinklers e instalação de blocos de concreto pré-moldados sem argamassa. Classificação da função: 37-3011.00 - Trabalhadores de Paisagismo e Manutenção de Terrenos. A classificação e descrição da função/setor incluem informações gerais sobre o cargo, de acordo com o ONET/OES e o Sistema de Classificação Industrial da América do Norte (NAICS). Consulte as Funções e a Ordem de Serviço para obter mais informações. Requisitos da vaga: Experiência necessária: Não. Requisitos especiais: Capacidade de levantar/carregar 23 kg. Número de horas por semana: 40. Horário de trabalho (início/término): 8h às 17h.</v>
      </c>
    </row>
    <row r="1646" ht="20.25" customHeight="1">
      <c r="A1646" s="3" t="s">
        <v>7363</v>
      </c>
      <c r="B1646" s="3" t="s">
        <v>7364</v>
      </c>
      <c r="C1646" s="3" t="s">
        <v>5563</v>
      </c>
      <c r="D1646" s="3" t="s">
        <v>403</v>
      </c>
      <c r="E1646" s="4" t="s">
        <v>44</v>
      </c>
      <c r="F1646" s="4" t="s">
        <v>20</v>
      </c>
      <c r="G1646" s="4" t="s">
        <v>146</v>
      </c>
      <c r="H1646" s="3" t="s">
        <v>7365</v>
      </c>
      <c r="I1646" s="3" t="s">
        <v>7366</v>
      </c>
      <c r="J1646" s="4">
        <v>16.82</v>
      </c>
      <c r="K1646" s="4">
        <v>14.0</v>
      </c>
      <c r="L1646" s="3" t="s">
        <v>5825</v>
      </c>
      <c r="M1646" s="3" t="s">
        <v>7367</v>
      </c>
      <c r="N1646" s="7" t="str">
        <f>IFERROR(__xludf.DUMMYFUNCTION("GOOGLETRANSLATE(L1646, ""en"", ""pt"")"),"Processadores de frutos do mar / Catadores de caranguejos")</f>
        <v>Processadores de frutos do mar / Catadores de caranguejos</v>
      </c>
      <c r="O1646" s="7" t="str">
        <f>IFERROR(__xludf.DUMMYFUNCTION("IF(M1646="""","""",GOOGLETRANSLATE(M1646,""en"",""pt""))"),"Sob supervisão direta, os Processadores de Frutos do Mar/Apanhadores de Caranguejo irão cozinhar no vapor, limpar e separar caranguejos inteiros; pesar, separar a carne processada por tamanho ou qualidade e colocá-la em recipientes; selar, contar, medir, "&amp;"colocar gelo, desossar, embalar, cozinhar, quebrar e processar frutos do mar, preparando pedidos para venda no atacado/varejo; limpar e preparar o local de trabalho e os equipamentos para atender a todas as normas estaduais e federais de segurança aliment"&amp;"ar; carregar/descarregar; ocasionalmente, utilizar equipamentos de movimentação de materiais; despejar, mover, trabalhar no cais; congelar, retirar caranguejos com pá; grampear e montar caixas. Os trabalhadores auxiliarão no descarregamento da matéria-pri"&amp;"ma (caranguejos) de barcos ou caminhões e a colocarão na área de processamento ou nas mesas para serem processadas. Os trabalhadores também auxiliarão no carregamento dos produtos acabados em caminhões para envio. Poderá ser oferecido pagamento por peça p"&amp;"roduzida; o valor será determinado com base na tabela salarial vigente. Consulte o Adendo em anexo. Classificação da Função: 51-3022.00 - Cortadores e Aparadores de Carne, Aves e Peixes. A classificação e descrição da função/setor inclui informações gerai"&amp;"s sobre o cargo, de acordo com o ONET/OES e o Sistema de Classificação Industrial da América do Norte (NAICS). Consulte as Funções e a Ordem de Serviço para obter mais informações. Requisitos da Função: Experiência Necessária: Não. Requisitos Especiais: C"&amp;"apacidade de levantar/carregar até 23 kg. O empregador mantém um ambiente de trabalho livre do uso de drogas ilícitas, álcool e substâncias controladas não autorizadas. É proibido o uso, a posse, a venda ou estar sob a influência de drogas ilícitas ou álc"&amp;"ool durante o horário de trabalho ou nas dependências do empregador. O empregador poderá realizar verificações legais relacionadas ao trabalho, incluindo consultas sobre antecedentes criminais, quando permitido pelas leis federais, estaduais e locais apli"&amp;"cáveis. Qualquer análise de antecedentes criminais será feita individualmente e as decisões de emprego serão tomadas de forma não discriminatória, em conformidade com as leis aplicáveis ​​e as necessidades da empresa. Não é permitido o uso de doenças infe"&amp;"cciosas; alergias a frutos do mar podem ser fatais. Número de horas por semana: 40 Horário de trabalho (início/término): 5h00 - 13h30")</f>
        <v>Sob supervisão direta, os Processadores de Frutos do Mar/Apanhadores de Caranguejo irão cozinhar no vapor, limpar e separar caranguejos inteiros; pesar, separar a carne processada por tamanho ou qualidade e colocá-la em recipientes; selar, contar, medir, colocar gelo, desossar, embalar, cozinhar, quebrar e processar frutos do mar, preparando pedidos para venda no atacado/varejo; limpar e preparar o local de trabalho e os equipamentos para atender a todas as normas estaduais e federais de segurança alimentar; carregar/descarregar; ocasionalmente, utilizar equipamentos de movimentação de materiais; despejar, mover, trabalhar no cais; congelar, retirar caranguejos com pá; grampear e montar caixas. Os trabalhadores auxiliarão no descarregamento da matéria-prima (caranguejos) de barcos ou caminhões e a colocarão na área de processamento ou nas mesas para serem processadas. Os trabalhadores também auxiliarão no carregamento dos produtos acabados em caminhões para envio. Poderá ser oferecido pagamento por peça produzida; o valor será determinado com base na tabela salarial vigente. Consulte o Adendo em anexo. Classificação da Função: 51-3022.00 - Cortadores e Aparadores de Carne, Aves e Peixes. A classificação e descrição da função/setor inclui informações gerais sobre o cargo, de acordo com o ONET/OES e o Sistema de Classificação Industrial da América do Norte (NAICS). Consulte as Funções e a Ordem de Serviço para obter mais informações. Requisitos da Função: Experiência Necessária: Não. Requisitos Especiais: Capacidade de levantar/carregar até 23 kg. O empregador mantém um ambiente de trabalho livre do uso de drogas ilícitas, álcool e substâncias controladas não autorizadas. É proibido o uso, a posse, a venda ou estar sob a influência de drogas ilícitas ou álcool durante o horário de trabalho ou nas dependências do empregador. O empregador poderá realizar verificações legais relacionadas ao trabalho, incluindo consultas sobre antecedentes criminais, quando permitido pelas leis federais, estaduais e locais aplicáveis. Qualquer análise de antecedentes criminais será feita individualmente e as decisões de emprego serão tomadas de forma não discriminatória, em conformidade com as leis aplicáveis ​​e as necessidades da empresa. Não é permitido o uso de doenças infecciosas; alergias a frutos do mar podem ser fatais. Número de horas por semana: 40 Horário de trabalho (início/término): 5h00 - 13h30</v>
      </c>
    </row>
    <row r="1647" ht="20.25" customHeight="1">
      <c r="A1647" s="8" t="s">
        <v>7368</v>
      </c>
      <c r="B1647" s="8" t="s">
        <v>7369</v>
      </c>
      <c r="C1647" s="8" t="s">
        <v>6228</v>
      </c>
      <c r="D1647" s="8" t="s">
        <v>284</v>
      </c>
      <c r="E1647" s="9" t="s">
        <v>44</v>
      </c>
      <c r="F1647" s="9" t="s">
        <v>20</v>
      </c>
      <c r="G1647" s="9" t="s">
        <v>5681</v>
      </c>
      <c r="H1647" s="8" t="s">
        <v>7370</v>
      </c>
      <c r="I1647" s="8" t="s">
        <v>7371</v>
      </c>
      <c r="J1647" s="9">
        <v>19.15</v>
      </c>
      <c r="K1647" s="9">
        <v>18.0</v>
      </c>
      <c r="L1647" s="8" t="s">
        <v>262</v>
      </c>
      <c r="M1647" s="8" t="s">
        <v>7372</v>
      </c>
      <c r="N1647" s="7" t="str">
        <f>IFERROR(__xludf.DUMMYFUNCTION("GOOGLETRANSLATE(L1647, ""en"", ""pt"")"),"Operário da construção civil")</f>
        <v>Operário da construção civil</v>
      </c>
      <c r="O1647" s="7" t="str">
        <f>IFERROR(__xludf.DUMMYFUNCTION("IF(M1647="""","""",GOOGLETRANSLATE(M1647,""en"",""pt""))"),"Executar diversas tarefas braçais em canteiros de obras. Operar ferramentas manuais e elétricas de todos os tipos, incluindo martelos pneumáticos, compactadores de solo, pequenos guindastes mecânicos e equipamentos de medição ou topografia, como níveis a "&amp;"laser, trenas e instrumentos de medição. Carregar, descarregar e movimentar materiais de construção, como madeira, painéis de aço, chapas de metal, revestimentos, treliças e outros componentes para as áreas designadas. Auxiliar no posicionamento e fixação"&amp;" de componentes estruturais sob a supervisão de operários qualificados. Preparar canteiros de obras, limpando entulhos, cavando valas, instalando escoras para sustentar as escavações e montando andaimes. As valas geralmente têm 15 cm de profundidade e 20 "&amp;"cm de largura. Pás e máquinas com operador são utilizadas para agilizar o processo. Operar bombas, compressores ou geradores para fornecer energia para ferramentas ou equipamentos e auxiliar no aquecimento ou movimentação de materiais como asfalto ou conc"&amp;"reto. Realizar manutenção de rotina, lubrificando, limpando e reparando ferramentas e equipamentos conforme necessário. Auxiliar profissionais especializados, como carpinteiros, acabadores de concreto ou operadores de equipamentos, fornecendo os materiais"&amp;" e ferramentas necessários. Sinalizar para os operadores de equipamentos para facilitar o alinhamento, movimentação ou ajuste de máquinas e materiais. Medir e marcar layouts de construção conforme instruções. Apoiar as tarefas de vedação e preparação do l"&amp;"ocal, incluindo a instalação de isolamento temporário, aplicação de materiais impermeabilizantes ou montagem de coberturas. Participar da concretagem em clima frio, preparando a área, confirmando a prontidão do equipamento e garantindo que as condições do"&amp;" local sejam adequadas para a cura. Remover materiais desgastados ou danificados, limpar as áreas de trabalho e manter as ferramentas e equipamentos em boas condições. Classificação da Função: 47-2061.00 - Auxiliares de Construção. A classificação e descr"&amp;"ição da função/setor inclui informações gerais sobre o cargo, de acordo com o ONET/OES e o Sistema de Classificação Industrial da América do Norte (NAICS). Consulte as Funções e a Ordem de Serviço para obter mais informações. Requisitos da Função: Experiê"&amp;"ncia Necessária: Sim. Meses de Experiência Necessários: 3. Requisitos Especiais: Três meses de experiência em construção são necessários. Deve ser capaz de levantar e carregar 23 kg por 69 metros. Poderá haver necessidade de trabalhar ocasionalmente aos s"&amp;"ábados. O empregador fornecerá treinamento no local de trabalho para o desempenho das funções atribuídas. Cada candidato (tanto trabalhadores americanos quanto estrangeiros/com visto H-2B) deve preencher o formulário de emprego online padrão do empregador"&amp;" como parte do processo de contratação. O preenchimento do formulário é obrigatório para todos os candidatos e não impõe requisitos adicionais ou diferentes aos trabalhadores americanos. Os trabalhadores poderão ser submetidos a testes de drogas após a co"&amp;"ntratação, mediante suspeita razoável, pagos pelo empregador e aplicados igualmente a todos os trabalhadores, americanos e estrangeiros/com visto H-2B. Os trabalhadores também estão sujeitos a verificação de antecedentes criminais após a contratação, paga"&amp;" pelo empregador e aplicada igualmente a todos os trabalhadores, americanos e estrangeiros/com visto H-2B. Número de horas por semana: 45. Horário de trabalho (início/término): 8h às 17h.")</f>
        <v>Executar diversas tarefas braçais em canteiros de obras. Operar ferramentas manuais e elétricas de todos os tipos, incluindo martelos pneumáticos, compactadores de solo, pequenos guindastes mecânicos e equipamentos de medição ou topografia, como níveis a laser, trenas e instrumentos de medição. Carregar, descarregar e movimentar materiais de construção, como madeira, painéis de aço, chapas de metal, revestimentos, treliças e outros componentes para as áreas designadas. Auxiliar no posicionamento e fixação de componentes estruturais sob a supervisão de operários qualificados. Preparar canteiros de obras, limpando entulhos, cavando valas, instalando escoras para sustentar as escavações e montando andaimes. As valas geralmente têm 15 cm de profundidade e 20 cm de largura. Pás e máquinas com operador são utilizadas para agilizar o processo. Operar bombas, compressores ou geradores para fornecer energia para ferramentas ou equipamentos e auxiliar no aquecimento ou movimentação de materiais como asfalto ou concreto. Realizar manutenção de rotina, lubrificando, limpando e reparando ferramentas e equipamentos conforme necessário. Auxiliar profissionais especializados, como carpinteiros, acabadores de concreto ou operadores de equipamentos, fornecendo os materiais e ferramentas necessários. Sinalizar para os operadores de equipamentos para facilitar o alinhamento, movimentação ou ajuste de máquinas e materiais. Medir e marcar layouts de construção conforme instruções. Apoiar as tarefas de vedação e preparação do local, incluindo a instalação de isolamento temporário, aplicação de materiais impermeabilizantes ou montagem de coberturas. Participar da concretagem em clima frio, preparando a área, confirmando a prontidão do equipamento e garantindo que as condições do local sejam adequadas para a cura. Remover materiais desgastados ou danificados, limpar as áreas de trabalho e manter as ferramentas e equipamentos em boas condições. Classificação da Função: 47-2061.00 - Auxiliares de Construção. A classificação e descrição da função/setor inclui informações gerais sobre o cargo, de acordo com o ONET/OES e o Sistema de Classificação Industrial da América do Norte (NAICS). Consulte as Funções e a Ordem de Serviço para obter mais informações. Requisitos da Função: Experiência Necessária: Sim. Meses de Experiência Necessários: 3. Requisitos Especiais: Três meses de experiência em construção são necessários. Deve ser capaz de levantar e carregar 23 kg por 69 metros. Poderá haver necessidade de trabalhar ocasionalmente aos sábados. O empregador fornecerá treinamento no local de trabalho para o desempenho das funções atribuídas. Cada candidato (tanto trabalhadores americanos quanto estrangeiros/com visto H-2B) deve preencher o formulário de emprego online padrão do empregador como parte do processo de contratação. O preenchimento do formulário é obrigatório para todos os candidatos e não impõe requisitos adicionais ou diferentes aos trabalhadores americanos. Os trabalhadores poderão ser submetidos a testes de drogas após a contratação, mediante suspeita razoável, pagos pelo empregador e aplicados igualmente a todos os trabalhadores, americanos e estrangeiros/com visto H-2B. Os trabalhadores também estão sujeitos a verificação de antecedentes criminais após a contratação, paga pelo empregador e aplicada igualmente a todos os trabalhadores, americanos e estrangeiros/com visto H-2B. Número de horas por semana: 45. Horário de trabalho (início/término): 8h às 17h.</v>
      </c>
    </row>
    <row r="1648" ht="20.25" customHeight="1">
      <c r="A1648" s="3" t="s">
        <v>7373</v>
      </c>
      <c r="B1648" s="3" t="s">
        <v>7374</v>
      </c>
      <c r="C1648" s="3" t="s">
        <v>6906</v>
      </c>
      <c r="D1648" s="3" t="s">
        <v>3015</v>
      </c>
      <c r="E1648" s="4" t="s">
        <v>44</v>
      </c>
      <c r="F1648" s="4" t="s">
        <v>20</v>
      </c>
      <c r="G1648" s="4" t="s">
        <v>110</v>
      </c>
      <c r="H1648" s="3" t="s">
        <v>7375</v>
      </c>
      <c r="I1648" s="3" t="s">
        <v>6908</v>
      </c>
      <c r="J1648" s="4">
        <v>26.21</v>
      </c>
      <c r="K1648" s="4">
        <v>2.0</v>
      </c>
      <c r="L1648" s="3" t="s">
        <v>262</v>
      </c>
      <c r="M1648" s="3" t="s">
        <v>7376</v>
      </c>
      <c r="N1648" s="7" t="str">
        <f>IFERROR(__xludf.DUMMYFUNCTION("GOOGLETRANSLATE(L1648, ""en"", ""pt"")"),"Operário da construção civil")</f>
        <v>Operário da construção civil</v>
      </c>
      <c r="O1648" s="7" t="str">
        <f>IFERROR(__xludf.DUMMYFUNCTION("IF(M1648="""","""",GOOGLETRANSLATE(M1648,""en"",""pt""))"),"***Resposta à RFI*** ATRIBUIÇÕES: auxiliar os membros seniores da equipe com: (1) leitura de plantas, instruções ou especificações e medição, marcação ou registro de distâncias para delimitar as áreas onde o trabalho de construção será realizado, montagem"&amp;" ou desmontagem de estruturas temporárias conforme necessário e, se necessário, remoção de neve e gelo de áreas comuns; (2) carga e descarga de materiais de construção, incluindo madeira nova e reciclada de 2x4, 2x6 e compensado de 4x8 e/ou 4x16, utilizan"&amp;"do ferramentas elétricas, incluindo pregadores pneumáticos Metabo, martelos pneumáticos Ingersoll-Rand, compactadores de solo Husqvarna, serras de esquadria DeWalt e ferramentas manuais, como pás, ancinhos, martelos, serras e carrinhos de mão; (3) levanta"&amp;"mento repetido de equipamentos pesados ​​(até 34 kg), permanência em pé e caminhada em alturas de até 9 metros por períodos prolongados; Executar movimentos repetitivos, incluindo flexionar e empurrar, e levantar equipamentos pesados ​​(até 34 kg) repetid"&amp;"amente (4); algum conhecimento de inglês e disposição para aceitar instruções e trabalhar em equipe, com uma atitude positiva e forte atenção à segurança. ***Original*** Executar tarefas que envolvam trabalho físico e auxiliar trabalhadores mais experient"&amp;"es a: ler plantas, instruções ou especificações para ajudar a determinar e coordenar as atividades de trabalho; medir, marcar ou registrar distâncias para delimitar as áreas onde o trabalho de construção será realizado; carregar, descarregar ou identifica"&amp;"r materiais de construção, máquinas ou ferramentas, distribuindo-os para os locais apropriados conforme as instruções; operar ferramentas manuais e elétricas de todos os tipos; disposição para aceitar instruções, trabalhar em equipe e ter uma atitude posi"&amp;"tiva; montar ou desmontar estruturas temporárias conforme necessário; prestar assistência a trabalhadores mais experientes; remoção de neve e gelo de calçadas comuns conforme necessário; forte atenção à segurança. Requisitos Especiais: algum conhecimento "&amp;"de inglês, capacidade de ficar em pé e caminhar em alturas de até 9 metros por longos períodos; capacidade de realizar movimentos repetitivos, incluindo flexionar e empurrar; e levantar equipamentos pesados ​​(até 34 kg) repetidamente. Classificação da fu"&amp;"nção: 47-2061.00 - Auxiliares de Construção. A classificação e descrição da função/setor inclui informações gerais sobre o cargo, de acordo com o ONET/OES e o Sistema de Classificação Industrial da América do Norte. Consulte as Funções e a Ordem de Serviç"&amp;"o para obter mais informações. Requisitos da função: Experiência necessária: Não. Requisitos especiais: Permanecer em pé e caminhar por longos períodos, trabalhar em alturas de até 9 metros, realizar movimentos repetitivos, incluindo flexão e empurrão, se"&amp;"r capaz de levantar equipamentos pesados ​​(até 23 kg) repetidamente e por longos períodos, ter forte atenção à segurança. Número de horas por semana: 40. Horário de trabalho (início/término): 7h às 16h30.")</f>
        <v>***Resposta à RFI*** ATRIBUIÇÕES: auxiliar os membros seniores da equipe com: (1) leitura de plantas, instruções ou especificações e medição, marcação ou registro de distâncias para delimitar as áreas onde o trabalho de construção será realizado, montagem ou desmontagem de estruturas temporárias conforme necessário e, se necessário, remoção de neve e gelo de áreas comuns; (2) carga e descarga de materiais de construção, incluindo madeira nova e reciclada de 2x4, 2x6 e compensado de 4x8 e/ou 4x16, utilizando ferramentas elétricas, incluindo pregadores pneumáticos Metabo, martelos pneumáticos Ingersoll-Rand, compactadores de solo Husqvarna, serras de esquadria DeWalt e ferramentas manuais, como pás, ancinhos, martelos, serras e carrinhos de mão; (3) levantamento repetido de equipamentos pesados ​​(até 34 kg), permanência em pé e caminhada em alturas de até 9 metros por períodos prolongados; Executar movimentos repetitivos, incluindo flexionar e empurrar, e levantar equipamentos pesados ​​(até 34 kg) repetidamente (4); algum conhecimento de inglês e disposição para aceitar instruções e trabalhar em equipe, com uma atitude positiva e forte atenção à segurança. ***Original*** Executar tarefas que envolvam trabalho físico e auxiliar trabalhadores mais experientes a: ler plantas, instruções ou especificações para ajudar a determinar e coordenar as atividades de trabalho; medir, marcar ou registrar distâncias para delimitar as áreas onde o trabalho de construção será realizado; carregar, descarregar ou identificar materiais de construção, máquinas ou ferramentas, distribuindo-os para os locais apropriados conforme as instruções; operar ferramentas manuais e elétricas de todos os tipos; disposição para aceitar instruções, trabalhar em equipe e ter uma atitude positiva; montar ou desmontar estruturas temporárias conforme necessário; prestar assistência a trabalhadores mais experientes; remoção de neve e gelo de calçadas comuns conforme necessário; forte atenção à segurança. Requisitos Especiais: algum conhecimento de inglês, capacidade de ficar em pé e caminhar em alturas de até 9 metros por longos períodos; capacidade de realizar movimentos repetitivos, incluindo flexionar e empurrar; e levantar equipamentos pesados ​​(até 34 kg) repetidamente. Classificação da função: 47-2061.00 - Auxiliares de Construção. A classificação e descrição da função/setor inclui informações gerais sobre o cargo, de acordo com o ONET/OES e o Sistema de Classificação Industrial da América do Norte. Consulte as Funções e a Ordem de Serviço para obter mais informações. Requisitos da função: Experiência necessária: Não. Requisitos especiais: Permanecer em pé e caminhar por longos períodos, trabalhar em alturas de até 9 metros, realizar movimentos repetitivos, incluindo flexão e empurrão, ser capaz de levantar equipamentos pesados ​​(até 23 kg) repetidamente e por longos períodos, ter forte atenção à segurança. Número de horas por semana: 40. Horário de trabalho (início/término): 7h às 16h30.</v>
      </c>
    </row>
    <row r="1649" ht="20.25" customHeight="1">
      <c r="A1649" s="8" t="s">
        <v>7377</v>
      </c>
      <c r="B1649" s="8" t="s">
        <v>7378</v>
      </c>
      <c r="C1649" s="8" t="s">
        <v>1030</v>
      </c>
      <c r="D1649" s="8" t="s">
        <v>55</v>
      </c>
      <c r="E1649" s="9" t="s">
        <v>19</v>
      </c>
      <c r="F1649" s="9" t="s">
        <v>20</v>
      </c>
      <c r="G1649" s="9" t="s">
        <v>1058</v>
      </c>
      <c r="H1649" s="14" t="s">
        <v>7379</v>
      </c>
      <c r="I1649" s="8" t="s">
        <v>7380</v>
      </c>
      <c r="J1649" s="9">
        <v>28.2</v>
      </c>
      <c r="K1649" s="9">
        <v>18.0</v>
      </c>
      <c r="L1649" s="8" t="s">
        <v>7381</v>
      </c>
      <c r="M1649" s="8" t="s">
        <v>7382</v>
      </c>
      <c r="N1649" s="7" t="str">
        <f>IFERROR(__xludf.DUMMYFUNCTION("GOOGLETRANSLATE(L1649, ""en"", ""pt"")"),"Instalação e remoção de iluminação/decoração natalina externa")</f>
        <v>Instalação e remoção de iluminação/decoração natalina externa</v>
      </c>
      <c r="O1649" s="7" t="str">
        <f>IFERROR(__xludf.DUMMYFUNCTION("IF(M1649="""","""",GOOGLETRANSLATE(M1649,""en"",""pt""))"),"Desembalar, inspecionar e testar luzes e decorações, substituindo lâmpadas quando necessário. Instalar luzes em áreas externas, como jardins e edifícios. Realizar manutenção/reparos em luzes e decorações quebradas ou apagadas. Fazer pequenos reparos e lim"&amp;"peza na área externa para preparar e manter os locais para instalação; cortar, aparar e aparar a grama; recolher e soprar folhas. Remover luzes e decorações, inspecioná-las e embalá-las para armazenamento. Remover neve de calçadas, decks e entradas de gar"&amp;"agem. O trabalho envolve carregar e descarregar ferramentas, suprimentos e equipamentos com peso de até 23 kg. Envolve trabalho ao ar livre em todos os tipos de clima. Envolve ficar em pé, sentado ou caminhando por longos períodos. Envolve agachar-se ou c"&amp;"urvar-se com frequência. Envolve movimentos repetitivos. Alojamento opcional fornecido por US$ 85 por semana, dependendo da disponibilidade (sujeito a alterações com base no mercado local/inflação). Possibilidade de aumento salarial por desempenho, bônus,"&amp;" horas extras e trabalho aos sábados, conforme necessário. Transporte fornecido para vários locais de trabalho a partir da localização central em Wildwood, MO. A jornada de trabalho diária pode variar entre os horários de início e término listados, depend"&amp;"endo do clima ou das tarefas atribuídas. Classificação da função: 49-9099.00 - Trabalhadores de Instalação, Manutenção e Reparo, Outros. A classificação e descrição da função/setor inclui informações gerais sobre o cargo, conforme o ONET/OES e o Sistema d"&amp;"e Classificação Industrial da América do Norte (NAICS). Consulte as Funções e a Ordem de Serviço para obter mais informações. Requisitos da função: Experiência necessária: Não. Número de horas por semana: 40. Horário de trabalho (início/término): 8h00 às "&amp;"17h30.")</f>
        <v>Desembalar, inspecionar e testar luzes e decorações, substituindo lâmpadas quando necessário. Instalar luzes em áreas externas, como jardins e edifícios. Realizar manutenção/reparos em luzes e decorações quebradas ou apagadas. Fazer pequenos reparos e limpeza na área externa para preparar e manter os locais para instalação; cortar, aparar e aparar a grama; recolher e soprar folhas. Remover luzes e decorações, inspecioná-las e embalá-las para armazenamento. Remover neve de calçadas, decks e entradas de garagem. O trabalho envolve carregar e descarregar ferramentas, suprimentos e equipamentos com peso de até 23 kg. Envolve trabalho ao ar livre em todos os tipos de clima. Envolve ficar em pé, sentado ou caminhando por longos períodos. Envolve agachar-se ou curvar-se com frequência. Envolve movimentos repetitivos. Alojamento opcional fornecido por US$ 85 por semana, dependendo da disponibilidade (sujeito a alterações com base no mercado local/inflação). Possibilidade de aumento salarial por desempenho, bônus, horas extras e trabalho aos sábados, conforme necessário. Transporte fornecido para vários locais de trabalho a partir da localização central em Wildwood, MO. A jornada de trabalho diária pode variar entre os horários de início e término listados, dependendo do clima ou das tarefas atribuídas. Classificação da função: 49-9099.00 - Trabalhadores de Instalação, Manutenção e Reparo, Outros. A classificação e descrição da função/setor inclui informações gerais sobre o cargo, conforme o ONET/OES e o Sistema de Classificação Industrial da América do Norte (NAICS). Consulte as Funções e a Ordem de Serviço para obter mais informações. Requisitos da função: Experiência necessária: Não. Número de horas por semana: 40. Horário de trabalho (início/término): 8h00 às 17h30.</v>
      </c>
    </row>
    <row r="1650" ht="20.25" customHeight="1">
      <c r="A1650" s="3" t="s">
        <v>7383</v>
      </c>
      <c r="B1650" s="3" t="s">
        <v>7384</v>
      </c>
      <c r="C1650" s="3" t="s">
        <v>7385</v>
      </c>
      <c r="D1650" s="3" t="s">
        <v>306</v>
      </c>
      <c r="E1650" s="4" t="s">
        <v>44</v>
      </c>
      <c r="F1650" s="4" t="s">
        <v>20</v>
      </c>
      <c r="G1650" s="4" t="s">
        <v>1340</v>
      </c>
      <c r="H1650" s="3" t="s">
        <v>7386</v>
      </c>
      <c r="I1650" s="3" t="s">
        <v>7387</v>
      </c>
      <c r="J1650" s="4">
        <v>19.93</v>
      </c>
      <c r="K1650" s="4">
        <v>6.0</v>
      </c>
      <c r="L1650" s="3" t="s">
        <v>7388</v>
      </c>
      <c r="M1650" s="3" t="s">
        <v>7389</v>
      </c>
      <c r="N1650" s="7" t="str">
        <f>IFERROR(__xludf.DUMMYFUNCTION("GOOGLETRANSLATE(L1650, ""en"", ""pt"")"),"Trabalhador de paisagismo")</f>
        <v>Trabalhador de paisagismo</v>
      </c>
      <c r="O1650" s="7" t="str">
        <f>IFERROR(__xludf.DUMMYFUNCTION("IF(M1650="""","""",GOOGLETRANSLATE(M1650,""en"",""pt""))"),"O trabalhador preparará propriedades residenciais e comerciais para as temporadas de outono e inverno, utilizando diversos equipamentos de jardinagem, como cortador de grama, roçadeira, aparador de cerca viva e soprador de folhas, conforme instruções do s"&amp;"upervisor. Auxiliará na coleta de folhas e detritos e realizará a limpeza geral do terreno, também conforme instruções do supervisor. O trabalhador demarcará as propriedades com estacas no solo, ao longo das calçadas e meio-fios de estacionamentos. Utiliz"&amp;"ará uma pá ou soprador de neve para remover a neve de calçadas, entradas de garagem ou estacionamentos e espalhará sal nessas áreas. Caso o trabalhador esteja habilitado a dirigir de acordo com a legislação de Michigan, o empregador poderá exigir que ele "&amp;"utilize veículos fornecidos pela empresa para se deslocar entre o local de trabalho e outros locais, bem como para locais a até 24 quilômetros (15 milhas), conforme instruções. Para estar apto a dirigir, o trabalhador deve compreender e concordar com as r"&amp;"egras de trânsito. O trabalhador deverá levantar diversos equipamentos e materiais com peso de até 23 kg (50 libras). O pagamento será por hora. Classificação da Função: 37-3011.00 - Trabalhadores de Paisagismo e Manutenção de Jardins. A classificação e d"&amp;"escrição da função/setor inclui informações gerais sobre o cargo, de acordo com o ONET/OES e o Sistema de Classificação Industrial da América do Norte (NAICS). Consulte as Funções e a Ordem de Serviço para obter mais informações. Requisitos da Função Expe"&amp;"riência Necessária: Sim Meses de Experiência Necessária: 3 Requisitos Especiais: 3 meses de experiência comprovada em paisagismo comercial são necessários. Os candidatos devem fornecer referências de empregos dos últimos 5 anos que comprovem experiência a"&amp;"nterior aceitável. Requisito de levantamento de 23 kg (50 libras). Algumas tarefas exigirão que dois ou mais trabalhadores levantem conjuntamente 45 kg (100 libras); no entanto, o empregador considerará 23 kg (50 libras) como o requisito geral de levantam"&amp;"ento. Compromisso com a temporada completa: a vaga exige que o trabalhador esteja disponível para trabalhar todos os dias em que houver trabalho disponível, durante todo o período de emprego. O trabalhador concorda em estar disponível e executar o trabalh"&amp;"o atribuído sempre que houver trabalho disponível, durante todo o período de emprego. O trabalhador deve ser capaz de executar todas as funções descritas na função de maneira segura, seguindo todas as diretrizes, práticas e procedimentos de segurança esta"&amp;"belecidos. O trabalhador deve possuir força física e resistência necessárias para repetir o processo de trabalho de paisagismo ao longo da jornada de trabalho. O trabalhador deve trabalhar em ritmo constante e empenhar-se para trabalhar com eficiência, de"&amp;"ntro do razoável, considerando as condições de trabalho. O trabalho pode ser realizado durante chuva moderada e em alta umidade, com temperaturas que variam de -9°C a 40°C. O trabalhador pode ser obrigado a trabalhar ao ar livre quando a grama/plantas est"&amp;"iverem molhadas de orvalho/chuva e deve usar roupas adequadas para as condições climáticas variáveis. O empregador fornece instruções e supervisão geral. O trabalhador deve seguir as instruções específicas dadas para cada dia de trabalho. Todas as lesões "&amp;"relacionadas ao trabalho devem ser comunicadas imediatamente ao empregador. O trabalhador deve usar todos os equipamentos de proteção individual (EPIs) obrigatórios e designados, em todos os momentos necessários. O trabalhador deve usar roupas e calçados "&amp;"adequados às condições climáticas, sendo que todos os calçados devem ser fechados. O empregador realiza treinamentos de integração sobre as normas, políticas e informações de segurança do local de trabalho, e o trabalhador deve participar deles. O trabalh"&amp;"ador deve seguir as normas de trabalho. Outras atribuições designadas por esta ordem serão compatíveis com as de trabalhadores de paisagismo, de acordo com o Código de Classificação Ocupacional Padrão para Trabalhadores de Paisagismo e Manutenção de Jardi"&amp;"ns do Departamento de Estatísticas do Trabalho dos EUA, 37-3011. Número de horas por semana: 35. Horário de trabalho (início/término): 8h00 - 15h30.")</f>
        <v>O trabalhador preparará propriedades residenciais e comerciais para as temporadas de outono e inverno, utilizando diversos equipamentos de jardinagem, como cortador de grama, roçadeira, aparador de cerca viva e soprador de folhas, conforme instruções do supervisor. Auxiliará na coleta de folhas e detritos e realizará a limpeza geral do terreno, também conforme instruções do supervisor. O trabalhador demarcará as propriedades com estacas no solo, ao longo das calçadas e meio-fios de estacionamentos. Utilizará uma pá ou soprador de neve para remover a neve de calçadas, entradas de garagem ou estacionamentos e espalhará sal nessas áreas. Caso o trabalhador esteja habilitado a dirigir de acordo com a legislação de Michigan, o empregador poderá exigir que ele utilize veículos fornecidos pela empresa para se deslocar entre o local de trabalho e outros locais, bem como para locais a até 24 quilômetros (15 milhas), conforme instruções. Para estar apto a dirigir, o trabalhador deve compreender e concordar com as regras de trânsito. O trabalhador deverá levantar diversos equipamentos e materiais com peso de até 23 kg (50 libras). O pagamento será por hora. Classificação da Função: 37-3011.00 - Trabalhadores de Paisagismo e Manutenção de Jardins. A classificação e descrição da função/setor inclui informações gerais sobre o cargo, de acordo com o ONET/OES e o Sistema de Classificação Industrial da América do Norte (NAICS). Consulte as Funções e a Ordem de Serviço para obter mais informações. Requisitos da Função Experiência Necessária: Sim Meses de Experiência Necessária: 3 Requisitos Especiais: 3 meses de experiência comprovada em paisagismo comercial são necessários. Os candidatos devem fornecer referências de empregos dos últimos 5 anos que comprovem experiência anterior aceitável. Requisito de levantamento de 23 kg (50 libras). Algumas tarefas exigirão que dois ou mais trabalhadores levantem conjuntamente 45 kg (100 libras); no entanto, o empregador considerará 23 kg (50 libras) como o requisito geral de levantamento. Compromisso com a temporada completa: a vaga exige que o trabalhador esteja disponível para trabalhar todos os dias em que houver trabalho disponível, durante todo o período de emprego. O trabalhador concorda em estar disponível e executar o trabalho atribuído sempre que houver trabalho disponível, durante todo o período de emprego. O trabalhador deve ser capaz de executar todas as funções descritas na função de maneira segura, seguindo todas as diretrizes, práticas e procedimentos de segurança estabelecidos. O trabalhador deve possuir força física e resistência necessárias para repetir o processo de trabalho de paisagismo ao longo da jornada de trabalho. O trabalhador deve trabalhar em ritmo constante e empenhar-se para trabalhar com eficiência, dentro do razoável, considerando as condições de trabalho. O trabalho pode ser realizado durante chuva moderada e em alta umidade, com temperaturas que variam de -9°C a 40°C. O trabalhador pode ser obrigado a trabalhar ao ar livre quando a grama/plantas estiverem molhadas de orvalho/chuva e deve usar roupas adequadas para as condições climáticas variáveis. O empregador fornece instruções e supervisão geral. O trabalhador deve seguir as instruções específicas dadas para cada dia de trabalho. Todas as lesões relacionadas ao trabalho devem ser comunicadas imediatamente ao empregador. O trabalhador deve usar todos os equipamentos de proteção individual (EPIs) obrigatórios e designados, em todos os momentos necessários. O trabalhador deve usar roupas e calçados adequados às condições climáticas, sendo que todos os calçados devem ser fechados. O empregador realiza treinamentos de integração sobre as normas, políticas e informações de segurança do local de trabalho, e o trabalhador deve participar deles. O trabalhador deve seguir as normas de trabalho. Outras atribuições designadas por esta ordem serão compatíveis com as de trabalhadores de paisagismo, de acordo com o Código de Classificação Ocupacional Padrão para Trabalhadores de Paisagismo e Manutenção de Jardins do Departamento de Estatísticas do Trabalho dos EUA, 37-3011. Número de horas por semana: 35. Horário de trabalho (início/término): 8h00 - 15h30.</v>
      </c>
    </row>
    <row r="1651" ht="20.25" customHeight="1">
      <c r="A1651" s="8" t="s">
        <v>7390</v>
      </c>
      <c r="B1651" s="8" t="s">
        <v>7391</v>
      </c>
      <c r="C1651" s="8" t="s">
        <v>7392</v>
      </c>
      <c r="D1651" s="8" t="s">
        <v>140</v>
      </c>
      <c r="E1651" s="9" t="s">
        <v>19</v>
      </c>
      <c r="F1651" s="9" t="s">
        <v>20</v>
      </c>
      <c r="G1651" s="9" t="s">
        <v>80</v>
      </c>
      <c r="H1651" s="8" t="s">
        <v>7393</v>
      </c>
      <c r="I1651" s="8" t="s">
        <v>7394</v>
      </c>
      <c r="J1651" s="9">
        <v>21.39</v>
      </c>
      <c r="K1651" s="9">
        <v>55.0</v>
      </c>
      <c r="L1651" s="8" t="s">
        <v>387</v>
      </c>
      <c r="M1651" s="8" t="s">
        <v>7395</v>
      </c>
      <c r="N1651" s="7" t="str">
        <f>IFERROR(__xludf.DUMMYFUNCTION("GOOGLETRANSLATE(L1651, ""en"", ""pt"")"),"Ordem de serviço não disponível")</f>
        <v>Ordem de serviço não disponível</v>
      </c>
      <c r="O1651" s="7" t="str">
        <f>IFERROR(__xludf.DUMMYFUNCTION("IF(M1651="""","""",GOOGLETRANSLATE(M1651,""en"",""pt""))"),"Operar máquina de costura ou overloque para costurar produtos ATC. Costurar etiquetas de cuidados precisas no produto. Remover as capas de almofada cheias da esteira transportadora, fechar a abertura e recolocar a almofada na esteira para processamento po"&amp;"sterior. Guiar as almofadas ou peças sob as agulhas e calcadores da máquina para costurar as peças. Remover os dispositivos de fixação e os itens acabados das máquinas. Colocar a capa da almofada sobre o enchimento, preencher a capa com fibra e, em seguid"&amp;"a, colocar a almofada na esteira para processamento posterior. Embalar as almofadas à medida que passam pela esteira. Monitorar o funcionamento da máquina para detectar problemas como costura defeituosa, quebra de linha ou mau funcionamento da máquina. Co"&amp;"locar bobinas de linha, cordão ou outros materiais nos eixos, inserir bobinas e passar as pontas pelas guias e componentes da máquina. Posicionar os itens sob as agulhas, usando marcas nas máquinas, grampos, gabaritos ou tecido como guia. Examinar e inspe"&amp;"cionar recipientes, materiais ou produtos para garantir que a qualidade do produto e as especificações de embalagem sejam atendidas. Medir, pesar e contar produtos e materiais. Registrar informações sobre o produto, embalagem e pedido em formulários e reg"&amp;"istros específicos. Selar recipientes ou materiais usando colas, fixadores, fita adesiva e ferramentas manuais. Montar, forrar e acolchoar caixas, engradados e contêineres usando ferramentas manuais. Utilizar todos os equipamentos e instalações da empresa"&amp;" com cuidado e segurança. Reportar quaisquer problemas com os equipamentos ao supervisor imediato ou ao departamento de manutenção. Executar as tarefas de forma a garantir a segurança própria e dos colegas de trabalho. Responsável pelas tarefas de troca d"&amp;"e produção entre ordens de serviço. Executar outras tarefas conforme necessário ou atribuídas pelo supervisor ou líder. Classificação da Função: 51-9199.00 - Operadores de Produção, Outros. A classificação e descrição da função/setor inclui informações ge"&amp;"rais sobre o cargo, de acordo com o ONET/OES e o Sistema de Classificação Industrial da América do Norte. Consulte as Funções e a Ordem de Serviço para obter mais informações. Requisitos da Função Experiência Necessária: Não. Requisitos Especiais: Possuir"&amp;" habilidades básicas de matemática. Capacidade de ocasionalmente carregar, empurrar ou puxar objetos com peso de até 23 kg (50 libras). Capacidade de se locomover ou ficar em pé durante um turno completo (12 horas). Número de horas por semana: 40. Horário"&amp;" de trabalho (início/término): 8h às 17h.")</f>
        <v>Operar máquina de costura ou overloque para costurar produtos ATC. Costurar etiquetas de cuidados precisas no produto. Remover as capas de almofada cheias da esteira transportadora, fechar a abertura e recolocar a almofada na esteira para processamento posterior. Guiar as almofadas ou peças sob as agulhas e calcadores da máquina para costurar as peças. Remover os dispositivos de fixação e os itens acabados das máquinas. Colocar a capa da almofada sobre o enchimento, preencher a capa com fibra e, em seguida, colocar a almofada na esteira para processamento posterior. Embalar as almofadas à medida que passam pela esteira. Monitorar o funcionamento da máquina para detectar problemas como costura defeituosa, quebra de linha ou mau funcionamento da máquina. Colocar bobinas de linha, cordão ou outros materiais nos eixos, inserir bobinas e passar as pontas pelas guias e componentes da máquina. Posicionar os itens sob as agulhas, usando marcas nas máquinas, grampos, gabaritos ou tecido como guia. Examinar e inspecionar recipientes, materiais ou produtos para garantir que a qualidade do produto e as especificações de embalagem sejam atendidas. Medir, pesar e contar produtos e materiais. Registrar informações sobre o produto, embalagem e pedido em formulários e registros específicos. Selar recipientes ou materiais usando colas, fixadores, fita adesiva e ferramentas manuais. Montar, forrar e acolchoar caixas, engradados e contêineres usando ferramentas manuais. Utilizar todos os equipamentos e instalações da empresa com cuidado e segurança. Reportar quaisquer problemas com os equipamentos ao supervisor imediato ou ao departamento de manutenção. Executar as tarefas de forma a garantir a segurança própria e dos colegas de trabalho. Responsável pelas tarefas de troca de produção entre ordens de serviço. Executar outras tarefas conforme necessário ou atribuídas pelo supervisor ou líder. Classificação da Função: 51-9199.00 - Operadores de Produção, Outros. A classificação e descrição da função/setor inclui informações gerais sobre o cargo, de acordo com o ONET/OES e o Sistema de Classificação Industrial da América do Norte. Consulte as Funções e a Ordem de Serviço para obter mais informações. Requisitos da Função Experiência Necessária: Não. Requisitos Especiais: Possuir habilidades básicas de matemática. Capacidade de ocasionalmente carregar, empurrar ou puxar objetos com peso de até 23 kg (50 libras). Capacidade de se locomover ou ficar em pé durante um turno completo (12 horas). Número de horas por semana: 40. Horário de trabalho (início/término): 8h às 17h.</v>
      </c>
    </row>
    <row r="1652" ht="20.25" customHeight="1">
      <c r="A1652" s="3" t="s">
        <v>7396</v>
      </c>
      <c r="B1652" s="3" t="s">
        <v>7397</v>
      </c>
      <c r="C1652" s="3" t="s">
        <v>4247</v>
      </c>
      <c r="D1652" s="3" t="s">
        <v>596</v>
      </c>
      <c r="E1652" s="4" t="s">
        <v>44</v>
      </c>
      <c r="F1652" s="4" t="s">
        <v>20</v>
      </c>
      <c r="G1652" s="4" t="s">
        <v>1412</v>
      </c>
      <c r="H1652" s="3" t="s">
        <v>7398</v>
      </c>
      <c r="I1652" s="3" t="s">
        <v>7399</v>
      </c>
      <c r="J1652" s="4">
        <v>21.25</v>
      </c>
      <c r="K1652" s="4">
        <v>6.0</v>
      </c>
      <c r="L1652" s="3" t="s">
        <v>4250</v>
      </c>
      <c r="M1652" s="3" t="s">
        <v>4251</v>
      </c>
      <c r="N1652" s="7" t="str">
        <f>IFERROR(__xludf.DUMMYFUNCTION("GOOGLETRANSLATE(L1652, ""en"", ""pt"")"),"49-9098: Ajudantes — Trabalhos de instalação, manutenção e reparo")</f>
        <v>49-9098: Ajudantes — Trabalhos de instalação, manutenção e reparo</v>
      </c>
      <c r="O1652" s="7" t="str">
        <f>IFERROR(__xludf.DUMMYFUNCTION("IF(M1652="""","""",GOOGLETRANSLATE(M1652,""en"",""pt""))"),"Auxiliar os trabalhadores de instalação, manutenção e reparo na manutenção, substituição de peças e reparo de veículos, máquinas industriais e equipamentos elétricos e eletrônicos. Executar tarefas como fornecer ferramentas, materiais e suprimentos para o"&amp;"utros trabalhadores; limpar a área de trabalho, máquinas e ferramentas; e segurar materiais ou ferramentas para outros trabalhadores. Classificação da vaga: 49-9098.00 - Auxiliares - Trabalhadores de Instalação, Manutenção e Reparo. A classificação e desc"&amp;"rição da vaga/setor inclui informações gerais sobre a posição, de acordo com o ONET/OES e o Sistema de Classificação Industrial da América do Norte (NAICS). Consulte as Funções e a Ordem de Serviço para obter mais informações. Requisitos da vaga: Experiên"&amp;"cia exigida: Não. Requisitos especiais: Testes aleatórios de drogas e verificação de antecedentes criminais após a contratação podem ser exigidos, sem custo para o trabalhador. A vaga exige que o candidato seja qualificado, esteja pronto, disposto, apto e"&amp;" disponível para trabalhar durante todo o período de emprego no local de trabalho designado; para firmar e cumprir o contrato de trabalho; e para seguir as normas do local de trabalho. Número de horas por semana: 35. Horário de trabalho (início/término): "&amp;"8h. - 16:00")</f>
        <v>Auxiliar os trabalhadores de instalação, manutenção e reparo na manutenção, substituição de peças e reparo de veículos, máquinas industriais e equipamentos elétricos e eletrônicos. Executar tarefas como fornecer ferramentas, materiais e suprimentos para outros trabalhadores; limpar a área de trabalho, máquinas e ferramentas; e segurar materiais ou ferramentas para outros trabalhadores. Classificação da vaga: 49-9098.00 - Auxiliares - Trabalhadores de Instalação, Manutenção e Reparo. A classificação e descrição da vaga/setor inclui informações gerais sobre a posição, de acordo com o ONET/OES e o Sistema de Classificação Industrial da América do Norte (NAICS). Consulte as Funções e a Ordem de Serviço para obter mais informações. Requisitos da vaga: Experiência exigida: Não. Requisitos especiais: Testes aleatórios de drogas e verificação de antecedentes criminais após a contratação podem ser exigidos, sem custo para o trabalhador. A vaga exige que o candidato seja qualificado, esteja pronto, disposto, apto e disponível para trabalhar durante todo o período de emprego no local de trabalho designado; para firmar e cumprir o contrato de trabalho; e para seguir as normas do local de trabalho. Número de horas por semana: 35. Horário de trabalho (início/término): 8h. - 16:00</v>
      </c>
    </row>
    <row r="1653" ht="20.25" customHeight="1">
      <c r="A1653" s="8" t="s">
        <v>7400</v>
      </c>
      <c r="B1653" s="8" t="s">
        <v>7401</v>
      </c>
      <c r="C1653" s="8"/>
      <c r="D1653" s="8" t="s">
        <v>36</v>
      </c>
      <c r="E1653" s="9" t="s">
        <v>19</v>
      </c>
      <c r="F1653" s="9" t="s">
        <v>20</v>
      </c>
      <c r="G1653" s="9" t="s">
        <v>377</v>
      </c>
      <c r="H1653" s="8" t="s">
        <v>7402</v>
      </c>
      <c r="I1653" s="8" t="s">
        <v>7403</v>
      </c>
      <c r="J1653" s="9">
        <v>15.48</v>
      </c>
      <c r="K1653" s="9">
        <v>6.0</v>
      </c>
      <c r="L1653" s="8" t="s">
        <v>7404</v>
      </c>
      <c r="M1653" s="8" t="s">
        <v>7405</v>
      </c>
      <c r="N1653" s="7" t="str">
        <f>IFERROR(__xludf.DUMMYFUNCTION("GOOGLETRANSLATE(L1653, ""en"", ""pt"")"),"Cuidador domiciliar")</f>
        <v>Cuidador domiciliar</v>
      </c>
      <c r="O1653" s="7" t="str">
        <f>IFERROR(__xludf.DUMMYFUNCTION("IF(M1653="""","""",GOOGLETRANSLATE(M1653,""en"",""pt""))"),"Auxiliar pessoa com deficiência grave em todas as atividades da vida diária, incluindo vestir-se, tomar banho, alimentar-se, posicionar-se na cama, transferir-se da cama para a cadeira de rodas, administrar medicamentos, água e hidratação, cuidar de catet"&amp;"eres e colostomias, incluindo troca e lavagem de bolsas, lavar roupa e realizar limpeza leve, preparar refeições, posicionar a pessoa para cochilos diurnos e para dormir durante a noite. Auxiliar com alongamentos e exercícios para os membros. Manter regis"&amp;"tros detalhados por hora, por escrito, seguindo os protocolos do guia do cuidador. Fornecer feedback verbal ao próximo turno. Todas as atividades são realizadas sob a supervisão e orientação da pessoa com deficiência. Classificação da vaga: 31-1121.00 - A"&amp;"uxiliares de Saúde Domiciliar. A classificação e descrição da vaga/setor incluem informações gerais sobre o cargo, de acordo com o ONET/OES e o Sistema de Classificação Industrial da América do Norte (NAICS). Consulte as Funções e a Ordem de Serviço para "&amp;"obter mais informações. Requisitos da vaga: Experiência necessária: Não. Requisitos especiais: Turnos disponíveis diariamente, de segunda a domingo, 35 a 40 horas por semana, com necessidade de trabalho nos fins de semana e feriados. Turnos rotativos nos "&amp;"seguintes horários (sujeitos a alterações): 6h-15h, 14h-23h, 22h-7h. Não haverá tratamento preferencial para trabalhadores com visto H-2B e todos os trabalhadores (H-2B e americanos) receberão os mesmos salários e benefícios. Número de horas por semana: 4"&amp;"0. Horário de trabalho (início/término): 6h às 15h.")</f>
        <v>Auxiliar pessoa com deficiência grave em todas as atividades da vida diária, incluindo vestir-se, tomar banho, alimentar-se, posicionar-se na cama, transferir-se da cama para a cadeira de rodas, administrar medicamentos, água e hidratação, cuidar de cateteres e colostomias, incluindo troca e lavagem de bolsas, lavar roupa e realizar limpeza leve, preparar refeições, posicionar a pessoa para cochilos diurnos e para dormir durante a noite. Auxiliar com alongamentos e exercícios para os membros. Manter registros detalhados por hora, por escrito, seguindo os protocolos do guia do cuidador. Fornecer feedback verbal ao próximo turno. Todas as atividades são realizadas sob a supervisão e orientação da pessoa com deficiência. Classificação da vaga: 31-1121.00 - Auxiliares de Saúde Domiciliar. A classificação e descrição da vaga/setor incluem informações gerais sobre o cargo, de acordo com o ONET/OES e o Sistema de Classificação Industrial da América do Norte (NAICS). Consulte as Funções e a Ordem de Serviço para obter mais informações. Requisitos da vaga: Experiência necessária: Não. Requisitos especiais: Turnos disponíveis diariamente, de segunda a domingo, 35 a 40 horas por semana, com necessidade de trabalho nos fins de semana e feriados. Turnos rotativos nos seguintes horários (sujeitos a alterações): 6h-15h, 14h-23h, 22h-7h. Não haverá tratamento preferencial para trabalhadores com visto H-2B e todos os trabalhadores (H-2B e americanos) receberão os mesmos salários e benefícios. Número de horas por semana: 40. Horário de trabalho (início/término): 6h às 15h.</v>
      </c>
    </row>
    <row r="1654" ht="20.25" customHeight="1">
      <c r="A1654" s="3" t="s">
        <v>7406</v>
      </c>
      <c r="B1654" s="3" t="s">
        <v>7407</v>
      </c>
      <c r="C1654" s="3"/>
      <c r="D1654" s="3" t="s">
        <v>28</v>
      </c>
      <c r="E1654" s="4" t="s">
        <v>44</v>
      </c>
      <c r="F1654" s="4" t="s">
        <v>20</v>
      </c>
      <c r="G1654" s="4" t="s">
        <v>212</v>
      </c>
      <c r="H1654" s="3" t="s">
        <v>7408</v>
      </c>
      <c r="I1654" s="3" t="s">
        <v>7409</v>
      </c>
      <c r="J1654" s="4">
        <v>20.15</v>
      </c>
      <c r="K1654" s="4">
        <v>40.0</v>
      </c>
      <c r="L1654" s="3" t="s">
        <v>7410</v>
      </c>
      <c r="M1654" s="3" t="s">
        <v>7411</v>
      </c>
      <c r="N1654" s="7" t="str">
        <f>IFERROR(__xludf.DUMMYFUNCTION("GOOGLETRANSLATE(L1654, ""en"", ""pt"")"),"Trabalhador sazonal de fábrica de ostras")</f>
        <v>Trabalhador sazonal de fábrica de ostras</v>
      </c>
      <c r="O1654" s="7" t="str">
        <f>IFERROR(__xludf.DUMMYFUNCTION("IF(M1654="""","""",GOOGLETRANSLATE(M1654,""en"",""pt""))"),"A Classy Cajun Oyster Farm LLC busca quarenta (40) trabalhadores sazonais temporários em tempo integral para trabalhar na unidade de processamento de ostras da empresa, localizada em 6888 Grand Caillou Road, Dulac, Louisiana 70353, Paróquia de Terrebonne."&amp;" O emprego é temporário e terá início em 1º de outubro de 2026 e término em 1º de junho de 2027. Os funcionários trabalharão 40 horas por semana, sem previsão de horas extras, e receberão pagamento semanalmente. Atividades: Os trabalhadores descarregarão "&amp;"ostras de embarcações ou contêineres de entrega e as colocarão em mesas de processamento, sistemas de esteiras ou mesas vibratórias mecânicas para processamento. Os trabalhadores lavarão as ostras com água limpa para remover sedimentos e detritos e, em se"&amp;"guida, inspecionarão, classificarão e separarão as ostras por tamanho e qualidade, manualmente ou com equipamentos básicos de classificação. Dependendo das necessidades de produção, os funcionários processarão ostras inteiras ou abrirão ostras manualmente"&amp;" usando facas próprias para abrir ostras, enquanto usam luvas resistentes a cortes ou protetores de mão, removendo cuidadosamente a carne da ostra, garantindo que todos os fragmentos de concha sejam removidos e que o produto atenda aos padrões de controle"&amp;" de qualidade e segurança alimentar exigidos. A carne de ostra processada ou as ostras inteiras serão colocadas em recipientes limpos próprios para alimentos para pesagem, classificação, etiquetagem, cobertura com gelo e embalagem, de acordo com as especi"&amp;"ficações do cliente e os requisitos de segurança alimentar aplicáveis. As caixas de gelo embaladas serão preparadas para armazenamento ou carregamento em caminhões refrigerados para entrega a restaurantes, atacadistas, varejistas, fabricantes e outros cli"&amp;"entes comerciais. Os funcionários manterão a limpeza e a organização de suas áreas de trabalho imediatas durante a produção, incluindo o manuseio e armazenamento adequados de ferramentas, facas, recipientes, materiais e equipamentos, seguindo todos os pro"&amp;"cedimentos de segurança alimentar, saneamento, higiene e segurança no trabalho. A limpeza, sanitização e desinfecção de toda a instalação antes e depois dos turnos de produção são realizadas por um serviço de limpeza terceirizado. Os funcionários podem al"&amp;"ternar entre as tarefas atribuídas ao longo do dia de trabalho, com base nas necessidades de produção. As ferramentas e equipamentos utilizados podem incluir, entre outros, facas para abrir ostras, luvas ou protetores de mão resistentes a cortes, mesas de"&amp;" processamento, mesas vibratórias mecânicas, sistemas de esteiras transportadoras, bandejas de triagem, balanças, recipientes plásticos próprios para alimentos, máquinas de gelo, equipamentos de etiquetagem e outras ferramentas de processamento. Os equipa"&amp;"mentos de proteção individual fornecidos pelo empregador, incluindo aventais impermeáveis, botas de borracha, toucas, luvas e outros equipamentos de segurança alimentar obrigatórios, devem ser usados ​​o tempo todo. O trabalho é realizado em ambiente inte"&amp;"rno, frio e úmido, típico do processamento de frutos do mar. O empregador fornecerá transporte gratuito aos trabalhadores que não residem em acomodações providenciadas pelo empregador, do ponto de encontro central, localizado na Rua Mark, 222, Chauvin, Lo"&amp;"uisiana 70344, até a unidade de processamento, localizada na Estrada Grand Caillou, 6888, Dulac, Louisiana 70353, com transporte de retorno fornecido ao final de cada dia de trabalho. O empregador também fornecerá transporte gratuito aos trabalhadores que"&amp;" residem em acomodações providenciadas pelo empregador, entre o local de hospedagem e o local de trabalho. O transporte público está disponível para o local de coleta central. Classificação do Cargo: 45-2041.00 - Classificadores e Selecionadores de Produt"&amp;"os Agrícolas. A classificação e descrição do cargo/setor inclui informações gerais sobre a posição, de acordo com o ONET/OES e o Sistema de Classificação Industrial da América do Norte. Consulte as Funções e a Ordem de Serviço para obter mais informações."&amp;" Requisitos do Cargo Experiência Necessária: Sim Meses de Experiência Necessários: 3 Requisitos Especiais: Os candidatos devem ter no mínimo três (3) meses de experiência profissional em processamento de frutos do mar ou ambientes similares. Não é necessá"&amp;"rio nível de escolaridade formal. Os trabalhadores devem ser capazes de desempenhar suas funções em pé por longos períodos em um ambiente interno frio e úmido de processamento de frutos do mar e realizar tarefas manuais repetitivas. Os trabalhadores devem"&amp;" estar dispostos a trabalhar em turnos rotativos, incluindo turnos de segunda a sexta-feira, das 6h às 14h, das 14h às 22h ou das 22h às 22h. O horário de trabalho é das 6h às 6h, e aos sábados, das 6h às 11h, das 11h às 16h ou das 16h às 21h. Esta é uma "&amp;"vaga temporária, em tempo integral, com uma média de 40 horas semanais. Não há possibilidade de horas extras. Número de horas por semana: 40. Horário de trabalho (início/término): 14h às 22h.")</f>
        <v>A Classy Cajun Oyster Farm LLC busca quarenta (40) trabalhadores sazonais temporários em tempo integral para trabalhar na unidade de processamento de ostras da empresa, localizada em 6888 Grand Caillou Road, Dulac, Louisiana 70353, Paróquia de Terrebonne. O emprego é temporário e terá início em 1º de outubro de 2026 e término em 1º de junho de 2027. Os funcionários trabalharão 40 horas por semana, sem previsão de horas extras, e receberão pagamento semanalmente. Atividades: Os trabalhadores descarregarão ostras de embarcações ou contêineres de entrega e as colocarão em mesas de processamento, sistemas de esteiras ou mesas vibratórias mecânicas para processamento. Os trabalhadores lavarão as ostras com água limpa para remover sedimentos e detritos e, em seguida, inspecionarão, classificarão e separarão as ostras por tamanho e qualidade, manualmente ou com equipamentos básicos de classificação. Dependendo das necessidades de produção, os funcionários processarão ostras inteiras ou abrirão ostras manualmente usando facas próprias para abrir ostras, enquanto usam luvas resistentes a cortes ou protetores de mão, removendo cuidadosamente a carne da ostra, garantindo que todos os fragmentos de concha sejam removidos e que o produto atenda aos padrões de controle de qualidade e segurança alimentar exigidos. A carne de ostra processada ou as ostras inteiras serão colocadas em recipientes limpos próprios para alimentos para pesagem, classificação, etiquetagem, cobertura com gelo e embalagem, de acordo com as especificações do cliente e os requisitos de segurança alimentar aplicáveis. As caixas de gelo embaladas serão preparadas para armazenamento ou carregamento em caminhões refrigerados para entrega a restaurantes, atacadistas, varejistas, fabricantes e outros clientes comerciais. Os funcionários manterão a limpeza e a organização de suas áreas de trabalho imediatas durante a produção, incluindo o manuseio e armazenamento adequados de ferramentas, facas, recipientes, materiais e equipamentos, seguindo todos os procedimentos de segurança alimentar, saneamento, higiene e segurança no trabalho. A limpeza, sanitização e desinfecção de toda a instalação antes e depois dos turnos de produção são realizadas por um serviço de limpeza terceirizado. Os funcionários podem alternar entre as tarefas atribuídas ao longo do dia de trabalho, com base nas necessidades de produção. As ferramentas e equipamentos utilizados podem incluir, entre outros, facas para abrir ostras, luvas ou protetores de mão resistentes a cortes, mesas de processamento, mesas vibratórias mecânicas, sistemas de esteiras transportadoras, bandejas de triagem, balanças, recipientes plásticos próprios para alimentos, máquinas de gelo, equipamentos de etiquetagem e outras ferramentas de processamento. Os equipamentos de proteção individual fornecidos pelo empregador, incluindo aventais impermeáveis, botas de borracha, toucas, luvas e outros equipamentos de segurança alimentar obrigatórios, devem ser usados ​​o tempo todo. O trabalho é realizado em ambiente interno, frio e úmido, típico do processamento de frutos do mar. O empregador fornecerá transporte gratuito aos trabalhadores que não residem em acomodações providenciadas pelo empregador, do ponto de encontro central, localizado na Rua Mark, 222, Chauvin, Louisiana 70344, até a unidade de processamento, localizada na Estrada Grand Caillou, 6888, Dulac, Louisiana 70353, com transporte de retorno fornecido ao final de cada dia de trabalho. O empregador também fornecerá transporte gratuito aos trabalhadores que residem em acomodações providenciadas pelo empregador, entre o local de hospedagem e o local de trabalho. O transporte público está disponível para o local de coleta central. Classificação do Cargo: 45-2041.00 - Classificadores e Selecionadores de Produtos Agrícolas. A classificação e descrição do cargo/setor inclui informações gerais sobre a posição, de acordo com o ONET/OES e o Sistema de Classificação Industrial da América do Norte. Consulte as Funções e a Ordem de Serviço para obter mais informações. Requisitos do Cargo Experiência Necessária: Sim Meses de Experiência Necessários: 3 Requisitos Especiais: Os candidatos devem ter no mínimo três (3) meses de experiência profissional em processamento de frutos do mar ou ambientes similares. Não é necessário nível de escolaridade formal. Os trabalhadores devem ser capazes de desempenhar suas funções em pé por longos períodos em um ambiente interno frio e úmido de processamento de frutos do mar e realizar tarefas manuais repetitivas. Os trabalhadores devem estar dispostos a trabalhar em turnos rotativos, incluindo turnos de segunda a sexta-feira, das 6h às 14h, das 14h às 22h ou das 22h às 22h. O horário de trabalho é das 6h às 6h, e aos sábados, das 6h às 11h, das 11h às 16h ou das 16h às 21h. Esta é uma vaga temporária, em tempo integral, com uma média de 40 horas semanais. Não há possibilidade de horas extras. Número de horas por semana: 40. Horário de trabalho (início/término): 14h às 22h.</v>
      </c>
    </row>
    <row r="1655" ht="20.25" customHeight="1">
      <c r="A1655" s="8" t="s">
        <v>7412</v>
      </c>
      <c r="B1655" s="8" t="s">
        <v>7413</v>
      </c>
      <c r="C1655" s="8" t="s">
        <v>17</v>
      </c>
      <c r="D1655" s="8" t="s">
        <v>663</v>
      </c>
      <c r="E1655" s="9" t="s">
        <v>19</v>
      </c>
      <c r="F1655" s="9" t="s">
        <v>20</v>
      </c>
      <c r="G1655" s="9" t="s">
        <v>377</v>
      </c>
      <c r="H1655" s="8" t="s">
        <v>7414</v>
      </c>
      <c r="I1655" s="8"/>
      <c r="J1655" s="9">
        <v>21.94</v>
      </c>
      <c r="K1655" s="9">
        <v>60.0</v>
      </c>
      <c r="L1655" s="8" t="s">
        <v>7415</v>
      </c>
      <c r="M1655" s="8" t="s">
        <v>7416</v>
      </c>
      <c r="N1655" s="7" t="str">
        <f>IFERROR(__xludf.DUMMYFUNCTION("GOOGLETRANSLATE(L1655, ""en"", ""pt"")"),"Atendentes")</f>
        <v>Atendentes</v>
      </c>
      <c r="O1655" s="7" t="str">
        <f>IFERROR(__xludf.DUMMYFUNCTION("IF(M1655="""","""",GOOGLETRANSLATE(M1655,""en"",""pt""))"),"***2ª resposta à RFI*** Algodão-doce: O operador opera uma máquina de algodão-doce utilizando açúcar granulado como ingrediente principal. O açúcar é colocado na cabeça giratória aquecida, onde se dissolve e forma fios finos. O algodão-doce pronto é então"&amp;" colocado em sacos e pendurado em um expositor designado. Cachorro-quente de milho: Uma massa de milho é preparada combinando farinha de milho com água, de acordo com as especificações do fabricante. As salsichas são imersas individualmente na massa prepa"&amp;"rada e fritas em uma fritadeira industrial até que a cobertura atinja a cor e a textura desejadas. Funil de bolo: A massa do funil de bolo é preparada misturando uma mistura comercial para funil de bolo com água até atingir a consistência adequada. A mass"&amp;"a misturada é então despejada em uma fritadeira para cozinhar até dourar. Nachos: Os chips de tortilla são colocados em um recipiente aquecido para manter a temperatura. O molho de queijo é mantido em um recipiente aquecido separado. Os chips são colocado"&amp;"s em uma bandeja de servir e o molho de queijo quente é distribuído sobre os chips usando uma bisnaga. Maçãs caramelizadas: O produto caramelizado é aquecido em um aparelho de aquecimento industrial. Maçãs frescas são mergulhadas individualmente em carame"&amp;"lo morno e giradas para garantir a cobertura completa. Os produtos finalizados são colocados em bandejas para esfriar. Pipoca: Os grãos de pipoca são colocados em uma máquina de pipoca comercial. Os grãos são aquecidos até estourarem completamente e o pro"&amp;"duto final é despejado em recipientes para servir. Água engarrafada e refrigerantes são armazenados e mantidos em refrigeradores comerciais em temperaturas adequadas. Raspadinhas: O gelo é produzido usando uma máquina de gelo raspado comercial, distribuíd"&amp;"o em copos e coberto com sabor líquido. Limonada: O concentrado de limonada é misturado com água em uma jarra e servido com gelo. ***1ª resposta à RFI*** Os funcionários vendem e servem alimentos e bebidas em barracas de concessão temporárias durante o fu"&amp;"ncionamento do parque de diversões. As funções incluem: receber pedidos de clientes, lidar com dinheiro e pagamentos eletrônicos, servir bebidas, servir alimentos pré-preparados ou de concessão aos clientes, embalar alimentos para compra, reabastecer prod"&amp;"utos alimentícios, bebidas, condimentos e suprimentos, manter a limpeza das áreas de serviço de concessão e seguir os procedimentos de manipulação e higienização de alimentos. As ferramentas, equipamentos e materiais utilizados para realizar as tarefas sã"&amp;"o: caixas registradoras e sistemas de ponto de venda, terminais de cartão de crédito, gavetas de dinheiro, dispensadores de bebidas, utensílios para servir alimentos, materiais de embalagem, equipamentos de refrigeração, produtos alimentícios e bebidas, e"&amp;" suprimentos de limpeza e higienização. Os funcionários podem realizar o preparo limitado de itens padrão de concessões de parques de diversões, utilizando procedimentos e equipamentos estabelecidos. Qualquer preparo é incidental à função principal de ate"&amp;"nder os clientes e vender alimentos e bebidas. Os funcionários realizam atividades rotineiras de limpeza associadas às operações diárias do parque de diversões. As tarefas incluem: recolher lixo e detritos, varrer calçadas e áreas de brinquedos, esvaziar "&amp;"lixeiras, limpar superfícies de brinquedos, barracas de jogos e balcões de concessões, limpar derramamentos, manter as áreas de trabalho e de clientes organizadas e auxiliar nas atividades de limpeza de abertura e fechamento. As ferramentas, equipamentos "&amp;"e materiais utilizados para realizar as tarefas são: vassouras, pás de lixo, esfregões, baldes, sacos de lixo, panos de limpeza, soluções básicas de limpeza, produtos de papel e equipamentos de proteção individual. Essas tarefas de limpeza são rotineiras "&amp;"e inerentes às operações do parque de diversões e são realizadas para manter um ambiente limpo e seguro para clientes e funcionários. ***Original*** Executar diversas tarefas de atendimento em instalações/parque de diversões. Operar concessões e brinquedo"&amp;"s. Pode orientar os clientes até os brinquedos, assentos ou atrações. Atender nas barracas de diversão do parque, realizando tarefas como conduzir jogos, fotografar os clientes ou entregar prêmios. Vender e servir bebidas e lanches aos clientes. Pode limp"&amp;"ar brinquedos, barracas, instalações ou áreas externas do parque. Classificação do Cargo: 35-2019.00 - Cozinheiros, Outros. A classificação e descrição do cargo/setor inclui informações gerais sobre a posição, de acordo com o ONET/OES e o Sistema de Class"&amp;"ificação Industrial da América do Norte. Consulte as Funções e a Ordem de Serviço para obter mais informações. Requisitos do Cargo Experiência Necessária: Não. Requisitos Especiais: Trabalho aos sábados e domingos, quando necessário. Teste antidrogas pós-"&amp;"contratação obrigatório para trabalhadores estrangeiros e nacionais em caso de suspeita de uso. O horário de trabalho diário exato varia de acordo com o dia e o dia de trabalho varia de acordo com a semana, incluindo sábados e domingos. O horário de traba"&amp;"lho poderá variar dependendo da equipe, das metas de produção e de outros fatores a serem avaliados diariamente. O empregador poderá oferecer uma jornada de trabalho superior à estipulada, dependendo das condições climáticas, das necessidades da empresa e"&amp;" de outras circunstâncias. Calor extremo, frio intenso, chuva ou seca podem afetar o horário de trabalho exato. O empregador está isento do pagamento de horas extras, conforme a Seção 13(a)(3) da Lei de Normas Justas de Trabalho (FLSA) para Estabeleciment"&amp;"os Sazonais de Diversão e Recreação. Número de horas por semana: 40. Horário de trabalho (início/término): 15h00 - 23h00.")</f>
        <v>***2ª resposta à RFI*** Algodão-doce: O operador opera uma máquina de algodão-doce utilizando açúcar granulado como ingrediente principal. O açúcar é colocado na cabeça giratória aquecida, onde se dissolve e forma fios finos. O algodão-doce pronto é então colocado em sacos e pendurado em um expositor designado. Cachorro-quente de milho: Uma massa de milho é preparada combinando farinha de milho com água, de acordo com as especificações do fabricante. As salsichas são imersas individualmente na massa preparada e fritas em uma fritadeira industrial até que a cobertura atinja a cor e a textura desejadas. Funil de bolo: A massa do funil de bolo é preparada misturando uma mistura comercial para funil de bolo com água até atingir a consistência adequada. A massa misturada é então despejada em uma fritadeira para cozinhar até dourar. Nachos: Os chips de tortilla são colocados em um recipiente aquecido para manter a temperatura. O molho de queijo é mantido em um recipiente aquecido separado. Os chips são colocados em uma bandeja de servir e o molho de queijo quente é distribuído sobre os chips usando uma bisnaga. Maçãs caramelizadas: O produto caramelizado é aquecido em um aparelho de aquecimento industrial. Maçãs frescas são mergulhadas individualmente em caramelo morno e giradas para garantir a cobertura completa. Os produtos finalizados são colocados em bandejas para esfriar. Pipoca: Os grãos de pipoca são colocados em uma máquina de pipoca comercial. Os grãos são aquecidos até estourarem completamente e o produto final é despejado em recipientes para servir. Água engarrafada e refrigerantes são armazenados e mantidos em refrigeradores comerciais em temperaturas adequadas. Raspadinhas: O gelo é produzido usando uma máquina de gelo raspado comercial, distribuído em copos e coberto com sabor líquido. Limonada: O concentrado de limonada é misturado com água em uma jarra e servido com gelo. ***1ª resposta à RFI*** Os funcionários vendem e servem alimentos e bebidas em barracas de concessão temporárias durante o funcionamento do parque de diversões. As funções incluem: receber pedidos de clientes, lidar com dinheiro e pagamentos eletrônicos, servir bebidas, servir alimentos pré-preparados ou de concessão aos clientes, embalar alimentos para compra, reabastecer produtos alimentícios, bebidas, condimentos e suprimentos, manter a limpeza das áreas de serviço de concessão e seguir os procedimentos de manipulação e higienização de alimentos. As ferramentas, equipamentos e materiais utilizados para realizar as tarefas são: caixas registradoras e sistemas de ponto de venda, terminais de cartão de crédito, gavetas de dinheiro, dispensadores de bebidas, utensílios para servir alimentos, materiais de embalagem, equipamentos de refrigeração, produtos alimentícios e bebidas, e suprimentos de limpeza e higienização. Os funcionários podem realizar o preparo limitado de itens padrão de concessões de parques de diversões, utilizando procedimentos e equipamentos estabelecidos. Qualquer preparo é incidental à função principal de atender os clientes e vender alimentos e bebidas. Os funcionários realizam atividades rotineiras de limpeza associadas às operações diárias do parque de diversões. As tarefas incluem: recolher lixo e detritos, varrer calçadas e áreas de brinquedos, esvaziar lixeiras, limpar superfícies de brinquedos, barracas de jogos e balcões de concessões, limpar derramamentos, manter as áreas de trabalho e de clientes organizadas e auxiliar nas atividades de limpeza de abertura e fechamento. As ferramentas, equipamentos e materiais utilizados para realizar as tarefas são: vassouras, pás de lixo, esfregões, baldes, sacos de lixo, panos de limpeza, soluções básicas de limpeza, produtos de papel e equipamentos de proteção individual. Essas tarefas de limpeza são rotineiras e inerentes às operações do parque de diversões e são realizadas para manter um ambiente limpo e seguro para clientes e funcionários. ***Original*** Executar diversas tarefas de atendimento em instalações/parque de diversões. Operar concessões e brinquedos. Pode orientar os clientes até os brinquedos, assentos ou atrações. Atender nas barracas de diversão do parque, realizando tarefas como conduzir jogos, fotografar os clientes ou entregar prêmios. Vender e servir bebidas e lanches aos clientes. Pode limpar brinquedos, barracas, instalações ou áreas externas do parque. Classificação do Cargo: 35-2019.00 - Cozinheiros, Outros. A classificação e descrição do cargo/setor inclui informações gerais sobre a posição, de acordo com o ONET/OES e o Sistema de Classificação Industrial da América do Norte. Consulte as Funções e a Ordem de Serviço para obter mais informações. Requisitos do Cargo Experiência Necessária: Não. Requisitos Especiais: Trabalho aos sábados e domingos, quando necessário. Teste antidrogas pós-contratação obrigatório para trabalhadores estrangeiros e nacionais em caso de suspeita de uso. O horário de trabalho diário exato varia de acordo com o dia e o dia de trabalho varia de acordo com a semana, incluindo sábados e domingos. O horário de trabalho poderá variar dependendo da equipe, das metas de produção e de outros fatores a serem avaliados diariamente. O empregador poderá oferecer uma jornada de trabalho superior à estipulada, dependendo das condições climáticas, das necessidades da empresa e de outras circunstâncias. Calor extremo, frio intenso, chuva ou seca podem afetar o horário de trabalho exato. O empregador está isento do pagamento de horas extras, conforme a Seção 13(a)(3) da Lei de Normas Justas de Trabalho (FLSA) para Estabelecimentos Sazonais de Diversão e Recreação. Número de horas por semana: 40. Horário de trabalho (início/término): 15h00 - 23h00.</v>
      </c>
    </row>
    <row r="1656" ht="20.25" customHeight="1">
      <c r="A1656" s="3" t="s">
        <v>7417</v>
      </c>
      <c r="B1656" s="3" t="s">
        <v>7418</v>
      </c>
      <c r="C1656" s="3" t="s">
        <v>5563</v>
      </c>
      <c r="D1656" s="3" t="s">
        <v>284</v>
      </c>
      <c r="E1656" s="4" t="s">
        <v>19</v>
      </c>
      <c r="F1656" s="4" t="s">
        <v>20</v>
      </c>
      <c r="G1656" s="4" t="s">
        <v>80</v>
      </c>
      <c r="H1656" s="3" t="s">
        <v>7419</v>
      </c>
      <c r="I1656" s="3" t="s">
        <v>7420</v>
      </c>
      <c r="J1656" s="4">
        <v>12.87</v>
      </c>
      <c r="K1656" s="4">
        <v>80.0</v>
      </c>
      <c r="L1656" s="3" t="s">
        <v>7421</v>
      </c>
      <c r="M1656" s="3" t="s">
        <v>7422</v>
      </c>
      <c r="N1656" s="7" t="str">
        <f>IFERROR(__xludf.DUMMYFUNCTION("GOOGLETRANSLATE(L1656, ""en"", ""pt"")"),"Processador de mariscos")</f>
        <v>Processador de mariscos</v>
      </c>
      <c r="O1656" s="7" t="str">
        <f>IFERROR(__xludf.DUMMYFUNCTION("IF(M1656="""","""",GOOGLETRANSLATE(M1656,""en"",""pt""))"),"Os trabalhadores com visto H-2B não se envolvem na coleta de sacos de ostras. Na maioria das vezes, eles aguardam que as ostras sejam trazidas para o local de abertura. Ocasionalmente, podem retirar o produto fresco dos sacos já colocados na área de abert"&amp;"ura, utilizando uma caixa ou balde. Os trabalhadores usam ferramentas manuais para abrir as ostras e os EPIs necessários, como capas de chuva e luvas. Podem utilizar carrinhos de mão. Os trabalhadores limpam seu local de trabalho com água e sabão para rem"&amp;"over conchas, lama, etc. Podem usar baldes, vassouras e rodos. Suas funções incluem obter e distribuir o produto; usar uma faca para cortar a ostra da concha; descartar a concha; inspecionar a carne em busca de imperfeições e removê-las/descartá-las; sepa"&amp;"rar a carne processada por tamanho e qualidade e colocar as ostras em recipientes; auxiliar na limpeza dos locais de trabalho ao final do turno. Pode haver pagamento por produção; o valor será determinado com base na tabela salarial. Não é necessária expe"&amp;"riência/educação. Treinamento de 3 dias no local de trabalho fornecido. Consulte o adendo em anexo. Classificação do Cargo: 51-3022.00 - Cortadores e Aparadores de Carne, Aves e Peixes. A classificação e descrição do cargo/setor inclui informações gerais "&amp;"sobre a posição, de acordo com o ONET/OES e o Sistema de Classificação Industrial da América do Norte (NAICS). Consulte as Funções e a Ordem de Serviço para obter mais informações. Requisitos do Cargo: Experiência Necessária: Não. Requisitos Especiais: Le"&amp;"vantar/carregar até 16 kg. O exame toxicológico pós-acidente será pago pelo empregador. O empregador poderá realizar verificações legais relacionadas ao trabalho, incluindo consultas sobre antecedentes criminais, quando permitido pelas leis federais, esta"&amp;"duais e locais aplicáveis. Qualquer análise de antecedentes criminais será feita individualmente e as decisões de emprego serão tomadas de forma não discriminatória, em conformidade com as leis aplicáveis ​​e as necessidades da empresa. Não são permitidas"&amp;" doenças infecciosas; alergias a frutos do mar podem ser fatais. Número de Horas por Semana: 36. Horário de Trabalho (Início/Término): 4h00 - 22h30.")</f>
        <v>Os trabalhadores com visto H-2B não se envolvem na coleta de sacos de ostras. Na maioria das vezes, eles aguardam que as ostras sejam trazidas para o local de abertura. Ocasionalmente, podem retirar o produto fresco dos sacos já colocados na área de abertura, utilizando uma caixa ou balde. Os trabalhadores usam ferramentas manuais para abrir as ostras e os EPIs necessários, como capas de chuva e luvas. Podem utilizar carrinhos de mão. Os trabalhadores limpam seu local de trabalho com água e sabão para remover conchas, lama, etc. Podem usar baldes, vassouras e rodos. Suas funções incluem obter e distribuir o produto; usar uma faca para cortar a ostra da concha; descartar a concha; inspecionar a carne em busca de imperfeições e removê-las/descartá-las; separar a carne processada por tamanho e qualidade e colocar as ostras em recipientes; auxiliar na limpeza dos locais de trabalho ao final do turno. Pode haver pagamento por produção; o valor será determinado com base na tabela salarial. Não é necessária experiência/educação. Treinamento de 3 dias no local de trabalho fornecido. Consulte o adendo em anexo. Classificação do Cargo: 51-3022.00 - Cortadores e Aparadores de Carne, Aves e Peixes. A classificação e descrição do cargo/setor inclui informações gerais sobre a posição, de acordo com o ONET/OES e o Sistema de Classificação Industrial da América do Norte (NAICS). Consulte as Funções e a Ordem de Serviço para obter mais informações. Requisitos do Cargo: Experiência Necessária: Não. Requisitos Especiais: Levantar/carregar até 16 kg. O exame toxicológico pós-acidente será pago pelo empregador. O empregador poderá realizar verificações legais relacionadas ao trabalho, incluindo consultas sobre antecedentes criminais, quando permitido pelas leis federais, estaduais e locais aplicáveis. Qualquer análise de antecedentes criminais será feita individualmente e as decisões de emprego serão tomadas de forma não discriminatória, em conformidade com as leis aplicáveis ​​e as necessidades da empresa. Não são permitidas doenças infecciosas; alergias a frutos do mar podem ser fatais. Número de Horas por Semana: 36. Horário de Trabalho (Início/Término): 4h00 - 22h30.</v>
      </c>
    </row>
    <row r="1657" ht="20.25" customHeight="1">
      <c r="A1657" s="8" t="s">
        <v>7423</v>
      </c>
      <c r="B1657" s="8" t="s">
        <v>7424</v>
      </c>
      <c r="C1657" s="8"/>
      <c r="D1657" s="8" t="s">
        <v>64</v>
      </c>
      <c r="E1657" s="9" t="s">
        <v>19</v>
      </c>
      <c r="F1657" s="9" t="s">
        <v>20</v>
      </c>
      <c r="G1657" s="9" t="s">
        <v>377</v>
      </c>
      <c r="H1657" s="8" t="s">
        <v>7425</v>
      </c>
      <c r="I1657" s="8" t="s">
        <v>7426</v>
      </c>
      <c r="J1657" s="9">
        <v>19.73</v>
      </c>
      <c r="K1657" s="9">
        <v>20.0</v>
      </c>
      <c r="L1657" s="8" t="s">
        <v>7427</v>
      </c>
      <c r="M1657" s="8" t="s">
        <v>7428</v>
      </c>
      <c r="N1657" s="7" t="str">
        <f>IFERROR(__xludf.DUMMYFUNCTION("GOOGLETRANSLATE(L1657, ""en"", ""pt"")"),"Escultor em pedra")</f>
        <v>Escultor em pedra</v>
      </c>
      <c r="O1657" s="7" t="str">
        <f>IFERROR(__xludf.DUMMYFUNCTION("IF(M1657="""","""",GOOGLETRANSLATE(M1657,""en"",""pt""))"),"Esculpir à mão pedra em elementos arquitetônicos detalhados, como colunas, fontes, pavimentos, bancos, lareiras, estatuetas e outros produtos, utilizando cinzéis e martelos. Classificação da função: 51-9195.03 - Cortadores e Escultores de Pedra, Manufatur"&amp;"a. A classificação e descrição da função/indústria incluem informações gerais sobre o cargo, de acordo com o ONET/OES e o Sistema de Classificação Industrial da América do Norte (NAICS). Consulte as Funções e a Ordem de Serviço para obter mais informações"&amp;". Requisitos da vaga: Experiência necessária: Sim. Meses de experiência necessários: 6. Requisitos especiais: Conhecimento no uso de cinzel e martelo. Número de horas por semana: 40. Horário de trabalho (início/término): 8h às 17h.")</f>
        <v>Esculpir à mão pedra em elementos arquitetônicos detalhados, como colunas, fontes, pavimentos, bancos, lareiras, estatuetas e outros produtos, utilizando cinzéis e martelos. Classificação da função: 51-9195.03 - Cortadores e Escultores de Pedra, Manufatura. A classificação e descrição da função/indústria incluem informações gerais sobre o cargo, de acordo com o ONET/OES e o Sistema de Classificação Industrial da América do Norte (NAICS). Consulte as Funções e a Ordem de Serviço para obter mais informações. Requisitos da vaga: Experiência necessária: Sim. Meses de experiência necessários: 6. Requisitos especiais: Conhecimento no uso de cinzel e martelo. Número de horas por semana: 40. Horário de trabalho (início/término): 8h às 17h.</v>
      </c>
    </row>
    <row r="1658" ht="20.25" customHeight="1">
      <c r="A1658" s="3" t="s">
        <v>7429</v>
      </c>
      <c r="B1658" s="3" t="s">
        <v>7430</v>
      </c>
      <c r="C1658" s="3" t="s">
        <v>7431</v>
      </c>
      <c r="D1658" s="3" t="s">
        <v>71</v>
      </c>
      <c r="E1658" s="4" t="s">
        <v>19</v>
      </c>
      <c r="F1658" s="4" t="s">
        <v>20</v>
      </c>
      <c r="G1658" s="4" t="s">
        <v>524</v>
      </c>
      <c r="H1658" s="3" t="s">
        <v>7432</v>
      </c>
      <c r="I1658" s="3" t="s">
        <v>7433</v>
      </c>
      <c r="J1658" s="4">
        <v>16.71</v>
      </c>
      <c r="K1658" s="4">
        <v>4.0</v>
      </c>
      <c r="L1658" s="3" t="s">
        <v>7434</v>
      </c>
      <c r="M1658" s="3" t="s">
        <v>7435</v>
      </c>
      <c r="N1658" s="7" t="str">
        <f>IFERROR(__xludf.DUMMYFUNCTION("GOOGLETRANSLATE(L1658, ""en"", ""pt"")"),"Trabalhador da pesca")</f>
        <v>Trabalhador da pesca</v>
      </c>
      <c r="O1658" s="7" t="str">
        <f>IFERROR(__xludf.DUMMYFUNCTION("IF(M1658="""","""",GOOGLETRANSLATE(M1658,""en"",""pt""))"),"Lançar, recolher e recolocar armadilhas para lagostas e caranguejos-pedra em áreas de pesca oceânica designadas, utilizando equipamentos da embarcação e trabalho manual. Retirar a captura das armadilhas e medir para garantir a conformidade com os requisit"&amp;"os legais de tamanho. Conectar acessórios como flutuadores, pesos, cordas e bóias às armadilhas e linhas. Carregar e descarregar armadilhas e a captura manualmente ou utilizando equipamentos de içamento. Separar, embalar e armazenar a captura a bordo da e"&amp;"mbarcação utilizando gelo e procedimentos adequados de manuseio. Lavar e limpar os conveses e equipamentos da embarcação utilizando escovas, detergentes e água. Auxiliar no monitoramento de equipamentos de navegação e de localização de peixes durante as o"&amp;"perações em alto mar. As funções são desempenhadas a bordo de uma embarcação de pesca comercial durante as operações em alto mar. As funções em terra limitam-se ao carregamento e descarregamento no cais e à preparação da embarcação entre viagens. Classifi"&amp;"cação da Função: 45-3031.00 - Trabalhadores da Pesca e Caça. A classificação e descrição da função/setor inclui informações gerais sobre o cargo, provenientes do ONET/OES e do Sistema de Classificação Industrial da América do Norte. Consulte as Funções e "&amp;"a Ordem de Serviço para obter mais informações. Requisitos da Vaga Experiência Necessária: Sim Meses de Experiência Necessários: 12 Requisitos Especiais: Não é necessário escolaridade. Mínimo de 12 meses de experiência em pesca comercial. Permanecer em pé"&amp;" durante todo o turno. Utilização de: Equipamentos de manuseio de armadilhas e pesca, como guincho hidráulico, armadilhas para lagosta e caranguejo-pedra, contêineres de gelo, escovas de convés e instrumentos de navegação. Conhecimento básico de inglês. D"&amp;"eve ser capaz de levantar e carregar pesos suficientes para movimentar armadilhas, capturas e equipamentos de pesca necessários para a execução das tarefas designadas. Deve ser capaz de manusear equipamentos tanto no nível do convés quanto na altura dos c"&amp;"abos suspensos. As funções são desempenhadas principalmente a bordo de uma embarcação de pesca comercial. Permanecer em pé durante todo o turno. 40 horas por semana, 5 dias por semana. O horário típico é de segunda a sexta-feira, das 4h às 14h. O horário "&amp;"pode variar e incluir noites, fins de semana ou feriados, conforme necessário. O empregador se baseará nas declarações e observações do próprio trabalhador para avaliar se ele atende aos requisitos de levantamento de peso, permanência em pé e outras capac"&amp;"idades físicas descritas aqui. Número de horas por semana: 40 Horário de trabalho (início/término): 4h00 - 14h00")</f>
        <v>Lançar, recolher e recolocar armadilhas para lagostas e caranguejos-pedra em áreas de pesca oceânica designadas, utilizando equipamentos da embarcação e trabalho manual. Retirar a captura das armadilhas e medir para garantir a conformidade com os requisitos legais de tamanho. Conectar acessórios como flutuadores, pesos, cordas e bóias às armadilhas e linhas. Carregar e descarregar armadilhas e a captura manualmente ou utilizando equipamentos de içamento. Separar, embalar e armazenar a captura a bordo da embarcação utilizando gelo e procedimentos adequados de manuseio. Lavar e limpar os conveses e equipamentos da embarcação utilizando escovas, detergentes e água. Auxiliar no monitoramento de equipamentos de navegação e de localização de peixes durante as operações em alto mar. As funções são desempenhadas a bordo de uma embarcação de pesca comercial durante as operações em alto mar. As funções em terra limitam-se ao carregamento e descarregamento no cais e à preparação da embarcação entre viagens. Classificação da Função: 45-3031.00 - Trabalhadores da Pesca e Caça. A classificação e descrição da função/setor inclui informações gerais sobre o cargo, provenientes do ONET/OES e do Sistema de Classificação Industrial da América do Norte. Consulte as Funções e a Ordem de Serviço para obter mais informações. Requisitos da Vaga Experiência Necessária: Sim Meses de Experiência Necessários: 12 Requisitos Especiais: Não é necessário escolaridade. Mínimo de 12 meses de experiência em pesca comercial. Permanecer em pé durante todo o turno. Utilização de: Equipamentos de manuseio de armadilhas e pesca, como guincho hidráulico, armadilhas para lagosta e caranguejo-pedra, contêineres de gelo, escovas de convés e instrumentos de navegação. Conhecimento básico de inglês. Deve ser capaz de levantar e carregar pesos suficientes para movimentar armadilhas, capturas e equipamentos de pesca necessários para a execução das tarefas designadas. Deve ser capaz de manusear equipamentos tanto no nível do convés quanto na altura dos cabos suspensos. As funções são desempenhadas principalmente a bordo de uma embarcação de pesca comercial. Permanecer em pé durante todo o turno. 40 horas por semana, 5 dias por semana. O horário típico é de segunda a sexta-feira, das 4h às 14h. O horário pode variar e incluir noites, fins de semana ou feriados, conforme necessário. O empregador se baseará nas declarações e observações do próprio trabalhador para avaliar se ele atende aos requisitos de levantamento de peso, permanência em pé e outras capacidades físicas descritas aqui. Número de horas por semana: 40 Horário de trabalho (início/término): 4h00 - 14h00</v>
      </c>
    </row>
    <row r="1659" ht="20.25" customHeight="1">
      <c r="A1659" s="8" t="s">
        <v>7436</v>
      </c>
      <c r="B1659" s="8" t="s">
        <v>7220</v>
      </c>
      <c r="C1659" s="8" t="s">
        <v>6921</v>
      </c>
      <c r="D1659" s="8" t="s">
        <v>71</v>
      </c>
      <c r="E1659" s="9" t="s">
        <v>19</v>
      </c>
      <c r="F1659" s="9" t="s">
        <v>20</v>
      </c>
      <c r="G1659" s="9" t="s">
        <v>7221</v>
      </c>
      <c r="H1659" s="8" t="s">
        <v>7222</v>
      </c>
      <c r="I1659" s="8" t="s">
        <v>7223</v>
      </c>
      <c r="J1659" s="9">
        <v>14.92</v>
      </c>
      <c r="K1659" s="9">
        <v>7.0</v>
      </c>
      <c r="L1659" s="8" t="s">
        <v>527</v>
      </c>
      <c r="M1659" s="8" t="s">
        <v>7437</v>
      </c>
      <c r="N1659" s="7" t="str">
        <f>IFERROR(__xludf.DUMMYFUNCTION("GOOGLETRANSLATE(L1659, ""en"", ""pt"")"),"máquina de lavar louça")</f>
        <v>máquina de lavar louça</v>
      </c>
      <c r="O1659" s="7" t="str">
        <f>IFERROR(__xludf.DUMMYFUNCTION("IF(M1659="""","""",GOOGLETRANSLATE(M1659,""en"",""pt""))"),"O(A) Auxiliar de Cozinha é responsável por lavar e higienizar panelas, frigideiras e outros utensílios/equipamentos de cozinha de acordo com as especificações e padrões do hotel. Limpar e manter os equipamentos e as áreas de lavagem de panelas/cozinha/ref"&amp;"eitório/compactador/armazenamento. Auxiliar na lavagem de utensílios operando a máquina de lavar louça. Executar outros projetos especiais de limpeza conforme designado. O objetivo do(a) Auxiliar de Cozinha é garantir que o nível de serviço prestado ao hó"&amp;"spede seja altamente personalizado e que cada hóspede sinta que seu conforto e conveniência são as principais preocupações do The Gasparilla Inn &amp; Club. Os(As) Auxiliares de Cozinha podem precisar levantar e carregar até 23 kg. Classificação do Cargo: 35-"&amp;"9021.00 - Auxiliares de Cozinha. A classificação e descrição do cargo/setor inclui informações gerais sobre a posição de acordo com o ONET/OES e o Sistema de Classificação Industrial da América do Norte. Consulte as Funções e a Ordem de Serviço para obter"&amp;" mais informações. Requisitos do Cargo: Experiência Necessária: Não. Requisitos Especiais: Deve possuir ou ser capaz de obter a Certificação Service Safe. Requisitos Especiais para a Vaga: Indivíduos que não trabalharam para a empresa nos últimos 90 dias "&amp;"antes da data de início do novo emprego devem passar por verificação de antecedentes e exame toxicológico pré-admissional. Os auxiliares de cozinha devem ser capazes de levantar e carregar até 23 kg. É necessário possuir ou obter a certificação ServSafe. "&amp;"É obrigatório concluir os treinamentos sobre Tráfico Humano e Patógenos Transmitidos pelo Sangue após a contratação. Treinamento no local de trabalho será fornecido. Dias e Turnos: Os seguintes turnos estão disponíveis 7 dias por semana, incluindo fins de"&amp;" semana e feriados. Horário de trabalho: 7h às 14h / 9h às 16h / 15h às 22h. Os horários dos turnos podem variar de acordo com a época do ano, a disponibilidade de luz e a necessidade. Salário por hora: De US$ 14,92 a US$ 18,50 por hora (com base no mérit"&amp;"o e experiência anterior na empresa). Possibilidade de Horas Extras: Horas extras podem estar disponíveis com pagamento de US$ 22,38 a US$ 27,75 por hora. Os funcionários podem ser elegíveis para receber uma remuneração adicional na forma de um bônus disc"&amp;"ricionário de fim de temporada, bem como taxas de serviço para pedidos para viagem. Benefícios: Refeições gratuitas para funcionários, 5 uniformes gratuitos, transporte gratuito para compras semanais, passe GIBA gratuito para residentes fora da ilha, esta"&amp;"cionamento gratuito. Número de horas por semana: 35. Horário de trabalho (início/término): 7h às 14h.")</f>
        <v>O(A) Auxiliar de Cozinha é responsável por lavar e higienizar panelas, frigideiras e outros utensílios/equipamentos de cozinha de acordo com as especificações e padrões do hotel. Limpar e manter os equipamentos e as áreas de lavagem de panelas/cozinha/refeitório/compactador/armazenamento. Auxiliar na lavagem de utensílios operando a máquina de lavar louça. Executar outros projetos especiais de limpeza conforme designado. O objetivo do(a) Auxiliar de Cozinha é garantir que o nível de serviço prestado ao hóspede seja altamente personalizado e que cada hóspede sinta que seu conforto e conveniência são as principais preocupações do The Gasparilla Inn &amp; Club. Os(As) Auxiliares de Cozinha podem precisar levantar e carregar até 23 kg. Classificação do Cargo: 35-9021.00 - Auxiliares de Cozinha. A classificação e descrição do cargo/setor inclui informações gerais sobre a posição de acordo com o ONET/OES e o Sistema de Classificação Industrial da América do Norte. Consulte as Funções e a Ordem de Serviço para obter mais informações. Requisitos do Cargo: Experiência Necessária: Não. Requisitos Especiais: Deve possuir ou ser capaz de obter a Certificação Service Safe. Requisitos Especiais para a Vaga: Indivíduos que não trabalharam para a empresa nos últimos 90 dias antes da data de início do novo emprego devem passar por verificação de antecedentes e exame toxicológico pré-admissional. Os auxiliares de cozinha devem ser capazes de levantar e carregar até 23 kg. É necessário possuir ou obter a certificação ServSafe. É obrigatório concluir os treinamentos sobre Tráfico Humano e Patógenos Transmitidos pelo Sangue após a contratação. Treinamento no local de trabalho será fornecido. Dias e Turnos: Os seguintes turnos estão disponíveis 7 dias por semana, incluindo fins de semana e feriados. Horário de trabalho: 7h às 14h / 9h às 16h / 15h às 22h. Os horários dos turnos podem variar de acordo com a época do ano, a disponibilidade de luz e a necessidade. Salário por hora: De US$ 14,92 a US$ 18,50 por hora (com base no mérito e experiência anterior na empresa). Possibilidade de Horas Extras: Horas extras podem estar disponíveis com pagamento de US$ 22,38 a US$ 27,75 por hora. Os funcionários podem ser elegíveis para receber uma remuneração adicional na forma de um bônus discricionário de fim de temporada, bem como taxas de serviço para pedidos para viagem. Benefícios: Refeições gratuitas para funcionários, 5 uniformes gratuitos, transporte gratuito para compras semanais, passe GIBA gratuito para residentes fora da ilha, estacionamento gratuito. Número de horas por semana: 35. Horário de trabalho (início/término): 7h às 14h.</v>
      </c>
    </row>
    <row r="1660" ht="20.25" customHeight="1">
      <c r="A1660" s="3" t="s">
        <v>7438</v>
      </c>
      <c r="B1660" s="3" t="s">
        <v>7220</v>
      </c>
      <c r="C1660" s="3" t="s">
        <v>6921</v>
      </c>
      <c r="D1660" s="3" t="s">
        <v>71</v>
      </c>
      <c r="E1660" s="4" t="s">
        <v>19</v>
      </c>
      <c r="F1660" s="4" t="s">
        <v>20</v>
      </c>
      <c r="G1660" s="4" t="s">
        <v>7221</v>
      </c>
      <c r="H1660" s="3" t="s">
        <v>7222</v>
      </c>
      <c r="I1660" s="3" t="s">
        <v>7223</v>
      </c>
      <c r="J1660" s="4">
        <v>18.0</v>
      </c>
      <c r="K1660" s="4">
        <v>6.0</v>
      </c>
      <c r="L1660" s="3" t="s">
        <v>7439</v>
      </c>
      <c r="M1660" s="3" t="s">
        <v>7440</v>
      </c>
      <c r="N1660" s="7" t="str">
        <f>IFERROR(__xludf.DUMMYFUNCTION("GOOGLETRANSLATE(L1660, ""en"", ""pt"")"),"Atendente de recepção")</f>
        <v>Atendente de recepção</v>
      </c>
      <c r="O1660" s="7" t="str">
        <f>IFERROR(__xludf.DUMMYFUNCTION("IF(M1660="""","""",GOOGLETRANSLATE(M1660,""en"",""pt""))"),"Os atendentes da recepção serão responsáveis ​​por operar o telefone de maneira educada e amigável, seguindo a etiqueta telefônica adequada, recepcionar membros e hóspedes, auxiliar com reservas e bagagens, distribuir informações e horários do Inn Club e "&amp;"coletar e separar a correspondência diariamente. Os atendentes da recepção podem precisar levantar e carregar até 27 kg. Classificação do Cargo: 43-4081.00 - Recepcionistas de Hotel, Motel e Resort. A classificação e descrição do cargo/setor incluem infor"&amp;"mações gerais sobre a posição, de acordo com o ONET/OES e o Sistema de Classificação Industrial da América do Norte. Consulte as Funções e a Ordem de Serviço para obter mais informações. Requisitos do Cargo Experiência Necessária: Sim Meses de Experiência"&amp;" Necessários: 3 Requisitos Especiais: O contratante considerará para emprego qualquer pessoa que possua pelo menos três (3) meses de experiência em atendimento ao cliente em um hotel de alto padrão, resort ou clube privado. Indivíduos que não trabalharam "&amp;"para a empresa nos últimos 90 dias antes da nova data de início devem se submeter à verificação de antecedentes e exame toxicológico pré-admissional. Atendentes de recepção devem ser capazes de levantar e carregar até 27 kg. Devem saber ler, escrever e fa"&amp;"lar inglês. Devem possuir ou obter a certificação ServSafe. Devem concluir o treinamento sobre tráfico humano e patógenos transmitidos pelo sangue após a contratação. Devem possuir ou obter a certificação de RCP/Primeiros Socorros. Treinamento no local de"&amp;" trabalho fornecido. Treinamento oferecido. Dias e turnos: Os seguintes turnos estão disponíveis 7 dias por semana, incluindo fins de semana e feriados. Horário de trabalho: 7h às 15h30 / 11h às 19h30 / 15h às 23h30 / 23h às 7h30. Os horários dos turnos p"&amp;"odem variar de acordo com a época do ano, a luz do dia e a necessidade. Salário por hora: de US$ 18,00 a US$ 23,00 por hora (com base no mérito e experiência anterior na empresa). Possibilidade de horas extras: Horas extras podem estar disponíveis com pag"&amp;"amento de US$ 27 a US$ 34,50 por hora. Os funcionários podem ser elegíveis para receber uma remuneração adicional na forma de um bônus discricionário de fim de temporada, bem como taxas de serviço para pedidos para viagem. Benefícios: Refeições gratuitas "&amp;"para funcionários, 5 uniformes gratuitos, transporte gratuito para compras semanais, passe GIBA gratuito para residentes fora da ilha, estacionamento gratuito. Número de horas por semana: 35. Horário de trabalho (início/término): 7h às 15h30.")</f>
        <v>Os atendentes da recepção serão responsáveis ​​por operar o telefone de maneira educada e amigável, seguindo a etiqueta telefônica adequada, recepcionar membros e hóspedes, auxiliar com reservas e bagagens, distribuir informações e horários do Inn Club e coletar e separar a correspondência diariamente. Os atendentes da recepção podem precisar levantar e carregar até 27 kg. Classificação do Cargo: 43-4081.00 - Recepcionistas de Hotel, Motel e Resort. A classificação e descrição do cargo/setor incluem informações gerais sobre a posição, de acordo com o ONET/OES e o Sistema de Classificação Industrial da América do Norte. Consulte as Funções e a Ordem de Serviço para obter mais informações. Requisitos do Cargo Experiência Necessária: Sim Meses de Experiência Necessários: 3 Requisitos Especiais: O contratante considerará para emprego qualquer pessoa que possua pelo menos três (3) meses de experiência em atendimento ao cliente em um hotel de alto padrão, resort ou clube privado. Indivíduos que não trabalharam para a empresa nos últimos 90 dias antes da nova data de início devem se submeter à verificação de antecedentes e exame toxicológico pré-admissional. Atendentes de recepção devem ser capazes de levantar e carregar até 27 kg. Devem saber ler, escrever e falar inglês. Devem possuir ou obter a certificação ServSafe. Devem concluir o treinamento sobre tráfico humano e patógenos transmitidos pelo sangue após a contratação. Devem possuir ou obter a certificação de RCP/Primeiros Socorros. Treinamento no local de trabalho fornecido. Treinamento oferecido. Dias e turnos: Os seguintes turnos estão disponíveis 7 dias por semana, incluindo fins de semana e feriados. Horário de trabalho: 7h às 15h30 / 11h às 19h30 / 15h às 23h30 / 23h às 7h30. Os horários dos turnos podem variar de acordo com a época do ano, a luz do dia e a necessidade. Salário por hora: de US$ 18,00 a US$ 23,00 por hora (com base no mérito e experiência anterior na empresa). Possibilidade de horas extras: Horas extras podem estar disponíveis com pagamento de US$ 27 a US$ 34,50 por hora. Os funcionários podem ser elegíveis para receber uma remuneração adicional na forma de um bônus discricionário de fim de temporada, bem como taxas de serviço para pedidos para viagem. Benefícios: Refeições gratuitas para funcionários, 5 uniformes gratuitos, transporte gratuito para compras semanais, passe GIBA gratuito para residentes fora da ilha, estacionamento gratuito. Número de horas por semana: 35. Horário de trabalho (início/término): 7h às 15h30.</v>
      </c>
    </row>
    <row r="1661" ht="20.25" customHeight="1">
      <c r="A1661" s="8" t="s">
        <v>7441</v>
      </c>
      <c r="B1661" s="8" t="s">
        <v>7220</v>
      </c>
      <c r="C1661" s="8" t="s">
        <v>6921</v>
      </c>
      <c r="D1661" s="8" t="s">
        <v>71</v>
      </c>
      <c r="E1661" s="9" t="s">
        <v>19</v>
      </c>
      <c r="F1661" s="9" t="s">
        <v>20</v>
      </c>
      <c r="G1661" s="9" t="s">
        <v>7221</v>
      </c>
      <c r="H1661" s="8" t="s">
        <v>7222</v>
      </c>
      <c r="I1661" s="8" t="s">
        <v>7223</v>
      </c>
      <c r="J1661" s="9">
        <v>16.54</v>
      </c>
      <c r="K1661" s="9">
        <v>56.0</v>
      </c>
      <c r="L1661" s="8" t="s">
        <v>354</v>
      </c>
      <c r="M1661" s="8" t="s">
        <v>7442</v>
      </c>
      <c r="N1661" s="7" t="str">
        <f>IFERROR(__xludf.DUMMYFUNCTION("GOOGLETRANSLATE(L1661, ""en"", ""pt"")"),"Governanta")</f>
        <v>Governanta</v>
      </c>
      <c r="O1661" s="7" t="str">
        <f>IFERROR(__xludf.DUMMYFUNCTION("IF(M1661="""","""",GOOGLETRANSLATE(M1661,""en"",""pt""))"),"As camareiras serão responsáveis ​​pela limpeza e manutenção de todos os quartos, suítes, vilas e áreas comuns internas do Gasparilla Inn &amp; Clubs, incluindo aspirar pisos, reorganizar móveis, tirar o pó, repor roupas de cama e toalhas, desinfetar banheiro"&amp;"s, lavar janelas, arrumar camas e lavar e guardar copos e utensílios de cozinha, como talheres, pratos, panelas, etc., nas Vilas, Chalés de Praia e Casas de Campo. Transportarão as roupas de cama sujas em carrinho de golfe para a lavanderia e processarão "&amp;"todas as roupas de cama, toalhas e toalhas de mesa de acordo com os padrões do hotel. Limparão, passarão e finalizarão as roupas de funcionários e hóspedes, bem como tecidos e artigos designados para os quartos, utilizando um ferro de passar e tábua de pa"&amp;"ssar roupa residenciais. Realizarão a limpeza cíclica de carpetes e estofados e o polimento de pisos com uma máquina de limpeza de carpetes Sandia Extraction, uma máquina de limpeza de estofados Puzzi e uma enceradeira Global. Auxiliar na limpeza diária d"&amp;"e azulejos e rejunte manualmente com escovas, durante a limpeza dos banheiros em quartos, suítes e vilas. Os(As) camareiros(as) podem precisar levantar e carregar até 36 kg. Classificação da vaga: 37-2011.00 - Zeladores(as) e Faxineiros(as), exceto empreg"&amp;"adas domésticas e faxineiros(as) de limpeza. A classificação e descrição da vaga/setor inclui informações gerais sobre o cargo, de acordo com o ONET/OES e o Sistema de Classificação Industrial da América do Norte. Consulte as Funções e a Ordem de Serviço "&amp;"para obter mais informações. Requisitos da vaga: Experiência exigida: Sim. Meses de experiência exigidos: 3. Requisitos especiais: O(A) candidato(a) considerará para emprego qualquer pessoa que possua pelo menos três (3) meses de experiência em um hotel d"&amp;"e alto padrão, resort ou clube privado. Indivíduos que não trabalharam para a empresa nos últimos 90 dias antes da nova data de início devem passar por verificação de antecedentes e exame toxicológico pré-emprego. Os(As) camareiros(as) devem ser capazes d"&amp;"e levantar e carregar até 36 kg. Devem ser capazes de ler, escrever e falar inglês. É necessário possuir ou estar apto a obter carteira de habilitação para dirigir carrinhos de golfe. É necessário possuir ou estar apto a obter a certificação ServSafe. É o"&amp;"brigatório concluir os treinamentos sobre Tráfico Humano e Patógenos Transmitidos pelo Sangue após a contratação. Treinamento no local de trabalho fornecido. Treinamento oferecido. Dias e turnos: Os seguintes turnos estão disponíveis 7 dias por semana, in"&amp;"cluindo fins de semana e feriados. Horário de trabalho: 7h às 15h30 / 8h às 16h30 / 9h às 18h / 14h às 22h30 / 15h às 23h. Os horários dos turnos podem variar de acordo com a época do ano, a disponibilidade de luz solar e a necessidade. Salário por hora: "&amp;"De US$ 16,54 a US$ 26,00 por hora (com base no mérito e experiência anterior na empresa). Possibilidade de horas extras: Horas extras podem estar disponíveis com pagamento de US$ 24,81 a US$ 39,00 por hora. Os funcionários podem ser elegíveis para receber"&amp;" uma remuneração adicional na forma de um bônus discricionário de fim de temporada, bem como taxas de serviço para pedidos para viagem. Benefícios: Refeições gratuitas para funcionários, 5 uniformes gratuitos, transporte gratuito para compras semanais, pa"&amp;"sse GIBA gratuito para residentes fora da ilha, estacionamento gratuito. Número de horas por semana: 35. Horário de trabalho (início/término): 7h às 15h30.")</f>
        <v>As camareiras serão responsáveis ​​pela limpeza e manutenção de todos os quartos, suítes, vilas e áreas comuns internas do Gasparilla Inn &amp; Clubs, incluindo aspirar pisos, reorganizar móveis, tirar o pó, repor roupas de cama e toalhas, desinfetar banheiros, lavar janelas, arrumar camas e lavar e guardar copos e utensílios de cozinha, como talheres, pratos, panelas, etc., nas Vilas, Chalés de Praia e Casas de Campo. Transportarão as roupas de cama sujas em carrinho de golfe para a lavanderia e processarão todas as roupas de cama, toalhas e toalhas de mesa de acordo com os padrões do hotel. Limparão, passarão e finalizarão as roupas de funcionários e hóspedes, bem como tecidos e artigos designados para os quartos, utilizando um ferro de passar e tábua de passar roupa residenciais. Realizarão a limpeza cíclica de carpetes e estofados e o polimento de pisos com uma máquina de limpeza de carpetes Sandia Extraction, uma máquina de limpeza de estofados Puzzi e uma enceradeira Global. Auxiliar na limpeza diária de azulejos e rejunte manualmente com escovas, durante a limpeza dos banheiros em quartos, suítes e vilas. Os(As) camareiros(as) podem precisar levantar e carregar até 36 kg. Classificação da vaga: 37-2011.00 - Zeladores(as) e Faxineiros(as), exceto empregadas domésticas e faxineiros(as) de limpeza. A classificação e descrição da vaga/setor inclui informações gerais sobre o cargo, de acordo com o ONET/OES e o Sistema de Classificação Industrial da América do Norte. Consulte as Funções e a Ordem de Serviço para obter mais informações. Requisitos da vaga: Experiência exigida: Sim. Meses de experiência exigidos: 3. Requisitos especiais: O(A) candidato(a) considerará para emprego qualquer pessoa que possua pelo menos três (3) meses de experiência em um hotel de alto padrão, resort ou clube privado. Indivíduos que não trabalharam para a empresa nos últimos 90 dias antes da nova data de início devem passar por verificação de antecedentes e exame toxicológico pré-emprego. Os(As) camareiros(as) devem ser capazes de levantar e carregar até 36 kg. Devem ser capazes de ler, escrever e falar inglês. É necessário possuir ou estar apto a obter carteira de habilitação para dirigir carrinhos de golfe. É necessário possuir ou estar apto a obter a certificação ServSafe. É obrigatório concluir os treinamentos sobre Tráfico Humano e Patógenos Transmitidos pelo Sangue após a contratação. Treinamento no local de trabalho fornecido. Treinamento oferecido. Dias e turnos: Os seguintes turnos estão disponíveis 7 dias por semana, incluindo fins de semana e feriados. Horário de trabalho: 7h às 15h30 / 8h às 16h30 / 9h às 18h / 14h às 22h30 / 15h às 23h. Os horários dos turnos podem variar de acordo com a época do ano, a disponibilidade de luz solar e a necessidade. Salário por hora: De US$ 16,54 a US$ 26,00 por hora (com base no mérito e experiência anterior na empresa). Possibilidade de horas extras: Horas extras podem estar disponíveis com pagamento de US$ 24,81 a US$ 39,00 por hora. Os funcionários podem ser elegíveis para receber uma remuneração adicional na forma de um bônus discricionário de fim de temporada, bem como taxas de serviço para pedidos para viagem. Benefícios: Refeições gratuitas para funcionários, 5 uniformes gratuitos, transporte gratuito para compras semanais, passe GIBA gratuito para residentes fora da ilha, estacionamento gratuito. Número de horas por semana: 35. Horário de trabalho (início/término): 7h às 15h30.</v>
      </c>
    </row>
    <row r="1662" ht="20.25" customHeight="1">
      <c r="A1662" s="3" t="s">
        <v>7443</v>
      </c>
      <c r="B1662" s="3" t="s">
        <v>7220</v>
      </c>
      <c r="C1662" s="3" t="s">
        <v>6921</v>
      </c>
      <c r="D1662" s="3" t="s">
        <v>71</v>
      </c>
      <c r="E1662" s="4" t="s">
        <v>44</v>
      </c>
      <c r="F1662" s="4" t="s">
        <v>20</v>
      </c>
      <c r="G1662" s="4" t="s">
        <v>7221</v>
      </c>
      <c r="H1662" s="3" t="s">
        <v>7222</v>
      </c>
      <c r="I1662" s="3" t="s">
        <v>7223</v>
      </c>
      <c r="J1662" s="4">
        <v>23.78</v>
      </c>
      <c r="K1662" s="4">
        <v>2.0</v>
      </c>
      <c r="L1662" s="3" t="s">
        <v>4854</v>
      </c>
      <c r="M1662" s="3" t="s">
        <v>7444</v>
      </c>
      <c r="N1662" s="7" t="str">
        <f>IFERROR(__xludf.DUMMYFUNCTION("GOOGLETRANSLATE(L1662, ""en"", ""pt"")"),"Supervisor de Limpeza")</f>
        <v>Supervisor de Limpeza</v>
      </c>
      <c r="O1662" s="7" t="str">
        <f>IFERROR(__xludf.DUMMYFUNCTION("IF(M1662="""","""",GOOGLETRANSLATE(M1662,""en"",""pt""))"),"O(A) Supervisor(a) de Limpeza apoia o departamento, garantindo a limpeza da propriedade de acordo com os padrões do Gasparilla Inn &amp; Club. Esta posição não é gerencial e funciona como inspetor(a) de quartos, supervisionando também os funcionários da lavan"&amp;"deria. Coordena a preparação dos quartos com a recepção e os departamentos de manutenção para a chegada dos hóspedes e solicitações de serviço. Realiza inspeções em toda a propriedade, incluindo quartos fora de serviço, VIP e limpos, para garantir que os "&amp;"padrões de qualidade sejam atingidos. Inspeciona as áreas públicas da propriedade em um carrinho de golfe e supervisiona o turno de arrumação noturna e os funcionários. Contribui com conhecimento e informações para as avaliações de desempenho dos funcioná"&amp;"rios. Garante o uso adequado de produtos químicos e materiais de limpeza, monitorando o consumo e assegurando a rotulagem correta de materiais perigosos, de acordo com o programa de comunicação de riscos do hotel. Reporta quaisquer problemas, como móveis,"&amp;" acessórios, necessidades de decoração, etc., quando houver necessidade de substituição ou reforma, ao(à) Gerente de Limpeza e ao(à) Diretor(a), para promover uma comunicação aberta. Atende o telefone da Manutenção quando necessário. Pode ser necessário l"&amp;"impar, lavar ou tirar o pó ocasionalmente. Classificação da Função: 37-1011.00 - Supervisores de Primeira Linha de Funcionários de Limpeza e Higienização. A classificação e descrição da função/setor inclui informações gerais sobre o cargo, de acordo com o"&amp;" ONET/OES e o Sistema de Classificação Industrial da América do Norte (NAICS). Consulte as Funções e a Ordem de Serviço para obter mais informações. Requisitos da Função Experiência Necessária: Sim Meses de Experiência Necessários: 12 Requisitos Especiais"&amp;": O contratante considerará para emprego qualquer pessoa que possua pelo menos um (1) ano de experiência como Supervisor de Limpeza em um hotel de alto padrão, resort ou clube privado. Indivíduos que não trabalharam para a empresa nos últimos 90 dias ante"&amp;"s da data de início do novo contrato devem passar por verificação de antecedentes e exame toxicológico pré-admissional. Os Supervisores de Limpeza devem ser capazes de levantar e carregar até 36 kg. Devem ser capazes de ler, escrever e falar inglês. Devem"&amp;" possuir ou ser capazes de obter carteira de habilitação para dirigir carrinhos de golfe. Devem possuir ou ser capazes de obter a Certificação ServSafe. Devem concluir o Treinamento sobre Tráfico Humano e o Treinamento sobre Patógenos Transmitidos pelo Sa"&amp;"ngue após a contratação. É necessário possuir ou ser capaz de obter certificação em RCP/Primeiros Socorros. Treinamento no local de trabalho fornecido. Treinamento oferecido. Dias e turnos: Os seguintes turnos estão disponíveis 7 dias por semana, incluind"&amp;"o fins de semana e feriados. Horário de trabalho: 7h às 15h30 / 8h às 16h30 / 15h às 23h. Os horários dos turnos podem variar de acordo com a época do ano, a disponibilidade de luz solar e a necessidade. Salário por hora: De US$ 23,78 a US$ 26,00 por hora"&amp;" (com base no mérito e experiência anterior na empresa). Possibilidade de horas extras: Horas extras podem estar disponíveis com pagamento de US$ 35,67 a US$ 39,00 por hora. Os funcionários podem ser elegíveis para receber remuneração adicional na forma d"&amp;"e bônus discricionário de fim de temporada, bem como taxas de serviço. Benefícios: Refeições gratuitas para funcionários, 5 uniformes gratuitos, transporte gratuito para compras semanais, passe GIBA gratuito para residentes fora da ilha, estacionamento gr"&amp;"atuito. Número de horas por semana: 35 Horário de trabalho (início/término): 7h00 - 15h30")</f>
        <v>O(A) Supervisor(a) de Limpeza apoia o departamento, garantindo a limpeza da propriedade de acordo com os padrões do Gasparilla Inn &amp; Club. Esta posição não é gerencial e funciona como inspetor(a) de quartos, supervisionando também os funcionários da lavanderia. Coordena a preparação dos quartos com a recepção e os departamentos de manutenção para a chegada dos hóspedes e solicitações de serviço. Realiza inspeções em toda a propriedade, incluindo quartos fora de serviço, VIP e limpos, para garantir que os padrões de qualidade sejam atingidos. Inspeciona as áreas públicas da propriedade em um carrinho de golfe e supervisiona o turno de arrumação noturna e os funcionários. Contribui com conhecimento e informações para as avaliações de desempenho dos funcionários. Garante o uso adequado de produtos químicos e materiais de limpeza, monitorando o consumo e assegurando a rotulagem correta de materiais perigosos, de acordo com o programa de comunicação de riscos do hotel. Reporta quaisquer problemas, como móveis, acessórios, necessidades de decoração, etc., quando houver necessidade de substituição ou reforma, ao(à) Gerente de Limpeza e ao(à) Diretor(a), para promover uma comunicação aberta. Atende o telefone da Manutenção quando necessário. Pode ser necessário limpar, lavar ou tirar o pó ocasionalmente. Classificação da Função: 37-1011.00 - Supervisores de Primeira Linha de Funcionários de Limpeza e Higienização. A classificação e descrição da função/setor inclui informações gerais sobre o cargo, de acordo com o ONET/OES e o Sistema de Classificação Industrial da América do Norte (NAICS). Consulte as Funções e a Ordem de Serviço para obter mais informações. Requisitos da Função Experiência Necessária: Sim Meses de Experiência Necessários: 12 Requisitos Especiais: O contratante considerará para emprego qualquer pessoa que possua pelo menos um (1) ano de experiência como Supervisor de Limpeza em um hotel de alto padrão, resort ou clube privado. Indivíduos que não trabalharam para a empresa nos últimos 90 dias antes da data de início do novo contrato devem passar por verificação de antecedentes e exame toxicológico pré-admissional. Os Supervisores de Limpeza devem ser capazes de levantar e carregar até 36 kg. Devem ser capazes de ler, escrever e falar inglês. Devem possuir ou ser capazes de obter carteira de habilitação para dirigir carrinhos de golfe. Devem possuir ou ser capazes de obter a Certificação ServSafe. Devem concluir o Treinamento sobre Tráfico Humano e o Treinamento sobre Patógenos Transmitidos pelo Sangue após a contratação. É necessário possuir ou ser capaz de obter certificação em RCP/Primeiros Socorros. Treinamento no local de trabalho fornecido. Treinamento oferecido. Dias e turnos: Os seguintes turnos estão disponíveis 7 dias por semana, incluindo fins de semana e feriados. Horário de trabalho: 7h às 15h30 / 8h às 16h30 / 15h às 23h. Os horários dos turnos podem variar de acordo com a época do ano, a disponibilidade de luz solar e a necessidade. Salário por hora: De US$ 23,78 a US$ 26,00 por hora (com base no mérito e experiência anterior na empresa). Possibilidade de horas extras: Horas extras podem estar disponíveis com pagamento de US$ 35,67 a US$ 39,00 por hora. Os funcionários podem ser elegíveis para receber remuneração adicional na forma de bônus discricionário de fim de temporada, bem como taxas de serviço. Benefícios: Refeições gratuitas para funcionários, 5 uniformes gratuitos, transporte gratuito para compras semanais, passe GIBA gratuito para residentes fora da ilha, estacionamento gratuito. Número de horas por semana: 35 Horário de trabalho (início/término): 7h00 - 15h30</v>
      </c>
    </row>
    <row r="1663" ht="20.25" customHeight="1">
      <c r="A1663" s="8" t="s">
        <v>7445</v>
      </c>
      <c r="B1663" s="8" t="s">
        <v>7220</v>
      </c>
      <c r="C1663" s="8" t="s">
        <v>6921</v>
      </c>
      <c r="D1663" s="8" t="s">
        <v>71</v>
      </c>
      <c r="E1663" s="9" t="s">
        <v>44</v>
      </c>
      <c r="F1663" s="9" t="s">
        <v>20</v>
      </c>
      <c r="G1663" s="9" t="s">
        <v>7221</v>
      </c>
      <c r="H1663" s="8" t="s">
        <v>7222</v>
      </c>
      <c r="I1663" s="8" t="s">
        <v>7223</v>
      </c>
      <c r="J1663" s="9">
        <v>18.95</v>
      </c>
      <c r="K1663" s="9">
        <v>27.0</v>
      </c>
      <c r="L1663" s="8" t="s">
        <v>2531</v>
      </c>
      <c r="M1663" s="8" t="s">
        <v>7446</v>
      </c>
      <c r="N1663" s="7" t="str">
        <f>IFERROR(__xludf.DUMMYFUNCTION("GOOGLETRANSLATE(L1663, ""en"", ""pt"")"),"Garçom/Garçonete")</f>
        <v>Garçom/Garçonete</v>
      </c>
      <c r="O1663" s="7" t="str">
        <f>IFERROR(__xludf.DUMMYFUNCTION("IF(M1663="""","""",GOOGLETRANSLATE(M1663,""en"",""pt""))"),"Garçons/Garçonetes serão responsáveis ​​por recepcionar os clientes, acomodá-los, preparar as áreas de refeição, anotar e registrar os pedidos pessoalmente ou por telefone, transportar bandejas e pratos, servir alimentos e bebidas, e limpar e retirar as m"&amp;"esas. A preparação das áreas de refeição inclui arrumar as mesas com talheres, copos, pratos, guardanapos e condimentos. Repor sal, pimenta, açúcar e suprimentos da estação. Polir copos e talheres. Verificar o alinhamento das mesas e a aparência geral do "&amp;"salão. Preparar café, chá e utensílios extras. Informar a equipe sobre os pratos especiais, alterações no cardápio e reservas. Manter a limpeza das mesas, arrumar e retirar as mesas. Repor os suprimentos para o próximo turno. Garçons/Garçonetes podem prec"&amp;"isar levantar e carregar até 23 kg. Classificação da vaga: 35-3031.00 - Garçons e Garçonetes. A classificação e descrição da vaga/setor incluem informações gerais sobre o cargo, de acordo com o ONET/OES e o Sistema de Classificação Industrial da América d"&amp;"o Norte. Consulte as Funções e a Ordem de Serviço para obter mais informações. Requisitos da Vaga Experiência Necessária: Sim Meses de Experiência Necessários: 3 Requisitos Especiais: O contratante considerará para emprego qualquer pessoa que possua pelo "&amp;"menos três (3) meses de experiência em um ambiente de alta gastronomia ou de grande movimento em um restaurante sofisticado, resort ou clube privado. Indivíduos que não trabalharam para a empresa nos últimos 90 dias antes da data de início do novo emprego"&amp;" devem passar por verificação de antecedentes e exame toxicológico pré-admissional. Garçons/Garçonetes podem precisar levantar e carregar até 23 kg. Devem ser capazes de ler, escrever e falar inglês. Devem ter 18 anos de idade (para servir bebidas alcoóli"&amp;"cas). Devem possuir ou ser capazes de obter a Certificação ServSafe. Devem concluir o Treinamento sobre Tráfico Humano e o Treinamento sobre Patógenos Transmitidos pelo Sangue após a contratação. Devem ser capazes de concluir o Treinamento de Conformidade"&amp;" com as Leis de Álcool. Treinamento no local de trabalho fornecido. Treinamento oferecido. Dias e Turnos: Os seguintes turnos estão disponíveis 7 dias por semana, incluindo fins de semana e feriados. Horário de trabalho: 5h30 às 12h30 / 10h às 16h / 15h à"&amp;"s 23h. Os horários dos turnos podem variar de acordo com a época do ano, a disponibilidade de luz e a necessidade. Salário por hora: O cargo de Garçom/Garçonete é considerado um cargo com gorjetas, visto que o(a) funcionário(a) receberá mais de US$ 30 por"&amp;" mês em gorjetas. No entanto, o empregador não deduzirá o valor das gorjetas. Além do salário-hora de US$ 11,98, o(a) funcionário(a) tem direito a receber uma parte do salário referente às taxas de serviço (comissões) cobradas dos clientes e quaisquer gor"&amp;"jetas recebidas diretamente do cliente. A empresa garante que cada funcionário receberá um salário-hora e taxas de serviço (comissões) suficientes para atingir um mínimo de US$ 18,95 por hora. Horas extras: As taxas de serviço recebidas pelos funcionários"&amp;" são consideradas comissões. De acordo com a seção 207(i) da FLSA (Lei de Normas Justas de Trabalho), se certas condições forem atendidas, os funcionários estão isentos do pagamento de horas extras. No entanto, se essas condições não forem atendidas, o pa"&amp;"gamento de horas extras será feito com um adicional de 50% sobre o valor da hora normal para horas trabalhadas além de 40 horas semanais, não podendo ser inferior ao valor garantido de US$ 18,95 * 1,5 por hora. Os funcionários podem ser elegíveis para rec"&amp;"eber uma remuneração adicional na forma de um bônus discricionário de fim de temporada, bem como taxas de serviço. Benefícios: Refeições gratuitas para funcionários, 5 uniformes gratuitos, transporte gratuito para compras semanais, passe GIBA gratuito par"&amp;"a residentes fora da ilha, estacionamento gratuito. Número de horas por semana: 35. Horário de trabalho (início/término): 5h30 às 12h30.")</f>
        <v>Garçons/Garçonetes serão responsáveis ​​por recepcionar os clientes, acomodá-los, preparar as áreas de refeição, anotar e registrar os pedidos pessoalmente ou por telefone, transportar bandejas e pratos, servir alimentos e bebidas, e limpar e retirar as mesas. A preparação das áreas de refeição inclui arrumar as mesas com talheres, copos, pratos, guardanapos e condimentos. Repor sal, pimenta, açúcar e suprimentos da estação. Polir copos e talheres. Verificar o alinhamento das mesas e a aparência geral do salão. Preparar café, chá e utensílios extras. Informar a equipe sobre os pratos especiais, alterações no cardápio e reservas. Manter a limpeza das mesas, arrumar e retirar as mesas. Repor os suprimentos para o próximo turno. Garçons/Garçonetes podem precisar levantar e carregar até 23 kg. Classificação da vaga: 35-3031.00 - Garçons e Garçonetes. A classificação e descrição da vaga/setor incluem informações gerais sobre o cargo, de acordo com o ONET/OES e o Sistema de Classificação Industrial da América do Norte. Consulte as Funções e a Ordem de Serviço para obter mais informações. Requisitos da Vaga Experiência Necessária: Sim Meses de Experiência Necessários: 3 Requisitos Especiais: O contratante considerará para emprego qualquer pessoa que possua pelo menos três (3) meses de experiência em um ambiente de alta gastronomia ou de grande movimento em um restaurante sofisticado, resort ou clube privado. Indivíduos que não trabalharam para a empresa nos últimos 90 dias antes da data de início do novo emprego devem passar por verificação de antecedentes e exame toxicológico pré-admissional. Garçons/Garçonetes podem precisar levantar e carregar até 23 kg. Devem ser capazes de ler, escrever e falar inglês. Devem ter 18 anos de idade (para servir bebidas alcoólicas). Devem possuir ou ser capazes de obter a Certificação ServSafe. Devem concluir o Treinamento sobre Tráfico Humano e o Treinamento sobre Patógenos Transmitidos pelo Sangue após a contratação. Devem ser capazes de concluir o Treinamento de Conformidade com as Leis de Álcool. Treinamento no local de trabalho fornecido. Treinamento oferecido. Dias e Turnos: Os seguintes turnos estão disponíveis 7 dias por semana, incluindo fins de semana e feriados. Horário de trabalho: 5h30 às 12h30 / 10h às 16h / 15h às 23h. Os horários dos turnos podem variar de acordo com a época do ano, a disponibilidade de luz e a necessidade. Salário por hora: O cargo de Garçom/Garçonete é considerado um cargo com gorjetas, visto que o(a) funcionário(a) receberá mais de US$ 30 por mês em gorjetas. No entanto, o empregador não deduzirá o valor das gorjetas. Além do salário-hora de US$ 11,98, o(a) funcionário(a) tem direito a receber uma parte do salário referente às taxas de serviço (comissões) cobradas dos clientes e quaisquer gorjetas recebidas diretamente do cliente. A empresa garante que cada funcionário receberá um salário-hora e taxas de serviço (comissões) suficientes para atingir um mínimo de US$ 18,95 por hora. Horas extras: As taxas de serviço recebidas pelos funcionários são consideradas comissões. De acordo com a seção 207(i) da FLSA (Lei de Normas Justas de Trabalho), se certas condições forem atendidas, os funcionários estão isentos do pagamento de horas extras. No entanto, se essas condições não forem atendidas, o pagamento de horas extras será feito com um adicional de 50% sobre o valor da hora normal para horas trabalhadas além de 40 horas semanais, não podendo ser inferior ao valor garantido de US$ 18,95 * 1,5 por hora. Os funcionários podem ser elegíveis para receber uma remuneração adicional na forma de um bônus discricionário de fim de temporada, bem como taxas de serviço. Benefícios: Refeições gratuitas para funcionários, 5 uniformes gratuitos, transporte gratuito para compras semanais, passe GIBA gratuito para residentes fora da ilha, estacionamento gratuito. Número de horas por semana: 35. Horário de trabalho (início/término): 5h30 às 12h30.</v>
      </c>
    </row>
    <row r="1664" ht="20.25" customHeight="1">
      <c r="A1664" s="3" t="s">
        <v>7447</v>
      </c>
      <c r="B1664" s="3" t="s">
        <v>7448</v>
      </c>
      <c r="C1664" s="3" t="s">
        <v>4247</v>
      </c>
      <c r="D1664" s="3" t="s">
        <v>71</v>
      </c>
      <c r="E1664" s="4" t="s">
        <v>44</v>
      </c>
      <c r="F1664" s="4" t="s">
        <v>20</v>
      </c>
      <c r="G1664" s="4" t="s">
        <v>467</v>
      </c>
      <c r="H1664" s="3" t="s">
        <v>7449</v>
      </c>
      <c r="I1664" s="3" t="s">
        <v>7450</v>
      </c>
      <c r="J1664" s="4">
        <v>9.7</v>
      </c>
      <c r="K1664" s="4">
        <v>116.0</v>
      </c>
      <c r="L1664" s="3" t="s">
        <v>5664</v>
      </c>
      <c r="M1664" s="3" t="s">
        <v>7451</v>
      </c>
      <c r="N1664" s="7" t="str">
        <f>IFERROR(__xludf.DUMMYFUNCTION("GOOGLETRANSLATE(L1664, ""en"", ""pt"")"),"Atendente de Diversão e Recreação – Parque de Diversões Itinerante")</f>
        <v>Atendente de Diversão e Recreação – Parque de Diversões Itinerante</v>
      </c>
      <c r="O1664" s="7" t="str">
        <f>IFERROR(__xludf.DUMMYFUNCTION("IF(M1664="""","""",GOOGLETRANSLATE(M1664,""en"",""pt""))"),"Executar diversas tarefas em um parque de diversões itinerante, montando, desmontando e operando brinquedos. Pode vender ingressos e cobrar taxas dos clientes; fornecer informações sobre as instalações, regras e regulamentos; direcionar os clientes aos br"&amp;"inquedos, assentos ou atrações; monitorar as atividades para garantir o cumprimento das regras e procedimentos de segurança; auxiliar os clientes na entrada ou saída dos brinquedos; limpar brinquedos, barracas, instalações ou terrenos; inspecionar equipam"&amp;"entos para detectar desgaste e danos e realizar pequenos reparos, ajustes ou tarefas de manutenção, como lubrificação de peças; fixar dispositivos de segurança para os clientes ou fornecer instruções sobre como fixá-los. Classificação da vaga: 39-3091.00 "&amp;"- Atendentes de Parques de Diversões e Recreação. A classificação e descrição da vaga/setor incluem informações gerais sobre o cargo, de acordo com o ONET/OES e o Sistema de Classificação Industrial da América do Norte. Consulte as Funções e a Ordem de Se"&amp;"rviço para obter mais informações. Requisitos da vaga: Experiência exigida: Não. Requisitos especiais: Testes aleatórios de drogas e verificação de antecedentes criminais após a contratação podem ser exigidos, sem custo para o trabalhador. A vaga exige qu"&amp;"e o candidato seja qualificado, esteja pronto, disposto, apto e disponível para desempenhar suas funções durante todo o período de emprego nos locais de trabalho designados, além de seguir as normas da empresa. Número de horas semanais: 40. Horário de tra"&amp;"balho (início/término): 13h às 22h.")</f>
        <v>Executar diversas tarefas em um parque de diversões itinerante, montando, desmontando e operando brinquedos. Pode vender ingressos e cobrar taxas dos clientes; fornecer informações sobre as instalações, regras e regulamentos; direcionar os clientes aos brinquedos, assentos ou atrações; monitorar as atividades para garantir o cumprimento das regras e procedimentos de segurança; auxiliar os clientes na entrada ou saída dos brinquedos; limpar brinquedos, barracas, instalações ou terrenos; inspecionar equipamentos para detectar desgaste e danos e realizar pequenos reparos, ajustes ou tarefas de manutenção, como lubrificação de peças; fixar dispositivos de segurança para os clientes ou fornecer instruções sobre como fixá-los. Classificação da vaga: 39-3091.00 - Atendentes de Parques de Diversões e Recreação. A classificação e descrição da vaga/setor incluem informações gerais sobre o cargo, de acordo com o ONET/OES e o Sistema de Classificação Industrial da América do Norte. Consulte as Funções e a Ordem de Serviço para obter mais informações. Requisitos da vaga: Experiência exigida: Não. Requisitos especiais: Testes aleatórios de drogas e verificação de antecedentes criminais após a contratação podem ser exigidos, sem custo para o trabalhador. A vaga exige que o candidato seja qualificado, esteja pronto, disposto, apto e disponível para desempenhar suas funções durante todo o período de emprego nos locais de trabalho designados, além de seguir as normas da empresa. Número de horas semanais: 40. Horário de trabalho (início/término): 13h às 22h.</v>
      </c>
    </row>
    <row r="1665" ht="20.25" customHeight="1">
      <c r="A1665" s="8" t="s">
        <v>7452</v>
      </c>
      <c r="B1665" s="8" t="s">
        <v>7453</v>
      </c>
      <c r="C1665" s="8" t="s">
        <v>7454</v>
      </c>
      <c r="D1665" s="8" t="s">
        <v>970</v>
      </c>
      <c r="E1665" s="9" t="s">
        <v>19</v>
      </c>
      <c r="F1665" s="9" t="s">
        <v>20</v>
      </c>
      <c r="G1665" s="9" t="s">
        <v>236</v>
      </c>
      <c r="H1665" s="8" t="s">
        <v>7455</v>
      </c>
      <c r="I1665" s="8" t="s">
        <v>7456</v>
      </c>
      <c r="J1665" s="9">
        <v>20.15</v>
      </c>
      <c r="K1665" s="9">
        <v>2.0</v>
      </c>
      <c r="L1665" s="8" t="s">
        <v>321</v>
      </c>
      <c r="M1665" s="8" t="s">
        <v>7457</v>
      </c>
      <c r="N1665" s="7" t="str">
        <f>IFERROR(__xludf.DUMMYFUNCTION("GOOGLETRANSLATE(L1665, ""en"", ""pt"")"),"Trabalhadores de paisagismo")</f>
        <v>Trabalhadores de paisagismo</v>
      </c>
      <c r="O1665" s="7" t="str">
        <f>IFERROR(__xludf.DUMMYFUNCTION("IF(M1665="""","""",GOOGLETRANSLATE(M1665,""en"",""pt""))"),"Cortar, aparar, regar, aparar a grama e as árvores, rastelar e soprar folhas, arrancar e cortar ervas daninhas, podar e transportar terra vegetal e cobertura morta, plantar flores, arbustos e árvores. Ser capaz de levantar o peso necessário para carregar "&amp;"e usar equipamentos e materiais de paisagismo necessários para as tarefas designadas. Ser capaz de tolerar temperaturas de trabalho externas (acima de 32°C e abaixo de 0°C). A capacidade do trabalhador de atender a esses requisitos será determinada por su"&amp;"as próprias declarações e pela observação do Empregador ou de seu representante. Vários locais de trabalho dentro da MSA. Os trabalhadores deverão se apresentar diariamente em 19720 Mission Road, Stilwell, KS 66085. A empresa fornecerá transporte diário d"&amp;"e ida e volta aos locais de trabalho. Classificação do Cargo: 37-3011.00 - Trabalhadores de Paisagismo e Manutenção de Jardins. A classificação e descrição do cargo/setor inclui informações gerais sobre a posição, de acordo com o ONET/OES e o Sistema de C"&amp;"lassificação Industrial da América do Norte. Consulte as Funções e a Ordem de Serviço para obter mais informações. Requisitos da vaga Experiência necessária: Não Requisitos especiais: CAPACIDADE DE TOLERAR TEMPERATURAS DE TRABALHO EXTERNAS (ACIMA DE 32°C "&amp;"E ABAIXO DE 0°C). A capacidade do(a) funcionário(a) de atender a esses requisitos, com ou sem adaptações razoáveis, será determinada pelas próprias declarações do(a) funcionário(a) e pela observação do empregador ou de seu representante. Número de horas p"&amp;"or semana: 40 Horário de trabalho (início/término): 8h00 - 16h30")</f>
        <v>Cortar, aparar, regar, aparar a grama e as árvores, rastelar e soprar folhas, arrancar e cortar ervas daninhas, podar e transportar terra vegetal e cobertura morta, plantar flores, arbustos e árvores. Ser capaz de levantar o peso necessário para carregar e usar equipamentos e materiais de paisagismo necessários para as tarefas designadas. Ser capaz de tolerar temperaturas de trabalho externas (acima de 32°C e abaixo de 0°C). A capacidade do trabalhador de atender a esses requisitos será determinada por suas próprias declarações e pela observação do Empregador ou de seu representante. Vários locais de trabalho dentro da MSA. Os trabalhadores deverão se apresentar diariamente em 19720 Mission Road, Stilwell, KS 66085. A empresa fornecerá transporte diário de ida e volta aos locais de trabalho. Classificação do Cargo: 37-3011.00 - Trabalhadores de Paisagismo e Manutenção de Jardins. A classificação e descrição do cargo/setor inclui informações gerais sobre a posição, de acordo com o ONET/OES e o Sistema de Classificação Industrial da América do Norte. Consulte as Funções e a Ordem de Serviço para obter mais informações. Requisitos da vaga Experiência necessária: Não Requisitos especiais: CAPACIDADE DE TOLERAR TEMPERATURAS DE TRABALHO EXTERNAS (ACIMA DE 32°C E ABAIXO DE 0°C). A capacidade do(a) funcionário(a) de atender a esses requisitos, com ou sem adaptações razoáveis, será determinada pelas próprias declarações do(a) funcionário(a) e pela observação do empregador ou de seu representante. Número de horas por semana: 40 Horário de trabalho (início/término): 8h00 - 16h30</v>
      </c>
    </row>
    <row r="1666" ht="20.25" customHeight="1">
      <c r="A1666" s="3" t="s">
        <v>7458</v>
      </c>
      <c r="B1666" s="3" t="s">
        <v>7459</v>
      </c>
      <c r="C1666" s="3" t="s">
        <v>1131</v>
      </c>
      <c r="D1666" s="3" t="s">
        <v>596</v>
      </c>
      <c r="E1666" s="4" t="s">
        <v>44</v>
      </c>
      <c r="F1666" s="4" t="s">
        <v>20</v>
      </c>
      <c r="G1666" s="4" t="s">
        <v>146</v>
      </c>
      <c r="H1666" s="3" t="s">
        <v>7460</v>
      </c>
      <c r="I1666" s="3" t="s">
        <v>7461</v>
      </c>
      <c r="J1666" s="4">
        <v>31.05</v>
      </c>
      <c r="K1666" s="4">
        <v>6.0</v>
      </c>
      <c r="L1666" s="3" t="s">
        <v>7462</v>
      </c>
      <c r="M1666" s="3" t="s">
        <v>7463</v>
      </c>
      <c r="N1666" s="7" t="str">
        <f>IFERROR(__xludf.DUMMYFUNCTION("GOOGLETRANSLATE(L1666, ""en"", ""pt"")"),"Trabalhador de telhado")</f>
        <v>Trabalhador de telhado</v>
      </c>
      <c r="O1666" s="7" t="str">
        <f>IFERROR(__xludf.DUMMYFUNCTION("IF(M1666="""","""",GOOGLETRANSLATE(M1666,""en"",""pt""))"),"***Resposta à Solicitação de Informações (RFI)*** Cobrir telhados de estruturas com telhas, ardósia, asfalto, alumínio, madeira ou materiais similares. Pode pulverizar telhados, revestimentos e paredes com material para unir, selar, isolar ou insonorizar "&amp;"seções das estruturas. Remover detritos dos locais de trabalho. Os trabalhadores usarão pistola de pregos, grampeador, martelo, furadeira, serra e compressor. Os trabalhadores usarão os seguintes materiais: telhas, ardósia, alumínio, madeira e asfalto par"&amp;"a cobertura. ***F.a.2 Original*** Cobrir telhados de estruturas com telhas, ardósia, asfalto, alumínio, madeira ou materiais similares. Pode pulverizar telhados, revestimentos e paredes com material para unir, selar, isolar ou insonorizar seções das estru"&amp;"turas. Remover detritos dos locais de trabalho. Classificação da Função: 47-2181.00 - Telhadores. A classificação e descrição da função/indústria inclui informações gerais sobre o cargo, conforme o ONET/OES e o Sistema de Classificação Industrial da Améri"&amp;"ca do Norte. Consulte as Funções e a Ordem de Serviço para obter mais informações. Requisitos da vaga Experiência necessária: Não Requisitos especiais: Deve ser capaz de levantar/carregar até 23 kg, quando necessário. Trabalho aos sábados, quando necessár"&amp;"io. Exame toxicológico pós-admissional obrigatório para todos os funcionários, nacionais e estrangeiros, em caso de suspeita de uso. Número de horas por semana: 40 Horário de trabalho (início/término): 7h às 16h")</f>
        <v>***Resposta à Solicitação de Informações (RFI)*** Cobrir telhados de estruturas com telhas, ardósia, asfalto, alumínio, madeira ou materiais similares. Pode pulverizar telhados, revestimentos e paredes com material para unir, selar, isolar ou insonorizar seções das estruturas. Remover detritos dos locais de trabalho. Os trabalhadores usarão pistola de pregos, grampeador, martelo, furadeira, serra e compressor. Os trabalhadores usarão os seguintes materiais: telhas, ardósia, alumínio, madeira e asfalto para cobertura. ***F.a.2 Original*** Cobrir telhados de estruturas com telhas, ardósia, asfalto, alumínio, madeira ou materiais similares. Pode pulverizar telhados, revestimentos e paredes com material para unir, selar, isolar ou insonorizar seções das estruturas. Remover detritos dos locais de trabalho. Classificação da Função: 47-2181.00 - Telhadores. A classificação e descrição da função/indústria inclui informações gerais sobre o cargo, conforme o ONET/OES e o Sistema de Classificação Industrial da América do Norte. Consulte as Funções e a Ordem de Serviço para obter mais informações. Requisitos da vaga Experiência necessária: Não Requisitos especiais: Deve ser capaz de levantar/carregar até 23 kg, quando necessário. Trabalho aos sábados, quando necessário. Exame toxicológico pós-admissional obrigatório para todos os funcionários, nacionais e estrangeiros, em caso de suspeita de uso. Número de horas por semana: 40 Horário de trabalho (início/término): 7h às 16h</v>
      </c>
    </row>
    <row r="1667" ht="20.25" customHeight="1">
      <c r="A1667" s="8" t="s">
        <v>7464</v>
      </c>
      <c r="B1667" s="8" t="s">
        <v>7465</v>
      </c>
      <c r="C1667" s="8" t="s">
        <v>7466</v>
      </c>
      <c r="D1667" s="8" t="s">
        <v>2068</v>
      </c>
      <c r="E1667" s="9" t="s">
        <v>19</v>
      </c>
      <c r="F1667" s="9" t="s">
        <v>20</v>
      </c>
      <c r="G1667" s="9" t="s">
        <v>524</v>
      </c>
      <c r="H1667" s="8" t="s">
        <v>7467</v>
      </c>
      <c r="I1667" s="8" t="s">
        <v>7468</v>
      </c>
      <c r="J1667" s="9">
        <v>18.0</v>
      </c>
      <c r="K1667" s="9">
        <v>4.0</v>
      </c>
      <c r="L1667" s="8" t="s">
        <v>7469</v>
      </c>
      <c r="M1667" s="8" t="s">
        <v>7470</v>
      </c>
      <c r="N1667" s="7" t="str">
        <f>IFERROR(__xludf.DUMMYFUNCTION("GOOGLETRANSLATE(L1667, ""en"", ""pt"")"),"Vendedor de joias")</f>
        <v>Vendedor de joias</v>
      </c>
      <c r="O1667" s="7" t="str">
        <f>IFERROR(__xludf.DUMMYFUNCTION("IF(M1667="""","""",GOOGLETRANSLATE(M1667,""en"",""pt""))"),"Receba cada cliente calorosamente e estabeleça uma conexão pessoal para aprimorar a experiência de compra; ouça os clientes para entender suas necessidades e fornecer recomendações de produtos personalizadas; utilize seu conhecimento de produtos, técnicas"&amp;" de vendas e histórico de clientes para impulsionar as vendas; e mantenha as vitrines e o estoque organizados. Os turnos variam de segunda a domingo; mínimo de 40 horas semanais e até 20 horas extras semanais. Classificação da vaga: 41-2031.00 - Vendedor("&amp;"a) de Varejo. A classificação e descrição da vaga/setor incluem informações gerais sobre o cargo, de acordo com o ONET/OES e o Sistema de Classificação Industrial da América do Norte (NAICS). Consulte as Funções e a Ordem de Serviço para obter mais inform"&amp;"ações. Requisitos da vaga: Experiência necessária: Sim. Meses de experiência necessários: 6. Requisitos especiais: Necessário ter 6 meses de experiência como vendedor(a) de joias de alto padrão. Idade mínima: 18 anos. Número de horas por semana: 40. Horár"&amp;"io de trabalho (início/término): 9h30 às 18h30.")</f>
        <v>Receba cada cliente calorosamente e estabeleça uma conexão pessoal para aprimorar a experiência de compra; ouça os clientes para entender suas necessidades e fornecer recomendações de produtos personalizadas; utilize seu conhecimento de produtos, técnicas de vendas e histórico de clientes para impulsionar as vendas; e mantenha as vitrines e o estoque organizados. Os turnos variam de segunda a domingo; mínimo de 40 horas semanais e até 20 horas extras semanais. Classificação da vaga: 41-2031.00 - Vendedor(a) de Varejo. A classificação e descrição da vaga/setor incluem informações gerais sobre o cargo, de acordo com o ONET/OES e o Sistema de Classificação Industrial da América do Norte (NAICS). Consulte as Funções e a Ordem de Serviço para obter mais informações. Requisitos da vaga: Experiência necessária: Sim. Meses de experiência necessários: 6. Requisitos especiais: Necessário ter 6 meses de experiência como vendedor(a) de joias de alto padrão. Idade mínima: 18 anos. Número de horas por semana: 40. Horário de trabalho (início/término): 9h30 às 18h30.</v>
      </c>
    </row>
    <row r="1668" ht="20.25" customHeight="1">
      <c r="A1668" s="3" t="s">
        <v>7471</v>
      </c>
      <c r="B1668" s="3" t="s">
        <v>7472</v>
      </c>
      <c r="C1668" s="3" t="s">
        <v>6921</v>
      </c>
      <c r="D1668" s="3" t="s">
        <v>71</v>
      </c>
      <c r="E1668" s="4" t="s">
        <v>19</v>
      </c>
      <c r="F1668" s="4" t="s">
        <v>20</v>
      </c>
      <c r="G1668" s="4" t="s">
        <v>524</v>
      </c>
      <c r="H1668" s="3" t="s">
        <v>7473</v>
      </c>
      <c r="I1668" s="3" t="s">
        <v>7474</v>
      </c>
      <c r="J1668" s="4">
        <v>19.38</v>
      </c>
      <c r="K1668" s="4">
        <v>14.0</v>
      </c>
      <c r="L1668" s="3" t="s">
        <v>586</v>
      </c>
      <c r="M1668" s="3" t="s">
        <v>7475</v>
      </c>
      <c r="N1668" s="7" t="str">
        <f>IFERROR(__xludf.DUMMYFUNCTION("GOOGLETRANSLATE(L1668, ""en"", ""pt"")"),"Cozinheiro de linha")</f>
        <v>Cozinheiro de linha</v>
      </c>
      <c r="O1668" s="7" t="str">
        <f>IFERROR(__xludf.DUMMYFUNCTION("IF(M1668="""","""",GOOGLETRANSLATE(M1668,""en"",""pt""))"),"Auxiliar na organização e preparação diária da cozinha. Preparar os itens alimentícios para os pontos de venda de acordo com os cardápios, receitas e fotos de referência. Organizar a linha de produção com os locais predeterminados para garantir que tudo e"&amp;"steja pronto para o serviço. Preparar os itens alimentícios para os sócios e convidados utilizando um método predeterminado de qualidade, de forma rápida e consistente. Preparar/cozinhar todos os alimentos quentes e frios de acordo com as receitas, padrõe"&amp;"s de qualidade, padrões de apresentação e lista de verificação de preparação de alimentos. Demonstrar o uso seguro e adequado dos equipamentos em todos os momentos. Executar as tarefas de forma segura. Reduzir o desperdício na cozinha. Consultar o Subchef"&amp;"e diariamente sobre o serviço do restaurante. Compreender e implementar as tarefas e procedimentos culinários básicos, como FIFO (primeiro a entrar, primeiro a sair), etiquetagem e higienização. Monitorar a qualidade e a apresentação de todos os alimentos"&amp;" durante o preparo. Abastecer e rotacionar os alimentos. Alertar o Subchefe sobre itens com baixo estoque. Trabalhar na linha de produção, estação de saladas, estação de preparação ou quaisquer outras estações conforme necessário. Controlar o ritmo dos pe"&amp;"didos e definir o padrão para o processo de emissão de pedidos. Testar os alimentos para determinar se estão suficientemente cozidos. Operar, manter e limpar adequadamente fritadeira, grelha, fogão, processador de alimentos, forno, banho-maria e chapa. Or"&amp;"ientar no preparo dos ingredientes para o cozimento, incluindo porcionamento, corte e armazenamento de alimentos. Etiquetar, datar, armazenar e rotacionar todos os produtos, mantendo os níveis de estoque atribuídos. Controlar os itens alimentícios solicit"&amp;"ados, garantindo que o estoque seja mantido sem superprodução. Demonstrar a produção adequada de itens alimentícios, trabalhando com eficiência para atingir a máxima produtividade. Auxiliar na montagem e desmontagem da estação de trabalho. Verificar e gar"&amp;"antir a temperatura correta dos equipamentos e dos alimentos. Seguir todas as políticas e procedimentos da empresa, de segurança e proteção. Cortar, aparar e desossar carnes, peixes e aves para o cozimento, conforme as instruções. Praticar higiene básica,"&amp;" rotação de estoque e limpeza da geladeira; manter todas as áreas de trabalho limpas e organizadas. Executar com proficiência as tarefas nas linhas de pratos frios, bem como as tarefas que envolvem o preparo de alimentos, conforme necessário. Classificaçã"&amp;"o do Cargo: 35-2014.00 - Cozinheiros, Restaurante. A classificação e descrição do cargo/setor inclui informações gerais sobre a posição, de acordo com o ONET/OES e o Sistema de Classificação Industrial da América do Norte. Consulte a Descrição das Funções"&amp;" e a Ordem de Serviço para obter mais informações. Requisitos da Vaga Experiência Necessária: Sim Meses de Experiência Necessários: 3 Requisitos Especiais: Conhecimentos básicos de informática. Capacidade de falar e escrever inglês com clareza e legibilid"&amp;"ade. Realizar cálculos matemáticos básicos. Falar e/ou ouvir. Levantar frequentemente até 14 kg. Usar as mãos e os dedos para manusear e levantar objetos. Permanecer em pé, caminhar, subir ou equilibrar-se, curvar-se, ajoelhar-se, agachar-se ou alcançar c"&amp;"om as mãos e os braços constantemente. Capacidade de permanecer em pé por longos períodos. Aprovação em verificação de antecedentes pré-emprego, paga pelo empregador e realizada igualmente para trabalhadores americanos e trabalhadores com visto H-2B. Trei"&amp;"namento no local de trabalho fornecido. Treinamento oferecido. Dias e Turnos: Os seguintes turnos estão disponíveis 7 dias por semana, incluindo fins de semana e feriados. Horário de trabalho: 8h às 15h, 9h às 16h, 15h às 22h, 15h às 23h, 16h às 22h, 16h "&amp;"às 23h, 16h à meia-noite, 17h às 23h. Os turnos podem variar de acordo com a época do ano, a disponibilidade de luz natural e a necessidade. Salário por hora: de US$ 19,38 a US$ 27,00 (com base no desempenho e na formação em gastronomia). Possibilidade de"&amp;" aumento salarial: aumentos salariais podem ser concedidos com base no desempenho e na formação em gastronomia. Horas extras: possibilidade de horas extras com pagamento de US$ 29,07 a US$ 40,50 por hora. Será necessária verificação de antecedentes crimin"&amp;"ais antes da contratação. Bônus: bônus por desempenho de até US$ 1.200. Número de horas por semana: 35. Horário de trabalho (início/término): 8h às 15h.")</f>
        <v>Auxiliar na organização e preparação diária da cozinha. Preparar os itens alimentícios para os pontos de venda de acordo com os cardápios, receitas e fotos de referência. Organizar a linha de produção com os locais predeterminados para garantir que tudo esteja pronto para o serviço. Preparar os itens alimentícios para os sócios e convidados utilizando um método predeterminado de qualidade, de forma rápida e consistente. Preparar/cozinhar todos os alimentos quentes e frios de acordo com as receitas, padrões de qualidade, padrões de apresentação e lista de verificação de preparação de alimentos. Demonstrar o uso seguro e adequado dos equipamentos em todos os momentos. Executar as tarefas de forma segura. Reduzir o desperdício na cozinha. Consultar o Subchefe diariamente sobre o serviço do restaurante. Compreender e implementar as tarefas e procedimentos culinários básicos, como FIFO (primeiro a entrar, primeiro a sair), etiquetagem e higienização. Monitorar a qualidade e a apresentação de todos os alimentos durante o preparo. Abastecer e rotacionar os alimentos. Alertar o Subchefe sobre itens com baixo estoque. Trabalhar na linha de produção, estação de saladas, estação de preparação ou quaisquer outras estações conforme necessário. Controlar o ritmo dos pedidos e definir o padrão para o processo de emissão de pedidos. Testar os alimentos para determinar se estão suficientemente cozidos. Operar, manter e limpar adequadamente fritadeira, grelha, fogão, processador de alimentos, forno, banho-maria e chapa. Orientar no preparo dos ingredientes para o cozimento, incluindo porcionamento, corte e armazenamento de alimentos. Etiquetar, datar, armazenar e rotacionar todos os produtos, mantendo os níveis de estoque atribuídos. Controlar os itens alimentícios solicitados, garantindo que o estoque seja mantido sem superprodução. Demonstrar a produção adequada de itens alimentícios, trabalhando com eficiência para atingir a máxima produtividade. Auxiliar na montagem e desmontagem da estação de trabalho. Verificar e garantir a temperatura correta dos equipamentos e dos alimentos. Seguir todas as políticas e procedimentos da empresa, de segurança e proteção. Cortar, aparar e desossar carnes, peixes e aves para o cozimento, conforme as instruções. Praticar higiene básica, rotação de estoque e limpeza da geladeira; manter todas as áreas de trabalho limpas e organizadas. Executar com proficiência as tarefas nas linhas de pratos frios, bem como as tarefas que envolvem o preparo de alimentos, conforme necessário. Classificação do Cargo: 35-2014.00 - Cozinheiros, Restaurante. A classificação e descrição do cargo/setor inclui informações gerais sobre a posição, de acordo com o ONET/OES e o Sistema de Classificação Industrial da América do Norte. Consulte a Descrição das Funções e a Ordem de Serviço para obter mais informações. Requisitos da Vaga Experiência Necessária: Sim Meses de Experiência Necessários: 3 Requisitos Especiais: Conhecimentos básicos de informática. Capacidade de falar e escrever inglês com clareza e legibilidade. Realizar cálculos matemáticos básicos. Falar e/ou ouvir. Levantar frequentemente até 14 kg. Usar as mãos e os dedos para manusear e levantar objetos. Permanecer em pé, caminhar, subir ou equilibrar-se, curvar-se, ajoelhar-se, agachar-se ou alcançar com as mãos e os braços constantemente. Capacidade de permanecer em pé por longos períodos. Aprovação em verificação de antecedentes pré-emprego, paga pelo empregador e realizada igualmente para trabalhadores americanos e trabalhadores com visto H-2B. Treinamento no local de trabalho fornecido. Treinamento oferecido. Dias e Turnos: Os seguintes turnos estão disponíveis 7 dias por semana, incluindo fins de semana e feriados. Horário de trabalho: 8h às 15h, 9h às 16h, 15h às 22h, 15h às 23h, 16h às 22h, 16h às 23h, 16h à meia-noite, 17h às 23h. Os turnos podem variar de acordo com a época do ano, a disponibilidade de luz natural e a necessidade. Salário por hora: de US$ 19,38 a US$ 27,00 (com base no desempenho e na formação em gastronomia). Possibilidade de aumento salarial: aumentos salariais podem ser concedidos com base no desempenho e na formação em gastronomia. Horas extras: possibilidade de horas extras com pagamento de US$ 29,07 a US$ 40,50 por hora. Será necessária verificação de antecedentes criminais antes da contratação. Bônus: bônus por desempenho de até US$ 1.200. Número de horas por semana: 35. Horário de trabalho (início/término): 8h às 15h.</v>
      </c>
    </row>
    <row r="1669" ht="20.25" customHeight="1">
      <c r="A1669" s="8" t="s">
        <v>7476</v>
      </c>
      <c r="B1669" s="8" t="s">
        <v>7477</v>
      </c>
      <c r="C1669" s="8" t="s">
        <v>6906</v>
      </c>
      <c r="D1669" s="8" t="s">
        <v>3015</v>
      </c>
      <c r="E1669" s="9" t="s">
        <v>19</v>
      </c>
      <c r="F1669" s="9" t="s">
        <v>20</v>
      </c>
      <c r="G1669" s="9" t="s">
        <v>80</v>
      </c>
      <c r="H1669" s="8" t="s">
        <v>7478</v>
      </c>
      <c r="I1669" s="8" t="s">
        <v>7479</v>
      </c>
      <c r="J1669" s="9">
        <v>19.97</v>
      </c>
      <c r="K1669" s="9">
        <v>8.0</v>
      </c>
      <c r="L1669" s="8" t="s">
        <v>7480</v>
      </c>
      <c r="M1669" s="8" t="s">
        <v>7481</v>
      </c>
      <c r="N1669" s="7" t="str">
        <f>IFERROR(__xludf.DUMMYFUNCTION("GOOGLETRANSLATE(L1669, ""en"", ""pt"")"),"Camareiras")</f>
        <v>Camareiras</v>
      </c>
      <c r="O1669" s="7" t="str">
        <f>IFERROR(__xludf.DUMMYFUNCTION("IF(M1669="""","""",GOOGLETRANSLATE(M1669,""en"",""pt""))"),"As funções incluem: transportar roupas de cama, toalhas, artigos de higiene pessoal e produtos de limpeza utilizando carrinhos com rodas; limpar quartos, corredores, saguões, salas de estar, banheiros, elevadores, escadas, vestiários e outras áreas de tra"&amp;"balho de acordo com as normas sanitárias aplicáveis; desinfetar equipamentos e suprimentos utilizando germicidas e/ou esterilizadores a vapor; repor suprimentos, como copos, roupas de cama, materiais de escrita e artigos de banheiro; limpar tapetes, carpe"&amp;"tes, móveis estofados e cortinas, utilizando aspiradores de pó e lavadoras de carpetes; manter as áreas comuns, áreas de armazenamento e carrinhos bem abastecidos, limpos e organizados e, quando necessário, auxiliar na remoção de neve e gelo das áreas com"&amp;"uns. Classificação da função: 37-2011.00 - Zeladores e Faxineiros, exceto Empregadas Domésticas e Auxiliares de Limpeza. A classificação e descrição da função/setor inclui informações gerais sobre o cargo, conforme o ONET/OES e o Sistema de Classificação "&amp;"Industrial da América do Norte. Consulte as Funções e a Ordem de Serviço para obter mais informações. Requisitos da vaga Experiência necessária: Não Requisitos especiais: Deve ser capaz de levantar até 23 kg e permanecer em pé ou se abaixar durante todo o"&amp;"u a maior parte do turno de trabalho. Número de horas por semana: 40 Horário de trabalho (início/término): 8h às 17h")</f>
        <v>As funções incluem: transportar roupas de cama, toalhas, artigos de higiene pessoal e produtos de limpeza utilizando carrinhos com rodas; limpar quartos, corredores, saguões, salas de estar, banheiros, elevadores, escadas, vestiários e outras áreas de trabalho de acordo com as normas sanitárias aplicáveis; desinfetar equipamentos e suprimentos utilizando germicidas e/ou esterilizadores a vapor; repor suprimentos, como copos, roupas de cama, materiais de escrita e artigos de banheiro; limpar tapetes, carpetes, móveis estofados e cortinas, utilizando aspiradores de pó e lavadoras de carpetes; manter as áreas comuns, áreas de armazenamento e carrinhos bem abastecidos, limpos e organizados e, quando necessário, auxiliar na remoção de neve e gelo das áreas comuns. Classificação da função: 37-2011.00 - Zeladores e Faxineiros, exceto Empregadas Domésticas e Auxiliares de Limpeza. A classificação e descrição da função/setor inclui informações gerais sobre o cargo, conforme o ONET/OES e o Sistema de Classificação Industrial da América do Norte. Consulte as Funções e a Ordem de Serviço para obter mais informações. Requisitos da vaga Experiência necessária: Não Requisitos especiais: Deve ser capaz de levantar até 23 kg e permanecer em pé ou se abaixar durante todo ou a maior parte do turno de trabalho. Número de horas por semana: 40 Horário de trabalho (início/término): 8h às 17h</v>
      </c>
    </row>
    <row r="1670" ht="20.25" customHeight="1">
      <c r="A1670" s="3" t="s">
        <v>7482</v>
      </c>
      <c r="B1670" s="3" t="s">
        <v>7483</v>
      </c>
      <c r="C1670" s="3"/>
      <c r="D1670" s="3" t="s">
        <v>71</v>
      </c>
      <c r="E1670" s="4" t="s">
        <v>19</v>
      </c>
      <c r="F1670" s="4" t="s">
        <v>20</v>
      </c>
      <c r="G1670" s="4" t="s">
        <v>377</v>
      </c>
      <c r="H1670" s="3" t="s">
        <v>7484</v>
      </c>
      <c r="I1670" s="3" t="s">
        <v>7485</v>
      </c>
      <c r="J1670" s="4">
        <v>15.21</v>
      </c>
      <c r="K1670" s="4">
        <v>25.0</v>
      </c>
      <c r="L1670" s="3" t="s">
        <v>7486</v>
      </c>
      <c r="M1670" s="3" t="s">
        <v>7487</v>
      </c>
      <c r="N1670" s="7" t="str">
        <f>IFERROR(__xludf.DUMMYFUNCTION("GOOGLETRANSLATE(L1670, ""en"", ""pt"")"),"Cozinheiros de fast-food")</f>
        <v>Cozinheiros de fast-food</v>
      </c>
      <c r="O1670" s="7" t="str">
        <f>IFERROR(__xludf.DUMMYFUNCTION("IF(M1670="""","""",GOOGLETRANSLATE(M1670,""en"",""pt""))"),"***2ª resposta à RFI*** Além disso, fornos (fornos de cozimento rápido) para assar itens do cardápio. Isso envolve não assar itens do zero, mas sim aquecer itens pré-preparados ou congelados usando sequências específicas de tempo e temperatura. ***1ª resp"&amp;"osta à RFI*** Preparar itens alimentícios, cozinhar proteínas de fast-food conforme solicitado pelos clientes no cardápio. Usar grelhas, como a chapa para hambúrgueres, fritadeiras para batatas fritas e outros alimentos fritos. Também usar fornos para ass"&amp;"ar itens do cardápio. Espátulas, facas e outros utensílios de cozinha também serão usados ​​pelos funcionários para o preparo de alimentos, incluindo o preparo de vegetais frescos e hambúrgueres. Os funcionários ajudarão a manter a cozinha do fast-food co"&amp;"m alta qualidade e altos padrões. ***Original*** Preparar itens alimentícios, cozinhar proteínas de fast-food conforme solicitado pelos clientes no cardápio. Ajudar a manter a cozinha do fast-food com alta qualidade e altos padrões. Classificação da vaga:"&amp;" 35-2011.00 - Cozinheiros, Fast Food. A classificação e descrição da vaga/setor incluem informações gerais sobre o cargo, conforme o ONET/OES e o Sistema de Classificação Industrial da América do Norte (NAICS). Consulte as Funções e a Ordem de Serviço par"&amp;"a obter mais informações. Requisitos da vaga: Experiência necessária: Não. Requisitos especiais: Não há requisitos especiais. Número de horas por semana: 37. Horário de trabalho (início/término): 8h30 às 16h30.")</f>
        <v>***2ª resposta à RFI*** Além disso, fornos (fornos de cozimento rápido) para assar itens do cardápio. Isso envolve não assar itens do zero, mas sim aquecer itens pré-preparados ou congelados usando sequências específicas de tempo e temperatura. ***1ª resposta à RFI*** Preparar itens alimentícios, cozinhar proteínas de fast-food conforme solicitado pelos clientes no cardápio. Usar grelhas, como a chapa para hambúrgueres, fritadeiras para batatas fritas e outros alimentos fritos. Também usar fornos para assar itens do cardápio. Espátulas, facas e outros utensílios de cozinha também serão usados ​​pelos funcionários para o preparo de alimentos, incluindo o preparo de vegetais frescos e hambúrgueres. Os funcionários ajudarão a manter a cozinha do fast-food com alta qualidade e altos padrões. ***Original*** Preparar itens alimentícios, cozinhar proteínas de fast-food conforme solicitado pelos clientes no cardápio. Ajudar a manter a cozinha do fast-food com alta qualidade e altos padrões. Classificação da vaga: 35-2011.00 - Cozinheiros, Fast Food. A classificação e descrição da vaga/setor incluem informações gerais sobre o cargo, conforme o ONET/OES e o Sistema de Classificação Industrial da América do Norte (NAICS). Consulte as Funções e a Ordem de Serviço para obter mais informações. Requisitos da vaga: Experiência necessária: Não. Requisitos especiais: Não há requisitos especiais. Número de horas por semana: 37. Horário de trabalho (início/término): 8h30 às 16h30.</v>
      </c>
    </row>
    <row r="1671" ht="20.25" customHeight="1">
      <c r="A1671" s="8" t="s">
        <v>7488</v>
      </c>
      <c r="B1671" s="8" t="s">
        <v>7489</v>
      </c>
      <c r="C1671" s="8" t="s">
        <v>1000</v>
      </c>
      <c r="D1671" s="8" t="s">
        <v>117</v>
      </c>
      <c r="E1671" s="9" t="s">
        <v>19</v>
      </c>
      <c r="F1671" s="9" t="s">
        <v>20</v>
      </c>
      <c r="G1671" s="9" t="s">
        <v>307</v>
      </c>
      <c r="H1671" s="8" t="s">
        <v>7490</v>
      </c>
      <c r="I1671" s="8" t="s">
        <v>7491</v>
      </c>
      <c r="J1671" s="9">
        <v>20.4</v>
      </c>
      <c r="K1671" s="9">
        <v>4.0</v>
      </c>
      <c r="L1671" s="8" t="s">
        <v>7492</v>
      </c>
      <c r="M1671" s="8" t="s">
        <v>7493</v>
      </c>
      <c r="N1671" s="7" t="str">
        <f>IFERROR(__xludf.DUMMYFUNCTION("GOOGLETRANSLATE(L1671, ""en"", ""pt"")"),"Ajudantes de Pintor")</f>
        <v>Ajudantes de Pintor</v>
      </c>
      <c r="O1671" s="7" t="str">
        <f>IFERROR(__xludf.DUMMYFUNCTION("IF(M1671="""","""",GOOGLETRANSLATE(M1671,""en"",""pt""))"),"Auxiliar pintores, instaladores de papel de parede e gesseiros, realizando tarefas que exigem menos habilidade. As tarefas incluem pequenos reparos em drywall, retoques de pintura, uso, fornecimento, instalação ou manuseio de materiais ou ferramentas, lim"&amp;"peza de unidades, áreas comuns e área de trabalho, além de preparação e reparo da área de trabalho e equipamentos. Classificação da vaga: 47-3014.00 - Auxiliares - Pintores, Instaladores de Papel de Parede, Gesseiros e Pedreiros de Estuque. A classificaçã"&amp;"o e descrição da vaga/setor incluem informações gerais sobre o cargo, de acordo com o ONET/OES e o Sistema de Classificação Industrial da América do Norte (NAICS). Consulte as Funções e a Ordem de Serviço para obter mais informações. Requisitos da vaga: E"&amp;"xperiência necessária: Não. Requisitos especiais: Capacidade de levantar e carregar 34 kg por 68 metros e suportar temperaturas extremas. Trabalho em alguns fins de semana. Número de horas por semana: 40. Horário de trabalho (início/término): 8h às 16h30.")</f>
        <v>Auxiliar pintores, instaladores de papel de parede e gesseiros, realizando tarefas que exigem menos habilidade. As tarefas incluem pequenos reparos em drywall, retoques de pintura, uso, fornecimento, instalação ou manuseio de materiais ou ferramentas, limpeza de unidades, áreas comuns e área de trabalho, além de preparação e reparo da área de trabalho e equipamentos. Classificação da vaga: 47-3014.00 - Auxiliares - Pintores, Instaladores de Papel de Parede, Gesseiros e Pedreiros de Estuque. A classificação e descrição da vaga/setor incluem informações gerais sobre o cargo, de acordo com o ONET/OES e o Sistema de Classificação Industrial da América do Norte (NAICS). Consulte as Funções e a Ordem de Serviço para obter mais informações. Requisitos da vaga: Experiência necessária: Não. Requisitos especiais: Capacidade de levantar e carregar 34 kg por 68 metros e suportar temperaturas extremas. Trabalho em alguns fins de semana. Número de horas por semana: 40. Horário de trabalho (início/término): 8h às 16h30.</v>
      </c>
    </row>
    <row r="1672" ht="20.25" customHeight="1">
      <c r="A1672" s="3" t="s">
        <v>7494</v>
      </c>
      <c r="B1672" s="3" t="s">
        <v>7489</v>
      </c>
      <c r="C1672" s="3" t="s">
        <v>1000</v>
      </c>
      <c r="D1672" s="3" t="s">
        <v>117</v>
      </c>
      <c r="E1672" s="4" t="s">
        <v>44</v>
      </c>
      <c r="F1672" s="4" t="s">
        <v>20</v>
      </c>
      <c r="G1672" s="4" t="s">
        <v>307</v>
      </c>
      <c r="H1672" s="3" t="s">
        <v>7490</v>
      </c>
      <c r="I1672" s="3" t="s">
        <v>7495</v>
      </c>
      <c r="J1672" s="4">
        <v>18.03</v>
      </c>
      <c r="K1672" s="4">
        <v>4.0</v>
      </c>
      <c r="L1672" s="3" t="s">
        <v>7496</v>
      </c>
      <c r="M1672" s="3" t="s">
        <v>7497</v>
      </c>
      <c r="N1672" s="7" t="str">
        <f>IFERROR(__xludf.DUMMYFUNCTION("GOOGLETRANSLATE(L1672, ""en"", ""pt"")"),"Zeladores")</f>
        <v>Zeladores</v>
      </c>
      <c r="O1672" s="7" t="str">
        <f>IFERROR(__xludf.DUMMYFUNCTION("IF(M1672="""","""",GOOGLETRANSLATE(M1672,""en"",""pt""))"),"Manter as unidades, edifícios e terrenos limpos e organizados. Executar tarefas de limpeza pesada, como limpeza de pisos, banheiros, lavagem de carpetes, paredes e vidros, e remoção de lixo. As tarefas podem incluir a manutenção de fornos e caldeiras, a r"&amp;"ealização de atividades de manutenção de rotina, a notificação da gerência sobre a necessidade de reparos e a limpeza de neve ou detritos da calçada. Classificação da vaga: 37-2011.00 - Zeladores e Faxineiros, exceto empregadas domésticas e faxineiras. A "&amp;"classificação e descrição da vaga/setor incluem informações gerais sobre o cargo, de acordo com o ONET/OES e o Sistema de Classificação Industrial da América do Norte (NAICS). Consulte as Funções e a Ordem de Serviço para obter mais informações. Requisito"&amp;"s da vaga: Experiência necessária: Não. Requisitos especiais: Trabalho em alguns fins de semana. Deve ser capaz de levantar e carregar 34 kg por 68 metros. Deve ser capaz de lidar com temperaturas extremas. Número de horas por semana: 40. Horário de traba"&amp;"lho (início/término): 8h às 16h30.")</f>
        <v>Manter as unidades, edifícios e terrenos limpos e organizados. Executar tarefas de limpeza pesada, como limpeza de pisos, banheiros, lavagem de carpetes, paredes e vidros, e remoção de lixo. As tarefas podem incluir a manutenção de fornos e caldeiras, a realização de atividades de manutenção de rotina, a notificação da gerência sobre a necessidade de reparos e a limpeza de neve ou detritos da calçada. Classificação da vaga: 37-2011.00 - Zeladores e Faxineiros, exceto empregadas domésticas e faxineiras. A classificação e descrição da vaga/setor incluem informações gerais sobre o cargo, de acordo com o ONET/OES e o Sistema de Classificação Industrial da América do Norte (NAICS). Consulte as Funções e a Ordem de Serviço para obter mais informações. Requisitos da vaga: Experiência necessária: Não. Requisitos especiais: Trabalho em alguns fins de semana. Deve ser capaz de levantar e carregar 34 kg por 68 metros. Deve ser capaz de lidar com temperaturas extremas. Número de horas por semana: 40. Horário de trabalho (início/término): 8h às 16h30.</v>
      </c>
    </row>
    <row r="1673" ht="20.25" customHeight="1">
      <c r="A1673" s="8" t="s">
        <v>7498</v>
      </c>
      <c r="B1673" s="8" t="s">
        <v>7499</v>
      </c>
      <c r="C1673" s="8" t="s">
        <v>17</v>
      </c>
      <c r="D1673" s="8" t="s">
        <v>109</v>
      </c>
      <c r="E1673" s="9" t="s">
        <v>19</v>
      </c>
      <c r="F1673" s="9" t="s">
        <v>20</v>
      </c>
      <c r="G1673" s="9" t="s">
        <v>56</v>
      </c>
      <c r="H1673" s="8" t="s">
        <v>7500</v>
      </c>
      <c r="I1673" s="8" t="s">
        <v>7501</v>
      </c>
      <c r="J1673" s="9">
        <v>18.69</v>
      </c>
      <c r="K1673" s="9">
        <v>2.0</v>
      </c>
      <c r="L1673" s="8" t="s">
        <v>1021</v>
      </c>
      <c r="M1673" s="8" t="s">
        <v>7502</v>
      </c>
      <c r="N1673" s="7" t="str">
        <f>IFERROR(__xludf.DUMMYFUNCTION("GOOGLETRANSLATE(L1673, ""en"", ""pt"")"),"Paisagista")</f>
        <v>Paisagista</v>
      </c>
      <c r="O1673" s="7" t="str">
        <f>IFERROR(__xludf.DUMMYFUNCTION("IF(M1673="""","""",GOOGLETRANSLATE(M1673,""en"",""pt""))"),"Os trabalhadores realizam trabalhos de paisagismo ou manutenção de terrenos utilizando ferramentas manuais ou elétricas. Normalmente, executam uma variedade de tarefas, que podem incluir qualquer combinação das seguintes: colocação de grama, corte de gram"&amp;"a, cobertura morta, poda, plantio, rega, fertilização, escavação, rastelagem, instalação de sistemas de irrigação e instalação de blocos de concreto pré-moldados sem argamassa. Recolhem e removem lixo. Utilizam ferramentas manuais, como pás, ancinhos, ser"&amp;"ras de poda, serras elétricas, aparadores de cerca viva ou de arbustos, ou machados. Operam veículos ou equipamentos motorizados, como cortadores de grama, tratores, veículos de dois eixos, sopradores de neve, motosserras, máquinas de cortar relva elétric"&amp;"as, cortadores de grama ou serras de poda. Regam gramados, árvores ou plantas, utilizando sistemas de irrigação portáteis, mangueiras ou regadores. Podam ou apararam árvores, arbustos ou cercas vivas, utilizando tesouras de poda, podadores ou motosserras."&amp;" Os trabalhadores podem ocasionalmente operar pás carregadeiras compactas e carrinhos de mão/similares para carregar, transportar, posicionar e remover materiais de paisagismo, auxiliando na instalação desses materiais nos canteiros de obras. Classificaçã"&amp;"o da função: 37-3011.00 - Trabalhadores de Paisagismo e Manutenção de Áreas Verdes. A classificação e descrição da função/setor incluem informações gerais sobre o cargo, de acordo com o ONET/OES e o Sistema de Classificação Industrial da América do Norte "&amp;"(NAICS). Consulte as Funções e a Ordem de Serviço para obter mais informações. Requisitos da função: Experiência necessária: Sim. Meses de experiência necessários: 3. Requisitos especiais: Requer três meses de experiência prévia em paisagismo. Deve ser ca"&amp;"paz de levantar/carregar 23 kg, quando necessário. Trabalho aos sábados e domingos, quando necessário. O empregador pode oferecer mais horas de trabalho do que as estipuladas, dependendo do clima, das necessidades da empresa e de outras condições. Calor e"&amp;"xtremo, frio, chuva ou seca podem afetar o horário de trabalho exato. Número de horas por semana: 35. Horário de trabalho (início/término): 8h às 16h.")</f>
        <v>Os trabalhadores realizam trabalhos de paisagismo ou manutenção de terrenos utilizando ferramentas manuais ou elétricas. Normalmente, executam uma variedade de tarefas, que podem incluir qualquer combinação das seguintes: colocação de grama, corte de grama, cobertura morta, poda, plantio, rega, fertilização, escavação, rastelagem, instalação de sistemas de irrigação e instalação de blocos de concreto pré-moldados sem argamassa. Recolhem e removem lixo. Utilizam ferramentas manuais, como pás, ancinhos, serras de poda, serras elétricas, aparadores de cerca viva ou de arbustos, ou machados. Operam veículos ou equipamentos motorizados, como cortadores de grama, tratores, veículos de dois eixos, sopradores de neve, motosserras, máquinas de cortar relva elétricas, cortadores de grama ou serras de poda. Regam gramados, árvores ou plantas, utilizando sistemas de irrigação portáteis, mangueiras ou regadores. Podam ou apararam árvores, arbustos ou cercas vivas, utilizando tesouras de poda, podadores ou motosserras. Os trabalhadores podem ocasionalmente operar pás carregadeiras compactas e carrinhos de mão/similares para carregar, transportar, posicionar e remover materiais de paisagismo, auxiliando na instalação desses materiais nos canteiros de obras. Classificação da função: 37-3011.00 - Trabalhadores de Paisagismo e Manutenção de Áreas Verdes. A classificação e descrição da função/setor incluem informações gerais sobre o cargo, de acordo com o ONET/OES e o Sistema de Classificação Industrial da América do Norte (NAICS). Consulte as Funções e a Ordem de Serviço para obter mais informações. Requisitos da função: Experiência necessária: Sim. Meses de experiência necessários: 3. Requisitos especiais: Requer três meses de experiência prévia em paisagismo. Deve ser capaz de levantar/carregar 23 kg, quando necessário. Trabalho aos sábados e domingos, quando necessário. O empregador pode oferecer mais horas de trabalho do que as estipuladas, dependendo do clima, das necessidades da empresa e de outras condições. Calor extremo, frio, chuva ou seca podem afetar o horário de trabalho exato. Número de horas por semana: 35. Horário de trabalho (início/término): 8h às 16h.</v>
      </c>
    </row>
    <row r="1674" ht="20.25" customHeight="1">
      <c r="A1674" s="3" t="s">
        <v>7503</v>
      </c>
      <c r="B1674" s="3" t="s">
        <v>7504</v>
      </c>
      <c r="C1674" s="3" t="s">
        <v>6228</v>
      </c>
      <c r="D1674" s="3" t="s">
        <v>532</v>
      </c>
      <c r="E1674" s="4" t="s">
        <v>19</v>
      </c>
      <c r="F1674" s="4" t="s">
        <v>20</v>
      </c>
      <c r="G1674" s="4" t="s">
        <v>4629</v>
      </c>
      <c r="H1674" s="3" t="s">
        <v>7505</v>
      </c>
      <c r="I1674" s="3" t="s">
        <v>7506</v>
      </c>
      <c r="J1674" s="4">
        <v>22.0</v>
      </c>
      <c r="K1674" s="4">
        <v>3.0</v>
      </c>
      <c r="L1674" s="3" t="s">
        <v>586</v>
      </c>
      <c r="M1674" s="3" t="s">
        <v>7507</v>
      </c>
      <c r="N1674" s="7" t="str">
        <f>IFERROR(__xludf.DUMMYFUNCTION("GOOGLETRANSLATE(L1674, ""en"", ""pt"")"),"Cozinheiro de linha")</f>
        <v>Cozinheiro de linha</v>
      </c>
      <c r="O1674" s="7" t="str">
        <f>IFERROR(__xludf.DUMMYFUNCTION("IF(M1674="""","""",GOOGLETRANSLATE(M1674,""en"",""pt""))"),"Criar e apresentar novas ideias ao Chef Executivo. Abastecer a cozinha diariamente com matérias-primas e ingredientes. Dominar todos os métodos básicos de culinária. Adquirir diariamente os ingredientes para a estação de trabalho designada. Auxiliar no pr"&amp;"eparo dos pratos de acordo com as fichas técnicas padrão, controlando as porções e minimizando o desperdício. Manter e limpar os equipamentos regularmente. Reportar imediatamente quaisquer riscos, condições de trabalho inseguras ou equipamentos que necess"&amp;"item de reparo/manutenção. Participar das reuniões do departamento quando necessário. Cumprir todas as normas de segurança alimentar e sanitárias. Cumprir as políticas e procedimentos da empresa e do departamento em todos os momentos. Executar quaisquer o"&amp;"utras tarefas que lhe forem atribuídas pela Gerência do Hotel e do departamento. Manter a limpeza e a organização da cozinha e das áreas de armazenamento em todos os momentos. Executar as receitas e seguir as receitas e os ingredientes da casa de forma rá"&amp;"pida e eficiente. Empratar e apresentar todos os pratos adequadamente. Demonstrar senso de urgência ao atender às necessidades dos hóspedes em todas as interações. Executar quaisquer outras tarefas que lhe forem atribuídas. Classificação da Função: 35-201"&amp;"4.00 - Cozinheiros, Restaurante. A classificação e descrição da função/setor inclui informações gerais sobre o cargo, de acordo com o ONET/OES e o Sistema de Classificação Industrial da América do Norte. Consulte as Funções e a Ordem de Serviço para obter"&amp;" mais informações. Requisitos da Função Experiência Necessária: Sim Meses de Experiência Necessários: 12 Requisitos Especiais: Experiência com o conceito ""da fazenda à mesa"" é altamente desejável. O empregador auxiliará o funcionário na obtenção do Cert"&amp;"ificado de Manipulador de Alimentos do Condado de Riverside, incluindo o custeio. Disponibilidade para trabalhar em horários flexíveis, incluindo noites, fins de semana e feriados, e em turnos com duração superior a oito (8) horas. Capacidade de trabalhar"&amp;" em equipe. Capacidade de manter a calma e o foco mesmo nos momentos de maior movimento. Capacidade de ler, escrever, falar e compreender inglês; outros idiomas são um diferencial. Capacidade de atender às demandas físicas da função, incluindo, entre outr"&amp;"as, trabalhar em ambientes internos e externos, ficar em pé, caminhar e se movimentar por períodos superiores a quatro (4) horas, além de levantar, carregar, curvar-se, agachar-se, alcançar, empurrar e puxar. Deve ser capaz de levantar 18 kg. Cada candida"&amp;"to (tanto trabalhadores americanos quanto estrangeiros/H-2B) deve preencher o formulário de emprego online padrão do empregador como parte do processo de contratação. O formulário é obrigatório para todos os candidatos e não impõe requisitos adicionais ou"&amp;" diferentes aos trabalhadores americanos. Os trabalhadores estarão sujeitos a testes de drogas mediante suspeita razoável, pagos pelo empregador e aplicados igualmente a todos os trabalhadores, americanos e estrangeiros/H-2B. Os trabalhadores estão sujeit"&amp;"os a verificação de antecedentes criminais, paga pelo empregador e aplicada igualmente a todos os trabalhadores, americanos e estrangeiros/H-2B. Número de horas por semana: 40. Horário de trabalho (início/término): 7h às 23h.")</f>
        <v>Criar e apresentar novas ideias ao Chef Executivo. Abastecer a cozinha diariamente com matérias-primas e ingredientes. Dominar todos os métodos básicos de culinária. Adquirir diariamente os ingredientes para a estação de trabalho designada. Auxiliar no preparo dos pratos de acordo com as fichas técnicas padrão, controlando as porções e minimizando o desperdício. Manter e limpar os equipamentos regularmente. Reportar imediatamente quaisquer riscos, condições de trabalho inseguras ou equipamentos que necessitem de reparo/manutenção. Participar das reuniões do departamento quando necessário. Cumprir todas as normas de segurança alimentar e sanitárias. Cumprir as políticas e procedimentos da empresa e do departamento em todos os momentos. Executar quaisquer outras tarefas que lhe forem atribuídas pela Gerência do Hotel e do departamento. Manter a limpeza e a organização da cozinha e das áreas de armazenamento em todos os momentos. Executar as receitas e seguir as receitas e os ingredientes da casa de forma rápida e eficiente. Empratar e apresentar todos os pratos adequadamente. Demonstrar senso de urgência ao atender às necessidades dos hóspedes em todas as interações. Executar quaisquer outras tarefas que lhe forem atribuídas. Classificação da Função: 35-2014.00 - Cozinheiros, Restaurante. A classificação e descrição da função/setor inclui informações gerais sobre o cargo, de acordo com o ONET/OES e o Sistema de Classificação Industrial da América do Norte. Consulte as Funções e a Ordem de Serviço para obter mais informações. Requisitos da Função Experiência Necessária: Sim Meses de Experiência Necessários: 12 Requisitos Especiais: Experiência com o conceito "da fazenda à mesa" é altamente desejável. O empregador auxiliará o funcionário na obtenção do Certificado de Manipulador de Alimentos do Condado de Riverside, incluindo o custeio. Disponibilidade para trabalhar em horários flexíveis, incluindo noites, fins de semana e feriados, e em turnos com duração superior a oito (8) horas. Capacidade de trabalhar em equipe. Capacidade de manter a calma e o foco mesmo nos momentos de maior movimento. Capacidade de ler, escrever, falar e compreender inglês; outros idiomas são um diferencial. Capacidade de atender às demandas físicas da função, incluindo, entre outras, trabalhar em ambientes internos e externos, ficar em pé, caminhar e se movimentar por períodos superiores a quatro (4) horas, além de levantar, carregar, curvar-se, agachar-se, alcançar, empurrar e puxar. Deve ser capaz de levantar 18 kg. Cada candidato (tanto trabalhadores americanos quanto estrangeiros/H-2B) deve preencher o formulário de emprego online padrão do empregador como parte do processo de contratação. O formulário é obrigatório para todos os candidatos e não impõe requisitos adicionais ou diferentes aos trabalhadores americanos. Os trabalhadores estarão sujeitos a testes de drogas mediante suspeita razoável, pagos pelo empregador e aplicados igualmente a todos os trabalhadores, americanos e estrangeiros/H-2B. Os trabalhadores estão sujeitos a verificação de antecedentes criminais, paga pelo empregador e aplicada igualmente a todos os trabalhadores, americanos e estrangeiros/H-2B. Número de horas por semana: 40. Horário de trabalho (início/término): 7h às 23h.</v>
      </c>
    </row>
    <row r="1675" ht="20.25" customHeight="1">
      <c r="A1675" s="8" t="s">
        <v>7508</v>
      </c>
      <c r="B1675" s="8" t="s">
        <v>7509</v>
      </c>
      <c r="C1675" s="8" t="s">
        <v>6228</v>
      </c>
      <c r="D1675" s="8" t="s">
        <v>532</v>
      </c>
      <c r="E1675" s="9" t="s">
        <v>44</v>
      </c>
      <c r="F1675" s="9" t="s">
        <v>20</v>
      </c>
      <c r="G1675" s="9" t="s">
        <v>4629</v>
      </c>
      <c r="H1675" s="8" t="s">
        <v>7505</v>
      </c>
      <c r="I1675" s="8" t="s">
        <v>7506</v>
      </c>
      <c r="J1675" s="9">
        <v>22.0</v>
      </c>
      <c r="K1675" s="9">
        <v>2.0</v>
      </c>
      <c r="L1675" s="8" t="s">
        <v>1206</v>
      </c>
      <c r="M1675" s="8" t="s">
        <v>7510</v>
      </c>
      <c r="N1675" s="7" t="str">
        <f>IFERROR(__xludf.DUMMYFUNCTION("GOOGLETRANSLATE(L1675, ""en"", ""pt"")"),"Servidor")</f>
        <v>Servidor</v>
      </c>
      <c r="O1675" s="7" t="str">
        <f>IFERROR(__xludf.DUMMYFUNCTION("IF(M1675="""","""",GOOGLETRANSLATE(M1675,""en"",""pt""))"),"Ter pleno conhecimento de todos os itens do cardápio, bebidas e vinhos. Preparar a área de trabalho para as tarefas de abertura, meio do turno e/ou fechamento. Preparar e servir bebidas, incluindo as alcoólicas. Verificar consistentemente a precisão dos p"&amp;"edidos de comida antes de entregá-los à mesa. Seguir as tarefas auxiliares afixadas durante os turnos e nos horários de menor movimento. Compreender as alergias alimentares e comunicá-las quando necessário. Seguir os procedimentos adequados de manipulação"&amp;" de alimentos, conforme a Certificação de Manipulador de Alimentos do Condado de Riverside. Promover um ambiente de trabalho seguro em todos os momentos. Manter os produtos bem abastecidos e organizados. Inserir todos os pedidos de comida e bebida no sist"&amp;"ema Jonas para que as contas dos membros sejam debitadas. Apresentar-se ao trabalho conforme agendado, uniformizado, com o ponto registrado e pronto para assumir o posto. Seguir as políticas do Clube e os procedimentos operacionais padrão. Comunicar-se co"&amp;"m a gerência de Alimentos e Bebidas para garantir a satisfação dos membros. Cumprimentar todos os membros formalmente, usando o sobrenome. Executar outras tarefas conforme atribuídas. Classificação do Cargo: 35-3031.00 - Garçons e Garçonetes. A classifica"&amp;"ção e descrição do cargo/setor inclui informações gerais sobre a posição, de acordo com o ONET/OES e o Sistema de Classificação Industrial da América do Norte. Consulte a Descrição das Funções e a Ordem de Serviço para obter mais informações. Requisitos d"&amp;"a Vaga Experiência Necessária: Sim Meses de Experiência Necessários: 6 Requisitos Especiais: Seis meses de experiência em serviço de alta gastronomia em restaurantes de grande movimento e com serviço completo, resorts ou clubes privados. Certificado de Ma"&amp;"nipulador de Alimentos do Condado de Riverside válido. Conhecimento básico de sistemas de ponto de venda (PDV), experiência com o sistema Jonas é desejável. Deve ser capaz de seguir instruções fornecidas por escrito, oralmente ou em forma de diagrama. Dev"&amp;"e ser capaz de se comunicar eficazmente com membros, convidados e colegas de trabalho. Deve ter disponibilidade para trabalhar em horários flexíveis, incluindo fins de semana e feriados. Deve ser capaz de permanecer em pé e caminhar por longos períodos, a"&amp;"té 8 horas, bem como sentar, agachar, alcançar, curvar-se, inclinar-se e girar o corpo. Deve ser capaz de levantar e carregar 14 kg. Deve ser capaz de trabalhar ao ar livre, exposto a diversas condições climáticas, como calor, frio, vento e chuva. Deve de"&amp;"monstrar competência conforme desenvolvido no programa de treinamento. Deve ser extrovertido, amigável, cortês e paciente. Manter uma aparência profissional e seguir as normas de uniforme. Cada candidato (tanto trabalhadores americanos quanto estrangeiros"&amp;"/com visto H-2B) deve preencher o formulário de emprego online padrão do empregador como parte do processo de contratação. O preenchimento do formulário é obrigatório para todos os candidatos e não impõe requisitos adicionais ou diferentes aos trabalhador"&amp;"es americanos. Os trabalhadores estarão sujeitos a testes de drogas mediante suspeita razoável, pagos pelo empregador e aplicados igualmente a todos os trabalhadores, americanos e estrangeiros/com visto H-2B. Os trabalhadores também estão sujeitos a verif"&amp;"icação de antecedentes criminais, paga pelo empregador e aplicada igualmente a todos os trabalhadores, americanos e estrangeiros/com visto H-2B. Número de horas por semana: 40. Horário de trabalho (início/término): 7h às 11h.")</f>
        <v>Ter pleno conhecimento de todos os itens do cardápio, bebidas e vinhos. Preparar a área de trabalho para as tarefas de abertura, meio do turno e/ou fechamento. Preparar e servir bebidas, incluindo as alcoólicas. Verificar consistentemente a precisão dos pedidos de comida antes de entregá-los à mesa. Seguir as tarefas auxiliares afixadas durante os turnos e nos horários de menor movimento. Compreender as alergias alimentares e comunicá-las quando necessário. Seguir os procedimentos adequados de manipulação de alimentos, conforme a Certificação de Manipulador de Alimentos do Condado de Riverside. Promover um ambiente de trabalho seguro em todos os momentos. Manter os produtos bem abastecidos e organizados. Inserir todos os pedidos de comida e bebida no sistema Jonas para que as contas dos membros sejam debitadas. Apresentar-se ao trabalho conforme agendado, uniformizado, com o ponto registrado e pronto para assumir o posto. Seguir as políticas do Clube e os procedimentos operacionais padrão. Comunicar-se com a gerência de Alimentos e Bebidas para garantir a satisfação dos membros. Cumprimentar todos os membros formalmente, usando o sobrenome. Executar outras tarefas conforme atribuídas. Classificação do Cargo: 35-3031.00 - Garçons e Garçonetes. A classificação e descrição do cargo/setor inclui informações gerais sobre a posição, de acordo com o ONET/OES e o Sistema de Classificação Industrial da América do Norte. Consulte a Descrição das Funções e a Ordem de Serviço para obter mais informações. Requisitos da Vaga Experiência Necessária: Sim Meses de Experiência Necessários: 6 Requisitos Especiais: Seis meses de experiência em serviço de alta gastronomia em restaurantes de grande movimento e com serviço completo, resorts ou clubes privados. Certificado de Manipulador de Alimentos do Condado de Riverside válido. Conhecimento básico de sistemas de ponto de venda (PDV), experiência com o sistema Jonas é desejável. Deve ser capaz de seguir instruções fornecidas por escrito, oralmente ou em forma de diagrama. Deve ser capaz de se comunicar eficazmente com membros, convidados e colegas de trabalho. Deve ter disponibilidade para trabalhar em horários flexíveis, incluindo fins de semana e feriados. Deve ser capaz de permanecer em pé e caminhar por longos períodos, até 8 horas, bem como sentar, agachar, alcançar, curvar-se, inclinar-se e girar o corpo. Deve ser capaz de levantar e carregar 14 kg. Deve ser capaz de trabalhar ao ar livre, exposto a diversas condições climáticas, como calor, frio, vento e chuva. Deve demonstrar competência conforme desenvolvido no programa de treinamento. Deve ser extrovertido, amigável, cortês e paciente. Manter uma aparência profissional e seguir as normas de uniforme. Cada candidato (tanto trabalhadores americanos quanto estrangeiros/com visto H-2B) deve preencher o formulário de emprego online padrão do empregador como parte do processo de contratação. O preenchimento do formulário é obrigatório para todos os candidatos e não impõe requisitos adicionais ou diferentes aos trabalhadores americanos. Os trabalhadores estarão sujeitos a testes de drogas mediante suspeita razoável, pagos pelo empregador e aplicados igualmente a todos os trabalhadores, americanos e estrangeiros/com visto H-2B. Os trabalhadores também estão sujeitos a verificação de antecedentes criminais, paga pelo empregador e aplicada igualmente a todos os trabalhadores, americanos e estrangeiros/com visto H-2B. Número de horas por semana: 40. Horário de trabalho (início/término): 7h às 11h.</v>
      </c>
    </row>
    <row r="1676" ht="20.25" customHeight="1">
      <c r="A1676" s="3" t="s">
        <v>7511</v>
      </c>
      <c r="B1676" s="3" t="s">
        <v>7512</v>
      </c>
      <c r="C1676" s="3" t="s">
        <v>7466</v>
      </c>
      <c r="D1676" s="3" t="s">
        <v>795</v>
      </c>
      <c r="E1676" s="4" t="s">
        <v>44</v>
      </c>
      <c r="F1676" s="4" t="s">
        <v>20</v>
      </c>
      <c r="G1676" s="4" t="s">
        <v>524</v>
      </c>
      <c r="H1676" s="3" t="s">
        <v>7513</v>
      </c>
      <c r="I1676" s="3" t="s">
        <v>7514</v>
      </c>
      <c r="J1676" s="4">
        <v>17.32</v>
      </c>
      <c r="K1676" s="4">
        <v>15.0</v>
      </c>
      <c r="L1676" s="3" t="s">
        <v>7515</v>
      </c>
      <c r="M1676" s="3" t="s">
        <v>7516</v>
      </c>
      <c r="N1676" s="7" t="str">
        <f>IFERROR(__xludf.DUMMYFUNCTION("GOOGLETRANSLATE(L1676, ""en"", ""pt"")"),"Atendente de Joalheria")</f>
        <v>Atendente de Joalheria</v>
      </c>
      <c r="O1676" s="7" t="str">
        <f>IFERROR(__xludf.DUMMYFUNCTION("IF(M1676="""","""",GOOGLETRANSLATE(M1676,""en"",""pt""))"),"Receber clientes, identificar suas necessidades, utilizar conhecimento do produto, habilidades de vendas e arquivos de clientes para fechar negócios com sucesso; manter o controle dos casos; atender ligações de clientes para novos pedidos, pagamentos, ava"&amp;"liações e/ou reparos; e encaminhar solicitações urgentes para a gerência por e-mail e correio. Os turnos variam das 9h às 23h; até 6 dias por semana; mínimo de 40 horas semanais e até 32 horas extras semanais. Classificação da vaga: 41-2031.00 - Vendedor("&amp;"a) de Varejo. A classificação e descrição da vaga/setor incluem informações gerais sobre o cargo, de acordo com o ONET/OES e o Sistema de Classificação Industrial da América do Norte (NAICS). Consulte as Funções e a Ordem de Serviço para obter mais inform"&amp;"ações. Requisitos da vaga: Experiência necessária: Sim. Meses de experiência necessários: 6. Requisitos especiais: Necessário ter 6 meses de experiência em vendas de joias de alto padrão. Idade mínima: 18 anos. Número de horas por semana: 40. Horário de t"&amp;"rabalho (início/término): 9h às 23h.")</f>
        <v>Receber clientes, identificar suas necessidades, utilizar conhecimento do produto, habilidades de vendas e arquivos de clientes para fechar negócios com sucesso; manter o controle dos casos; atender ligações de clientes para novos pedidos, pagamentos, avaliações e/ou reparos; e encaminhar solicitações urgentes para a gerência por e-mail e correio. Os turnos variam das 9h às 23h; até 6 dias por semana; mínimo de 40 horas semanais e até 32 horas extras semanais. Classificação da vaga: 41-2031.00 - Vendedor(a) de Varejo. A classificação e descrição da vaga/setor incluem informações gerais sobre o cargo, de acordo com o ONET/OES e o Sistema de Classificação Industrial da América do Norte (NAICS). Consulte as Funções e a Ordem de Serviço para obter mais informações. Requisitos da vaga: Experiência necessária: Sim. Meses de experiência necessários: 6. Requisitos especiais: Necessário ter 6 meses de experiência em vendas de joias de alto padrão. Idade mínima: 18 anos. Número de horas por semana: 40. Horário de trabalho (início/término): 9h às 23h.</v>
      </c>
    </row>
    <row r="1677" ht="20.25" customHeight="1">
      <c r="A1677" s="8" t="s">
        <v>7517</v>
      </c>
      <c r="B1677" s="8" t="s">
        <v>7512</v>
      </c>
      <c r="C1677" s="8" t="s">
        <v>7466</v>
      </c>
      <c r="D1677" s="8" t="s">
        <v>795</v>
      </c>
      <c r="E1677" s="9" t="s">
        <v>44</v>
      </c>
      <c r="F1677" s="9" t="s">
        <v>20</v>
      </c>
      <c r="G1677" s="9" t="s">
        <v>524</v>
      </c>
      <c r="H1677" s="8" t="s">
        <v>7513</v>
      </c>
      <c r="I1677" s="8" t="s">
        <v>7514</v>
      </c>
      <c r="J1677" s="9">
        <v>17.32</v>
      </c>
      <c r="K1677" s="9">
        <v>9.0</v>
      </c>
      <c r="L1677" s="8" t="s">
        <v>7518</v>
      </c>
      <c r="M1677" s="8" t="s">
        <v>7519</v>
      </c>
      <c r="N1677" s="7" t="str">
        <f>IFERROR(__xludf.DUMMYFUNCTION("GOOGLETRANSLATE(L1677, ""en"", ""pt"")"),"Vendedor(a) de Joias Finas")</f>
        <v>Vendedor(a) de Joias Finas</v>
      </c>
      <c r="O1677" s="7" t="str">
        <f>IFERROR(__xludf.DUMMYFUNCTION("IF(M1677="""","""",GOOGLETRANSLATE(M1677,""en"",""pt""))"),"Cumprimentar e criar uma conexão com cada cliente; ouvir atentamente para determinar suas necessidades e apresentar opções que as atendam; utilizar o conhecimento sobre diamantes, safiras, rubis, esmeraldas e tanzanitas, habilidades de vendas e cadastro d"&amp;"e clientes para fechar negócios com sucesso; manter as vitrines e áreas de estoque organizadas. Os turnos variam das 9h às 23h; até 6 dias por semana; mínimo de 40 horas semanais e até 32 horas extras semanais. Classificação da vaga: 41-2031.00 - Vendedor"&amp;"(a) de Varejo. A classificação e descrição da vaga/setor incluem informações gerais sobre o cargo, de acordo com o ONET/OES e o Sistema de Classificação Industrial da América do Norte. Consulte as Funções e a Ordem de Serviço para obter mais informações. "&amp;"Requisitos da vaga: Experiência necessária: Sim. Meses de experiência necessários: 6. Requisitos especiais: Necessário ter 6 meses de experiência em vendas de joias de alta qualidade, incluindo todas as seguintes pedras preciosas: diamantes, safiras, rubi"&amp;"s, esmeraldas e tanzanitas. Idade mínima: 18 anos. Número de horas por semana: 40. Horário de trabalho (início/término): 9h às 23h.")</f>
        <v>Cumprimentar e criar uma conexão com cada cliente; ouvir atentamente para determinar suas necessidades e apresentar opções que as atendam; utilizar o conhecimento sobre diamantes, safiras, rubis, esmeraldas e tanzanitas, habilidades de vendas e cadastro de clientes para fechar negócios com sucesso; manter as vitrines e áreas de estoque organizadas. Os turnos variam das 9h às 23h; até 6 dias por semana; mínimo de 40 horas semanais e até 32 horas extras semanais. Classificação da vaga: 41-2031.00 - Vendedor(a) de Varejo. A classificação e descrição da vaga/setor incluem informações gerais sobre o cargo, de acordo com o ONET/OES e o Sistema de Classificação Industrial da América do Norte. Consulte as Funções e a Ordem de Serviço para obter mais informações. Requisitos da vaga: Experiência necessária: Sim. Meses de experiência necessários: 6. Requisitos especiais: Necessário ter 6 meses de experiência em vendas de joias de alta qualidade, incluindo todas as seguintes pedras preciosas: diamantes, safiras, rubis, esmeraldas e tanzanitas. Idade mínima: 18 anos. Número de horas por semana: 40. Horário de trabalho (início/término): 9h às 23h.</v>
      </c>
    </row>
    <row r="1678" ht="20.25" customHeight="1">
      <c r="A1678" s="3" t="s">
        <v>7520</v>
      </c>
      <c r="B1678" s="3" t="s">
        <v>7521</v>
      </c>
      <c r="C1678" s="3" t="s">
        <v>7266</v>
      </c>
      <c r="D1678" s="3" t="s">
        <v>249</v>
      </c>
      <c r="E1678" s="4" t="s">
        <v>19</v>
      </c>
      <c r="F1678" s="4" t="s">
        <v>20</v>
      </c>
      <c r="G1678" s="4" t="s">
        <v>1829</v>
      </c>
      <c r="H1678" s="3" t="s">
        <v>7522</v>
      </c>
      <c r="I1678" s="3" t="s">
        <v>7523</v>
      </c>
      <c r="J1678" s="4">
        <v>17.41</v>
      </c>
      <c r="K1678" s="4">
        <v>4.0</v>
      </c>
      <c r="L1678" s="3" t="s">
        <v>165</v>
      </c>
      <c r="M1678" s="3" t="s">
        <v>7524</v>
      </c>
      <c r="N1678" s="7" t="str">
        <f>IFERROR(__xludf.DUMMYFUNCTION("GOOGLETRANSLATE(L1678, ""en"", ""pt"")"),"Trabalhador de remoção de neve")</f>
        <v>Trabalhador de remoção de neve</v>
      </c>
      <c r="O1678" s="7" t="str">
        <f>IFERROR(__xludf.DUMMYFUNCTION("IF(M1678="""","""",GOOGLETRANSLATE(M1678,""en"",""pt""))"),"Os trabalhadores de remoção de neve auxiliarão na limpeza de neve e gelo de propriedades comerciais e residenciais, calçadas, entradas, acessos para veículos, escadas, estacionamentos e caminhos de pedestres durante nevascas. Os trabalhadores usarão uma c"&amp;"ombinação de ferramentas manuais e equipamentos motorizados para remoção de neve. As funções incluem: remover neve com pá e aplicar agentes de degelo, como sal ou areia, na superfície; operar máquinas de remoção de neve manuais ou pequenas máquinas autopr"&amp;"opelidas (por exemplo, sopradores de neve de um assento, sopradores de neve ou varredoras motorizadas); remover neve de espaços apertados ou elevados (por exemplo, escadas, decks, telhados quando seguro); carregar e transportar manualmente sacos ou baldes"&amp;" de materiais de degelo (como sal ou cloreto de cálcio) e aplicá-los usando espalhadores manuais, manuais ou de mochila em calçadas, escadas e outras áreas de pedestres para evitar o acúmulo de gelo e garantir a segurança ao caminhar; manter o equipamento"&amp;" limpo e abastecido. Reportar mau funcionamento aos supervisores, armazenar com segurança as ferramentas de remoção de neve e os materiais de degelo no local e transportá-los manualmente entre as áreas de trabalho usando carrinhos de mão, trenós ou carreg"&amp;"ando-os conforme necessário, seguir todos os protocolos de segurança do local, incluindo os procedimentos adequados de descarte de neve, podendo auxiliar na limpeza pós-evento ou nos esforços de remoção de neve. O trabalho exigirá que o trabalhador esteja"&amp;" exposto às intempéries/ambiente externo, ruído, baixas temperaturas e use equipamentos de proteção/segurança comuns. O trabalhador deve ser atento aos detalhes, minucioso na execução das tarefas, cooperativo e responsável. Classificação do Cargo: 37-2011"&amp;".00 - Zeladores e Faxineiros, exceto Empregadas Domésticas e Faxineiros. A classificação e descrição do cargo/setor incluem informações gerais sobre a posição, de acordo com o ONET/OES e o Sistema de Classificação Industrial da América do Norte. Consulte "&amp;"as Funções e a Ordem de Serviço para obter mais informações. Requisitos do Cargo Experiência Necessária: Não Requisitos Especiais: O trabalho exigirá que o trabalhador realize atividades físicas como levantar, equilibrar-se, caminhar, curvar-se, abaixar-s"&amp;"e, alcançar, empurrar, puxar e usar pá. Necessário ser capaz de levantar 23 kg. Número de horas por semana: 35. Horário de trabalho (início/término): 7h às 15h.")</f>
        <v>Os trabalhadores de remoção de neve auxiliarão na limpeza de neve e gelo de propriedades comerciais e residenciais, calçadas, entradas, acessos para veículos, escadas, estacionamentos e caminhos de pedestres durante nevascas. Os trabalhadores usarão uma combinação de ferramentas manuais e equipamentos motorizados para remoção de neve. As funções incluem: remover neve com pá e aplicar agentes de degelo, como sal ou areia, na superfície; operar máquinas de remoção de neve manuais ou pequenas máquinas autopropelidas (por exemplo, sopradores de neve de um assento, sopradores de neve ou varredoras motorizadas); remover neve de espaços apertados ou elevados (por exemplo, escadas, decks, telhados quando seguro); carregar e transportar manualmente sacos ou baldes de materiais de degelo (como sal ou cloreto de cálcio) e aplicá-los usando espalhadores manuais, manuais ou de mochila em calçadas, escadas e outras áreas de pedestres para evitar o acúmulo de gelo e garantir a segurança ao caminhar; manter o equipamento limpo e abastecido. Reportar mau funcionamento aos supervisores, armazenar com segurança as ferramentas de remoção de neve e os materiais de degelo no local e transportá-los manualmente entre as áreas de trabalho usando carrinhos de mão, trenós ou carregando-os conforme necessário, seguir todos os protocolos de segurança do local, incluindo os procedimentos adequados de descarte de neve, podendo auxiliar na limpeza pós-evento ou nos esforços de remoção de neve. O trabalho exigirá que o trabalhador esteja exposto às intempéries/ambiente externo, ruído, baixas temperaturas e use equipamentos de proteção/segurança comuns. O trabalhador deve ser atento aos detalhes, minucioso na execução das tarefas, cooperativo e responsável. Classificação do Cargo: 37-2011.00 - Zeladores e Faxineiros, exceto Empregadas Domésticas e Faxineiros. A classificação e descrição do cargo/setor incluem informações gerais sobre a posição, de acordo com o ONET/OES e o Sistema de Classificação Industrial da América do Norte. Consulte as Funções e a Ordem de Serviço para obter mais informações. Requisitos do Cargo Experiência Necessária: Não Requisitos Especiais: O trabalho exigirá que o trabalhador realize atividades físicas como levantar, equilibrar-se, caminhar, curvar-se, abaixar-se, alcançar, empurrar, puxar e usar pá. Necessário ser capaz de levantar 23 kg. Número de horas por semana: 35. Horário de trabalho (início/término): 7h às 15h.</v>
      </c>
    </row>
    <row r="1679" ht="20.25" customHeight="1">
      <c r="A1679" s="8" t="s">
        <v>7525</v>
      </c>
      <c r="B1679" s="8" t="s">
        <v>7526</v>
      </c>
      <c r="C1679" s="8"/>
      <c r="D1679" s="8" t="s">
        <v>28</v>
      </c>
      <c r="E1679" s="9" t="s">
        <v>19</v>
      </c>
      <c r="F1679" s="9" t="s">
        <v>20</v>
      </c>
      <c r="G1679" s="9" t="s">
        <v>212</v>
      </c>
      <c r="H1679" s="8" t="s">
        <v>7527</v>
      </c>
      <c r="I1679" s="8" t="s">
        <v>7528</v>
      </c>
      <c r="J1679" s="9">
        <v>17.25</v>
      </c>
      <c r="K1679" s="9">
        <v>35.0</v>
      </c>
      <c r="L1679" s="8" t="s">
        <v>7529</v>
      </c>
      <c r="M1679" s="8" t="s">
        <v>7530</v>
      </c>
      <c r="N1679" s="7" t="str">
        <f>IFERROR(__xludf.DUMMYFUNCTION("GOOGLETRANSLATE(L1679, ""en"", ""pt"")"),"Trabalhador de Processamento de Frutos do Mar")</f>
        <v>Trabalhador de Processamento de Frutos do Mar</v>
      </c>
      <c r="O1679" s="7" t="str">
        <f>IFERROR(__xludf.DUMMYFUNCTION("IF(M1679="""","""",GOOGLETRANSLATE(M1679,""en"",""pt""))"),"A Perez Gulf Seafood Processing busca trinta e cinco (35) trabalhadores temporários em tempo integral para o processamento sazonal de frutos do mar em sua unidade de processamento localizada em Pierre Part, Louisiana, durante a temporada de processamento "&amp;"de ostras e camarões de 2026–2027. O emprego é temporário, com início em 1º de outubro de 2026 e término em 1º de junho de 2027. Os trabalhadores desempenham funções relacionadas ao recebimento, descarregamento, seleção, lavagem, inspeção, processamento, "&amp;"embalagem e preparação de ostras e camarões para distribuição comercial. Os trabalhadores recebem ostras e camarões frescos entregues na unidade de processamento e descarregam os frutos do mar dos caminhões de entrega utilizando métodos de manuseio manual"&amp;". Os trabalhadores transferem contêineres, sacos ou caixas de ostras e camarões para as áreas de processamento designadas, utilizando carrinhos, paleteiras, caixas plásticas e paleteiras manuais, quando aplicável. Os trabalhadores selecionam ostras e cama"&amp;"rões por tamanho, qualidade e requisitos de processamento, lavam os frutos do mar para remover detritos, produtos danificados, conchas e materiais estranhos e preparam os frutos do mar para o processamento. Os funcionários abrem ostras manualmente, utiliz"&amp;"ando facas próprias para ostras e outras ferramentas manuais apropriadas para abrir as conchas e extrair a carne. Inspecionam a carne das ostras, removem fragmentos de concha, enxaguam e limpam a carne, pesam, classificam, embalam, etiquetam, colocam no g"&amp;"elo, refrigeram e preparam as ostras para distribuição comercial. Também lavam, selecionam, descascam, retiram a veia, aparam, limpam, pesam, embalam, etiquetam, colocam no gelo, refrigeram e preparam camarões para distribuição comercial, utilizando desca"&amp;"scadores de camarão, facas de corte e outros equipamentos de processamento de frutos do mar. Outras tarefas incluem manusear os frutos do mar em mesas de processamento, manter as áreas de armazenamento refrigeradas, limpar e higienizar mesas de processame"&amp;"nto, equipamentos, ferramentas e áreas de trabalho, e manusear os frutos do mar de acordo com todas as normas aplicáveis ​​de segurança alimentar, saneamento e higiene. Os trabalhadores utilizam ferramentas e equipamentos padrão para processamento de frut"&amp;"os do mar, incluindo facas para ostras, ferramentas para abrir ostras, ferramentas para descascar e limpar camarões, facas de corte, tábuas de corte, mesas de processamento, balanças, mangueiras de água, estações de enxágue, recipientes de gelo, contêiner"&amp;"es de armazenamento, materiais de embalagem, carrinhos, transpaleteiras e paleteiras, quando aplicável. A função exige ficar em pé por longos períodos, movimentos repetitivos das mãos, levantamento frequente de peso e trabalho em condições frias, úmidas e"&amp;" molhadas, mantendo os padrões de qualidade do produto, higiene e segurança alimentar. O empregador fornecerá ou reembolsará o transporte de ida e volta e a diária, quando exigido pela legislação aplicável, do local de origem do trabalhador até o local de"&amp;" trabalho durante a primeira semana. Ao término do contrato de trabalho, ou em caso de demissão antecipada, o empregador fornecerá ou reembolsará os custos razoáveis ​​de transporte de retorno e diária até o local de origem do trabalhador. O empregador ta"&amp;"mbém fornecerá transporte de retorno e alimentação aos trabalhadores que não retornarem para casa por serem imediatamente contratados por outro empregador H-2B, quando exigido pela legislação aplicável. O empregador não fornecerá transporte de retorno ou "&amp;"alimentação aos trabalhadores que abandonarem o emprego voluntariamente ou forem demitidos por justa causa, de acordo com a legislação aplicável. Classificação da vaga: 53-7062.00 - Operários e Movimentadores de Carga, Estoque e Materiais. A classificação"&amp;" e descrição da vaga/setor incluem informações gerais sobre o cargo, conforme o ONET/OES e o Sistema de Classificação Industrial da América do Norte (NAICS). Consulte as Funções e a Ordem de Serviço para obter mais informações. Requisitos da vaga: Experiê"&amp;"ncia exigida: Sim. Meses de experiência exigidos: 3. Requisitos especiais: Os trabalhadores devem ter 3 meses de experiência comprovada em processamento de frutos do mar ou alimentos em uma fábrica de processamento de frutos do mar; não é exigida escolari"&amp;"dade; devem estar dispostos a trabalhar em regime de turnos rotativos e em um ambiente frio e úmido; o trabalhador deve estar disposto e apto a permanecer em pé para realizar as tarefas. Número de horas por semana: 40 Horário de trabalho (início/término):"&amp;" 22h00 - 6h00")</f>
        <v>A Perez Gulf Seafood Processing busca trinta e cinco (35) trabalhadores temporários em tempo integral para o processamento sazonal de frutos do mar em sua unidade de processamento localizada em Pierre Part, Louisiana, durante a temporada de processamento de ostras e camarões de 2026–2027. O emprego é temporário, com início em 1º de outubro de 2026 e término em 1º de junho de 2027. Os trabalhadores desempenham funções relacionadas ao recebimento, descarregamento, seleção, lavagem, inspeção, processamento, embalagem e preparação de ostras e camarões para distribuição comercial. Os trabalhadores recebem ostras e camarões frescos entregues na unidade de processamento e descarregam os frutos do mar dos caminhões de entrega utilizando métodos de manuseio manual. Os trabalhadores transferem contêineres, sacos ou caixas de ostras e camarões para as áreas de processamento designadas, utilizando carrinhos, paleteiras, caixas plásticas e paleteiras manuais, quando aplicável. Os trabalhadores selecionam ostras e camarões por tamanho, qualidade e requisitos de processamento, lavam os frutos do mar para remover detritos, produtos danificados, conchas e materiais estranhos e preparam os frutos do mar para o processamento. Os funcionários abrem ostras manualmente, utilizando facas próprias para ostras e outras ferramentas manuais apropriadas para abrir as conchas e extrair a carne. Inspecionam a carne das ostras, removem fragmentos de concha, enxaguam e limpam a carne, pesam, classificam, embalam, etiquetam, colocam no gelo, refrigeram e preparam as ostras para distribuição comercial. Também lavam, selecionam, descascam, retiram a veia, aparam, limpam, pesam, embalam, etiquetam, colocam no gelo, refrigeram e preparam camarões para distribuição comercial, utilizando descascadores de camarão, facas de corte e outros equipamentos de processamento de frutos do mar. Outras tarefas incluem manusear os frutos do mar em mesas de processamento, manter as áreas de armazenamento refrigeradas, limpar e higienizar mesas de processamento, equipamentos, ferramentas e áreas de trabalho, e manusear os frutos do mar de acordo com todas as normas aplicáveis ​​de segurança alimentar, saneamento e higiene. Os trabalhadores utilizam ferramentas e equipamentos padrão para processamento de frutos do mar, incluindo facas para ostras, ferramentas para abrir ostras, ferramentas para descascar e limpar camarões, facas de corte, tábuas de corte, mesas de processamento, balanças, mangueiras de água, estações de enxágue, recipientes de gelo, contêineres de armazenamento, materiais de embalagem, carrinhos, transpaleteiras e paleteiras, quando aplicável. A função exige ficar em pé por longos períodos, movimentos repetitivos das mãos, levantamento frequente de peso e trabalho em condições frias, úmidas e molhadas, mantendo os padrões de qualidade do produto, higiene e segurança alimentar. O empregador fornecerá ou reembolsará o transporte de ida e volta e a diária, quando exigido pela legislação aplicável, do local de origem do trabalhador até o local de trabalho durante a primeira semana. Ao término do contrato de trabalho, ou em caso de demissão antecipada, o empregador fornecerá ou reembolsará os custos razoáveis ​​de transporte de retorno e diária até o local de origem do trabalhador. O empregador também fornecerá transporte de retorno e alimentação aos trabalhadores que não retornarem para casa por serem imediatamente contratados por outro empregador H-2B, quando exigido pela legislação aplicável. O empregador não fornecerá transporte de retorno ou alimentação aos trabalhadores que abandonarem o emprego voluntariamente ou forem demitidos por justa causa, de acordo com a legislação aplicável. Classificação da vaga: 53-7062.00 - Operários e Movimentadores de Carga, Estoque e Materiais. A classificação e descrição da vaga/setor incluem informações gerais sobre o cargo, conforme o ONET/OES e o Sistema de Classificação Industrial da América do Norte (NAICS). Consulte as Funções e a Ordem de Serviço para obter mais informações. Requisitos da vaga: Experiência exigida: Sim. Meses de experiência exigidos: 3. Requisitos especiais: Os trabalhadores devem ter 3 meses de experiência comprovada em processamento de frutos do mar ou alimentos em uma fábrica de processamento de frutos do mar; não é exigida escolaridade; devem estar dispostos a trabalhar em regime de turnos rotativos e em um ambiente frio e úmido; o trabalhador deve estar disposto e apto a permanecer em pé para realizar as tarefas. Número de horas por semana: 40 Horário de trabalho (início/término): 22h00 - 6h00</v>
      </c>
    </row>
    <row r="1680" ht="20.25" customHeight="1">
      <c r="A1680" s="3" t="s">
        <v>7531</v>
      </c>
      <c r="B1680" s="3" t="s">
        <v>7532</v>
      </c>
      <c r="C1680" s="3" t="s">
        <v>7533</v>
      </c>
      <c r="D1680" s="3" t="s">
        <v>64</v>
      </c>
      <c r="E1680" s="4" t="s">
        <v>19</v>
      </c>
      <c r="F1680" s="4" t="s">
        <v>20</v>
      </c>
      <c r="G1680" s="4" t="s">
        <v>118</v>
      </c>
      <c r="H1680" s="3" t="s">
        <v>7534</v>
      </c>
      <c r="I1680" s="3" t="s">
        <v>7535</v>
      </c>
      <c r="J1680" s="4">
        <v>18.93</v>
      </c>
      <c r="K1680" s="4">
        <v>135.0</v>
      </c>
      <c r="L1680" s="3" t="s">
        <v>406</v>
      </c>
      <c r="M1680" s="3" t="s">
        <v>7536</v>
      </c>
      <c r="N1680" s="7" t="str">
        <f>IFERROR(__xludf.DUMMYFUNCTION("GOOGLETRANSLATE(L1680, ""en"", ""pt"")"),"Trabalhador")</f>
        <v>Trabalhador</v>
      </c>
      <c r="O1680" s="7" t="str">
        <f>IFERROR(__xludf.DUMMYFUNCTION("IF(M1680="""","""",GOOGLETRANSLATE(M1680,""en"",""pt""))"),"Remover e podar arbustos, descartar galhos, rastelar e limpar o terreno e os detritos restantes, plantar, espalhar cobertura morta, remover folhas, semear azevém, paisagismo sazonal. Classificação da vaga: 37-3011.00 - Trabalhadores de Paisagismo e Manute"&amp;"nção de Áreas Verdes. A classificação e descrição da vaga/setor incluem informações gerais sobre o cargo, de acordo com o ONET/OES e o Sistema de Classificação Industrial da América do Norte. Consulte as Funções e a Ordem de Serviço para obter mais inform"&amp;"ações. Requisitos da vaga: Experiência necessária: Sim. Meses de experiência necessários: 3. Número de horas por semana: 40. Horário de trabalho (início/término): 8h às 17h.")</f>
        <v>Remover e podar arbustos, descartar galhos, rastelar e limpar o terreno e os detritos restantes, plantar, espalhar cobertura morta, remover folhas, semear azevém, paisagismo sazonal. Classificação da vaga: 37-3011.00 - Trabalhadores de Paisagismo e Manutenção de Áreas Verdes. A classificação e descrição da vaga/setor incluem informações gerais sobre o cargo, de acordo com o ONET/OES e o Sistema de Classificação Industrial da América do Norte. Consulte as Funções e a Ordem de Serviço para obter mais informações. Requisitos da vaga: Experiência necessária: Sim. Meses de experiência necessários: 3. Número de horas por semana: 40. Horário de trabalho (início/término): 8h às 17h.</v>
      </c>
    </row>
    <row r="1681" ht="20.25" customHeight="1">
      <c r="A1681" s="8" t="s">
        <v>7537</v>
      </c>
      <c r="B1681" s="8" t="s">
        <v>7538</v>
      </c>
      <c r="C1681" s="8" t="s">
        <v>4247</v>
      </c>
      <c r="D1681" s="8" t="s">
        <v>71</v>
      </c>
      <c r="E1681" s="9" t="s">
        <v>19</v>
      </c>
      <c r="F1681" s="9" t="s">
        <v>20</v>
      </c>
      <c r="G1681" s="9" t="s">
        <v>3239</v>
      </c>
      <c r="H1681" s="8" t="s">
        <v>7539</v>
      </c>
      <c r="I1681" s="8" t="s">
        <v>7540</v>
      </c>
      <c r="J1681" s="9">
        <v>22.66</v>
      </c>
      <c r="K1681" s="9">
        <v>30.0</v>
      </c>
      <c r="L1681" s="8" t="s">
        <v>4250</v>
      </c>
      <c r="M1681" s="8" t="s">
        <v>7541</v>
      </c>
      <c r="N1681" s="7" t="str">
        <f>IFERROR(__xludf.DUMMYFUNCTION("GOOGLETRANSLATE(L1681, ""en"", ""pt"")"),"49-9098: Ajudantes — Trabalhos de instalação, manutenção e reparo")</f>
        <v>49-9098: Ajudantes — Trabalhos de instalação, manutenção e reparo</v>
      </c>
      <c r="O1681" s="7" t="str">
        <f>IFERROR(__xludf.DUMMYFUNCTION("IF(M1681="""","""",GOOGLETRANSLATE(M1681,""en"",""pt""))"),"***2ª resposta à RFI*** Tarefas executadas em veículos: Limpeza. Ferramentas utilizadas: Pode-se usar vassoura, pano e sabão. Tarefas executadas em máquinas industriais. Para esclarecer, as máquinas industriais incluem brinquedos de parques de diversões, "&amp;"trailers de venda de alimentos e equipamentos relacionados. Substituição de peças defeituosas ou desgastadas, como lâmpadas, interruptores, correias e mangueiras. Lixar, raspar e limpar superfícies e estruturas para manter a aparência e evitar ferrugem ou"&amp;" deterioração. Ferramentas utilizadas: Pode-se usar as seguintes ferramentas, equipamentos e materiais ao executar as tarefas atribuídas: Chaves de boca, jogos de soquetes e catracas, chaves de fenda, alicates, martelos, alavancas, trena, chaves ajustávei"&amp;"s, lixa, lápis e luvas. Serão utilizadas escadas, aspiradores de pó e equipamentos e suprimentos de limpeza, como esponjas, panos e sabão. Tarefas executadas em equipamentos elétricos e eletrônicos. Para esclarecer, os equipamentos elétricos e eletrônicos"&amp;" nos quais será trabalhado incluem os sistemas de som e as caixas de controle presentes nos brinquedos de parques de diversões. As tarefas incluem a limpeza de poeira e detritos que possam ter se acumulado no sistema, a substituição de lâmpadas e a coloca"&amp;"ção de abraçadeiras ou fixadores similares na fiação. Ferramentas: Podem ser utilizadas as seguintes ferramentas, equipamentos e materiais para a execução das tarefas: chaves, conjuntos de soquetes e catracas, chaves de fenda, alicates, martelos, alavanca"&amp;"s, trena, chaves ajustáveis, lixa, latas de ar comprimido, lápis e luvas. Serão utilizadas escadas, aspiradores de pó e equipamentos e materiais de limpeza, como esponjas, panos e sabão. ***Resposta à Solicitação de Informações*** Tarefas específicas e fe"&amp;"rramentas utilizadas para a execução dessas tarefas: Os trabalhadores auxiliarão na instalação, montagem e desmontagem de brinquedos de parques de diversões, trailers de alimentação e equipamentos relacionados. Substituirão peças defeituosas ou desgastada"&amp;"s, como lâmpadas, interruptores, correias e mangueiras. Lixarão, rasparão e limparão trailers, superfícies e estruturas metálicas para manter a aparência e evitar ferrugem ou deterioração. Verificarão e substituirão lâmpadas, soquetes, fusíveis e luminári"&amp;"as conforme necessário. Limparão e manterão as áreas de trabalho. Os trabalhadores podem utilizar as seguintes ferramentas, equipamentos e materiais ao desempenharem suas funções: chaves, conjuntos de soquetes e catracas, chaves de fenda, alicates, martel"&amp;"os, alavancas, trenas e chaves ajustáveis. Utilizarão escadas, aspiradores de pó e equipamentos e materiais de limpeza, como esponjas, panos e sabão. Não serão realizados serviços em veículos, máquinas industriais ou equipamentos elétricos e eletrônicos, "&amp;"apenas em brinquedos de parques de diversões, trailers de alimentação e equipamentos relacionados. Não serão realizados trabalhos em motores a diesel. O trabalho será realizado no ""Quartel de Inverno"" do parque de diversões, onde os equipamentos são est"&amp;"acionados quando não estão em operação. ***Original*** Auxiliar os trabalhadores de instalação, manutenção e reparo na manutenção, substituição de peças e reparo de veículos, máquinas industriais e equipamentos elétricos e eletrônicos. Executar tarefas co"&amp;"mo fornecer ferramentas, materiais e suprimentos a outros trabalhadores; limpar a área de trabalho, máquinas e ferramentas; e segurar materiais ou ferramentas para outros trabalhadores. Classificação da Função: 49-9071.00 - Trabalhadores de Manutenção e R"&amp;"eparo, Geral. A classificação e descrição da função/setor inclui informações gerais sobre o cargo, conforme o ONET/OES e o Sistema de Classificação Industrial da América do Norte (NAICS). Consulte as Funções e a Ordem de Serviço para obter mais informaçõe"&amp;"s. Requisitos da Função Experiência Necessária: Não. Requisitos Especiais: Testes aleatórios de drogas e verificação de antecedentes criminais após a contratação podem ser exigidos, sem custo para o trabalhador. A função exige que o candidato seja qualifi"&amp;"cado, esteja pronto, disposto, apto e disponível para desempenhar suas funções durante todo o período de emprego no local de trabalho designado; para firmar e cumprir o contrato de trabalho; e para seguir as normas do local de trabalho. Número de Horas po"&amp;"r Semana: 35. Horário de Trabalho (Início/Término): 8h às 16h.")</f>
        <v>***2ª resposta à RFI*** Tarefas executadas em veículos: Limpeza. Ferramentas utilizadas: Pode-se usar vassoura, pano e sabão. Tarefas executadas em máquinas industriais. Para esclarecer, as máquinas industriais incluem brinquedos de parques de diversões, trailers de venda de alimentos e equipamentos relacionados. Substituição de peças defeituosas ou desgastadas, como lâmpadas, interruptores, correias e mangueiras. Lixar, raspar e limpar superfícies e estruturas para manter a aparência e evitar ferrugem ou deterioração. Ferramentas utilizadas: Pode-se usar as seguintes ferramentas, equipamentos e materiais ao executar as tarefas atribuídas: Chaves de boca, jogos de soquetes e catracas, chaves de fenda, alicates, martelos, alavancas, trena, chaves ajustáveis, lixa, lápis e luvas. Serão utilizadas escadas, aspiradores de pó e equipamentos e suprimentos de limpeza, como esponjas, panos e sabão. Tarefas executadas em equipamentos elétricos e eletrônicos. Para esclarecer, os equipamentos elétricos e eletrônicos nos quais será trabalhado incluem os sistemas de som e as caixas de controle presentes nos brinquedos de parques de diversões. As tarefas incluem a limpeza de poeira e detritos que possam ter se acumulado no sistema, a substituição de lâmpadas e a colocação de abraçadeiras ou fixadores similares na fiação. Ferramentas: Podem ser utilizadas as seguintes ferramentas, equipamentos e materiais para a execução das tarefas: chaves, conjuntos de soquetes e catracas, chaves de fenda, alicates, martelos, alavancas, trena, chaves ajustáveis, lixa, latas de ar comprimido, lápis e luvas. Serão utilizadas escadas, aspiradores de pó e equipamentos e materiais de limpeza, como esponjas, panos e sabão. ***Resposta à Solicitação de Informações*** Tarefas específicas e ferramentas utilizadas para a execução dessas tarefas: Os trabalhadores auxiliarão na instalação, montagem e desmontagem de brinquedos de parques de diversões, trailers de alimentação e equipamentos relacionados. Substituirão peças defeituosas ou desgastadas, como lâmpadas, interruptores, correias e mangueiras. Lixarão, rasparão e limparão trailers, superfícies e estruturas metálicas para manter a aparência e evitar ferrugem ou deterioração. Verificarão e substituirão lâmpadas, soquetes, fusíveis e luminárias conforme necessário. Limparão e manterão as áreas de trabalho. Os trabalhadores podem utilizar as seguintes ferramentas, equipamentos e materiais ao desempenharem suas funções: chaves, conjuntos de soquetes e catracas, chaves de fenda, alicates, martelos, alavancas, trenas e chaves ajustáveis. Utilizarão escadas, aspiradores de pó e equipamentos e materiais de limpeza, como esponjas, panos e sabão. Não serão realizados serviços em veículos, máquinas industriais ou equipamentos elétricos e eletrônicos, apenas em brinquedos de parques de diversões, trailers de alimentação e equipamentos relacionados. Não serão realizados trabalhos em motores a diesel. O trabalho será realizado no "Quartel de Inverno" do parque de diversões, onde os equipamentos são estacionados quando não estão em operação. ***Original*** Auxiliar os trabalhadores de instalação, manutenção e reparo na manutenção, substituição de peças e reparo de veículos, máquinas industriais e equipamentos elétricos e eletrônicos. Executar tarefas como fornecer ferramentas, materiais e suprimentos a outros trabalhadores; limpar a área de trabalho, máquinas e ferramentas; e segurar materiais ou ferramentas para outros trabalhadores. Classificação da Função: 49-9071.00 - Trabalhadores de Manutenção e Reparo, Geral. A classificação e descrição da função/setor inclui informações gerais sobre o cargo, conforme o ONET/OES e o Sistema de Classificação Industrial da América do Norte (NAICS). Consulte as Funções e a Ordem de Serviço para obter mais informações. Requisitos da Função Experiência Necessária: Não. Requisitos Especiais: Testes aleatórios de drogas e verificação de antecedentes criminais após a contratação podem ser exigidos, sem custo para o trabalhador. A função exige que o candidato seja qualificado, esteja pronto, disposto, apto e disponível para desempenhar suas funções durante todo o período de emprego no local de trabalho designado; para firmar e cumprir o contrato de trabalho; e para seguir as normas do local de trabalho. Número de Horas por Semana: 35. Horário de Trabalho (Início/Término): 8h às 16h.</v>
      </c>
    </row>
    <row r="1682" ht="20.25" customHeight="1">
      <c r="A1682" s="3" t="s">
        <v>7542</v>
      </c>
      <c r="B1682" s="3" t="s">
        <v>7543</v>
      </c>
      <c r="C1682" s="3" t="s">
        <v>4247</v>
      </c>
      <c r="D1682" s="3" t="s">
        <v>64</v>
      </c>
      <c r="E1682" s="4" t="s">
        <v>44</v>
      </c>
      <c r="F1682" s="4" t="s">
        <v>20</v>
      </c>
      <c r="G1682" s="4" t="s">
        <v>4493</v>
      </c>
      <c r="H1682" s="3" t="s">
        <v>7544</v>
      </c>
      <c r="I1682" s="3" t="s">
        <v>7545</v>
      </c>
      <c r="J1682" s="4">
        <v>21.78</v>
      </c>
      <c r="K1682" s="4">
        <v>10.0</v>
      </c>
      <c r="L1682" s="3" t="s">
        <v>4250</v>
      </c>
      <c r="M1682" s="3" t="s">
        <v>7546</v>
      </c>
      <c r="N1682" s="7" t="str">
        <f>IFERROR(__xludf.DUMMYFUNCTION("GOOGLETRANSLATE(L1682, ""en"", ""pt"")"),"49-9098: Ajudantes — Trabalhos de instalação, manutenção e reparo")</f>
        <v>49-9098: Ajudantes — Trabalhos de instalação, manutenção e reparo</v>
      </c>
      <c r="O1682" s="7" t="str">
        <f>IFERROR(__xludf.DUMMYFUNCTION("IF(M1682="""","""",GOOGLETRANSLATE(M1682,""en"",""pt""))"),"***2ª resposta à RFI*** Tarefas executadas em veículos: Limpeza. Ferramentas utilizadas: Pode-se usar vassoura, pano e sabão. Tarefas executadas em máquinas industriais. Para esclarecer, as máquinas industriais incluem brinquedos de parques de diversões, "&amp;"trailers de venda de alimentos e equipamentos relacionados. Substituição de peças defeituosas ou desgastadas, como lâmpadas, interruptores, correias e mangueiras. Lixar, raspar e limpar superfícies e estruturas para manter a aparência e evitar ferrugem ou"&amp;" deterioração. Ferramentas utilizadas: Pode-se usar as seguintes ferramentas, equipamentos e materiais ao executar as tarefas atribuídas: Chaves de boca, jogos de soquetes e catracas, chaves de fenda, alicates, martelos, alavancas, trena, chaves ajustávei"&amp;"s, lixa, lápis e luvas. Serão utilizadas escadas, aspiradores de pó e equipamentos e suprimentos de limpeza, como esponjas, panos e sabão. Tarefas executadas em equipamentos elétricos e eletrônicos. Para esclarecer, os equipamentos elétricos e eletrônicos"&amp;" nos quais será trabalhado incluem os sistemas de som e as caixas de controle presentes nos brinquedos de parques de diversões. As tarefas incluem a limpeza de poeira e detritos que possam ter se acumulado no sistema, a substituição de lâmpadas e a coloca"&amp;"ção de abraçadeiras ou fixadores similares na fiação. Ferramentas: Podem ser utilizadas as seguintes ferramentas, equipamentos e materiais para a execução das tarefas: chaves, conjuntos de soquetes e catracas, chaves de fenda, alicates, martelos, alavanca"&amp;"s, trena, chaves ajustáveis, lixa, latas de ar comprimido, lápis e luvas. Serão utilizadas escadas, aspiradores de pó e equipamentos e materiais de limpeza, como esponjas, panos e sabão. ***1ª resposta à RFI*** Tarefas específicas e ferramentas utilizadas"&amp;" para a execução dessas tarefas: Os trabalhadores auxiliarão na montagem e desmontagem, para fins de revisão e reparo, de brinquedos de parques de diversões, trailers de alimentação e equipamentos relacionados. Substituirão peças defeituosas ou desgastada"&amp;"s, como lâmpadas, interruptores, correias e mangueiras. Lixarão, rasparão e limparão trailers, superfícies e estruturas metálicas para manter a aparência e evitar ferrugem ou deterioração. Verificarão e substituirão lâmpadas, soquetes, fusíveis e luminári"&amp;"as, conforme necessário. Limpar e manter as áreas de trabalho. Os trabalhadores podem usar as seguintes ferramentas, equipamentos e materiais ao executar as tarefas atribuídas: chaves, conjuntos de soquetes e catracas, chaves de fenda, alicates, martelos,"&amp;" alavancas, trena, chaves ajustáveis, lixa, lápis e luvas. Eles usarão escadas, aspiradores de pó e equipamentos e suprimentos de limpeza, como esponjas, panos e sabão. Não serão realizados serviços em veículos, máquinas industriais ou equipamentos elétri"&amp;"cos e eletrônicos, apenas em brinquedos de parques de diversões, trailers de concessão de alimentos e equipamentos relacionados. Nenhum trabalho será realizado em motores a diesel. O trabalho será realizado no ""Quartel de Inverno"" do parque de diversões"&amp;", onde os equipamentos são estacionados quando não estão em operação. ***Original*** Auxiliar os trabalhadores de instalação, manutenção e reparo na manutenção, substituição de peças e reparo de veículos, máquinas industriais e equipamentos elétricos e el"&amp;"etrônicos. Executar tarefas como fornecer ferramentas, materiais e suprimentos para outros trabalhadores; limpar a área de trabalho, máquinas e ferramentas; e segurar materiais ou ferramentas para outros trabalhadores. Classificação da Função: 49-9071.00 "&amp;"- Trabalhadores de Manutenção e Reparo, Geral. A classificação e descrição da função/setor inclui informações gerais sobre o cargo, conforme o ONET/OES e o Sistema de Classificação Industrial da América do Norte (NAICS). Consulte as Funções e a Ordem de S"&amp;"erviço para obter mais informações. Requisitos da Função Experiência Necessária: Não. Requisitos Especiais: Testes aleatórios de drogas e verificação de antecedentes criminais após a contratação podem ser exigidos, sem custo para o trabalhador. A função e"&amp;"xige que o candidato seja qualificado, esteja pronto, disposto, apto e disponível para desempenhar suas funções durante todo o período de emprego no local de trabalho designado; para firmar e cumprir o contrato de trabalho; e para seguir as normas do loca"&amp;"l de trabalho. Número de Horas por Semana: 35. Horário de Trabalho (Início/Término): 8h às 16h.")</f>
        <v>***2ª resposta à RFI*** Tarefas executadas em veículos: Limpeza. Ferramentas utilizadas: Pode-se usar vassoura, pano e sabão. Tarefas executadas em máquinas industriais. Para esclarecer, as máquinas industriais incluem brinquedos de parques de diversões, trailers de venda de alimentos e equipamentos relacionados. Substituição de peças defeituosas ou desgastadas, como lâmpadas, interruptores, correias e mangueiras. Lixar, raspar e limpar superfícies e estruturas para manter a aparência e evitar ferrugem ou deterioração. Ferramentas utilizadas: Pode-se usar as seguintes ferramentas, equipamentos e materiais ao executar as tarefas atribuídas: Chaves de boca, jogos de soquetes e catracas, chaves de fenda, alicates, martelos, alavancas, trena, chaves ajustáveis, lixa, lápis e luvas. Serão utilizadas escadas, aspiradores de pó e equipamentos e suprimentos de limpeza, como esponjas, panos e sabão. Tarefas executadas em equipamentos elétricos e eletrônicos. Para esclarecer, os equipamentos elétricos e eletrônicos nos quais será trabalhado incluem os sistemas de som e as caixas de controle presentes nos brinquedos de parques de diversões. As tarefas incluem a limpeza de poeira e detritos que possam ter se acumulado no sistema, a substituição de lâmpadas e a colocação de abraçadeiras ou fixadores similares na fiação. Ferramentas: Podem ser utilizadas as seguintes ferramentas, equipamentos e materiais para a execução das tarefas: chaves, conjuntos de soquetes e catracas, chaves de fenda, alicates, martelos, alavancas, trena, chaves ajustáveis, lixa, latas de ar comprimido, lápis e luvas. Serão utilizadas escadas, aspiradores de pó e equipamentos e materiais de limpeza, como esponjas, panos e sabão. ***1ª resposta à RFI*** Tarefas específicas e ferramentas utilizadas para a execução dessas tarefas: Os trabalhadores auxiliarão na montagem e desmontagem, para fins de revisão e reparo, de brinquedos de parques de diversões, trailers de alimentação e equipamentos relacionados. Substituirão peças defeituosas ou desgastadas, como lâmpadas, interruptores, correias e mangueiras. Lixarão, rasparão e limparão trailers, superfícies e estruturas metálicas para manter a aparência e evitar ferrugem ou deterioração. Verificarão e substituirão lâmpadas, soquetes, fusíveis e luminárias, conforme necessário. Limpar e manter as áreas de trabalho. Os trabalhadores podem usar as seguintes ferramentas, equipamentos e materiais ao executar as tarefas atribuídas: chaves, conjuntos de soquetes e catracas, chaves de fenda, alicates, martelos, alavancas, trena, chaves ajustáveis, lixa, lápis e luvas. Eles usarão escadas, aspiradores de pó e equipamentos e suprimentos de limpeza, como esponjas, panos e sabão. Não serão realizados serviços em veículos, máquinas industriais ou equipamentos elétricos e eletrônicos, apenas em brinquedos de parques de diversões, trailers de concessão de alimentos e equipamentos relacionados. Nenhum trabalho será realizado em motores a diesel. O trabalho será realizado no "Quartel de Inverno" do parque de diversões, onde os equipamentos são estacionados quando não estão em operação. ***Original*** Auxiliar os trabalhadores de instalação, manutenção e reparo na manutenção, substituição de peças e reparo de veículos, máquinas industriais e equipamentos elétricos e eletrônicos. Executar tarefas como fornecer ferramentas, materiais e suprimentos para outros trabalhadores; limpar a área de trabalho, máquinas e ferramentas; e segurar materiais ou ferramentas para outros trabalhadores. Classificação da Função: 49-9071.00 - Trabalhadores de Manutenção e Reparo, Geral. A classificação e descrição da função/setor inclui informações gerais sobre o cargo, conforme o ONET/OES e o Sistema de Classificação Industrial da América do Norte (NAICS). Consulte as Funções e a Ordem de Serviço para obter mais informações. Requisitos da Função Experiência Necessária: Não. Requisitos Especiais: Testes aleatórios de drogas e verificação de antecedentes criminais após a contratação podem ser exigidos, sem custo para o trabalhador. A função exige que o candidato seja qualificado, esteja pronto, disposto, apto e disponível para desempenhar suas funções durante todo o período de emprego no local de trabalho designado; para firmar e cumprir o contrato de trabalho; e para seguir as normas do local de trabalho. Número de Horas por Semana: 35. Horário de Trabalho (Início/Término): 8h às 16h.</v>
      </c>
    </row>
    <row r="1683" ht="20.25" customHeight="1">
      <c r="A1683" s="8" t="s">
        <v>7547</v>
      </c>
      <c r="B1683" s="8" t="s">
        <v>7548</v>
      </c>
      <c r="C1683" s="8" t="s">
        <v>1030</v>
      </c>
      <c r="D1683" s="8" t="s">
        <v>64</v>
      </c>
      <c r="E1683" s="9" t="s">
        <v>19</v>
      </c>
      <c r="F1683" s="9" t="s">
        <v>20</v>
      </c>
      <c r="G1683" s="9" t="s">
        <v>146</v>
      </c>
      <c r="H1683" s="14" t="s">
        <v>7549</v>
      </c>
      <c r="I1683" s="8" t="s">
        <v>7550</v>
      </c>
      <c r="J1683" s="9">
        <v>18.42</v>
      </c>
      <c r="K1683" s="9">
        <v>6.0</v>
      </c>
      <c r="L1683" s="8" t="s">
        <v>59</v>
      </c>
      <c r="M1683" s="8" t="s">
        <v>7551</v>
      </c>
      <c r="N1683" s="7" t="str">
        <f>IFERROR(__xludf.DUMMYFUNCTION("GOOGLETRANSLATE(L1683, ""en"", ""pt"")"),"Trabalhador de paisagismo")</f>
        <v>Trabalhador de paisagismo</v>
      </c>
      <c r="O1683" s="7" t="str">
        <f>IFERROR(__xludf.DUMMYFUNCTION("IF(M1683="""","""",GOOGLETRANSLATE(M1683,""en"",""pt""))"),"Utilizar ferramentas elétricas e manuais para a manutenção de gramados. Cortar, aparar, regar e fazer o acabamento da grama; recolher e soprar folhas; cavar buracos e valas com pás, com profundidade/largura máxima de 90 cm, para o plantio; arrancar e pica"&amp;"r ervas daninhas, podar e transportar terra vegetal e cobertura morta. Inclui o carregamento e descarregamento de ferramentas, suprimentos e equipamentos com peso de até 23 kg. Envolve trabalho ao ar livre em todos os tipos de clima. Envolve ficar em pé, "&amp;"sentado ou caminhando por longos períodos. Envolve agachar-se ou curvar-se com frequência. Envolve movimentos repetitivos. Exame toxicológico pós-contratação/pago pelo empregador. Possibilidade de uso de veículo conforme necessário. Possibilidade de aumen"&amp;"to salarial com base no desempenho, bônus, horas extras e trabalho aos sábados, conforme necessário. Transporte fornecido para vários locais de trabalho a partir da localização central em Rockwall, TX. Intervalos de 60 minutos não remunerados ao longo do "&amp;"dia. A jornada de trabalho diária pode variar entre os horários de início e término listados, dependendo do clima ou das tarefas atribuídas. Classificação da Função: 37-3011.00 - Trabalhadores de Paisagismo e Manutenção de Jardins. A classificação e descr"&amp;"ição da função/setor inclui informações gerais sobre o cargo, conforme o ONET/OES e o Sistema de Classificação Industrial da América do Norte (NAICS). Consulte as Funções e a Ordem de Serviço para obter mais informações. Requisitos da Função: Experiência "&amp;"Necessária: Não. Requisitos Especiais: Nenhum. Número de Horas por Semana: 40. Horário de Trabalho (Início/Término): 8h às 17h.")</f>
        <v>Utilizar ferramentas elétricas e manuais para a manutenção de gramados. Cortar, aparar, regar e fazer o acabamento da grama; recolher e soprar folhas; cavar buracos e valas com pás, com profundidade/largura máxima de 90 cm, para o plantio; arrancar e picar ervas daninhas, podar e transportar terra vegetal e cobertura morta. Inclui o carregamento e descarregamento de ferramentas, suprimentos e equipamentos com peso de até 23 kg. Envolve trabalho ao ar livre em todos os tipos de clima. Envolve ficar em pé, sentado ou caminhando por longos períodos. Envolve agachar-se ou curvar-se com frequência. Envolve movimentos repetitivos. Exame toxicológico pós-contratação/pago pelo empregador. Possibilidade de uso de veículo conforme necessário. Possibilidade de aumento salarial com base no desempenho, bônus, horas extras e trabalho aos sábados, conforme necessário. Transporte fornecido para vários locais de trabalho a partir da localização central em Rockwall, TX. Intervalos de 60 minutos não remunerados ao longo do dia. A jornada de trabalho diária pode variar entre os horários de início e término listados, dependendo do clima ou das tarefas atribuídas. Classificação da Função: 37-3011.00 - Trabalhadores de Paisagismo e Manutenção de Jardins. A classificação e descrição da função/setor inclui informações gerais sobre o cargo, conforme o ONET/OES e o Sistema de Classificação Industrial da América do Norte (NAICS). Consulte as Funções e a Ordem de Serviço para obter mais informações. Requisitos da Função: Experiência Necessária: Não. Requisitos Especiais: Nenhum. Número de Horas por Semana: 40. Horário de Trabalho (Início/Término): 8h às 17h.</v>
      </c>
    </row>
    <row r="1684" ht="20.25" customHeight="1">
      <c r="A1684" s="3" t="s">
        <v>7552</v>
      </c>
      <c r="B1684" s="3" t="s">
        <v>7553</v>
      </c>
      <c r="C1684" s="3" t="s">
        <v>6906</v>
      </c>
      <c r="D1684" s="3" t="s">
        <v>254</v>
      </c>
      <c r="E1684" s="4" t="s">
        <v>19</v>
      </c>
      <c r="F1684" s="4" t="s">
        <v>20</v>
      </c>
      <c r="G1684" s="4" t="s">
        <v>118</v>
      </c>
      <c r="H1684" s="3" t="s">
        <v>7554</v>
      </c>
      <c r="I1684" s="3" t="s">
        <v>7555</v>
      </c>
      <c r="J1684" s="4">
        <v>18.1</v>
      </c>
      <c r="K1684" s="4">
        <v>11.0</v>
      </c>
      <c r="L1684" s="3" t="s">
        <v>7556</v>
      </c>
      <c r="M1684" s="3" t="s">
        <v>7557</v>
      </c>
      <c r="N1684" s="7" t="str">
        <f>IFERROR(__xludf.DUMMYFUNCTION("GOOGLETRANSLATE(L1684, ""en"", ""pt"")"),"Auxiliar de Jardinagem")</f>
        <v>Auxiliar de Jardinagem</v>
      </c>
      <c r="O1684" s="7" t="str">
        <f>IFERROR(__xludf.DUMMYFUNCTION("IF(M1684="""","""",GOOGLETRANSLATE(M1684,""en"",""pt""))"),"O empregador busca trabalhadores temporários em tempo integral para auxiliar os membros mais experientes da equipe nas seguintes atividades: remoção de árvores próximas a redes de água e esgoto; operação de cortadores de grama manuais ou motorizados; remo"&amp;"ção de ervas daninhas e plantas mortas; remoção e poda de galhos e folhas em excesso; remoção de vegetação excessiva e manutenção de áreas externas; limpeza de calçadas e áreas de pedestres após a manutenção paisagística; manutenção de áreas comuns livres"&amp;" de neve ou gelo; armazenamento e manutenção adequados de todos os equipamentos e ferramentas. Classificação da vaga: 37-3011.00 - Trabalhadores de Paisagismo e Manutenção de Áreas Verdes. A classificação e descrição da vaga/setor incluem informações gera"&amp;"is sobre o cargo, conforme o ONET/OES e o Sistema de Classificação Industrial da América do Norte (NAICS). Consulte as Funções e a Ordem de Serviço para obter mais informações. Requisitos da vaga: Experiência exigida: Não. Requisitos especiais: Capacidade"&amp;" de levantar até 23 kg e se abaixar ou ficar em pé durante todo ou a maior parte do turno de trabalho. Número de horas por semana: 40. Horário de trabalho (início/término): 7h às 16h30.")</f>
        <v>O empregador busca trabalhadores temporários em tempo integral para auxiliar os membros mais experientes da equipe nas seguintes atividades: remoção de árvores próximas a redes de água e esgoto; operação de cortadores de grama manuais ou motorizados; remoção de ervas daninhas e plantas mortas; remoção e poda de galhos e folhas em excesso; remoção de vegetação excessiva e manutenção de áreas externas; limpeza de calçadas e áreas de pedestres após a manutenção paisagística; manutenção de áreas comuns livres de neve ou gelo; armazenamento e manutenção adequados de todos os equipamentos e ferramentas. Classificação da vaga: 37-3011.00 - Trabalhadores de Paisagismo e Manutenção de Áreas Verdes. A classificação e descrição da vaga/setor incluem informações gerais sobre o cargo, conforme o ONET/OES e o Sistema de Classificação Industrial da América do Norte (NAICS). Consulte as Funções e a Ordem de Serviço para obter mais informações. Requisitos da vaga: Experiência exigida: Não. Requisitos especiais: Capacidade de levantar até 23 kg e se abaixar ou ficar em pé durante todo ou a maior parte do turno de trabalho. Número de horas por semana: 40. Horário de trabalho (início/término): 7h às 16h30.</v>
      </c>
    </row>
    <row r="1685" ht="20.25" customHeight="1">
      <c r="A1685" s="8" t="s">
        <v>7558</v>
      </c>
      <c r="B1685" s="8" t="s">
        <v>7559</v>
      </c>
      <c r="C1685" s="8" t="s">
        <v>4507</v>
      </c>
      <c r="D1685" s="8" t="s">
        <v>71</v>
      </c>
      <c r="E1685" s="9" t="s">
        <v>44</v>
      </c>
      <c r="F1685" s="9" t="s">
        <v>20</v>
      </c>
      <c r="G1685" s="9" t="s">
        <v>345</v>
      </c>
      <c r="H1685" s="8" t="s">
        <v>7560</v>
      </c>
      <c r="I1685" s="8" t="s">
        <v>7561</v>
      </c>
      <c r="J1685" s="9">
        <v>16.29</v>
      </c>
      <c r="K1685" s="9">
        <v>8.0</v>
      </c>
      <c r="L1685" s="8" t="s">
        <v>4560</v>
      </c>
      <c r="M1685" s="8" t="s">
        <v>7562</v>
      </c>
      <c r="N1685" s="7" t="str">
        <f>IFERROR(__xludf.DUMMYFUNCTION("GOOGLETRANSLATE(L1685, ""en"", ""pt"")"),"tratador de cavalos")</f>
        <v>tratador de cavalos</v>
      </c>
      <c r="O1685" s="7" t="str">
        <f>IFERROR(__xludf.DUMMYFUNCTION("IF(M1685="""","""",GOOGLETRANSLATE(M1685,""en"",""pt""))"),"Auxiliar nos cuidados diários com os cavalos e na preparação para treinamento/exposição. Alimentar e dar água aos cavalos, limpar arreios, dar banho, escovar e tosar os cavalos, colocar botas ortopédicas e prepará-los para serem selados para a exposição. "&amp;"Limpar os cascos dos cavalos, colocar/remover bandagens/botas ortopédicas e selar os cavalos para o treinamento. Dar banho e refrescar os cavalos após o treinamento/exposição. Auxiliar o veterinário durante os exames físicos, mantendo o cavalo calmo e sob"&amp;" controle. Auxiliar os ferradores na inspeção, remoção, aplicação, ajuste e trabalho com os cascos e ferraduras dos cavalos, mantendo-os calmos e sob controle. Limpar e trocar a cama das baias. Dar banho nos cavalos com água fria/morna. Enfaixar os cavalo"&amp;"s com talas ou bandagens de cataplasma, conforme necessário. Classificação da função: 39-2021.00 - Cuidadores de Animais. A classificação e descrição da função/setor inclui informações gerais sobre o cargo, de acordo com o ONET/OES e o Sistema de Classifi"&amp;"cação Industrial da América do Norte. Consulte as Funções e a Ordem de Serviço para obter mais informações. Requisitos da vaga Experiência necessária: Sim Meses de experiência necessários: 3 Requisitos especiais: Capacidade de levantar 68 kg com auxílio. "&amp;"48 horas por semana. O horário e a jornada de trabalho podem variar de acordo com a programação de eventos e as condições climáticas. Horas extras serão variáveis. Deslocamento para locais de eventos equestres no Condado de Marion, Flórida. Teste antidrog"&amp;"as aleatório após a contratação, por conta do empregador. Número de horas por semana: 48 Horário de trabalho (início/término): 7h30 às 16h30.")</f>
        <v>Auxiliar nos cuidados diários com os cavalos e na preparação para treinamento/exposição. Alimentar e dar água aos cavalos, limpar arreios, dar banho, escovar e tosar os cavalos, colocar botas ortopédicas e prepará-los para serem selados para a exposição. Limpar os cascos dos cavalos, colocar/remover bandagens/botas ortopédicas e selar os cavalos para o treinamento. Dar banho e refrescar os cavalos após o treinamento/exposição. Auxiliar o veterinário durante os exames físicos, mantendo o cavalo calmo e sob controle. Auxiliar os ferradores na inspeção, remoção, aplicação, ajuste e trabalho com os cascos e ferraduras dos cavalos, mantendo-os calmos e sob controle. Limpar e trocar a cama das baias. Dar banho nos cavalos com água fria/morna. Enfaixar os cavalos com talas ou bandagens de cataplasma, conforme necessário. Classificação da função: 39-2021.00 - Cuidadores de Animais. A classificação e descrição da função/setor inclui informações gerais sobre o cargo, de acordo com o ONET/OES e o Sistema de Classificação Industrial da América do Norte. Consulte as Funções e a Ordem de Serviço para obter mais informações. Requisitos da vaga Experiência necessária: Sim Meses de experiência necessários: 3 Requisitos especiais: Capacidade de levantar 68 kg com auxílio. 48 horas por semana. O horário e a jornada de trabalho podem variar de acordo com a programação de eventos e as condições climáticas. Horas extras serão variáveis. Deslocamento para locais de eventos equestres no Condado de Marion, Flórida. Teste antidrogas aleatório após a contratação, por conta do empregador. Número de horas por semana: 48 Horário de trabalho (início/término): 7h30 às 16h30.</v>
      </c>
    </row>
    <row r="1686" ht="20.25" customHeight="1">
      <c r="A1686" s="3" t="s">
        <v>7563</v>
      </c>
      <c r="B1686" s="3" t="s">
        <v>7564</v>
      </c>
      <c r="C1686" s="3" t="s">
        <v>6906</v>
      </c>
      <c r="D1686" s="3" t="s">
        <v>3015</v>
      </c>
      <c r="E1686" s="4" t="s">
        <v>19</v>
      </c>
      <c r="F1686" s="4" t="s">
        <v>20</v>
      </c>
      <c r="G1686" s="4" t="s">
        <v>80</v>
      </c>
      <c r="H1686" s="3" t="s">
        <v>7565</v>
      </c>
      <c r="I1686" s="3" t="s">
        <v>7324</v>
      </c>
      <c r="J1686" s="4">
        <v>31.96</v>
      </c>
      <c r="K1686" s="4">
        <v>12.0</v>
      </c>
      <c r="L1686" s="3" t="s">
        <v>7566</v>
      </c>
      <c r="M1686" s="3" t="s">
        <v>7567</v>
      </c>
      <c r="N1686" s="7" t="str">
        <f>IFERROR(__xludf.DUMMYFUNCTION("GOOGLETRANSLATE(L1686, ""en"", ""pt"")"),"Ajudante de pedreiro")</f>
        <v>Ajudante de pedreiro</v>
      </c>
      <c r="O1686" s="7" t="str">
        <f>IFERROR(__xludf.DUMMYFUNCTION("IF(M1686="""","""",GOOGLETRANSLATE(M1686,""en"",""pt""))"),"As funções incluem: aplicar selantes, massa de calafetar ou outros produtos em superfícies instaladas; aplicar rejunte entre juntas de tijolos ou azulejos, utilizando desempenadeiras de rejunte; organizar ou armazenar materiais, máquinas, ferramentas ou e"&amp;"quipamentos; limpar superfícies de instalação, equipamentos, ferramentas, locais de trabalho ou áreas de armazenamento, utilizando água, soluções químicas, lanças de oxigênio ou máquinas de polimento; corrigir imperfeições na superfície ou preencher tijol"&amp;"os ou azulejos lascados, rachados ou quebrados, utilizando massas, adesivos ou materiais de rejunte; cortar materiais em tamanhos específicos para instalação, utilizando serras elétricas ou cortadores de azulejos; montar andaimes ou outras estruturas de i"&amp;"nstalação; localizar e fornecer materiais para pedreiros para instalação; misturar argamassa, gesso e rejunte, manualmente ou utilizando máquinas, de acordo com fórmulas padrão; modificar procedimentos de movimentação, mistura, rejuntamento, lixamento, po"&amp;"limento ou limpeza de materiais, de acordo com os requisitos de instalação ou de material; mover ou posicionar materiais como placas de mármore, auxiliando os membros da equipe utilizando guindastes, talhas ou carrinhos; Prestar auxílio na preparação, ins"&amp;"talação, reparo ou reconstrução de superfícies de azulejo, tijolo ou pedra; remover azulejos, tijolos ou argamassa danificados e limpar ou preparar superfícies, utilizando alicates, martelos, cinzéis, furadeiras, escovas de arame ou ancoragens de arame me"&amp;"tálico; remover o excesso de rejunte ou resíduos das juntas de azulejos ou tijolos, utilizando esponjas ou colheres de pedreiro; transportar materiais, ferramentas ou máquinas para os locais de instalação, manualmente ou utilizando equipamentos de transpo"&amp;"rte. Classificação da Função: 47-2021.00 - Pedreiros e Assentadores de Blocos. A classificação e descrição da função/setor inclui informações gerais sobre o cargo, de acordo com o ONET/OES e o Sistema de Classificação Industrial da América do Norte. Consu"&amp;"lte as Funções e a Ordem de Serviço para obter mais informações. Requisitos da Função Experiência Necessária: Não. Requisitos Especiais: Deve ser capaz de levantar até 34 kg e permanecer em pé ou curvado durante todo ou a maior parte do turno de trabalho."&amp;" Número de Horas por Semana: 40. Horário de Trabalho (Início/Término): 7h00 - 16h30.")</f>
        <v>As funções incluem: aplicar selantes, massa de calafetar ou outros produtos em superfícies instaladas; aplicar rejunte entre juntas de tijolos ou azulejos, utilizando desempenadeiras de rejunte; organizar ou armazenar materiais, máquinas, ferramentas ou equipamentos; limpar superfícies de instalação, equipamentos, ferramentas, locais de trabalho ou áreas de armazenamento, utilizando água, soluções químicas, lanças de oxigênio ou máquinas de polimento; corrigir imperfeições na superfície ou preencher tijolos ou azulejos lascados, rachados ou quebrados, utilizando massas, adesivos ou materiais de rejunte; cortar materiais em tamanhos específicos para instalação, utilizando serras elétricas ou cortadores de azulejos; montar andaimes ou outras estruturas de instalação; localizar e fornecer materiais para pedreiros para instalação; misturar argamassa, gesso e rejunte, manualmente ou utilizando máquinas, de acordo com fórmulas padrão; modificar procedimentos de movimentação, mistura, rejuntamento, lixamento, polimento ou limpeza de materiais, de acordo com os requisitos de instalação ou de material; mover ou posicionar materiais como placas de mármore, auxiliando os membros da equipe utilizando guindastes, talhas ou carrinhos; Prestar auxílio na preparação, instalação, reparo ou reconstrução de superfícies de azulejo, tijolo ou pedra; remover azulejos, tijolos ou argamassa danificados e limpar ou preparar superfícies, utilizando alicates, martelos, cinzéis, furadeiras, escovas de arame ou ancoragens de arame metálico; remover o excesso de rejunte ou resíduos das juntas de azulejos ou tijolos, utilizando esponjas ou colheres de pedreiro; transportar materiais, ferramentas ou máquinas para os locais de instalação, manualmente ou utilizando equipamentos de transporte. Classificação da Função: 47-2021.00 - Pedreiros e Assentadores de Blocos. A classificação e descrição da função/setor inclui informações gerais sobre o cargo, de acordo com o ONET/OES e o Sistema de Classificação Industrial da América do Norte. Consulte as Funções e a Ordem de Serviço para obter mais informações. Requisitos da Função Experiência Necessária: Não. Requisitos Especiais: Deve ser capaz de levantar até 34 kg e permanecer em pé ou curvado durante todo ou a maior parte do turno de trabalho. Número de Horas por Semana: 40. Horário de Trabalho (Início/Término): 7h00 - 16h30.</v>
      </c>
    </row>
    <row r="1687" ht="20.25" customHeight="1">
      <c r="A1687" s="8" t="s">
        <v>7568</v>
      </c>
      <c r="B1687" s="8" t="s">
        <v>7569</v>
      </c>
      <c r="C1687" s="8" t="s">
        <v>7466</v>
      </c>
      <c r="D1687" s="8" t="s">
        <v>795</v>
      </c>
      <c r="E1687" s="9" t="s">
        <v>19</v>
      </c>
      <c r="F1687" s="9" t="s">
        <v>20</v>
      </c>
      <c r="G1687" s="9" t="s">
        <v>524</v>
      </c>
      <c r="H1687" s="8" t="s">
        <v>7513</v>
      </c>
      <c r="I1687" s="8" t="s">
        <v>7514</v>
      </c>
      <c r="J1687" s="9">
        <v>17.32</v>
      </c>
      <c r="K1687" s="9">
        <v>6.0</v>
      </c>
      <c r="L1687" s="8" t="s">
        <v>7518</v>
      </c>
      <c r="M1687" s="8" t="s">
        <v>7570</v>
      </c>
      <c r="N1687" s="7" t="str">
        <f>IFERROR(__xludf.DUMMYFUNCTION("GOOGLETRANSLATE(L1687, ""en"", ""pt"")"),"Vendedor(a) de Joias Finas")</f>
        <v>Vendedor(a) de Joias Finas</v>
      </c>
      <c r="O1687" s="7" t="str">
        <f>IFERROR(__xludf.DUMMYFUNCTION("IF(M1687="""","""",GOOGLETRANSLATE(M1687,""en"",""pt""))"),"Oferecer consultoria personalizada para clientes de joias de alto valor. Apresentar seleções exclusivas de peças da marca Passions by Gary K. Fornecer explicações detalhadas e responder às perguntas dos clientes sobre as características únicas das pedras "&amp;"preciosas, incluindo diamantes, safiras, rubis, esmeraldas e tanzanitas — abordando aspectos como dureza, valor, origem, durabilidade, tendências de preços, raridade e muito mais. Concluir vendas com eficiência e manter os cadastros dos clientes atualizad"&amp;"os. Os turnos variam das 9h às 21h, até 6 dias por semana, com um mínimo de 40 horas semanais e até 32 horas extras semanais. Os funcionários serão alocados diariamente para trabalhar em nossa sede, localizada no endereço 4620 Arville Street, Suite F, Las"&amp;" Vegas, NV 89103, e/ou em diversos quiosques/estandes/lojas temporárias na mesma área de atuação, no Condado de Clark, em Las Vegas-Henderson-Paradise, Nevada. Classificação da Função: 41-2031.00 - Vendedor(a) de Loja. A classificação e descrição da funçã"&amp;"o/setor inclui informações gerais sobre o cargo, de acordo com o ONET/OES e o Sistema de Classificação Industrial da América do Norte (NAICS). Consulte as Funções e a Ordem de Serviço para obter mais informações. Requisitos da Função: Experiência Necessár"&amp;"ia: Sim. Meses de Experiência Necessários: 6. Requisitos Especiais: Necessário ter 6 meses de experiência em vendas de joias de alta qualidade, incluindo todas as seguintes pedras preciosas: diamantes, safiras, rubis, esmeraldas e tanzanita. Idade mínima:"&amp;" 18 anos. Número de Horas por Semana: 40. Horário de Trabalho (Início/Término): 9h às 21h.")</f>
        <v>Oferecer consultoria personalizada para clientes de joias de alto valor. Apresentar seleções exclusivas de peças da marca Passions by Gary K. Fornecer explicações detalhadas e responder às perguntas dos clientes sobre as características únicas das pedras preciosas, incluindo diamantes, safiras, rubis, esmeraldas e tanzanitas — abordando aspectos como dureza, valor, origem, durabilidade, tendências de preços, raridade e muito mais. Concluir vendas com eficiência e manter os cadastros dos clientes atualizados. Os turnos variam das 9h às 21h, até 6 dias por semana, com um mínimo de 40 horas semanais e até 32 horas extras semanais. Os funcionários serão alocados diariamente para trabalhar em nossa sede, localizada no endereço 4620 Arville Street, Suite F, Las Vegas, NV 89103, e/ou em diversos quiosques/estandes/lojas temporárias na mesma área de atuação, no Condado de Clark, em Las Vegas-Henderson-Paradise, Nevada. Classificação da Função: 41-2031.00 - Vendedor(a) de Loja. A classificação e descrição da função/setor inclui informações gerais sobre o cargo, de acordo com o ONET/OES e o Sistema de Classificação Industrial da América do Norte (NAICS). Consulte as Funções e a Ordem de Serviço para obter mais informações. Requisitos da Função: Experiência Necessária: Sim. Meses de Experiência Necessários: 6. Requisitos Especiais: Necessário ter 6 meses de experiência em vendas de joias de alta qualidade, incluindo todas as seguintes pedras preciosas: diamantes, safiras, rubis, esmeraldas e tanzanita. Idade mínima: 18 anos. Número de Horas por Semana: 40. Horário de Trabalho (Início/Término): 9h às 21h.</v>
      </c>
    </row>
    <row r="1688" ht="20.25" customHeight="1">
      <c r="A1688" s="3" t="s">
        <v>7571</v>
      </c>
      <c r="B1688" s="3" t="s">
        <v>7569</v>
      </c>
      <c r="C1688" s="3" t="s">
        <v>7466</v>
      </c>
      <c r="D1688" s="3" t="s">
        <v>795</v>
      </c>
      <c r="E1688" s="4" t="s">
        <v>44</v>
      </c>
      <c r="F1688" s="4" t="s">
        <v>20</v>
      </c>
      <c r="G1688" s="4" t="s">
        <v>524</v>
      </c>
      <c r="H1688" s="3" t="s">
        <v>7513</v>
      </c>
      <c r="I1688" s="3" t="s">
        <v>7514</v>
      </c>
      <c r="J1688" s="4">
        <v>17.32</v>
      </c>
      <c r="K1688" s="4">
        <v>6.0</v>
      </c>
      <c r="L1688" s="3" t="s">
        <v>7515</v>
      </c>
      <c r="M1688" s="3" t="s">
        <v>7572</v>
      </c>
      <c r="N1688" s="7" t="str">
        <f>IFERROR(__xludf.DUMMYFUNCTION("GOOGLETRANSLATE(L1688, ""en"", ""pt"")"),"Atendente de Joalheria")</f>
        <v>Atendente de Joalheria</v>
      </c>
      <c r="O1688" s="7" t="str">
        <f>IFERROR(__xludf.DUMMYFUNCTION("IF(M1688="""","""",GOOGLETRANSLATE(M1688,""en"",""pt""))"),"Recepcionar clientes, identificar suas necessidades, utilizar conhecimento de produtos, habilidades de vendas e arquivos de clientes para concluir transações com sucesso; manter registros de casos; atender a consultas telefônicas de clientes sobre novos p"&amp;"edidos, pagamentos, avaliações e/ou reparos; e encaminhar solicitações urgentes à gerência por e-mail e mensagem direta. Os turnos variam das 9h às 21h, até 6 dias por semana, com um mínimo de 40 horas semanais e até 32 horas extras semanais. Os funcionár"&amp;"ios serão alocados diariamente para trabalhar em nossa sede principal, localizada no endereço 4620 Arville Street, Suite F, Las Vegas, NV 89103, e/ou em diversos quiosques/estandes/lojas temporárias na mesma área de atuação, no condado/município e área de"&amp;" abrangência do BLS (Bureau of Labor Statistics) do Condado de Clark, em Las Vegas-Henderson-Paradise, Nevada. Classificação da vaga: 41-2031.00 - Vendedores de Varejo. A classificação e descrição da vaga/setor incluem informações gerais sobre o cargo, co"&amp;"nforme o ONET/OES e o Sistema de Classificação Industrial da América do Norte (NAICS). Consulte a Descrição das Funções e a Ordem de Serviço para obter mais informações. Requisitos da Vaga Experiência Necessária: Sim Meses de Experiência Necessária: 6 Req"&amp;"uisitos Especiais: Necessário ter 6 meses de experiência em vendas de joias de alto padrão. Idade mínima: 18 anos. Número de Horas por Semana: 40 Horário de Trabalho (Início/Término): 9h às 21h")</f>
        <v>Recepcionar clientes, identificar suas necessidades, utilizar conhecimento de produtos, habilidades de vendas e arquivos de clientes para concluir transações com sucesso; manter registros de casos; atender a consultas telefônicas de clientes sobre novos pedidos, pagamentos, avaliações e/ou reparos; e encaminhar solicitações urgentes à gerência por e-mail e mensagem direta. Os turnos variam das 9h às 21h, até 6 dias por semana, com um mínimo de 40 horas semanais e até 32 horas extras semanais. Os funcionários serão alocados diariamente para trabalhar em nossa sede principal, localizada no endereço 4620 Arville Street, Suite F, Las Vegas, NV 89103, e/ou em diversos quiosques/estandes/lojas temporárias na mesma área de atuação, no condado/município e área de abrangência do BLS (Bureau of Labor Statistics) do Condado de Clark, em Las Vegas-Henderson-Paradise, Nevada. Classificação da vaga: 41-2031.00 - Vendedores de Varejo. A classificação e descrição da vaga/setor incluem informações gerais sobre o cargo, conforme o ONET/OES e o Sistema de Classificação Industrial da América do Norte (NAICS). Consulte a Descrição das Funções e a Ordem de Serviço para obter mais informações. Requisitos da Vaga Experiência Necessária: Sim Meses de Experiência Necessária: 6 Requisitos Especiais: Necessário ter 6 meses de experiência em vendas de joias de alto padrão. Idade mínima: 18 anos. Número de Horas por Semana: 40 Horário de Trabalho (Início/Término): 9h às 21h</v>
      </c>
    </row>
    <row r="1689" ht="20.25" customHeight="1">
      <c r="A1689" s="8" t="s">
        <v>7573</v>
      </c>
      <c r="B1689" s="8" t="s">
        <v>7574</v>
      </c>
      <c r="C1689" s="8" t="s">
        <v>6228</v>
      </c>
      <c r="D1689" s="8" t="s">
        <v>109</v>
      </c>
      <c r="E1689" s="9" t="s">
        <v>19</v>
      </c>
      <c r="F1689" s="9" t="s">
        <v>20</v>
      </c>
      <c r="G1689" s="9" t="s">
        <v>146</v>
      </c>
      <c r="H1689" s="8" t="s">
        <v>7575</v>
      </c>
      <c r="I1689" s="8" t="s">
        <v>7576</v>
      </c>
      <c r="J1689" s="9">
        <v>20.19</v>
      </c>
      <c r="K1689" s="9">
        <v>70.0</v>
      </c>
      <c r="L1689" s="8" t="s">
        <v>288</v>
      </c>
      <c r="M1689" s="8" t="s">
        <v>7577</v>
      </c>
      <c r="N1689" s="7" t="str">
        <f>IFERROR(__xludf.DUMMYFUNCTION("GOOGLETRANSLATE(L1689, ""en"", ""pt"")"),"Especialista em Manutenção de Jardins")</f>
        <v>Especialista em Manutenção de Jardins</v>
      </c>
      <c r="O1689" s="7" t="str">
        <f>IFERROR(__xludf.DUMMYFUNCTION("IF(M1689="""","""",GOOGLETRANSLATE(M1689,""en"",""pt""))"),"O trabalhador deverá executar uma variedade de tarefas de paisagismo focadas nas operações de outono e início do inverno, incluindo, entre outras, a remoção de folhas, limpeza sazonal, poda e preparação de propriedades para o período de dormência invernal"&amp;" e para a chegada da primavera. As tarefas incluem a limpeza de folhas e detritos, a poda de plantas perenes e arbustos, a remoção de material vegetal morto ou danificado e a preparação de gramados, canteiros e áreas ajardinadas para as condições de inver"&amp;"no. O trabalhador realizará a poda de inverno e a preparação sazonal para a primavera, incluindo a limpeza de canteiros e a estabilização do solo e das áreas de plantio para evitar erosão e danos durante os meses mais frios. O trabalhador também realizará"&amp;" a instalação, manutenção e preparação para o inverno de sistemas de irrigação, incluindo a drenagem de tubulações, o desligamento dos sistemas e a proteção dos componentes contra temperaturas de congelamento. Conforme as condições climáticas do final da "&amp;"temporada exigirem, o trabalhador poderá realizar a remoção ocasional de neve de calçadas, entradas de veículos, áreas ajardinadas e áreas de trabalho, utilizando pás, sopradores de neve ou equipamentos similares para manter o acesso e proteger os materia"&amp;"is ajardinados. As funções adicionais incluem a poda e os cuidados sazonais com arbustos, árvores, flores e outras plantas, garantindo sua saúde e crescimento adequados na próxima estação. O funcionário também auxiliará na instalação e manutenção de eleme"&amp;"ntos paisagísticos, incluindo sistemas de irrigação por aspersão e blocos de concreto pré-moldado, conforme necessário durante o período de instalação no outono. O funcionário utilizará ferramentas manuais e elétricas, como sopradores de folhas, aparadore"&amp;"s de cerca viva, tesouras de poda, bordadeiras e pás para concluir as tarefas designadas. Tarefas gerais de paisagismo, como cortar grama, aparar e plantar, poderão ser realizadas conforme a necessidade, mas o foco principal da função é a limpeza sazonal,"&amp;" a preparação para o inverno e as atividades de preparação do terreno. O funcionário poderá ser solicitado a demonstrar como executar uma tarefa para outros funcionários, a pedido do supervisor. Classificação da função: 37-3011.00 - Trabalhadores de Paisa"&amp;"gismo e Manutenção de Áreas Verdes. A classificação e a descrição da função/setor incluem informações gerais sobre o cargo, de acordo com o ONET/OES e o Sistema de Classificação Industrial da América do Norte. Consulte as Funções e a Ordem de Serviço para"&amp;" obter mais informações. Requisitos da Vaga Experiência Necessária: Sim Meses de Experiência Necessários: 3 Requisitos Especiais: Três meses de experiência são necessários. Deve ser capaz de levantar/carregar 23 kg. Disponibilidade para trabalhar nos fins"&amp;" de semana, quando necessário. Todos os candidatos (tanto americanos quanto estrangeiros/H-2B) devem preencher o formulário de emprego online padrão do empregador como parte do processo de contratação. O formulário é obrigatório para todos os candidatos e"&amp;" não impõe requisitos adicionais ou diferentes para trabalhadores americanos. Os trabalhadores estarão sujeitos a testes de drogas pagos pelo empregador antes do início do trabalho, após a contratação, aleatoriamente, em caso de suspeita de uso e após aci"&amp;"dentes, o que se aplica igualmente a todos os trabalhadores, americanos e estrangeiros/H-2B. Verificações de antecedentes e de elegibilidade para emprego (e-Verify) são obrigatórias para trabalhadores estrangeiros e nacionais. Número de Horas por Semana: "&amp;"35 Horário de Trabalho (Início/Término): 7h00 - 15h30")</f>
        <v>O trabalhador deverá executar uma variedade de tarefas de paisagismo focadas nas operações de outono e início do inverno, incluindo, entre outras, a remoção de folhas, limpeza sazonal, poda e preparação de propriedades para o período de dormência invernal e para a chegada da primavera. As tarefas incluem a limpeza de folhas e detritos, a poda de plantas perenes e arbustos, a remoção de material vegetal morto ou danificado e a preparação de gramados, canteiros e áreas ajardinadas para as condições de inverno. O trabalhador realizará a poda de inverno e a preparação sazonal para a primavera, incluindo a limpeza de canteiros e a estabilização do solo e das áreas de plantio para evitar erosão e danos durante os meses mais frios. O trabalhador também realizará a instalação, manutenção e preparação para o inverno de sistemas de irrigação, incluindo a drenagem de tubulações, o desligamento dos sistemas e a proteção dos componentes contra temperaturas de congelamento. Conforme as condições climáticas do final da temporada exigirem, o trabalhador poderá realizar a remoção ocasional de neve de calçadas, entradas de veículos, áreas ajardinadas e áreas de trabalho, utilizando pás, sopradores de neve ou equipamentos similares para manter o acesso e proteger os materiais ajardinados. As funções adicionais incluem a poda e os cuidados sazonais com arbustos, árvores, flores e outras plantas, garantindo sua saúde e crescimento adequados na próxima estação. O funcionário também auxiliará na instalação e manutenção de elementos paisagísticos, incluindo sistemas de irrigação por aspersão e blocos de concreto pré-moldado, conforme necessário durante o período de instalação no outono. O funcionário utilizará ferramentas manuais e elétricas, como sopradores de folhas, aparadores de cerca viva, tesouras de poda, bordadeiras e pás para concluir as tarefas designadas. Tarefas gerais de paisagismo, como cortar grama, aparar e plantar, poderão ser realizadas conforme a necessidade, mas o foco principal da função é a limpeza sazonal, a preparação para o inverno e as atividades de preparação do terreno. O funcionário poderá ser solicitado a demonstrar como executar uma tarefa para outros funcionários, a pedido do supervisor. Classificação da função: 37-3011.00 - Trabalhadores de Paisagismo e Manutenção de Áreas Verdes. A classificação e a descrição da função/setor incluem informações gerais sobre o cargo, de acordo com o ONET/OES e o Sistema de Classificação Industrial da América do Norte. Consulte as Funções e a Ordem de Serviço para obter mais informações. Requisitos da Vaga Experiência Necessária: Sim Meses de Experiência Necessários: 3 Requisitos Especiais: Três meses de experiência são necessários. Deve ser capaz de levantar/carregar 23 kg. Disponibilidade para trabalhar nos fins de semana, quando necessário. Todos os candidatos (tanto americanos quanto estrangeiros/H-2B) devem preencher o formulário de emprego online padrão do empregador como parte do processo de contratação. O formulário é obrigatório para todos os candidatos e não impõe requisitos adicionais ou diferentes para trabalhadores americanos. Os trabalhadores estarão sujeitos a testes de drogas pagos pelo empregador antes do início do trabalho, após a contratação, aleatoriamente, em caso de suspeita de uso e após acidentes, o que se aplica igualmente a todos os trabalhadores, americanos e estrangeiros/H-2B. Verificações de antecedentes e de elegibilidade para emprego (e-Verify) são obrigatórias para trabalhadores estrangeiros e nacionais. Número de Horas por Semana: 35 Horário de Trabalho (Início/Término): 7h00 - 15h30</v>
      </c>
    </row>
    <row r="1690" ht="20.25" customHeight="1">
      <c r="A1690" s="3" t="s">
        <v>7578</v>
      </c>
      <c r="B1690" s="3" t="s">
        <v>7579</v>
      </c>
      <c r="C1690" s="3" t="s">
        <v>5755</v>
      </c>
      <c r="D1690" s="3" t="s">
        <v>28</v>
      </c>
      <c r="E1690" s="4" t="s">
        <v>19</v>
      </c>
      <c r="F1690" s="4" t="s">
        <v>20</v>
      </c>
      <c r="G1690" s="4" t="s">
        <v>56</v>
      </c>
      <c r="H1690" s="3" t="s">
        <v>7580</v>
      </c>
      <c r="I1690" s="3" t="s">
        <v>7581</v>
      </c>
      <c r="J1690" s="4">
        <v>17.17</v>
      </c>
      <c r="K1690" s="4">
        <v>55.0</v>
      </c>
      <c r="L1690" s="3" t="s">
        <v>5779</v>
      </c>
      <c r="M1690" s="3" t="s">
        <v>7582</v>
      </c>
      <c r="N1690" s="7" t="str">
        <f>IFERROR(__xludf.DUMMYFUNCTION("GOOGLETRANSLATE(L1690, ""en"", ""pt"")"),"Trabalhadores de paisagismo")</f>
        <v>Trabalhadores de paisagismo</v>
      </c>
      <c r="O1690" s="7" t="str">
        <f>IFERROR(__xludf.DUMMYFUNCTION("IF(M1690="""","""",GOOGLETRANSLATE(M1690,""en"",""pt""))"),"Arrancar ervas daninhas manualmente, cortar a grama com cortadores de grama, aparar as bordas manualmente e com aparador de bordas, usar ancinhos, enxada, pá manual, espalhar cobertura morta manualmente, usar soprador, limpar detritos na área de trabalho,"&amp;" aplicar herbicidas, fertilizantes, regar, plantar/remover vários tipos de plantas (flores sazonais, anuais, arbustos, árvores etc.), preparar canteiros e jardins para irrigação de gramados, espalhar cobertura morta, adubar e capinar manualmente, cortar a"&amp;" grama, aparar as bordas, passar barbante, aparar, podar, fertilizar, controlar doenças e insetos, manter a drenagem e a irrigação. Utilizar e manter equipamentos e ferramentas (ex: pás, enxadas, aparadores, cortadores de grama, roçadeiras, etc.) quando h"&amp;"ouver tempo disponível. Realizar manutenção básica em equipamentos, manter a área de trabalho limpa e remover lixo/detritos. Classificação da função: 37-3011.00 - Trabalhadores de Paisagismo e Manutenção de Jardins. A classificação e descrição da função/s"&amp;"etor inclui informações gerais sobre o cargo, de acordo com o ONET/OES e o Sistema de Classificação Industrial da América do Norte (NAICS). Consulte as Funções e a Ordem de Serviço para obter mais informações. Requisitos da função: Experiência necessária:"&amp;" Não. Requisitos especiais: Capacidade de se curvar, alcançar o nível do solo ou acima da cabeça, ficar em pé, caminhar e ajoelhar por longos períodos; capacidade de levantar até 23 kg; capacidade de trabalhar em todas as condições climáticas, incluindo c"&amp;"alor extremo, frio ou chuva. Disponibilidade para trabalhar nos fins de semana após a contratação. O trabalhador poderá ser solicitado a realizar turnos aleatórios. TESTE DE DROGAS, SEM CUSTO PARA O TRABALHADOR. RESULTADO POSITIVO OU DESCUMPRIMENTO PODEM "&amp;"RESULTAR EM DEMISSÃO. ALERGIAS A FERTILIZANTES, POEIRA, PESTICIDAS, INSETOS E PRODUTOS QUÍMICOS RELACIONADOS PODEM AFETAR A CAPACIDADE DO TRABALHADOR. Dias e Horário de Trabalho Previstos por Semana - O horário de trabalho padrão é das 7h às 16h, de segun"&amp;"da a sexta-feira; trabalho aos sábados e domingos é necessário, quando aplicável. O empregador oferecerá 35 horas semanais. Horas extras são oferecidas, mas não garantidas. O empregador pode oferecer mais horas do que o horário de trabalho estipulado, dep"&amp;"endendo do clima, das necessidades da empresa e de outras condições. Calor extremo, frio intenso e chuva podem afetar o número exato de horas por semana: 35. Horário de Trabalho (Início/Término): 7h às 16h.")</f>
        <v>Arrancar ervas daninhas manualmente, cortar a grama com cortadores de grama, aparar as bordas manualmente e com aparador de bordas, usar ancinhos, enxada, pá manual, espalhar cobertura morta manualmente, usar soprador, limpar detritos na área de trabalho, aplicar herbicidas, fertilizantes, regar, plantar/remover vários tipos de plantas (flores sazonais, anuais, arbustos, árvores etc.), preparar canteiros e jardins para irrigação de gramados, espalhar cobertura morta, adubar e capinar manualmente, cortar a grama, aparar as bordas, passar barbante, aparar, podar, fertilizar, controlar doenças e insetos, manter a drenagem e a irrigação. Utilizar e manter equipamentos e ferramentas (ex: pás, enxadas, aparadores, cortadores de grama, roçadeiras, etc.) quando houver tempo disponível. Realizar manutenção básica em equipamentos, manter a área de trabalho limpa e remover lixo/detritos. Classificação da função: 37-3011.00 - Trabalhadores de Paisagismo e Manutenção de Jardins. A classificação e descrição da função/setor inclui informações gerais sobre o cargo, de acordo com o ONET/OES e o Sistema de Classificação Industrial da América do Norte (NAICS). Consulte as Funções e a Ordem de Serviço para obter mais informações. Requisitos da função: Experiência necessária: Não. Requisitos especiais: Capacidade de se curvar, alcançar o nível do solo ou acima da cabeça, ficar em pé, caminhar e ajoelhar por longos períodos; capacidade de levantar até 23 kg; capacidade de trabalhar em todas as condições climáticas, incluindo calor extremo, frio ou chuva. Disponibilidade para trabalhar nos fins de semana após a contratação. O trabalhador poderá ser solicitado a realizar turnos aleatórios. TESTE DE DROGAS, SEM CUSTO PARA O TRABALHADOR. RESULTADO POSITIVO OU DESCUMPRIMENTO PODEM RESULTAR EM DEMISSÃO. ALERGIAS A FERTILIZANTES, POEIRA, PESTICIDAS, INSETOS E PRODUTOS QUÍMICOS RELACIONADOS PODEM AFETAR A CAPACIDADE DO TRABALHADOR. Dias e Horário de Trabalho Previstos por Semana - O horário de trabalho padrão é das 7h às 16h, de segunda a sexta-feira; trabalho aos sábados e domingos é necessário, quando aplicável. O empregador oferecerá 35 horas semanais. Horas extras são oferecidas, mas não garantidas. O empregador pode oferecer mais horas do que o horário de trabalho estipulado, dependendo do clima, das necessidades da empresa e de outras condições. Calor extremo, frio intenso e chuva podem afetar o número exato de horas por semana: 35. Horário de Trabalho (Início/Término): 7h às 16h.</v>
      </c>
    </row>
    <row r="1691" ht="20.25" customHeight="1">
      <c r="A1691" s="8" t="s">
        <v>7583</v>
      </c>
      <c r="B1691" s="8" t="s">
        <v>7584</v>
      </c>
      <c r="C1691" s="8" t="s">
        <v>7266</v>
      </c>
      <c r="D1691" s="8" t="s">
        <v>249</v>
      </c>
      <c r="E1691" s="9" t="s">
        <v>44</v>
      </c>
      <c r="F1691" s="9" t="s">
        <v>20</v>
      </c>
      <c r="G1691" s="9" t="s">
        <v>1829</v>
      </c>
      <c r="H1691" s="8" t="s">
        <v>7585</v>
      </c>
      <c r="I1691" s="8" t="s">
        <v>7586</v>
      </c>
      <c r="J1691" s="9">
        <v>16.64</v>
      </c>
      <c r="K1691" s="9">
        <v>5.0</v>
      </c>
      <c r="L1691" s="8" t="s">
        <v>165</v>
      </c>
      <c r="M1691" s="8" t="s">
        <v>7587</v>
      </c>
      <c r="N1691" s="7" t="str">
        <f>IFERROR(__xludf.DUMMYFUNCTION("GOOGLETRANSLATE(L1691, ""en"", ""pt"")"),"Trabalhador de remoção de neve")</f>
        <v>Trabalhador de remoção de neve</v>
      </c>
      <c r="O1691" s="7" t="str">
        <f>IFERROR(__xludf.DUMMYFUNCTION("IF(M1691="""","""",GOOGLETRANSLATE(M1691,""en"",""pt""))"),"Os trabalhadores de remoção de neve auxiliarão na limpeza de neve e gelo de propriedades comerciais e residenciais, calçadas, entradas, acessos para veículos, escadas, estacionamentos e caminhos de pedestres durante nevascas. Os trabalhadores usarão uma c"&amp;"ombinação de ferramentas manuais e equipamentos motorizados para remoção de neve. As funções incluem: remover neve com pá e aplicar agentes de degelo, como sal ou areia, na superfície; operar máquinas de remoção de neve manuais ou pequenas máquinas autopr"&amp;"opelidas (por exemplo, sopradores de neve de um assento, sopradores de neve ou varredoras motorizadas); remover neve de espaços apertados ou elevados (por exemplo, escadas, decks, telhados quando seguro); carregar e transportar manualmente sacos ou baldes"&amp;" de materiais de degelo (como sal ou cloreto de cálcio) e aplicá-los usando espalhadores manuais, manuais ou de mochila em calçadas, escadas e outras áreas de pedestres para evitar o acúmulo de gelo e garantir a segurança ao caminhar; manter o equipamento"&amp;" limpo e abastecido. Reportar mau funcionamento aos supervisores, armazenar com segurança as ferramentas de remoção de neve e os materiais de degelo no local e transportá-los manualmente entre as áreas de trabalho usando carrinhos de mão, trenós ou carreg"&amp;"ando-os conforme necessário, seguir todos os protocolos de segurança do local, incluindo os procedimentos adequados de descarte de neve, podendo auxiliar na limpeza pós-evento ou nos esforços de remoção de neve. O trabalho exigirá que o trabalhador esteja"&amp;" exposto às intempéries/ambiente externo, ruído, baixas temperaturas e use equipamentos de proteção/segurança comuns. O trabalhador deve ser atento aos detalhes, minucioso na execução das tarefas, cooperativo e responsável. Classificação do Cargo: 37-2011"&amp;".00 - Zeladores e Faxineiros, exceto Empregadas Domésticas e Faxineiros. A classificação e descrição do cargo/setor incluem informações gerais sobre a posição, de acordo com o ONET/OES e o Sistema de Classificação Industrial da América do Norte. Consulte "&amp;"as Funções e a Ordem de Serviço para obter mais informações. Requisitos do Cargo Experiência Necessária: Não Requisitos Especiais: O trabalho exigirá que o trabalhador realize atividades físicas como levantar, equilibrar-se, caminhar, curvar-se, abaixar-s"&amp;"e, alcançar, empurrar, puxar e usar pá. Necessário ser capaz de levantar 23 kg. Número de horas por semana: 35. Horário de trabalho (início/término): 7h às 15h.")</f>
        <v>Os trabalhadores de remoção de neve auxiliarão na limpeza de neve e gelo de propriedades comerciais e residenciais, calçadas, entradas, acessos para veículos, escadas, estacionamentos e caminhos de pedestres durante nevascas. Os trabalhadores usarão uma combinação de ferramentas manuais e equipamentos motorizados para remoção de neve. As funções incluem: remover neve com pá e aplicar agentes de degelo, como sal ou areia, na superfície; operar máquinas de remoção de neve manuais ou pequenas máquinas autopropelidas (por exemplo, sopradores de neve de um assento, sopradores de neve ou varredoras motorizadas); remover neve de espaços apertados ou elevados (por exemplo, escadas, decks, telhados quando seguro); carregar e transportar manualmente sacos ou baldes de materiais de degelo (como sal ou cloreto de cálcio) e aplicá-los usando espalhadores manuais, manuais ou de mochila em calçadas, escadas e outras áreas de pedestres para evitar o acúmulo de gelo e garantir a segurança ao caminhar; manter o equipamento limpo e abastecido. Reportar mau funcionamento aos supervisores, armazenar com segurança as ferramentas de remoção de neve e os materiais de degelo no local e transportá-los manualmente entre as áreas de trabalho usando carrinhos de mão, trenós ou carregando-os conforme necessário, seguir todos os protocolos de segurança do local, incluindo os procedimentos adequados de descarte de neve, podendo auxiliar na limpeza pós-evento ou nos esforços de remoção de neve. O trabalho exigirá que o trabalhador esteja exposto às intempéries/ambiente externo, ruído, baixas temperaturas e use equipamentos de proteção/segurança comuns. O trabalhador deve ser atento aos detalhes, minucioso na execução das tarefas, cooperativo e responsável. Classificação do Cargo: 37-2011.00 - Zeladores e Faxineiros, exceto Empregadas Domésticas e Faxineiros. A classificação e descrição do cargo/setor incluem informações gerais sobre a posição, de acordo com o ONET/OES e o Sistema de Classificação Industrial da América do Norte. Consulte as Funções e a Ordem de Serviço para obter mais informações. Requisitos do Cargo Experiência Necessária: Não Requisitos Especiais: O trabalho exigirá que o trabalhador realize atividades físicas como levantar, equilibrar-se, caminhar, curvar-se, abaixar-se, alcançar, empurrar, puxar e usar pá. Necessário ser capaz de levantar 23 kg. Número de horas por semana: 35. Horário de trabalho (início/término): 7h às 15h.</v>
      </c>
    </row>
    <row r="1692" ht="20.25" customHeight="1">
      <c r="A1692" s="3" t="s">
        <v>7588</v>
      </c>
      <c r="B1692" s="3" t="s">
        <v>7589</v>
      </c>
      <c r="C1692" s="3" t="s">
        <v>5625</v>
      </c>
      <c r="D1692" s="3" t="s">
        <v>1051</v>
      </c>
      <c r="E1692" s="4" t="s">
        <v>19</v>
      </c>
      <c r="F1692" s="4" t="s">
        <v>20</v>
      </c>
      <c r="G1692" s="4" t="s">
        <v>524</v>
      </c>
      <c r="H1692" s="3" t="s">
        <v>7590</v>
      </c>
      <c r="I1692" s="3" t="s">
        <v>7591</v>
      </c>
      <c r="J1692" s="4">
        <v>21.93</v>
      </c>
      <c r="K1692" s="4">
        <v>10.0</v>
      </c>
      <c r="L1692" s="3" t="s">
        <v>7592</v>
      </c>
      <c r="M1692" s="3" t="s">
        <v>7593</v>
      </c>
      <c r="N1692" s="7" t="str">
        <f>IFERROR(__xludf.DUMMYFUNCTION("GOOGLETRANSLATE(L1692, ""en"", ""pt"")"),"Mão de obra no processamento de frutos do mar")</f>
        <v>Mão de obra no processamento de frutos do mar</v>
      </c>
      <c r="O1692" s="7" t="str">
        <f>IFERROR(__xludf.DUMMYFUNCTION("IF(M1692="""","""",GOOGLETRANSLATE(M1692,""en"",""pt""))"),"Descarregar caranguejos dos veículos de entrega e transportá-los manualmente para os tanques de armazenamento ou para a área de processamento. Inspecionar os frutos do mar para garantir a qualidade, removendo quaisquer caranguejos mortos ou menores do que"&amp;" o tamanho permitido, de acordo com os padrões da empresa. Pesar os caranguejos, registrar os pesos com precisão e embalá-los em caixas de isopor com gelo seco. Classificar os caranguejos por tamanho e qualidade, com base nas especificações da empresa. Et"&amp;"iquetar os produtos de frutos do mar embalados de forma clara e precisa para rastreamento e distribuição. Carregar as caixas etiquetadas em carrinhos ou áreas de armazenamento designadas para entrega local ou exportação. Manter um rigoroso controle de qua"&amp;"lidade para garantir que todos os frutos do mar atendam aos padrões de frescor e segurança. Monitorar e registrar regularmente as temperaturas dos tanques de água e freezers para preservar a qualidade dos frutos do mar. Limpar e higienizar diariamente as "&amp;"estações de trabalho, tanques e ferramentas, de acordo com as normas de segurança alimentar. Movimentar suprimentos e materiais de embalagem por toda a instalação manualmente ou utilizando ferramentas manuais, conforme necessário. Classificação da vaga: 5"&amp;"3-7062.00 - Operários e Movimentadores de Carga, Estoque e Materiais. A classificação e descrição da vaga/setor incluem informações gerais sobre o cargo, de acordo com o ONET/OES e o Sistema de Classificação Industrial da América do Norte. Consulte as Fun"&amp;"ções e a Ordem de Serviço para obter mais informações. Requisitos da vaga Experiência necessária: Sim Meses de experiência necessários: 6 Requisitos especiais: Aprovação na verificação de antecedentes pré-emprego; fornecer pelo menos uma referência de exp"&amp;"eriência profissional anterior; ser capaz de levantar objetos pesados ​​Número de horas por semana: 35 Horário de trabalho (início/término): 9h às 16h")</f>
        <v>Descarregar caranguejos dos veículos de entrega e transportá-los manualmente para os tanques de armazenamento ou para a área de processamento. Inspecionar os frutos do mar para garantir a qualidade, removendo quaisquer caranguejos mortos ou menores do que o tamanho permitido, de acordo com os padrões da empresa. Pesar os caranguejos, registrar os pesos com precisão e embalá-los em caixas de isopor com gelo seco. Classificar os caranguejos por tamanho e qualidade, com base nas especificações da empresa. Etiquetar os produtos de frutos do mar embalados de forma clara e precisa para rastreamento e distribuição. Carregar as caixas etiquetadas em carrinhos ou áreas de armazenamento designadas para entrega local ou exportação. Manter um rigoroso controle de qualidade para garantir que todos os frutos do mar atendam aos padrões de frescor e segurança. Monitorar e registrar regularmente as temperaturas dos tanques de água e freezers para preservar a qualidade dos frutos do mar. Limpar e higienizar diariamente as estações de trabalho, tanques e ferramentas, de acordo com as normas de segurança alimentar. Movimentar suprimentos e materiais de embalagem por toda a instalação manualmente ou utilizando ferramentas manuais, conforme necessário. Classificação da vaga: 53-7062.00 - Operários e Movimentadores de Carga, Estoque e Materiais. A classificação e descrição da vaga/setor incluem informações gerais sobre o cargo, de acordo com o ONET/OES e o Sistema de Classificação Industrial da América do Norte. Consulte as Funções e a Ordem de Serviço para obter mais informações. Requisitos da vaga Experiência necessária: Sim Meses de experiência necessários: 6 Requisitos especiais: Aprovação na verificação de antecedentes pré-emprego; fornecer pelo menos uma referência de experiência profissional anterior; ser capaz de levantar objetos pesados ​​Número de horas por semana: 35 Horário de trabalho (início/término): 9h às 16h</v>
      </c>
    </row>
    <row r="1693" ht="20.25" customHeight="1">
      <c r="A1693" s="8" t="s">
        <v>7594</v>
      </c>
      <c r="B1693" s="8" t="s">
        <v>7595</v>
      </c>
      <c r="C1693" s="8" t="s">
        <v>7596</v>
      </c>
      <c r="D1693" s="8" t="s">
        <v>36</v>
      </c>
      <c r="E1693" s="9" t="s">
        <v>19</v>
      </c>
      <c r="F1693" s="9" t="s">
        <v>20</v>
      </c>
      <c r="G1693" s="9" t="s">
        <v>155</v>
      </c>
      <c r="H1693" s="8" t="s">
        <v>7597</v>
      </c>
      <c r="I1693" s="8" t="s">
        <v>7598</v>
      </c>
      <c r="J1693" s="9">
        <v>17.08</v>
      </c>
      <c r="K1693" s="9">
        <v>8.0</v>
      </c>
      <c r="L1693" s="8" t="s">
        <v>567</v>
      </c>
      <c r="M1693" s="8" t="s">
        <v>7599</v>
      </c>
      <c r="N1693" s="7" t="str">
        <f>IFERROR(__xludf.DUMMYFUNCTION("GOOGLETRANSLATE(L1693, ""en"", ""pt"")"),"Trabalhador de manutenção de terrenos")</f>
        <v>Trabalhador de manutenção de terrenos</v>
      </c>
      <c r="O1693" s="7" t="str">
        <f>IFERROR(__xludf.DUMMYFUNCTION("IF(M1693="""","""",GOOGLETRANSLATE(M1693,""en"",""pt""))"),"Executar trabalhos de manutenção e reparo paisagístico durante o outono e inverno, tais como: auxiliar na preparação de sistemas de irrigação para o inverno; aplicar herbicidas, pragas e produtos para prevenção de doenças; cobrir gramados e outras vegetaç"&amp;"ões vulneráveis ​​ao frio; remover neve com sopradores e pás; podar e aparar árvores, arbustos e sebes, e outras tarefas similares. Preparar canteiros de flores para o inverno, podando, limpando e cobrindo. Auxiliar em diversos projetos de reparo e melhor"&amp;"ia paisagística durante períodos de baixo fluxo de membros e visitantes. Carregar e descarregar reboques utilitários. Manter as ferramentas e equipamentos de paisagismo organizados e em bom estado de conservação. Classificação da vaga: 37-3011.00 - Trabal"&amp;"hadores de Paisagismo e Manutenção de Jardins. A classificação e descrição da vaga/setor inclui informações gerais sobre o cargo, conforme o ONET/OES e o Sistema de Classificação Industrial da América do Norte. Consulte as Funções e a Ordem de Serviço par"&amp;"a obter mais informações. Requisitos da vaga: Experiência exigida: Não. Requisitos especiais: Deve possuir ou ser capaz de obter uma carteira de habilitação estadual. Deve ser capaz de levantar e carregar pelo menos 23 kg. Número de horas por semana: 53 H"&amp;"orário de trabalho (início/término): 6h30 - 15h30")</f>
        <v>Executar trabalhos de manutenção e reparo paisagístico durante o outono e inverno, tais como: auxiliar na preparação de sistemas de irrigação para o inverno; aplicar herbicidas, pragas e produtos para prevenção de doenças; cobrir gramados e outras vegetações vulneráveis ​​ao frio; remover neve com sopradores e pás; podar e aparar árvores, arbustos e sebes, e outras tarefas similares. Preparar canteiros de flores para o inverno, podando, limpando e cobrindo. Auxiliar em diversos projetos de reparo e melhoria paisagística durante períodos de baixo fluxo de membros e visitantes. Carregar e descarregar reboques utilitários. Manter as ferramentas e equipamentos de paisagismo organizados e em bom estado de conservação. Classificação da vaga: 37-3011.00 - Trabalhadores de Paisagismo e Manutenção de Jardins. A classificação e descrição da vaga/setor inclui informações gerais sobre o cargo, conforme o ONET/OES e o Sistema de Classificação Industrial da América do Norte. Consulte as Funções e a Ordem de Serviço para obter mais informações. Requisitos da vaga: Experiência exigida: Não. Requisitos especiais: Deve possuir ou ser capaz de obter uma carteira de habilitação estadual. Deve ser capaz de levantar e carregar pelo menos 23 kg. Número de horas por semana: 53 Horário de trabalho (início/término): 6h30 - 15h30</v>
      </c>
    </row>
    <row r="1694" ht="20.25" customHeight="1">
      <c r="A1694" s="3" t="s">
        <v>7600</v>
      </c>
      <c r="B1694" s="3" t="s">
        <v>7601</v>
      </c>
      <c r="C1694" s="3" t="s">
        <v>6921</v>
      </c>
      <c r="D1694" s="3" t="s">
        <v>4521</v>
      </c>
      <c r="E1694" s="4" t="s">
        <v>19</v>
      </c>
      <c r="F1694" s="4" t="s">
        <v>20</v>
      </c>
      <c r="G1694" s="4" t="s">
        <v>80</v>
      </c>
      <c r="H1694" s="3" t="s">
        <v>7602</v>
      </c>
      <c r="I1694" s="3" t="s">
        <v>7603</v>
      </c>
      <c r="J1694" s="4">
        <v>20.0</v>
      </c>
      <c r="K1694" s="4">
        <v>20.0</v>
      </c>
      <c r="L1694" s="3" t="s">
        <v>7604</v>
      </c>
      <c r="M1694" s="3" t="s">
        <v>7605</v>
      </c>
      <c r="N1694" s="7" t="str">
        <f>IFERROR(__xludf.DUMMYFUNCTION("GOOGLETRANSLATE(L1694, ""en"", ""pt"")"),"Empregada doméstica (10 meses)")</f>
        <v>Empregada doméstica (10 meses)</v>
      </c>
      <c r="O1694" s="7" t="str">
        <f>IFERROR(__xludf.DUMMYFUNCTION("IF(M1694="""","""",GOOGLETRANSLATE(M1694,""en"",""pt""))"),"Responsável pela limpeza e manutenção de todos os quartos, suítes e áreas comuns internas do Stratton Mountain Resort, incluindo aspirar pisos, tirar o pó, repor roupas de cama e toalhas, desinfetar banheiros e lavar janelas. Classificação da vaga: 37-201"&amp;"2.00 - Camareiras e Auxiliares de Limpeza. A classificação e descrição da vaga/setor inclui informações gerais sobre o cargo, de acordo com o ONET/OES e o Sistema de Classificação Industrial da América do Norte. Consulte as Funções e a Ordem de Serviço pa"&amp;"ra obter mais informações. Requisitos da vaga: Experiência necessária: Sim. Meses de experiência necessários: 3. Requisitos especiais: Três (3) meses de experiência em limpeza em um hotel de alto padrão, resort ou clube privado são necessários. Treinament"&amp;"o no local de trabalho fornecido. Treinamento oferecido. Dias e turnos: Os seguintes turnos estão disponíveis 7 dias por semana, incluindo fins de semana e feriados. Horário de trabalho: 6h às 13h, 7h às 14h, 8h às 15h, 12h às 19h, com turnos variáveis ​​"&amp;"de acordo com a época do ano, a disponibilidade de luz natural e a necessidade. Salário por hora: de US$ 20,00 a US$ 23,00 (com base no mérito, experiência e funções de liderança). Possibilidade de horas extras: horas extras podem estar disponíveis com pa"&amp;"gamento de US$ 30,00 a US$ 34,50 por hora. Possibilidade de aumento salarial: aumentos podem ser concedidos com base no mérito, experiência e funções de liderança. Bônus: gorjetas possíveis. Benefícios: descontos em refeições e lojas, passe de esqui gratu"&amp;"ito. Número de horas por semana: 35. Horário de trabalho (início/término): 6h às 13h.")</f>
        <v>Responsável pela limpeza e manutenção de todos os quartos, suítes e áreas comuns internas do Stratton Mountain Resort, incluindo aspirar pisos, tirar o pó, repor roupas de cama e toalhas, desinfetar banheiros e lavar janelas. Classificação da vaga: 37-2012.00 - Camareiras e Auxiliares de Limpeza. A classificação e descrição da vaga/setor inclui informações gerais sobre o cargo, de acordo com o ONET/OES e o Sistema de Classificação Industrial da América do Norte. Consulte as Funções e a Ordem de Serviço para obter mais informações. Requisitos da vaga: Experiência necessária: Sim. Meses de experiência necessários: 3. Requisitos especiais: Três (3) meses de experiência em limpeza em um hotel de alto padrão, resort ou clube privado são necessários. Treinamento no local de trabalho fornecido. Treinamento oferecido. Dias e turnos: Os seguintes turnos estão disponíveis 7 dias por semana, incluindo fins de semana e feriados. Horário de trabalho: 6h às 13h, 7h às 14h, 8h às 15h, 12h às 19h, com turnos variáveis ​​de acordo com a época do ano, a disponibilidade de luz natural e a necessidade. Salário por hora: de US$ 20,00 a US$ 23,00 (com base no mérito, experiência e funções de liderança). Possibilidade de horas extras: horas extras podem estar disponíveis com pagamento de US$ 30,00 a US$ 34,50 por hora. Possibilidade de aumento salarial: aumentos podem ser concedidos com base no mérito, experiência e funções de liderança. Bônus: gorjetas possíveis. Benefícios: descontos em refeições e lojas, passe de esqui gratuito. Número de horas por semana: 35. Horário de trabalho (início/término): 6h às 13h.</v>
      </c>
    </row>
    <row r="1695" ht="20.25" customHeight="1">
      <c r="A1695" s="8" t="s">
        <v>7606</v>
      </c>
      <c r="B1695" s="8" t="s">
        <v>7607</v>
      </c>
      <c r="C1695" s="8" t="s">
        <v>1030</v>
      </c>
      <c r="D1695" s="8" t="s">
        <v>64</v>
      </c>
      <c r="E1695" s="9" t="s">
        <v>19</v>
      </c>
      <c r="F1695" s="9" t="s">
        <v>20</v>
      </c>
      <c r="G1695" s="9" t="s">
        <v>56</v>
      </c>
      <c r="H1695" s="8" t="s">
        <v>7608</v>
      </c>
      <c r="I1695" s="8" t="s">
        <v>7609</v>
      </c>
      <c r="J1695" s="9">
        <v>18.42</v>
      </c>
      <c r="K1695" s="9">
        <v>5.0</v>
      </c>
      <c r="L1695" s="8" t="s">
        <v>59</v>
      </c>
      <c r="M1695" s="8" t="s">
        <v>7610</v>
      </c>
      <c r="N1695" s="7" t="str">
        <f>IFERROR(__xludf.DUMMYFUNCTION("GOOGLETRANSLATE(L1695, ""en"", ""pt"")"),"Trabalhador de paisagismo")</f>
        <v>Trabalhador de paisagismo</v>
      </c>
      <c r="O1695" s="7" t="str">
        <f>IFERROR(__xludf.DUMMYFUNCTION("IF(M1695="""","""",GOOGLETRANSLATE(M1695,""en"",""pt""))"),"Utilizar ferramentas elétricas e manuais para a manutenção de gramados. Rastelar e soprar folhas; cavar buracos com ferramentas manuais com profundidade/largura máxima de 60 cm para plantio; podar e transportar terra vegetal e cobertura morta. Envolve o c"&amp;"arregamento e descarregamento de ferramentas, suprimentos e equipamentos com peso de até 23 kg. Envolve trabalho ao ar livre em todos os tipos de clima. Envolve longos períodos em pé, sentado ou caminhando. Envolve agachar-se ou curvar-se com frequência. "&amp;"Envolve movimentos repetitivos. Possibilidade de aumento salarial com base no desempenho, bônus, horas extras e trabalho aos sábados, conforme necessário. Transporte fornecido para vários locais de trabalho a partir da localização central em Midlothian, T"&amp;"X. 60 minutos de intervalos não remunerados ao longo do dia. O horário de trabalho diário pode variar entre os horários de início e término listados, dependendo do clima ou das tarefas atribuídas. Classificação do Cargo: 37-3011.00 - Trabalhadores de Pais"&amp;"agismo e Manutenção de Jardins. A classificação e descrição do cargo/setor inclui informações gerais sobre a posição, de acordo com o ONET/OES e o Sistema de Classificação Industrial da América do Norte. Consulte a descrição das funções e a ordem de servi"&amp;"ço para obter mais informações. Requisitos da vaga: Experiência necessária: Não. Número de horas por semana: 40. Horário de trabalho (início/término): 7h às 17h.")</f>
        <v>Utilizar ferramentas elétricas e manuais para a manutenção de gramados. Rastelar e soprar folhas; cavar buracos com ferramentas manuais com profundidade/largura máxima de 60 cm para plantio; podar e transportar terra vegetal e cobertura morta. Envolve o carregamento e descarregamento de ferramentas, suprimentos e equipamentos com peso de até 23 kg. Envolve trabalho ao ar livre em todos os tipos de clima. Envolve longos períodos em pé, sentado ou caminhando. Envolve agachar-se ou curvar-se com frequência. Envolve movimentos repetitivos. Possibilidade de aumento salarial com base no desempenho, bônus, horas extras e trabalho aos sábados, conforme necessário. Transporte fornecido para vários locais de trabalho a partir da localização central em Midlothian, TX. 60 minutos de intervalos não remunerados ao longo do dia. O horário de trabalho diário pode variar entre os horários de início e término listados, dependendo do clima ou das tarefas atribuídas. Classificação do Cargo: 37-3011.00 - Trabalhadores de Paisagismo e Manutenção de Jardins. A classificação e descrição do cargo/setor inclui informações gerais sobre a posição, de acordo com o ONET/OES e o Sistema de Classificação Industrial da América do Norte. Consulte a descrição das funções e a ordem de serviço para obter mais informações. Requisitos da vaga: Experiência necessária: Não. Número de horas por semana: 40. Horário de trabalho (início/término): 7h às 17h.</v>
      </c>
    </row>
    <row r="1696" ht="20.25" customHeight="1">
      <c r="A1696" s="3" t="s">
        <v>7611</v>
      </c>
      <c r="B1696" s="3" t="s">
        <v>7612</v>
      </c>
      <c r="C1696" s="3" t="s">
        <v>4247</v>
      </c>
      <c r="D1696" s="3" t="s">
        <v>71</v>
      </c>
      <c r="E1696" s="4" t="s">
        <v>44</v>
      </c>
      <c r="F1696" s="4" t="s">
        <v>20</v>
      </c>
      <c r="G1696" s="4" t="s">
        <v>3239</v>
      </c>
      <c r="H1696" s="3" t="s">
        <v>7613</v>
      </c>
      <c r="I1696" s="3" t="s">
        <v>7614</v>
      </c>
      <c r="J1696" s="4">
        <v>19.02</v>
      </c>
      <c r="K1696" s="4">
        <v>52.0</v>
      </c>
      <c r="L1696" s="3" t="s">
        <v>4250</v>
      </c>
      <c r="M1696" s="3" t="s">
        <v>4251</v>
      </c>
      <c r="N1696" s="7" t="str">
        <f>IFERROR(__xludf.DUMMYFUNCTION("GOOGLETRANSLATE(L1696, ""en"", ""pt"")"),"49-9098: Ajudantes — Trabalhos de instalação, manutenção e reparo")</f>
        <v>49-9098: Ajudantes — Trabalhos de instalação, manutenção e reparo</v>
      </c>
      <c r="O1696" s="7" t="str">
        <f>IFERROR(__xludf.DUMMYFUNCTION("IF(M1696="""","""",GOOGLETRANSLATE(M1696,""en"",""pt""))"),"Auxiliar os trabalhadores de instalação, manutenção e reparo na manutenção, substituição de peças e reparo de veículos, máquinas industriais e equipamentos elétricos e eletrônicos. Executar tarefas como fornecer ferramentas, materiais e suprimentos para o"&amp;"utros trabalhadores; limpar a área de trabalho, máquinas e ferramentas; e segurar materiais ou ferramentas para outros trabalhadores. Classificação da vaga: 49-9098.00 - Auxiliares - Trabalhadores de Instalação, Manutenção e Reparo. A classificação e desc"&amp;"rição da vaga/setor inclui informações gerais sobre a posição, de acordo com o ONET/OES e o Sistema de Classificação Industrial da América do Norte (NAICS). Consulte as Funções e a Ordem de Serviço para obter mais informações. Requisitos da vaga: Experiên"&amp;"cia exigida: Não. Requisitos especiais: Testes aleatórios de drogas e verificação de antecedentes criminais após a contratação podem ser exigidos, sem custo para o trabalhador. A vaga exige que o candidato seja qualificado, esteja pronto, disposto, apto e"&amp;" disponível para trabalhar durante todo o período de emprego no local de trabalho designado; para firmar e cumprir o contrato de trabalho; e para seguir as normas do local de trabalho. Número de horas por semana: 35. Horário de trabalho (início/término): "&amp;"8h. - 16:00")</f>
        <v>Auxiliar os trabalhadores de instalação, manutenção e reparo na manutenção, substituição de peças e reparo de veículos, máquinas industriais e equipamentos elétricos e eletrônicos. Executar tarefas como fornecer ferramentas, materiais e suprimentos para outros trabalhadores; limpar a área de trabalho, máquinas e ferramentas; e segurar materiais ou ferramentas para outros trabalhadores. Classificação da vaga: 49-9098.00 - Auxiliares - Trabalhadores de Instalação, Manutenção e Reparo. A classificação e descrição da vaga/setor inclui informações gerais sobre a posição, de acordo com o ONET/OES e o Sistema de Classificação Industrial da América do Norte (NAICS). Consulte as Funções e a Ordem de Serviço para obter mais informações. Requisitos da vaga: Experiência exigida: Não. Requisitos especiais: Testes aleatórios de drogas e verificação de antecedentes criminais após a contratação podem ser exigidos, sem custo para o trabalhador. A vaga exige que o candidato seja qualificado, esteja pronto, disposto, apto e disponível para trabalhar durante todo o período de emprego no local de trabalho designado; para firmar e cumprir o contrato de trabalho; e para seguir as normas do local de trabalho. Número de horas por semana: 35. Horário de trabalho (início/término): 8h. - 16:00</v>
      </c>
    </row>
    <row r="1697" ht="20.25" customHeight="1">
      <c r="A1697" s="8" t="s">
        <v>7615</v>
      </c>
      <c r="B1697" s="8" t="s">
        <v>7616</v>
      </c>
      <c r="C1697" s="8" t="s">
        <v>391</v>
      </c>
      <c r="D1697" s="8" t="s">
        <v>71</v>
      </c>
      <c r="E1697" s="9" t="s">
        <v>19</v>
      </c>
      <c r="F1697" s="9" t="s">
        <v>20</v>
      </c>
      <c r="G1697" s="9" t="s">
        <v>80</v>
      </c>
      <c r="H1697" s="14" t="s">
        <v>7617</v>
      </c>
      <c r="I1697" s="8" t="s">
        <v>1156</v>
      </c>
      <c r="J1697" s="9">
        <v>15.6</v>
      </c>
      <c r="K1697" s="9">
        <v>20.0</v>
      </c>
      <c r="L1697" s="8" t="s">
        <v>7618</v>
      </c>
      <c r="M1697" s="8" t="s">
        <v>7619</v>
      </c>
      <c r="N1697" s="7" t="str">
        <f>IFERROR(__xludf.DUMMYFUNCTION("GOOGLETRANSLATE(L1697, ""en"", ""pt"")"),"Trabalhador de parque de diversões")</f>
        <v>Trabalhador de parque de diversões</v>
      </c>
      <c r="O1697" s="7" t="str">
        <f>IFERROR(__xludf.DUMMYFUNCTION("IF(M1697="""","""",GOOGLETRANSLATE(M1697,""en"",""pt""))"),"Executar diversas tarefas de atendimento em instalações de diversão ou recreação. Vender e cobrar ingressos/taxas, auxiliar os clientes, operar/atender barracas, brinquedos e jogos, vender e preparar alimentos. Alimentos simples, típicos de parques de div"&amp;"ersões, são preparados utilizando itens pré-congelados e pré-embalados que são cozidos/aquecidos e montados, como cachorro-quente, salsicha e linguiça. Utilizando as devidas precauções de segurança e medidas sanitárias, operar equipamentos de cozinha de g"&amp;"rande porte, como grelhas, fritadeiras, chapas ou fogões elétricos. Lavar, cortar e preparar os alimentos destinados ao cozimento utilizando facas ou fatiadores. Seguindo instruções simples e específicas: Montar e desmontar a barraca, o que consiste em ab"&amp;"rir e fechar os toldos. Não são necessárias ferramentas. Repor alimentos, produtos de papel ou brindes conforme necessário. Utilizando produtos de limpeza básicos e seguindo as devidas precauções de segurança e medidas sanitárias, garantir que todos os it"&amp;"ens sejam limpos e armazenados de maneira segura para o transporte. Verificar se algum equipamento de serviço de alimentação não está funcionando corretamente e informar à equipe de manutenção para reparo ou substituição. Por exemplo, observar danos nos c"&amp;"abos elétricos e relatar problemas conforme necessário. Auxiliar os clientes a entrar nos brinquedos, informando-os sobre a necessidade de apertar o cinto, a barra ou outro dispositivo de segurança. Garantir a segurança em todos os momentos. Operar o pain"&amp;"el de controle para iniciar e parar o brinquedo. Participar dos jogos, explicando as regras, auxiliando na brincadeira (como entregar uma bola para o cliente arremessar ou um anel para lançar), recolhendo e entregando os prêmios aos vencedores. Horários, "&amp;"escalas e dias variam – Exemplo de turno: 10h às 19h, com 1 hora de intervalo não remunerado; 40 horas semanais, podendo haver necessidade ou disponibilidade de horas extras, incluindo fins de semana e feriados (ou seja, horários, dias, escalas, locais e "&amp;"funções) variam. A disponibilidade de trabalho não é garantida por dia, semana, escala, local ou funcionário, por exemplo, em caso de cancelamentos por chuva, breves períodos sem eventos programados, datas e horários dos eventos definidos em acordo com o "&amp;"patrocinador e sujeitos a alterações e cancelamentos imprevistos. $15,60 por hora. Não se espera que haja horas extras, mas, caso ocorram trabalhos que as exijam, estas serão pagas de acordo com as leis federais, estaduais e locais aplicáveis. Os salários"&amp;" poderão ser aumentados por desempenho/tempo de serviço ou por mudanças nas condições de mercado. Pagamento semanal, sendo utilizada uma única semana de trabalho para o cálculo dos salários. O empregador fornecerá aos trabalhadores, sem custo algum, todas"&amp;" as ferramentas, suprimentos e equipamentos necessários para o desempenho do trabalho. O uniforme obrigatório será fornecido sem custo ao trabalhador. Classificação do Cargo: 39-3091.00 - Atendentes de Parques de Diversões e Recreação. A classificação e a"&amp;" descrição do cargo/setor incluem informações gerais sobre a posição, de acordo com o ONET/OES e o Sistema de Classificação Industrial da América do Norte (NAICS). Consulte as Funções e a Ordem de Serviço para obter mais informações. Requisitos do Cargo E"&amp;"xperiência Necessária: Não. Requisitos Especiais: O cargo exige que o candidato seja qualificado, esteja pronto, disposto, apto e disponível para trabalhar durante todo o período de emprego nos locais de trabalho designados, mesmo em condições climáticas "&amp;"adversas; para firmar e cumprir contratos de trabalho; para seguir as normas do local de trabalho; e para atender aos padrões de desempenho do cargo. Deve cumprir os requisitos de apresentação pessoal e o código de vestimenta. Sujeito a demissão por justa"&amp;" causa. Disponibilidade para trabalhar até 7 dias por semana. Exame toxicológico obrigatório após a contratação/após lesão ou incidente e em caso de suspeita razoável, com o custo pago pelo empregador e aplicado igualmente a todos os trabalhadores, americ"&amp;"anos e estrangeiros/com visto H2B. Os candidatos devem cooperar e preencher a ficha de inscrição e participar da entrevista com sinceridade. Número de horas por semana: 40. Horário de trabalho (início/término): 10h às 19h.")</f>
        <v>Executar diversas tarefas de atendimento em instalações de diversão ou recreação. Vender e cobrar ingressos/taxas, auxiliar os clientes, operar/atender barracas, brinquedos e jogos, vender e preparar alimentos. Alimentos simples, típicos de parques de diversões, são preparados utilizando itens pré-congelados e pré-embalados que são cozidos/aquecidos e montados, como cachorro-quente, salsicha e linguiça. Utilizando as devidas precauções de segurança e medidas sanitárias, operar equipamentos de cozinha de grande porte, como grelhas, fritadeiras, chapas ou fogões elétricos. Lavar, cortar e preparar os alimentos destinados ao cozimento utilizando facas ou fatiadores. Seguindo instruções simples e específicas: Montar e desmontar a barraca, o que consiste em abrir e fechar os toldos. Não são necessárias ferramentas. Repor alimentos, produtos de papel ou brindes conforme necessário. Utilizando produtos de limpeza básicos e seguindo as devidas precauções de segurança e medidas sanitárias, garantir que todos os itens sejam limpos e armazenados de maneira segura para o transporte. Verificar se algum equipamento de serviço de alimentação não está funcionando corretamente e informar à equipe de manutenção para reparo ou substituição. Por exemplo, observar danos nos cabos elétricos e relatar problemas conforme necessário. Auxiliar os clientes a entrar nos brinquedos, informando-os sobre a necessidade de apertar o cinto, a barra ou outro dispositivo de segurança. Garantir a segurança em todos os momentos. Operar o painel de controle para iniciar e parar o brinquedo. Participar dos jogos, explicando as regras, auxiliando na brincadeira (como entregar uma bola para o cliente arremessar ou um anel para lançar), recolhendo e entregando os prêmios aos vencedores. Horários, escalas e dias variam – Exemplo de turno: 10h às 19h, com 1 hora de intervalo não remunerado; 40 horas semanais, podendo haver necessidade ou disponibilidade de horas extras, incluindo fins de semana e feriados (ou seja, horários, dias, escalas, locais e funções) variam. A disponibilidade de trabalho não é garantida por dia, semana, escala, local ou funcionário, por exemplo, em caso de cancelamentos por chuva, breves períodos sem eventos programados, datas e horários dos eventos definidos em acordo com o patrocinador e sujeitos a alterações e cancelamentos imprevistos. $15,60 por hora. Não se espera que haja horas extras, mas, caso ocorram trabalhos que as exijam, estas serão pagas de acordo com as leis federais, estaduais e locais aplicáveis. Os salários poderão ser aumentados por desempenho/tempo de serviço ou por mudanças nas condições de mercado. Pagamento semanal, sendo utilizada uma única semana de trabalho para o cálculo dos salários. O empregador fornecerá aos trabalhadores, sem custo algum, todas as ferramentas, suprimentos e equipamentos necessários para o desempenho do trabalho. O uniforme obrigatório será fornecido sem custo ao trabalhador. Classificação do Cargo: 39-3091.00 - Atendentes de Parques de Diversões e Recreação. A classificação e a descrição do cargo/setor incluem informações gerais sobre a posição, de acordo com o ONET/OES e o Sistema de Classificação Industrial da América do Norte (NAICS). Consulte as Funções e a Ordem de Serviço para obter mais informações. Requisitos do Cargo Experiência Necessária: Não. Requisitos Especiais: O cargo exige que o candidato seja qualificado, esteja pronto, disposto, apto e disponível para trabalhar durante todo o período de emprego nos locais de trabalho designados, mesmo em condições climáticas adversas; para firmar e cumprir contratos de trabalho; para seguir as normas do local de trabalho; e para atender aos padrões de desempenho do cargo. Deve cumprir os requisitos de apresentação pessoal e o código de vestimenta. Sujeito a demissão por justa causa. Disponibilidade para trabalhar até 7 dias por semana. Exame toxicológico obrigatório após a contratação/após lesão ou incidente e em caso de suspeita razoável, com o custo pago pelo empregador e aplicado igualmente a todos os trabalhadores, americanos e estrangeiros/com visto H2B. Os candidatos devem cooperar e preencher a ficha de inscrição e participar da entrevista com sinceridade. Número de horas por semana: 40. Horário de trabalho (início/término): 10h às 19h.</v>
      </c>
    </row>
    <row r="1698" ht="20.25" customHeight="1">
      <c r="A1698" s="3" t="s">
        <v>7620</v>
      </c>
      <c r="B1698" s="3" t="s">
        <v>7621</v>
      </c>
      <c r="C1698" s="3" t="s">
        <v>6228</v>
      </c>
      <c r="D1698" s="3" t="s">
        <v>133</v>
      </c>
      <c r="E1698" s="4" t="s">
        <v>44</v>
      </c>
      <c r="F1698" s="4" t="s">
        <v>20</v>
      </c>
      <c r="G1698" s="4" t="s">
        <v>307</v>
      </c>
      <c r="H1698" s="3" t="s">
        <v>7622</v>
      </c>
      <c r="I1698" s="3" t="s">
        <v>7623</v>
      </c>
      <c r="J1698" s="4">
        <v>20.0</v>
      </c>
      <c r="K1698" s="4">
        <v>8.0</v>
      </c>
      <c r="L1698" s="3" t="s">
        <v>7624</v>
      </c>
      <c r="M1698" s="3" t="s">
        <v>7625</v>
      </c>
      <c r="N1698" s="7" t="str">
        <f>IFERROR(__xludf.DUMMYFUNCTION("GOOGLETRANSLATE(L1698, ""en"", ""pt"")"),"Operador de Máquina de Trabalhar Madeira no Inverno")</f>
        <v>Operador de Máquina de Trabalhar Madeira no Inverno</v>
      </c>
      <c r="O1698" s="7" t="str">
        <f>IFERROR(__xludf.DUMMYFUNCTION("IF(M1698="""","""",GOOGLETRANSLATE(M1698,""en"",""pt""))"),"Preparar, operar e manter máquinas de marcenaria ou auxiliar em tarefas associadas a essas máquinas para montar painéis de parede ou treliças. Classificar, movimentar, fixar e posicionar madeira. Limpar o local de trabalho. As tarefas de inverno incluem a"&amp;" remoção básica de neve ao redor das áreas de trabalho e entradas, a limpeza de calçadas e espaços de trabalho para manter o acesso seguro, a remoção de gelo acumulado conforme necessário e o auxílio na limpeza geral e em tarefas simples de apoio. Classif"&amp;"icação da vaga: 51-7042.00 - Preparadores, Operadores e Auxiliares de Máquinas de Marcenaria, exceto Serragem. A classificação e descrição da vaga/indústria incluem informações gerais sobre o cargo, de acordo com o ONET/OES e o Sistema de Classificação In"&amp;"dustrial da América do Norte. Consulte as Funções e a Ordem de Serviço para obter mais informações. Requisitos da vaga: Experiência necessária: Sim. Meses de experiência necessários: 3. Requisitos especiais: três (3) meses de experiência em produção ou ár"&amp;"eas afins. Deve ser capaz de levantar 34 kg por 69 metros. O candidato deve ser capaz de passar por testes de drogas pré-emprego, pós-acidente e outros testes aleatórios pagos pelo empregador. Número de horas por semana: 40. Horário de trabalho (início/té"&amp;"rmino): 7h às 15h30.")</f>
        <v>Preparar, operar e manter máquinas de marcenaria ou auxiliar em tarefas associadas a essas máquinas para montar painéis de parede ou treliças. Classificar, movimentar, fixar e posicionar madeira. Limpar o local de trabalho. As tarefas de inverno incluem a remoção básica de neve ao redor das áreas de trabalho e entradas, a limpeza de calçadas e espaços de trabalho para manter o acesso seguro, a remoção de gelo acumulado conforme necessário e o auxílio na limpeza geral e em tarefas simples de apoio. Classificação da vaga: 51-7042.00 - Preparadores, Operadores e Auxiliares de Máquinas de Marcenaria, exceto Serragem. A classificação e descrição da vaga/indústria incluem informações gerais sobre o cargo, de acordo com o ONET/OES e o Sistema de Classificação Industrial da América do Norte. Consulte as Funções e a Ordem de Serviço para obter mais informações. Requisitos da vaga: Experiência necessária: Sim. Meses de experiência necessários: 3. Requisitos especiais: três (3) meses de experiência em produção ou áreas afins. Deve ser capaz de levantar 34 kg por 69 metros. O candidato deve ser capaz de passar por testes de drogas pré-emprego, pós-acidente e outros testes aleatórios pagos pelo empregador. Número de horas por semana: 40. Horário de trabalho (início/término): 7h às 15h30.</v>
      </c>
    </row>
    <row r="1699" ht="20.25" customHeight="1">
      <c r="A1699" s="8" t="s">
        <v>7626</v>
      </c>
      <c r="B1699" s="8" t="s">
        <v>7627</v>
      </c>
      <c r="C1699" s="8" t="s">
        <v>7628</v>
      </c>
      <c r="D1699" s="8" t="s">
        <v>109</v>
      </c>
      <c r="E1699" s="9" t="s">
        <v>44</v>
      </c>
      <c r="F1699" s="9" t="s">
        <v>20</v>
      </c>
      <c r="G1699" s="9" t="s">
        <v>4493</v>
      </c>
      <c r="H1699" s="8" t="s">
        <v>7629</v>
      </c>
      <c r="I1699" s="8" t="s">
        <v>7630</v>
      </c>
      <c r="J1699" s="9">
        <v>15.75</v>
      </c>
      <c r="K1699" s="9">
        <v>12.0</v>
      </c>
      <c r="L1699" s="8" t="s">
        <v>354</v>
      </c>
      <c r="M1699" s="8" t="s">
        <v>7631</v>
      </c>
      <c r="N1699" s="7" t="str">
        <f>IFERROR(__xludf.DUMMYFUNCTION("GOOGLETRANSLATE(L1699, ""en"", ""pt"")"),"Governanta")</f>
        <v>Governanta</v>
      </c>
      <c r="O1699" s="7" t="str">
        <f>IFERROR(__xludf.DUMMYFUNCTION("IF(M1699="""","""",GOOGLETRANSLATE(M1699,""en"",""pt""))"),"Limpar quartos de hóspedes, banheiros e áreas comuns. Trocar a roupa de cama e arrumar as camas. Repor toalhas e artigos de higiene pessoal. Varrer, passar pano, aspirar e tirar o pó dos quartos e corredores. Descartar o lixo. Reportar danos ou problemas "&amp;"de manutenção à gerência. Repor os materiais de limpeza. Auxiliar na lavanderia, incluindo lavar, secar e dobrar roupas de cama. Seguir as normas de saúde e segurança. Atender às solicitações dos hóspedes por suprimentos adicionais. Classificação da vaga:"&amp;" 37-2012.00 - Camareiras e Auxiliares de Limpeza. A classificação e descrição da vaga/setor inclui informações gerais sobre o cargo, de acordo com o ONET/OES e o Sistema de Classificação Industrial da América do Norte. Consulte as Funções e a Ordem de Ser"&amp;"viço para obter mais informações. Requisitos da vaga: Experiência necessária: Não. Requisitos especiais: Não. Número de horas por semana: 35. Horário de trabalho (início/término): 8h às 16h.")</f>
        <v>Limpar quartos de hóspedes, banheiros e áreas comuns. Trocar a roupa de cama e arrumar as camas. Repor toalhas e artigos de higiene pessoal. Varrer, passar pano, aspirar e tirar o pó dos quartos e corredores. Descartar o lixo. Reportar danos ou problemas de manutenção à gerência. Repor os materiais de limpeza. Auxiliar na lavanderia, incluindo lavar, secar e dobrar roupas de cama. Seguir as normas de saúde e segurança. Atender às solicitações dos hóspedes por suprimentos adicionais. Classificação da vaga: 37-2012.00 - Camareiras e Auxiliares de Limpeza. A classificação e descrição da vaga/setor inclui informações gerais sobre o cargo, de acordo com o ONET/OES e o Sistema de Classificação Industrial da América do Norte. Consulte as Funções e a Ordem de Serviço para obter mais informações. Requisitos da vaga: Experiência necessária: Não. Requisitos especiais: Não. Número de horas por semana: 35. Horário de trabalho (início/término): 8h às 16h.</v>
      </c>
    </row>
    <row r="1700" ht="20.25" customHeight="1">
      <c r="A1700" s="3" t="s">
        <v>7632</v>
      </c>
      <c r="B1700" s="3" t="s">
        <v>7633</v>
      </c>
      <c r="C1700" s="3" t="s">
        <v>1030</v>
      </c>
      <c r="D1700" s="3" t="s">
        <v>1190</v>
      </c>
      <c r="E1700" s="4" t="s">
        <v>44</v>
      </c>
      <c r="F1700" s="4" t="s">
        <v>20</v>
      </c>
      <c r="G1700" s="4" t="s">
        <v>229</v>
      </c>
      <c r="H1700" s="3" t="s">
        <v>7634</v>
      </c>
      <c r="I1700" s="3" t="s">
        <v>7635</v>
      </c>
      <c r="J1700" s="4">
        <v>29.33</v>
      </c>
      <c r="K1700" s="4">
        <v>6.0</v>
      </c>
      <c r="L1700" s="3" t="s">
        <v>7636</v>
      </c>
      <c r="M1700" s="3" t="s">
        <v>7637</v>
      </c>
      <c r="N1700" s="7" t="str">
        <f>IFERROR(__xludf.DUMMYFUNCTION("GOOGLETRANSLATE(L1700, ""en"", ""pt"")"),"Gesseiro de piscinas internas")</f>
        <v>Gesseiro de piscinas internas</v>
      </c>
      <c r="O1700" s="7" t="str">
        <f>IFERROR(__xludf.DUMMYFUNCTION("IF(M1700="""","""",GOOGLETRANSLATE(M1700,""en"",""pt""))"),"Misturar e transportar gesso, aplicar e curar gesso em piscinas, limpar áreas de trabalho e equipamentos. Outras funções podem incluir manutenção leve de instalações/equipamentos e inventário. Envolve carregar e descarregar ferramentas, suprimentos e equi"&amp;"pamentos com peso de até 40 kg. Envolve trabalho ao ar livre em todos os tipos de clima. Envolve ficar em pé, sentado ou caminhando por longos períodos. Envolve agachar-se ou curvar-se com frequência. Envolve movimentos repetitivos. Pagamento adiantado, s"&amp;"e necessário, veículo disponível para uso profissional e pessoal, moradia gratuita, contas de serviços públicos por conta do funcionário. Possibilidade de aumento salarial com base no desempenho, bônus, horas extras e trabalho aos sábados, conforme necess"&amp;"ário. Transporte fornecido para vários locais de trabalho a partir da localização central em Stratford, CT. 60 minutos de intervalos não remunerados ao longo do dia. O horário de trabalho diário pode variar entre os horários de início e término listados, "&amp;"dependendo do clima ou das tarefas atribuídas. Classificação do cargo: 47-2161.00 - Gesseiros e Pedreiros de Estuque. A classificação e descrição do cargo/setor inclui informações gerais sobre a posição da ONET/OES e do Sistema de Classificação Industrial"&amp;" da América do Norte. Consulte a descrição das funções e a ordem de serviço para obter mais informações. Requisitos da vaga: Experiência necessária: Não. Número de horas por semana: 40. Horário de trabalho (início/término): 7h às 17h.")</f>
        <v>Misturar e transportar gesso, aplicar e curar gesso em piscinas, limpar áreas de trabalho e equipamentos. Outras funções podem incluir manutenção leve de instalações/equipamentos e inventário. Envolve carregar e descarregar ferramentas, suprimentos e equipamentos com peso de até 40 kg. Envolve trabalho ao ar livre em todos os tipos de clima. Envolve ficar em pé, sentado ou caminhando por longos períodos. Envolve agachar-se ou curvar-se com frequência. Envolve movimentos repetitivos. Pagamento adiantado, se necessário, veículo disponível para uso profissional e pessoal, moradia gratuita, contas de serviços públicos por conta do funcionário. Possibilidade de aumento salarial com base no desempenho, bônus, horas extras e trabalho aos sábados, conforme necessário. Transporte fornecido para vários locais de trabalho a partir da localização central em Stratford, CT. 60 minutos de intervalos não remunerados ao longo do dia. O horário de trabalho diário pode variar entre os horários de início e término listados, dependendo do clima ou das tarefas atribuídas. Classificação do cargo: 47-2161.00 - Gesseiros e Pedreiros de Estuque. A classificação e descrição do cargo/setor inclui informações gerais sobre a posição da ONET/OES e do Sistema de Classificação Industrial da América do Norte. Consulte a descrição das funções e a ordem de serviço para obter mais informações. Requisitos da vaga: Experiência necessária: Não. Número de horas por semana: 40. Horário de trabalho (início/término): 7h às 17h.</v>
      </c>
    </row>
    <row r="1701" ht="20.25" customHeight="1">
      <c r="A1701" s="8" t="s">
        <v>7638</v>
      </c>
      <c r="B1701" s="8" t="s">
        <v>7391</v>
      </c>
      <c r="C1701" s="8" t="s">
        <v>7392</v>
      </c>
      <c r="D1701" s="8" t="s">
        <v>140</v>
      </c>
      <c r="E1701" s="9" t="s">
        <v>19</v>
      </c>
      <c r="F1701" s="9" t="s">
        <v>20</v>
      </c>
      <c r="G1701" s="9" t="s">
        <v>80</v>
      </c>
      <c r="H1701" s="8" t="s">
        <v>7393</v>
      </c>
      <c r="I1701" s="8" t="s">
        <v>7639</v>
      </c>
      <c r="J1701" s="9">
        <v>21.39</v>
      </c>
      <c r="K1701" s="9">
        <v>35.0</v>
      </c>
      <c r="L1701" s="8" t="s">
        <v>387</v>
      </c>
      <c r="M1701" s="8" t="s">
        <v>7395</v>
      </c>
      <c r="N1701" s="7" t="str">
        <f>IFERROR(__xludf.DUMMYFUNCTION("GOOGLETRANSLATE(L1701, ""en"", ""pt"")"),"Ordem de serviço não disponível")</f>
        <v>Ordem de serviço não disponível</v>
      </c>
      <c r="O1701" s="7" t="str">
        <f>IFERROR(__xludf.DUMMYFUNCTION("IF(M1701="""","""",GOOGLETRANSLATE(M1701,""en"",""pt""))"),"Operar máquina de costura ou overloque para costurar produtos ATC. Costurar etiquetas de cuidados precisas no produto. Remover as capas de almofada cheias da esteira transportadora, fechar a abertura e recolocar a almofada na esteira para processamento po"&amp;"sterior. Guiar as almofadas ou peças sob as agulhas e calcadores da máquina para costurar as peças. Remover os dispositivos de fixação e os itens acabados das máquinas. Colocar a capa da almofada sobre o enchimento, preencher a capa com fibra e, em seguid"&amp;"a, colocar a almofada na esteira para processamento posterior. Embalar as almofadas à medida que passam pela esteira. Monitorar o funcionamento da máquina para detectar problemas como costura defeituosa, quebra de linha ou mau funcionamento da máquina. Co"&amp;"locar bobinas de linha, cordão ou outros materiais nos eixos, inserir bobinas e passar as pontas pelas guias e componentes da máquina. Posicionar os itens sob as agulhas, usando marcas nas máquinas, grampos, gabaritos ou tecido como guia. Examinar e inspe"&amp;"cionar recipientes, materiais ou produtos para garantir que a qualidade do produto e as especificações de embalagem sejam atendidas. Medir, pesar e contar produtos e materiais. Registrar informações sobre o produto, embalagem e pedido em formulários e reg"&amp;"istros específicos. Selar recipientes ou materiais usando colas, fixadores, fita adesiva e ferramentas manuais. Montar, forrar e acolchoar caixas, engradados e contêineres usando ferramentas manuais. Utilizar todos os equipamentos e instalações da empresa"&amp;" com cuidado e segurança. Reportar quaisquer problemas com os equipamentos ao supervisor imediato ou ao departamento de manutenção. Executar as tarefas de forma a garantir a segurança própria e dos colegas de trabalho. Responsável pelas tarefas de troca d"&amp;"e produção entre ordens de serviço. Executar outras tarefas conforme necessário ou atribuídas pelo supervisor ou líder. Classificação da Função: 51-9199.00 - Operadores de Produção, Outros. A classificação e descrição da função/setor inclui informações ge"&amp;"rais sobre o cargo, de acordo com o ONET/OES e o Sistema de Classificação Industrial da América do Norte. Consulte as Funções e a Ordem de Serviço para obter mais informações. Requisitos da Função Experiência Necessária: Não. Requisitos Especiais: Possuir"&amp;" habilidades básicas de matemática. Capacidade de ocasionalmente carregar, empurrar ou puxar objetos com peso de até 23 kg (50 libras). Capacidade de se locomover ou ficar em pé durante um turno completo (12 horas). Número de horas por semana: 40. Horário"&amp;" de trabalho (início/término): 8h às 17h.")</f>
        <v>Operar máquina de costura ou overloque para costurar produtos ATC. Costurar etiquetas de cuidados precisas no produto. Remover as capas de almofada cheias da esteira transportadora, fechar a abertura e recolocar a almofada na esteira para processamento posterior. Guiar as almofadas ou peças sob as agulhas e calcadores da máquina para costurar as peças. Remover os dispositivos de fixação e os itens acabados das máquinas. Colocar a capa da almofada sobre o enchimento, preencher a capa com fibra e, em seguida, colocar a almofada na esteira para processamento posterior. Embalar as almofadas à medida que passam pela esteira. Monitorar o funcionamento da máquina para detectar problemas como costura defeituosa, quebra de linha ou mau funcionamento da máquina. Colocar bobinas de linha, cordão ou outros materiais nos eixos, inserir bobinas e passar as pontas pelas guias e componentes da máquina. Posicionar os itens sob as agulhas, usando marcas nas máquinas, grampos, gabaritos ou tecido como guia. Examinar e inspecionar recipientes, materiais ou produtos para garantir que a qualidade do produto e as especificações de embalagem sejam atendidas. Medir, pesar e contar produtos e materiais. Registrar informações sobre o produto, embalagem e pedido em formulários e registros específicos. Selar recipientes ou materiais usando colas, fixadores, fita adesiva e ferramentas manuais. Montar, forrar e acolchoar caixas, engradados e contêineres usando ferramentas manuais. Utilizar todos os equipamentos e instalações da empresa com cuidado e segurança. Reportar quaisquer problemas com os equipamentos ao supervisor imediato ou ao departamento de manutenção. Executar as tarefas de forma a garantir a segurança própria e dos colegas de trabalho. Responsável pelas tarefas de troca de produção entre ordens de serviço. Executar outras tarefas conforme necessário ou atribuídas pelo supervisor ou líder. Classificação da Função: 51-9199.00 - Operadores de Produção, Outros. A classificação e descrição da função/setor inclui informações gerais sobre o cargo, de acordo com o ONET/OES e o Sistema de Classificação Industrial da América do Norte. Consulte as Funções e a Ordem de Serviço para obter mais informações. Requisitos da Função Experiência Necessária: Não. Requisitos Especiais: Possuir habilidades básicas de matemática. Capacidade de ocasionalmente carregar, empurrar ou puxar objetos com peso de até 23 kg (50 libras). Capacidade de se locomover ou ficar em pé durante um turno completo (12 horas). Número de horas por semana: 40. Horário de trabalho (início/término): 8h às 17h.</v>
      </c>
    </row>
    <row r="1702" ht="20.25" customHeight="1">
      <c r="A1702" s="3" t="s">
        <v>7640</v>
      </c>
      <c r="B1702" s="3" t="s">
        <v>7391</v>
      </c>
      <c r="C1702" s="3" t="s">
        <v>7392</v>
      </c>
      <c r="D1702" s="3" t="s">
        <v>109</v>
      </c>
      <c r="E1702" s="4" t="s">
        <v>19</v>
      </c>
      <c r="F1702" s="4" t="s">
        <v>20</v>
      </c>
      <c r="G1702" s="4" t="s">
        <v>80</v>
      </c>
      <c r="H1702" s="3" t="s">
        <v>7641</v>
      </c>
      <c r="I1702" s="3" t="s">
        <v>7639</v>
      </c>
      <c r="J1702" s="4">
        <v>20.18</v>
      </c>
      <c r="K1702" s="4">
        <v>80.0</v>
      </c>
      <c r="L1702" s="3" t="s">
        <v>387</v>
      </c>
      <c r="M1702" s="3" t="s">
        <v>7395</v>
      </c>
      <c r="N1702" s="7" t="str">
        <f>IFERROR(__xludf.DUMMYFUNCTION("GOOGLETRANSLATE(L1702, ""en"", ""pt"")"),"Ordem de serviço não disponível")</f>
        <v>Ordem de serviço não disponível</v>
      </c>
      <c r="O1702" s="7" t="str">
        <f>IFERROR(__xludf.DUMMYFUNCTION("IF(M1702="""","""",GOOGLETRANSLATE(M1702,""en"",""pt""))"),"Operar máquina de costura ou overloque para costurar produtos ATC. Costurar etiquetas de cuidados precisas no produto. Remover as capas de almofada cheias da esteira transportadora, fechar a abertura e recolocar a almofada na esteira para processamento po"&amp;"sterior. Guiar as almofadas ou peças sob as agulhas e calcadores da máquina para costurar as peças. Remover os dispositivos de fixação e os itens acabados das máquinas. Colocar a capa da almofada sobre o enchimento, preencher a capa com fibra e, em seguid"&amp;"a, colocar a almofada na esteira para processamento posterior. Embalar as almofadas à medida que passam pela esteira. Monitorar o funcionamento da máquina para detectar problemas como costura defeituosa, quebra de linha ou mau funcionamento da máquina. Co"&amp;"locar bobinas de linha, cordão ou outros materiais nos eixos, inserir bobinas e passar as pontas pelas guias e componentes da máquina. Posicionar os itens sob as agulhas, usando marcas nas máquinas, grampos, gabaritos ou tecido como guia. Examinar e inspe"&amp;"cionar recipientes, materiais ou produtos para garantir que a qualidade do produto e as especificações de embalagem sejam atendidas. Medir, pesar e contar produtos e materiais. Registrar informações sobre o produto, embalagem e pedido em formulários e reg"&amp;"istros específicos. Selar recipientes ou materiais usando colas, fixadores, fita adesiva e ferramentas manuais. Montar, forrar e acolchoar caixas, engradados e contêineres usando ferramentas manuais. Utilizar todos os equipamentos e instalações da empresa"&amp;" com cuidado e segurança. Reportar quaisquer problemas com os equipamentos ao supervisor imediato ou ao departamento de manutenção. Executar as tarefas de forma a garantir a segurança própria e dos colegas de trabalho. Responsável pelas tarefas de troca d"&amp;"e produção entre ordens de serviço. Executar outras tarefas conforme necessário ou atribuídas pelo supervisor ou líder. Classificação da Função: 51-9199.00 - Operadores de Produção, Outros. A classificação e descrição da função/setor inclui informações ge"&amp;"rais sobre o cargo, de acordo com o ONET/OES e o Sistema de Classificação Industrial da América do Norte. Consulte as Funções e a Ordem de Serviço para obter mais informações. Requisitos da Função Experiência Necessária: Não. Requisitos Especiais: Possuir"&amp;" habilidades básicas de matemática. Capacidade de ocasionalmente carregar, empurrar ou puxar objetos com peso de até 23 kg (50 libras). Capacidade de se locomover ou ficar em pé durante um turno completo (12 horas). Número de horas por semana: 40. Horário"&amp;" de trabalho (início/término): 8h às 17h.")</f>
        <v>Operar máquina de costura ou overloque para costurar produtos ATC. Costurar etiquetas de cuidados precisas no produto. Remover as capas de almofada cheias da esteira transportadora, fechar a abertura e recolocar a almofada na esteira para processamento posterior. Guiar as almofadas ou peças sob as agulhas e calcadores da máquina para costurar as peças. Remover os dispositivos de fixação e os itens acabados das máquinas. Colocar a capa da almofada sobre o enchimento, preencher a capa com fibra e, em seguida, colocar a almofada na esteira para processamento posterior. Embalar as almofadas à medida que passam pela esteira. Monitorar o funcionamento da máquina para detectar problemas como costura defeituosa, quebra de linha ou mau funcionamento da máquina. Colocar bobinas de linha, cordão ou outros materiais nos eixos, inserir bobinas e passar as pontas pelas guias e componentes da máquina. Posicionar os itens sob as agulhas, usando marcas nas máquinas, grampos, gabaritos ou tecido como guia. Examinar e inspecionar recipientes, materiais ou produtos para garantir que a qualidade do produto e as especificações de embalagem sejam atendidas. Medir, pesar e contar produtos e materiais. Registrar informações sobre o produto, embalagem e pedido em formulários e registros específicos. Selar recipientes ou materiais usando colas, fixadores, fita adesiva e ferramentas manuais. Montar, forrar e acolchoar caixas, engradados e contêineres usando ferramentas manuais. Utilizar todos os equipamentos e instalações da empresa com cuidado e segurança. Reportar quaisquer problemas com os equipamentos ao supervisor imediato ou ao departamento de manutenção. Executar as tarefas de forma a garantir a segurança própria e dos colegas de trabalho. Responsável pelas tarefas de troca de produção entre ordens de serviço. Executar outras tarefas conforme necessário ou atribuídas pelo supervisor ou líder. Classificação da Função: 51-9199.00 - Operadores de Produção, Outros. A classificação e descrição da função/setor inclui informações gerais sobre o cargo, de acordo com o ONET/OES e o Sistema de Classificação Industrial da América do Norte. Consulte as Funções e a Ordem de Serviço para obter mais informações. Requisitos da Função Experiência Necessária: Não. Requisitos Especiais: Possuir habilidades básicas de matemática. Capacidade de ocasionalmente carregar, empurrar ou puxar objetos com peso de até 23 kg (50 libras). Capacidade de se locomover ou ficar em pé durante um turno completo (12 horas). Número de horas por semana: 40. Horário de trabalho (início/término): 8h às 17h.</v>
      </c>
    </row>
    <row r="1703" ht="20.25" customHeight="1">
      <c r="A1703" s="8" t="s">
        <v>7642</v>
      </c>
      <c r="B1703" s="8" t="s">
        <v>7391</v>
      </c>
      <c r="C1703" s="8" t="s">
        <v>7392</v>
      </c>
      <c r="D1703" s="8" t="s">
        <v>64</v>
      </c>
      <c r="E1703" s="9" t="s">
        <v>19</v>
      </c>
      <c r="F1703" s="9" t="s">
        <v>20</v>
      </c>
      <c r="G1703" s="9" t="s">
        <v>80</v>
      </c>
      <c r="H1703" s="8" t="s">
        <v>7643</v>
      </c>
      <c r="I1703" s="8" t="s">
        <v>7639</v>
      </c>
      <c r="J1703" s="9">
        <v>19.39</v>
      </c>
      <c r="K1703" s="9">
        <v>30.0</v>
      </c>
      <c r="L1703" s="8" t="s">
        <v>387</v>
      </c>
      <c r="M1703" s="8" t="s">
        <v>7395</v>
      </c>
      <c r="N1703" s="7" t="str">
        <f>IFERROR(__xludf.DUMMYFUNCTION("GOOGLETRANSLATE(L1703, ""en"", ""pt"")"),"Ordem de serviço não disponível")</f>
        <v>Ordem de serviço não disponível</v>
      </c>
      <c r="O1703" s="7" t="str">
        <f>IFERROR(__xludf.DUMMYFUNCTION("IF(M1703="""","""",GOOGLETRANSLATE(M1703,""en"",""pt""))"),"Operar máquina de costura ou overloque para costurar produtos ATC. Costurar etiquetas de cuidados precisas no produto. Remover as capas de almofada cheias da esteira transportadora, fechar a abertura e recolocar a almofada na esteira para processamento po"&amp;"sterior. Guiar as almofadas ou peças sob as agulhas e calcadores da máquina para costurar as peças. Remover os dispositivos de fixação e os itens acabados das máquinas. Colocar a capa da almofada sobre o enchimento, preencher a capa com fibra e, em seguid"&amp;"a, colocar a almofada na esteira para processamento posterior. Embalar as almofadas à medida que passam pela esteira. Monitorar o funcionamento da máquina para detectar problemas como costura defeituosa, quebra de linha ou mau funcionamento da máquina. Co"&amp;"locar bobinas de linha, cordão ou outros materiais nos eixos, inserir bobinas e passar as pontas pelas guias e componentes da máquina. Posicionar os itens sob as agulhas, usando marcas nas máquinas, grampos, gabaritos ou tecido como guia. Examinar e inspe"&amp;"cionar recipientes, materiais ou produtos para garantir que a qualidade do produto e as especificações de embalagem sejam atendidas. Medir, pesar e contar produtos e materiais. Registrar informações sobre o produto, embalagem e pedido em formulários e reg"&amp;"istros específicos. Selar recipientes ou materiais usando colas, fixadores, fita adesiva e ferramentas manuais. Montar, forrar e acolchoar caixas, engradados e contêineres usando ferramentas manuais. Utilizar todos os equipamentos e instalações da empresa"&amp;" com cuidado e segurança. Reportar quaisquer problemas com os equipamentos ao supervisor imediato ou ao departamento de manutenção. Executar as tarefas de forma a garantir a segurança própria e dos colegas de trabalho. Responsável pelas tarefas de troca d"&amp;"e produção entre ordens de serviço. Executar outras tarefas conforme necessário ou atribuídas pelo supervisor ou líder. Classificação da Função: 51-9199.00 - Operadores de Produção, Outros. A classificação e descrição da função/setor inclui informações ge"&amp;"rais sobre o cargo, de acordo com o ONET/OES e o Sistema de Classificação Industrial da América do Norte. Consulte as Funções e a Ordem de Serviço para obter mais informações. Requisitos da Função Experiência Necessária: Não. Requisitos Especiais: Possuir"&amp;" habilidades básicas de matemática. Capacidade de ocasionalmente carregar, empurrar ou puxar objetos com peso de até 23 kg (50 libras). Capacidade de se locomover ou ficar em pé durante um turno completo (12 horas). Número de horas por semana: 40. Horário"&amp;" de trabalho (início/término): 8h às 17h.")</f>
        <v>Operar máquina de costura ou overloque para costurar produtos ATC. Costurar etiquetas de cuidados precisas no produto. Remover as capas de almofada cheias da esteira transportadora, fechar a abertura e recolocar a almofada na esteira para processamento posterior. Guiar as almofadas ou peças sob as agulhas e calcadores da máquina para costurar as peças. Remover os dispositivos de fixação e os itens acabados das máquinas. Colocar a capa da almofada sobre o enchimento, preencher a capa com fibra e, em seguida, colocar a almofada na esteira para processamento posterior. Embalar as almofadas à medida que passam pela esteira. Monitorar o funcionamento da máquina para detectar problemas como costura defeituosa, quebra de linha ou mau funcionamento da máquina. Colocar bobinas de linha, cordão ou outros materiais nos eixos, inserir bobinas e passar as pontas pelas guias e componentes da máquina. Posicionar os itens sob as agulhas, usando marcas nas máquinas, grampos, gabaritos ou tecido como guia. Examinar e inspecionar recipientes, materiais ou produtos para garantir que a qualidade do produto e as especificações de embalagem sejam atendidas. Medir, pesar e contar produtos e materiais. Registrar informações sobre o produto, embalagem e pedido em formulários e registros específicos. Selar recipientes ou materiais usando colas, fixadores, fita adesiva e ferramentas manuais. Montar, forrar e acolchoar caixas, engradados e contêineres usando ferramentas manuais. Utilizar todos os equipamentos e instalações da empresa com cuidado e segurança. Reportar quaisquer problemas com os equipamentos ao supervisor imediato ou ao departamento de manutenção. Executar as tarefas de forma a garantir a segurança própria e dos colegas de trabalho. Responsável pelas tarefas de troca de produção entre ordens de serviço. Executar outras tarefas conforme necessário ou atribuídas pelo supervisor ou líder. Classificação da Função: 51-9199.00 - Operadores de Produção, Outros. A classificação e descrição da função/setor inclui informações gerais sobre o cargo, de acordo com o ONET/OES e o Sistema de Classificação Industrial da América do Norte. Consulte as Funções e a Ordem de Serviço para obter mais informações. Requisitos da Função Experiência Necessária: Não. Requisitos Especiais: Possuir habilidades básicas de matemática. Capacidade de ocasionalmente carregar, empurrar ou puxar objetos com peso de até 23 kg (50 libras). Capacidade de se locomover ou ficar em pé durante um turno completo (12 horas). Número de horas por semana: 40. Horário de trabalho (início/término): 8h às 17h.</v>
      </c>
    </row>
    <row r="1704" ht="20.25" customHeight="1">
      <c r="A1704" s="3" t="s">
        <v>7644</v>
      </c>
      <c r="B1704" s="3" t="s">
        <v>7645</v>
      </c>
      <c r="C1704" s="3" t="s">
        <v>6228</v>
      </c>
      <c r="D1704" s="3" t="s">
        <v>64</v>
      </c>
      <c r="E1704" s="4" t="s">
        <v>19</v>
      </c>
      <c r="F1704" s="4" t="s">
        <v>20</v>
      </c>
      <c r="G1704" s="4" t="s">
        <v>512</v>
      </c>
      <c r="H1704" s="3" t="s">
        <v>7646</v>
      </c>
      <c r="I1704" s="3" t="s">
        <v>7647</v>
      </c>
      <c r="J1704" s="4">
        <v>17.75</v>
      </c>
      <c r="K1704" s="4">
        <v>20.0</v>
      </c>
      <c r="L1704" s="3" t="s">
        <v>3465</v>
      </c>
      <c r="M1704" s="3" t="s">
        <v>7648</v>
      </c>
      <c r="N1704" s="7" t="str">
        <f>IFERROR(__xludf.DUMMYFUNCTION("GOOGLETRANSLATE(L1704, ""en"", ""pt"")"),"Montador")</f>
        <v>Montador</v>
      </c>
      <c r="O1704" s="7" t="str">
        <f>IFERROR(__xludf.DUMMYFUNCTION("IF(M1704="""","""",GOOGLETRANSLATE(M1704,""en"",""pt""))"),"Os funcionários abastecerão a linha de montagem, montarão cadeiras com rebitadeira e rodízios, montarão mesas e escrivaninhas com o uso de parafusadeira e garantirão que todo o trabalho montado atenda a um padrão aceitável. Cada montador embalará cadeiras"&amp;", mesas e escrivaninhas e as preparará para envio. Classificação do Cargo: 51-2092.00 - Montadores de Equipe. A classificação e descrição do cargo/setor incluem informações gerais sobre a posição, de acordo com o ONET/OES e o Sistema de Classificação Indu"&amp;"strial da América do Norte (NAICS). Consulte as Funções e a Ordem de Serviço para obter mais informações. Requisitos do Cargo: Experiência Necessária: Não. Requisitos Especiais: Deve ser alfabetizado e possuir diploma de ensino médio (GED) ou equivalente "&amp;"estrangeiro. Os funcionários estarão sujeitos a testes de drogas mediante suspeita razoável, pagos pelo empregador e aplicados igualmente a todos os funcionários, americanos e estrangeiros/H-2B. Os funcionários estão sujeitos a verificação de antecedentes"&amp;" criminais, paga pelo empregador e aplicada igualmente a todos os funcionários, americanos e estrangeiros/H-2B. Número de horas por semana: 45 Horário de trabalho (início/término): 7h30 - 15h30")</f>
        <v>Os funcionários abastecerão a linha de montagem, montarão cadeiras com rebitadeira e rodízios, montarão mesas e escrivaninhas com o uso de parafusadeira e garantirão que todo o trabalho montado atenda a um padrão aceitável. Cada montador embalará cadeiras, mesas e escrivaninhas e as preparará para envio. Classificação do Cargo: 51-2092.00 - Montadores de Equipe. A classificação e descrição do cargo/setor incluem informações gerais sobre a posição, de acordo com o ONET/OES e o Sistema de Classificação Industrial da América do Norte (NAICS). Consulte as Funções e a Ordem de Serviço para obter mais informações. Requisitos do Cargo: Experiência Necessária: Não. Requisitos Especiais: Deve ser alfabetizado e possuir diploma de ensino médio (GED) ou equivalente estrangeiro. Os funcionários estarão sujeitos a testes de drogas mediante suspeita razoável, pagos pelo empregador e aplicados igualmente a todos os funcionários, americanos e estrangeiros/H-2B. Os funcionários estão sujeitos a verificação de antecedentes criminais, paga pelo empregador e aplicada igualmente a todos os funcionários, americanos e estrangeiros/H-2B. Número de horas por semana: 45 Horário de trabalho (início/término): 7h30 - 15h30</v>
      </c>
    </row>
    <row r="1705" ht="20.25" customHeight="1">
      <c r="A1705" s="8" t="s">
        <v>7649</v>
      </c>
      <c r="B1705" s="8" t="s">
        <v>7650</v>
      </c>
      <c r="C1705" s="8" t="s">
        <v>7651</v>
      </c>
      <c r="D1705" s="8" t="s">
        <v>306</v>
      </c>
      <c r="E1705" s="9" t="s">
        <v>44</v>
      </c>
      <c r="F1705" s="9" t="s">
        <v>20</v>
      </c>
      <c r="G1705" s="9" t="s">
        <v>307</v>
      </c>
      <c r="H1705" s="8" t="s">
        <v>7652</v>
      </c>
      <c r="I1705" s="8" t="s">
        <v>7653</v>
      </c>
      <c r="J1705" s="9">
        <v>15.99</v>
      </c>
      <c r="K1705" s="9">
        <v>8.0</v>
      </c>
      <c r="L1705" s="8" t="s">
        <v>387</v>
      </c>
      <c r="M1705" s="8" t="s">
        <v>7654</v>
      </c>
      <c r="N1705" s="7" t="str">
        <f>IFERROR(__xludf.DUMMYFUNCTION("GOOGLETRANSLATE(L1705, ""en"", ""pt"")"),"Ordem de serviço não disponível")</f>
        <v>Ordem de serviço não disponível</v>
      </c>
      <c r="O1705" s="7" t="str">
        <f>IFERROR(__xludf.DUMMYFUNCTION("IF(M1705="""","""",GOOGLETRANSLATE(M1705,""en"",""pt""))"),"O cozinheiro prepara e cozinha comida mexicana tradicional em um restaurante de serviço completo, seguindo receitas estabelecidas e normas de segurança alimentar. As funções incluem o preparo de carnes, arroz, feijão, molhos e salsas, utilizando ingredien"&amp;"tes crus, através de lavagem, corte, picagem, tempero, medição, mistura, fervura, fritura, grelha e cozimento dos alimentos. O cozinheiro também pode preparar itens sazonais ou especiais do cardápio e utilizar ingredientes pré-fabricados, como tortillas, "&amp;"na montagem das refeições. As responsabilidades incluem manter a qualidade dos ingredientes, monitorar as temperaturas adequadas de cozimento e armazenamento, utilizar utensílios e equipamentos de cozinha padrão com segurança e manter as áreas de trabalho"&amp;" limpas e higienizadas, em conformidade com as normas de saúde e segurança. Classificação da vaga: 35-2014.00 - Cozinheiros, Restaurante. A classificação e descrição da vaga/setor incluem informações gerais sobre o cargo, de acordo com o ONET/OES e o Sist"&amp;"ema de Classificação Industrial da América do Norte. Consulte as Funções e a Ordem de Serviço para obter mais informações. Requisitos da vaga Experiência necessária: Sim Meses de experiência necessários: 6 Requisitos especiais: Deve ser capaz de levantar "&amp;"e carregar 11 kg por 9 metros, deve ser capaz de se abaixar e se curvar. Número de horas por semana: 40 Horário de trabalho (início/término): 15h às 22h")</f>
        <v>O cozinheiro prepara e cozinha comida mexicana tradicional em um restaurante de serviço completo, seguindo receitas estabelecidas e normas de segurança alimentar. As funções incluem o preparo de carnes, arroz, feijão, molhos e salsas, utilizando ingredientes crus, através de lavagem, corte, picagem, tempero, medição, mistura, fervura, fritura, grelha e cozimento dos alimentos. O cozinheiro também pode preparar itens sazonais ou especiais do cardápio e utilizar ingredientes pré-fabricados, como tortillas, na montagem das refeições. As responsabilidades incluem manter a qualidade dos ingredientes, monitorar as temperaturas adequadas de cozimento e armazenamento, utilizar utensílios e equipamentos de cozinha padrão com segurança e manter as áreas de trabalho limpas e higienizadas, em conformidade com as normas de saúde e segurança. Classificação da vaga: 35-2014.00 - Cozinheiros, Restaurante. A classificação e descrição da vaga/setor incluem informações gerais sobre o cargo, de acordo com o ONET/OES e o Sistema de Classificação Industrial da América do Norte. Consulte as Funções e a Ordem de Serviço para obter mais informações. Requisitos da vaga Experiência necessária: Sim Meses de experiência necessários: 6 Requisitos especiais: Deve ser capaz de levantar e carregar 11 kg por 9 metros, deve ser capaz de se abaixar e se curvar. Número de horas por semana: 40 Horário de trabalho (início/término): 15h às 22h</v>
      </c>
    </row>
    <row r="1706" ht="20.25" customHeight="1">
      <c r="A1706" s="3" t="s">
        <v>7655</v>
      </c>
      <c r="B1706" s="3" t="s">
        <v>7656</v>
      </c>
      <c r="C1706" s="3"/>
      <c r="D1706" s="3" t="s">
        <v>71</v>
      </c>
      <c r="E1706" s="4" t="s">
        <v>19</v>
      </c>
      <c r="F1706" s="4" t="s">
        <v>20</v>
      </c>
      <c r="G1706" s="4" t="s">
        <v>80</v>
      </c>
      <c r="H1706" s="3" t="s">
        <v>7657</v>
      </c>
      <c r="I1706" s="3" t="s">
        <v>7658</v>
      </c>
      <c r="J1706" s="4">
        <v>17.66</v>
      </c>
      <c r="K1706" s="4">
        <v>50.0</v>
      </c>
      <c r="L1706" s="3" t="s">
        <v>1477</v>
      </c>
      <c r="M1706" s="3" t="s">
        <v>7659</v>
      </c>
      <c r="N1706" s="7" t="str">
        <f>IFERROR(__xludf.DUMMYFUNCTION("GOOGLETRANSLATE(L1706, ""en"", ""pt"")"),"Trabalhador de paisagismo")</f>
        <v>Trabalhador de paisagismo</v>
      </c>
      <c r="O1706" s="7" t="str">
        <f>IFERROR(__xludf.DUMMYFUNCTION("IF(M1706="""","""",GOOGLETRANSLATE(M1706,""en"",""pt""))"),"Os trabalhadores realizarão tarefas associadas e diretamente relacionadas à colheita de palha de pinheiro, incluindo, entre outras, a seleção de 7 fileiras de pinheiros, a coleta de galhos e o uso de um ancinho para juntar a palha e formar uma grande pilh"&amp;"a, o enfardamento da palha e sua compactação com uma pá. O empregador fornecerá todas as ferramentas, suprimentos e equipamentos necessários para a execução do trabalho, sem custo para o trabalhador. Para realizar as tarefas, o trabalhador utilizará ferra"&amp;"mentas essenciais, como, entre outras: ancinho para palha de pinheiro, forcado, pá, soprador de folhas, enfardadeira, corda para enfardamento, luvas de trabalho, proteção ocular e auricular e botas de trabalho resistentes. Os trabalhadores coletarão a pal"&amp;"ha de pinheiro em pinhais. As atividades dos trabalhadores, anualmente, ao longo do período de trabalho, incluem a remoção de grama, arbustos, pinhas e outros detritos das fileiras de enfardamento. A cada cinco ou seis fileiras, uma poderá ser utilizada c"&amp;"omo fileira de detritos para manter as fileiras de enfardamento limpas. Os trabalhadores, então, juntarão as agulhas de pinheiro manualmente em leiras no centro das fileiras de enfardamento. É necessário garantir a remoção de insetos, ervas daninhas e det"&amp;"ritos das leiras de palha de pinheiro para assegurar a alta qualidade da palha entregue aos clientes que solicitaram o produto. O operador da enfardadeira deve seguir o operador da enfardadeira de caixa ao longo das leiras, compactando os fardos na enfard"&amp;"adeira e garantindo que a corda esteja suficientemente apertada para segurar os fardos de palha. Às vezes, isso é difícil; a chave para enfardar corretamente é a habilidade de enrolar a corda ao redor da palha para mantê-la unida. O empregador oferece tre"&amp;"inamento após a contratação e auxilia os trabalhadores sempre que necessário. Quando os fardos de palha de pinheiro estiverem bem compactados e secos, os trabalhadores precisam transportá-los em reboques ou para um depósito. Classificação da função: 37-30"&amp;"11.00 - Trabalhadores de Paisagismo e Manutenção de Áreas Verdes. A classificação e descrição da função/setor inclui informações gerais sobre o cargo, de acordo com o ONET/OES e o Sistema de Classificação Industrial da América do Norte. Consulte as Funçõe"&amp;"s e a Ordem de Serviço para obter mais informações. Requisitos da Vaga Experiência Necessária: Sim Meses de Experiência Necessários: 3 Requisitos Especiais: O TRABALHADOR PRECISA SABER COMO RASTELAR E ENFARDAR PALHA DE PINHEIRO CORRETAMENTE, PRECISA ESTAR"&amp;" EM BOA FORMA FÍSICA PARA REALIZAR MOVIMENTOS REPETITIVOS, ABAIXAR-SE VÁRIAS VEZES, EMPURRAR E PUXAR EXTENSIVO, E CAMINHAR EXTENSIVO. MAS NÃO SE LIMITA A ISSO. OS CANDIDATOS DEVEM: *NÃO TER LIMITAÇÕES FÍSICAS. *SER CAPAZ DE ABAIXAR-SE, CAMINHAR, EMPURRAR "&amp;"E PUXAR EXTENSIVO. *SER CAPAZ DE LEVANTAR DE 27 A 36 KG. *SER CAPAZ DE ENFARDAR 120 FARDOS POR DIA. *SER CAPAZ DE SE EXPOR A TEMPERATURAS EXTREMAS OU OUTRAS CONDIÇÕES CLIMÁTICAS. *IDADE MÍNIMA EXIGIDA: 18 ANOS. *O EMPREGADOR OFERECERÁ 2 DIAS DE TREINAMENT"&amp;"O APÓS A CONTRATAÇÃO. Número de horas por semana: 36. Horário de trabalho (início/término): 7h30 às 14h30.")</f>
        <v>Os trabalhadores realizarão tarefas associadas e diretamente relacionadas à colheita de palha de pinheiro, incluindo, entre outras, a seleção de 7 fileiras de pinheiros, a coleta de galhos e o uso de um ancinho para juntar a palha e formar uma grande pilha, o enfardamento da palha e sua compactação com uma pá. O empregador fornecerá todas as ferramentas, suprimentos e equipamentos necessários para a execução do trabalho, sem custo para o trabalhador. Para realizar as tarefas, o trabalhador utilizará ferramentas essenciais, como, entre outras: ancinho para palha de pinheiro, forcado, pá, soprador de folhas, enfardadeira, corda para enfardamento, luvas de trabalho, proteção ocular e auricular e botas de trabalho resistentes. Os trabalhadores coletarão a palha de pinheiro em pinhais. As atividades dos trabalhadores, anualmente, ao longo do período de trabalho, incluem a remoção de grama, arbustos, pinhas e outros detritos das fileiras de enfardamento. A cada cinco ou seis fileiras, uma poderá ser utilizada como fileira de detritos para manter as fileiras de enfardamento limpas. Os trabalhadores, então, juntarão as agulhas de pinheiro manualmente em leiras no centro das fileiras de enfardamento. É necessário garantir a remoção de insetos, ervas daninhas e detritos das leiras de palha de pinheiro para assegurar a alta qualidade da palha entregue aos clientes que solicitaram o produto. O operador da enfardadeira deve seguir o operador da enfardadeira de caixa ao longo das leiras, compactando os fardos na enfardadeira e garantindo que a corda esteja suficientemente apertada para segurar os fardos de palha. Às vezes, isso é difícil; a chave para enfardar corretamente é a habilidade de enrolar a corda ao redor da palha para mantê-la unida. O empregador oferece treinamento após a contratação e auxilia os trabalhadores sempre que necessário. Quando os fardos de palha de pinheiro estiverem bem compactados e secos, os trabalhadores precisam transportá-los em reboques ou para um depósito. Classificação da função: 37-3011.00 - Trabalhadores de Paisagismo e Manutenção de Áreas Verdes. A classificação e descrição da função/setor inclui informações gerais sobre o cargo, de acordo com o ONET/OES e o Sistema de Classificação Industrial da América do Norte. Consulte as Funções e a Ordem de Serviço para obter mais informações. Requisitos da Vaga Experiência Necessária: Sim Meses de Experiência Necessários: 3 Requisitos Especiais: O TRABALHADOR PRECISA SABER COMO RASTELAR E ENFARDAR PALHA DE PINHEIRO CORRETAMENTE, PRECISA ESTAR EM BOA FORMA FÍSICA PARA REALIZAR MOVIMENTOS REPETITIVOS, ABAIXAR-SE VÁRIAS VEZES, EMPURRAR E PUXAR EXTENSIVO, E CAMINHAR EXTENSIVO. MAS NÃO SE LIMITA A ISSO. OS CANDIDATOS DEVEM: *NÃO TER LIMITAÇÕES FÍSICAS. *SER CAPAZ DE ABAIXAR-SE, CAMINHAR, EMPURRAR E PUXAR EXTENSIVO. *SER CAPAZ DE LEVANTAR DE 27 A 36 KG. *SER CAPAZ DE ENFARDAR 120 FARDOS POR DIA. *SER CAPAZ DE SE EXPOR A TEMPERATURAS EXTREMAS OU OUTRAS CONDIÇÕES CLIMÁTICAS. *IDADE MÍNIMA EXIGIDA: 18 ANOS. *O EMPREGADOR OFERECERÁ 2 DIAS DE TREINAMENTO APÓS A CONTRATAÇÃO. Número de horas por semana: 36. Horário de trabalho (início/término): 7h30 às 14h30.</v>
      </c>
    </row>
    <row r="1707" ht="20.25" customHeight="1">
      <c r="A1707" s="8" t="s">
        <v>7660</v>
      </c>
      <c r="B1707" s="8" t="s">
        <v>7661</v>
      </c>
      <c r="C1707" s="8" t="s">
        <v>7596</v>
      </c>
      <c r="D1707" s="8" t="s">
        <v>36</v>
      </c>
      <c r="E1707" s="9" t="s">
        <v>44</v>
      </c>
      <c r="F1707" s="9" t="s">
        <v>20</v>
      </c>
      <c r="G1707" s="9" t="s">
        <v>1412</v>
      </c>
      <c r="H1707" s="8" t="s">
        <v>7662</v>
      </c>
      <c r="I1707" s="8" t="s">
        <v>7663</v>
      </c>
      <c r="J1707" s="9">
        <v>13.63</v>
      </c>
      <c r="K1707" s="9">
        <v>18.0</v>
      </c>
      <c r="L1707" s="8" t="s">
        <v>7664</v>
      </c>
      <c r="M1707" s="8" t="s">
        <v>7665</v>
      </c>
      <c r="N1707" s="7" t="str">
        <f>IFERROR(__xludf.DUMMYFUNCTION("GOOGLETRANSLATE(L1707, ""en"", ""pt"")"),"Trabalhador de concessões")</f>
        <v>Trabalhador de concessões</v>
      </c>
      <c r="O1707" s="7" t="str">
        <f>IFERROR(__xludf.DUMMYFUNCTION("IF(M1707="""","""",GOOGLETRANSLATE(M1707,""en"",""pt""))"),"Receber pedidos de comida e bebida dos clientes, responder a perguntas e solucionar problemas comuns. Operar caixa registradora ou sistema de ponto de venda para concluir as transações. Abastecer os itens da lanchonete. Limpar e higienizar balcões, áreas "&amp;"de cozinha e espaços de serviço de alimentação. Preparar diariamente os itens de comida e bebida utilizando práticas adequadas de segurança alimentar e higiene. Manter os produtos expostos limpos e organizados e fornecer atendimento cortês aos clientes. A"&amp;" Belmont Capital, LLC é a provedora de serviços de gestão de operações de alimentação para o Sugar Mountain Ski Resort. O trabalho será realizado no refeitório do Ski Resort Lodge e em outros balcões de atendimento e pontos de venda nas dependências do Su"&amp;"gar Mountain Resort em Banner Elk, Carolina do Norte. Os funcionários abastecerão pacotes de salgadinhos, sanduíches e condimentos. Eles reabastecerão os refrigeradores de gelo. Também abastecerão manualmente os balcões com alimentos preparados, como pães"&amp;", batatas fritas, hambúrgueres, salsichas/cachorros-quentes e outros alimentos já prontos, para que estejam disponíveis para compra pelos clientes. Essas tarefas são realizadas manualmente. Não são necessárias ferramentas. Os funcionários montarão sanduíc"&amp;"hes e wraps; Embale itens pré-preparados em filme plástico, como muffins, biscoitos e doces; coloque copos no balcão de bebidas; e abasteça um refrigerador com água. As normas adequadas de segurança alimentar e higiene incluem: lavar as mãos; usar luvas a"&amp;"o preparar alimentos; e garantir que os alimentos tenham etiquetas de validade adequadas. Os funcionários não dirigirão nenhum veículo para fins relacionados ao trabalho. Classificação do Cargo: 35-3023.00 - Atendentes de Fast Food e Balcão. A classificaç"&amp;"ão e descrição do cargo/setor incluem informações gerais sobre a posição, de acordo com o ONET/OES e o Sistema de Classificação Industrial da América do Norte (NAICS). Consulte as Funções e a Ordem de Serviço para obter mais informações. Requisitos do Car"&amp;"go Experiência Necessária: Não. Requisitos Especiais: Deve ser capaz de levantar/carregar pelo menos 11 kg. Deve ser capaz de obter uma carteira de habilitação estadual. Número de Horas por Semana: 35. Horário de Trabalho (Início/Término): 6h às 23h.")</f>
        <v>Receber pedidos de comida e bebida dos clientes, responder a perguntas e solucionar problemas comuns. Operar caixa registradora ou sistema de ponto de venda para concluir as transações. Abastecer os itens da lanchonete. Limpar e higienizar balcões, áreas de cozinha e espaços de serviço de alimentação. Preparar diariamente os itens de comida e bebida utilizando práticas adequadas de segurança alimentar e higiene. Manter os produtos expostos limpos e organizados e fornecer atendimento cortês aos clientes. A Belmont Capital, LLC é a provedora de serviços de gestão de operações de alimentação para o Sugar Mountain Ski Resort. O trabalho será realizado no refeitório do Ski Resort Lodge e em outros balcões de atendimento e pontos de venda nas dependências do Sugar Mountain Resort em Banner Elk, Carolina do Norte. Os funcionários abastecerão pacotes de salgadinhos, sanduíches e condimentos. Eles reabastecerão os refrigeradores de gelo. Também abastecerão manualmente os balcões com alimentos preparados, como pães, batatas fritas, hambúrgueres, salsichas/cachorros-quentes e outros alimentos já prontos, para que estejam disponíveis para compra pelos clientes. Essas tarefas são realizadas manualmente. Não são necessárias ferramentas. Os funcionários montarão sanduíches e wraps; Embale itens pré-preparados em filme plástico, como muffins, biscoitos e doces; coloque copos no balcão de bebidas; e abasteça um refrigerador com água. As normas adequadas de segurança alimentar e higiene incluem: lavar as mãos; usar luvas ao preparar alimentos; e garantir que os alimentos tenham etiquetas de validade adequadas. Os funcionários não dirigirão nenhum veículo para fins relacionados ao trabalho. Classificação do Cargo: 35-3023.00 - Atendentes de Fast Food e Balcão. A classificação e descrição do cargo/setor incluem informações gerais sobre a posição, de acordo com o ONET/OES e o Sistema de Classificação Industrial da América do Norte (NAICS). Consulte as Funções e a Ordem de Serviço para obter mais informações. Requisitos do Cargo Experiência Necessária: Não. Requisitos Especiais: Deve ser capaz de levantar/carregar pelo menos 11 kg. Deve ser capaz de obter uma carteira de habilitação estadual. Número de Horas por Semana: 35. Horário de Trabalho (Início/Término): 6h às 23h.</v>
      </c>
    </row>
    <row r="1708" ht="20.25" customHeight="1">
      <c r="A1708" s="3" t="s">
        <v>7666</v>
      </c>
      <c r="B1708" s="3" t="s">
        <v>7667</v>
      </c>
      <c r="C1708" s="3" t="s">
        <v>7651</v>
      </c>
      <c r="D1708" s="3" t="s">
        <v>249</v>
      </c>
      <c r="E1708" s="4" t="s">
        <v>19</v>
      </c>
      <c r="F1708" s="4" t="s">
        <v>20</v>
      </c>
      <c r="G1708" s="4" t="s">
        <v>404</v>
      </c>
      <c r="H1708" s="3" t="s">
        <v>7668</v>
      </c>
      <c r="I1708" s="3" t="s">
        <v>7669</v>
      </c>
      <c r="J1708" s="4">
        <v>17.41</v>
      </c>
      <c r="K1708" s="4">
        <v>4.0</v>
      </c>
      <c r="L1708" s="3" t="s">
        <v>7496</v>
      </c>
      <c r="M1708" s="3" t="s">
        <v>7670</v>
      </c>
      <c r="N1708" s="7" t="str">
        <f>IFERROR(__xludf.DUMMYFUNCTION("GOOGLETRANSLATE(L1708, ""en"", ""pt"")"),"Zeladores")</f>
        <v>Zeladores</v>
      </c>
      <c r="O1708" s="7" t="str">
        <f>IFERROR(__xludf.DUMMYFUNCTION("IF(M1708="""","""",GOOGLETRANSLATE(M1708,""en"",""pt""))"),"**RFI** As tarefas de remoção de neve são realizadas utilizando pás, vassouras de empurrar, quebra-gelos, espalhadores manuais, sopradores de folhas, sopradores de neve e ferramentas manuais e equipamentos pequenos similares. Os funcionários também podem "&amp;"aplicar sal, areia ou produtos para derreter gelo utilizando espalhadores manuais. **Original** Manter os edifícios e terrenos limpos e organizados. Realizar tarefas de limpeza pesada, como limpeza de pisos, lavagem de carpetes, limpeza de paredes e vidro"&amp;"s e remoção de lixo. As tarefas podem incluir a manutenção de fornos e caldeiras, a realização de atividades de manutenção de rotina, a notificação da gerência sobre a necessidade de reparos e a limpeza de neve ou detritos de calçadas e estacionamentos. C"&amp;"lassificação do Cargo: 37-2011.00 - Zeladores e Faxineiros, Exceto Empregadas Domésticas e Faxineiras. A classificação e descrição do cargo/setor inclui informações gerais sobre a posição, de acordo com o ONET/OES e o Sistema de Classificação Industrial d"&amp;"a América do Norte. Consulte as Funções e a Ordem de Serviço para obter mais informações. Requisitos da vaga Experiência necessária: Sim Meses de experiência necessários: 3 Requisitos especiais: Deve ser capaz de levantar 34 kg por 68 metros, tolerar temp"&amp;"eraturas extremas e trabalhar ao ar livre. Flexionar-se e levantar objetos com frequência. Número de horas por semana: 40 Horário de trabalho (início/término): 8h às 17h")</f>
        <v>**RFI** As tarefas de remoção de neve são realizadas utilizando pás, vassouras de empurrar, quebra-gelos, espalhadores manuais, sopradores de folhas, sopradores de neve e ferramentas manuais e equipamentos pequenos similares. Os funcionários também podem aplicar sal, areia ou produtos para derreter gelo utilizando espalhadores manuais. **Original** Manter os edifícios e terrenos limpos e organizados. Realizar tarefas de limpeza pesada, como limpeza de pisos, lavagem de carpetes, limpeza de paredes e vidros e remoção de lixo. As tarefas podem incluir a manutenção de fornos e caldeiras, a realização de atividades de manutenção de rotina, a notificação da gerência sobre a necessidade de reparos e a limpeza de neve ou detritos de calçadas e estacionamentos. Classificação do Cargo: 37-2011.00 - Zeladores e Faxineiros, Exceto Empregadas Domésticas e Faxineiras. A classificação e descrição do cargo/setor inclui informações gerais sobre a posição, de acordo com o ONET/OES e o Sistema de Classificação Industrial da América do Norte. Consulte as Funções e a Ordem de Serviço para obter mais informações. Requisitos da vaga Experiência necessária: Sim Meses de experiência necessários: 3 Requisitos especiais: Deve ser capaz de levantar 34 kg por 68 metros, tolerar temperaturas extremas e trabalhar ao ar livre. Flexionar-se e levantar objetos com frequência. Número de horas por semana: 40 Horário de trabalho (início/término): 8h às 17h</v>
      </c>
    </row>
    <row r="1709" ht="20.25" customHeight="1">
      <c r="A1709" s="8" t="s">
        <v>7671</v>
      </c>
      <c r="B1709" s="8" t="s">
        <v>7672</v>
      </c>
      <c r="C1709" s="8" t="s">
        <v>7533</v>
      </c>
      <c r="D1709" s="8" t="s">
        <v>1103</v>
      </c>
      <c r="E1709" s="9" t="s">
        <v>19</v>
      </c>
      <c r="F1709" s="9" t="s">
        <v>20</v>
      </c>
      <c r="G1709" s="9" t="s">
        <v>404</v>
      </c>
      <c r="H1709" s="8" t="s">
        <v>7673</v>
      </c>
      <c r="I1709" s="8" t="s">
        <v>7674</v>
      </c>
      <c r="J1709" s="9">
        <v>16.19</v>
      </c>
      <c r="K1709" s="9">
        <v>21.0</v>
      </c>
      <c r="L1709" s="8" t="s">
        <v>7675</v>
      </c>
      <c r="M1709" s="8" t="s">
        <v>7676</v>
      </c>
      <c r="N1709" s="7" t="str">
        <f>IFERROR(__xludf.DUMMYFUNCTION("GOOGLETRANSLATE(L1709, ""en"", ""pt"")"),"Trabalhador da neve")</f>
        <v>Trabalhador da neve</v>
      </c>
      <c r="O1709" s="7" t="str">
        <f>IFERROR(__xludf.DUMMYFUNCTION("IF(M1709="""","""",GOOGLETRANSLATE(M1709,""en"",""pt""))"),"Limpeza de calçadas com pá, remoção contínua de depósitos de neve acumulados em diversas propriedades, mesmo em condições climáticas extremas, operação de soprador de neve. Levantamento de peso de até 23 kg (50 lbs) é necessário. Classificação da vaga: 37"&amp;"-2011.00 - Zeladores e Faxineiros, exceto empregadas domésticas e faxineiras. A classificação e descrição da vaga/setor incluem informações gerais sobre o cargo, de acordo com o ONET/OES e o Sistema de Classificação Industrial da América do Norte (NAICS)."&amp;" Consulte as Funções e a Ordem de Serviço para obter mais informações. Requisitos da vaga: Experiência necessária: Não. Número de horas por semana: 40. Horário de trabalho (início/término): 8h às 16h.")</f>
        <v>Limpeza de calçadas com pá, remoção contínua de depósitos de neve acumulados em diversas propriedades, mesmo em condições climáticas extremas, operação de soprador de neve. Levantamento de peso de até 23 kg (50 lbs) é necessário. Classificação da vaga: 37-2011.00 - Zeladores e Faxineiros, exceto empregadas domésticas e faxineiras. A classificação e descrição da vaga/setor incluem informações gerais sobre o cargo, de acordo com o ONET/OES e o Sistema de Classificação Industrial da América do Norte (NAICS). Consulte as Funções e a Ordem de Serviço para obter mais informações. Requisitos da vaga: Experiência necessária: Não. Número de horas por semana: 40. Horário de trabalho (início/término): 8h às 16h.</v>
      </c>
    </row>
    <row r="1710" ht="20.25" customHeight="1">
      <c r="A1710" s="3" t="s">
        <v>7677</v>
      </c>
      <c r="B1710" s="3" t="s">
        <v>7678</v>
      </c>
      <c r="C1710" s="3" t="s">
        <v>7651</v>
      </c>
      <c r="D1710" s="3" t="s">
        <v>833</v>
      </c>
      <c r="E1710" s="4" t="s">
        <v>44</v>
      </c>
      <c r="F1710" s="4" t="s">
        <v>20</v>
      </c>
      <c r="G1710" s="4" t="s">
        <v>404</v>
      </c>
      <c r="H1710" s="3" t="s">
        <v>7679</v>
      </c>
      <c r="I1710" s="3" t="s">
        <v>7680</v>
      </c>
      <c r="J1710" s="4">
        <v>22.68</v>
      </c>
      <c r="K1710" s="4">
        <v>15.0</v>
      </c>
      <c r="L1710" s="3" t="s">
        <v>7681</v>
      </c>
      <c r="M1710" s="3" t="s">
        <v>7682</v>
      </c>
      <c r="N1710" s="7" t="str">
        <f>IFERROR(__xludf.DUMMYFUNCTION("GOOGLETRANSLATE(L1710, ""en"", ""pt"")"),"Limpadores de neve")</f>
        <v>Limpadores de neve</v>
      </c>
      <c r="O1710" s="7" t="str">
        <f>IFERROR(__xludf.DUMMYFUNCTION("IF(M1710="""","""",GOOGLETRANSLATE(M1710,""en"",""pt""))"),"A remoção de neve e gelo é realizada diariamente por motivos de segurança e para garantir o acesso ao local da obra. Envolve principalmente trabalho manual menos especializado, incluindo o uso de pás, varrição ou sopradores de neve para remover o excesso "&amp;"de neve do canteiro de obras. A maioria das áreas onde o trabalho está sendo realizado precisa ser limpa manualmente, pois equipamentos maiores não têm espaço, são muito pesados ​​ou muito grandes e potentes, podendo danificar a construção em andamento. E"&amp;"m raras ocasiões, trabalhadores mais qualificados podem usar caminhões com lâminas de neve e/ou minicarregadeiras para áreas maiores e/ou áreas de entrada e saída do canteiro de obras. Os trabalhadores responsáveis ​​pela remoção de neve precisam armazena"&amp;"r, manter e colocar correntes nos pneus dos caminhões e minicarregadeiras quando as condições estiverem escorregadias devido à neve e ao gelo. Abrigos de neve são usados ​​em canteiros de obras de concreto para manter a temperatura elevada, permitindo que"&amp;" o concreto endureça adequadamente quando as temperaturas externas estiverem baixas. Os abrigos de neve são erguidos pelos trabalhadores da remoção de neve sob a supervisão dos encarregados, usando materiais básicos como madeira de 5 x 10 cm ou 10 x 10 cm"&amp;", que são fixadas temporariamente e cobertas com plástico reforçado ou lona. Uma vez cobertos, aquecedores a diesel bombearão ar quente através de mangueiras para dentro dos abrigos, tempo suficiente para que o concreto endureça adequadamente. Os abrigos "&amp;"de neve são erguidos seguindo um padrão básico e repetitivo, e a madeira é preservada e reutilizada sempre que possível. Os trabalhadores da limpeza de neve também cobrirão o concreto com mangueiras de água, cobertores pesados ​​e lonas para mantê-lo aque"&amp;"cido e evitar danos causados ​​pelo acúmulo de neve, gelo e umidade. Da mesma forma, os trabalhadores da limpeza de neve removerão as mangueiras, cobertores e lonas quando o concreto estiver completamente seco. Regularmente, os trabalhadores precisarão re"&amp;"mover manualmente a neve das lonas e cobertores com pás e vassouras antes de retirá-los quando a neve se acumular sobre eles. Todos os materiais usados ​​para remover a neve e manter o canteiro de obras e o concreto limpos e aquecidos são de responsabilid"&amp;"ade dos trabalhadores. Portanto, todos os aquecedores, correntes, cobertores, lonas, pás, vassouras, sopradores de neve, plástico reforçado, lona, ​​madeira, mangueiras, bombas e os abrigos de armazenamento devem ser mantidos, limpos e organizados pelos t"&amp;"rabalhadores da limpeza de neve. A limpeza geral do local é de responsabilidade dos trabalhadores de limpeza de neve durante os meses de neve e clima frio. Classificação da vaga: 47-4051.00 - Trabalhadores de Manutenção de Rodovias. A classificação e desc"&amp;"rição da vaga/setor incluem informações gerais sobre o cargo, de acordo com o ONET/OES e o Sistema de Classificação Industrial da América do Norte (NAICS). Consulte as Funções e a Ordem de Serviço para obter mais informações. Requisitos da vaga: Experiênc"&amp;"ia necessária: Sim. Meses de experiência necessários: 3. Requisitos especiais: Capacidade de levantar e carregar até 23 kg. Permanecer em pé por longos períodos, caminhar em superfícies escorregadias e se locomover por grandes áreas. Flexionar-se, abaixar"&amp;"-se, ajoelhar-se, empurrar e puxar equipamentos pesados ​​com frequência. Subir escadas, destreza manual para manusear ferramentas e operar máquinas. Resistência por longos períodos em diversas condições climáticas, incluindo ambientes frios e úmidos. Núm"&amp;"ero de horas por semana: 40. Horário de trabalho (início/término): 8h às 17h.")</f>
        <v>A remoção de neve e gelo é realizada diariamente por motivos de segurança e para garantir o acesso ao local da obra. Envolve principalmente trabalho manual menos especializado, incluindo o uso de pás, varrição ou sopradores de neve para remover o excesso de neve do canteiro de obras. A maioria das áreas onde o trabalho está sendo realizado precisa ser limpa manualmente, pois equipamentos maiores não têm espaço, são muito pesados ​​ou muito grandes e potentes, podendo danificar a construção em andamento. Em raras ocasiões, trabalhadores mais qualificados podem usar caminhões com lâminas de neve e/ou minicarregadeiras para áreas maiores e/ou áreas de entrada e saída do canteiro de obras. Os trabalhadores responsáveis ​​pela remoção de neve precisam armazenar, manter e colocar correntes nos pneus dos caminhões e minicarregadeiras quando as condições estiverem escorregadias devido à neve e ao gelo. Abrigos de neve são usados ​​em canteiros de obras de concreto para manter a temperatura elevada, permitindo que o concreto endureça adequadamente quando as temperaturas externas estiverem baixas. Os abrigos de neve são erguidos pelos trabalhadores da remoção de neve sob a supervisão dos encarregados, usando materiais básicos como madeira de 5 x 10 cm ou 10 x 10 cm, que são fixadas temporariamente e cobertas com plástico reforçado ou lona. Uma vez cobertos, aquecedores a diesel bombearão ar quente através de mangueiras para dentro dos abrigos, tempo suficiente para que o concreto endureça adequadamente. Os abrigos de neve são erguidos seguindo um padrão básico e repetitivo, e a madeira é preservada e reutilizada sempre que possível. Os trabalhadores da limpeza de neve também cobrirão o concreto com mangueiras de água, cobertores pesados ​​e lonas para mantê-lo aquecido e evitar danos causados ​​pelo acúmulo de neve, gelo e umidade. Da mesma forma, os trabalhadores da limpeza de neve removerão as mangueiras, cobertores e lonas quando o concreto estiver completamente seco. Regularmente, os trabalhadores precisarão remover manualmente a neve das lonas e cobertores com pás e vassouras antes de retirá-los quando a neve se acumular sobre eles. Todos os materiais usados ​​para remover a neve e manter o canteiro de obras e o concreto limpos e aquecidos são de responsabilidade dos trabalhadores. Portanto, todos os aquecedores, correntes, cobertores, lonas, pás, vassouras, sopradores de neve, plástico reforçado, lona, ​​madeira, mangueiras, bombas e os abrigos de armazenamento devem ser mantidos, limpos e organizados pelos trabalhadores da limpeza de neve. A limpeza geral do local é de responsabilidade dos trabalhadores de limpeza de neve durante os meses de neve e clima frio. Classificação da vaga: 47-4051.00 - Trabalhadores de Manutenção de Rodovias. A classificação e descrição da vaga/setor incluem informações gerais sobre o cargo, de acordo com o ONET/OES e o Sistema de Classificação Industrial da América do Norte (NAICS). Consulte as Funções e a Ordem de Serviço para obter mais informações. Requisitos da vaga: Experiência necessária: Sim. Meses de experiência necessários: 3. Requisitos especiais: Capacidade de levantar e carregar até 23 kg. Permanecer em pé por longos períodos, caminhar em superfícies escorregadias e se locomover por grandes áreas. Flexionar-se, abaixar-se, ajoelhar-se, empurrar e puxar equipamentos pesados ​​com frequência. Subir escadas, destreza manual para manusear ferramentas e operar máquinas. Resistência por longos períodos em diversas condições climáticas, incluindo ambientes frios e úmidos. Número de horas por semana: 40. Horário de trabalho (início/término): 8h às 17h.</v>
      </c>
    </row>
    <row r="1711" ht="20.25" customHeight="1">
      <c r="A1711" s="8" t="s">
        <v>7683</v>
      </c>
      <c r="B1711" s="8" t="s">
        <v>7684</v>
      </c>
      <c r="C1711" s="8" t="s">
        <v>5563</v>
      </c>
      <c r="D1711" s="8" t="s">
        <v>87</v>
      </c>
      <c r="E1711" s="9" t="s">
        <v>44</v>
      </c>
      <c r="F1711" s="9" t="s">
        <v>20</v>
      </c>
      <c r="G1711" s="9" t="s">
        <v>7685</v>
      </c>
      <c r="H1711" s="8" t="s">
        <v>7686</v>
      </c>
      <c r="I1711" s="8" t="s">
        <v>7687</v>
      </c>
      <c r="J1711" s="9">
        <v>27.59</v>
      </c>
      <c r="K1711" s="9">
        <v>25.0</v>
      </c>
      <c r="L1711" s="8" t="s">
        <v>7688</v>
      </c>
      <c r="M1711" s="8" t="s">
        <v>7689</v>
      </c>
      <c r="N1711" s="7" t="str">
        <f>IFERROR(__xludf.DUMMYFUNCTION("GOOGLETRANSLATE(L1711, ""en"", ""pt"")"),"Decoradores de Natal")</f>
        <v>Decoradores de Natal</v>
      </c>
      <c r="O1711" s="7" t="str">
        <f>IFERROR(__xludf.DUMMYFUNCTION("IF(M1711="""","""",GOOGLETRANSLATE(M1711,""en"",""pt""))"),"Auxiliar na montagem e instalação de decorações sazonais externas; fixar luzes de baixa voltagem, guirlandas, coroas de flores e outras decorações em janelas, portas e beirais. Remover as decorações ao final da temporada. Limpar e guardar em recipientes a"&amp;"dequados. Descartar o lixo. Pode auxiliar na limpeza externa de residências e comércios em preparação para a temporada de festas. Os trabalhadores NÃO são Técnicos Geotérmicos (49-9099.01) - são trabalhadores braçais externos. Sem experiência/Sem formação"&amp;". Treinamento de 5 dias no local de trabalho fornecido. Consulte o adendo em anexo. Classificação do Cargo: 49-9099.00 - Trabalhadores de Instalação, Manutenção e Reparo, Outros. A classificação e descrição do cargo/setor inclui informações gerais sobre a"&amp;" posição, conforme ONET/OES e o Sistema de Classificação Industrial da América do Norte. Consulte as Funções e a Ordem de Serviço para obter mais informações. Requisitos do Cargo: Experiência Necessária: Não. Requisitos Especiais: Levantar/carregar até 23"&amp;" kg. O teste antidrogas, pago pelo empregador, é aleatório e realizado após o acidente. O empregador poderá realizar verificações legais e relacionadas ao trabalho dos candidatos, incluindo consultas sobre antecedentes criminais, quando permitido pelas le"&amp;"is federais, estaduais e locais aplicáveis. Qualquer análise de antecedentes criminais será feita individualmente e as decisões de contratação serão tomadas de forma não discriminatória, em conformidade com as leis aplicáveis ​​e as necessidades da empres"&amp;"a. Número de horas por semana: 35. Horário de trabalho (início/término): 7h30 às 16h30.")</f>
        <v>Auxiliar na montagem e instalação de decorações sazonais externas; fixar luzes de baixa voltagem, guirlandas, coroas de flores e outras decorações em janelas, portas e beirais. Remover as decorações ao final da temporada. Limpar e guardar em recipientes adequados. Descartar o lixo. Pode auxiliar na limpeza externa de residências e comércios em preparação para a temporada de festas. Os trabalhadores NÃO são Técnicos Geotérmicos (49-9099.01) - são trabalhadores braçais externos. Sem experiência/Sem formação. Treinamento de 5 dias no local de trabalho fornecido. Consulte o adendo em anexo. Classificação do Cargo: 49-9099.00 - Trabalhadores de Instalação, Manutenção e Reparo, Outros. A classificação e descrição do cargo/setor inclui informações gerais sobre a posição, conforme ONET/OES e o Sistema de Classificação Industrial da América do Norte. Consulte as Funções e a Ordem de Serviço para obter mais informações. Requisitos do Cargo: Experiência Necessária: Não. Requisitos Especiais: Levantar/carregar até 23 kg. O teste antidrogas, pago pelo empregador, é aleatório e realizado após o acidente. O empregador poderá realizar verificações legais e relacionadas ao trabalho dos candidatos, incluindo consultas sobre antecedentes criminais, quando permitido pelas leis federais, estaduais e locais aplicáveis. Qualquer análise de antecedentes criminais será feita individualmente e as decisões de contratação serão tomadas de forma não discriminatória, em conformidade com as leis aplicáveis ​​e as necessidades da empresa. Número de horas por semana: 35. Horário de trabalho (início/término): 7h30 às 16h30.</v>
      </c>
    </row>
    <row r="1712" ht="20.25" customHeight="1">
      <c r="A1712" s="3" t="s">
        <v>7690</v>
      </c>
      <c r="B1712" s="3" t="s">
        <v>7691</v>
      </c>
      <c r="C1712" s="3" t="s">
        <v>7651</v>
      </c>
      <c r="D1712" s="3" t="s">
        <v>249</v>
      </c>
      <c r="E1712" s="4" t="s">
        <v>19</v>
      </c>
      <c r="F1712" s="4" t="s">
        <v>20</v>
      </c>
      <c r="G1712" s="4" t="s">
        <v>404</v>
      </c>
      <c r="H1712" s="3" t="s">
        <v>7692</v>
      </c>
      <c r="I1712" s="3" t="s">
        <v>7693</v>
      </c>
      <c r="J1712" s="4">
        <v>17.45</v>
      </c>
      <c r="K1712" s="4">
        <v>12.0</v>
      </c>
      <c r="L1712" s="3" t="s">
        <v>7496</v>
      </c>
      <c r="M1712" s="3" t="s">
        <v>7694</v>
      </c>
      <c r="N1712" s="7" t="str">
        <f>IFERROR(__xludf.DUMMYFUNCTION("GOOGLETRANSLATE(L1712, ""en"", ""pt"")"),"Zeladores")</f>
        <v>Zeladores</v>
      </c>
      <c r="O1712" s="7" t="str">
        <f>IFERROR(__xludf.DUMMYFUNCTION("IF(M1712="""","""",GOOGLETRANSLATE(M1712,""en"",""pt""))"),"1. Tarefa: Remover neve de calçadas, entradas de garagem ou estacionamentos. O funcionário utilizará apenas ferramentas manuais para remoção de neve, como pás, vassouras, empurradores e espalhadores de sal manuais ou de empurrar. Não serão utilizados arad"&amp;"os de neve motorizados, equipamentos de montaria ou sopradores de neve motorizados. O trabalho envolve a limpeza de calçadas e caminhos de acesso em torno de propriedades comerciais para manter o acesso seguro de pedestres. 2. Tarefa: Limpar instalações o"&amp;"u locais. O funcionário realizará a limpeza rotineira de áreas comuns internas e externas de propriedades comerciais, incluindo: Varrição, lavagem e aspiração de pisos; Esvaziamento de lixeiras e remoção de lixo; Remoção de folhas, pequenos detritos e nev"&amp;"e de entradas externas e calçadas utilizando ferramentas manuais. ""Instalações ou locais"" refere-se a áreas internas e externas de edifícios comerciais, incluindo escritórios, saguões, banheiros, lojas, calçadas, entradas e depósitos. Não serão realizad"&amp;"as tarefas de paisagismo, construção ou reparo. 3. Requisito: Flexão, inclinação, ajoelhamento, empurrar e puxar equipamentos pesados ​​com frequência. Isso se refere à atividade física normal associada ao trabalho de limpeza. Os ""equipamentos pesados"" "&amp;"incluem: Baldes de esfregão com rodinhas cheios de água (aproximadamente 13 a 16 kg); Lavadoras ou aspiradores de pó manuais; Lixeiras ou carrinhos de suprimentos. Esses itens são empurrados ou puxados manualmente durante as tarefas de limpeza. 4. Requisi"&amp;"to: Subir escadas, destreza manual para manusear ferramentas e operar máquinas. Subir escadas: Os funcionários podem ocasionalmente usar uma escada de 1,8 a 2,4 metros para alcançar janelas altas, calhas ou prateleiras. Destreza manual: Os trabalhadores u"&amp;"sam ferramentas básicas de limpeza, como borrifadores, esfregões, rodos, pegadores de lixo e dispensadores recarregáveis. Operação de máquinas: Os funcionários podem operar máquinas de limpeza manuais ou de passeio, como: Aspiradores de pó comerciais; Pol"&amp;"idoras ou enceradeiras manuais. Essas máquinas são usadas para limpar pisos e superfícies. Não são utilizados tratores, limpa-neves motorizados ou máquinas de jardinagem. Classificação da função: 37-2011.00 - Zeladores e Faxineiros, exceto empregadas domé"&amp;"sticas e faxineiras. A classificação e descrição da função/setor inclui informações gerais sobre o cargo, de acordo com o ONET/OES e o Sistema de Classificação Industrial da América do Norte (NAICS). Consulte as Funções e a Ordem de Serviço para obter mai"&amp;"s informações. Requisitos da função: Experiência necessária: Sim. Meses de experiência necessários: 3. Requisitos especiais: Capacidade de levantar e carregar até 23 kg. Permanecer em pé por longos períodos, caminhar em superfícies escorregadias e se loco"&amp;"mover por grandes áreas. Flexionar-se, abaixar-se, ajoelhar-se, empurrar e puxar equipamentos pesados ​​com frequência. Subir escadas, destreza manual para manusear ferramentas e operar máquinas. Resistência física por longos períodos em diversas condiçõe"&amp;"s climáticas, incluindo ambientes frios e úmidos. Número de horas por semana: 40. Horário de trabalho (início/término): 8h às 17h.")</f>
        <v>1. Tarefa: Remover neve de calçadas, entradas de garagem ou estacionamentos. O funcionário utilizará apenas ferramentas manuais para remoção de neve, como pás, vassouras, empurradores e espalhadores de sal manuais ou de empurrar. Não serão utilizados arados de neve motorizados, equipamentos de montaria ou sopradores de neve motorizados. O trabalho envolve a limpeza de calçadas e caminhos de acesso em torno de propriedades comerciais para manter o acesso seguro de pedestres. 2. Tarefa: Limpar instalações ou locais. O funcionário realizará a limpeza rotineira de áreas comuns internas e externas de propriedades comerciais, incluindo: Varrição, lavagem e aspiração de pisos; Esvaziamento de lixeiras e remoção de lixo; Remoção de folhas, pequenos detritos e neve de entradas externas e calçadas utilizando ferramentas manuais. "Instalações ou locais" refere-se a áreas internas e externas de edifícios comerciais, incluindo escritórios, saguões, banheiros, lojas, calçadas, entradas e depósitos. Não serão realizadas tarefas de paisagismo, construção ou reparo. 3. Requisito: Flexão, inclinação, ajoelhamento, empurrar e puxar equipamentos pesados ​​com frequência. Isso se refere à atividade física normal associada ao trabalho de limpeza. Os "equipamentos pesados" incluem: Baldes de esfregão com rodinhas cheios de água (aproximadamente 13 a 16 kg); Lavadoras ou aspiradores de pó manuais; Lixeiras ou carrinhos de suprimentos. Esses itens são empurrados ou puxados manualmente durante as tarefas de limpeza. 4. Requisito: Subir escadas, destreza manual para manusear ferramentas e operar máquinas. Subir escadas: Os funcionários podem ocasionalmente usar uma escada de 1,8 a 2,4 metros para alcançar janelas altas, calhas ou prateleiras. Destreza manual: Os trabalhadores usam ferramentas básicas de limpeza, como borrifadores, esfregões, rodos, pegadores de lixo e dispensadores recarregáveis. Operação de máquinas: Os funcionários podem operar máquinas de limpeza manuais ou de passeio, como: Aspiradores de pó comerciais; Polidoras ou enceradeiras manuais. Essas máquinas são usadas para limpar pisos e superfícies. Não são utilizados tratores, limpa-neves motorizados ou máquinas de jardinagem. Classificação da função: 37-2011.00 - Zeladores e Faxineiros, exceto empregadas domésticas e faxineiras. A classificação e descrição da função/setor inclui informações gerais sobre o cargo, de acordo com o ONET/OES e o Sistema de Classificação Industrial da América do Norte (NAICS). Consulte as Funções e a Ordem de Serviço para obter mais informações. Requisitos da função: Experiência necessária: Sim. Meses de experiência necessários: 3. Requisitos especiais: Capacidade de levantar e carregar até 23 kg. Permanecer em pé por longos períodos, caminhar em superfícies escorregadias e se locomover por grandes áreas. Flexionar-se, abaixar-se, ajoelhar-se, empurrar e puxar equipamentos pesados ​​com frequência. Subir escadas, destreza manual para manusear ferramentas e operar máquinas. Resistência física por longos períodos em diversas condições climáticas, incluindo ambientes frios e úmidos. Número de horas por semana: 40. Horário de trabalho (início/término): 8h às 17h.</v>
      </c>
    </row>
    <row r="1713" ht="20.25" customHeight="1">
      <c r="A1713" s="8" t="s">
        <v>7695</v>
      </c>
      <c r="B1713" s="8" t="s">
        <v>7696</v>
      </c>
      <c r="C1713" s="8" t="s">
        <v>5563</v>
      </c>
      <c r="D1713" s="8" t="s">
        <v>87</v>
      </c>
      <c r="E1713" s="9" t="s">
        <v>19</v>
      </c>
      <c r="F1713" s="9" t="s">
        <v>20</v>
      </c>
      <c r="G1713" s="9" t="s">
        <v>80</v>
      </c>
      <c r="H1713" s="8" t="s">
        <v>7697</v>
      </c>
      <c r="I1713" s="8" t="s">
        <v>7698</v>
      </c>
      <c r="J1713" s="9">
        <v>15.93</v>
      </c>
      <c r="K1713" s="9">
        <v>40.0</v>
      </c>
      <c r="L1713" s="8" t="s">
        <v>7699</v>
      </c>
      <c r="M1713" s="8" t="s">
        <v>7700</v>
      </c>
      <c r="N1713" s="7" t="str">
        <f>IFERROR(__xludf.DUMMYFUNCTION("GOOGLETRANSLATE(L1713, ""en"", ""pt"")"),"Trabalhadores de lavanderia e limpeza a seco")</f>
        <v>Trabalhadores de lavanderia e limpeza a seco</v>
      </c>
      <c r="O1713" s="7" t="str">
        <f>IFERROR(__xludf.DUMMYFUNCTION("IF(M1713="""","""",GOOGLETRANSLATE(M1713,""en"",""pt""))"),"Os funcionários irão etiquetar, separar, lavar, secar, passar, dobrar e embalar roupas e lençóis. Eles também irão carregar, retirar e processar roupas lavadas e secas. Separarão os itens de acordo com as instruções do supervisor; operarão ou supervisiona"&amp;"rão máquinas de lavar ou de limpeza a seco para lavar ou limpar a seco artigos industriais, como toalhas de mesa, cortinas e roupas de cama finas; os funcionários prepararão os mesmos para coleta. Há duas lavanderias a seco a menos de 3 metros uma da outr"&amp;"a. O segundo local de trabalho é 707 Long Point Road, Mt. Pleasant, SC, no Condado de Charleston. Não é necessária experiência/educação. Consulte o adendo em anexo. Classificação do Cargo: 51-6011.00 - Trabalhadores de Lavanderia e Limpeza a Seco. A class"&amp;"ificação e descrição do cargo/setor inclui informações gerais sobre a posição, de acordo com o ONET/OES e o Sistema de Classificação Industrial da América do Norte. Consulte as Funções e a Ordem de Serviço para obter mais informações. Requisitos do Cargo:"&amp;" Experiência Necessária: Não. Requisitos Especiais: Levantar/carregar até 16 kg. O teste antidrogas é aleatório e pago pelo empregador. O empregador poderá realizar verificações legais e relacionadas ao trabalho dos candidatos, incluindo consultas sobre a"&amp;"ntecedentes criminais, quando permitido pelas leis federais, estaduais e locais aplicáveis. Qualquer análise de antecedentes criminais será feita individualmente e as decisões de emprego serão tomadas de forma não discriminatória, em conformidade com as l"&amp;"eis aplicáveis ​​e as necessidades da empresa. Número de horas por semana: 35. Horário de trabalho (início/término): 7h às 14h.")</f>
        <v>Os funcionários irão etiquetar, separar, lavar, secar, passar, dobrar e embalar roupas e lençóis. Eles também irão carregar, retirar e processar roupas lavadas e secas. Separarão os itens de acordo com as instruções do supervisor; operarão ou supervisionarão máquinas de lavar ou de limpeza a seco para lavar ou limpar a seco artigos industriais, como toalhas de mesa, cortinas e roupas de cama finas; os funcionários prepararão os mesmos para coleta. Há duas lavanderias a seco a menos de 3 metros uma da outra. O segundo local de trabalho é 707 Long Point Road, Mt. Pleasant, SC, no Condado de Charleston. Não é necessária experiência/educação. Consulte o adendo em anexo. Classificação do Cargo: 51-6011.00 - Trabalhadores de Lavanderia e Limpeza a Seco. A classificação e descrição do cargo/setor inclui informações gerais sobre a posição, de acordo com o ONET/OES e o Sistema de Classificação Industrial da América do Norte. Consulte as Funções e a Ordem de Serviço para obter mais informações. Requisitos do Cargo: Experiência Necessária: Não. Requisitos Especiais: Levantar/carregar até 16 kg. O teste antidrogas é aleatório e pago pelo empregador. O empregador poderá realizar verificações legais e relacionadas ao trabalho dos candidatos, incluindo consultas sobre antecedentes criminais, quando permitido pelas leis federais, estaduais e locais aplicáveis. Qualquer análise de antecedentes criminais será feita individualmente e as decisões de emprego serão tomadas de forma não discriminatória, em conformidade com as leis aplicáveis ​​e as necessidades da empresa. Número de horas por semana: 35. Horário de trabalho (início/término): 7h às 14h.</v>
      </c>
    </row>
    <row r="1714" ht="20.25" customHeight="1">
      <c r="A1714" s="3" t="s">
        <v>7701</v>
      </c>
      <c r="B1714" s="3" t="s">
        <v>7702</v>
      </c>
      <c r="C1714" s="3" t="s">
        <v>7703</v>
      </c>
      <c r="D1714" s="3" t="s">
        <v>64</v>
      </c>
      <c r="E1714" s="4" t="s">
        <v>19</v>
      </c>
      <c r="F1714" s="4" t="s">
        <v>20</v>
      </c>
      <c r="G1714" s="4" t="s">
        <v>377</v>
      </c>
      <c r="H1714" s="3" t="s">
        <v>7704</v>
      </c>
      <c r="I1714" s="3" t="s">
        <v>7705</v>
      </c>
      <c r="J1714" s="4">
        <v>19.81</v>
      </c>
      <c r="K1714" s="4">
        <v>10.0</v>
      </c>
      <c r="L1714" s="3" t="s">
        <v>7706</v>
      </c>
      <c r="M1714" s="3" t="s">
        <v>7707</v>
      </c>
      <c r="N1714" s="7" t="str">
        <f>IFERROR(__xludf.DUMMYFUNCTION("GOOGLETRANSLATE(L1714, ""en"", ""pt"")"),"Auxiliares, trabalhadores de instalação, manutenção e reparo.")</f>
        <v>Auxiliares, trabalhadores de instalação, manutenção e reparo.</v>
      </c>
      <c r="O1714" s="7" t="str">
        <f>IFERROR(__xludf.DUMMYFUNCTION("IF(M1714="""","""",GOOGLETRANSLATE(M1714,""en"",""pt""))"),"Auxiliar na coleta de entulho de construção, resíduos pesados ​​e materiais recicláveis, depositando-os nos contêineres designados. Selecionar e reciclar materiais de construção, como resíduos de jardim, drywall, telhas e concreto. Auxiliar os motoristas "&amp;"de caminhão na entrega, instalação, limpeza e esvaziamento de contêineres, carrinhos de lixo, lixeiras ou banheiros químicos em locais designados, como canteiros de obras, áreas comerciais e residenciais. Esvaziar contêineres de lixo e reciclagem nos cont"&amp;"êineres, a partir dos locais designados. Auxiliar na fixação e cobertura dos materiais carregados para evitar quedas durante o transporte. Manter os contêineres, carrinhos de lixo, lixeiras ou banheiros químicos em todos os canteiros de obras, áreas comer"&amp;"ciais ou residenciais, realizando a limpeza e os reparos necessários. Utilizar água pressurizada para limpar os contêineres, carrinhos de lixo, lixeiras e banheiros químicos. Auxiliar na limpeza dos terrenos após a demolição completa de estruturas, casas "&amp;"ou edifícios, coletando todos os resíduos e depositando-os nos contêineres. Limpar os canteiros de obras durante e após a construção. Classificação da Função: 47-2061.00 - Operários da Construção Civil. A classificação e descrição da função/setor inclui i"&amp;"nformações gerais sobre o cargo, conforme o ONET/OES e o Sistema de Classificação Industrial da América do Norte (NAICS). Consulte as Funções e a Ordem de Serviço para obter mais informações. Requisitos da Função: Experiência Necessária: Não. Requisitos E"&amp;"speciais: ""1 hora de intervalo para almoço"". Número de Horas por Semana: 40. Horário de Trabalho (Início/Término): 8h00 - 17h00.")</f>
        <v>Auxiliar na coleta de entulho de construção, resíduos pesados ​​e materiais recicláveis, depositando-os nos contêineres designados. Selecionar e reciclar materiais de construção, como resíduos de jardim, drywall, telhas e concreto. Auxiliar os motoristas de caminhão na entrega, instalação, limpeza e esvaziamento de contêineres, carrinhos de lixo, lixeiras ou banheiros químicos em locais designados, como canteiros de obras, áreas comerciais e residenciais. Esvaziar contêineres de lixo e reciclagem nos contêineres, a partir dos locais designados. Auxiliar na fixação e cobertura dos materiais carregados para evitar quedas durante o transporte. Manter os contêineres, carrinhos de lixo, lixeiras ou banheiros químicos em todos os canteiros de obras, áreas comerciais ou residenciais, realizando a limpeza e os reparos necessários. Utilizar água pressurizada para limpar os contêineres, carrinhos de lixo, lixeiras e banheiros químicos. Auxiliar na limpeza dos terrenos após a demolição completa de estruturas, casas ou edifícios, coletando todos os resíduos e depositando-os nos contêineres. Limpar os canteiros de obras durante e após a construção. Classificação da Função: 47-2061.00 - Operários da Construção Civil. A classificação e descrição da função/setor inclui informações gerais sobre o cargo, conforme o ONET/OES e o Sistema de Classificação Industrial da América do Norte (NAICS). Consulte as Funções e a Ordem de Serviço para obter mais informações. Requisitos da Função: Experiência Necessária: Não. Requisitos Especiais: "1 hora de intervalo para almoço". Número de Horas por Semana: 40. Horário de Trabalho (Início/Término): 8h00 - 17h00.</v>
      </c>
    </row>
    <row r="1715" ht="20.25" customHeight="1">
      <c r="A1715" s="8" t="s">
        <v>7708</v>
      </c>
      <c r="B1715" s="8" t="s">
        <v>7709</v>
      </c>
      <c r="C1715" s="8" t="s">
        <v>7651</v>
      </c>
      <c r="D1715" s="8" t="s">
        <v>186</v>
      </c>
      <c r="E1715" s="9" t="s">
        <v>19</v>
      </c>
      <c r="F1715" s="9" t="s">
        <v>20</v>
      </c>
      <c r="G1715" s="9" t="s">
        <v>146</v>
      </c>
      <c r="H1715" s="8" t="s">
        <v>7710</v>
      </c>
      <c r="I1715" s="8" t="s">
        <v>7711</v>
      </c>
      <c r="J1715" s="9">
        <v>17.88</v>
      </c>
      <c r="K1715" s="9">
        <v>30.0</v>
      </c>
      <c r="L1715" s="8" t="s">
        <v>321</v>
      </c>
      <c r="M1715" s="8" t="s">
        <v>7712</v>
      </c>
      <c r="N1715" s="7" t="str">
        <f>IFERROR(__xludf.DUMMYFUNCTION("GOOGLETRANSLATE(L1715, ""en"", ""pt"")"),"Trabalhadores de paisagismo")</f>
        <v>Trabalhadores de paisagismo</v>
      </c>
      <c r="O1715" s="7" t="str">
        <f>IFERROR(__xludf.DUMMYFUNCTION("IF(M1715="""","""",GOOGLETRANSLATE(M1715,""en"",""pt""))"),"O(s) funcionário(s) realizará(ão) serviços tradicionais de paisagismo. Essas tarefas incluem, entre outras, cortar grama, aparar bordas, limpar detritos e soprar folhas. O(s) funcionário(s) também auxiliará(ão) em instalações e reformas paisagísticas; iss"&amp;"o pode incluir plantas, flores, fontes e trabalhos relacionados. Os funcionários podem trabalhar com e ter algumas responsabilidades de manutenção para cortadores de grama de plataforma, cortadores de grama manuais, sopradores de folhas/grama, roçadeiras,"&amp;" aparadores de cerca viva e, potencialmente, outras ferramentas e equipamentos de paisagismo. Eles também podem usar ferramentas manuais, como pás, ancinhos, serras de poda, serras, aparadores de cerca viva ou arbustos ou machados. Classificação do Cargo:"&amp;" 37-3011.00 - Trabalhadores de Paisagismo e Manutenção de Áreas Verdes. A classificação e descrição do cargo/setor inclui informações gerais sobre a posição, de acordo com o ONET/OES e o Sistema de Classificação Industrial da América do Norte. Consulte as"&amp;" Funções e a Ordem de Serviço para obter mais informações. Requisitos da vaga Experiência necessária: Sim Meses de experiência necessários: 3 Requisitos especiais: Capacidade de levantar e carregar até 23 kg. Permanecer em pé por longos períodos, caminhar"&amp;" em superfícies escorregadias e se locomover por grandes áreas. Flexionar-se, abaixar-se, ajoelhar-se, empurrar e puxar equipamentos pesados ​​com frequência. Subir escadas, destreza manual para manusear ferramentas e operar máquinas. Resistência física p"&amp;"or longos períodos em diversas condições climáticas, incluindo ambientes frios e úmidos. Número de horas por semana: 45 Horário de trabalho (início/término): 8h às 17h")</f>
        <v>O(s) funcionário(s) realizará(ão) serviços tradicionais de paisagismo. Essas tarefas incluem, entre outras, cortar grama, aparar bordas, limpar detritos e soprar folhas. O(s) funcionário(s) também auxiliará(ão) em instalações e reformas paisagísticas; isso pode incluir plantas, flores, fontes e trabalhos relacionados. Os funcionários podem trabalhar com e ter algumas responsabilidades de manutenção para cortadores de grama de plataforma, cortadores de grama manuais, sopradores de folhas/grama, roçadeiras, aparadores de cerca viva e, potencialmente, outras ferramentas e equipamentos de paisagismo. Eles também podem usar ferramentas manuais, como pás, ancinhos, serras de poda, serras, aparadores de cerca viva ou arbustos ou machados. Classificação do Cargo: 37-3011.00 - Trabalhadores de Paisagismo e Manutenção de Áreas Verdes. A classificação e descrição do cargo/setor inclui informações gerais sobre a posição, de acordo com o ONET/OES e o Sistema de Classificação Industrial da América do Norte. Consulte as Funções e a Ordem de Serviço para obter mais informações. Requisitos da vaga Experiência necessária: Sim Meses de experiência necessários: 3 Requisitos especiais: Capacidade de levantar e carregar até 23 kg. Permanecer em pé por longos períodos, caminhar em superfícies escorregadias e se locomover por grandes áreas. Flexionar-se, abaixar-se, ajoelhar-se, empurrar e puxar equipamentos pesados ​​com frequência. Subir escadas, destreza manual para manusear ferramentas e operar máquinas. Resistência física por longos períodos em diversas condições climáticas, incluindo ambientes frios e úmidos. Número de horas por semana: 45 Horário de trabalho (início/término): 8h às 17h</v>
      </c>
    </row>
    <row r="1716" ht="20.25" customHeight="1">
      <c r="A1716" s="3" t="s">
        <v>7713</v>
      </c>
      <c r="B1716" s="3" t="s">
        <v>7714</v>
      </c>
      <c r="C1716" s="3" t="s">
        <v>7000</v>
      </c>
      <c r="D1716" s="3" t="s">
        <v>4822</v>
      </c>
      <c r="E1716" s="4" t="s">
        <v>19</v>
      </c>
      <c r="F1716" s="4" t="s">
        <v>20</v>
      </c>
      <c r="G1716" s="4" t="s">
        <v>384</v>
      </c>
      <c r="H1716" s="3" t="s">
        <v>7715</v>
      </c>
      <c r="I1716" s="3" t="s">
        <v>7716</v>
      </c>
      <c r="J1716" s="4">
        <v>35.16</v>
      </c>
      <c r="K1716" s="4">
        <v>1.0</v>
      </c>
      <c r="L1716" s="3" t="s">
        <v>7717</v>
      </c>
      <c r="M1716" s="3" t="s">
        <v>7718</v>
      </c>
      <c r="N1716" s="7" t="str">
        <f>IFERROR(__xludf.DUMMYFUNCTION("GOOGLETRANSLATE(L1716, ""en"", ""pt"")"),"Conselheiro Escolar")</f>
        <v>Conselheiro Escolar</v>
      </c>
      <c r="O1716" s="7" t="str">
        <f>IFERROR(__xludf.DUMMYFUNCTION("IF(M1716="""","""",GOOGLETRANSLATE(M1716,""en"",""pt""))"),"Prestar serviços e assistência social para melhorar o funcionamento social e psicológico dos alunos e suas famílias, bem como para maximizar o desempenho acadêmico das crianças. Responsável por coordenar e implementar um programa abrangente de aconselhame"&amp;"nto escolar, incluindo orientação acadêmica, aconselhamento pessoal/social, desenvolvimento de carreira e envolvimento dos pais/comunidade. Oferecer um programa contínuo de serviços de aconselhamento individual, em pequenos e grandes grupos, nas áreas de "&amp;"orientação acadêmica, orientação profissional e desenvolvimento social/pessoal, de acordo com os padrões nacionais estabelecidos pela Associação Americana de Conselheiros Escolares (American School Counselor Association). Consultar e trabalhar em colabora"&amp;"ção com administradores, professores, funcionários da escola, funcionários do distrito, pais e diversas agências comunitárias para atender às necessidades de aconselhamento e planejamento educacional dos alunos, incluindo as necessidades de toda a escola."&amp;" Colaborar com professores, pais e administradores escolares para desenvolver planos e estratégias para melhorar o desempenho acadêmico e o desenvolvimento social dos alunos. Interpretar e utilizar registros escolares, incluindo testes cognitivos, de apti"&amp;"dão e de desempenho, para o planejamento educacional. Revisar e avaliar registros e históricos escolares dos alunos. Atender às necessidades individuais dos alunos e encaminhá-los aos recursos escolares e comunitários apropriados, conforme necessário. Reu"&amp;"nir-se com as famílias para discutir questões como acesso a recursos de educação especial ou faltas frequentes. Oferece serviços preventivos e de resposta, incluindo aconselhamento em situações de crise, quando necessário, e aborda as necessidades de saúd"&amp;"e mental dos alunos conforme apropriado. Facilita o envolvimento dos pais na educação de seus filhos, incluindo o auxílio em reuniões entre pais, professores e orientadores. Auxilia os alunos no desenvolvimento da autocompreensão, autoaceitação e habilida"&amp;"des interpessoais eficazes. Fornece informações sobre recursos comunitários adequados. Executa outras tarefas conforme designadas. Trabalha sob a supervisão do Professor Líder de Educação Especial. Classificação do Cargo: 21-1012.00 - Orientadores e Conse"&amp;"lheiros Educacionais, de Orientação e de Carreira. A classificação e descrição do cargo/setor incluem informações gerais sobre a posição, de acordo com o ONET/OES e o Sistema de Classificação Industrial da América do Norte. Consulte as Funções e a Ordem d"&amp;"e Serviço para obter mais informações. Requisitos do Cargo Experiência Necessária: Não. Requisitos Especiais: É necessário diploma de bacharel ou equivalente estrangeiro em Serviço Social, Aconselhamento, Psicologia ou área relacionada. Dias e Horário de "&amp;"Trabalho: De segunda a sexta-feira, das 8h às 16h, incluindo uma hora de intervalo para almoço sem expediente. O empregador oferecerá no mínimo (não menos que) 40 horas semanais. Número de horas por semana: 40. Horário de trabalho (início/término): 8h às "&amp;"16h.")</f>
        <v>Prestar serviços e assistência social para melhorar o funcionamento social e psicológico dos alunos e suas famílias, bem como para maximizar o desempenho acadêmico das crianças. Responsável por coordenar e implementar um programa abrangente de aconselhamento escolar, incluindo orientação acadêmica, aconselhamento pessoal/social, desenvolvimento de carreira e envolvimento dos pais/comunidade. Oferecer um programa contínuo de serviços de aconselhamento individual, em pequenos e grandes grupos, nas áreas de orientação acadêmica, orientação profissional e desenvolvimento social/pessoal, de acordo com os padrões nacionais estabelecidos pela Associação Americana de Conselheiros Escolares (American School Counselor Association). Consultar e trabalhar em colaboração com administradores, professores, funcionários da escola, funcionários do distrito, pais e diversas agências comunitárias para atender às necessidades de aconselhamento e planejamento educacional dos alunos, incluindo as necessidades de toda a escola. Colaborar com professores, pais e administradores escolares para desenvolver planos e estratégias para melhorar o desempenho acadêmico e o desenvolvimento social dos alunos. Interpretar e utilizar registros escolares, incluindo testes cognitivos, de aptidão e de desempenho, para o planejamento educacional. Revisar e avaliar registros e históricos escolares dos alunos. Atender às necessidades individuais dos alunos e encaminhá-los aos recursos escolares e comunitários apropriados, conforme necessário. Reunir-se com as famílias para discutir questões como acesso a recursos de educação especial ou faltas frequentes. Oferece serviços preventivos e de resposta, incluindo aconselhamento em situações de crise, quando necessário, e aborda as necessidades de saúde mental dos alunos conforme apropriado. Facilita o envolvimento dos pais na educação de seus filhos, incluindo o auxílio em reuniões entre pais, professores e orientadores. Auxilia os alunos no desenvolvimento da autocompreensão, autoaceitação e habilidades interpessoais eficazes. Fornece informações sobre recursos comunitários adequados. Executa outras tarefas conforme designadas. Trabalha sob a supervisão do Professor Líder de Educação Especial. Classificação do Cargo: 21-1012.00 - Orientadores e Conselheiros Educacionais, de Orientação e de Carreira. A classificação e descrição do cargo/setor incluem informações gerais sobre a posição, de acordo com o ONET/OES e o Sistema de Classificação Industrial da América do Norte. Consulte as Funções e a Ordem de Serviço para obter mais informações. Requisitos do Cargo Experiência Necessária: Não. Requisitos Especiais: É necessário diploma de bacharel ou equivalente estrangeiro em Serviço Social, Aconselhamento, Psicologia ou área relacionada. Dias e Horário de Trabalho: De segunda a sexta-feira, das 8h às 16h, incluindo uma hora de intervalo para almoço sem expediente. O empregador oferecerá no mínimo (não menos que) 40 horas semanais. Número de horas por semana: 40. Horário de trabalho (início/término): 8h às 16h.</v>
      </c>
    </row>
    <row r="1717" ht="20.25" customHeight="1">
      <c r="A1717" s="8" t="s">
        <v>7719</v>
      </c>
      <c r="B1717" s="8" t="s">
        <v>7720</v>
      </c>
      <c r="C1717" s="8" t="s">
        <v>7721</v>
      </c>
      <c r="D1717" s="8" t="s">
        <v>344</v>
      </c>
      <c r="E1717" s="9" t="s">
        <v>19</v>
      </c>
      <c r="F1717" s="9" t="s">
        <v>20</v>
      </c>
      <c r="G1717" s="9" t="s">
        <v>56</v>
      </c>
      <c r="H1717" s="8" t="s">
        <v>7722</v>
      </c>
      <c r="I1717" s="8" t="s">
        <v>7723</v>
      </c>
      <c r="J1717" s="9">
        <v>19.8</v>
      </c>
      <c r="K1717" s="9">
        <v>6.0</v>
      </c>
      <c r="L1717" s="8" t="s">
        <v>676</v>
      </c>
      <c r="M1717" s="8" t="s">
        <v>7724</v>
      </c>
      <c r="N1717" s="7" t="str">
        <f>IFERROR(__xludf.DUMMYFUNCTION("GOOGLETRANSLATE(L1717, ""en"", ""pt"")"),"Trabalhadores de paisagismo e manutenção de jardins")</f>
        <v>Trabalhadores de paisagismo e manutenção de jardins</v>
      </c>
      <c r="O1717" s="7" t="str">
        <f>IFERROR(__xludf.DUMMYFUNCTION("IF(M1717="""","""",GOOGLETRANSLATE(M1717,""en"",""pt""))"),"O trabalho consiste em cuidar da paisagem e da manutenção de terrenos utilizando ferramentas manuais e/ou elétricas. Os funcionários realizarão diversas tarefas para manter diferentes estruturas e projetos paisagísticos, incluindo gramados, canteiros de f"&amp;"lores, árvores e vasos existentes, além de construções ao redor dos gramados. As atividades incluem colocação de grama, plantio, corte, poda, rega, adubação, escavação, rastelamento e manutenção de plantas e paisagismo existentes, bem como a remoção de pl"&amp;"antas antigas ou mortas. A função exige boa coordenação motora e capacidade de levantar peso para transportar e utilizar equipamentos e materiais de paisagismo necessários para as tarefas designadas, como aparadores, cortadores de grama, sopradores, ferti"&amp;"lizantes, cobertura morta, arbustos, árvores e outras plantas e equipamentos. O empregador se baseará nas informações fornecidas pelo candidato e em suas observações para determinar se ele atende aos requisitos físicos da função. É necessário tolerar temp"&amp;"eraturas externas típicas da região metropolitana de St. Louis, MO/IL (com possibilidade de temperaturas acima de 32°C e abaixo de 0°C). Classificação da Função: 37-3011.00 - Trabalhadores de Paisagismo e Manutenção de Jardins. A classificação e descrição"&amp;" da função/setor inclui informações gerais sobre o cargo, de acordo com o ONET/OES e o Sistema de Classificação Industrial da América do Norte (NAICS). Consulte as Funções e a Ordem de Serviço para obter mais informações. Requisitos da Função: Experiência"&amp;" Necessária: Não. Requisitos Especiais: REQUISITOS: NÃO HÁ EXIGÊNCIA MÍNIMA DE ESCOLARIDADE/EXPERIÊNCIA. CAPACIDADE FÍSICA PARA USAR CORTADORES DE GRAMA COMERCIAIS, SOPRADORES DE FOLHAS, MOTOSSERRAS, TRATORES DE PEQUENO PORTE, APARADORES DE GRAMA ELÉTRICO"&amp;"S, CORTADORES DE GRAMA E SERRAS DE PODA, ALÉM DE OUTROS EQUIPAMENTOS MECÂNICOS DE PAISAGISMO. NÃO HÁ TREINAMENTO FORNECIDO. BOA COORDENAÇÃO MOTORA; CAPACIDADE DE LEVANTAR O PESO NECESSÁRIO PARA TRANSPORTAR E USAR EQUIPAMENTOS E MATERIAIS DE PAISAGISMO. O "&amp;"candidato deve ser capaz de tolerar temperaturas extremas, compatíveis com o trabalho ao ar livre em uma ampla variedade de condições climáticas ao longo do ano no sudoeste de Illinois e na região metropolitana de St. Louis (de 32°C a menos de 0°C); o emp"&amp;"regador confiará nas declarações do trabalhador de que ele é capaz de atender aos requisitos físicos, com ou sem adaptações razoáveis, para desempenhar o trabalho, e nas observações do empregador. Número de horas por semana: 40. Horário de trabalho (iníci"&amp;"o/término): 7h às 15h30.")</f>
        <v>O trabalho consiste em cuidar da paisagem e da manutenção de terrenos utilizando ferramentas manuais e/ou elétricas. Os funcionários realizarão diversas tarefas para manter diferentes estruturas e projetos paisagísticos, incluindo gramados, canteiros de flores, árvores e vasos existentes, além de construções ao redor dos gramados. As atividades incluem colocação de grama, plantio, corte, poda, rega, adubação, escavação, rastelamento e manutenção de plantas e paisagismo existentes, bem como a remoção de plantas antigas ou mortas. A função exige boa coordenação motora e capacidade de levantar peso para transportar e utilizar equipamentos e materiais de paisagismo necessários para as tarefas designadas, como aparadores, cortadores de grama, sopradores, fertilizantes, cobertura morta, arbustos, árvores e outras plantas e equipamentos. O empregador se baseará nas informações fornecidas pelo candidato e em suas observações para determinar se ele atende aos requisitos físicos da função. É necessário tolerar temperaturas externas típicas da região metropolitana de St. Louis, MO/IL (com possibilidade de temperaturas acima de 32°C e abaixo de 0°C). Classificação da Função: 37-3011.00 - Trabalhadores de Paisagismo e Manutenção de Jardins. A classificação e descrição da função/setor inclui informações gerais sobre o cargo, de acordo com o ONET/OES e o Sistema de Classificação Industrial da América do Norte (NAICS). Consulte as Funções e a Ordem de Serviço para obter mais informações. Requisitos da Função: Experiência Necessária: Não. Requisitos Especiais: REQUISITOS: NÃO HÁ EXIGÊNCIA MÍNIMA DE ESCOLARIDADE/EXPERIÊNCIA. CAPACIDADE FÍSICA PARA USAR CORTADORES DE GRAMA COMERCIAIS, SOPRADORES DE FOLHAS, MOTOSSERRAS, TRATORES DE PEQUENO PORTE, APARADORES DE GRAMA ELÉTRICOS, CORTADORES DE GRAMA E SERRAS DE PODA, ALÉM DE OUTROS EQUIPAMENTOS MECÂNICOS DE PAISAGISMO. NÃO HÁ TREINAMENTO FORNECIDO. BOA COORDENAÇÃO MOTORA; CAPACIDADE DE LEVANTAR O PESO NECESSÁRIO PARA TRANSPORTAR E USAR EQUIPAMENTOS E MATERIAIS DE PAISAGISMO. O candidato deve ser capaz de tolerar temperaturas extremas, compatíveis com o trabalho ao ar livre em uma ampla variedade de condições climáticas ao longo do ano no sudoeste de Illinois e na região metropolitana de St. Louis (de 32°C a menos de 0°C); o empregador confiará nas declarações do trabalhador de que ele é capaz de atender aos requisitos físicos, com ou sem adaptações razoáveis, para desempenhar o trabalho, e nas observações do empregador. Número de horas por semana: 40. Horário de trabalho (início/término): 7h às 15h30.</v>
      </c>
    </row>
    <row r="1718" ht="20.25" customHeight="1">
      <c r="A1718" s="3" t="s">
        <v>7725</v>
      </c>
      <c r="B1718" s="3" t="s">
        <v>7726</v>
      </c>
      <c r="C1718" s="3" t="s">
        <v>7651</v>
      </c>
      <c r="D1718" s="3" t="s">
        <v>64</v>
      </c>
      <c r="E1718" s="4" t="s">
        <v>19</v>
      </c>
      <c r="F1718" s="4" t="s">
        <v>20</v>
      </c>
      <c r="G1718" s="4" t="s">
        <v>4040</v>
      </c>
      <c r="H1718" s="3" t="s">
        <v>7727</v>
      </c>
      <c r="I1718" s="3" t="s">
        <v>7728</v>
      </c>
      <c r="J1718" s="4">
        <v>14.94</v>
      </c>
      <c r="K1718" s="4">
        <v>1.0</v>
      </c>
      <c r="L1718" s="3" t="s">
        <v>387</v>
      </c>
      <c r="M1718" s="3" t="s">
        <v>7729</v>
      </c>
      <c r="N1718" s="7" t="str">
        <f>IFERROR(__xludf.DUMMYFUNCTION("GOOGLETRANSLATE(L1718, ""en"", ""pt"")"),"Ordem de serviço não disponível")</f>
        <v>Ordem de serviço não disponível</v>
      </c>
      <c r="O1718" s="7" t="str">
        <f>IFERROR(__xludf.DUMMYFUNCTION("IF(M1718="""","""",GOOGLETRANSLATE(M1718,""en"",""pt""))"),"Cuidar de crianças em residências particulares e fornecer apoio e conhecimento especializado aos pais para atender às necessidades físicas, emocionais, intelectuais e sociais das crianças. As tarefas podem incluir planejamento e preparo de refeições, lava"&amp;"gem e cuidados com as roupas das crianças, organização de atividades lúdicas e passeios, disciplina, estimulação intelectual, atividades de linguagem e transporte. Classificação da vaga: 39-9011.01 - Babás. A classificação e descrição da vaga/setor inclue"&amp;"m informações gerais sobre o cargo, de acordo com o ONET/OES e o Sistema de Classificação Industrial da América do Norte. Consulte as Funções e a Ordem de Serviço para obter mais informações. Requisitos da vaga: Experiência necessária: Sim. Meses de exper"&amp;"iência necessários: 3. Requisitos especiais: Deve ser capaz de levantar 14 kg. Trabalho em alguns fins de semana será necessário. Número de horas por semana: 40. Horário de trabalho (início/término): 6h30 - 19h.")</f>
        <v>Cuidar de crianças em residências particulares e fornecer apoio e conhecimento especializado aos pais para atender às necessidades físicas, emocionais, intelectuais e sociais das crianças. As tarefas podem incluir planejamento e preparo de refeições, lavagem e cuidados com as roupas das crianças, organização de atividades lúdicas e passeios, disciplina, estimulação intelectual, atividades de linguagem e transporte. Classificação da vaga: 39-9011.01 - Babás. A classificação e descrição da vaga/setor incluem informações gerais sobre o cargo, de acordo com o ONET/OES e o Sistema de Classificação Industrial da América do Norte. Consulte as Funções e a Ordem de Serviço para obter mais informações. Requisitos da vaga: Experiência necessária: Sim. Meses de experiência necessários: 3. Requisitos especiais: Deve ser capaz de levantar 14 kg. Trabalho em alguns fins de semana será necessário. Número de horas por semana: 40. Horário de trabalho (início/término): 6h30 - 19h.</v>
      </c>
    </row>
    <row r="1719" ht="20.25" customHeight="1">
      <c r="A1719" s="8" t="s">
        <v>7730</v>
      </c>
      <c r="B1719" s="8" t="s">
        <v>7731</v>
      </c>
      <c r="C1719" s="8" t="s">
        <v>6228</v>
      </c>
      <c r="D1719" s="8" t="s">
        <v>126</v>
      </c>
      <c r="E1719" s="9" t="s">
        <v>19</v>
      </c>
      <c r="F1719" s="9" t="s">
        <v>20</v>
      </c>
      <c r="G1719" s="9" t="s">
        <v>307</v>
      </c>
      <c r="H1719" s="8" t="s">
        <v>7732</v>
      </c>
      <c r="I1719" s="8" t="s">
        <v>7733</v>
      </c>
      <c r="J1719" s="9">
        <v>25.42</v>
      </c>
      <c r="K1719" s="9">
        <v>8.0</v>
      </c>
      <c r="L1719" s="8" t="s">
        <v>7256</v>
      </c>
      <c r="M1719" s="8" t="s">
        <v>7734</v>
      </c>
      <c r="N1719" s="7" t="str">
        <f>IFERROR(__xludf.DUMMYFUNCTION("GOOGLETRANSLATE(L1719, ""en"", ""pt"")"),"Instalador de luzes natalinas")</f>
        <v>Instalador de luzes natalinas</v>
      </c>
      <c r="O1719" s="7" t="str">
        <f>IFERROR(__xludf.DUMMYFUNCTION("IF(M1719="""","""",GOOGLETRANSLATE(M1719,""en"",""pt""))"),"Instalar decoração natalina, iluminação e banners em diversos locais de trabalho. Utilizar ferramentas como abraçadeiras, martelos, furadeiras, pregos, parafusos e ganchos para facilitar a instalação, conforme necessário. Trabalhar em escadas e/ou platafo"&amp;"rmas elevatórias quando necessário. Localizar, relatar e solucionar problemas de energia relacionados à iluminação ou à decoração iluminada. Classificação da função: 49-9099.00 - Trabalhadores de Instalação, Manutenção e Reparo, Outros. A classificação e "&amp;"descrição da função/setor inclui informações gerais sobre o cargo, de acordo com o ONET/OES e o Sistema de Classificação Industrial da América do Norte (NAICS). Consulte as Funções e a Ordem de Serviço para obter mais informações. Requisitos da função: Ex"&amp;"periência necessária: Não. Requisitos especiais: Capacidade de levantar e carregar 23 kg. Número de horas por semana: 40. Horário de trabalho (início/término): 7h às 16h.")</f>
        <v>Instalar decoração natalina, iluminação e banners em diversos locais de trabalho. Utilizar ferramentas como abraçadeiras, martelos, furadeiras, pregos, parafusos e ganchos para facilitar a instalação, conforme necessário. Trabalhar em escadas e/ou plataformas elevatórias quando necessário. Localizar, relatar e solucionar problemas de energia relacionados à iluminação ou à decoração iluminada. Classificação da função: 49-9099.00 - Trabalhadores de Instalação, Manutenção e Reparo, Outros. A classificação e descrição da função/setor inclui informações gerais sobre o cargo, de acordo com o ONET/OES e o Sistema de Classificação Industrial da América do Norte (NAICS). Consulte as Funções e a Ordem de Serviço para obter mais informações. Requisitos da função: Experiência necessária: Não. Requisitos especiais: Capacidade de levantar e carregar 23 kg. Número de horas por semana: 40. Horário de trabalho (início/término): 7h às 16h.</v>
      </c>
    </row>
    <row r="1720" ht="20.25" customHeight="1">
      <c r="A1720" s="3" t="s">
        <v>7735</v>
      </c>
      <c r="B1720" s="3" t="s">
        <v>7736</v>
      </c>
      <c r="C1720" s="3" t="s">
        <v>1030</v>
      </c>
      <c r="D1720" s="3" t="s">
        <v>28</v>
      </c>
      <c r="E1720" s="4" t="s">
        <v>44</v>
      </c>
      <c r="F1720" s="4" t="s">
        <v>20</v>
      </c>
      <c r="G1720" s="4" t="s">
        <v>229</v>
      </c>
      <c r="H1720" s="3" t="s">
        <v>7737</v>
      </c>
      <c r="I1720" s="3" t="s">
        <v>7738</v>
      </c>
      <c r="J1720" s="4">
        <v>17.17</v>
      </c>
      <c r="K1720" s="4">
        <v>25.0</v>
      </c>
      <c r="L1720" s="3" t="s">
        <v>59</v>
      </c>
      <c r="M1720" s="3" t="s">
        <v>7739</v>
      </c>
      <c r="N1720" s="7" t="str">
        <f>IFERROR(__xludf.DUMMYFUNCTION("GOOGLETRANSLATE(L1720, ""en"", ""pt"")"),"Trabalhador de paisagismo")</f>
        <v>Trabalhador de paisagismo</v>
      </c>
      <c r="O1720" s="7" t="str">
        <f>IFERROR(__xludf.DUMMYFUNCTION("IF(M1720="""","""",GOOGLETRANSLATE(M1720,""en"",""pt""))"),"Utilizar ferramentas manuais e elétricas para manutenção de gramados, cavar buracos e valas com ferramentas manuais, com profundidade/largura máxima de 15 cm, para instalar sistemas de irrigação e/ou plantar, colocar grama e plantar. O trabalho envolve fi"&amp;"car em pé por longos períodos, carregar e descarregar ferramentas, suprimentos e equipamentos. Pode ser necessário operar veículos motorizados, especificamente um John Deere Z930M Ztrak, mas também pode incluir Chevy Silverado 2500, Isuzu NPR HD, Chevy Ex"&amp;"press 3500 Van, Ford Transit Connect, Ford E350 SD ou Ford Ranger. Os trabalhadores só podem dirigir caminhões se possuírem carteira de habilitação válida. O trabalho envolve carregar e descarregar ferramentas, suprimentos e equipamentos com peso de até 2"&amp;"3 kg. Envolve trabalho ao ar livre em todos os tipos de clima. Envolve ficar em pé, sentado ou caminhando por longos períodos. Envolve agachar-se ou curvar-se com frequência. Envolve movimentos repetitivos. Alojamento, contas de serviços públicos e transp"&amp;"orte para trabalho e uso pessoal são oferecidos opcionalmente, se disponíveis, por US$ 80 por semana (sujeito a alterações com base no mercado local e na inflação). Possibilidade de aumento salarial com base no desempenho, bônus, horas extras e trabalho a"&amp;"os sábados, conforme necessário. Transporte fornecido para diversos locais de trabalho a partir da localização central em Prairieville, LA. Intervalos de 60 minutos não remunerados ao longo do dia. O horário de trabalho diário pode variar entre os horário"&amp;"s de início e término listados, dependendo das condições climáticas ou das tarefas atribuídas. Classificação da vaga: 37-3011.00 - Trabalhadores de Paisagismo e Manutenção de Áreas Verdes. A classificação e descrição da vaga/setor incluem informações gera"&amp;"is sobre o cargo, de acordo com o ONET/OES e o Sistema de Classificação Industrial da América do Norte (NAICS). Consulte as Funções e a Ordem de Serviço para obter mais informações. Requisitos da vaga: Experiência necessária: Não. Número de horas por sema"&amp;"na: 40. Horário de trabalho (início/término): 8h às 17h.")</f>
        <v>Utilizar ferramentas manuais e elétricas para manutenção de gramados, cavar buracos e valas com ferramentas manuais, com profundidade/largura máxima de 15 cm, para instalar sistemas de irrigação e/ou plantar, colocar grama e plantar. O trabalho envolve ficar em pé por longos períodos, carregar e descarregar ferramentas, suprimentos e equipamentos. Pode ser necessário operar veículos motorizados, especificamente um John Deere Z930M Ztrak, mas também pode incluir Chevy Silverado 2500, Isuzu NPR HD, Chevy Express 3500 Van, Ford Transit Connect, Ford E350 SD ou Ford Ranger. Os trabalhadores só podem dirigir caminhões se possuírem carteira de habilitação válida. O trabalho envolve carregar e descarregar ferramentas, suprimentos e equipamentos com peso de até 23 kg. Envolve trabalho ao ar livre em todos os tipos de clima. Envolve ficar em pé, sentado ou caminhando por longos períodos. Envolve agachar-se ou curvar-se com frequência. Envolve movimentos repetitivos. Alojamento, contas de serviços públicos e transporte para trabalho e uso pessoal são oferecidos opcionalmente, se disponíveis, por US$ 80 por semana (sujeito a alterações com base no mercado local e na inflação). Possibilidade de aumento salarial com base no desempenho, bônus, horas extras e trabalho aos sábados, conforme necessário. Transporte fornecido para diversos locais de trabalho a partir da localização central em Prairieville, LA. Intervalos de 60 minutos não remunerados ao longo do dia. O horário de trabalho diário pode variar entre os horários de início e término listados, dependendo das condições climáticas ou das tarefas atribuídas. Classificação da vaga: 37-3011.00 - Trabalhadores de Paisagismo e Manutenção de Áreas Verdes. A classificação e descrição da vaga/setor incluem informações gerais sobre o cargo, de acordo com o ONET/OES e o Sistema de Classificação Industrial da América do Norte (NAICS). Consulte as Funções e a Ordem de Serviço para obter mais informações. Requisitos da vaga: Experiência necessária: Não. Número de horas por semana: 40. Horário de trabalho (início/término): 8h às 17h.</v>
      </c>
    </row>
    <row r="1721" ht="20.25" customHeight="1">
      <c r="A1721" s="3" t="s">
        <v>7740</v>
      </c>
      <c r="B1721" s="3" t="s">
        <v>7741</v>
      </c>
      <c r="C1721" s="3" t="s">
        <v>391</v>
      </c>
      <c r="D1721" s="3" t="s">
        <v>992</v>
      </c>
      <c r="E1721" s="4" t="s">
        <v>19</v>
      </c>
      <c r="F1721" s="4" t="s">
        <v>20</v>
      </c>
      <c r="G1721" s="4" t="s">
        <v>80</v>
      </c>
      <c r="H1721" s="3" t="s">
        <v>7617</v>
      </c>
      <c r="I1721" s="3" t="s">
        <v>1156</v>
      </c>
      <c r="J1721" s="4">
        <v>17.81</v>
      </c>
      <c r="K1721" s="4">
        <v>30.0</v>
      </c>
      <c r="L1721" s="3" t="s">
        <v>7618</v>
      </c>
      <c r="M1721" s="3" t="s">
        <v>7742</v>
      </c>
      <c r="N1721" s="7" t="str">
        <f>IFERROR(__xludf.DUMMYFUNCTION("GOOGLETRANSLATE(L1721, ""en"", ""pt"")"),"Trabalhador de parque de diversões")</f>
        <v>Trabalhador de parque de diversões</v>
      </c>
      <c r="O1721" s="7" t="str">
        <f>IFERROR(__xludf.DUMMYFUNCTION("IF(M1721="""","""",GOOGLETRANSLATE(M1721,""en"",""pt""))"),"Executar diversas tarefas de atendimento em instalações de diversão ou recreação. Vender e cobrar ingressos/taxas, auxiliar os clientes, operar/atender barracas, brinquedos e jogos, vender e preparar alimentos. Alimentos simples, típicos de parques de div"&amp;"ersões, são preparados utilizando itens pré-congelados e pré-embalados que são cozidos/aquecidos e montados, como cachorro-quente, salsicha e linguiça. Utilizando as devidas precauções de segurança e medidas sanitárias, operar equipamentos de cozinha de g"&amp;"rande porte, como grelhas, fritadeiras, chapas ou fogões elétricos. Lavar, cortar e preparar os alimentos destinados ao cozimento utilizando facas ou fatiadores. Seguindo instruções simples e específicas: Montar e desmontar a barraca, o que consiste em ab"&amp;"rir e fechar os toldos. Não são necessárias ferramentas. Repor alimentos, produtos de papel ou brindes conforme necessário. Utilizando produtos de limpeza básicos e seguindo as devidas precauções de segurança e medidas sanitárias, garantir que todos os it"&amp;"ens sejam limpos e armazenados de maneira segura para o transporte. Verificar se algum equipamento de serviço de alimentação não está funcionando corretamente e informar à equipe de manutenção para reparo ou substituição. Por exemplo, observar danos nos c"&amp;"abos elétricos e relatar problemas conforme necessário. Auxiliar os clientes a entrar nos brinquedos, informando-os sobre a necessidade de apertar o cinto, a barra ou outro dispositivo de segurança. Garantir a segurança em todos os momentos. Operar o pain"&amp;"el de controle para iniciar e parar o brinquedo. Participar dos jogos, explicando as regras, auxiliando na brincadeira (como entregar uma bola para o cliente arremessar ou um anel para lançar), recolhendo e entregando os prêmios aos vencedores. Horários, "&amp;"escalas e dias variam – Exemplo de turno: 10h às 19h, com 1 hora de intervalo não remunerado; 40 horas semanais, podendo haver necessidade ou disponibilidade de horas extras, incluindo fins de semana e feriados (ou seja, horários, dias, escalas, locais e "&amp;"funções) variam. A disponibilidade de trabalho não é garantida por dia, semana, escala, local ou funcionário, por exemplo, em caso de cancelamentos por chuva, breves períodos sem eventos programados, datas e horários dos eventos definidos em acordo com o "&amp;"patrocinador e sujeitos a alterações e cancelamentos imprevistos. $17,81/hora. Não se espera que haja horas extras, mas, caso ocorram trabalhos que as exijam, estas serão pagas de acordo com as leis federais, estaduais e locais aplicáveis. Os salários pod"&amp;"erão ser aumentados por desempenho/tempo de serviço ou por mudanças nas condições de mercado. Pagamento semanal, sendo utilizada uma única semana de trabalho para o cálculo dos salários. O empregador fornecerá aos trabalhadores, sem custo algum, todas as "&amp;"ferramentas, suprimentos e equipamentos necessários para o desempenho do trabalho. O uniforme obrigatório será fornecido sem custo ao trabalhador. Classificação do Cargo: 39-3091.00 - Atendentes de Parques de Diversões e Recreação. A classificação e a des"&amp;"crição do cargo/setor incluem informações gerais sobre a posição, de acordo com o ONET/OES e o Sistema de Classificação Industrial da América do Norte (NAICS). Consulte as Funções e a Ordem de Serviço para obter mais informações. Requisitos do Cargo Exper"&amp;"iência Necessária: Não. Requisitos Especiais: O cargo exige que o candidato seja qualificado, esteja pronto, disposto, apto e disponível para trabalhar durante todo o período de emprego nos locais de trabalho designados, mesmo em condições climáticas adve"&amp;"rsas; para firmar e cumprir contratos de trabalho; para seguir as normas do local de trabalho; e para atender aos padrões de desempenho do cargo. Deve cumprir os requisitos de apresentação pessoal e o código de vestimenta. Sujeito a demissão por justa cau"&amp;"sa. Disponibilidade para trabalhar até 7 dias por semana. Exame toxicológico obrigatório após a contratação/após lesão ou incidente e em caso de suspeita razoável, com o custo pago pelo empregador e aplicado igualmente a todos os trabalhadores, americanos"&amp;" e estrangeiros/com visto H2B. Os candidatos devem cooperar e preencher a ficha de inscrição e participar da entrevista com sinceridade. Número de horas por semana: 40. Horário de trabalho (início/término): 10h às 19h.")</f>
        <v>Executar diversas tarefas de atendimento em instalações de diversão ou recreação. Vender e cobrar ingressos/taxas, auxiliar os clientes, operar/atender barracas, brinquedos e jogos, vender e preparar alimentos. Alimentos simples, típicos de parques de diversões, são preparados utilizando itens pré-congelados e pré-embalados que são cozidos/aquecidos e montados, como cachorro-quente, salsicha e linguiça. Utilizando as devidas precauções de segurança e medidas sanitárias, operar equipamentos de cozinha de grande porte, como grelhas, fritadeiras, chapas ou fogões elétricos. Lavar, cortar e preparar os alimentos destinados ao cozimento utilizando facas ou fatiadores. Seguindo instruções simples e específicas: Montar e desmontar a barraca, o que consiste em abrir e fechar os toldos. Não são necessárias ferramentas. Repor alimentos, produtos de papel ou brindes conforme necessário. Utilizando produtos de limpeza básicos e seguindo as devidas precauções de segurança e medidas sanitárias, garantir que todos os itens sejam limpos e armazenados de maneira segura para o transporte. Verificar se algum equipamento de serviço de alimentação não está funcionando corretamente e informar à equipe de manutenção para reparo ou substituição. Por exemplo, observar danos nos cabos elétricos e relatar problemas conforme necessário. Auxiliar os clientes a entrar nos brinquedos, informando-os sobre a necessidade de apertar o cinto, a barra ou outro dispositivo de segurança. Garantir a segurança em todos os momentos. Operar o painel de controle para iniciar e parar o brinquedo. Participar dos jogos, explicando as regras, auxiliando na brincadeira (como entregar uma bola para o cliente arremessar ou um anel para lançar), recolhendo e entregando os prêmios aos vencedores. Horários, escalas e dias variam – Exemplo de turno: 10h às 19h, com 1 hora de intervalo não remunerado; 40 horas semanais, podendo haver necessidade ou disponibilidade de horas extras, incluindo fins de semana e feriados (ou seja, horários, dias, escalas, locais e funções) variam. A disponibilidade de trabalho não é garantida por dia, semana, escala, local ou funcionário, por exemplo, em caso de cancelamentos por chuva, breves períodos sem eventos programados, datas e horários dos eventos definidos em acordo com o patrocinador e sujeitos a alterações e cancelamentos imprevistos. $17,81/hora. Não se espera que haja horas extras, mas, caso ocorram trabalhos que as exijam, estas serão pagas de acordo com as leis federais, estaduais e locais aplicáveis. Os salários poderão ser aumentados por desempenho/tempo de serviço ou por mudanças nas condições de mercado. Pagamento semanal, sendo utilizada uma única semana de trabalho para o cálculo dos salários. O empregador fornecerá aos trabalhadores, sem custo algum, todas as ferramentas, suprimentos e equipamentos necessários para o desempenho do trabalho. O uniforme obrigatório será fornecido sem custo ao trabalhador. Classificação do Cargo: 39-3091.00 - Atendentes de Parques de Diversões e Recreação. A classificação e a descrição do cargo/setor incluem informações gerais sobre a posição, de acordo com o ONET/OES e o Sistema de Classificação Industrial da América do Norte (NAICS). Consulte as Funções e a Ordem de Serviço para obter mais informações. Requisitos do Cargo Experiência Necessária: Não. Requisitos Especiais: O cargo exige que o candidato seja qualificado, esteja pronto, disposto, apto e disponível para trabalhar durante todo o período de emprego nos locais de trabalho designados, mesmo em condições climáticas adversas; para firmar e cumprir contratos de trabalho; para seguir as normas do local de trabalho; e para atender aos padrões de desempenho do cargo. Deve cumprir os requisitos de apresentação pessoal e o código de vestimenta. Sujeito a demissão por justa causa. Disponibilidade para trabalhar até 7 dias por semana. Exame toxicológico obrigatório após a contratação/após lesão ou incidente e em caso de suspeita razoável, com o custo pago pelo empregador e aplicado igualmente a todos os trabalhadores, americanos e estrangeiros/com visto H2B. Os candidatos devem cooperar e preencher a ficha de inscrição e participar da entrevista com sinceridade. Número de horas por semana: 40. Horário de trabalho (início/término): 10h às 19h.</v>
      </c>
    </row>
    <row r="1722" ht="20.25" customHeight="1">
      <c r="A1722" s="3" t="s">
        <v>7743</v>
      </c>
      <c r="B1722" s="3" t="s">
        <v>7744</v>
      </c>
      <c r="C1722" s="3" t="s">
        <v>7745</v>
      </c>
      <c r="D1722" s="3" t="s">
        <v>602</v>
      </c>
      <c r="E1722" s="4" t="s">
        <v>19</v>
      </c>
      <c r="F1722" s="4" t="s">
        <v>20</v>
      </c>
      <c r="G1722" s="4" t="s">
        <v>345</v>
      </c>
      <c r="H1722" s="3" t="s">
        <v>7746</v>
      </c>
      <c r="I1722" s="3" t="s">
        <v>7747</v>
      </c>
      <c r="J1722" s="4">
        <v>18.33</v>
      </c>
      <c r="K1722" s="4">
        <v>10.0</v>
      </c>
      <c r="L1722" s="3" t="s">
        <v>7748</v>
      </c>
      <c r="M1722" s="3" t="s">
        <v>7749</v>
      </c>
      <c r="N1722" s="7" t="str">
        <f>IFERROR(__xludf.DUMMYFUNCTION("GOOGLETRANSLATE(L1722, ""en"", ""pt"")"),"Lavanderias industriais")</f>
        <v>Lavanderias industriais</v>
      </c>
      <c r="O1722" s="7" t="str">
        <f>IFERROR(__xludf.DUMMYFUNCTION("IF(M1722="""","""",GOOGLETRANSLATE(M1722,""en"",""pt""))"),"Treinamento para operar e cuidar de máquinas de lavar e secar roupas, lençóis, cobertores, toalhas, roupas de cama finas, toalhas de mesa e guardanapos. Especialização em serviços de hotelaria. Horário de trabalho: 8h às 16h, 5 dias por semana, 40 horas s"&amp;"emanais. Possibilidade de horas extras. Classificação da vaga: 51-6011.00 - Trabalhadores de Lavanderia e Limpeza a Seco. A classificação e descrição da vaga/setor incluem informações gerais sobre o cargo, de acordo com o ONET/OES e o Sistema de Classific"&amp;"ação Industrial da América do Norte. Consulte as atribuições e a ordem de serviço para obter mais informações. Requisitos da vaga: Experiência necessária: Não. Número de horas por semana: 40. Horário de trabalho (início/término): 8h. - 16:00")</f>
        <v>Treinamento para operar e cuidar de máquinas de lavar e secar roupas, lençóis, cobertores, toalhas, roupas de cama finas, toalhas de mesa e guardanapos. Especialização em serviços de hotelaria. Horário de trabalho: 8h às 16h, 5 dias por semana, 40 horas semanais. Possibilidade de horas extras. Classificação da vaga: 51-6011.00 - Trabalhadores de Lavanderia e Limpeza a Seco. A classificação e descrição da vaga/setor incluem informações gerais sobre o cargo, de acordo com o ONET/OES e o Sistema de Classificação Industrial da América do Norte. Consulte as atribuições e a ordem de serviço para obter mais informações. Requisitos da vaga: Experiência necessária: Não. Número de horas por semana: 40. Horário de trabalho (início/término): 8h. - 16:00</v>
      </c>
    </row>
    <row r="1723" ht="20.25" customHeight="1">
      <c r="A1723" s="8" t="s">
        <v>7750</v>
      </c>
      <c r="B1723" s="8" t="s">
        <v>7751</v>
      </c>
      <c r="C1723" s="8" t="s">
        <v>1030</v>
      </c>
      <c r="D1723" s="8" t="s">
        <v>28</v>
      </c>
      <c r="E1723" s="9" t="s">
        <v>19</v>
      </c>
      <c r="F1723" s="9" t="s">
        <v>20</v>
      </c>
      <c r="G1723" s="9" t="s">
        <v>80</v>
      </c>
      <c r="H1723" s="8" t="s">
        <v>7752</v>
      </c>
      <c r="I1723" s="8" t="s">
        <v>7753</v>
      </c>
      <c r="J1723" s="9">
        <v>15.27</v>
      </c>
      <c r="K1723" s="9">
        <v>6.0</v>
      </c>
      <c r="L1723" s="8" t="s">
        <v>7754</v>
      </c>
      <c r="M1723" s="8" t="s">
        <v>7755</v>
      </c>
      <c r="N1723" s="7" t="str">
        <f>IFERROR(__xludf.DUMMYFUNCTION("GOOGLETRANSLATE(L1723, ""en"", ""pt"")"),"Cortadores/aparadores de peixe")</f>
        <v>Cortadores/aparadores de peixe</v>
      </c>
      <c r="O1723" s="7" t="str">
        <f>IFERROR(__xludf.DUMMYFUNCTION("IF(M1723="""","""",GOOGLETRANSLATE(M1723,""en"",""pt""))"),"Utilizar as mãos ou ferramentas manuais para realizar o corte e a preparação rotineira de frutos do mar. Embalar os frutos do mar em recipientes, colocando o peixe limpo/cortado em bandejas. Isso inclui pesar as porções, selar a vácuo e empilhar as embala"&amp;"gens finalizadas em paletes ou prateleiras. Os funcionários deverão se esticar regularmente sobre mesas de processamento, esteiras transportadoras ou cascos de barcos para alcançar peixes e suprimentos. As ferramentas e suprimentos podem incluir facas, lu"&amp;"vas, recipientes de gelo, filme plástico para embalagem e caixas de papelão. Descarregar atum e peixe-espada para processamento, descarregar caixas e recarregar o produto embalado em paletes para envio. Envolve o carregamento e descarregamento de ferramen"&amp;"tas, suprimentos e equipamentos com peso de até 23 kg. Envolve trabalho ao ar livre em todos os tipos de clima. Envolve agachar-se ou curvar-se com frequência. Possibilidade de aumento salarial com base no desempenho, bônus, horas extras e trabalho aos sá"&amp;"bados, conforme necessário. 60 minutos de intervalos não remunerados ao longo do dia. O horário de trabalho diário pode variar entre os horários de início e término listados, dependendo do clima ou das tarefas atribuídas. Classificação da função: 53-7062."&amp;"00 - Operários e Movimentadores de Carga, Estoque e Materiais. A classificação e descrição da função/setor inclui informações gerais sobre o cargo, de acordo com o ONET/OES e o Sistema de Classificação Industrial da América do Norte (NAICS). Consulte as F"&amp;"unções e a Ordem de Serviço para obter mais informações. Requisitos da função: Experiência necessária: Não. Número de horas por semana: 40. Horário de trabalho (início/término): 5h às 13h.")</f>
        <v>Utilizar as mãos ou ferramentas manuais para realizar o corte e a preparação rotineira de frutos do mar. Embalar os frutos do mar em recipientes, colocando o peixe limpo/cortado em bandejas. Isso inclui pesar as porções, selar a vácuo e empilhar as embalagens finalizadas em paletes ou prateleiras. Os funcionários deverão se esticar regularmente sobre mesas de processamento, esteiras transportadoras ou cascos de barcos para alcançar peixes e suprimentos. As ferramentas e suprimentos podem incluir facas, luvas, recipientes de gelo, filme plástico para embalagem e caixas de papelão. Descarregar atum e peixe-espada para processamento, descarregar caixas e recarregar o produto embalado em paletes para envio. Envolve o carregamento e descarregamento de ferramentas, suprimentos e equipamentos com peso de até 23 kg. Envolve trabalho ao ar livre em todos os tipos de clima. Envolve agachar-se ou curvar-se com frequência. Possibilidade de aumento salarial com base no desempenho, bônus, horas extras e trabalho aos sábados, conforme necessário. 60 minutos de intervalos não remunerados ao longo do dia. O horário de trabalho diário pode variar entre os horários de início e término listados, dependendo do clima ou das tarefas atribuídas. Classificação da função: 53-7062.00 - Operários e Movimentadores de Carga, Estoque e Materiais. A classificação e descrição da função/setor inclui informações gerais sobre o cargo, de acordo com o ONET/OES e o Sistema de Classificação Industrial da América do Norte (NAICS). Consulte as Funções e a Ordem de Serviço para obter mais informações. Requisitos da função: Experiência necessária: Não. Número de horas por semana: 40. Horário de trabalho (início/término): 5h às 13h.</v>
      </c>
    </row>
    <row r="1724" ht="20.25" customHeight="1">
      <c r="A1724" s="3" t="s">
        <v>7756</v>
      </c>
      <c r="B1724" s="3" t="s">
        <v>7757</v>
      </c>
      <c r="C1724" s="3" t="s">
        <v>7651</v>
      </c>
      <c r="D1724" s="3" t="s">
        <v>602</v>
      </c>
      <c r="E1724" s="4" t="s">
        <v>19</v>
      </c>
      <c r="F1724" s="4" t="s">
        <v>20</v>
      </c>
      <c r="G1724" s="4" t="s">
        <v>404</v>
      </c>
      <c r="H1724" s="3" t="s">
        <v>7758</v>
      </c>
      <c r="I1724" s="3" t="s">
        <v>7759</v>
      </c>
      <c r="J1724" s="4">
        <v>18.24</v>
      </c>
      <c r="K1724" s="4">
        <v>10.0</v>
      </c>
      <c r="L1724" s="3" t="s">
        <v>7496</v>
      </c>
      <c r="M1724" s="3" t="s">
        <v>7760</v>
      </c>
      <c r="N1724" s="7" t="str">
        <f>IFERROR(__xludf.DUMMYFUNCTION("GOOGLETRANSLATE(L1724, ""en"", ""pt"")"),"Zeladores")</f>
        <v>Zeladores</v>
      </c>
      <c r="O1724" s="7" t="str">
        <f>IFERROR(__xludf.DUMMYFUNCTION("IF(M1724="""","""",GOOGLETRANSLATE(M1724,""en"",""pt""))"),"Executar serviços manuais de remoção de neve e limpeza em propriedades comerciais, incluindo a limpeza de calçadas, passarelas, entradas de veículos, estacionamentos e acessos, utilizando ferramentas manuais como pás de neve, vassouras, empurradores e esp"&amp;"alhadores de sal manuais ou de empurrar, para manter o acesso seguro de pedestres. As tarefas também incluem a limpeza rotineira de áreas comuns internas e externas, como escritórios, saguões, banheiros, lojas, entradas, passarelas e áreas de armazenament"&amp;"o, varrendo, passando pano, aspirando, esvaziando lixeiras, removendo lixo e limpando pequenos detritos ou neve. O cargo exige flexão, agachamento, ajoelhamento, empurrar e puxar equipamentos de limpeza, incluindo baldes de esfregão, lavadoras de piso, as"&amp;"piradores de pó, carrinhos de suprimentos e lixeiras, bem como o uso ocasional de escadas para limpar janelas altas, calhas ou prateleiras. Os funcionários devem ter destreza manual para operar ferramentas de limpeza padrão e máquinas de limpeza de empurr"&amp;"ar, incluindo aspiradores de pó comerciais, enceradeiras e polidoras de piso. Não há atividades de paisagismo, construção, reparos, uso de equipamentos motorizados para remoção de neve ou máquinas autopropelidas. Classificação da vaga: 37-2011.00 - Zelado"&amp;"res e Faxineiros, exceto empregadas domésticas e faxineiras. A classificação e descrição da vaga/setor incluem informações gerais sobre o cargo, de acordo com o ONET/OES e o Sistema de Classificação Industrial da América do Norte (NAICS). Consulte as Funç"&amp;"ões e a Ordem de Serviço para obter mais informações. Requisitos da vaga: Experiência necessária: Sim. Meses de experiência necessários: 3. Requisitos especiais: Deve ser capaz de levantar e carregar 34 kg de neve por 70 metros e suportar temperaturas ext"&amp;"remas. Trabalho em alguns fins de semana. Número de horas por semana: 50. Horário de trabalho (início/término): 8h às 17h.")</f>
        <v>Executar serviços manuais de remoção de neve e limpeza em propriedades comerciais, incluindo a limpeza de calçadas, passarelas, entradas de veículos, estacionamentos e acessos, utilizando ferramentas manuais como pás de neve, vassouras, empurradores e espalhadores de sal manuais ou de empurrar, para manter o acesso seguro de pedestres. As tarefas também incluem a limpeza rotineira de áreas comuns internas e externas, como escritórios, saguões, banheiros, lojas, entradas, passarelas e áreas de armazenamento, varrendo, passando pano, aspirando, esvaziando lixeiras, removendo lixo e limpando pequenos detritos ou neve. O cargo exige flexão, agachamento, ajoelhamento, empurrar e puxar equipamentos de limpeza, incluindo baldes de esfregão, lavadoras de piso, aspiradores de pó, carrinhos de suprimentos e lixeiras, bem como o uso ocasional de escadas para limpar janelas altas, calhas ou prateleiras. Os funcionários devem ter destreza manual para operar ferramentas de limpeza padrão e máquinas de limpeza de empurrar, incluindo aspiradores de pó comerciais, enceradeiras e polidoras de piso. Não há atividades de paisagismo, construção, reparos, uso de equipamentos motorizados para remoção de neve ou máquinas autopropelidas. Classificação da vaga: 37-2011.00 - Zeladores e Faxineiros, exceto empregadas domésticas e faxineiras. A classificação e descrição da vaga/setor incluem informações gerais sobre o cargo, de acordo com o ONET/OES e o Sistema de Classificação Industrial da América do Norte (NAICS). Consulte as Funções e a Ordem de Serviço para obter mais informações. Requisitos da vaga: Experiência necessária: Sim. Meses de experiência necessários: 3. Requisitos especiais: Deve ser capaz de levantar e carregar 34 kg de neve por 70 metros e suportar temperaturas extremas. Trabalho em alguns fins de semana. Número de horas por semana: 50. Horário de trabalho (início/término): 8h às 17h.</v>
      </c>
    </row>
    <row r="1725" ht="20.25" customHeight="1">
      <c r="A1725" s="8" t="s">
        <v>7761</v>
      </c>
      <c r="B1725" s="8" t="s">
        <v>7762</v>
      </c>
      <c r="C1725" s="8" t="s">
        <v>7266</v>
      </c>
      <c r="D1725" s="8" t="s">
        <v>109</v>
      </c>
      <c r="E1725" s="9" t="s">
        <v>19</v>
      </c>
      <c r="F1725" s="9" t="s">
        <v>20</v>
      </c>
      <c r="G1725" s="9" t="s">
        <v>110</v>
      </c>
      <c r="H1725" s="8" t="s">
        <v>7763</v>
      </c>
      <c r="I1725" s="8" t="s">
        <v>7764</v>
      </c>
      <c r="J1725" s="9">
        <v>17.29</v>
      </c>
      <c r="K1725" s="9">
        <v>7.0</v>
      </c>
      <c r="L1725" s="8" t="s">
        <v>7018</v>
      </c>
      <c r="M1725" s="8" t="s">
        <v>7587</v>
      </c>
      <c r="N1725" s="7" t="str">
        <f>IFERROR(__xludf.DUMMYFUNCTION("GOOGLETRANSLATE(L1725, ""en"", ""pt"")"),"Trabalhadores para remoção de neve")</f>
        <v>Trabalhadores para remoção de neve</v>
      </c>
      <c r="O1725" s="7" t="str">
        <f>IFERROR(__xludf.DUMMYFUNCTION("IF(M1725="""","""",GOOGLETRANSLATE(M1725,""en"",""pt""))"),"Os trabalhadores de remoção de neve auxiliarão na limpeza de neve e gelo de propriedades comerciais e residenciais, calçadas, entradas, acessos para veículos, escadas, estacionamentos e caminhos de pedestres durante nevascas. Os trabalhadores usarão uma c"&amp;"ombinação de ferramentas manuais e equipamentos motorizados para remoção de neve. As funções incluem: remover neve com pá e aplicar agentes de degelo, como sal ou areia, na superfície; operar máquinas de remoção de neve manuais ou pequenas máquinas autopr"&amp;"opelidas (por exemplo, sopradores de neve de um assento, sopradores de neve ou varredoras motorizadas); remover neve de espaços apertados ou elevados (por exemplo, escadas, decks, telhados quando seguro); carregar e transportar manualmente sacos ou baldes"&amp;" de materiais de degelo (como sal ou cloreto de cálcio) e aplicá-los usando espalhadores manuais, manuais ou de mochila em calçadas, escadas e outras áreas de pedestres para evitar o acúmulo de gelo e garantir a segurança ao caminhar; manter o equipamento"&amp;" limpo e abastecido. Reportar mau funcionamento aos supervisores, armazenar com segurança as ferramentas de remoção de neve e os materiais de degelo no local e transportá-los manualmente entre as áreas de trabalho usando carrinhos de mão, trenós ou carreg"&amp;"ando-os conforme necessário, seguir todos os protocolos de segurança do local, incluindo os procedimentos adequados de descarte de neve, podendo auxiliar na limpeza pós-evento ou nos esforços de remoção de neve. O trabalho exigirá que o trabalhador esteja"&amp;" exposto às intempéries/ambiente externo, ruído, baixas temperaturas e use equipamentos de proteção/segurança comuns. O trabalhador deve ser atento aos detalhes, minucioso na execução das tarefas, cooperativo e responsável. Classificação do Cargo: 37-2011"&amp;".00 - Zeladores e Faxineiros, exceto Empregadas Domésticas e Faxineiros. A classificação e descrição do cargo/setor incluem informações gerais sobre a posição, de acordo com o ONET/OES e o Sistema de Classificação Industrial da América do Norte. Consulte "&amp;"as Funções e a Ordem de Serviço para obter mais informações. Requisitos do Cargo Experiência Necessária: Não Requisitos Especiais: O trabalho exigirá que o trabalhador realize atividades físicas como levantar, equilibrar-se, caminhar, curvar-se, abaixar-s"&amp;"e, alcançar, empurrar, puxar e usar pá. Necessário ser capaz de levantar 23 kg. Número de horas por semana: 35. Horário de trabalho (início/término): 7h às 15h.")</f>
        <v>Os trabalhadores de remoção de neve auxiliarão na limpeza de neve e gelo de propriedades comerciais e residenciais, calçadas, entradas, acessos para veículos, escadas, estacionamentos e caminhos de pedestres durante nevascas. Os trabalhadores usarão uma combinação de ferramentas manuais e equipamentos motorizados para remoção de neve. As funções incluem: remover neve com pá e aplicar agentes de degelo, como sal ou areia, na superfície; operar máquinas de remoção de neve manuais ou pequenas máquinas autopropelidas (por exemplo, sopradores de neve de um assento, sopradores de neve ou varredoras motorizadas); remover neve de espaços apertados ou elevados (por exemplo, escadas, decks, telhados quando seguro); carregar e transportar manualmente sacos ou baldes de materiais de degelo (como sal ou cloreto de cálcio) e aplicá-los usando espalhadores manuais, manuais ou de mochila em calçadas, escadas e outras áreas de pedestres para evitar o acúmulo de gelo e garantir a segurança ao caminhar; manter o equipamento limpo e abastecido. Reportar mau funcionamento aos supervisores, armazenar com segurança as ferramentas de remoção de neve e os materiais de degelo no local e transportá-los manualmente entre as áreas de trabalho usando carrinhos de mão, trenós ou carregando-os conforme necessário, seguir todos os protocolos de segurança do local, incluindo os procedimentos adequados de descarte de neve, podendo auxiliar na limpeza pós-evento ou nos esforços de remoção de neve. O trabalho exigirá que o trabalhador esteja exposto às intempéries/ambiente externo, ruído, baixas temperaturas e use equipamentos de proteção/segurança comuns. O trabalhador deve ser atento aos detalhes, minucioso na execução das tarefas, cooperativo e responsável. Classificação do Cargo: 37-2011.00 - Zeladores e Faxineiros, exceto Empregadas Domésticas e Faxineiros. A classificação e descrição do cargo/setor incluem informações gerais sobre a posição, de acordo com o ONET/OES e o Sistema de Classificação Industrial da América do Norte. Consulte as Funções e a Ordem de Serviço para obter mais informações. Requisitos do Cargo Experiência Necessária: Não Requisitos Especiais: O trabalho exigirá que o trabalhador realize atividades físicas como levantar, equilibrar-se, caminhar, curvar-se, abaixar-se, alcançar, empurrar, puxar e usar pá. Necessário ser capaz de levantar 23 kg. Número de horas por semana: 35. Horário de trabalho (início/término): 7h às 15h.</v>
      </c>
    </row>
    <row r="1726" ht="20.25" customHeight="1">
      <c r="A1726" s="3" t="s">
        <v>7765</v>
      </c>
      <c r="B1726" s="3" t="s">
        <v>2969</v>
      </c>
      <c r="C1726" s="3" t="s">
        <v>7651</v>
      </c>
      <c r="D1726" s="3" t="s">
        <v>55</v>
      </c>
      <c r="E1726" s="4" t="s">
        <v>44</v>
      </c>
      <c r="F1726" s="4" t="s">
        <v>20</v>
      </c>
      <c r="G1726" s="4" t="s">
        <v>404</v>
      </c>
      <c r="H1726" s="3" t="s">
        <v>7766</v>
      </c>
      <c r="I1726" s="3" t="s">
        <v>2971</v>
      </c>
      <c r="J1726" s="4">
        <v>30.01</v>
      </c>
      <c r="K1726" s="4">
        <v>9.0</v>
      </c>
      <c r="L1726" s="3" t="s">
        <v>7767</v>
      </c>
      <c r="M1726" s="3" t="s">
        <v>7768</v>
      </c>
      <c r="N1726" s="7" t="str">
        <f>IFERROR(__xludf.DUMMYFUNCTION("GOOGLETRANSLATE(L1726, ""en"", ""pt"")"),"Trabalhadores de manutenção e reparo")</f>
        <v>Trabalhadores de manutenção e reparo</v>
      </c>
      <c r="O1726" s="7" t="str">
        <f>IFERROR(__xludf.DUMMYFUNCTION("IF(M1726="""","""",GOOGLETRANSLATE(M1726,""en"",""pt""))"),"Os trabalhadores realizarão manutenção de rotina e pequenos reparos em equipamentos em instalações e canteiros de obras de concreto pré-misturado localizados em Shelbina, MO (499 N 4th St, Condado de Shelby). O trabalho é realizado ao ar livre e em pátios"&amp;" de equipamentos. Os equipamentos específicos incluem: motores e acionamentos elétricos que alimentam correias transportadoras, misturadores e sistemas de agregados; componentes da central de concreto (misturadores, silos, depósitos, correias, sistemas de"&amp;" água); minicarregadeiras, geradores, compressores de ar e torres de iluminação. As tarefas de rotina envolvem a inspeção de motores, a substituição de filtros, a verificação dos níveis de fluidos, a lubrificação de peças e o diagnóstico de falhas em equi"&amp;"pamentos usando ferramentas manuais e medidores. As funções estão de acordo com o código SOC 49-9071.00 – Trabalhadores de Manutenção e Reparo, Geral. O trabalho é realizado diariamente no local. O presidente supervisionará as atividades no local de traba"&amp;"lho. Realizar manutenção de rotina, como inspeção de acionamentos, motores ou correias, verificação dos níveis de fluidos, substituição de filtros ou outras ações de manutenção preventiva. Inspecionar, operar ou testar máquinas ou equipamentos para diagno"&amp;"sticar falhas. Responder prontamente às solicitações de manutenção, avaliando as necessidades de reparo e determinando as ferramentas e materiais necessários para a conclusão. Realizar manutenção geral, como inspeção de transmissões, motores ou correias, "&amp;"verificação de níveis de fluidos, substituição de filtros ou outras ações preventivas. Reportar problemas aos supervisores e recomendar soluções de manutenção. Utilizar ferramentas manuais, elétricas e equipamentos com segurança e de acordo com as polític"&amp;"as da empresa e as normas da OSHA. Manter o espaço de trabalho limpo e organizado, garantindo a conformidade com as normas e regulamentos de segurança. Documentar o trabalho realizado e as peças utilizadas nos registros de manutenção para registros e rela"&amp;"tórios precisos. Classificação da vaga: 49-3042.00 - Mecânico de Equipamentos Pesados ​​Móveis, exceto Motores. A classificação e descrição da vaga/setor incluem informações gerais sobre a posição, de acordo com o ONET/OES e o Sistema de Classificação Ind"&amp;"ustrial da América do Norte (NAICS). Consulte as Funções e a Ordem de Serviço para obter mais informações. Requisitos da vaga: Experiência necessária: Sim. Meses de experiência necessários: 3. Requisitos especiais: Capacidade de levantar até 23 kg e ficar"&amp;" em pé, caminhar ou se curvar por longos períodos. Capacidade de trabalhar confortavelmente em diversas condições, incluindo espaços confinados, em altura e em diferentes condições climáticas. Número de horas por semana: 40. Horário de trabalho (início/té"&amp;"rmino): 8h às 16h.")</f>
        <v>Os trabalhadores realizarão manutenção de rotina e pequenos reparos em equipamentos em instalações e canteiros de obras de concreto pré-misturado localizados em Shelbina, MO (499 N 4th St, Condado de Shelby). O trabalho é realizado ao ar livre e em pátios de equipamentos. Os equipamentos específicos incluem: motores e acionamentos elétricos que alimentam correias transportadoras, misturadores e sistemas de agregados; componentes da central de concreto (misturadores, silos, depósitos, correias, sistemas de água); minicarregadeiras, geradores, compressores de ar e torres de iluminação. As tarefas de rotina envolvem a inspeção de motores, a substituição de filtros, a verificação dos níveis de fluidos, a lubrificação de peças e o diagnóstico de falhas em equipamentos usando ferramentas manuais e medidores. As funções estão de acordo com o código SOC 49-9071.00 – Trabalhadores de Manutenção e Reparo, Geral. O trabalho é realizado diariamente no local. O presidente supervisionará as atividades no local de trabalho. Realizar manutenção de rotina, como inspeção de acionamentos, motores ou correias, verificação dos níveis de fluidos, substituição de filtros ou outras ações de manutenção preventiva. Inspecionar, operar ou testar máquinas ou equipamentos para diagnosticar falhas. Responder prontamente às solicitações de manutenção, avaliando as necessidades de reparo e determinando as ferramentas e materiais necessários para a conclusão. Realizar manutenção geral, como inspeção de transmissões, motores ou correias, verificação de níveis de fluidos, substituição de filtros ou outras ações preventivas. Reportar problemas aos supervisores e recomendar soluções de manutenção. Utilizar ferramentas manuais, elétricas e equipamentos com segurança e de acordo com as políticas da empresa e as normas da OSHA. Manter o espaço de trabalho limpo e organizado, garantindo a conformidade com as normas e regulamentos de segurança. Documentar o trabalho realizado e as peças utilizadas nos registros de manutenção para registros e relatórios precisos. Classificação da vaga: 49-3042.00 - Mecânico de Equipamentos Pesados ​​Móveis, exceto Motores. A classificação e descrição da vaga/setor incluem informações gerais sobre a posição, de acordo com o ONET/OES e o Sistema de Classificação Industrial da América do Norte (NAICS). Consulte as Funções e a Ordem de Serviço para obter mais informações. Requisitos da vaga: Experiência necessária: Sim. Meses de experiência necessários: 3. Requisitos especiais: Capacidade de levantar até 23 kg e ficar em pé, caminhar ou se curvar por longos períodos. Capacidade de trabalhar confortavelmente em diversas condições, incluindo espaços confinados, em altura e em diferentes condições climáticas. Número de horas por semana: 40. Horário de trabalho (início/término): 8h às 16h.</v>
      </c>
    </row>
    <row r="1727" ht="20.25" customHeight="1">
      <c r="A1727" s="8" t="s">
        <v>7769</v>
      </c>
      <c r="B1727" s="8" t="s">
        <v>7770</v>
      </c>
      <c r="C1727" s="8" t="s">
        <v>7651</v>
      </c>
      <c r="D1727" s="8" t="s">
        <v>1297</v>
      </c>
      <c r="E1727" s="9" t="s">
        <v>19</v>
      </c>
      <c r="F1727" s="9" t="s">
        <v>20</v>
      </c>
      <c r="G1727" s="9" t="s">
        <v>404</v>
      </c>
      <c r="H1727" s="8" t="s">
        <v>7771</v>
      </c>
      <c r="I1727" s="8" t="s">
        <v>7772</v>
      </c>
      <c r="J1727" s="9">
        <v>17.45</v>
      </c>
      <c r="K1727" s="9">
        <v>4.0</v>
      </c>
      <c r="L1727" s="8" t="s">
        <v>7496</v>
      </c>
      <c r="M1727" s="8" t="s">
        <v>7773</v>
      </c>
      <c r="N1727" s="7" t="str">
        <f>IFERROR(__xludf.DUMMYFUNCTION("GOOGLETRANSLATE(L1727, ""en"", ""pt"")"),"Zeladores")</f>
        <v>Zeladores</v>
      </c>
      <c r="O1727" s="7" t="str">
        <f>IFERROR(__xludf.DUMMYFUNCTION("IF(M1727="""","""",GOOGLETRANSLATE(M1727,""en"",""pt""))"),"1. Tarefa: Remover neve de calçadas, entradas de garagem ou estacionamentos. O funcionário utilizará apenas ferramentas manuais para remoção de neve, como pás, vassouras, empurradores e espalhadores de sal manuais ou de empurrar. Não serão utilizados arad"&amp;"os de neve motorizados, equipamentos de montaria ou sopradores de neve motorizados. O trabalho envolve a limpeza de calçadas e caminhos de acesso em torno de propriedades comerciais para manter o acesso seguro de pedestres. 2. Tarefa: Limpar instalações o"&amp;"u locais. O funcionário realizará a limpeza rotineira de áreas comuns internas e externas de propriedades comerciais, incluindo: Varrição, lavagem e aspiração de pisos; Esvaziamento de lixeiras e remoção de lixo; Remoção de folhas, pequenos detritos e nev"&amp;"e de entradas externas e calçadas utilizando ferramentas manuais. ""Instalações ou locais"" refere-se a áreas internas e externas de edifícios comerciais, incluindo escritórios, saguões, banheiros, lojas, calçadas, entradas e depósitos. Não serão realizad"&amp;"as tarefas de paisagismo, construção ou reparo. 3. Requisito: Flexão, inclinação, ajoelhamento, empurrar e puxar equipamentos pesados ​​com frequência. Isso se refere à atividade física normal associada ao trabalho de limpeza. Os ""equipamentos pesados"" "&amp;"incluem: Baldes de esfregão com rodinhas cheios de água (aproximadamente 13 a 16 kg); Lavadoras ou aspiradores de pó manuais; Lixeiras ou carrinhos de suprimentos. Esses itens são empurrados ou puxados manualmente durante as tarefas de limpeza. 4. Requisi"&amp;"to: Subir escadas, destreza manual para manusear ferramentas e operar máquinas. Subir escadas: Os funcionários podem ocasionalmente usar uma escada de 1,8 a 2,4 metros para alcançar janelas altas, calhas ou prateleiras. Destreza manual: Os trabalhadores u"&amp;"sam ferramentas básicas de limpeza, como borrifadores, esfregões, rodos, pegadores de lixo e dispensadores recarregáveis. Operação de máquinas: Os funcionários podem operar máquinas de limpeza manuais ou de passeio, como: Aspiradores de pó comerciais; Pol"&amp;"idoras ou enceradeiras manuais. Essas máquinas são usadas para limpar pisos e superfícies. Não são utilizados tratores, limpa-neves motorizados ou máquinas de jardinagem. Classificação da função: 37-2011.00 - Zeladores e Faxineiros, exceto empregadas domé"&amp;"sticas e faxineiras. A classificação e descrição da função/setor inclui informações gerais sobre o cargo, de acordo com o ONET/OES e o Sistema de Classificação Industrial da América do Norte (NAICS). Consulte as Funções e a Ordem de Serviço para obter mai"&amp;"s informações. Requisitos da função: Experiência necessária: Sim. Meses de experiência necessários: 3. Requisitos especiais: Deve ser capaz de levantar e carregar 34 kg de neve por 70 metros e suportar temperaturas extremas. Trabalho em alguns fins de sem"&amp;"ana. Número de horas por semana: 40. Horário de trabalho (início/término): 8h às 17h.")</f>
        <v>1. Tarefa: Remover neve de calçadas, entradas de garagem ou estacionamentos. O funcionário utilizará apenas ferramentas manuais para remoção de neve, como pás, vassouras, empurradores e espalhadores de sal manuais ou de empurrar. Não serão utilizados arados de neve motorizados, equipamentos de montaria ou sopradores de neve motorizados. O trabalho envolve a limpeza de calçadas e caminhos de acesso em torno de propriedades comerciais para manter o acesso seguro de pedestres. 2. Tarefa: Limpar instalações ou locais. O funcionário realizará a limpeza rotineira de áreas comuns internas e externas de propriedades comerciais, incluindo: Varrição, lavagem e aspiração de pisos; Esvaziamento de lixeiras e remoção de lixo; Remoção de folhas, pequenos detritos e neve de entradas externas e calçadas utilizando ferramentas manuais. "Instalações ou locais" refere-se a áreas internas e externas de edifícios comerciais, incluindo escritórios, saguões, banheiros, lojas, calçadas, entradas e depósitos. Não serão realizadas tarefas de paisagismo, construção ou reparo. 3. Requisito: Flexão, inclinação, ajoelhamento, empurrar e puxar equipamentos pesados ​​com frequência. Isso se refere à atividade física normal associada ao trabalho de limpeza. Os "equipamentos pesados" incluem: Baldes de esfregão com rodinhas cheios de água (aproximadamente 13 a 16 kg); Lavadoras ou aspiradores de pó manuais; Lixeiras ou carrinhos de suprimentos. Esses itens são empurrados ou puxados manualmente durante as tarefas de limpeza. 4. Requisito: Subir escadas, destreza manual para manusear ferramentas e operar máquinas. Subir escadas: Os funcionários podem ocasionalmente usar uma escada de 1,8 a 2,4 metros para alcançar janelas altas, calhas ou prateleiras. Destreza manual: Os trabalhadores usam ferramentas básicas de limpeza, como borrifadores, esfregões, rodos, pegadores de lixo e dispensadores recarregáveis. Operação de máquinas: Os funcionários podem operar máquinas de limpeza manuais ou de passeio, como: Aspiradores de pó comerciais; Polidoras ou enceradeiras manuais. Essas máquinas são usadas para limpar pisos e superfícies. Não são utilizados tratores, limpa-neves motorizados ou máquinas de jardinagem. Classificação da função: 37-2011.00 - Zeladores e Faxineiros, exceto empregadas domésticas e faxineiras. A classificação e descrição da função/setor inclui informações gerais sobre o cargo, de acordo com o ONET/OES e o Sistema de Classificação Industrial da América do Norte (NAICS). Consulte as Funções e a Ordem de Serviço para obter mais informações. Requisitos da função: Experiência necessária: Sim. Meses de experiência necessários: 3. Requisitos especiais: Deve ser capaz de levantar e carregar 34 kg de neve por 70 metros e suportar temperaturas extremas. Trabalho em alguns fins de semana. Número de horas por semana: 40. Horário de trabalho (início/término): 8h às 17h.</v>
      </c>
    </row>
    <row r="1728" ht="20.25" customHeight="1">
      <c r="A1728" s="3" t="s">
        <v>7774</v>
      </c>
      <c r="B1728" s="3" t="s">
        <v>7775</v>
      </c>
      <c r="C1728" s="3" t="s">
        <v>1000</v>
      </c>
      <c r="D1728" s="3" t="s">
        <v>3015</v>
      </c>
      <c r="E1728" s="4" t="s">
        <v>19</v>
      </c>
      <c r="F1728" s="4" t="s">
        <v>20</v>
      </c>
      <c r="G1728" s="4" t="s">
        <v>2339</v>
      </c>
      <c r="H1728" s="3" t="s">
        <v>7776</v>
      </c>
      <c r="I1728" s="3" t="s">
        <v>7777</v>
      </c>
      <c r="J1728" s="4">
        <v>18.88</v>
      </c>
      <c r="K1728" s="4">
        <v>4.0</v>
      </c>
      <c r="L1728" s="3" t="s">
        <v>177</v>
      </c>
      <c r="M1728" s="3" t="s">
        <v>7778</v>
      </c>
      <c r="N1728" s="7" t="str">
        <f>IFERROR(__xludf.DUMMYFUNCTION("GOOGLETRANSLATE(L1728, ""en"", ""pt"")"),"Empregadas domésticas")</f>
        <v>Empregadas domésticas</v>
      </c>
      <c r="O1728" s="7" t="str">
        <f>IFERROR(__xludf.DUMMYFUNCTION("IF(M1728="""","""",GOOGLETRANSLATE(M1728,""en"",""pt""))"),"Transportar roupas de cama, toalhas, artigos de higiene pessoal e produtos de limpeza utilizando carrinhos com rodas. Desinfetar equipamentos e suprimentos utilizando germicidas ou esterilizadores a vapor. Limpar casas de aluguel para temporada, incluindo"&amp;": quartos, entradas, sala de estar, cozinhas, corredores, banheiros, escadas e outras áreas, de forma a atender aos padrões de higiene. Remover resíduos e/ou neve de pisos, carpetes e azulejos. Esvaziar lixeiras e transportar outros lixos e resíduos para "&amp;"as áreas de descarte. Observar as precauções necessárias para proteger a propriedade de aluguel para temporada e relatar danos, furtos e objetos encontrados aos supervisores. Classificação da vaga: 37-2012.00 - Empregadas Domésticas e Auxiliares de Limpez"&amp;"a. A classificação e descrição da vaga/setor inclui informações gerais sobre o cargo, de acordo com o ONET/OES e o Sistema de Classificação Industrial da América do Norte. Consulte as Funções e a Ordem de Serviço para obter mais informações. Requisitos da"&amp;" vaga: Experiência necessária: Não. Requisitos especiais: Levantar e carregar 11 kg por 45 metros. Deve ser capaz de flexionar os braços, pernas e costas, estender os braços e as mãos para cima, trabalhar de joelhos e usar as mãos e os braços para agarrar"&amp;", empurrar e puxar. Deve ser capaz de lidar com temperaturas extremas. Trabalho aos fins de semana (em alguns casos). Deslocamento para locais de trabalho dentro da área de atuação pretendida. Número de horas por semana: 40. Horário de trabalho (início/té"&amp;"rmino): 9h às 17h.")</f>
        <v>Transportar roupas de cama, toalhas, artigos de higiene pessoal e produtos de limpeza utilizando carrinhos com rodas. Desinfetar equipamentos e suprimentos utilizando germicidas ou esterilizadores a vapor. Limpar casas de aluguel para temporada, incluindo: quartos, entradas, sala de estar, cozinhas, corredores, banheiros, escadas e outras áreas, de forma a atender aos padrões de higiene. Remover resíduos e/ou neve de pisos, carpetes e azulejos. Esvaziar lixeiras e transportar outros lixos e resíduos para as áreas de descarte. Observar as precauções necessárias para proteger a propriedade de aluguel para temporada e relatar danos, furtos e objetos encontrados aos supervisores. Classificação da vaga: 37-2012.00 - Empregadas Domésticas e Auxiliares de Limpeza. A classificação e descrição da vaga/setor inclui informações gerais sobre o cargo, de acordo com o ONET/OES e o Sistema de Classificação Industrial da América do Norte. Consulte as Funções e a Ordem de Serviço para obter mais informações. Requisitos da vaga: Experiência necessária: Não. Requisitos especiais: Levantar e carregar 11 kg por 45 metros. Deve ser capaz de flexionar os braços, pernas e costas, estender os braços e as mãos para cima, trabalhar de joelhos e usar as mãos e os braços para agarrar, empurrar e puxar. Deve ser capaz de lidar com temperaturas extremas. Trabalho aos fins de semana (em alguns casos). Deslocamento para locais de trabalho dentro da área de atuação pretendida. Número de horas por semana: 40. Horário de trabalho (início/término): 9h às 17h.</v>
      </c>
    </row>
    <row r="1729" ht="20.25" customHeight="1">
      <c r="A1729" s="8" t="s">
        <v>7779</v>
      </c>
      <c r="B1729" s="8" t="s">
        <v>7780</v>
      </c>
      <c r="C1729" s="8" t="s">
        <v>7153</v>
      </c>
      <c r="D1729" s="8" t="s">
        <v>64</v>
      </c>
      <c r="E1729" s="9" t="s">
        <v>19</v>
      </c>
      <c r="F1729" s="9" t="s">
        <v>20</v>
      </c>
      <c r="G1729" s="9" t="s">
        <v>7781</v>
      </c>
      <c r="H1729" s="8" t="s">
        <v>7782</v>
      </c>
      <c r="I1729" s="8" t="s">
        <v>7783</v>
      </c>
      <c r="J1729" s="9">
        <v>20.13</v>
      </c>
      <c r="K1729" s="9">
        <v>25.0</v>
      </c>
      <c r="L1729" s="8" t="s">
        <v>7784</v>
      </c>
      <c r="M1729" s="8" t="s">
        <v>7785</v>
      </c>
      <c r="N1729" s="7" t="str">
        <f>IFERROR(__xludf.DUMMYFUNCTION("GOOGLETRANSLATE(L1729, ""en"", ""pt"")"),"Membro da Equipe de Remoção/Demolição de Gesso de Piscina")</f>
        <v>Membro da Equipe de Remoção/Demolição de Gesso de Piscina</v>
      </c>
      <c r="O1729" s="7" t="str">
        <f>IFERROR(__xludf.DUMMYFUNCTION("IF(M1729="""","""",GOOGLETRANSLATE(M1729,""en"",""pt""))"),"Serrar sob azulejos usando esmerilhadeiras angulares, quebrar o reboco da piscina usando martelos hidráulicos ou pneumáticos de pequeno a médio porte, remover o material quebrado usando baldes e carrinhos de mão. Preparar a estrutura da piscina limpando/l"&amp;"avando a superfície com água pressurizada, descarregar e descartar o material em aterros sanitários. Pode executar outras tarefas de acordo com a norma 47-2061, Trabalhadores da Construção Civil. F.a.5a-F.a.6b: 35+ horas/semana. Turnos de 8 horas entre 7h"&amp;" e 15h. O horário inclui 1 hora de intervalo para almoço não remunerado. 5 dias por semana, de segunda a sexta. Pode trabalhar à noite, nos fins de semana e feriados, conforme necessário. O horário (incluindo os dias de trabalho) pode variar. Pode trabalh"&amp;"ar mais horas do que as garantidas. Pode fazer horas extras. As horas extras variam e devem ser previamente aprovadas. F.b.8a: Os trabalhadores receberão, no mínimo, o salário listado. O empregador pode pagar salários mais altos aos trabalhadores com base"&amp;" na antiguidade na empresa e no nível de habilidade. As horas extras podem variar. F.b.8a: Dependendo das condições de trabalho, o empregador poderá oferecer aos trabalhadores que desempenham determinadas tarefas durante certos períodos da temporada a opo"&amp;"rtunidade de ganhar um bônus de incentivo, além da remuneração garantida estabelecida acima. Se oferecido, esse bônus de incentivo será baseado na quantidade e qualidade do trabalho realizado e oferecido a todos os trabalhadores que atuam na(s) atividade("&amp;"s) e durante o(s) período(s) em que o bônus de incentivo for oferecido. Caso um bônus de incentivo seja oferecido, o fato de que o bônus será oferecido e a forma como será determinado serão explicados a todos os trabalhadores afetados antes do início de q"&amp;"ualquer período de trabalho ou atividade sujeita a tal bônus. Os bônus de incentivo são oferecidos a critério exclusivo do empregador, e nenhum bônus ou oportunidade de ganhar um bônus é prometido ou garantido. F.c.1: Os membros da equipe temporária H-2B "&amp;"para remoção/demolição de gesso de piscinas desempenharão suas funções em 3334 Brownie Campbell Road, Houston, TX 77086 e em diversos locais de trabalho dentro da área de atuação pretendida, incluindo os seguintes condados: Harris, Fort Bend, Brazoria, Ga"&amp;"lveston, Chambers, Liberty, Montgomery, Waller, Austin, Jefferson, Hardin, San Jacinto, Polk, Walker, Grimes, Washington, Lee, Brazos e Burleson. F.d.1: O empregador fornecerá transporte diário de 3334 Brownie Campbell Road, Houston, TX 77086 para os loca"&amp;"is de trabalho e vice-versa. Classificação da vaga: 47-2061.00 - Operários da Construção Civil. A classificação e descrição da vaga/setor incluem informações gerais sobre o cargo, conforme o ONET/OES e o Sistema de Classificação Industrial da América do N"&amp;"orte (NAICS). Consulte as atribuições e a ordem de serviço para obter mais informações. Requisitos da vaga Experiência necessária: Não Requisitos especiais: Não é necessário ter formação, treinamento ou experiência formal. Treinamento no local de trabalho"&amp;" será fornecido. É necessário ser capaz de levantar pelo menos 23 kg. Número de horas por semana: 35 Horário de trabalho (início/término): 7h às 15h")</f>
        <v>Serrar sob azulejos usando esmerilhadeiras angulares, quebrar o reboco da piscina usando martelos hidráulicos ou pneumáticos de pequeno a médio porte, remover o material quebrado usando baldes e carrinhos de mão. Preparar a estrutura da piscina limpando/lavando a superfície com água pressurizada, descarregar e descartar o material em aterros sanitários. Pode executar outras tarefas de acordo com a norma 47-2061, Trabalhadores da Construção Civil. F.a.5a-F.a.6b: 35+ horas/semana. Turnos de 8 horas entre 7h e 15h. O horário inclui 1 hora de intervalo para almoço não remunerado. 5 dias por semana, de segunda a sexta. Pode trabalhar à noite, nos fins de semana e feriados, conforme necessário. O horário (incluindo os dias de trabalho) pode variar. Pode trabalhar mais horas do que as garantidas. Pode fazer horas extras. As horas extras variam e devem ser previamente aprovadas. F.b.8a: Os trabalhadores receberão, no mínimo, o salário listado. O empregador pode pagar salários mais altos aos trabalhadores com base na antiguidade na empresa e no nível de habilidade. As horas extras podem variar. F.b.8a: Dependendo das condições de trabalho, o empregador poderá oferecer aos trabalhadores que desempenham determinadas tarefas durante certos períodos da temporada a oportunidade de ganhar um bônus de incentivo, além da remuneração garantida estabelecida acima. Se oferecido, esse bônus de incentivo será baseado na quantidade e qualidade do trabalho realizado e oferecido a todos os trabalhadores que atuam na(s) atividade(s) e durante o(s) período(s) em que o bônus de incentivo for oferecido. Caso um bônus de incentivo seja oferecido, o fato de que o bônus será oferecido e a forma como será determinado serão explicados a todos os trabalhadores afetados antes do início de qualquer período de trabalho ou atividade sujeita a tal bônus. Os bônus de incentivo são oferecidos a critério exclusivo do empregador, e nenhum bônus ou oportunidade de ganhar um bônus é prometido ou garantido. F.c.1: Os membros da equipe temporária H-2B para remoção/demolição de gesso de piscinas desempenharão suas funções em 3334 Brownie Campbell Road, Houston, TX 77086 e em diversos locais de trabalho dentro da área de atuação pretendida, incluindo os seguintes condados: Harris, Fort Bend, Brazoria, Galveston, Chambers, Liberty, Montgomery, Waller, Austin, Jefferson, Hardin, San Jacinto, Polk, Walker, Grimes, Washington, Lee, Brazos e Burleson. F.d.1: O empregador fornecerá transporte diário de 3334 Brownie Campbell Road, Houston, TX 77086 para os locais de trabalho e vice-versa. Classificação da vaga: 47-2061.00 - Operários da Construção Civil. A classificação e descrição da vaga/setor incluem informações gerais sobre o cargo, conforme o ONET/OES e o Sistema de Classificação Industrial da América do Norte (NAICS). Consulte as atribuições e a ordem de serviço para obter mais informações. Requisitos da vaga Experiência necessária: Não Requisitos especiais: Não é necessário ter formação, treinamento ou experiência formal. Treinamento no local de trabalho será fornecido. É necessário ser capaz de levantar pelo menos 23 kg. Número de horas por semana: 35 Horário de trabalho (início/término): 7h às 15h</v>
      </c>
    </row>
    <row r="1730" ht="20.25" customHeight="1">
      <c r="A1730" s="3" t="s">
        <v>7786</v>
      </c>
      <c r="B1730" s="3" t="s">
        <v>7787</v>
      </c>
      <c r="C1730" s="3" t="s">
        <v>6228</v>
      </c>
      <c r="D1730" s="3" t="s">
        <v>117</v>
      </c>
      <c r="E1730" s="4" t="s">
        <v>44</v>
      </c>
      <c r="F1730" s="4" t="s">
        <v>20</v>
      </c>
      <c r="G1730" s="4" t="s">
        <v>377</v>
      </c>
      <c r="H1730" s="3" t="s">
        <v>7788</v>
      </c>
      <c r="I1730" s="3" t="s">
        <v>7789</v>
      </c>
      <c r="J1730" s="4">
        <v>20.5</v>
      </c>
      <c r="K1730" s="4">
        <v>35.0</v>
      </c>
      <c r="L1730" s="3" t="s">
        <v>7790</v>
      </c>
      <c r="M1730" s="3" t="s">
        <v>7791</v>
      </c>
      <c r="N1730" s="7" t="str">
        <f>IFERROR(__xludf.DUMMYFUNCTION("GOOGLETRANSLATE(L1730, ""en"", ""pt"")"),"Operador de Linha de Produção")</f>
        <v>Operador de Linha de Produção</v>
      </c>
      <c r="O1730" s="7" t="str">
        <f>IFERROR(__xludf.DUMMYFUNCTION("IF(M1730="""","""",GOOGLETRANSLATE(M1730,""en"",""pt""))"),"O Operador de Linha de Produção é responsável por utilizar ferramentas manuais para realizar o corte e o aparamento de produtos de carne suína. As responsabilidades específicas incluem: (1) Manuseio e transporte adequados e seguros de facas, incluindo man"&amp;"tê-las afiadas, concentração nas tarefas ao usar facas e manter o espaçamento adequado no local de trabalho; (2) Seguir todas as normas de Boas Práticas de Fabricação (BPF), Segurança Alimentar/Qualidade e Segurança do Trabalho; (3) Compreender os cortes "&amp;"adequados de carne suína de acordo com as especificações e rendimentos do cliente; (4) Manusear e descartar produtos cárneos de forma segura; (5) Comunicar quaisquer deficiências ou problemas conhecidos com o produto ou processo; e (6) Sempre usar os equi"&amp;"pamentos de proteção individual (EPIs) necessários ao executar o trabalho. Classificação da Função: 51-3022.00 - Cortadores e Aparadores de Carne, Aves e Peixes. A classificação e descrição da função/setor incluem informações gerais sobre o cargo, de acor"&amp;"do com o ONET/OES e o Sistema de Classificação Industrial da América do Norte (NAICS). Consulte as Funções e a Ordem de Serviço para obter mais informações. Requisitos da Função: Experiência Necessária: Não. Requisitos Especiais: Capacidade de compreender"&amp;" os cortes e pesos adequados de carne, capacidade de compreender as práticas de segurança alimentar. Disponibilidade para trabalhar aos sábados, conforme necessário. O empregador fornecerá treinamento no local de trabalho para o desempenho das funções atr"&amp;"ibuídas. O empregador fornecerá, sem custo ou depósito, todas as ferramentas, suprimentos e equipamentos necessários para o desempenho das funções atribuídas. Os trabalhadores estarão sujeitos a testes de drogas mediante suspeita razoável, pagos pelo empr"&amp;"egador e aplicados igualmente a todos os trabalhadores, americanos e estrangeiros/H-2B. O trabalhador poderá precisar preencher um formulário de emprego fornecido por e-mail ou no local. Número de horas por semana: 45. Horário de trabalho (início/término)"&amp;": 6h30 às 17h.")</f>
        <v>O Operador de Linha de Produção é responsável por utilizar ferramentas manuais para realizar o corte e o aparamento de produtos de carne suína. As responsabilidades específicas incluem: (1) Manuseio e transporte adequados e seguros de facas, incluindo mantê-las afiadas, concentração nas tarefas ao usar facas e manter o espaçamento adequado no local de trabalho; (2) Seguir todas as normas de Boas Práticas de Fabricação (BPF), Segurança Alimentar/Qualidade e Segurança do Trabalho; (3) Compreender os cortes adequados de carne suína de acordo com as especificações e rendimentos do cliente; (4) Manusear e descartar produtos cárneos de forma segura; (5) Comunicar quaisquer deficiências ou problemas conhecidos com o produto ou processo; e (6) Sempre usar os equipamentos de proteção individual (EPIs) necessários ao executar o trabalho. Classificação da Função: 51-3022.00 - Cortadores e Aparadores de Carne, Aves e Peixes. A classificação e descrição da função/setor incluem informações gerais sobre o cargo, de acordo com o ONET/OES e o Sistema de Classificação Industrial da América do Norte (NAICS). Consulte as Funções e a Ordem de Serviço para obter mais informações. Requisitos da Função: Experiência Necessária: Não. Requisitos Especiais: Capacidade de compreender os cortes e pesos adequados de carne, capacidade de compreender as práticas de segurança alimentar. Disponibilidade para trabalhar aos sábados, conforme necessário. O empregador fornecerá treinamento no local de trabalho para o desempenho das funções atribuídas. O empregador fornecerá, sem custo ou depósito, todas as ferramentas, suprimentos e equipamentos necessários para o desempenho das funções atribuídas. Os trabalhadores estarão sujeitos a testes de drogas mediante suspeita razoável, pagos pelo empregador e aplicados igualmente a todos os trabalhadores, americanos e estrangeiros/H-2B. O trabalhador poderá precisar preencher um formulário de emprego fornecido por e-mail ou no local. Número de horas por semana: 45. Horário de trabalho (início/término): 6h30 às 17h.</v>
      </c>
    </row>
    <row r="1731" ht="20.25" customHeight="1">
      <c r="A1731" s="8" t="s">
        <v>7792</v>
      </c>
      <c r="B1731" s="8" t="s">
        <v>7793</v>
      </c>
      <c r="C1731" s="8" t="s">
        <v>7651</v>
      </c>
      <c r="D1731" s="8" t="s">
        <v>596</v>
      </c>
      <c r="E1731" s="9" t="s">
        <v>19</v>
      </c>
      <c r="F1731" s="9" t="s">
        <v>20</v>
      </c>
      <c r="G1731" s="9" t="s">
        <v>80</v>
      </c>
      <c r="H1731" s="8" t="s">
        <v>7794</v>
      </c>
      <c r="I1731" s="8" t="s">
        <v>7795</v>
      </c>
      <c r="J1731" s="9">
        <v>19.39</v>
      </c>
      <c r="K1731" s="9">
        <v>4.0</v>
      </c>
      <c r="L1731" s="8" t="s">
        <v>387</v>
      </c>
      <c r="M1731" s="8" t="s">
        <v>7796</v>
      </c>
      <c r="N1731" s="7" t="str">
        <f>IFERROR(__xludf.DUMMYFUNCTION("GOOGLETRANSLATE(L1731, ""en"", ""pt"")"),"Ordem de serviço não disponível")</f>
        <v>Ordem de serviço não disponível</v>
      </c>
      <c r="O1731" s="7" t="str">
        <f>IFERROR(__xludf.DUMMYFUNCTION("IF(M1731="""","""",GOOGLETRANSLATE(M1731,""en"",""pt""))"),"Responsável por auxiliar o chefe de cozinha. As funções incluem preparar e cozinhar pratos da culinária mexicana; cortar carnes e legumes; monitorar o estoque de ingredientes; seguir as normas de saúde e segurança; manter a limpeza da cozinha; utilizar os"&amp;" equipamentos corretamente; empratar os pratos; e prevenir perdas e desperdícios. Classificação da vaga: 35-2014.00 - Cozinheiros, Restaurante. A classificação e descrição da vaga/setor incluem informações gerais sobre o cargo, de acordo com o ONET/OES e "&amp;"o Sistema de Classificação Industrial da América do Norte (NAICS). Consulte a Descrição das Funções e a Ordem de Serviço para obter mais informações. Requisitos da vaga: Experiência necessária: Sim. Meses de experiência necessários: 12. Requisitos especia"&amp;"is: 12 meses de experiência em cozinha de restaurante/comercial. Deve ter habilidade para utilizar utensílios padrão em um restaurante comercial; deve ser capaz de compreender e seguir instruções e normas de segurança. Alfabetização básica equivalente ao "&amp;"6º ano do Ensino Fundamental. Número de horas por semana: 40. Horário de trabalho (início/término): 11h às 17h.")</f>
        <v>Responsável por auxiliar o chefe de cozinha. As funções incluem preparar e cozinhar pratos da culinária mexicana; cortar carnes e legumes; monitorar o estoque de ingredientes; seguir as normas de saúde e segurança; manter a limpeza da cozinha; utilizar os equipamentos corretamente; empratar os pratos; e prevenir perdas e desperdícios. Classificação da vaga: 35-2014.00 - Cozinheiros, Restaurante. A classificação e descrição da vaga/setor incluem informações gerais sobre o cargo, de acordo com o ONET/OES e o Sistema de Classificação Industrial da América do Norte (NAICS). Consulte a Descrição das Funções e a Ordem de Serviço para obter mais informações. Requisitos da vaga: Experiência necessária: Sim. Meses de experiência necessários: 12. Requisitos especiais: 12 meses de experiência em cozinha de restaurante/comercial. Deve ter habilidade para utilizar utensílios padrão em um restaurante comercial; deve ser capaz de compreender e seguir instruções e normas de segurança. Alfabetização básica equivalente ao 6º ano do Ensino Fundamental. Número de horas por semana: 40. Horário de trabalho (início/término): 11h às 17h.</v>
      </c>
    </row>
    <row r="1732" ht="20.25" customHeight="1">
      <c r="A1732" s="3" t="s">
        <v>7797</v>
      </c>
      <c r="B1732" s="3" t="s">
        <v>7793</v>
      </c>
      <c r="C1732" s="3" t="s">
        <v>7651</v>
      </c>
      <c r="D1732" s="3" t="s">
        <v>596</v>
      </c>
      <c r="E1732" s="4" t="s">
        <v>19</v>
      </c>
      <c r="F1732" s="4" t="s">
        <v>20</v>
      </c>
      <c r="G1732" s="4" t="s">
        <v>80</v>
      </c>
      <c r="H1732" s="3" t="s">
        <v>7794</v>
      </c>
      <c r="I1732" s="3" t="s">
        <v>7795</v>
      </c>
      <c r="J1732" s="4">
        <v>17.26</v>
      </c>
      <c r="K1732" s="4">
        <v>4.0</v>
      </c>
      <c r="L1732" s="3" t="s">
        <v>7798</v>
      </c>
      <c r="M1732" s="3" t="s">
        <v>7799</v>
      </c>
      <c r="N1732" s="7" t="str">
        <f>IFERROR(__xludf.DUMMYFUNCTION("GOOGLETRANSLATE(L1732, ""en"", ""pt"")"),"Assistente de Feira de Produtores")</f>
        <v>Assistente de Feira de Produtores</v>
      </c>
      <c r="O1732" s="7" t="str">
        <f>IFERROR(__xludf.DUMMYFUNCTION("IF(M1732="""","""",GOOGLETRANSLATE(M1732,""en"",""pt""))"),"O funcionário utilizará bandejas e assadeiras de cozinha e forno para transportar, armazenar, estocar e expor os produtos acabados, tanto em áreas refrigeradas quanto em áreas aquecidas, como sob lâmpadas de aquecimento, geladeiras, freezers e balcões de "&amp;"exposição, tanto em áreas refrigeradas quanto não refrigeradas. Descrição do Produto: Produto Acabado: Refeições étnicas de alta qualidade, alimentos pré-embalados como tacos, burritos, quesadillas, etc. Bebidas engarrafadas e água, molhos e outros condim"&amp;"entos como molho picante, salsa, queijo derretido, etc. Itens de Estoque: o reabastecimento incluirá todos os tipos de ingredientes para produtos, como frutas e verduras frescas, laticínios, carnes e queijos, ovos, água e outros refrigerantes. Artigos de "&amp;"papel também farão parte do estoque e precisarão ser reabastecidos com frequência. Diretrizes de Saúde e Segurança: Dado que os alimentos serão armazenados e vendidos, os Assistentes da Feira Livre devem cumprir as normas e padrões do Departamento de Saúd"&amp;"e referentes ao manuseio e armazenamento de alimentos, tanto para produtos acabados quanto para alimentos crus. Isso inclui, mas não se limita a, controle de temperatura em refrigeradores, lâmpadas de aquecimento e outras áreas de armazenamento; deve ser "&amp;"capaz de seguir instruções relacionadas à datação e rastreamento, etiquetagem de recipientes com datas de validade dos alimentos; limpeza das áreas de preparo e armazenamento de alimentos; uso de produtos de limpeza e seu armazenamento e rotulagem adequad"&amp;"os, etc. Ferramentas utilizadas: Preparo de alimentos: facas, tábuas de corte, espremedor de frutas manual, chapas elétricas, vitrines refrigeradas, liquidificador, assadeiras e bandejas de forno, panelas e frigideiras. Produtos de papel: recipientes de p"&amp;"lástico ou isopor, talheres de plástico, guardanapos, desinfetante de mesa. Carrinho/Barraca: mesas, caixa registradora, vitrines, canetas e papel. Limpeza: esfregões, vassouras, balde de esfregão, aspirador de pó, panos, soluções desinfetantes e produtos"&amp;" de limpeza, espanadores. Descrição das Atividades de Final de Dia: Ao final do expediente, o(a) funcionário(a) da FMA deve armazenar todos os produtos alimentícios prontos e matérias-primas em local apropriado (refrigerador, freezer ou outro local de arm"&amp;"azenamento seco), limpar e desinfetar as áreas de preparo de alimentos com solução desinfetante adequada, utilizando esponjas e panos de limpeza, e varrer e lavar o chão. As barracas ou carrinhos devem ser devidamente fechados e trancados. A montagem do m"&amp;"ercado inclui atividades relacionadas à abertura do carrinho ou barraca, limpeza das áreas de exposição, ligar os equipamentos, exposição atraente dos itens alimentícios para venda, configuração do caixa, verificação do troco no caixa, etc. Classificação "&amp;"do Cargo: 35-2021.00 - Auxiliares de Preparo de Alimentos. A classificação e descrição do cargo/setor inclui informações gerais sobre a posição, conforme o ONET/OES e o Sistema de Classificação Industrial da América do Norte. Consulte as Funções e a Ordem"&amp;" de Serviço para obter mais informações. Requisitos do Cargo: Experiência Necessária: Sim. Meses de Experiência Necessários: 3. Requisitos Especiais: Deve ter habilidade para utilizar ferramentas associadas a restaurantes; deve possuir carteira de habilit"&amp;"ação válida; deve ser capaz de compreender e seguir instruções e normas de segurança. Habilidades básicas de alfabetização compatíveis com o nível de leitura, escrita e matemática do 6º ano. Número de horas por semana: 40. Horário de trabalho (início/térm"&amp;"ino): 11h às 19h.")</f>
        <v>O funcionário utilizará bandejas e assadeiras de cozinha e forno para transportar, armazenar, estocar e expor os produtos acabados, tanto em áreas refrigeradas quanto em áreas aquecidas, como sob lâmpadas de aquecimento, geladeiras, freezers e balcões de exposição, tanto em áreas refrigeradas quanto não refrigeradas. Descrição do Produto: Produto Acabado: Refeições étnicas de alta qualidade, alimentos pré-embalados como tacos, burritos, quesadillas, etc. Bebidas engarrafadas e água, molhos e outros condimentos como molho picante, salsa, queijo derretido, etc. Itens de Estoque: o reabastecimento incluirá todos os tipos de ingredientes para produtos, como frutas e verduras frescas, laticínios, carnes e queijos, ovos, água e outros refrigerantes. Artigos de papel também farão parte do estoque e precisarão ser reabastecidos com frequência. Diretrizes de Saúde e Segurança: Dado que os alimentos serão armazenados e vendidos, os Assistentes da Feira Livre devem cumprir as normas e padrões do Departamento de Saúde referentes ao manuseio e armazenamento de alimentos, tanto para produtos acabados quanto para alimentos crus. Isso inclui, mas não se limita a, controle de temperatura em refrigeradores, lâmpadas de aquecimento e outras áreas de armazenamento; deve ser capaz de seguir instruções relacionadas à datação e rastreamento, etiquetagem de recipientes com datas de validade dos alimentos; limpeza das áreas de preparo e armazenamento de alimentos; uso de produtos de limpeza e seu armazenamento e rotulagem adequados, etc. Ferramentas utilizadas: Preparo de alimentos: facas, tábuas de corte, espremedor de frutas manual, chapas elétricas, vitrines refrigeradas, liquidificador, assadeiras e bandejas de forno, panelas e frigideiras. Produtos de papel: recipientes de plástico ou isopor, talheres de plástico, guardanapos, desinfetante de mesa. Carrinho/Barraca: mesas, caixa registradora, vitrines, canetas e papel. Limpeza: esfregões, vassouras, balde de esfregão, aspirador de pó, panos, soluções desinfetantes e produtos de limpeza, espanadores. Descrição das Atividades de Final de Dia: Ao final do expediente, o(a) funcionário(a) da FMA deve armazenar todos os produtos alimentícios prontos e matérias-primas em local apropriado (refrigerador, freezer ou outro local de armazenamento seco), limpar e desinfetar as áreas de preparo de alimentos com solução desinfetante adequada, utilizando esponjas e panos de limpeza, e varrer e lavar o chão. As barracas ou carrinhos devem ser devidamente fechados e trancados. A montagem do mercado inclui atividades relacionadas à abertura do carrinho ou barraca, limpeza das áreas de exposição, ligar os equipamentos, exposição atraente dos itens alimentícios para venda, configuração do caixa, verificação do troco no caixa, etc. Classificação do Cargo: 35-2021.00 - Auxiliares de Preparo de Alimentos. A classificação e descrição do cargo/setor inclui informações gerais sobre a posição, conforme o ONET/OES e o Sistema de Classificação Industrial da América do Norte. Consulte as Funções e a Ordem de Serviço para obter mais informações. Requisitos do Cargo: Experiência Necessária: Sim. Meses de Experiência Necessários: 3. Requisitos Especiais: Deve ter habilidade para utilizar ferramentas associadas a restaurantes; deve possuir carteira de habilitação válida; deve ser capaz de compreender e seguir instruções e normas de segurança. Habilidades básicas de alfabetização compatíveis com o nível de leitura, escrita e matemática do 6º ano. Número de horas por semana: 40. Horário de trabalho (início/término): 11h às 19h.</v>
      </c>
    </row>
    <row r="1733" ht="20.25" customHeight="1">
      <c r="A1733" s="8" t="s">
        <v>7800</v>
      </c>
      <c r="B1733" s="8" t="s">
        <v>7793</v>
      </c>
      <c r="C1733" s="8" t="s">
        <v>7651</v>
      </c>
      <c r="D1733" s="8" t="s">
        <v>596</v>
      </c>
      <c r="E1733" s="9" t="s">
        <v>19</v>
      </c>
      <c r="F1733" s="9" t="s">
        <v>20</v>
      </c>
      <c r="G1733" s="9" t="s">
        <v>80</v>
      </c>
      <c r="H1733" s="8" t="s">
        <v>7794</v>
      </c>
      <c r="I1733" s="8" t="s">
        <v>7795</v>
      </c>
      <c r="J1733" s="9">
        <v>26.38</v>
      </c>
      <c r="K1733" s="9">
        <v>4.0</v>
      </c>
      <c r="L1733" s="8" t="s">
        <v>1206</v>
      </c>
      <c r="M1733" s="8" t="s">
        <v>7801</v>
      </c>
      <c r="N1733" s="7" t="str">
        <f>IFERROR(__xludf.DUMMYFUNCTION("GOOGLETRANSLATE(L1733, ""en"", ""pt"")"),"Servidor")</f>
        <v>Servidor</v>
      </c>
      <c r="O1733" s="7" t="str">
        <f>IFERROR(__xludf.DUMMYFUNCTION("IF(M1733="""","""",GOOGLETRANSLATE(M1733,""en"",""pt""))"),"Responsável principalmente por acomodar os clientes e anotar os pedidos. As funções incluem: fornecer cardápios, anotar pedidos e responder a perguntas sobre os itens do cardápio; servir comidas e bebidas; monitorar as mesas para garantir a satisfação do "&amp;"cliente; receber pagamentos; limpar e arrumar as mesas; auxiliar em eventos especiais; prestar um serviço de qualidade aos clientes; seguir as normas de saúde e segurança. Classificação da vaga: 35-3031.00 - Garçons e Garçonetes. A classificação e a descr"&amp;"ição da vaga/setor incluem informações gerais sobre o cargo, de acordo com o ONET/OES e o Sistema de Classificação Industrial da América do Norte. Consulte as Funções e a Ordem de Serviço para obter mais informações. Requisitos da vaga: Experiência necess"&amp;"ária: Sim. Meses de experiência necessários: 3. Requisitos especiais: Deve ter habilidade para vendas e atendimento ao cliente, além de utilizar as ferramentas padrão de um restaurante; deve ser capaz de compreender e seguir instruções e normas de seguran"&amp;"ça. Alfabetização básica equivalente ao 6º ano do Ensino Fundamental. Número de horas por semana: 40. Horário de trabalho (início/término): 11h às 17h.")</f>
        <v>Responsável principalmente por acomodar os clientes e anotar os pedidos. As funções incluem: fornecer cardápios, anotar pedidos e responder a perguntas sobre os itens do cardápio; servir comidas e bebidas; monitorar as mesas para garantir a satisfação do cliente; receber pagamentos; limpar e arrumar as mesas; auxiliar em eventos especiais; prestar um serviço de qualidade aos clientes; seguir as normas de saúde e segurança. Classificação da vaga: 35-3031.00 - Garçons e Garçonetes. A classificação e a descrição da vaga/setor incluem informações gerais sobre o cargo, de acordo com o ONET/OES e o Sistema de Classificação Industrial da América do Norte. Consulte as Funções e a Ordem de Serviço para obter mais informações. Requisitos da vaga: Experiência necessária: Sim. Meses de experiência necessários: 3. Requisitos especiais: Deve ter habilidade para vendas e atendimento ao cliente, além de utilizar as ferramentas padrão de um restaurante; deve ser capaz de compreender e seguir instruções e normas de segurança. Alfabetização básica equivalente ao 6º ano do Ensino Fundamental. Número de horas por semana: 40. Horário de trabalho (início/término): 11h às 17h.</v>
      </c>
    </row>
    <row r="1734" ht="20.25" customHeight="1">
      <c r="A1734" s="3" t="s">
        <v>7802</v>
      </c>
      <c r="B1734" s="3" t="s">
        <v>7803</v>
      </c>
      <c r="C1734" s="3" t="s">
        <v>7431</v>
      </c>
      <c r="D1734" s="3" t="s">
        <v>109</v>
      </c>
      <c r="E1734" s="4" t="s">
        <v>44</v>
      </c>
      <c r="F1734" s="4" t="s">
        <v>20</v>
      </c>
      <c r="G1734" s="4" t="s">
        <v>7174</v>
      </c>
      <c r="H1734" s="3" t="s">
        <v>7804</v>
      </c>
      <c r="I1734" s="3" t="s">
        <v>7805</v>
      </c>
      <c r="J1734" s="4">
        <v>14.92</v>
      </c>
      <c r="K1734" s="4">
        <v>2.0</v>
      </c>
      <c r="L1734" s="3" t="s">
        <v>7806</v>
      </c>
      <c r="M1734" s="3" t="s">
        <v>7807</v>
      </c>
      <c r="N1734" s="7" t="str">
        <f>IFERROR(__xludf.DUMMYFUNCTION("GOOGLETRANSLATE(L1734, ""en"", ""pt"")"),"Auxiliar de Cuidados Pessoais")</f>
        <v>Auxiliar de Cuidados Pessoais</v>
      </c>
      <c r="O1734" s="7" t="str">
        <f>IFERROR(__xludf.DUMMYFUNCTION("IF(M1734="""","""",GOOGLETRANSLATE(M1734,""en"",""pt""))"),"Prestar cuidados pessoais a uma criança com deficiência cognitiva e intelectual, incluindo auxílio na locomoção, higiene, vestuário, cuidados com a aparência, alimentação e uso do banheiro. Realizar tarefas relacionadas à saúde, como monitoramento de sina"&amp;"is vitais e administração de medicamentos, sob a supervisão do médico responsável e do Analista do Comportamento Certificado (BCBA). Implementar rotinas estruturadas de suporte comportamental, conforme orientação do BCBA supervisor, para desenvolver e ref"&amp;"orçar habilidades de vida diária e autocuidado. Preparar e manter registros do progresso da criança, dados comportamentais e serviços prestados, relatando quaisquer alterações na condição da criança aos pais ou ao supervisor. Participar de revisões de cas"&amp;"o e consultar a equipe de atendimento, incluindo pais, BCBA e profissionais médicos, para avaliar as necessidades da criança e planejar a continuidade dos serviços. Cuidar da criança durante períodos de incapacidade ou ruptura familiar, oferecendo companh"&amp;"ia, cuidados pessoais e apoio no desenvolvimento de maior independência na vida diária. Instruir e orientar a criança sobre questões como higiene, nutrição e habilidades de vida diária. Planejar, comprar e preparar refeições nutritivas de acordo com as ne"&amp;"cessidades alimentares da criança. Executar tarefas domésticas relacionadas aos cuidados da criança, como limpeza, lavagem de roupas e realização de compras. Transportar a criança para consultórios médicos, sessões de terapia, escola e passeios comunitári"&amp;"os utilizando um veículo motorizado. Classificação da vaga: 31-1121.00 - Auxiliares de Saúde Domiciliar. A classificação e descrição da vaga/setor incluem informações gerais sobre o cargo, de acordo com o ONET/OES e o Sistema de Classificação Industrial d"&amp;"a América do Norte. Consulte as Funções e a Ordem de Serviço para obter mais informações. Requisitos da vaga: Experiência necessária: Sim. Meses de experiência necessários: 6. Requisitos especiais: Ensino Médio completo/GED. Mínimo de 6 meses de experiênc"&amp;"ia em cuidados pessoais, cuidados com pessoas com deficiência ou área relacionada. Conhecimento básico de inglês. Utilização de: Equipamentos de cozinha e lavanderia, veículo da casa. Capacidade de compreender e responder às necessidades básicas e sinais "&amp;"não verbais de uma criança não verbal com deficiência cognitiva e intelectual. Elegibilidade para carteira de habilitação. Capacidade de levantar e carregar pesos suficientes para concluir as tarefas atribuídas. Capacidade de permanecer ativo durante todo"&amp;" o turno. 48 horas por semana, 6 dias por semana, 8 horas por dia. O horário pode variar e incluir fins de semana e feriados, conforme necessário. Possibilidade de viagens ocasionais opcionais de até 10 dias, duas vezes por ano, para acompanhar a criança "&amp;"em viagens de férias ou terapia. O empregador se baseará nas declarações e observações do próprio trabalhador para avaliar se ele atende aos requisitos de capacidade física e elegibilidade aqui descritos. Número de horas por semana: 48. Horário de trabalh"&amp;"o (início/término): 6h às 14h.")</f>
        <v>Prestar cuidados pessoais a uma criança com deficiência cognitiva e intelectual, incluindo auxílio na locomoção, higiene, vestuário, cuidados com a aparência, alimentação e uso do banheiro. Realizar tarefas relacionadas à saúde, como monitoramento de sinais vitais e administração de medicamentos, sob a supervisão do médico responsável e do Analista do Comportamento Certificado (BCBA). Implementar rotinas estruturadas de suporte comportamental, conforme orientação do BCBA supervisor, para desenvolver e reforçar habilidades de vida diária e autocuidado. Preparar e manter registros do progresso da criança, dados comportamentais e serviços prestados, relatando quaisquer alterações na condição da criança aos pais ou ao supervisor. Participar de revisões de caso e consultar a equipe de atendimento, incluindo pais, BCBA e profissionais médicos, para avaliar as necessidades da criança e planejar a continuidade dos serviços. Cuidar da criança durante períodos de incapacidade ou ruptura familiar, oferecendo companhia, cuidados pessoais e apoio no desenvolvimento de maior independência na vida diária. Instruir e orientar a criança sobre questões como higiene, nutrição e habilidades de vida diária. Planejar, comprar e preparar refeições nutritivas de acordo com as necessidades alimentares da criança. Executar tarefas domésticas relacionadas aos cuidados da criança, como limpeza, lavagem de roupas e realização de compras. Transportar a criança para consultórios médicos, sessões de terapia, escola e passeios comunitários utilizando um veículo motorizado. Classificação da vaga: 31-1121.00 - Auxiliares de Saúde Domiciliar. A classificação e descrição da vaga/setor incluem informações gerais sobre o cargo, de acordo com o ONET/OES e o Sistema de Classificação Industrial da América do Norte. Consulte as Funções e a Ordem de Serviço para obter mais informações. Requisitos da vaga: Experiência necessária: Sim. Meses de experiência necessários: 6. Requisitos especiais: Ensino Médio completo/GED. Mínimo de 6 meses de experiência em cuidados pessoais, cuidados com pessoas com deficiência ou área relacionada. Conhecimento básico de inglês. Utilização de: Equipamentos de cozinha e lavanderia, veículo da casa. Capacidade de compreender e responder às necessidades básicas e sinais não verbais de uma criança não verbal com deficiência cognitiva e intelectual. Elegibilidade para carteira de habilitação. Capacidade de levantar e carregar pesos suficientes para concluir as tarefas atribuídas. Capacidade de permanecer ativo durante todo o turno. 48 horas por semana, 6 dias por semana, 8 horas por dia. O horário pode variar e incluir fins de semana e feriados, conforme necessário. Possibilidade de viagens ocasionais opcionais de até 10 dias, duas vezes por ano, para acompanhar a criança em viagens de férias ou terapia. O empregador se baseará nas declarações e observações do próprio trabalhador para avaliar se ele atende aos requisitos de capacidade física e elegibilidade aqui descritos. Número de horas por semana: 48. Horário de trabalho (início/término): 6h às 14h.</v>
      </c>
    </row>
    <row r="1735" ht="20.25" customHeight="1">
      <c r="A1735" s="8" t="s">
        <v>7808</v>
      </c>
      <c r="B1735" s="8" t="s">
        <v>7809</v>
      </c>
      <c r="C1735" s="8" t="s">
        <v>5755</v>
      </c>
      <c r="D1735" s="8" t="s">
        <v>28</v>
      </c>
      <c r="E1735" s="9" t="s">
        <v>19</v>
      </c>
      <c r="F1735" s="9" t="s">
        <v>20</v>
      </c>
      <c r="G1735" s="9" t="s">
        <v>236</v>
      </c>
      <c r="H1735" s="8" t="s">
        <v>7810</v>
      </c>
      <c r="I1735" s="8" t="s">
        <v>7811</v>
      </c>
      <c r="J1735" s="9">
        <v>17.17</v>
      </c>
      <c r="K1735" s="9">
        <v>20.0</v>
      </c>
      <c r="L1735" s="8" t="s">
        <v>5779</v>
      </c>
      <c r="M1735" s="8" t="s">
        <v>7812</v>
      </c>
      <c r="N1735" s="7" t="str">
        <f>IFERROR(__xludf.DUMMYFUNCTION("GOOGLETRANSLATE(L1735, ""en"", ""pt"")"),"Trabalhadores de paisagismo")</f>
        <v>Trabalhadores de paisagismo</v>
      </c>
      <c r="O1735" s="7" t="str">
        <f>IFERROR(__xludf.DUMMYFUNCTION("IF(M1735="""","""",GOOGLETRANSLATE(M1735,""en"",""pt""))"),"REMOVER ERVAS DANINHAS À MÃO, CORTAR GRAMA COM CORTADORES, APARAR AS BORDAS À MÃO E COM APARADOR DE BORDAS, USAR CAMADAS DE BANDEJA, CAPINAR, CAVAR COM PÁ MANUAL, ESPALHAR COBERTURA MORTA À MÃO, USAR SOPRADOR, LIMPAR E REMOVER DETRITOS NA ÁREA DE TRABALHO"&amp;", APLICAR PESTICIDAS E FERTILIZANTES, REGAR, PLANTAR E REMOVER VÁRIOS TIPOS DE PLANTAS. Classificação da Função: 37-3011.00 - Trabalhadores de Paisagismo e Manutenção de Jardins. A classificação e descrição da função/setor inclui informações gerais sobre "&amp;"o cargo, conforme o ONET/OES e o Sistema de Classificação Industrial da América do Norte. Consulte as Funções e a Ordem de Serviço para obter mais informações. Requisitos da vaga Experiência exigida: Não Requisitos especiais: ALERGIAS A FERTILIZANTES, POE"&amp;"IRA, PESTICIDAS, INSETOS E PRODUTOS QUÍMICOS RELACIONADOS PODEM AFETAR A CAPACIDADE DO TRABALHADOR. APÓS A CONTRATAÇÃO, O TRABALHADOR PODERÁ SER SUBMETIDO A UM TESTE DE DROGAS ALEATÓRIO (SEM CUSTO PARA O TRABALHADOR). UM RESULTADO POSITIVO OU A NÃO OBSERV"&amp;"ÂNCIA DO TESTE DE DROGAS PODERÁ RESULTAR NA DEMISSÃO DO CONTRATO DE TRABALHO. O TRABALHADOR DEVE SER CAPAZ DE CAMINHAR, LEVANTAR ATÉ 23 KG, FICAR EM PÉ, SENTAR, ABAIXAR-SE, DOBRAR-SE E ALCANÇAR OBJETOS ACIMA DA CABEÇA E NO NÍVEL DO SOLO POR LONGOS PERÍODO"&amp;"S DE TEMPO. DEVE SER CAPAZ DE TRABALHAR EM TODOS OS TIPOS DE CLIMA (QUENTE, FRIO OU CHUVA) E DEVE SER CAPAZ DE TRABALHAR (NOS FINS DE SEMANA, SE NECESSÁRIO) de segunda a sexta-feira; Trabalho aos sábados e domingos é necessário e, quando preciso, o empreg"&amp;"ador oferecerá 35 horas semanais. Horas extras são oferecidas, mas não garantidas. O empregador poderá oferecer mais horas do que as estipuladas, dependendo do clima, das necessidades da empresa e de outras condições. Calor extremo, frio intenso e chuva p"&amp;"odem afetar o horário de trabalho. O pagamento será feito semanalmente, às sextas-feiras, por depósito direto. Caso o funcionário não possua conta corrente, receberá apenas cheques durante os primeiros 30 dias de trabalho. É necessário tempo para configur"&amp;"ar ou ativar o depósito direto. Número de horas por semana: 35. Horário de trabalho (início/término): 7h às 16h.")</f>
        <v>REMOVER ERVAS DANINHAS À MÃO, CORTAR GRAMA COM CORTADORES, APARAR AS BORDAS À MÃO E COM APARADOR DE BORDAS, USAR CAMADAS DE BANDEJA, CAPINAR, CAVAR COM PÁ MANUAL, ESPALHAR COBERTURA MORTA À MÃO, USAR SOPRADOR, LIMPAR E REMOVER DETRITOS NA ÁREA DE TRABALHO, APLICAR PESTICIDAS E FERTILIZANTES, REGAR, PLANTAR E REMOVER VÁRIOS TIPOS DE PLANTAS. Classificação da Função: 37-3011.00 - Trabalhadores de Paisagismo e Manutenção de Jardins. A classificação e descrição da função/setor inclui informações gerais sobre o cargo, conforme o ONET/OES e o Sistema de Classificação Industrial da América do Norte. Consulte as Funções e a Ordem de Serviço para obter mais informações. Requisitos da vaga Experiência exigida: Não Requisitos especiais: ALERGIAS A FERTILIZANTES, POEIRA, PESTICIDAS, INSETOS E PRODUTOS QUÍMICOS RELACIONADOS PODEM AFETAR A CAPACIDADE DO TRABALHADOR. APÓS A CONTRATAÇÃO, O TRABALHADOR PODERÁ SER SUBMETIDO A UM TESTE DE DROGAS ALEATÓRIO (SEM CUSTO PARA O TRABALHADOR). UM RESULTADO POSITIVO OU A NÃO OBSERVÂNCIA DO TESTE DE DROGAS PODERÁ RESULTAR NA DEMISSÃO DO CONTRATO DE TRABALHO. O TRABALHADOR DEVE SER CAPAZ DE CAMINHAR, LEVANTAR ATÉ 23 KG, FICAR EM PÉ, SENTAR, ABAIXAR-SE, DOBRAR-SE E ALCANÇAR OBJETOS ACIMA DA CABEÇA E NO NÍVEL DO SOLO POR LONGOS PERÍODOS DE TEMPO. DEVE SER CAPAZ DE TRABALHAR EM TODOS OS TIPOS DE CLIMA (QUENTE, FRIO OU CHUVA) E DEVE SER CAPAZ DE TRABALHAR (NOS FINS DE SEMANA, SE NECESSÁRIO) de segunda a sexta-feira; Trabalho aos sábados e domingos é necessário e, quando preciso, o empregador oferecerá 35 horas semanais. Horas extras são oferecidas, mas não garantidas. O empregador poderá oferecer mais horas do que as estipuladas, dependendo do clima, das necessidades da empresa e de outras condições. Calor extremo, frio intenso e chuva podem afetar o horário de trabalho. O pagamento será feito semanalmente, às sextas-feiras, por depósito direto. Caso o funcionário não possua conta corrente, receberá apenas cheques durante os primeiros 30 dias de trabalho. É necessário tempo para configurar ou ativar o depósito direto. Número de horas por semana: 35. Horário de trabalho (início/término): 7h às 16h.</v>
      </c>
    </row>
    <row r="1736" ht="20.25" customHeight="1">
      <c r="A1736" s="3" t="s">
        <v>7813</v>
      </c>
      <c r="B1736" s="3" t="s">
        <v>7814</v>
      </c>
      <c r="C1736" s="3" t="s">
        <v>6921</v>
      </c>
      <c r="D1736" s="3" t="s">
        <v>71</v>
      </c>
      <c r="E1736" s="4" t="s">
        <v>19</v>
      </c>
      <c r="F1736" s="4" t="s">
        <v>20</v>
      </c>
      <c r="G1736" s="4" t="s">
        <v>7815</v>
      </c>
      <c r="H1736" s="3" t="s">
        <v>7816</v>
      </c>
      <c r="I1736" s="3" t="s">
        <v>7817</v>
      </c>
      <c r="J1736" s="4">
        <v>17.88</v>
      </c>
      <c r="K1736" s="4">
        <v>9.0</v>
      </c>
      <c r="L1736" s="3" t="s">
        <v>387</v>
      </c>
      <c r="M1736" s="3" t="s">
        <v>7818</v>
      </c>
      <c r="N1736" s="7" t="str">
        <f>IFERROR(__xludf.DUMMYFUNCTION("GOOGLETRANSLATE(L1736, ""en"", ""pt"")"),"Ordem de serviço não disponível")</f>
        <v>Ordem de serviço não disponível</v>
      </c>
      <c r="O1736" s="7" t="str">
        <f>IFERROR(__xludf.DUMMYFUNCTION("IF(M1736="""","""",GOOGLETRANSLATE(M1736,""en"",""pt""))"),"Preparar, temperar, pesar, medir e misturar ingredientes para receitas. Cozinhar, provar, decorar e apresentar os alimentos cozidos. Praticar o manuseio higiênico de alimentos. Classificação da vaga: 35-2014.00 - Cozinheiros, Restaurante. A classificação "&amp;"e descrição da vaga/setor inclui informações gerais sobre a posição, de acordo com o ONET/OES e o Sistema de Classificação Industrial da América do Norte. Consulte as Funções e a Ordem de Serviço para obter mais informações. Requisitos da vaga: Experiênci"&amp;"a necessária: Sim. Meses de experiência necessários: 6. Requisitos especiais: Capacidade de levantar 23 kg. Treinamento no local de trabalho fornecido. Treinamento oferecido. Turnos disponíveis 6 dias por semana, incluindo noites, fins de semana e feriado"&amp;"s. Turnos rotativos. Horário de trabalho: das 15h às 23h, com turnos baseados na época do ano, disponibilidade de luz e necessidade. Salário por hora: de US$ 17,88 a US$ 25,00 por hora (com base no mérito e experiência anterior na empresa). Possível aumen"&amp;"to salarial: A Petars oferece aumentos salariais com base no mérito. Possibilidade de horas extras: Horas extras podem estar disponíveis. Salário entre US$ 26,82 e US$ 37,50 por hora. Número de horas por semana: 35. Horário de trabalho (início/término): 1"&amp;"5h às 23h.")</f>
        <v>Preparar, temperar, pesar, medir e misturar ingredientes para receitas. Cozinhar, provar, decorar e apresentar os alimentos cozidos. Praticar o manuseio higiênico de alimentos. Classificação da vaga: 35-2014.00 - Cozinheiros, Restaurante. A classificação e descrição da vaga/setor inclui informações gerais sobre a posição, de acordo com o ONET/OES e o Sistema de Classificação Industrial da América do Norte. Consulte as Funções e a Ordem de Serviço para obter mais informações. Requisitos da vaga: Experiência necessária: Sim. Meses de experiência necessários: 6. Requisitos especiais: Capacidade de levantar 23 kg. Treinamento no local de trabalho fornecido. Treinamento oferecido. Turnos disponíveis 6 dias por semana, incluindo noites, fins de semana e feriados. Turnos rotativos. Horário de trabalho: das 15h às 23h, com turnos baseados na época do ano, disponibilidade de luz e necessidade. Salário por hora: de US$ 17,88 a US$ 25,00 por hora (com base no mérito e experiência anterior na empresa). Possível aumento salarial: A Petars oferece aumentos salariais com base no mérito. Possibilidade de horas extras: Horas extras podem estar disponíveis. Salário entre US$ 26,82 e US$ 37,50 por hora. Número de horas por semana: 35. Horário de trabalho (início/término): 15h às 23h.</v>
      </c>
    </row>
    <row r="1737" ht="20.25" customHeight="1">
      <c r="A1737" s="8" t="s">
        <v>7819</v>
      </c>
      <c r="B1737" s="8" t="s">
        <v>7820</v>
      </c>
      <c r="C1737" s="8" t="s">
        <v>7651</v>
      </c>
      <c r="D1737" s="8" t="s">
        <v>109</v>
      </c>
      <c r="E1737" s="9" t="s">
        <v>19</v>
      </c>
      <c r="F1737" s="9" t="s">
        <v>20</v>
      </c>
      <c r="G1737" s="9" t="s">
        <v>404</v>
      </c>
      <c r="H1737" s="8" t="s">
        <v>7821</v>
      </c>
      <c r="I1737" s="8" t="s">
        <v>7822</v>
      </c>
      <c r="J1737" s="9">
        <v>18.54</v>
      </c>
      <c r="K1737" s="9">
        <v>12.0</v>
      </c>
      <c r="L1737" s="8" t="s">
        <v>7496</v>
      </c>
      <c r="M1737" s="8" t="s">
        <v>7823</v>
      </c>
      <c r="N1737" s="7" t="str">
        <f>IFERROR(__xludf.DUMMYFUNCTION("GOOGLETRANSLATE(L1737, ""en"", ""pt"")"),"Zeladores")</f>
        <v>Zeladores</v>
      </c>
      <c r="O1737" s="7" t="str">
        <f>IFERROR(__xludf.DUMMYFUNCTION("IF(M1737="""","""",GOOGLETRANSLATE(M1737,""en"",""pt""))"),"Os funcionários removerão a neve de calçadas, entradas de garagem e estacionamentos usando apenas ferramentas manuais, como pás de neve e espalhadores de sal manuais, sem o uso de limpa-neves ou equipamentos motorizados de remoção de neve. Além da remoção"&amp;" de neve, os funcionários limparão as áreas comuns internas e externas de propriedades comerciais, incluindo entradas, corredores, saguões, salas de descanso, banheiros e estacionamentos. As tarefas de limpeza incluem varrer, passar pano, esvaziar lixeira"&amp;"s, limpar superfícies, repor suprimentos e recolher lixo para manter condições seguras e higiênicas. O cargo exige flexão, agachamento, ajoelhamento, empurrões e puxões frequentes ao manobrar lixeiras comerciais, carregar sacos de entulho em contêineres e"&amp;" transportar suprimentos em carrinhos. Os funcionários também devem subir escadas para limpar luminárias, saídas de ar no teto e janelas, usando destreza manual para operar ferramentas de limpeza como vassouras, esfregões, rodos, espanadores e borrifadore"&amp;"s. As máquinas adicionais utilizadas na função incluem aspiradores de pó verticais e de mochila, enceradeiras e aspiradores de pó e água para limpeza profunda de pisos e remoção de água ou detritos. Classificação da função: 37-2011.00 - Zeladores e Faxine"&amp;"iros, exceto empregadas domésticas e faxineiras. A classificação e descrição da função/setor incluem informações gerais sobre o cargo, de acordo com o ONET/OES e o Sistema de Classificação Industrial da América do Norte. Consulte as Funções e a Ordem de S"&amp;"erviço para obter mais informações. Requisitos da função Experiência necessária: Sim Meses de experiência necessários: 3 Requisitos especiais: Capacidade de levantar e carregar até 23 kg. Permanecer em pé por longos períodos, caminhar em superfícies escor"&amp;"regadias e se locomover por grandes áreas. Flexionar-se, abaixar-se, ajoelhar-se, empurrar e puxar equipamentos pesados ​​com frequência. Subir escadas, destreza manual para manusear ferramentas e operar máquinas. Resistência por longos períodos em divers"&amp;"as condições climáticas, incluindo ambientes frios e úmidos. Número de horas por semana: 60 Horário de trabalho (início/término): 6h00 - 18h00")</f>
        <v>Os funcionários removerão a neve de calçadas, entradas de garagem e estacionamentos usando apenas ferramentas manuais, como pás de neve e espalhadores de sal manuais, sem o uso de limpa-neves ou equipamentos motorizados de remoção de neve. Além da remoção de neve, os funcionários limparão as áreas comuns internas e externas de propriedades comerciais, incluindo entradas, corredores, saguões, salas de descanso, banheiros e estacionamentos. As tarefas de limpeza incluem varrer, passar pano, esvaziar lixeiras, limpar superfícies, repor suprimentos e recolher lixo para manter condições seguras e higiênicas. O cargo exige flexão, agachamento, ajoelhamento, empurrões e puxões frequentes ao manobrar lixeiras comerciais, carregar sacos de entulho em contêineres e transportar suprimentos em carrinhos. Os funcionários também devem subir escadas para limpar luminárias, saídas de ar no teto e janelas, usando destreza manual para operar ferramentas de limpeza como vassouras, esfregões, rodos, espanadores e borrifadores. As máquinas adicionais utilizadas na função incluem aspiradores de pó verticais e de mochila, enceradeiras e aspiradores de pó e água para limpeza profunda de pisos e remoção de água ou detritos. Classificação da função: 37-2011.00 - Zeladores e Faxineiros, exceto empregadas domésticas e faxineiras. A classificação e descrição da função/setor incluem informações gerais sobre o cargo, de acordo com o ONET/OES e o Sistema de Classificação Industrial da América do Norte. Consulte as Funções e a Ordem de Serviço para obter mais informações. Requisitos da função Experiência necessária: Sim Meses de experiência necessários: 3 Requisitos especiais: Capacidade de levantar e carregar até 23 kg. Permanecer em pé por longos períodos, caminhar em superfícies escorregadias e se locomover por grandes áreas. Flexionar-se, abaixar-se, ajoelhar-se, empurrar e puxar equipamentos pesados ​​com frequência. Subir escadas, destreza manual para manusear ferramentas e operar máquinas. Resistência por longos períodos em diversas condições climáticas, incluindo ambientes frios e úmidos. Número de horas por semana: 60 Horário de trabalho (início/término): 6h00 - 18h00</v>
      </c>
    </row>
    <row r="1738" ht="20.25" customHeight="1">
      <c r="A1738" s="3" t="s">
        <v>7824</v>
      </c>
      <c r="B1738" s="3" t="s">
        <v>7825</v>
      </c>
      <c r="C1738" s="3" t="s">
        <v>1000</v>
      </c>
      <c r="D1738" s="3" t="s">
        <v>299</v>
      </c>
      <c r="E1738" s="4" t="s">
        <v>19</v>
      </c>
      <c r="F1738" s="4" t="s">
        <v>20</v>
      </c>
      <c r="G1738" s="4" t="s">
        <v>307</v>
      </c>
      <c r="H1738" s="3" t="s">
        <v>7826</v>
      </c>
      <c r="I1738" s="3" t="s">
        <v>7827</v>
      </c>
      <c r="J1738" s="4">
        <v>18.08</v>
      </c>
      <c r="K1738" s="4">
        <v>16.0</v>
      </c>
      <c r="L1738" s="3" t="s">
        <v>1720</v>
      </c>
      <c r="M1738" s="3" t="s">
        <v>7828</v>
      </c>
      <c r="N1738" s="7" t="str">
        <f>IFERROR(__xludf.DUMMYFUNCTION("GOOGLETRANSLATE(L1738, ""en"", ""pt"")"),"Ajudantes de Carpinteiro")</f>
        <v>Ajudantes de Carpinteiro</v>
      </c>
      <c r="O1738" s="7" t="str">
        <f>IFERROR(__xludf.DUMMYFUNCTION("IF(M1738="""","""",GOOGLETRANSLATE(M1738,""en"",""pt""))"),"Executar tarefas que exigem menos habilidade no canteiro de obras, incluindo auxiliar carpinteiros na disposição de materiais, revestimentos e madeira para edifícios, fixar madeira para erguer paredes, construir formas e instalar treliças. Levantar, carre"&amp;"gar, segurar, medir, cortar, pregar, montar e fixar madeira e outros materiais conforme instruções do supervisor. Limpar os resíduos de materiais nos canteiros de obras. Classificação da vaga: 47-3012.00 - Ajudantes de Carpinteiro. A classificação e descr"&amp;"ição da vaga/setor incluem informações gerais sobre o cargo, de acordo com o ONET/OES e o Sistema de Classificação Industrial da América do Norte (NAICS). Consulte as Funções e a Ordem de Serviço para obter mais informações. Requisitos da vaga: Experiênci"&amp;"a necessária: Sim. Meses de experiência necessários: 3. Requisitos especiais: Deve ser capaz de levantar e carregar 34 kg por 69 metros. Deve ser capaz de lidar com temperaturas extremas. Trabalho em alguns fins de semana. Número de horas por semana: 40. "&amp;"Horário de trabalho (início/término): 7h às 17h.")</f>
        <v>Executar tarefas que exigem menos habilidade no canteiro de obras, incluindo auxiliar carpinteiros na disposição de materiais, revestimentos e madeira para edifícios, fixar madeira para erguer paredes, construir formas e instalar treliças. Levantar, carregar, segurar, medir, cortar, pregar, montar e fixar madeira e outros materiais conforme instruções do supervisor. Limpar os resíduos de materiais nos canteiros de obras. Classificação da vaga: 47-3012.00 - Ajudantes de Carpinteiro. A classificação e descrição da vaga/setor incluem informações gerais sobre o cargo, de acordo com o ONET/OES e o Sistema de Classificação Industrial da América do Norte (NAICS). Consulte as Funções e a Ordem de Serviço para obter mais informações. Requisitos da vaga: Experiência necessária: Sim. Meses de experiência necessários: 3. Requisitos especiais: Deve ser capaz de levantar e carregar 34 kg por 69 metros. Deve ser capaz de lidar com temperaturas extremas. Trabalho em alguns fins de semana. Número de horas por semana: 40. Horário de trabalho (início/término): 7h às 17h.</v>
      </c>
    </row>
    <row r="1739" ht="20.25" customHeight="1">
      <c r="A1739" s="8" t="s">
        <v>7829</v>
      </c>
      <c r="B1739" s="8" t="s">
        <v>7825</v>
      </c>
      <c r="C1739" s="8" t="s">
        <v>1000</v>
      </c>
      <c r="D1739" s="8" t="s">
        <v>299</v>
      </c>
      <c r="E1739" s="9" t="s">
        <v>44</v>
      </c>
      <c r="F1739" s="9" t="s">
        <v>20</v>
      </c>
      <c r="G1739" s="9" t="s">
        <v>307</v>
      </c>
      <c r="H1739" s="8" t="s">
        <v>7826</v>
      </c>
      <c r="I1739" s="8" t="s">
        <v>7827</v>
      </c>
      <c r="J1739" s="9">
        <v>25.92</v>
      </c>
      <c r="K1739" s="9">
        <v>5.0</v>
      </c>
      <c r="L1739" s="8" t="s">
        <v>262</v>
      </c>
      <c r="M1739" s="8" t="s">
        <v>7830</v>
      </c>
      <c r="N1739" s="7" t="str">
        <f>IFERROR(__xludf.DUMMYFUNCTION("GOOGLETRANSLATE(L1739, ""en"", ""pt"")"),"Operário da construção civil")</f>
        <v>Operário da construção civil</v>
      </c>
      <c r="O1739" s="7" t="str">
        <f>IFERROR(__xludf.DUMMYFUNCTION("IF(M1739="""","""",GOOGLETRANSLATE(M1739,""en"",""pt""))"),"Executar trabalho braçal em canteiro de obras de concreto. Preparar o local para a concretagem, carregando e descarregando materiais, utilizando linhas de marcação, cortando madeira com serra circular, utilizando marreta para cravar estacas no solo, cavan"&amp;"do e nivelando a terra com pás e compactadores de solo. Auxiliar na concretagem utilizando carrinhos de mão, rastelos e pás. Aplicar concreto. Limpar os resíduos. Classificação da Função: 47-2061.00 - Auxiliares de Construção. A classificação e descrição "&amp;"da função/setor incluem informações gerais sobre o cargo, de acordo com o ONET/OES e o Sistema de Classificação Industrial da América do Norte (NAICS). Consulte as Funções e a Ordem de Serviço para obter mais informações. Requisitos da Função: Experiência"&amp;" Necessária: Sim. Meses de Experiência Necessários: 3. Requisitos Especiais: Capacidade de levantar e carregar 34 kg por 45 metros. Capacidade de lidar com temperaturas extremas. Trabalho em alguns fins de semana. Número de Horas por Semana: 40. Horário d"&amp;"e Trabalho (Início/Término): 7h. - 17h00")</f>
        <v>Executar trabalho braçal em canteiro de obras de concreto. Preparar o local para a concretagem, carregando e descarregando materiais, utilizando linhas de marcação, cortando madeira com serra circular, utilizando marreta para cravar estacas no solo, cavando e nivelando a terra com pás e compactadores de solo. Auxiliar na concretagem utilizando carrinhos de mão, rastelos e pás. Aplicar concreto. Limpar os resíduos. Classificação da Função: 47-2061.00 - Auxiliares de Construção. A classificação e descrição da função/setor incluem informações gerais sobre o cargo, de acordo com o ONET/OES e o Sistema de Classificação Industrial da América do Norte (NAICS). Consulte as Funções e a Ordem de Serviço para obter mais informações. Requisitos da Função: Experiência Necessária: Sim. Meses de Experiência Necessários: 3. Requisitos Especiais: Capacidade de levantar e carregar 34 kg por 45 metros. Capacidade de lidar com temperaturas extremas. Trabalho em alguns fins de semana. Número de Horas por Semana: 40. Horário de Trabalho (Início/Término): 7h. - 17h00</v>
      </c>
    </row>
    <row r="1740" ht="20.25" customHeight="1">
      <c r="A1740" s="3" t="s">
        <v>7831</v>
      </c>
      <c r="B1740" s="3" t="s">
        <v>7832</v>
      </c>
      <c r="C1740" s="3" t="s">
        <v>7651</v>
      </c>
      <c r="D1740" s="3" t="s">
        <v>299</v>
      </c>
      <c r="E1740" s="4" t="s">
        <v>44</v>
      </c>
      <c r="F1740" s="4" t="s">
        <v>20</v>
      </c>
      <c r="G1740" s="4" t="s">
        <v>404</v>
      </c>
      <c r="H1740" s="3" t="s">
        <v>7833</v>
      </c>
      <c r="I1740" s="3" t="s">
        <v>7834</v>
      </c>
      <c r="J1740" s="4">
        <v>19.66</v>
      </c>
      <c r="K1740" s="4">
        <v>12.0</v>
      </c>
      <c r="L1740" s="3" t="s">
        <v>7496</v>
      </c>
      <c r="M1740" s="3" t="s">
        <v>7835</v>
      </c>
      <c r="N1740" s="7" t="str">
        <f>IFERROR(__xludf.DUMMYFUNCTION("GOOGLETRANSLATE(L1740, ""en"", ""pt"")"),"Zeladores")</f>
        <v>Zeladores</v>
      </c>
      <c r="O1740" s="7" t="str">
        <f>IFERROR(__xludf.DUMMYFUNCTION("IF(M1740="""","""",GOOGLETRANSLATE(M1740,""en"",""pt""))"),"Manter os edifícios e terrenos limpos e organizados. Executar tarefas de limpeza pesada, como limpeza de pisos, lavagem de carpetes, limpeza de paredes e vidros e remoção de lixo. As tarefas podem incluir a manutenção de fornos e caldeiras, a realização d"&amp;"e atividades de manutenção de rotina, a notificação da gerência sobre a necessidade de reparos e a limpeza de neve ou detritos da calçada. Classificação da vaga: 37-2011.00 - Zeladores e Faxineiros, exceto empregadas domésticas e faxineiras. A classificaç"&amp;"ão e descrição da vaga/setor incluem informações gerais sobre o cargo, de acordo com o ONET/OES e o Sistema de Classificação Industrial da América do Norte. Consulte as Funções e a Ordem de Serviço para obter mais informações. Requisitos da vaga: Experiên"&amp;"cia necessária: Sim. Meses de experiência necessários: 3. Requisitos especiais: Deve ser capaz de levantar e carregar 11 kg por 45 metros. Deve ser capaz de lidar com temperaturas extremas. Número de horas por semana: 40. Horário de trabalho (início/térmi"&amp;"no): 8h às 17h.")</f>
        <v>Manter os edifícios e terrenos limpos e organizados. Executar tarefas de limpeza pesada, como limpeza de pisos, lavagem de carpetes, limpeza de paredes e vidros e remoção de lixo. As tarefas podem incluir a manutenção de fornos e caldeiras, a realização de atividades de manutenção de rotina, a notificação da gerência sobre a necessidade de reparos e a limpeza de neve ou detritos da calçada. Classificação da vaga: 37-2011.00 - Zeladores e Faxineiros, exceto empregadas domésticas e faxineiras. A classificação e descrição da vaga/setor incluem informações gerais sobre o cargo, de acordo com o ONET/OES e o Sistema de Classificação Industrial da América do Norte. Consulte as Funções e a Ordem de Serviço para obter mais informações. Requisitos da vaga: Experiência necessária: Sim. Meses de experiência necessários: 3. Requisitos especiais: Deve ser capaz de levantar e carregar 11 kg por 45 metros. Deve ser capaz de lidar com temperaturas extremas. Número de horas por semana: 40. Horário de trabalho (início/término): 8h às 17h.</v>
      </c>
    </row>
    <row r="1741" ht="20.25" customHeight="1">
      <c r="A1741" s="8" t="s">
        <v>7836</v>
      </c>
      <c r="B1741" s="8" t="s">
        <v>7837</v>
      </c>
      <c r="C1741" s="8" t="s">
        <v>7651</v>
      </c>
      <c r="D1741" s="8" t="s">
        <v>249</v>
      </c>
      <c r="E1741" s="9" t="s">
        <v>19</v>
      </c>
      <c r="F1741" s="9" t="s">
        <v>20</v>
      </c>
      <c r="G1741" s="9" t="s">
        <v>404</v>
      </c>
      <c r="H1741" s="8" t="s">
        <v>7838</v>
      </c>
      <c r="I1741" s="8" t="s">
        <v>7839</v>
      </c>
      <c r="J1741" s="9">
        <v>17.45</v>
      </c>
      <c r="K1741" s="9">
        <v>10.0</v>
      </c>
      <c r="L1741" s="8" t="s">
        <v>7496</v>
      </c>
      <c r="M1741" s="8" t="s">
        <v>7840</v>
      </c>
      <c r="N1741" s="7" t="str">
        <f>IFERROR(__xludf.DUMMYFUNCTION("GOOGLETRANSLATE(L1741, ""en"", ""pt"")"),"Zeladores")</f>
        <v>Zeladores</v>
      </c>
      <c r="O1741" s="7" t="str">
        <f>IFERROR(__xludf.DUMMYFUNCTION("IF(M1741="""","""",GOOGLETRANSLATE(M1741,""en"",""pt""))"),"Manter os edifícios e terrenos limpos e organizados. Executar tarefas de limpeza pesada, como limpeza de pisos, lavagem de carpetes, limpeza de paredes e vidros e remoção de lixo. As tarefas podem incluir a manutenção de fornos e caldeiras, a realização d"&amp;"e atividades de manutenção de rotina, a notificação da gerência sobre a necessidade de reparos e a limpeza de neve ou detritos da calçada. Classificação da vaga: 37-2011.00 - Zeladores e Faxineiros, exceto empregadas domésticas e faxineiras. A classificaç"&amp;"ão e descrição da vaga/setor incluem informações gerais sobre o cargo, de acordo com o ONET/OES e o Sistema de Classificação Industrial da América do Norte. Consulte as Funções e a Ordem de Serviço para obter mais informações. Requisitos da vaga: Experiên"&amp;"cia necessária: Sim. Meses de experiência necessários: 3. Requisitos especiais: Deve ser capaz de levantar e carregar 11 kg por 45 metros. Deve ser capaz de lidar com temperaturas extremas. Número de horas por semana: 40. Horário de trabalho (início/térmi"&amp;"no): 7h30 às 16h30.")</f>
        <v>Manter os edifícios e terrenos limpos e organizados. Executar tarefas de limpeza pesada, como limpeza de pisos, lavagem de carpetes, limpeza de paredes e vidros e remoção de lixo. As tarefas podem incluir a manutenção de fornos e caldeiras, a realização de atividades de manutenção de rotina, a notificação da gerência sobre a necessidade de reparos e a limpeza de neve ou detritos da calçada. Classificação da vaga: 37-2011.00 - Zeladores e Faxineiros, exceto empregadas domésticas e faxineiras. A classificação e descrição da vaga/setor incluem informações gerais sobre o cargo, de acordo com o ONET/OES e o Sistema de Classificação Industrial da América do Norte. Consulte as Funções e a Ordem de Serviço para obter mais informações. Requisitos da vaga: Experiência necessária: Sim. Meses de experiência necessários: 3. Requisitos especiais: Deve ser capaz de levantar e carregar 11 kg por 45 metros. Deve ser capaz de lidar com temperaturas extremas. Número de horas por semana: 40. Horário de trabalho (início/término): 7h30 às 16h30.</v>
      </c>
    </row>
    <row r="1742" ht="20.25" customHeight="1">
      <c r="A1742" s="3" t="s">
        <v>7841</v>
      </c>
      <c r="B1742" s="3" t="s">
        <v>7842</v>
      </c>
      <c r="C1742" s="3" t="s">
        <v>6228</v>
      </c>
      <c r="D1742" s="3" t="s">
        <v>36</v>
      </c>
      <c r="E1742" s="4" t="s">
        <v>19</v>
      </c>
      <c r="F1742" s="4" t="s">
        <v>20</v>
      </c>
      <c r="G1742" s="4" t="s">
        <v>56</v>
      </c>
      <c r="H1742" s="3" t="s">
        <v>7843</v>
      </c>
      <c r="I1742" s="3" t="s">
        <v>7844</v>
      </c>
      <c r="J1742" s="4">
        <v>21.83</v>
      </c>
      <c r="K1742" s="4">
        <v>9.0</v>
      </c>
      <c r="L1742" s="3" t="s">
        <v>121</v>
      </c>
      <c r="M1742" s="3" t="s">
        <v>7845</v>
      </c>
      <c r="N1742" s="7" t="str">
        <f>IFERROR(__xludf.DUMMYFUNCTION("GOOGLETRANSLATE(L1742, ""en"", ""pt"")"),"Trabalhador braçal")</f>
        <v>Trabalhador braçal</v>
      </c>
      <c r="O1742" s="7" t="str">
        <f>IFERROR(__xludf.DUMMYFUNCTION("IF(M1742="""","""",GOOGLETRANSLATE(M1742,""en"",""pt""))"),"Como trabalhadores braçais, esses funcionários complementarão a equipe existente realizando atividades de trabalho físico em canteiros de obras; auxiliarão os aplicadores de revestimento executando tarefas que exigem menos habilidade; utilizarão, fornecer"&amp;"ão ou manusearão materiais ou ferramentas e limparão a área de trabalho e os equipamentos; poderão operar ferramentas manuais e elétricas de diversos tipos, como martelos de pedreiro, compactadores de solo e uma variedade de outros equipamentos de pequeno"&amp;" porte; poderão limpar e preparar terrenos, cavar valas, instalar escoras para sustentar as laterais das escavações e limpar detritos e outros resíduos; operarão com segurança os equipamentos da empresa, auxiliarão na manutenção e limpeza leves e executar"&amp;"ão tarefas conforme instruído pelo supervisor ou líder da equipe de forma segura e oportuna. Os trabalhadores também realizarão tarefas de final de temporada, como a limpeza do canteiro de obras e a remoção de gelo e neve. Isso inclui, entre outras coisas"&amp;", a remoção de materiais desgastados, danificados ou obsoletos, a limpeza manual de detritos das áreas de trabalho ou a limpeza de ferramentas como vassouras, esfregões, baldes, aspiradores e escadas. Os trabalhadores também realizarão limpeza/manutenção "&amp;"básica, como a remoção de sujeira, graxa ou lama dos equipamentos, manualmente ou utilizando ferramentas como mangueiras de água, escovas, esponjas e desengraxantes. Realizarão ainda a remoção de gelo e neve utilizando ferramentas como pás, quebra-gelos, "&amp;"ancinhos e vassouras, podendo aplicar soluções salinas no solo como pré-tratamento para gelo e neve. Auxiliarão os aplicadores de revestimento na preparação e limpeza das áreas de trabalho; no carregamento, descarregamento, movimentação e organização de m"&amp;"ateriais; na preparação das paredes da fundação antes da aplicação do revestimento, removendo detritos; e na organização de pistolas e mangueiras de pulverização, placas de drenagem e rolos de drenos de fundação e mantas de drenagem. Após a conclusão da a"&amp;"plicação, auxiliarão nas medições e fotografias do trabalho finalizado e realizarão a limpeza final antes de deixar o local. As ferramentas, equipamentos e materiais utilizados podem incluir pistolas e mangueiras de pulverização, placas de drenagem, dreno"&amp;"s de fundação, mantas de drenagem e materiais associados ao processo de aplicação do revestimento. Os trabalhadores realizarão trabalhos em áreas ao redor das fundações que foram escavadas para o desenvolvimento do projeto. Algumas fundações podem exigir "&amp;"escavações adicionais, dependendo do caso. Nessas situações, os trabalhadores cavarão as valas manualmente, utilizando pás, picaretas, enxadas, alavancas e rastelos, conforme necessário. Os trabalhadores poderão operar com segurança os equipamentos da emp"&amp;"resa, conforme exigido pelo escopo do trabalho. Os equipamentos podem incluir lavadoras de alta pressão, geradores portáteis, compressores de ar, bombas d'água, carrinhos de mão, carrinhos de materiais, pulverizadores, caminhonetes, tratores, minicarregad"&amp;"eiras e outros pequenos equipamentos de construção utilizados para transportar materiais e apoiar as atividades de construção. Os trabalhadores auxiliarão na manutenção e limpeza leves, limpando ferramentas e equipamentos; removendo sujeira, lama, graxa, "&amp;"revestimentos e detritos; lavando equipamentos com mangueiras de água, escovas, esponjas e desengraxantes; verificando os níveis de fluidos; organizando ferramentas e materiais; e mantendo as áreas de trabalho limpas. Os trabalhadores executarão tarefas c"&amp;"onforme instruído pelo supervisor ou líder da equipe, incluindo carregar, descarregar e organizar materiais; preparação e limpeza do local; preparação de valas; instalação e remoção de escoras e coberturas protetoras; auxílio a trabalhadores qualificados;"&amp;" manuseio de ferramentas e suprimentos; Remoção de detritos; e apoio às operações gerais de construção. As tarefas de final de temporada podem incluir preparação adicional de fundações, incluindo a remoção de neve ou gelo. As tarefas finais de final de te"&amp;"mporada também podem incluir a limpeza dos veículos da frota, o controle das ferramentas e equipamentos utilizados e o auxílio na consolidação do estoque usado. Os trabalhadores operarão tratores e minicarregadeiras para movimentar materiais impermeabiliz"&amp;"antes, espalhar agregados e detritos, carregar e descarregar materiais e auxiliar na limpeza (não na escavação primária). Caminhonetes transportarão trabalhadores, ferramentas, equipamentos, materiais impermeabilizantes, revestimentos, membranas, produtos"&amp;" de drenagem e suprimentos. Classificação da Função: 53-7051.00 - Operadores de Caminhões e Tratores Industriais. A classificação e descrição da função/indústria incluem informações gerais sobre o cargo, de acordo com o ONET/OES e o Sistema de Classificaç"&amp;"ão Industrial da América do Norte. Consulte as Funções e a Ordem de Serviço para obter mais informações. Requisitos da Função Experiência Necessária: Sim Meses de Experiência Necessária: 1 Requisitos Especiais: Um mês de experiência em construção ou áreas"&amp;" afins. Deve ser capaz de levantar e carregar 34 kg. O funcionário deverá caminhar por 75 jardas (aproximadamente 68 metros) frequentemente ao longo do dia de trabalho. Esta função dá suporte a todas as áreas da empresa, conforme determinado pelo supervis"&amp;"or, e realiza trabalhos na área residencial, no interior de casas, mesmo em condições climáticas adversas. Ao desempenhar as funções deste cargo, o funcionário temporário deverá ficar em pé, caminhar e sentar-se regularmente. O funcionário deverá frequent"&amp;"emente usar as mãos para manipular objetos; alcançar com as mãos e os braços; subir ou equilibrar-se; agachar-se, ajoelhar-se, curvar-se ou rastejar; e falar e ouvir. O funcionário deve ser capaz de levantar e/ou mover objetos pesados. As habilidades visu"&amp;"ais necessárias para este cargo incluem visão de perto, visão de longe, visão periférica, percepção de profundidade e capacidade de ajustar o foco. As características do ambiente de trabalho descritas aqui são representativas daquelas que um funcionário e"&amp;"ncontra ao desempenhar as funções essenciais deste cargo. Adaptações razoáveis ​​podem ser feitas para permitir que pessoas com deficiência desempenhem as funções essenciais. A empresa fornecerá equipamentos de proteção individual para uso do funcionário "&amp;"em todas as situações aplicáveis. Ao desempenhar as funções deste cargo, o funcionário encontrará regularmente condições climáticas externas, peças mecânicas em movimento, locais altos, vapores ou partículas em suspensão no ar e produtos químicos. O funci"&amp;"onário frequentemente encontrará condições úmidas e/ou molhadas. O nível de ruído no ambiente de trabalho varia de moderado a alto. Número de horas por semana: 40. Horário de trabalho (início/término): 6h às 15h.")</f>
        <v>Como trabalhadores braçais, esses funcionários complementarão a equipe existente realizando atividades de trabalho físico em canteiros de obras; auxiliarão os aplicadores de revestimento executando tarefas que exigem menos habilidade; utilizarão, fornecerão ou manusearão materiais ou ferramentas e limparão a área de trabalho e os equipamentos; poderão operar ferramentas manuais e elétricas de diversos tipos, como martelos de pedreiro, compactadores de solo e uma variedade de outros equipamentos de pequeno porte; poderão limpar e preparar terrenos, cavar valas, instalar escoras para sustentar as laterais das escavações e limpar detritos e outros resíduos; operarão com segurança os equipamentos da empresa, auxiliarão na manutenção e limpeza leves e executarão tarefas conforme instruído pelo supervisor ou líder da equipe de forma segura e oportuna. Os trabalhadores também realizarão tarefas de final de temporada, como a limpeza do canteiro de obras e a remoção de gelo e neve. Isso inclui, entre outras coisas, a remoção de materiais desgastados, danificados ou obsoletos, a limpeza manual de detritos das áreas de trabalho ou a limpeza de ferramentas como vassouras, esfregões, baldes, aspiradores e escadas. Os trabalhadores também realizarão limpeza/manutenção básica, como a remoção de sujeira, graxa ou lama dos equipamentos, manualmente ou utilizando ferramentas como mangueiras de água, escovas, esponjas e desengraxantes. Realizarão ainda a remoção de gelo e neve utilizando ferramentas como pás, quebra-gelos, ancinhos e vassouras, podendo aplicar soluções salinas no solo como pré-tratamento para gelo e neve. Auxiliarão os aplicadores de revestimento na preparação e limpeza das áreas de trabalho; no carregamento, descarregamento, movimentação e organização de materiais; na preparação das paredes da fundação antes da aplicação do revestimento, removendo detritos; e na organização de pistolas e mangueiras de pulverização, placas de drenagem e rolos de drenos de fundação e mantas de drenagem. Após a conclusão da aplicação, auxiliarão nas medições e fotografias do trabalho finalizado e realizarão a limpeza final antes de deixar o local. As ferramentas, equipamentos e materiais utilizados podem incluir pistolas e mangueiras de pulverização, placas de drenagem, drenos de fundação, mantas de drenagem e materiais associados ao processo de aplicação do revestimento. Os trabalhadores realizarão trabalhos em áreas ao redor das fundações que foram escavadas para o desenvolvimento do projeto. Algumas fundações podem exigir escavações adicionais, dependendo do caso. Nessas situações, os trabalhadores cavarão as valas manualmente, utilizando pás, picaretas, enxadas, alavancas e rastelos, conforme necessário. Os trabalhadores poderão operar com segurança os equipamentos da empresa, conforme exigido pelo escopo do trabalho. Os equipamentos podem incluir lavadoras de alta pressão, geradores portáteis, compressores de ar, bombas d'água, carrinhos de mão, carrinhos de materiais, pulverizadores, caminhonetes, tratores, minicarregadeiras e outros pequenos equipamentos de construção utilizados para transportar materiais e apoiar as atividades de construção. Os trabalhadores auxiliarão na manutenção e limpeza leves, limpando ferramentas e equipamentos; removendo sujeira, lama, graxa, revestimentos e detritos; lavando equipamentos com mangueiras de água, escovas, esponjas e desengraxantes; verificando os níveis de fluidos; organizando ferramentas e materiais; e mantendo as áreas de trabalho limpas. Os trabalhadores executarão tarefas conforme instruído pelo supervisor ou líder da equipe, incluindo carregar, descarregar e organizar materiais; preparação e limpeza do local; preparação de valas; instalação e remoção de escoras e coberturas protetoras; auxílio a trabalhadores qualificados; manuseio de ferramentas e suprimentos; Remoção de detritos; e apoio às operações gerais de construção. As tarefas de final de temporada podem incluir preparação adicional de fundações, incluindo a remoção de neve ou gelo. As tarefas finais de final de temporada também podem incluir a limpeza dos veículos da frota, o controle das ferramentas e equipamentos utilizados e o auxílio na consolidação do estoque usado. Os trabalhadores operarão tratores e minicarregadeiras para movimentar materiais impermeabilizantes, espalhar agregados e detritos, carregar e descarregar materiais e auxiliar na limpeza (não na escavação primária). Caminhonetes transportarão trabalhadores, ferramentas, equipamentos, materiais impermeabilizantes, revestimentos, membranas, produtos de drenagem e suprimentos. Classificação da Função: 53-7051.00 - Operadores de Caminhões e Tratores Industriais. A classificação e descrição da função/indústria incluem informações gerais sobre o cargo, de acordo com o ONET/OES e o Sistema de Classificação Industrial da América do Norte. Consulte as Funções e a Ordem de Serviço para obter mais informações. Requisitos da Função Experiência Necessária: Sim Meses de Experiência Necessária: 1 Requisitos Especiais: Um mês de experiência em construção ou áreas afins. Deve ser capaz de levantar e carregar 34 kg. O funcionário deverá caminhar por 75 jardas (aproximadamente 68 metros) frequentemente ao longo do dia de trabalho. Esta função dá suporte a todas as áreas da empresa, conforme determinado pelo supervisor, e realiza trabalhos na área residencial, no interior de casas, mesmo em condições climáticas adversas. Ao desempenhar as funções deste cargo, o funcionário temporário deverá ficar em pé, caminhar e sentar-se regularmente. O funcionário deverá frequentemente usar as mãos para manipular objetos; alcançar com as mãos e os braços; subir ou equilibrar-se; agachar-se, ajoelhar-se, curvar-se ou rastejar; e falar e ouvir. O funcionário deve ser capaz de levantar e/ou mover objetos pesados. As habilidades visuais necessárias para este cargo incluem visão de perto, visão de longe, visão periférica, percepção de profundidade e capacidade de ajustar o foco. As características do ambiente de trabalho descritas aqui são representativas daquelas que um funcionário encontra ao desempenhar as funções essenciais deste cargo. Adaptações razoáveis ​​podem ser feitas para permitir que pessoas com deficiência desempenhem as funções essenciais. A empresa fornecerá equipamentos de proteção individual para uso do funcionário em todas as situações aplicáveis. Ao desempenhar as funções deste cargo, o funcionário encontrará regularmente condições climáticas externas, peças mecânicas em movimento, locais altos, vapores ou partículas em suspensão no ar e produtos químicos. O funcionário frequentemente encontrará condições úmidas e/ou molhadas. O nível de ruído no ambiente de trabalho varia de moderado a alto. Número de horas por semana: 40. Horário de trabalho (início/término): 6h às 15h.</v>
      </c>
    </row>
    <row r="1743" ht="20.25" customHeight="1">
      <c r="A1743" s="8" t="s">
        <v>7846</v>
      </c>
      <c r="B1743" s="8" t="s">
        <v>7842</v>
      </c>
      <c r="C1743" s="8" t="s">
        <v>6228</v>
      </c>
      <c r="D1743" s="8" t="s">
        <v>36</v>
      </c>
      <c r="E1743" s="9" t="s">
        <v>19</v>
      </c>
      <c r="F1743" s="9" t="s">
        <v>20</v>
      </c>
      <c r="G1743" s="9" t="s">
        <v>56</v>
      </c>
      <c r="H1743" s="8" t="s">
        <v>7843</v>
      </c>
      <c r="I1743" s="8" t="s">
        <v>7844</v>
      </c>
      <c r="J1743" s="9">
        <v>22.51</v>
      </c>
      <c r="K1743" s="9">
        <v>9.0</v>
      </c>
      <c r="L1743" s="8" t="s">
        <v>121</v>
      </c>
      <c r="M1743" s="8" t="s">
        <v>7847</v>
      </c>
      <c r="N1743" s="7" t="str">
        <f>IFERROR(__xludf.DUMMYFUNCTION("GOOGLETRANSLATE(L1743, ""en"", ""pt"")"),"Trabalhador braçal")</f>
        <v>Trabalhador braçal</v>
      </c>
      <c r="O1743" s="7" t="str">
        <f>IFERROR(__xludf.DUMMYFUNCTION("IF(M1743="""","""",GOOGLETRANSLATE(M1743,""en"",""pt""))"),"Como trabalhadores braçais, complementarão a equipe existente realizando atividades de trabalho físico em canteiros de obras; auxiliarão os aplicadores de revestimento executando tarefas que exigem menos habilidade; utilizarão, fornecerão ou manusearão ma"&amp;"teriais ou ferramentas e limparão a área de trabalho e os equipamentos; poderão operar ferramentas manuais e elétricas de diversos tipos, como martelos de pedreiro, compactadores de solo e uma variedade de outros equipamentos de pequeno porte; poderão lim"&amp;"par e preparar terrenos, cavar valas, instalar escoras para sustentar as laterais das escavações e limpar detritos e outros resíduos; operarão com segurança os equipamentos da empresa, auxiliarão na manutenção e limpeza leves e executarão tarefas conforme"&amp;" instruído pelo supervisor ou líder da equipe de forma segura e oportuna. Os trabalhadores também realizarão tarefas de final de temporada, como a limpeza do canteiro de obras e a remoção de gelo e neve. Isso inclui, entre outras coisas, a remoção de mate"&amp;"riais desgastados, danificados ou obsoletos, a limpeza manual de detritos das áreas de trabalho ou a limpeza de ferramentas como vassouras, esfregões, baldes, aspiradores e escadas. Os trabalhadores também realizarão limpeza/manutenção básica, como a remo"&amp;"ção de sujeira, graxa ou lama dos equipamentos, manualmente ou utilizando ferramentas como mangueiras de água, escovas, esponjas e desengraxantes. Realizarão ainda tarefas de remoção de gelo e neve utilizando ferramentas como pás, quebra-gelos, ancinhos e"&amp;" vassouras, podendo aplicar soluções salinas no solo como pré-tratamento para gelo e neve. Os trabalhadores executarão serviços gerais de apoio aos aplicadores de revestimento de fundações e aos líderes de equipe. As tarefas incluem preparar as paredes da"&amp;" fundação e as áreas de trabalho, removendo sujeira, lama, detritos e concreto solto; varrer as sapatas; e reparar pequenos defeitos nas paredes, como falhas de concretagem, juntas frias e furos de tirantes. Os trabalhadores auxiliarão os profissionais de"&amp;" revestimento qualificados, instalando pistolas de pulverização, mangueiras, equipamentos de pulverização, geradores, compressores de ar e bombas d'água; organizando materiais; fornecendo ferramentas e materiais; tirando medidas e fotografias; e auxiliand"&amp;"o na instalação de drenagem de fundações. Os trabalhadores carregarão, descarregarão, transportarão e distribuirão materiais, ferramentas e equipamentos por todo o canteiro de obras. Eles executam tarefas relacionadas à escavação, incluindo cavar, limpar "&amp;"e aterrar valas usando pás, picaretas, enxadas, alavancas e rastelos. Podem operar carrinhos de mão, carrinhos de materiais, caminhões, tratores, minicarregadeiras e outros equipamentos de construção de pequeno porte para transportar materiais e apoiar as"&amp;" operações no local. As ferramentas utilizadas incluem pás, enxadas, picaretas, rastelos, vassouras, martelos de cinzelamento, compactadores de solo, furadeiras, esmerilhadeiras, serras, lavadoras de alta pressão, trenas, estiletes e ferramentas de fixaçã"&amp;"o a pólvora. Os equipamentos incluem pistolas de pintura, pulverizadores, geradores, compressores de ar, bombas d'água, carrinhos de mão, carrinhos de materiais, caminhões, tratores e minicarregadeiras. Os materiais manuseados incluem produtos para revest"&amp;"imento de fundações, rolos de drenagem, tubos de drenagem para fundações, mantas de drenagem, materiais de reparo, fixadores e coberturas protetoras. Os trabalhadores também realizam a limpeza e manutenção leve do local, incluindo a coleta e descarte de d"&amp;"etritos, lavagem de ferramentas e equipamentos, remoção de lama, graxa e revestimentos, verificação dos níveis de fluidos, organização de ferramentas e materiais e manutenção da limpeza das áreas de trabalho. Todas as tarefas são realizadas sob a supervis"&amp;"ão de um supervisor ou líder de equipe e podem incluir preparação do local, organização de materiais, abertura de valas, auxílio a trabalhadores qualificados, remoção de neve e gelo, limpeza de equipamentos, organização de estoque e controle de ferramenta"&amp;"s. Classificação da vaga: 47-2061.00 - Auxiliares de Construção. A classificação e descrição da vaga/setor incluem informações gerais sobre o cargo, de acordo com o ONET/OES e o Sistema de Classificação Industrial da América do Norte (NAICS). Consulte as "&amp;"Funções e a Ordem de Serviço para obter mais informações. Requisitos da vaga: Experiência necessária: Sim. Meses de experiência necessários: 1. Requisitos especiais: Um mês de experiência em construção ou áreas afins. Deve ser capaz de levantar e carregar"&amp;" 34 kg por 70 metros frequentemente ao longo da jornada de trabalho. Esta posição dá suporte a todas as áreas da empresa, conforme determinado pelo supervisor, e realiza trabalhos na divisão residencial, no interior de casas, durante condições climáticas "&amp;"adversas. Ao desempenhar as funções deste cargo, o trabalhador temporário deverá ficar em pé, caminhar e sentar-se regularmente. O funcionário deverá frequentemente usar as mãos para manipular objetos; alcançar com as mãos e os braços; subir ou equilibrar"&amp;"-se; agachar-se, ajoelhar-se, curvar-se ou rastejar; e falar e ouvir. O funcionário deve ser capaz de levantar e/ou mover objetos pesados. As habilidades visuais necessárias para este cargo incluem visão de perto, visão de longe, visão periférica, percepç"&amp;"ão de profundidade e capacidade de ajustar o foco. As características do ambiente de trabalho descritas aqui são representativas daquelas que um funcionário encontra ao desempenhar as funções essenciais deste cargo. Adaptações razoáveis ​​podem ser feitas"&amp;" para permitir que pessoas com deficiência desempenhem as funções essenciais. A empresa fornecerá equipamentos de proteção individual para uso do funcionário em todas as situações aplicáveis. Ao desempenhar as funções deste cargo, o funcionário encontrará"&amp;" regularmente condições climáticas externas, peças mecânicas em movimento, locais altos, vapores ou partículas em suspensão no ar e produtos químicos. O funcionário frequentemente encontrará condições úmidas e/ou molhadas. O nível de ruído no ambiente de "&amp;"trabalho varia de moderado a alto. Número de horas por semana: 40 Horário de trabalho (início/término): 6h00 - 15h00")</f>
        <v>Como trabalhadores braçais, complementarão a equipe existente realizando atividades de trabalho físico em canteiros de obras; auxiliarão os aplicadores de revestimento executando tarefas que exigem menos habilidade; utilizarão, fornecerão ou manusearão materiais ou ferramentas e limparão a área de trabalho e os equipamentos; poderão operar ferramentas manuais e elétricas de diversos tipos, como martelos de pedreiro, compactadores de solo e uma variedade de outros equipamentos de pequeno porte; poderão limpar e preparar terrenos, cavar valas, instalar escoras para sustentar as laterais das escavações e limpar detritos e outros resíduos; operarão com segurança os equipamentos da empresa, auxiliarão na manutenção e limpeza leves e executarão tarefas conforme instruído pelo supervisor ou líder da equipe de forma segura e oportuna. Os trabalhadores também realizarão tarefas de final de temporada, como a limpeza do canteiro de obras e a remoção de gelo e neve. Isso inclui, entre outras coisas, a remoção de materiais desgastados, danificados ou obsoletos, a limpeza manual de detritos das áreas de trabalho ou a limpeza de ferramentas como vassouras, esfregões, baldes, aspiradores e escadas. Os trabalhadores também realizarão limpeza/manutenção básica, como a remoção de sujeira, graxa ou lama dos equipamentos, manualmente ou utilizando ferramentas como mangueiras de água, escovas, esponjas e desengraxantes. Realizarão ainda tarefas de remoção de gelo e neve utilizando ferramentas como pás, quebra-gelos, ancinhos e vassouras, podendo aplicar soluções salinas no solo como pré-tratamento para gelo e neve. Os trabalhadores executarão serviços gerais de apoio aos aplicadores de revestimento de fundações e aos líderes de equipe. As tarefas incluem preparar as paredes da fundação e as áreas de trabalho, removendo sujeira, lama, detritos e concreto solto; varrer as sapatas; e reparar pequenos defeitos nas paredes, como falhas de concretagem, juntas frias e furos de tirantes. Os trabalhadores auxiliarão os profissionais de revestimento qualificados, instalando pistolas de pulverização, mangueiras, equipamentos de pulverização, geradores, compressores de ar e bombas d'água; organizando materiais; fornecendo ferramentas e materiais; tirando medidas e fotografias; e auxiliando na instalação de drenagem de fundações. Os trabalhadores carregarão, descarregarão, transportarão e distribuirão materiais, ferramentas e equipamentos por todo o canteiro de obras. Eles executam tarefas relacionadas à escavação, incluindo cavar, limpar e aterrar valas usando pás, picaretas, enxadas, alavancas e rastelos. Podem operar carrinhos de mão, carrinhos de materiais, caminhões, tratores, minicarregadeiras e outros equipamentos de construção de pequeno porte para transportar materiais e apoiar as operações no local. As ferramentas utilizadas incluem pás, enxadas, picaretas, rastelos, vassouras, martelos de cinzelamento, compactadores de solo, furadeiras, esmerilhadeiras, serras, lavadoras de alta pressão, trenas, estiletes e ferramentas de fixação a pólvora. Os equipamentos incluem pistolas de pintura, pulverizadores, geradores, compressores de ar, bombas d'água, carrinhos de mão, carrinhos de materiais, caminhões, tratores e minicarregadeiras. Os materiais manuseados incluem produtos para revestimento de fundações, rolos de drenagem, tubos de drenagem para fundações, mantas de drenagem, materiais de reparo, fixadores e coberturas protetoras. Os trabalhadores também realizam a limpeza e manutenção leve do local, incluindo a coleta e descarte de detritos, lavagem de ferramentas e equipamentos, remoção de lama, graxa e revestimentos, verificação dos níveis de fluidos, organização de ferramentas e materiais e manutenção da limpeza das áreas de trabalho. Todas as tarefas são realizadas sob a supervisão de um supervisor ou líder de equipe e podem incluir preparação do local, organização de materiais, abertura de valas, auxílio a trabalhadores qualificados, remoção de neve e gelo, limpeza de equipamentos, organização de estoque e controle de ferramentas. Classificação da vaga: 47-2061.00 - Auxiliares de Construção. A classificação e descrição da vaga/setor incluem informações gerais sobre o cargo, de acordo com o ONET/OES e o Sistema de Classificação Industrial da América do Norte (NAICS). Consulte as Funções e a Ordem de Serviço para obter mais informações. Requisitos da vaga: Experiência necessária: Sim. Meses de experiência necessários: 1. Requisitos especiais: Um mês de experiência em construção ou áreas afins. Deve ser capaz de levantar e carregar 34 kg por 70 metros frequentemente ao longo da jornada de trabalho. Esta posição dá suporte a todas as áreas da empresa, conforme determinado pelo supervisor, e realiza trabalhos na divisão residencial, no interior de casas, durante condições climáticas adversas. Ao desempenhar as funções deste cargo, o trabalhador temporário deverá ficar em pé, caminhar e sentar-se regularmente. O funcionário deverá frequentemente usar as mãos para manipular objetos; alcançar com as mãos e os braços; subir ou equilibrar-se; agachar-se, ajoelhar-se, curvar-se ou rastejar; e falar e ouvir. O funcionário deve ser capaz de levantar e/ou mover objetos pesados. As habilidades visuais necessárias para este cargo incluem visão de perto, visão de longe, visão periférica, percepção de profundidade e capacidade de ajustar o foco. As características do ambiente de trabalho descritas aqui são representativas daquelas que um funcionário encontra ao desempenhar as funções essenciais deste cargo. Adaptações razoáveis ​​podem ser feitas para permitir que pessoas com deficiência desempenhem as funções essenciais. A empresa fornecerá equipamentos de proteção individual para uso do funcionário em todas as situações aplicáveis. Ao desempenhar as funções deste cargo, o funcionário encontrará regularmente condições climáticas externas, peças mecânicas em movimento, locais altos, vapores ou partículas em suspensão no ar e produtos químicos. O funcionário frequentemente encontrará condições úmidas e/ou molhadas. O nível de ruído no ambiente de trabalho varia de moderado a alto. Número de horas por semana: 40 Horário de trabalho (início/término): 6h00 - 15h00</v>
      </c>
    </row>
    <row r="1744" ht="20.25" customHeight="1">
      <c r="A1744" s="3" t="s">
        <v>7848</v>
      </c>
      <c r="B1744" s="3" t="s">
        <v>7842</v>
      </c>
      <c r="C1744" s="3" t="s">
        <v>6228</v>
      </c>
      <c r="D1744" s="3" t="s">
        <v>87</v>
      </c>
      <c r="E1744" s="4" t="s">
        <v>44</v>
      </c>
      <c r="F1744" s="4" t="s">
        <v>20</v>
      </c>
      <c r="G1744" s="4" t="s">
        <v>56</v>
      </c>
      <c r="H1744" s="3" t="s">
        <v>7843</v>
      </c>
      <c r="I1744" s="3" t="s">
        <v>7844</v>
      </c>
      <c r="J1744" s="4">
        <v>21.91</v>
      </c>
      <c r="K1744" s="4">
        <v>9.0</v>
      </c>
      <c r="L1744" s="3" t="s">
        <v>121</v>
      </c>
      <c r="M1744" s="3" t="s">
        <v>7849</v>
      </c>
      <c r="N1744" s="7" t="str">
        <f>IFERROR(__xludf.DUMMYFUNCTION("GOOGLETRANSLATE(L1744, ""en"", ""pt"")"),"Trabalhador braçal")</f>
        <v>Trabalhador braçal</v>
      </c>
      <c r="O1744" s="7" t="str">
        <f>IFERROR(__xludf.DUMMYFUNCTION("IF(M1744="""","""",GOOGLETRANSLATE(M1744,""en"",""pt""))"),"Como trabalhadores braçais, esses funcionários complementarão a equipe existente realizando atividades de trabalho físico em canteiros de obras; auxiliarão os aplicadores de revestimento executando tarefas que exigem menos habilidade; utilizarão, fornecer"&amp;"ão ou manusearão materiais ou ferramentas e limparão a área de trabalho e os equipamentos; poderão operar ferramentas manuais e elétricas de diversos tipos, como martelos de pedreiro, compactadores de solo e uma variedade de outros equipamentos de pequeno"&amp;" porte; poderão limpar e preparar terrenos, cavar valas, instalar escoras para sustentar as laterais das escavações e limpar detritos e outros resíduos; operarão com segurança os equipamentos da empresa, auxiliarão na manutenção e limpeza leves e executar"&amp;"ão tarefas conforme instruído pelo supervisor ou líder da equipe de forma segura e oportuna. Os trabalhadores também realizarão tarefas de final de temporada, como a limpeza do canteiro de obras e a remoção de gelo e neve. Isso inclui, entre outras coisas"&amp;", a remoção de materiais desgastados, danificados ou obsoletos, a limpeza manual de detritos das áreas de trabalho ou a limpeza de ferramentas como vassouras, esfregões, baldes, aspiradores e escadas. Os trabalhadores também realizarão limpeza/manutenção "&amp;"básica, como a remoção de sujeira, graxa ou lama dos equipamentos, manualmente ou utilizando ferramentas como mangueiras de água, escovas, esponjas e desengraxantes. Realizarão ainda tarefas de remoção de gelo e neve utilizando ferramentas como pás, quebr"&amp;"a-gelos, ancinhos e vassouras, podendo aplicar soluções salinas no solo como pré-tratamento para gelo e neve. Auxiliarão os operadores de pulverização de revestimentos, preparando e limpando as áreas de trabalho; carregando, descarregando, movimentando e "&amp;"organizando materiais; protegendo superfícies com fita adesiva, lonas plásticas e panos de proteção; segurando mangueiras, linhas de pulverização e materiais durante as operações de revestimento; fornecendo revestimentos e materiais relacionados aos opera"&amp;"dores de pulverização; removendo os materiais de proteção após a aplicação do revestimento; e limpando ferramentas e equipamentos após o uso. As ferramentas, equipamentos e materiais utilizados podem incluir baldes, escovas, raspadores, vassouras, fita ad"&amp;"esiva, lonas plásticas, panos de proteção, mangueiras, linhas de pulverização, revestimentos, primers, solventes e soluções de limpeza. As valas serão cavadas manualmente com pás, picaretas, enxadas, alavancas e rastelos. Os trabalhadores também poderão a"&amp;"uxiliar os operadores de equipamentos, limpando e moldando manualmente as valas escavadas por máquinas de construção. Os trabalhadores poderão instalar escoras para sustentar as laterais das escavações e remover detritos e resíduos das áreas das valas. Os"&amp;" trabalhadores operarão com segurança os equipamentos da empresa, incluindo lavadoras de alta pressão, geradores portáteis, compressores de ar, bombas d'água, carrinhos de mão, carrinhos de materiais e outros pequenos equipamentos de construção usados ​​p"&amp;"ara transportar materiais e apoiar as atividades de construção. Os trabalhadores auxiliarão na manutenção e limpeza leves, limpando ferramentas e equipamentos; removendo sujeira, lama, graxa, revestimentos e detritos; lavando equipamentos com mangueiras d"&amp;"e água, escovas, esponjas e desengraxantes; verificando os níveis de fluidos; organizando ferramentas e materiais; e mantendo as áreas de trabalho limpas. Os trabalhadores executarão as tarefas conforme instruído pelo supervisor ou líder da equipe de form"&amp;"a segura e oportuna, incluindo carga, descarga e organização de materiais; preparação e limpeza do local; preparação de valas; instalação e remoção de escoras e coberturas protetoras; Auxiliar trabalhadores qualificados; manusear ferramentas e suprimentos"&amp;"; remover entulhos; e apoiar operações gerais de construção. Classificação da vaga: 47-2061.00 - Auxiliares de Construção. A classificação e descrição da vaga/setor inclui informações gerais sobre o cargo, de acordo com o ONET/OES e o Sistema de Classific"&amp;"ação Industrial da América do Norte (NAICS). Consulte as Funções e a Ordem de Serviço para obter mais informações. Requisitos da vaga: Experiência exigida: Sim. Meses de experiência exigidos: 1. Requisitos especiais: Deve ser capaz de levantar e carregar "&amp;"34 kg por 69 metros frequentemente ao longo do dia de trabalho. Esta posição dá suporte a todas as áreas da empresa, conforme determinado pelo supervisor, e realiza trabalhos na área residencial, no interior de casas, durante condições climáticas adversas"&amp;". Ao desempenhar as funções deste cargo, o trabalhador temporário deverá ficar em pé, caminhar e sentar-se regularmente. O funcionário deverá frequentemente usar as mãos para manipular ou sentir objetos; alcançar com as mãos e os braços; subir ou equilibr"&amp;"ar-se; agachar-se, ajoelhar-se, curvar-se ou rastejar; e falar e ouvir. O funcionário deve ser capaz de levantar e/ou mover objetos pesados. As habilidades visuais necessárias para este trabalho incluem visão de perto, visão de longe, visão periférica, pe"&amp;"rcepção de profundidade e capacidade de ajustar o foco. As características do ambiente de trabalho descritas aqui são representativas daquelas que um funcionário encontra ao desempenhar as funções essenciais deste cargo. Adaptações razoáveis ​​podem ser f"&amp;"eitas para permitir que pessoas com deficiência desempenhem as funções essenciais. A empresa fornecerá equipamentos de proteção individual para uso dos funcionários em todas as situações aplicáveis. Ao desempenhar as funções deste cargo, o funcionário enc"&amp;"ontrará regularmente condições climáticas externas, peças mecânicas em movimento, locais altos, vapores ou partículas em suspensão no ar e produtos químicos. O funcionário frequentemente encontrará condições úmidas e/ou molhadas. O nível de ruído no ambie"&amp;"nte de trabalho varia de moderado a alto. Cada candidato (tanto trabalhadores americanos quanto estrangeiros/com visto H-2B) deve preencher o formulário de emprego online padrão do empregador como parte do processo de contratação. O formulário é exigido u"&amp;"niformemente de todos os candidatos e não impõe requisitos adicionais ou diferentes aos trabalhadores americanos. Os trabalhadores estarão sujeitos a testes de drogas mediante suspeita razoável, pagos pelo empregador e aplicados igualmente a todos os trab"&amp;"alhadores, americanos e estrangeiros/com visto H-2B. Os trabalhadores estão sujeitos a verificação de antecedentes criminais para fins de emprego, paga pelo empregador e aplicada igualmente a todos os trabalhadores, sejam eles americanos ou estrangeiros/c"&amp;"om visto H-2B. Número de horas por semana: 40. Horário de trabalho (início/término): 6h às 15h.")</f>
        <v>Como trabalhadores braçais, esses funcionários complementarão a equipe existente realizando atividades de trabalho físico em canteiros de obras; auxiliarão os aplicadores de revestimento executando tarefas que exigem menos habilidade; utilizarão, fornecerão ou manusearão materiais ou ferramentas e limparão a área de trabalho e os equipamentos; poderão operar ferramentas manuais e elétricas de diversos tipos, como martelos de pedreiro, compactadores de solo e uma variedade de outros equipamentos de pequeno porte; poderão limpar e preparar terrenos, cavar valas, instalar escoras para sustentar as laterais das escavações e limpar detritos e outros resíduos; operarão com segurança os equipamentos da empresa, auxiliarão na manutenção e limpeza leves e executarão tarefas conforme instruído pelo supervisor ou líder da equipe de forma segura e oportuna. Os trabalhadores também realizarão tarefas de final de temporada, como a limpeza do canteiro de obras e a remoção de gelo e neve. Isso inclui, entre outras coisas, a remoção de materiais desgastados, danificados ou obsoletos, a limpeza manual de detritos das áreas de trabalho ou a limpeza de ferramentas como vassouras, esfregões, baldes, aspiradores e escadas. Os trabalhadores também realizarão limpeza/manutenção básica, como a remoção de sujeira, graxa ou lama dos equipamentos, manualmente ou utilizando ferramentas como mangueiras de água, escovas, esponjas e desengraxantes. Realizarão ainda tarefas de remoção de gelo e neve utilizando ferramentas como pás, quebra-gelos, ancinhos e vassouras, podendo aplicar soluções salinas no solo como pré-tratamento para gelo e neve. Auxiliarão os operadores de pulverização de revestimentos, preparando e limpando as áreas de trabalho; carregando, descarregando, movimentando e organizando materiais; protegendo superfícies com fita adesiva, lonas plásticas e panos de proteção; segurando mangueiras, linhas de pulverização e materiais durante as operações de revestimento; fornecendo revestimentos e materiais relacionados aos operadores de pulverização; removendo os materiais de proteção após a aplicação do revestimento; e limpando ferramentas e equipamentos após o uso. As ferramentas, equipamentos e materiais utilizados podem incluir baldes, escovas, raspadores, vassouras, fita adesiva, lonas plásticas, panos de proteção, mangueiras, linhas de pulverização, revestimentos, primers, solventes e soluções de limpeza. As valas serão cavadas manualmente com pás, picaretas, enxadas, alavancas e rastelos. Os trabalhadores também poderão auxiliar os operadores de equipamentos, limpando e moldando manualmente as valas escavadas por máquinas de construção. Os trabalhadores poderão instalar escoras para sustentar as laterais das escavações e remover detritos e resíduos das áreas das valas. Os trabalhadores operarão com segurança os equipamentos da empresa, incluindo lavadoras de alta pressão, geradores portáteis, compressores de ar, bombas d'água, carrinhos de mão, carrinhos de materiais e outros pequenos equipamentos de construção usados ​​para transportar materiais e apoiar as atividades de construção. Os trabalhadores auxiliarão na manutenção e limpeza leves, limpando ferramentas e equipamentos; removendo sujeira, lama, graxa, revestimentos e detritos; lavando equipamentos com mangueiras de água, escovas, esponjas e desengraxantes; verificando os níveis de fluidos; organizando ferramentas e materiais; e mantendo as áreas de trabalho limpas. Os trabalhadores executarão as tarefas conforme instruído pelo supervisor ou líder da equipe de forma segura e oportuna, incluindo carga, descarga e organização de materiais; preparação e limpeza do local; preparação de valas; instalação e remoção de escoras e coberturas protetoras; Auxiliar trabalhadores qualificados; manusear ferramentas e suprimentos; remover entulhos; e apoiar operações gerais de construção. Classificação da vaga: 47-2061.00 - Auxiliares de Construção. A classificação e descrição da vaga/setor inclui informações gerais sobre o cargo, de acordo com o ONET/OES e o Sistema de Classificação Industrial da América do Norte (NAICS). Consulte as Funções e a Ordem de Serviço para obter mais informações. Requisitos da vaga: Experiência exigida: Sim. Meses de experiência exigidos: 1. Requisitos especiais: Deve ser capaz de levantar e carregar 34 kg por 69 metros frequentemente ao longo do dia de trabalho. Esta posição dá suporte a todas as áreas da empresa, conforme determinado pelo supervisor, e realiza trabalhos na área residencial, no interior de casas, durante condições climáticas adversas. Ao desempenhar as funções deste cargo, o trabalhador temporário deverá ficar em pé, caminhar e sentar-se regularmente. O funcionário deverá frequentemente usar as mãos para manipular ou sentir objetos; alcançar com as mãos e os braços; subir ou equilibrar-se; agachar-se, ajoelhar-se, curvar-se ou rastejar; e falar e ouvir. O funcionário deve ser capaz de levantar e/ou mover objetos pesados. As habilidades visuais necessárias para este trabalho incluem visão de perto, visão de longe, visão periférica, percepção de profundidade e capacidade de ajustar o foco. As características do ambiente de trabalho descritas aqui são representativas daquelas que um funcionário encontra ao desempenhar as funções essenciais deste cargo. Adaptações razoáveis ​​podem ser feitas para permitir que pessoas com deficiência desempenhem as funções essenciais. A empresa fornecerá equipamentos de proteção individual para uso dos funcionários em todas as situações aplicáveis. Ao desempenhar as funções deste cargo, o funcionário encontrará regularmente condições climáticas externas, peças mecânicas em movimento, locais altos, vapores ou partículas em suspensão no ar e produtos químicos. O funcionário frequentemente encontrará condições úmidas e/ou molhadas. O nível de ruído no ambiente de trabalho varia de moderado a alto. Cada candidato (tanto trabalhadores americanos quanto estrangeiros/com visto H-2B) deve preencher o formulário de emprego online padrão do empregador como parte do processo de contratação. O formulário é exigido uniformemente de todos os candidatos e não impõe requisitos adicionais ou diferentes aos trabalhadores americanos. Os trabalhadores estarão sujeitos a testes de drogas mediante suspeita razoável, pagos pelo empregador e aplicados igualmente a todos os trabalhadores, americanos e estrangeiros/com visto H-2B. Os trabalhadores estão sujeitos a verificação de antecedentes criminais para fins de emprego, paga pelo empregador e aplicada igualmente a todos os trabalhadores, sejam eles americanos ou estrangeiros/com visto H-2B. Número de horas por semana: 40. Horário de trabalho (início/término): 6h às 15h.</v>
      </c>
    </row>
    <row r="1745" ht="20.25" customHeight="1">
      <c r="A1745" s="8" t="s">
        <v>7850</v>
      </c>
      <c r="B1745" s="8" t="s">
        <v>7842</v>
      </c>
      <c r="C1745" s="8" t="s">
        <v>6228</v>
      </c>
      <c r="D1745" s="8" t="s">
        <v>18</v>
      </c>
      <c r="E1745" s="9" t="s">
        <v>19</v>
      </c>
      <c r="F1745" s="9" t="s">
        <v>20</v>
      </c>
      <c r="G1745" s="9" t="s">
        <v>56</v>
      </c>
      <c r="H1745" s="8" t="s">
        <v>7843</v>
      </c>
      <c r="I1745" s="8" t="s">
        <v>7844</v>
      </c>
      <c r="J1745" s="9">
        <v>22.45</v>
      </c>
      <c r="K1745" s="9">
        <v>4.0</v>
      </c>
      <c r="L1745" s="8" t="s">
        <v>121</v>
      </c>
      <c r="M1745" s="8" t="s">
        <v>7851</v>
      </c>
      <c r="N1745" s="7" t="str">
        <f>IFERROR(__xludf.DUMMYFUNCTION("GOOGLETRANSLATE(L1745, ""en"", ""pt"")"),"Trabalhador braçal")</f>
        <v>Trabalhador braçal</v>
      </c>
      <c r="O1745" s="7" t="str">
        <f>IFERROR(__xludf.DUMMYFUNCTION("IF(M1745="""","""",GOOGLETRANSLATE(M1745,""en"",""pt""))"),"Como trabalhadores braçais, esses funcionários complementarão a equipe existente realizando atividades de trabalho físico em canteiros de obras; auxiliarão os aplicadores de revestimento executando tarefas que exigem menos habilidade; utilizarão, fornecer"&amp;"ão ou manusearão materiais ou ferramentas e limparão a área de trabalho e os equipamentos; poderão operar ferramentas manuais e elétricas de diversos tipos, como martelos de pedreiro, compactadores de solo e uma variedade de outros equipamentos de pequeno"&amp;" porte; poderão limpar e preparar terrenos, cavar valas, instalar escoras para sustentar as laterais das escavações e limpar detritos e outros resíduos; operarão com segurança os equipamentos da empresa, auxiliarão na manutenção e limpeza leves e executar"&amp;"ão tarefas conforme instruído pelo supervisor ou líder da equipe de forma segura e oportuna. Os trabalhadores também realizarão tarefas de final de temporada, como a limpeza do canteiro de obras e a remoção de gelo e neve. Isso inclui, entre outras coisas"&amp;", a remoção de materiais desgastados, danificados ou obsoletos, a limpeza manual de detritos das áreas de trabalho ou a limpeza de ferramentas como vassouras, esfregões, baldes, aspiradores e escadas. Os trabalhadores também realizarão limpeza/manutenção "&amp;"básica, como a remoção de sujeira, graxa ou lama dos equipamentos, manualmente ou utilizando ferramentas como mangueiras de água, escovas, esponjas e desengraxantes. Realizarão ainda tarefas de remoção de gelo e neve utilizando ferramentas como pás, quebr"&amp;"a-gelos, ancinhos e vassouras, podendo aplicar soluções salinas no solo como pré-tratamento para gelo e neve. Os trabalhadores executarão serviços gerais de apoio aos aplicadores de revestimento de fundações e aos líderes de equipe. As tarefas incluem pre"&amp;"parar as paredes da fundação e as áreas de trabalho, removendo sujeira, lama, detritos e concreto solto; varrer as sapatas; e reparar pequenos defeitos nas paredes, como falhas de concretagem, juntas frias e furos de tirantes. Os trabalhadores auxiliarão "&amp;"os profissionais de revestimento qualificados, instalando pistolas de pulverização, mangueiras, equipamentos de pulverização, geradores, compressores de ar e bombas d'água; organizando materiais; fornecendo ferramentas e materiais; tirando medidas e fotog"&amp;"rafias; e auxiliando na instalação de drenagem de fundações. Os trabalhadores carregarão, descarregarão, transportarão e distribuirão materiais, ferramentas e equipamentos por todo o canteiro de obras. Eles executam tarefas relacionadas à escavação, inclu"&amp;"indo cavar, limpar e aterrar valas usando pás, picaretas, enxadas, alavancas e rastelos. Podem operar carrinhos de mão, carrinhos de materiais, caminhões, tratores, minicarregadeiras e outros equipamentos de construção de pequeno porte para transportar ma"&amp;"teriais e apoiar as operações no local. As ferramentas utilizadas incluem pás, enxadas, picaretas, rastelos, vassouras, martelos de cinzelamento, compactadores de solo, furadeiras, esmerilhadeiras, serras, lavadoras de alta pressão, trenas, estiletes e fe"&amp;"rramentas de fixação a pólvora. Os equipamentos incluem pistolas de pintura, pulverizadores, geradores, compressores de ar, bombas d'água, carrinhos de mão, carrinhos de materiais, caminhões, tratores e minicarregadeiras. Os materiais manuseados incluem p"&amp;"rodutos para revestimento de fundações, rolos de drenagem, tubos de drenagem para fundações, mantas de drenagem, materiais de reparo, fixadores e coberturas protetoras. Os trabalhadores também realizam a limpeza e manutenção leve do local, incluindo a col"&amp;"eta e descarte de detritos, lavagem de ferramentas e equipamentos, remoção de lama, graxa e revestimentos, verificação dos níveis de fluidos, organização de ferramentas e materiais e manutenção da limpeza das áreas de trabalho. Todas as tarefas são realiz"&amp;"adas sob a supervisão de um supervisor ou líder de equipe e podem incluir preparação do local, organização de materiais, abertura de valas, auxílio a trabalhadores qualificados, remoção de neve e gelo, limpeza de equipamentos, organização de estoque e con"&amp;"trole de ferramentas. Classificação da vaga: 47-2061.00 - Auxiliares de Construção. A classificação e descrição da vaga/setor incluem informações gerais sobre o cargo, de acordo com o ONET/OES e o Sistema de Classificação Industrial da América do Norte (N"&amp;"AICS). Consulte as Funções e a Ordem de Serviço para obter mais informações. Requisitos da vaga: Experiência necessária: Sim. Meses de experiência necessários: 1. Requisitos especiais: Deve ser capaz de levantar e carregar 34 kg por 70 metros frequentemen"&amp;"te durante o expediente. Esta posição dá suporte a todas as áreas da empresa, conforme determinado pelo supervisor, e realiza trabalhos na área residencial, no interior de casas, em condições climáticas adversas. Ao desempenhar as funções deste cargo, o t"&amp;"rabalhador temporário deverá ficar em pé, caminhar e sentar-se regularmente. O funcionário deverá frequentemente usar as mãos para manipular objetos; alcançar com as mãos e os braços; subir ou equilibrar-se; agachar-se, ajoelhar-se, curvar-se ou rastejar;"&amp;" e falar e ouvir. O funcionário deve ser capaz de levantar e/ou mover objetos pesados. As habilidades visuais necessárias para este cargo incluem visão de perto, visão de longe, visão periférica, percepção de profundidade e capacidade de ajustar o foco. A"&amp;"s características do ambiente de trabalho descritas aqui são representativas daquelas que um funcionário encontra ao desempenhar as funções essenciais deste cargo. Adaptações razoáveis ​​podem ser feitas para permitir que pessoas com deficiência desempenh"&amp;"em as funções essenciais. A empresa fornecerá equipamentos de proteção individual para uso do funcionário em todas as situações aplicáveis. Ao desempenhar as funções deste cargo, o funcionário encontrará regularmente condições climáticas externas, peças m"&amp;"ecânicas em movimento, locais altos, vapores ou partículas em suspensão no ar e produtos químicos. O funcionário encontrará frequentemente condições úmidas e/ou molhadas. O nível de ruído no ambiente de trabalho varia de moderado a alto. Cada candidato (t"&amp;"anto trabalhadores americanos quanto estrangeiros/com visto H-2B) deve preencher o formulário de emprego online padrão do empregador como parte do processo de contratação. O preenchimento do formulário é obrigatório para todos os candidatos e não impõe re"&amp;"quisitos adicionais ou diferentes aos trabalhadores americanos. Os trabalhadores estarão sujeitos a testes de drogas mediante suspeita razoável, pagos pelo empregador e aplicados igualmente a todos os trabalhadores, americanos e estrangeiros/com visto H-2"&amp;"B. Os trabalhadores também estarão sujeitos a verificação de antecedentes criminais, paga pelo empregador e aplicada igualmente a todos os trabalhadores, americanos e estrangeiros/com visto H-2B. Número de horas por semana: 40. Horário de trabalho (início"&amp;"/término): 6h às 15h.")</f>
        <v>Como trabalhadores braçais, esses funcionários complementarão a equipe existente realizando atividades de trabalho físico em canteiros de obras; auxiliarão os aplicadores de revestimento executando tarefas que exigem menos habilidade; utilizarão, fornecerão ou manusearão materiais ou ferramentas e limparão a área de trabalho e os equipamentos; poderão operar ferramentas manuais e elétricas de diversos tipos, como martelos de pedreiro, compactadores de solo e uma variedade de outros equipamentos de pequeno porte; poderão limpar e preparar terrenos, cavar valas, instalar escoras para sustentar as laterais das escavações e limpar detritos e outros resíduos; operarão com segurança os equipamentos da empresa, auxiliarão na manutenção e limpeza leves e executarão tarefas conforme instruído pelo supervisor ou líder da equipe de forma segura e oportuna. Os trabalhadores também realizarão tarefas de final de temporada, como a limpeza do canteiro de obras e a remoção de gelo e neve. Isso inclui, entre outras coisas, a remoção de materiais desgastados, danificados ou obsoletos, a limpeza manual de detritos das áreas de trabalho ou a limpeza de ferramentas como vassouras, esfregões, baldes, aspiradores e escadas. Os trabalhadores também realizarão limpeza/manutenção básica, como a remoção de sujeira, graxa ou lama dos equipamentos, manualmente ou utilizando ferramentas como mangueiras de água, escovas, esponjas e desengraxantes. Realizarão ainda tarefas de remoção de gelo e neve utilizando ferramentas como pás, quebra-gelos, ancinhos e vassouras, podendo aplicar soluções salinas no solo como pré-tratamento para gelo e neve. Os trabalhadores executarão serviços gerais de apoio aos aplicadores de revestimento de fundações e aos líderes de equipe. As tarefas incluem preparar as paredes da fundação e as áreas de trabalho, removendo sujeira, lama, detritos e concreto solto; varrer as sapatas; e reparar pequenos defeitos nas paredes, como falhas de concretagem, juntas frias e furos de tirantes. Os trabalhadores auxiliarão os profissionais de revestimento qualificados, instalando pistolas de pulverização, mangueiras, equipamentos de pulverização, geradores, compressores de ar e bombas d'água; organizando materiais; fornecendo ferramentas e materiais; tirando medidas e fotografias; e auxiliando na instalação de drenagem de fundações. Os trabalhadores carregarão, descarregarão, transportarão e distribuirão materiais, ferramentas e equipamentos por todo o canteiro de obras. Eles executam tarefas relacionadas à escavação, incluindo cavar, limpar e aterrar valas usando pás, picaretas, enxadas, alavancas e rastelos. Podem operar carrinhos de mão, carrinhos de materiais, caminhões, tratores, minicarregadeiras e outros equipamentos de construção de pequeno porte para transportar materiais e apoiar as operações no local. As ferramentas utilizadas incluem pás, enxadas, picaretas, rastelos, vassouras, martelos de cinzelamento, compactadores de solo, furadeiras, esmerilhadeiras, serras, lavadoras de alta pressão, trenas, estiletes e ferramentas de fixação a pólvora. Os equipamentos incluem pistolas de pintura, pulverizadores, geradores, compressores de ar, bombas d'água, carrinhos de mão, carrinhos de materiais, caminhões, tratores e minicarregadeiras. Os materiais manuseados incluem produtos para revestimento de fundações, rolos de drenagem, tubos de drenagem para fundações, mantas de drenagem, materiais de reparo, fixadores e coberturas protetoras. Os trabalhadores também realizam a limpeza e manutenção leve do local, incluindo a coleta e descarte de detritos, lavagem de ferramentas e equipamentos, remoção de lama, graxa e revestimentos, verificação dos níveis de fluidos, organização de ferramentas e materiais e manutenção da limpeza das áreas de trabalho. Todas as tarefas são realizadas sob a supervisão de um supervisor ou líder de equipe e podem incluir preparação do local, organização de materiais, abertura de valas, auxílio a trabalhadores qualificados, remoção de neve e gelo, limpeza de equipamentos, organização de estoque e controle de ferramentas. Classificação da vaga: 47-2061.00 - Auxiliares de Construção. A classificação e descrição da vaga/setor incluem informações gerais sobre o cargo, de acordo com o ONET/OES e o Sistema de Classificação Industrial da América do Norte (NAICS). Consulte as Funções e a Ordem de Serviço para obter mais informações. Requisitos da vaga: Experiência necessária: Sim. Meses de experiência necessários: 1. Requisitos especiais: Deve ser capaz de levantar e carregar 34 kg por 70 metros frequentemente durante o expediente. Esta posição dá suporte a todas as áreas da empresa, conforme determinado pelo supervisor, e realiza trabalhos na área residencial, no interior de casas, em condições climáticas adversas. Ao desempenhar as funções deste cargo, o trabalhador temporário deverá ficar em pé, caminhar e sentar-se regularmente. O funcionário deverá frequentemente usar as mãos para manipular objetos; alcançar com as mãos e os braços; subir ou equilibrar-se; agachar-se, ajoelhar-se, curvar-se ou rastejar; e falar e ouvir. O funcionário deve ser capaz de levantar e/ou mover objetos pesados. As habilidades visuais necessárias para este cargo incluem visão de perto, visão de longe, visão periférica, percepção de profundidade e capacidade de ajustar o foco. As características do ambiente de trabalho descritas aqui são representativas daquelas que um funcionário encontra ao desempenhar as funções essenciais deste cargo. Adaptações razoáveis ​​podem ser feitas para permitir que pessoas com deficiência desempenhem as funções essenciais. A empresa fornecerá equipamentos de proteção individual para uso do funcionário em todas as situações aplicáveis. Ao desempenhar as funções deste cargo, o funcionário encontrará regularmente condições climáticas externas, peças mecânicas em movimento, locais altos, vapores ou partículas em suspensão no ar e produtos químicos. O funcionário encontrará frequentemente condições úmidas e/ou molhadas. O nível de ruído no ambiente de trabalho varia de moderado a alto. Cada candidato (tanto trabalhadores americanos quanto estrangeiros/com visto H-2B) deve preencher o formulário de emprego online padrão do empregador como parte do processo de contratação. O preenchimento do formulário é obrigatório para todos os candidatos e não impõe requisitos adicionais ou diferentes aos trabalhadores americanos. Os trabalhadores estarão sujeitos a testes de drogas mediante suspeita razoável, pagos pelo empregador e aplicados igualmente a todos os trabalhadores, americanos e estrangeiros/com visto H-2B. Os trabalhadores também estarão sujeitos a verificação de antecedentes criminais, paga pelo empregador e aplicada igualmente a todos os trabalhadores, americanos e estrangeiros/com visto H-2B. Número de horas por semana: 40. Horário de trabalho (início/término): 6h às 15h.</v>
      </c>
    </row>
    <row r="1746" ht="20.25" customHeight="1">
      <c r="A1746" s="3" t="s">
        <v>7852</v>
      </c>
      <c r="B1746" s="3" t="s">
        <v>7853</v>
      </c>
      <c r="C1746" s="3" t="s">
        <v>6906</v>
      </c>
      <c r="D1746" s="3" t="s">
        <v>126</v>
      </c>
      <c r="E1746" s="4" t="s">
        <v>19</v>
      </c>
      <c r="F1746" s="4" t="s">
        <v>20</v>
      </c>
      <c r="G1746" s="4" t="s">
        <v>3670</v>
      </c>
      <c r="H1746" s="3" t="s">
        <v>7854</v>
      </c>
      <c r="I1746" s="3" t="s">
        <v>7855</v>
      </c>
      <c r="J1746" s="4">
        <v>18.78</v>
      </c>
      <c r="K1746" s="4">
        <v>4.0</v>
      </c>
      <c r="L1746" s="3" t="s">
        <v>7169</v>
      </c>
      <c r="M1746" s="3" t="s">
        <v>7856</v>
      </c>
      <c r="N1746" s="7" t="str">
        <f>IFERROR(__xludf.DUMMYFUNCTION("GOOGLETRANSLATE(L1746, ""en"", ""pt"")"),"Informações sobre recrutamento")</f>
        <v>Informações sobre recrutamento</v>
      </c>
      <c r="O1746" s="7" t="str">
        <f>IFERROR(__xludf.DUMMYFUNCTION("IF(M1746="""","""",GOOGLETRANSLATE(M1746,""en"",""pt""))"),"***Resposta à Solicitação de Informações*** O caixa da empresa utiliza o sistema ""Square"" com terminais POS (Ponto de Venda) com tela sensível ao toque, tanto para o atendimento quanto para a cozinha, além de totens de autoatendimento. Caso haja serviço"&amp;" de catering móvel ou eventos especiais agendados, o funcionário será responsável por preparar, embalar e entregar os alimentos aos clientes. Isso não significa realizar a entrega em si, mas sim garantir que os clientes recebam seus pedidos em tempo hábil"&amp;". A embalagem é crucial para a qualidade e a satisfação do cliente, portanto, os funcionários utilizarão sacos plásticos à prova de vazamentos, recipientes ventilados para frituras (para evitar que fiquem encharcados), tigelas térmicas ou de alumínio para"&amp;" itens quentes, separarão itens quentes de frios e incluirão talheres/guardanapos em embalagens seladas. Como a entrega pode expor os alimentos a tempos de transporte mais longos, geralmente é feita de bicicleta se a distância for de 3 a 5 quilômetros (ou"&amp;" 30 minutos). Para distâncias maiores, um funcionário autorizado utilizará o SUV Subaru de 5 lugares, um dos veículos totalmente segurados da empresa. ***Original*** FUNÇÕES: preparar os componentes necessários de cada prato do nosso cardápio utilizando n"&amp;"ossas receitas comprovadas; utilizar nossas porções e todos os procedimentos de preparo de refeições necessários na cozinha; garantir que a cozinha, todas as áreas de preparo de alimentos e todas as áreas de armazenamento e consumo de alimentos atendam ao"&amp;"s códigos de saúde locais e aos padrões de limpeza de restaurantes; trabalhar em equipe com outros cozinheiros para preparar porções para outros turnos quando necessário; monitorar a frescura dos produtos e substituir os produtos mais antigos de acordo co"&amp;"m um cronograma planejado; organizar e abastecer as estações com todos os suprimentos necessários; picar, misturar, refogar, preparar molhos e outros ingredientes; cozinhar os itens do cardápio em cooperação com o restante da equipe da cozinha; apresentar"&amp;" os pratos de forma profissional e apetitosa para o cliente; limpar a estação e cuidar do estoque de alimentos restantes; quando necessário, estar disponível para trabalhar no caixa e em feriados, e, caso haja serviço de catering móvel ou eventos especiai"&amp;"s agendados, ser responsável por preparar, embalar e entregar os alimentos aos clientes. Classificação da vaga: 35-2014.00 - Cozinheiros(as) de Restaurante. A classificação e descrição da vaga/setor inclui informações gerais sobre o cargo, de acordo com o"&amp;" ONET/OES e o Sistema de Classificação Industrial da América do Norte (NAICS). Consulte as Funções e a Ordem de Serviço para obter mais informações. Requisitos da vaga: Experiência necessária: Não. Requisitos especiais: Deve ser capaz de levantar até 23 k"&amp;"g e permanecer em pé ou se abaixar durante todo ou a maior parte do turno de trabalho. Número de horas por semana: 40. Horário de trabalho (início/término): 14h às 22h.")</f>
        <v>***Resposta à Solicitação de Informações*** O caixa da empresa utiliza o sistema "Square" com terminais POS (Ponto de Venda) com tela sensível ao toque, tanto para o atendimento quanto para a cozinha, além de totens de autoatendimento. Caso haja serviço de catering móvel ou eventos especiais agendados, o funcionário será responsável por preparar, embalar e entregar os alimentos aos clientes. Isso não significa realizar a entrega em si, mas sim garantir que os clientes recebam seus pedidos em tempo hábil. A embalagem é crucial para a qualidade e a satisfação do cliente, portanto, os funcionários utilizarão sacos plásticos à prova de vazamentos, recipientes ventilados para frituras (para evitar que fiquem encharcados), tigelas térmicas ou de alumínio para itens quentes, separarão itens quentes de frios e incluirão talheres/guardanapos em embalagens seladas. Como a entrega pode expor os alimentos a tempos de transporte mais longos, geralmente é feita de bicicleta se a distância for de 3 a 5 quilômetros (ou 30 minutos). Para distâncias maiores, um funcionário autorizado utilizará o SUV Subaru de 5 lugares, um dos veículos totalmente segurados da empresa. ***Original*** FUNÇÕES: preparar os componentes necessários de cada prato do nosso cardápio utilizando nossas receitas comprovadas; utilizar nossas porções e todos os procedimentos de preparo de refeições necessários na cozinha; garantir que a cozinha, todas as áreas de preparo de alimentos e todas as áreas de armazenamento e consumo de alimentos atendam aos códigos de saúde locais e aos padrões de limpeza de restaurantes; trabalhar em equipe com outros cozinheiros para preparar porções para outros turnos quando necessário; monitorar a frescura dos produtos e substituir os produtos mais antigos de acordo com um cronograma planejado; organizar e abastecer as estações com todos os suprimentos necessários; picar, misturar, refogar, preparar molhos e outros ingredientes; cozinhar os itens do cardápio em cooperação com o restante da equipe da cozinha; apresentar os pratos de forma profissional e apetitosa para o cliente; limpar a estação e cuidar do estoque de alimentos restantes; quando necessário, estar disponível para trabalhar no caixa e em feriados, e, caso haja serviço de catering móvel ou eventos especiais agendados, ser responsável por preparar, embalar e entregar os alimentos aos clientes. Classificação da vaga: 35-2014.00 - Cozinheiros(as) de Restaurante. A classificação e descrição da vaga/setor inclui informações gerais sobre o cargo, de acordo com o ONET/OES e o Sistema de Classificação Industrial da América do Norte (NAICS). Consulte as Funções e a Ordem de Serviço para obter mais informações. Requisitos da vaga: Experiência necessária: Não. Requisitos especiais: Deve ser capaz de levantar até 23 kg e permanecer em pé ou se abaixar durante todo ou a maior parte do turno de trabalho. Número de horas por semana: 40. Horário de trabalho (início/término): 14h às 22h.</v>
      </c>
    </row>
    <row r="1747" ht="20.25" customHeight="1">
      <c r="A1747" s="8" t="s">
        <v>7857</v>
      </c>
      <c r="B1747" s="8" t="s">
        <v>7858</v>
      </c>
      <c r="C1747" s="8" t="s">
        <v>7651</v>
      </c>
      <c r="D1747" s="8" t="s">
        <v>249</v>
      </c>
      <c r="E1747" s="9" t="s">
        <v>19</v>
      </c>
      <c r="F1747" s="9" t="s">
        <v>20</v>
      </c>
      <c r="G1747" s="9" t="s">
        <v>404</v>
      </c>
      <c r="H1747" s="8" t="s">
        <v>7859</v>
      </c>
      <c r="I1747" s="8" t="s">
        <v>7860</v>
      </c>
      <c r="J1747" s="9">
        <v>17.45</v>
      </c>
      <c r="K1747" s="9">
        <v>10.0</v>
      </c>
      <c r="L1747" s="8" t="s">
        <v>7496</v>
      </c>
      <c r="M1747" s="8" t="s">
        <v>7861</v>
      </c>
      <c r="N1747" s="7" t="str">
        <f>IFERROR(__xludf.DUMMYFUNCTION("GOOGLETRANSLATE(L1747, ""en"", ""pt"")"),"Zeladores")</f>
        <v>Zeladores</v>
      </c>
      <c r="O1747" s="7" t="str">
        <f>IFERROR(__xludf.DUMMYFUNCTION("IF(M1747="""","""",GOOGLETRANSLATE(M1747,""en"",""pt""))"),"Manter os edifícios e terrenos limpos e organizados. Executar tarefas de limpeza pesada, como limpeza de pisos, lavagem de carpetes, limpeza de paredes e vidros e remoção de lixo. As tarefas podem incluir a manutenção de fornos e caldeiras, a realização d"&amp;"e atividades de manutenção de rotina, a notificação da gerência sobre a necessidade de reparos e a limpeza de neve ou detritos da calçada. Classificação da vaga: 37-2011.00 - Zeladores e Faxineiros, exceto empregadas domésticas e faxineiras. A classificaç"&amp;"ão e descrição da vaga/setor incluem informações gerais sobre o cargo, de acordo com o ONET/OES e o Sistema de Classificação Industrial da América do Norte. Consulte as Funções e a Ordem de Serviço para obter mais informações. Requisitos da vaga: Experiên"&amp;"cia necessária: Sim. Meses de experiência necessários: 3. Requisitos especiais: Deve ser capaz de levantar e carregar 11 kg por 45 metros. Deve ser capaz de lidar com temperaturas extremas. Número de horas por semana: 40. Horário de trabalho (início/térmi"&amp;"no): 8h às 16h.")</f>
        <v>Manter os edifícios e terrenos limpos e organizados. Executar tarefas de limpeza pesada, como limpeza de pisos, lavagem de carpetes, limpeza de paredes e vidros e remoção de lixo. As tarefas podem incluir a manutenção de fornos e caldeiras, a realização de atividades de manutenção de rotina, a notificação da gerência sobre a necessidade de reparos e a limpeza de neve ou detritos da calçada. Classificação da vaga: 37-2011.00 - Zeladores e Faxineiros, exceto empregadas domésticas e faxineiras. A classificação e descrição da vaga/setor incluem informações gerais sobre o cargo, de acordo com o ONET/OES e o Sistema de Classificação Industrial da América do Norte. Consulte as Funções e a Ordem de Serviço para obter mais informações. Requisitos da vaga: Experiência necessária: Sim. Meses de experiência necessários: 3. Requisitos especiais: Deve ser capaz de levantar e carregar 11 kg por 45 metros. Deve ser capaz de lidar com temperaturas extremas. Número de horas por semana: 40. Horário de trabalho (início/término): 8h às 16h.</v>
      </c>
    </row>
    <row r="1748" ht="20.25" customHeight="1">
      <c r="A1748" s="3" t="s">
        <v>7862</v>
      </c>
      <c r="B1748" s="3" t="s">
        <v>7863</v>
      </c>
      <c r="C1748" s="3" t="s">
        <v>6921</v>
      </c>
      <c r="D1748" s="3" t="s">
        <v>532</v>
      </c>
      <c r="E1748" s="4" t="s">
        <v>44</v>
      </c>
      <c r="F1748" s="4" t="s">
        <v>20</v>
      </c>
      <c r="G1748" s="4" t="s">
        <v>307</v>
      </c>
      <c r="H1748" s="3" t="s">
        <v>7864</v>
      </c>
      <c r="I1748" s="3" t="s">
        <v>7865</v>
      </c>
      <c r="J1748" s="4">
        <v>18.8</v>
      </c>
      <c r="K1748" s="4">
        <v>2.0</v>
      </c>
      <c r="L1748" s="3" t="s">
        <v>6849</v>
      </c>
      <c r="M1748" s="3" t="s">
        <v>7866</v>
      </c>
      <c r="N1748" s="7" t="str">
        <f>IFERROR(__xludf.DUMMYFUNCTION("GOOGLETRANSLATE(L1748, ""en"", ""pt"")"),"Produtos de limpeza")</f>
        <v>Produtos de limpeza</v>
      </c>
      <c r="O1748" s="7" t="str">
        <f>IFERROR(__xludf.DUMMYFUNCTION("IF(M1748="""","""",GOOGLETRANSLATE(M1748,""en"",""pt""))"),"Executar tarefas de limpeza leves, como tirar o pó, varrer, aspirar e passar pano em residências particulares e estabelecimentos comerciais, de forma limpa e organizada. Executar tarefas de limpeza leves, como tirar o pó e polir móveis e equipamentos. Uti"&amp;"lizar ferramentas manuais, como espanadores, vassouras e aspiradores de pó. Esvaziar lixeiras e transportar outros lixos e resíduos para as áreas de descarte, repor materiais de limpeza e higienizar superfícies e acessórios. Classificação da função: 37-20"&amp;"12.00 - Empregadas Domésticas e Auxiliares de Limpeza. A classificação e descrição da função/setor inclui informações gerais sobre o cargo, de acordo com o ONET/OES e o Sistema de Classificação Industrial da América do Norte. Consulte as Funções e a Ordem"&amp;" de Serviço para obter mais informações. Requisitos da função: Experiência necessária: Não. Requisitos especiais: Deve ser capaz de levantar e carregar pelo menos 9 kg. Deve ser capaz de usar os músculos abdominais e da região lombar para sustentar parte "&amp;"do corpo e se curvar, esticar, torcer ou alcançar com o corpo, braços e pernas repetidamente ou continuamente. Treinamento no local de trabalho fornecido. Treinamento oferecido. Dias e turnos: Segunda a sexta-feira, com possibilidade de trabalho aos fins "&amp;"de semana. Horário de trabalho: 8h às 16h. Salário por hora: US$ 18,80 a US$ 20,00 (com base no mérito e experiência anterior na empresa). Possibilidade de horas extras: Horas extras podem estar disponíveis com pagamento de US$ 28,20 a US$ 30,00 por hora."&amp;" Possibilidade de aumento salarial: Aumentos acima do valor indicado são possíveis com base no mérito e desempenho. Número de horas por semana: 35. Horário de trabalho (início/término): 8h às 16h.")</f>
        <v>Executar tarefas de limpeza leves, como tirar o pó, varrer, aspirar e passar pano em residências particulares e estabelecimentos comerciais, de forma limpa e organizada. Executar tarefas de limpeza leves, como tirar o pó e polir móveis e equipamentos. Utilizar ferramentas manuais, como espanadores, vassouras e aspiradores de pó. Esvaziar lixeiras e transportar outros lixos e resíduos para as áreas de descarte, repor materiais de limpeza e higienizar superfícies e acessórios. Classificação da função: 37-2012.00 - Empregadas Domésticas e Auxiliares de Limpeza. A classificação e descrição da função/setor inclui informações gerais sobre o cargo, de acordo com o ONET/OES e o Sistema de Classificação Industrial da América do Norte. Consulte as Funções e a Ordem de Serviço para obter mais informações. Requisitos da função: Experiência necessária: Não. Requisitos especiais: Deve ser capaz de levantar e carregar pelo menos 9 kg. Deve ser capaz de usar os músculos abdominais e da região lombar para sustentar parte do corpo e se curvar, esticar, torcer ou alcançar com o corpo, braços e pernas repetidamente ou continuamente. Treinamento no local de trabalho fornecido. Treinamento oferecido. Dias e turnos: Segunda a sexta-feira, com possibilidade de trabalho aos fins de semana. Horário de trabalho: 8h às 16h. Salário por hora: US$ 18,80 a US$ 20,00 (com base no mérito e experiência anterior na empresa). Possibilidade de horas extras: Horas extras podem estar disponíveis com pagamento de US$ 28,20 a US$ 30,00 por hora. Possibilidade de aumento salarial: Aumentos acima do valor indicado são possíveis com base no mérito e desempenho. Número de horas por semana: 35. Horário de trabalho (início/término): 8h às 16h.</v>
      </c>
    </row>
    <row r="1749" ht="20.25" customHeight="1">
      <c r="A1749" s="8" t="s">
        <v>7867</v>
      </c>
      <c r="B1749" s="8" t="s">
        <v>7868</v>
      </c>
      <c r="C1749" s="8" t="s">
        <v>7869</v>
      </c>
      <c r="D1749" s="8" t="s">
        <v>344</v>
      </c>
      <c r="E1749" s="9" t="s">
        <v>19</v>
      </c>
      <c r="F1749" s="9" t="s">
        <v>20</v>
      </c>
      <c r="G1749" s="9" t="s">
        <v>80</v>
      </c>
      <c r="H1749" s="8" t="s">
        <v>7870</v>
      </c>
      <c r="I1749" s="8" t="s">
        <v>7871</v>
      </c>
      <c r="J1749" s="9">
        <v>31.25</v>
      </c>
      <c r="K1749" s="9">
        <v>40.0</v>
      </c>
      <c r="L1749" s="8" t="s">
        <v>1415</v>
      </c>
      <c r="M1749" s="8" t="s">
        <v>7872</v>
      </c>
      <c r="N1749" s="7" t="str">
        <f>IFERROR(__xludf.DUMMYFUNCTION("GOOGLETRANSLATE(L1749, ""en"", ""pt"")"),"Motorista de caminhão")</f>
        <v>Motorista de caminhão</v>
      </c>
      <c r="O1749" s="7" t="str">
        <f>IFERROR(__xludf.DUMMYFUNCTION("IF(M1749="""","""",GOOGLETRANSLATE(M1749,""en"",""pt""))"),"O funcionário dirigirá um caminhão articulado ou um caminhão com capacidade de carga bruta total de pelo menos 26.001 libras (aproximadamente 11.793 kg). As viagens serão em âmbito nacional – dentro dos estados dos EUA. As responsabilidades incluem: dirig"&amp;"ir o caminhão; descarregar o caminhão; verificar os veículos para garantir que os equipamentos mecânicos, de segurança e de emergência estejam em boas condições de funcionamento; seguir os procedimentos de segurança adequados para o transporte de mercador"&amp;"ias; inspecionar as cargas para garantir que estejam seguras; manter registros de horas trabalhadas ou do status de serviço ou reparo do veículo, seguindo as regulamentações estaduais e federais aplicáveis; e assegurar a carga para o transporte. É necessá"&amp;"rio possuir CNH categoria E (ou equivalente) estrangeira e a possibilidade de obter a CNH categoria E em qualquer estado dos EUA em até 60 dias após a contratação. Requer-se 6 meses de experiência como motorista de caminhão. Classificação da vaga: 53-3032"&amp;".00 - Motoristas de Caminhão Pesado e Articulado. A classificação e descrição da vaga/setor incluem informações gerais sobre o cargo, conforme o ONET/OES e o Sistema de Classificação Industrial da América do Norte (NAICS). Consulte as Funções e a Ordem de"&amp;" Serviço para obter mais informações. Requisitos da Vaga Experiência Necessária: Sim Meses de Experiência Necessários: 6 Requisitos Especiais: Carteira de Habilitação Comercial (CDL) estrangeira com possibilidade de obter CDL de qualquer estado dos EUA em"&amp;" até 60 dias após a contratação. 6 meses de experiência como motorista de caminhão. O empregador não é obrigado a pagar horas extras se o motorista se qualificar para a isenção da Lei de Transporte Rodoviário (MCA). O empregador não oferece treinamento bá"&amp;"sico de direção comercial, pois a vaga exige que os candidatos já possuam CDL de qualquer país, além de no mínimo 6 meses de experiência como requisito necessário. O empregador fornecerá: orientação sobre as políticas da empresa, treinamento de segurança "&amp;"específico da empresa, treinamento sobre os equipamentos da empresa, dispositivos eletrônicos de registro (ELDs), unidades de refrigeração, rotas e procedimentos de carga/descarga. Número de Horas por Semana: 45 Horário de Trabalho (Início/Término): 7h às"&amp;" 16h")</f>
        <v>O funcionário dirigirá um caminhão articulado ou um caminhão com capacidade de carga bruta total de pelo menos 26.001 libras (aproximadamente 11.793 kg). As viagens serão em âmbito nacional – dentro dos estados dos EUA. As responsabilidades incluem: dirigir o caminhão; descarregar o caminhão; verificar os veículos para garantir que os equipamentos mecânicos, de segurança e de emergência estejam em boas condições de funcionamento; seguir os procedimentos de segurança adequados para o transporte de mercadorias; inspecionar as cargas para garantir que estejam seguras; manter registros de horas trabalhadas ou do status de serviço ou reparo do veículo, seguindo as regulamentações estaduais e federais aplicáveis; e assegurar a carga para o transporte. É necessário possuir CNH categoria E (ou equivalente) estrangeira e a possibilidade de obter a CNH categoria E em qualquer estado dos EUA em até 60 dias após a contratação. Requer-se 6 meses de experiência como motorista de caminhão. Classificação da vaga: 53-3032.00 - Motoristas de Caminhão Pesado e Articulado. A classificação e descrição da vaga/setor incluem informações gerais sobre o cargo, conforme o ONET/OES e o Sistema de Classificação Industrial da América do Norte (NAICS). Consulte as Funções e a Ordem de Serviço para obter mais informações. Requisitos da Vaga Experiência Necessária: Sim Meses de Experiência Necessários: 6 Requisitos Especiais: Carteira de Habilitação Comercial (CDL) estrangeira com possibilidade de obter CDL de qualquer estado dos EUA em até 60 dias após a contratação. 6 meses de experiência como motorista de caminhão. O empregador não é obrigado a pagar horas extras se o motorista se qualificar para a isenção da Lei de Transporte Rodoviário (MCA). O empregador não oferece treinamento básico de direção comercial, pois a vaga exige que os candidatos já possuam CDL de qualquer país, além de no mínimo 6 meses de experiência como requisito necessário. O empregador fornecerá: orientação sobre as políticas da empresa, treinamento de segurança específico da empresa, treinamento sobre os equipamentos da empresa, dispositivos eletrônicos de registro (ELDs), unidades de refrigeração, rotas e procedimentos de carga/descarga. Número de Horas por Semana: 45 Horário de Trabalho (Início/Término): 7h às 16h</v>
      </c>
    </row>
    <row r="1750" ht="20.25" customHeight="1">
      <c r="A1750" s="3" t="s">
        <v>7873</v>
      </c>
      <c r="B1750" s="3" t="s">
        <v>7874</v>
      </c>
      <c r="C1750" s="3" t="s">
        <v>7651</v>
      </c>
      <c r="D1750" s="3" t="s">
        <v>55</v>
      </c>
      <c r="E1750" s="4" t="s">
        <v>19</v>
      </c>
      <c r="F1750" s="4" t="s">
        <v>20</v>
      </c>
      <c r="G1750" s="4" t="s">
        <v>7875</v>
      </c>
      <c r="H1750" s="3" t="s">
        <v>7876</v>
      </c>
      <c r="I1750" s="3" t="s">
        <v>7877</v>
      </c>
      <c r="J1750" s="4">
        <v>22.19</v>
      </c>
      <c r="K1750" s="4">
        <v>4.0</v>
      </c>
      <c r="L1750" s="3" t="s">
        <v>7878</v>
      </c>
      <c r="M1750" s="3" t="s">
        <v>7879</v>
      </c>
      <c r="N1750" s="7" t="str">
        <f>IFERROR(__xludf.DUMMYFUNCTION("GOOGLETRANSLATE(L1750, ""en"", ""pt"")"),"Pavimentação Segmentada")</f>
        <v>Pavimentação Segmentada</v>
      </c>
      <c r="O1750" s="7" t="str">
        <f>IFERROR(__xludf.DUMMYFUNCTION("IF(M1750="""","""",GOOGLETRANSLATE(M1750,""en"",""pt""))"),"Planejar, cortar e instalar unidades de pavimentação segmentada. Inclui a instalação de materiais de assentamento e contenção para as unidades de pavimentação. Classificação da função: 47-4091.00 - Pavimentação Segmentada. A classificação e descrição da f"&amp;"unção/setor inclui informações gerais sobre o cargo, de acordo com o ONET/OES e o Sistema de Classificação Industrial da América do Norte (NAICS). Consulte as Funções e a Ordem de Serviço para obter mais informações. Requisitos da função: Experiência nece"&amp;"ssária: Sim. Meses de experiência necessários: 1. Requisitos especiais: Necessário agachar e curvar-se com frequência. Deve ser capaz de levantar 27 kg. Número de horas por semana: 40. Horário de trabalho (início/término): 7h às 15h.")</f>
        <v>Planejar, cortar e instalar unidades de pavimentação segmentada. Inclui a instalação de materiais de assentamento e contenção para as unidades de pavimentação. Classificação da função: 47-4091.00 - Pavimentação Segmentada. A classificação e descrição da função/setor inclui informações gerais sobre o cargo, de acordo com o ONET/OES e o Sistema de Classificação Industrial da América do Norte (NAICS). Consulte as Funções e a Ordem de Serviço para obter mais informações. Requisitos da função: Experiência necessária: Sim. Meses de experiência necessários: 1. Requisitos especiais: Necessário agachar e curvar-se com frequência. Deve ser capaz de levantar 27 kg. Número de horas por semana: 40. Horário de trabalho (início/término): 7h às 15h.</v>
      </c>
    </row>
    <row r="1751" ht="20.25" customHeight="1">
      <c r="A1751" s="8" t="s">
        <v>7880</v>
      </c>
      <c r="B1751" s="8" t="s">
        <v>7881</v>
      </c>
      <c r="C1751" s="8" t="s">
        <v>6228</v>
      </c>
      <c r="D1751" s="8" t="s">
        <v>254</v>
      </c>
      <c r="E1751" s="9" t="s">
        <v>19</v>
      </c>
      <c r="F1751" s="9" t="s">
        <v>20</v>
      </c>
      <c r="G1751" s="9" t="s">
        <v>146</v>
      </c>
      <c r="H1751" s="8" t="s">
        <v>7882</v>
      </c>
      <c r="I1751" s="8" t="s">
        <v>7883</v>
      </c>
      <c r="J1751" s="9">
        <v>16.0</v>
      </c>
      <c r="K1751" s="9">
        <v>10.0</v>
      </c>
      <c r="L1751" s="8" t="s">
        <v>6736</v>
      </c>
      <c r="M1751" s="8" t="s">
        <v>7884</v>
      </c>
      <c r="N1751" s="7" t="str">
        <f>IFERROR(__xludf.DUMMYFUNCTION("GOOGLETRANSLATE(L1751, ""en"", ""pt"")"),"Paisagista de inverno")</f>
        <v>Paisagista de inverno</v>
      </c>
      <c r="O1751" s="7" t="str">
        <f>IFERROR(__xludf.DUMMYFUNCTION("IF(M1751="""","""",GOOGLETRANSLATE(M1751,""en"",""pt""))"),"Realizar a manutenção de jardins e áreas verdes utilizando ferramentas manuais ou elétricas, como cortadores de grama, sopradores de folhas, aparadores de grama e tesouras de poda. Os trabalhadores geralmente executam uma variedade de tarefas, que podem i"&amp;"ncluir qualquer combinação das seguintes: colocação de grama em placas, corte de grama, poda, plantio, irrigação, fertilização, escavação, rastelagem, instalação de aspersores e instalação de blocos de concreto pré-moldado sem argamassa. Realizar a poda d"&amp;"e inverno em plantas perenes e outras plantas para preparar adequadamente os gramados ou jardins para o clima de inverno e o novo crescimento na primavera. Manter os sistemas de irrigação em canteiros de flores, incluindo a preparação dos sistemas para o "&amp;"inverno antes que as temperaturas caiam abaixo de zero, a fim de evitar danos. Auxiliar na limpeza do quintal, remoção de folhas, aplicação ou substituição de cobertura morta e limpeza de folhas. Classificação da função: 37-3011.00 - Trabalhadores de Pais"&amp;"agismo e Manutenção de Áreas Verdes. A classificação e descrição da função/indústria incluem informações gerais sobre o cargo, de acordo com o ONET/OES e o Sistema de Classificação Industrial da América do Norte. Consulte as Funções e a Ordem de Serviço p"&amp;"ara obter mais informações. Requisitos da vaga Experiência necessária: Sim Meses de experiência necessários: 3 Requisitos especiais: Deve ser capaz de levantar até 27 kg. Deve ter conhecimento prévio do setor. Os funcionários estarão sujeitos a testes de "&amp;"drogas mediante suspeita razoável, pagos pelo empregador e aplicados igualmente a todos os funcionários, americanos e estrangeiros/H-2B. Os funcionários estão sujeitos a verificação de antecedentes criminais pré-emprego, paga pelo empregador e aplicada ig"&amp;"ualmente a todos os funcionários, americanos e estrangeiros/H-2B. Número de horas por semana: 40 Horário de trabalho (início/término): 7h às 18h")</f>
        <v>Realizar a manutenção de jardins e áreas verdes utilizando ferramentas manuais ou elétricas, como cortadores de grama, sopradores de folhas, aparadores de grama e tesouras de poda. Os trabalhadores geralmente executam uma variedade de tarefas, que podem incluir qualquer combinação das seguintes: colocação de grama em placas, corte de grama, poda, plantio, irrigação, fertilização, escavação, rastelagem, instalação de aspersores e instalação de blocos de concreto pré-moldado sem argamassa. Realizar a poda de inverno em plantas perenes e outras plantas para preparar adequadamente os gramados ou jardins para o clima de inverno e o novo crescimento na primavera. Manter os sistemas de irrigação em canteiros de flores, incluindo a preparação dos sistemas para o inverno antes que as temperaturas caiam abaixo de zero, a fim de evitar danos. Auxiliar na limpeza do quintal, remoção de folhas, aplicação ou substituição de cobertura morta e limpeza de folhas. Classificação da função: 37-3011.00 - Trabalhadores de Paisagismo e Manutenção de Áreas Verdes. A classificação e descrição da função/indústria incluem informações gerais sobre o cargo, de acordo com o ONET/OES e o Sistema de Classificação Industrial da América do Norte. Consulte as Funções e a Ordem de Serviço para obter mais informações. Requisitos da vaga Experiência necessária: Sim Meses de experiência necessários: 3 Requisitos especiais: Deve ser capaz de levantar até 27 kg. Deve ter conhecimento prévio do setor. Os funcionários estarão sujeitos a testes de drogas mediante suspeita razoável, pagos pelo empregador e aplicados igualmente a todos os funcionários, americanos e estrangeiros/H-2B. Os funcionários estão sujeitos a verificação de antecedentes criminais pré-emprego, paga pelo empregador e aplicada igualmente a todos os funcionários, americanos e estrangeiros/H-2B. Número de horas por semana: 40 Horário de trabalho (início/término): 7h às 18h</v>
      </c>
    </row>
    <row r="1752" ht="20.25" customHeight="1">
      <c r="A1752" s="3" t="s">
        <v>7885</v>
      </c>
      <c r="B1752" s="3" t="s">
        <v>7886</v>
      </c>
      <c r="C1752" s="3"/>
      <c r="D1752" s="3" t="s">
        <v>795</v>
      </c>
      <c r="E1752" s="4" t="s">
        <v>44</v>
      </c>
      <c r="F1752" s="4" t="s">
        <v>20</v>
      </c>
      <c r="G1752" s="4" t="s">
        <v>118</v>
      </c>
      <c r="H1752" s="3" t="s">
        <v>7887</v>
      </c>
      <c r="I1752" s="3" t="s">
        <v>7888</v>
      </c>
      <c r="J1752" s="4">
        <v>18.27</v>
      </c>
      <c r="K1752" s="4">
        <v>6.0</v>
      </c>
      <c r="L1752" s="3" t="s">
        <v>586</v>
      </c>
      <c r="M1752" s="3" t="s">
        <v>7889</v>
      </c>
      <c r="N1752" s="7" t="str">
        <f>IFERROR(__xludf.DUMMYFUNCTION("GOOGLETRANSLATE(L1752, ""en"", ""pt"")"),"Cozinheiro de linha")</f>
        <v>Cozinheiro de linha</v>
      </c>
      <c r="O1752" s="7" t="str">
        <f>IFERROR(__xludf.DUMMYFUNCTION("IF(M1752="""","""",GOOGLETRANSLATE(M1752,""en"",""pt""))"),"Preparar e cozinhar itens do cardápio em uma cozinha de restaurante comercial, incluindo pratos de macarrão e arroz fritos, carnes e frutos do mar grelhados e pratos vietnamitas como caldo de pho, macarrão e recheios de rolinho primavera; Seguir receitas "&amp;"padronizadas, tamanhos de porções e diretrizes de apresentação estabelecidas pelo restaurante; Operar equipamentos de cozinha comercial, incluindo estações wok, queimadores a gás, chapas, panelas e utensílios de preparo de alimentos; Coordenar os horários"&amp;" de cozimento com outros funcionários da cozinha para concluir os pedidos durante os horários de pico; monitorar os alimentos durante o cozimento para garantir as temperaturas e o ponto de cozimento adequados; Manter a estação de trabalho limpa e organiza"&amp;"da; Limpar e higienizar superfícies de cozimento, utensílios e equipamentos de acordo com os padrões de segurança alimentar. Classificação do Cargo: 35-2014.00 - Cozinheiros, Restaurante. A classificação e descrição do cargo/setor incluem informações gera"&amp;"is sobre a posição da ONET/OES e do Sistema de Classificação Industrial da América do Norte. Consulte as Funções e a Ordem de Serviço para obter mais informações. Requisitos do Cargo Experiência Necessária: Sim Meses de Experiência Necessária: 24 Requisit"&amp;"os Especiais: Não há exigência mínima de escolaridade ou experiência. O empregador fornecerá treinamento no local de trabalho. É necessário ser capaz de desempenhar as funções do cargo. Número de horas por semana: 40. Horário de trabalho (início/término):"&amp;" 12h00 - 20h30.")</f>
        <v>Preparar e cozinhar itens do cardápio em uma cozinha de restaurante comercial, incluindo pratos de macarrão e arroz fritos, carnes e frutos do mar grelhados e pratos vietnamitas como caldo de pho, macarrão e recheios de rolinho primavera; Seguir receitas padronizadas, tamanhos de porções e diretrizes de apresentação estabelecidas pelo restaurante; Operar equipamentos de cozinha comercial, incluindo estações wok, queimadores a gás, chapas, panelas e utensílios de preparo de alimentos; Coordenar os horários de cozimento com outros funcionários da cozinha para concluir os pedidos durante os horários de pico; monitorar os alimentos durante o cozimento para garantir as temperaturas e o ponto de cozimento adequados; Manter a estação de trabalho limpa e organizada; Limpar e higienizar superfícies de cozimento, utensílios e equipamentos de acordo com os padrões de segurança alimentar. Classificação do Cargo: 35-2014.00 - Cozinheiros, Restaurante. A classificação e descrição do cargo/setor incluem informações gerais sobre a posição da ONET/OES e do Sistema de Classificação Industrial da América do Norte. Consulte as Funções e a Ordem de Serviço para obter mais informações. Requisitos do Cargo Experiência Necessária: Sim Meses de Experiência Necessária: 24 Requisitos Especiais: Não há exigência mínima de escolaridade ou experiência. O empregador fornecerá treinamento no local de trabalho. É necessário ser capaz de desempenhar as funções do cargo. Número de horas por semana: 40. Horário de trabalho (início/término): 12h00 - 20h30.</v>
      </c>
    </row>
    <row r="1753" ht="20.25" customHeight="1">
      <c r="A1753" s="8" t="s">
        <v>7890</v>
      </c>
      <c r="B1753" s="8" t="s">
        <v>7891</v>
      </c>
      <c r="C1753" s="8" t="s">
        <v>7628</v>
      </c>
      <c r="D1753" s="8" t="s">
        <v>87</v>
      </c>
      <c r="E1753" s="9" t="s">
        <v>44</v>
      </c>
      <c r="F1753" s="9" t="s">
        <v>20</v>
      </c>
      <c r="G1753" s="9" t="s">
        <v>7892</v>
      </c>
      <c r="H1753" s="8" t="s">
        <v>7893</v>
      </c>
      <c r="I1753" s="8" t="s">
        <v>7894</v>
      </c>
      <c r="J1753" s="9">
        <v>19.65</v>
      </c>
      <c r="K1753" s="9">
        <v>10.0</v>
      </c>
      <c r="L1753" s="8" t="s">
        <v>7895</v>
      </c>
      <c r="M1753" s="8" t="s">
        <v>7896</v>
      </c>
      <c r="N1753" s="7" t="str">
        <f>IFERROR(__xludf.DUMMYFUNCTION("GOOGLETRANSLATE(L1753, ""en"", ""pt"")"),"Associado de Quiosque Móvel")</f>
        <v>Associado de Quiosque Móvel</v>
      </c>
      <c r="O1753" s="7" t="str">
        <f>IFERROR(__xludf.DUMMYFUNCTION("IF(M1753="""","""",GOOGLETRANSLATE(M1753,""en"",""pt""))"),"Auxiliar nas operações diárias de um quiosque de varejo móvel em feiras e eventos temporários. Montar e desmontar estandes e expositores de mercadorias utilizando ferramentas manuais básicas fornecidas pelo empregador, como chaves de fenda, trena, tesoura"&amp;" e estilete. Prestar atendimento ao cliente e processar transações de venda utilizando um sistema de ponto de venda. Vender itens de varejo, como presentes e lembrancinhas, incluindo chaveiros, brincos e acessórios de cabelo. Repor mercadorias nos exposit"&amp;"ores e manter os níveis de estoque. Manter a limpeza e a higienização da área de trabalho utilizando materiais fornecidos pelo empregador. Ocasionalmente, auxiliar (menos de 10% da jornada de trabalho) na preparação de tatuagens temporárias, preparando pi"&amp;"ncéis e suprimentos necessários. Classificação da vaga: 53-7062.00 - Operários e Movimentadores de Carga, Estoque e Materiais. A classificação e a descrição da vaga/setor incluem informações gerais sobre o cargo, de acordo com o ONET/OES e o Sistema de Cl"&amp;"assificação Industrial da América do Norte. Consulte as Funções e a Ordem de Serviço para obter mais informações. Requisitos da vaga Experiência necessária: Não Requisitos especiais: Não há requisitos especiais Número de horas por semana: 40 Horário de tr"&amp;"abalho (início/término): 11:00 - 23:00")</f>
        <v>Auxiliar nas operações diárias de um quiosque de varejo móvel em feiras e eventos temporários. Montar e desmontar estandes e expositores de mercadorias utilizando ferramentas manuais básicas fornecidas pelo empregador, como chaves de fenda, trena, tesoura e estilete. Prestar atendimento ao cliente e processar transações de venda utilizando um sistema de ponto de venda. Vender itens de varejo, como presentes e lembrancinhas, incluindo chaveiros, brincos e acessórios de cabelo. Repor mercadorias nos expositores e manter os níveis de estoque. Manter a limpeza e a higienização da área de trabalho utilizando materiais fornecidos pelo empregador. Ocasionalmente, auxiliar (menos de 10% da jornada de trabalho) na preparação de tatuagens temporárias, preparando pincéis e suprimentos necessários. Classificação da vaga: 53-7062.00 - Operários e Movimentadores de Carga, Estoque e Materiais. A classificação e a descrição da vaga/setor incluem informações gerais sobre o cargo, de acordo com o ONET/OES e o Sistema de Classificação Industrial da América do Norte. Consulte as Funções e a Ordem de Serviço para obter mais informações. Requisitos da vaga Experiência necessária: Não Requisitos especiais: Não há requisitos especiais Número de horas por semana: 40 Horário de trabalho (início/término): 11:00 - 23:00</v>
      </c>
    </row>
    <row r="1754" ht="20.25" customHeight="1">
      <c r="A1754" s="3" t="s">
        <v>7897</v>
      </c>
      <c r="B1754" s="3" t="s">
        <v>7898</v>
      </c>
      <c r="C1754" s="3" t="s">
        <v>7651</v>
      </c>
      <c r="D1754" s="3" t="s">
        <v>1190</v>
      </c>
      <c r="E1754" s="4" t="s">
        <v>19</v>
      </c>
      <c r="F1754" s="4" t="s">
        <v>20</v>
      </c>
      <c r="G1754" s="4" t="s">
        <v>1441</v>
      </c>
      <c r="H1754" s="3" t="s">
        <v>7899</v>
      </c>
      <c r="I1754" s="3" t="s">
        <v>7900</v>
      </c>
      <c r="J1754" s="4">
        <v>28.0</v>
      </c>
      <c r="K1754" s="4">
        <v>8.0</v>
      </c>
      <c r="L1754" s="3" t="s">
        <v>7901</v>
      </c>
      <c r="M1754" s="3" t="s">
        <v>7902</v>
      </c>
      <c r="N1754" s="7" t="str">
        <f>IFERROR(__xludf.DUMMYFUNCTION("GOOGLETRANSLATE(L1754, ""en"", ""pt"")"),"Ajudantes de Operário da Construção")</f>
        <v>Ajudantes de Operário da Construção</v>
      </c>
      <c r="O1754" s="7" t="str">
        <f>IFERROR(__xludf.DUMMYFUNCTION("IF(M1754="""","""",GOOGLETRANSLATE(M1754,""en"",""pt""))"),"Realizar o levantamento e a medição do terreno para auxiliar na construção de edifícios comerciais. Instalar escoras, contraventamentos e guarda-corpos temporários para garantir a conformidade com as normas de segurança do canteiro de obras. Carregar e de"&amp;"scarregar materiais e ferramentas de caminhões; transportá-los para as áreas de trabalho apropriadas utilizando equipamentos manuais ou motorizados. Operar ferramentas elétricas e manuais, incluindo serras, furadeiras, martelos e chaves de impacto, para a"&amp;"uxiliar na montagem de estruturas, instalação de paredes pré-fabricadas e tarefas gerais de construção. Posicionar, alinhar e fixar componentes estruturais pré-fabricados utilizando parafusos, pregos ou adesivos. Instalar e operar geradores portáteis para"&amp;" fornecer energia temporária para ferramentas e equipamentos. Operar diversos equipamentos de canteiro de obras, incluindo empilhadeiras, plataformas elevatórias e tesouras elevatórias, de acordo com as normas da OSHA e os protocolos de segurança do local"&amp;". Auxiliar profissionais qualificados, conforme necessário, na montagem de estruturas, demolição e acabamento. Manter o canteiro de obras limpo e organizado por meio de tarefas regulares de limpeza e remoção de entulhos. Realizar verificações de estoque e"&amp;" manuseio de materiais para apoiar o andamento da obra e evitar atrasos. Atuar como sinalizador para direcionar o tráfego e manter a segurança durante entregas ou operações com guindastes. Classificação da Função: 47-2061.00 - Auxiliares de Construção Civ"&amp;"il. A classificação e descrição da função/setor inclui informações gerais sobre o cargo, conforme o ONET/OES e o Sistema de Classificação Industrial da América do Norte (NAICS). Consulte as Funções e a Ordem de Serviço para obter mais informações. Requisi"&amp;"tos da Função: Experiência Necessária: Sim. Meses de Experiência Necessários: 3. Requisitos Especiais: Capacidade de levantar e carregar 34 kg/75 jardas (aproximadamente 69 m). Disponibilidade para trabalhar em alguns fins de semana. Número de Horas por S"&amp;"emana: 50. Horário de Trabalho (Início/Término): 8h às 17h.")</f>
        <v>Realizar o levantamento e a medição do terreno para auxiliar na construção de edifícios comerciais. Instalar escoras, contraventamentos e guarda-corpos temporários para garantir a conformidade com as normas de segurança do canteiro de obras. Carregar e descarregar materiais e ferramentas de caminhões; transportá-los para as áreas de trabalho apropriadas utilizando equipamentos manuais ou motorizados. Operar ferramentas elétricas e manuais, incluindo serras, furadeiras, martelos e chaves de impacto, para auxiliar na montagem de estruturas, instalação de paredes pré-fabricadas e tarefas gerais de construção. Posicionar, alinhar e fixar componentes estruturais pré-fabricados utilizando parafusos, pregos ou adesivos. Instalar e operar geradores portáteis para fornecer energia temporária para ferramentas e equipamentos. Operar diversos equipamentos de canteiro de obras, incluindo empilhadeiras, plataformas elevatórias e tesouras elevatórias, de acordo com as normas da OSHA e os protocolos de segurança do local. Auxiliar profissionais qualificados, conforme necessário, na montagem de estruturas, demolição e acabamento. Manter o canteiro de obras limpo e organizado por meio de tarefas regulares de limpeza e remoção de entulhos. Realizar verificações de estoque e manuseio de materiais para apoiar o andamento da obra e evitar atrasos. Atuar como sinalizador para direcionar o tráfego e manter a segurança durante entregas ou operações com guindastes. Classificação da Função: 47-2061.00 - Auxiliares de Construção Civil. A classificação e descrição da função/setor inclui informações gerais sobre o cargo, conforme o ONET/OES e o Sistema de Classificação Industrial da América do Norte (NAICS). Consulte as Funções e a Ordem de Serviço para obter mais informações. Requisitos da Função: Experiência Necessária: Sim. Meses de Experiência Necessários: 3. Requisitos Especiais: Capacidade de levantar e carregar 34 kg/75 jardas (aproximadamente 69 m). Disponibilidade para trabalhar em alguns fins de semana. Número de Horas por Semana: 50. Horário de Trabalho (Início/Término): 8h às 17h.</v>
      </c>
    </row>
    <row r="1755" ht="20.25" customHeight="1">
      <c r="A1755" s="8" t="s">
        <v>7903</v>
      </c>
      <c r="B1755" s="8" t="s">
        <v>7904</v>
      </c>
      <c r="C1755" s="8" t="s">
        <v>6228</v>
      </c>
      <c r="D1755" s="8" t="s">
        <v>2222</v>
      </c>
      <c r="E1755" s="9" t="s">
        <v>19</v>
      </c>
      <c r="F1755" s="9" t="s">
        <v>20</v>
      </c>
      <c r="G1755" s="9" t="s">
        <v>146</v>
      </c>
      <c r="H1755" s="8" t="s">
        <v>7505</v>
      </c>
      <c r="I1755" s="8" t="s">
        <v>7905</v>
      </c>
      <c r="J1755" s="9">
        <v>23.0</v>
      </c>
      <c r="K1755" s="9">
        <v>12.0</v>
      </c>
      <c r="L1755" s="8" t="s">
        <v>5491</v>
      </c>
      <c r="M1755" s="8" t="s">
        <v>7906</v>
      </c>
      <c r="N1755" s="7" t="str">
        <f>IFERROR(__xludf.DUMMYFUNCTION("GOOGLETRANSLATE(L1755, ""en"", ""pt"")"),"Zelador de Campo de Golfe")</f>
        <v>Zelador de Campo de Golfe</v>
      </c>
      <c r="O1755" s="7" t="str">
        <f>IFERROR(__xludf.DUMMYFUNCTION("IF(M1755="""","""",GOOGLETRANSLATE(M1755,""en"",""pt""))"),"Opera cortadores de grama e roçadeiras para aparar greens, áreas de arrebentação e tees ao redor de árvores, cercas, taludes e encostas; também apara as bordas dos caminhos de carrinhos de golfe, rastela e mantém os bunkers de areia. Além disso, realiza a"&amp;"eração, semeadura, escarificação e cobertura com adubo em greens, tees e fairways. Poda arbustos e bordas usando tesouras de poda. Auxilia na poda de vegetação tropical, remoção de folhas de palmeira, limpeza de mato e remoção de detritos de tempestades e"&amp;"m toda a propriedade do campo de golfe. Instala marcadores de tee e buracos nos greens diariamente, mantém os lavadores de bolas, substitui toalhas e bandeiras de tee quando necessário, remove detritos, coloca areia e sementes nos buracos da área de tee e"&amp;" drop e limpa os canteiros de flores. Mantém os níveis de combustível e fluidos de todos os tipos de equipamentos, como carrinhos e buggies de golfe, diariamente, e reporta imediatamente ao gerente de equipamentos quaisquer problemas ou falhas em equipame"&amp;"ntos como cortadores de grama, veículos utilitários do campo de golfe, rastelos, etc. Carrega, descarrega e transporta grama, cobertura morta, fertilizantes, terra, cascalho e materiais de paisagismo por toda a propriedade do campo de golfe. Sob a direção"&amp;" do superintendente ou superintendente assistente, a equipe de zeladoria/manutenção de áreas irregulares marca o campo para controle de carrinhos semanalmente, move as barreiras de controle de carrinhos e substitui cordas e placas desgastadas ou perdidas,"&amp;" podendo também marcar áreas de perigo e drop. Auxilia na instalação e realocação de materiais de controle de erosão, marcadores de perigo e barreiras de proteção durante chuvas fortes. Rega e fertiliza tees, greens e fairways e, sob a supervisão direta d"&amp;"o diretor de agronomia ou superintendente assistente, aplica produtos químicos em áreas ajardinadas. Auxilia em trabalhos de projeto e na construção de novos greens, tees e fairways. Auxilia em projetos de renovação de gramados, melhorias paisagísticas e "&amp;"preservação de campos de golfe durante o período de maior crescimento em clima tropical. Nivelamento e preparação do solo, colocação de grama em placas e semeadura de tees, greens e fairways. Aplicação de cobertura morta, corretivos de solo e materiais pa"&amp;"isagísticos ao redor de plantas ornamentais, palmeiras e no campo de golfe. Instalação de formas e construção de calçadas e caminhos utilizando misturas de cascalho e asfalto, escavação e aterro de valas e trincheiras com ferramentas manuais, reparo e sub"&amp;"stituição de tubulações em sistemas de irrigação. Auxilia na manutenção de valas de drenagem, bueiros e áreas de escoamento para minimizar a erosão e o acúmulo de água causados ​​pelas condições climáticas tropicais. Pode ser solicitado a operar cortadore"&amp;"s de grama, pequenos veículos utilitários para uso no campo de golfe, como o John Deere TX Gator com peso aproximado de 270 kg, ou outros equipamentos leves. Também pode operar sopradores, aeradores, escavadeiras de valas, semeadoras e outros equipamentos"&amp;" de manutenção de gramados utilizados para atividades de preservação e paisagismo do campo de golfe. Classificação da Função: 37-3011.00 - Trabalhadores de Paisagismo e Manutenção de Jardins. A classificação e descrição da função/setor inclui informações "&amp;"gerais sobre o cargo, de acordo com o ONET/OES e o Sistema de Classificação Industrial da América do Norte. Consulte as Funções e a Ordem de Serviço para obter mais informações. Requisitos da Função Experiência Necessária: Sim Meses de Experiência Necessá"&amp;"rios: 3 Requisitos Especiais: Possuir carteira de habilitação válida ou equivalente internacional. Deve ser capaz de operar caminhões, carrinhos de golfe e equipamentos motorizados leves. Deve ter conhecimento na operação de ferramentas manuais e elétrica"&amp;"s, e equipamentos de manutenção de campos de golfe. Deve ter disponibilidade para trabalhar em horários flexíveis, incluindo noites, fins de semana e feriados, e em turnos com duração superior a oito (8) horas. Deve ler, escrever, falar e compreender ingl"&amp;"ês. Deve atender às demandas físicas da função, incluindo, entre outras, trabalhar em ambientes internos e externos, ficar em pé, caminhar e se movimentar por períodos superiores a quatro (4) horas, e levantar, carregar, curvar-se, agachar-se, alcançar, e"&amp;"mpurrar e puxar. Deve ser capaz de levantar 23 kg. A verificação de antecedentes será realizada às custas do empregador. Número de horas por semana: 40. Horário de trabalho (início/término): 5h às 20h.")</f>
        <v>Opera cortadores de grama e roçadeiras para aparar greens, áreas de arrebentação e tees ao redor de árvores, cercas, taludes e encostas; também apara as bordas dos caminhos de carrinhos de golfe, rastela e mantém os bunkers de areia. Além disso, realiza aeração, semeadura, escarificação e cobertura com adubo em greens, tees e fairways. Poda arbustos e bordas usando tesouras de poda. Auxilia na poda de vegetação tropical, remoção de folhas de palmeira, limpeza de mato e remoção de detritos de tempestades em toda a propriedade do campo de golfe. Instala marcadores de tee e buracos nos greens diariamente, mantém os lavadores de bolas, substitui toalhas e bandeiras de tee quando necessário, remove detritos, coloca areia e sementes nos buracos da área de tee e drop e limpa os canteiros de flores. Mantém os níveis de combustível e fluidos de todos os tipos de equipamentos, como carrinhos e buggies de golfe, diariamente, e reporta imediatamente ao gerente de equipamentos quaisquer problemas ou falhas em equipamentos como cortadores de grama, veículos utilitários do campo de golfe, rastelos, etc. Carrega, descarrega e transporta grama, cobertura morta, fertilizantes, terra, cascalho e materiais de paisagismo por toda a propriedade do campo de golfe. Sob a direção do superintendente ou superintendente assistente, a equipe de zeladoria/manutenção de áreas irregulares marca o campo para controle de carrinhos semanalmente, move as barreiras de controle de carrinhos e substitui cordas e placas desgastadas ou perdidas, podendo também marcar áreas de perigo e drop. Auxilia na instalação e realocação de materiais de controle de erosão, marcadores de perigo e barreiras de proteção durante chuvas fortes. Rega e fertiliza tees, greens e fairways e, sob a supervisão direta do diretor de agronomia ou superintendente assistente, aplica produtos químicos em áreas ajardinadas. Auxilia em trabalhos de projeto e na construção de novos greens, tees e fairways. Auxilia em projetos de renovação de gramados, melhorias paisagísticas e preservação de campos de golfe durante o período de maior crescimento em clima tropical. Nivelamento e preparação do solo, colocação de grama em placas e semeadura de tees, greens e fairways. Aplicação de cobertura morta, corretivos de solo e materiais paisagísticos ao redor de plantas ornamentais, palmeiras e no campo de golfe. Instalação de formas e construção de calçadas e caminhos utilizando misturas de cascalho e asfalto, escavação e aterro de valas e trincheiras com ferramentas manuais, reparo e substituição de tubulações em sistemas de irrigação. Auxilia na manutenção de valas de drenagem, bueiros e áreas de escoamento para minimizar a erosão e o acúmulo de água causados ​​pelas condições climáticas tropicais. Pode ser solicitado a operar cortadores de grama, pequenos veículos utilitários para uso no campo de golfe, como o John Deere TX Gator com peso aproximado de 270 kg, ou outros equipamentos leves. Também pode operar sopradores, aeradores, escavadeiras de valas, semeadoras e outros equipamentos de manutenção de gramados utilizados para atividades de preservação e paisagismo do campo de golfe. Classificação da Função: 37-3011.00 - Trabalhadores de Paisagismo e Manutenção de Jardins. A classificação e descrição da função/setor inclui informações gerais sobre o cargo, de acordo com o ONET/OES e o Sistema de Classificação Industrial da América do Norte. Consulte as Funções e a Ordem de Serviço para obter mais informações. Requisitos da Função Experiência Necessária: Sim Meses de Experiência Necessários: 3 Requisitos Especiais: Possuir carteira de habilitação válida ou equivalente internacional. Deve ser capaz de operar caminhões, carrinhos de golfe e equipamentos motorizados leves. Deve ter conhecimento na operação de ferramentas manuais e elétricas, e equipamentos de manutenção de campos de golfe. Deve ter disponibilidade para trabalhar em horários flexíveis, incluindo noites, fins de semana e feriados, e em turnos com duração superior a oito (8) horas. Deve ler, escrever, falar e compreender inglês. Deve atender às demandas físicas da função, incluindo, entre outras, trabalhar em ambientes internos e externos, ficar em pé, caminhar e se movimentar por períodos superiores a quatro (4) horas, e levantar, carregar, curvar-se, agachar-se, alcançar, empurrar e puxar. Deve ser capaz de levantar 23 kg. A verificação de antecedentes será realizada às custas do empregador. Número de horas por semana: 40. Horário de trabalho (início/término): 5h às 20h.</v>
      </c>
    </row>
    <row r="1756" ht="20.25" customHeight="1">
      <c r="A1756" s="3" t="s">
        <v>7907</v>
      </c>
      <c r="B1756" s="3" t="s">
        <v>7904</v>
      </c>
      <c r="C1756" s="3" t="s">
        <v>6228</v>
      </c>
      <c r="D1756" s="3" t="s">
        <v>2222</v>
      </c>
      <c r="E1756" s="4" t="s">
        <v>19</v>
      </c>
      <c r="F1756" s="4" t="s">
        <v>20</v>
      </c>
      <c r="G1756" s="4" t="s">
        <v>146</v>
      </c>
      <c r="H1756" s="3" t="s">
        <v>7505</v>
      </c>
      <c r="I1756" s="3" t="s">
        <v>7905</v>
      </c>
      <c r="J1756" s="4">
        <v>19.5</v>
      </c>
      <c r="K1756" s="4">
        <v>4.0</v>
      </c>
      <c r="L1756" s="3" t="s">
        <v>1636</v>
      </c>
      <c r="M1756" s="3" t="s">
        <v>7908</v>
      </c>
      <c r="N1756" s="7" t="str">
        <f>IFERROR(__xludf.DUMMYFUNCTION("GOOGLETRANSLATE(L1756, ""en"", ""pt"")"),"Mordomo")</f>
        <v>Mordomo</v>
      </c>
      <c r="O1756" s="7" t="str">
        <f>IFERROR(__xludf.DUMMYFUNCTION("IF(M1756="""","""",GOOGLETRANSLATE(M1756,""en"",""pt""))"),"Manter os padrões de higiene em todas as áreas de trabalho da cozinha, incluindo pontos de venda de alimentos externos e refeitório dos funcionários, lavando a louça e as áreas de trabalho, varrendo as áreas de trabalho da cozinha e removendo o lixo. Oper"&amp;"ar máquinas de lavar louça industriais para limpar e higienizar pratos, copos, talheres, panelas, frigideiras e utensílios de cozinha usados ​​nas operações diárias de Alimentos e Bebidas. Garantir que todos os utensílios e equipamentos sejam devidamente "&amp;"limpos, secos, separados e armazenados em áreas designadas. Manter a segurança, o armazenamento adequado de produtos químicos e os registros de concentração de produtos químicos. Preparar diariamente os itens de louça, copos e talheres para todos os ponto"&amp;"s de venda. Varrer e passar pano nos pisos da cozinha durante e após os períodos de serviço e manter a limpeza das estações de lavagem de louça, depósitos e áreas de descarte de lixo. Participar de reuniões do departamento quando necessário. Concluir todo"&amp;"s os procedimentos de abertura/fechamento conforme instruído. Realizar verificações mensais de estoque. Manter todos os equipamentos e garantir que sejam manuseados e mantidos adequadamente. Cumprir todas as políticas e procedimentos da empresa e todas as"&amp;" normas governamentais, de segurança, saúde e proteção, garantindo que o departamento esteja sempre em conformidade. Auxiliar no descarregamento e transporte de suprimentos alimentares, equipamentos de cozinha e itens de serviço entre o armazenamento e as"&amp;" áreas de trabalho operacionais. Classificação do Cargo: 35-9021.00 - Lavadores de Louça. A classificação e descrição do cargo/setor inclui informações gerais sobre a posição, de acordo com o ONET/OES e o Sistema de Classificação Industrial da América do "&amp;"Norte. Consulte as Funções e a Ordem de Serviço para obter mais informações. Requisitos do Cargo Experiência Necessária: Sim Meses de Experiência Necessários: 3 Requisitos Especiais: Disponibilidade para trabalhar em horários flexíveis, incluindo noites, "&amp;"fins de semana e feriados, e em turnos com duração superior a oito (8) horas. O(A) funcionário(a) poderá ser solicitado(a) a trabalhar no turno da manhã, almoço ou jantar. É necessário ler, escrever, falar e compreender inglês. É necessário atender às dem"&amp;"andas físicas do cargo, incluindo, entre outras, trabalhar em ambientes internos e externos, ficar em pé, caminhar e se movimentar por períodos superiores a quatro (4) horas, além de levantar, carregar, curvar-se, agachar-se, alcançar, empurrar e puxar. C"&amp;"apacidade de levantar 23 kg. A verificação de antecedentes será realizada às custas do empregador. É necessário ter três (3) meses de experiência em um restaurante de alto padrão, resort ou clube privado. Número de horas por semana: 40. Horário de trabalh"&amp;"o (início/término): 5h00 - 23h00.")</f>
        <v>Manter os padrões de higiene em todas as áreas de trabalho da cozinha, incluindo pontos de venda de alimentos externos e refeitório dos funcionários, lavando a louça e as áreas de trabalho, varrendo as áreas de trabalho da cozinha e removendo o lixo. Operar máquinas de lavar louça industriais para limpar e higienizar pratos, copos, talheres, panelas, frigideiras e utensílios de cozinha usados ​​nas operações diárias de Alimentos e Bebidas. Garantir que todos os utensílios e equipamentos sejam devidamente limpos, secos, separados e armazenados em áreas designadas. Manter a segurança, o armazenamento adequado de produtos químicos e os registros de concentração de produtos químicos. Preparar diariamente os itens de louça, copos e talheres para todos os pontos de venda. Varrer e passar pano nos pisos da cozinha durante e após os períodos de serviço e manter a limpeza das estações de lavagem de louça, depósitos e áreas de descarte de lixo. Participar de reuniões do departamento quando necessário. Concluir todos os procedimentos de abertura/fechamento conforme instruído. Realizar verificações mensais de estoque. Manter todos os equipamentos e garantir que sejam manuseados e mantidos adequadamente. Cumprir todas as políticas e procedimentos da empresa e todas as normas governamentais, de segurança, saúde e proteção, garantindo que o departamento esteja sempre em conformidade. Auxiliar no descarregamento e transporte de suprimentos alimentares, equipamentos de cozinha e itens de serviço entre o armazenamento e as áreas de trabalho operacionais. Classificação do Cargo: 35-9021.00 - Lavadores de Louça. A classificação e descrição do cargo/setor inclui informações gerais sobre a posição, de acordo com o ONET/OES e o Sistema de Classificação Industrial da América do Norte. Consulte as Funções e a Ordem de Serviço para obter mais informações. Requisitos do Cargo Experiência Necessária: Sim Meses de Experiência Necessários: 3 Requisitos Especiais: Disponibilidade para trabalhar em horários flexíveis, incluindo noites, fins de semana e feriados, e em turnos com duração superior a oito (8) horas. O(A) funcionário(a) poderá ser solicitado(a) a trabalhar no turno da manhã, almoço ou jantar. É necessário ler, escrever, falar e compreender inglês. É necessário atender às demandas físicas do cargo, incluindo, entre outras, trabalhar em ambientes internos e externos, ficar em pé, caminhar e se movimentar por períodos superiores a quatro (4) horas, além de levantar, carregar, curvar-se, agachar-se, alcançar, empurrar e puxar. Capacidade de levantar 23 kg. A verificação de antecedentes será realizada às custas do empregador. É necessário ter três (3) meses de experiência em um restaurante de alto padrão, resort ou clube privado. Número de horas por semana: 40. Horário de trabalho (início/término): 5h00 - 23h00.</v>
      </c>
    </row>
    <row r="1757" ht="20.25" customHeight="1">
      <c r="A1757" s="8" t="s">
        <v>7909</v>
      </c>
      <c r="B1757" s="8" t="s">
        <v>7910</v>
      </c>
      <c r="C1757" s="8" t="s">
        <v>7431</v>
      </c>
      <c r="D1757" s="8" t="s">
        <v>2068</v>
      </c>
      <c r="E1757" s="9" t="s">
        <v>19</v>
      </c>
      <c r="F1757" s="9" t="s">
        <v>20</v>
      </c>
      <c r="G1757" s="9" t="s">
        <v>345</v>
      </c>
      <c r="H1757" s="8" t="s">
        <v>7911</v>
      </c>
      <c r="I1757" s="8" t="s">
        <v>7912</v>
      </c>
      <c r="J1757" s="9">
        <v>12.0</v>
      </c>
      <c r="K1757" s="9">
        <v>10.0</v>
      </c>
      <c r="L1757" s="8" t="s">
        <v>7913</v>
      </c>
      <c r="M1757" s="8" t="s">
        <v>7914</v>
      </c>
      <c r="N1757" s="7" t="str">
        <f>IFERROR(__xludf.DUMMYFUNCTION("GOOGLETRANSLATE(L1757, ""en"", ""pt"")"),"Chef de Pastelaria")</f>
        <v>Chef de Pastelaria</v>
      </c>
      <c r="O1757" s="7" t="str">
        <f>IFERROR(__xludf.DUMMYFUNCTION("IF(M1757="""","""",GOOGLETRANSLATE(M1757,""en"",""pt""))"),"O(A) funcionário(a) será treinado(a) para desempenhar funções que incluem: medir, pesar, porcionar e misturar ingredientes como açúcar, farinha, ovos e manteiga para preparar massas de biscoito, recheios, coberturas e outros componentes de biscoitos, manu"&amp;"almente ou utilizando máquinas de mistura e processamento. Abrir, sovar, cortar, moldar ou porcionar a massa para formar biscoitos e outros produtos assados. Colocar a massa em formas, assadeiras ou formas para assar em fornos de produção. Ajustar os cont"&amp;"roles de tempo e velocidade para máquinas de mistura e processamento, e o tempo e a temperatura para fornos de produção. Decorar, rechear ou aplicar coberturas de chocolate, recheios de biscoito e outros componentes ou coberturas em biscoitos e outros pro"&amp;"dutos assados ​​manualmente. Montar criações elaboradas de biscoitos, brownies e mini biscoitos. Ajustar porções, medidas, temperaturas, tempos de cozimento e outras variáveis ​​para compensar a quantidade de itens ou lotes, a cor e a textura dos itens em"&amp;" produção, a umidade ambiente e outras variáveis. Embalar e selar biscoitos. Auxiliar na embalagem de pedidos de produtos assados, conforme necessário. Executar outras tarefas na estação de confeitaria, conforme designado por supervisores e gerentes. Siga"&amp;" os procedimentos adequados de manipulação de alimentos para garantir a segurança alimentar, incluindo embalar, etiquetar, datar, estocar, armazenar, rotacionar e verificar as temperaturas. Classificação da vaga: 51-3011.00 - Padeiros. A classificação e d"&amp;"escrição da vaga/setor incluem informações gerais sobre o cargo, de acordo com o ONET/OES e o Sistema de Classificação Industrial da América do Norte (NAICS). Consulte as Funções e a Ordem de Serviço para obter mais informações. Requisitos da vaga: Experi"&amp;"ência necessária: Sim. Meses de experiência necessários: 12. Requisitos especiais: Não é necessário escolaridade. Mínimo de 12 meses de experiência como padeiro, confeiteiro ou em funções similares. Conhecimento básico de inglês. Pode ser alocado(a) a out"&amp;"ros locais de trabalho dentro da mesma Área Metropolitana Estatística (MSA) de San Juan-Bayamon-Caguas, Porto Rico. Capacidade de levantar/carregar/empurrar/puxar 23 kg. O horário de trabalho será variável e incluirá noites, fins de semana e feriados. O t"&amp;"rabalho pode ser realizado em qualquer dia da semana, de segunda a domingo. A semana de trabalho padrão é de 40 horas semanais, 5 dias por semana. Jornadas de trabalho de 8 horas, com o primeiro turno começando às 5h e o último terminando às 13h. Os horár"&amp;"ios dos turnos podem variar. O empregador se baseará nas declarações e observações do próprio trabalhador para avaliar se ele atende aos requisitos de capacidade física, como levantar peso, ficar em pé e outros, conforme descrito neste documento. Número d"&amp;"e horas por semana: 40. Horário de trabalho (início/término): 5h às 13h.")</f>
        <v>O(A) funcionário(a) será treinado(a) para desempenhar funções que incluem: medir, pesar, porcionar e misturar ingredientes como açúcar, farinha, ovos e manteiga para preparar massas de biscoito, recheios, coberturas e outros componentes de biscoitos, manualmente ou utilizando máquinas de mistura e processamento. Abrir, sovar, cortar, moldar ou porcionar a massa para formar biscoitos e outros produtos assados. Colocar a massa em formas, assadeiras ou formas para assar em fornos de produção. Ajustar os controles de tempo e velocidade para máquinas de mistura e processamento, e o tempo e a temperatura para fornos de produção. Decorar, rechear ou aplicar coberturas de chocolate, recheios de biscoito e outros componentes ou coberturas em biscoitos e outros produtos assados ​​manualmente. Montar criações elaboradas de biscoitos, brownies e mini biscoitos. Ajustar porções, medidas, temperaturas, tempos de cozimento e outras variáveis ​​para compensar a quantidade de itens ou lotes, a cor e a textura dos itens em produção, a umidade ambiente e outras variáveis. Embalar e selar biscoitos. Auxiliar na embalagem de pedidos de produtos assados, conforme necessário. Executar outras tarefas na estação de confeitaria, conforme designado por supervisores e gerentes. Siga os procedimentos adequados de manipulação de alimentos para garantir a segurança alimentar, incluindo embalar, etiquetar, datar, estocar, armazenar, rotacionar e verificar as temperaturas. Classificação da vaga: 51-3011.00 - Padeiros. A classificação e descrição da vaga/setor incluem informações gerais sobre o cargo, de acordo com o ONET/OES e o Sistema de Classificação Industrial da América do Norte (NAICS). Consulte as Funções e a Ordem de Serviço para obter mais informações. Requisitos da vaga: Experiência necessária: Sim. Meses de experiência necessários: 12. Requisitos especiais: Não é necessário escolaridade. Mínimo de 12 meses de experiência como padeiro, confeiteiro ou em funções similares. Conhecimento básico de inglês. Pode ser alocado(a) a outros locais de trabalho dentro da mesma Área Metropolitana Estatística (MSA) de San Juan-Bayamon-Caguas, Porto Rico. Capacidade de levantar/carregar/empurrar/puxar 23 kg. O horário de trabalho será variável e incluirá noites, fins de semana e feriados. O trabalho pode ser realizado em qualquer dia da semana, de segunda a domingo. A semana de trabalho padrão é de 40 horas semanais, 5 dias por semana. Jornadas de trabalho de 8 horas, com o primeiro turno começando às 5h e o último terminando às 13h. Os horários dos turnos podem variar. O empregador se baseará nas declarações e observações do próprio trabalhador para avaliar se ele atende aos requisitos de capacidade física, como levantar peso, ficar em pé e outros, conforme descrito neste documento. Número de horas por semana: 40. Horário de trabalho (início/término): 5h às 13h.</v>
      </c>
    </row>
    <row r="1758" ht="20.25" customHeight="1">
      <c r="A1758" s="3" t="s">
        <v>7915</v>
      </c>
      <c r="B1758" s="3" t="s">
        <v>7916</v>
      </c>
      <c r="C1758" s="3" t="s">
        <v>7651</v>
      </c>
      <c r="D1758" s="3" t="s">
        <v>109</v>
      </c>
      <c r="E1758" s="4" t="s">
        <v>19</v>
      </c>
      <c r="F1758" s="4" t="s">
        <v>20</v>
      </c>
      <c r="G1758" s="4" t="s">
        <v>404</v>
      </c>
      <c r="H1758" s="3" t="s">
        <v>7917</v>
      </c>
      <c r="I1758" s="3" t="s">
        <v>7918</v>
      </c>
      <c r="J1758" s="4">
        <v>18.46</v>
      </c>
      <c r="K1758" s="4">
        <v>15.0</v>
      </c>
      <c r="L1758" s="3" t="s">
        <v>7919</v>
      </c>
      <c r="M1758" s="3" t="s">
        <v>7920</v>
      </c>
      <c r="N1758" s="7" t="str">
        <f>IFERROR(__xludf.DUMMYFUNCTION("GOOGLETRANSLATE(L1758, ""en"", ""pt"")"),"Trabalhador de remoção de neve/manutenção de propriedades")</f>
        <v>Trabalhador de remoção de neve/manutenção de propriedades</v>
      </c>
      <c r="O1758" s="7" t="str">
        <f>IFERROR(__xludf.DUMMYFUNCTION("IF(M1758="""","""",GOOGLETRANSLATE(M1758,""en"",""pt""))"),"Realizar serviços temporários e em tempo integral de manutenção de inverno e remoção de neve para propriedades comerciais e residenciais. Remover neve, gelo, lama, folhas, galhos, lamaçais e detritos de calçadas, passarelas, entradas, estacionamentos e ár"&amp;"eas comuns usando pás, sopradores de neve, vassouras, sopradores de folhas e outras ferramentas manuais ou elétricas. Aplicar sal e produtos para derreter gelo para manter as condições seguras. Realizar limpeza externa, remoção de lixo, varrição, limpeza "&amp;"sazonal e outras tarefas de manutenção de propriedades. Durante os períodos sem neve, auxiliar nas operações de varrição de ruas e estacionamentos e na manutenção externa geral. O trabalho pode incluir turnos noturnos, fins de semana, feriados e turnos de"&amp;" resposta a emergências climáticas. As tarefas também podem incluir atividades de limpeza de outono e primavera, como recolher folhas, limpar calhas, remover galhos e detritos de tempestades, limpar áreas ajardinadas e preparar as propriedades para as con"&amp;"dições climáticas sazonais. Classificação da Função: 37-3011.00 - Trabalhadores de Paisagismo e Manutenção de Jardins. A classificação e descrição da função/setor inclui informações gerais sobre o cargo, de acordo com o ONET/OES e o Sistema de Classificaç"&amp;"ão Industrial da América do Norte (NAICS). Consulte as Funções e a Ordem de Serviço para obter mais informações. Requisitos da Função Experiência Necessária: Sim Meses de Experiência Necessários: 3 Requisitos Especiais: Deve ser capaz de levantar/carregar"&amp;" 23 kg, quando necessário. Trabalho aos sábados e domingos, quando necessário. A jornada máxima é de 12 horas por dia. A escala de trabalho real para cada dia da semana está sujeita a alterações. Nem todos os funcionários trabalharão em turnos de 12 horas"&amp;", 7 dias por semana. Um funcionário pode trabalhar até 12 horas por dia, mas pode trabalhar em dias alternados ou parte de um turno de 12 horas. Oferecemos pelo menos 40 horas em uma semana de trabalho típica. Horas extras (acima de 40) podem variar depen"&amp;"dendo da equipe e de outros fatores, a serem avaliados diariamente. O candidato deve ser capaz de operar cortadores de grama de raio zero, roçadeiras e sopradores de folhas. O teste antidrogas, pago pelo empregador, é obrigatório para trabalhadores estran"&amp;"geiros e nacionais antes do início do trabalho e após a contratação, em caso de suspeita de uso ou acidente. A verificação de antecedentes e a verificação de elegibilidade para emprego (E-Verify) são obrigatórias para trabalhadores estrangeiros e nacionai"&amp;"s após a contratação. Carteira de habilitação é obrigatória para trabalhadores que dirigem veículos da empresa. O empregador pode oferecer uma jornada de trabalho superior à estipulada, dependendo das condições climáticas, das necessidades da empresa e de"&amp;" outras circunstâncias. Calor extremo, frio, chuva ou seca podem afetar o horário de trabalho exato. Número de horas por semana: 35. Horário de trabalho (início/término): 7h às 17h.")</f>
        <v>Realizar serviços temporários e em tempo integral de manutenção de inverno e remoção de neve para propriedades comerciais e residenciais. Remover neve, gelo, lama, folhas, galhos, lamaçais e detritos de calçadas, passarelas, entradas, estacionamentos e áreas comuns usando pás, sopradores de neve, vassouras, sopradores de folhas e outras ferramentas manuais ou elétricas. Aplicar sal e produtos para derreter gelo para manter as condições seguras. Realizar limpeza externa, remoção de lixo, varrição, limpeza sazonal e outras tarefas de manutenção de propriedades. Durante os períodos sem neve, auxiliar nas operações de varrição de ruas e estacionamentos e na manutenção externa geral. O trabalho pode incluir turnos noturnos, fins de semana, feriados e turnos de resposta a emergências climáticas. As tarefas também podem incluir atividades de limpeza de outono e primavera, como recolher folhas, limpar calhas, remover galhos e detritos de tempestades, limpar áreas ajardinadas e preparar as propriedades para as condições climáticas sazonais. Classificação da Função: 37-3011.00 - Trabalhadores de Paisagismo e Manutenção de Jardins. A classificação e descrição da função/setor inclui informações gerais sobre o cargo, de acordo com o ONET/OES e o Sistema de Classificação Industrial da América do Norte (NAICS). Consulte as Funções e a Ordem de Serviço para obter mais informações. Requisitos da Função Experiência Necessária: Sim Meses de Experiência Necessários: 3 Requisitos Especiais: Deve ser capaz de levantar/carregar 23 kg, quando necessário. Trabalho aos sábados e domingos, quando necessário. A jornada máxima é de 12 horas por dia. A escala de trabalho real para cada dia da semana está sujeita a alterações. Nem todos os funcionários trabalharão em turnos de 12 horas, 7 dias por semana. Um funcionário pode trabalhar até 12 horas por dia, mas pode trabalhar em dias alternados ou parte de um turno de 12 horas. Oferecemos pelo menos 40 horas em uma semana de trabalho típica. Horas extras (acima de 40) podem variar dependendo da equipe e de outros fatores, a serem avaliados diariamente. O candidato deve ser capaz de operar cortadores de grama de raio zero, roçadeiras e sopradores de folhas. O teste antidrogas, pago pelo empregador, é obrigatório para trabalhadores estrangeiros e nacionais antes do início do trabalho e após a contratação, em caso de suspeita de uso ou acidente. A verificação de antecedentes e a verificação de elegibilidade para emprego (E-Verify) são obrigatórias para trabalhadores estrangeiros e nacionais após a contratação. Carteira de habilitação é obrigatória para trabalhadores que dirigem veículos da empresa. O empregador pode oferecer uma jornada de trabalho superior à estipulada, dependendo das condições climáticas, das necessidades da empresa e de outras circunstâncias. Calor extremo, frio, chuva ou seca podem afetar o horário de trabalho exato. Número de horas por semana: 35. Horário de trabalho (início/término): 7h às 17h.</v>
      </c>
    </row>
    <row r="1759" ht="20.25" customHeight="1">
      <c r="A1759" s="8" t="s">
        <v>7921</v>
      </c>
      <c r="B1759" s="8" t="s">
        <v>7916</v>
      </c>
      <c r="C1759" s="8" t="s">
        <v>7651</v>
      </c>
      <c r="D1759" s="8" t="s">
        <v>109</v>
      </c>
      <c r="E1759" s="9" t="s">
        <v>19</v>
      </c>
      <c r="F1759" s="9" t="s">
        <v>20</v>
      </c>
      <c r="G1759" s="9" t="s">
        <v>404</v>
      </c>
      <c r="H1759" s="8" t="s">
        <v>7917</v>
      </c>
      <c r="I1759" s="8" t="s">
        <v>7918</v>
      </c>
      <c r="J1759" s="9">
        <v>25.21</v>
      </c>
      <c r="K1759" s="9">
        <v>5.0</v>
      </c>
      <c r="L1759" s="8" t="s">
        <v>7922</v>
      </c>
      <c r="M1759" s="8" t="s">
        <v>7923</v>
      </c>
      <c r="N1759" s="7" t="str">
        <f>IFERROR(__xludf.DUMMYFUNCTION("GOOGLETRANSLATE(L1759, ""en"", ""pt"")"),"Motorista de limpa-neve")</f>
        <v>Motorista de limpa-neve</v>
      </c>
      <c r="O1759" s="7" t="str">
        <f>IFERROR(__xludf.DUMMYFUNCTION("IF(M1759="""","""",GOOGLETRANSLATE(M1759,""en"",""pt""))"),"Executar serviços temporários e em tempo integral de remoção de neve e manutenção de inverno para propriedades comerciais e residenciais. Operar limpa-neves e espalhadores de sal para remover neve e gelo de estacionamentos, vias de acesso, entradas e supe"&amp;"rfícies pavimentadas. Transportar equipes, materiais, sal e equipamentos entre os locais de trabalho. Inspecionar e manter veículos e equipamentos de remoção de neve e auxiliar na remoção manual de neve, aplicação de sal, limpeza sazonal e varrição de rua"&amp;"s, conforme necessário. O trabalho pode envolver turnos noturnos, fins de semana, feriados e atendimento a emergências climáticas. Classificação da vaga: 47-4051.00 - Trabalhadores de Manutenção de Rodovias. A classificação e descrição da vaga/setor inclu"&amp;"em informações gerais sobre o cargo, de acordo com o ONET/OES e o Sistema de Classificação Industrial da América do Norte (NAICS). Consulte as Funções e a Ordem de Serviço para obter mais informações. Requisitos da vaga: Experiência exigida: Sim. Meses de"&amp;" experiência exigidos: 3. Requisitos especiais: Carteira de habilitação. Deve ser capaz de levantar/carregar 23 kg, quando necessário. Trabalho aos sábados e domingos, quando necessário. Turnos de até 12 horas por dia. A escala de trabalho de cada dia da "&amp;"semana está sujeita a alterações. Nem todos os funcionários trabalharão em turnos de 12 horas, 7 dias por semana. Um funcionário pode trabalhar até 12 horas por dia, em dias alternados ou em parte de um turno de 12 horas. Oferecemos pelo menos 40 horas em"&amp;" uma semana de trabalho típica. Horas adicionais (acima de 40) podem variar dependendo da equipe e de outros fatores, avaliados diariamente. É necessário saber operar cortadores de grama de raio zero, roçadeiras e sopradores de folhas. O empregador exige "&amp;"teste antidrogas pago pela empresa para funcionários estrangeiros e nacionais antes do início do trabalho e após a contratação, em caso de suspeita de uso ou acidente. A verificação de antecedentes e de elegibilidade para emprego (E-Verify) é obrigatória "&amp;"para funcionários estrangeiros e nacionais após a contratação. Carteira de habilitação é exigida para funcionários que dirigem veículos da empresa. O empregador pode oferecer mais horas de trabalho do que as estipuladas, dependendo do clima, das necessida"&amp;"des da empresa e de outras condições. Calor extremo, frio, chuva ou seca podem afetar a jornada de trabalho exata. Número de horas por semana: 40 Horário de trabalho (início/término): 7h00 - 17h00")</f>
        <v>Executar serviços temporários e em tempo integral de remoção de neve e manutenção de inverno para propriedades comerciais e residenciais. Operar limpa-neves e espalhadores de sal para remover neve e gelo de estacionamentos, vias de acesso, entradas e superfícies pavimentadas. Transportar equipes, materiais, sal e equipamentos entre os locais de trabalho. Inspecionar e manter veículos e equipamentos de remoção de neve e auxiliar na remoção manual de neve, aplicação de sal, limpeza sazonal e varrição de ruas, conforme necessário. O trabalho pode envolver turnos noturnos, fins de semana, feriados e atendimento a emergências climáticas. Classificação da vaga: 47-4051.00 - Trabalhadores de Manutenção de Rodovias. A classificação e descrição da vaga/setor incluem informações gerais sobre o cargo, de acordo com o ONET/OES e o Sistema de Classificação Industrial da América do Norte (NAICS). Consulte as Funções e a Ordem de Serviço para obter mais informações. Requisitos da vaga: Experiência exigida: Sim. Meses de experiência exigidos: 3. Requisitos especiais: Carteira de habilitação. Deve ser capaz de levantar/carregar 23 kg, quando necessário. Trabalho aos sábados e domingos, quando necessário. Turnos de até 12 horas por dia. A escala de trabalho de cada dia da semana está sujeita a alterações. Nem todos os funcionários trabalharão em turnos de 12 horas, 7 dias por semana. Um funcionário pode trabalhar até 12 horas por dia, em dias alternados ou em parte de um turno de 12 horas. Oferecemos pelo menos 40 horas em uma semana de trabalho típica. Horas adicionais (acima de 40) podem variar dependendo da equipe e de outros fatores, avaliados diariamente. É necessário saber operar cortadores de grama de raio zero, roçadeiras e sopradores de folhas. O empregador exige teste antidrogas pago pela empresa para funcionários estrangeiros e nacionais antes do início do trabalho e após a contratação, em caso de suspeita de uso ou acidente. A verificação de antecedentes e de elegibilidade para emprego (E-Verify) é obrigatória para funcionários estrangeiros e nacionais após a contratação. Carteira de habilitação é exigida para funcionários que dirigem veículos da empresa. O empregador pode oferecer mais horas de trabalho do que as estipuladas, dependendo do clima, das necessidades da empresa e de outras condições. Calor extremo, frio, chuva ou seca podem afetar a jornada de trabalho exata. Número de horas por semana: 40 Horário de trabalho (início/término): 7h00 - 17h00</v>
      </c>
    </row>
    <row r="1760" ht="20.25" customHeight="1">
      <c r="A1760" s="3" t="s">
        <v>7924</v>
      </c>
      <c r="B1760" s="3" t="s">
        <v>7925</v>
      </c>
      <c r="C1760" s="3" t="s">
        <v>7926</v>
      </c>
      <c r="D1760" s="3" t="s">
        <v>64</v>
      </c>
      <c r="E1760" s="4" t="s">
        <v>19</v>
      </c>
      <c r="F1760" s="4" t="s">
        <v>20</v>
      </c>
      <c r="G1760" s="4" t="s">
        <v>345</v>
      </c>
      <c r="H1760" s="3" t="s">
        <v>7927</v>
      </c>
      <c r="I1760" s="3" t="s">
        <v>7928</v>
      </c>
      <c r="J1760" s="4">
        <v>22.18</v>
      </c>
      <c r="K1760" s="4">
        <v>15.0</v>
      </c>
      <c r="L1760" s="3" t="s">
        <v>7929</v>
      </c>
      <c r="M1760" s="3" t="s">
        <v>7930</v>
      </c>
      <c r="N1760" s="7" t="str">
        <f>IFERROR(__xludf.DUMMYFUNCTION("GOOGLETRANSLATE(L1760, ""en"", ""pt"")"),"Trabalhador de Remoção de Chumbo")</f>
        <v>Trabalhador de Remoção de Chumbo</v>
      </c>
      <c r="O1760" s="7" t="str">
        <f>IFERROR(__xludf.DUMMYFUNCTION("IF(M1760="""","""",GOOGLETRANSLATE(M1760,""en"",""pt""))"),"Um profissional de remoção de chumbo será especializado na remoção de tinta à base de chumbo e outros materiais em superfícies como tetos e paredes, em temperaturas que variam de 9°C a 37°C. Utilizará o método de raspagem úmida e, ocasionalmente, operará "&amp;"pulverizadores de alta pressão, jateadoras de areia, pincéis, rolos de pintura e pistolas de pintura. Suas responsabilidades também incluem o uso de equipamentos de proteção individual e o descarte seguro dos materiais. Além do trabalho físico, um profiss"&amp;"ional de remoção de chumbo geralmente precisa subir em locais altos, manter registros e treinar novos funcionários. Trabalha em equipe para um fluxo de trabalho mais seguro e eficiente. Classificação da função: 47-4041.00 - Trabalhadores de Remoção de Mat"&amp;"eriais Perigosos. A classificação e descrição da função/setor inclui informações gerais sobre o cargo, de acordo com o ONET/OES e o Sistema de Classificação Industrial da América do Norte (NAICS). Consulte as Funções e a Ordem de Serviço para obter mais i"&amp;"nformações. Requisitos da vaga: Experiência necessária: Não. Requisitos especiais: O treinamento terá duração de 2 dias antes que os funcionários possam começar a realizar qualquer trabalho de reforma ou remoção de chumbo nos projetos definidos pelo empre"&amp;"gador. O custo do treinamento é de US$ 300 e o certificado custa US$ 103, pagos diretamente pelo empregador. Os 3 dias restantes da semana de trabalho serão destinados ao acompanhamento da equipe no local de trabalho, para que o funcionário observe como o"&amp;" trabalho é realizado. O funcionário receberá o certificado de conclusão do treinamento. O empregador não exigirá reembolso do custo do treinamento por parte do funcionário. Os funcionários devem usar equipamentos de proteção individual e descartar os mat"&amp;"eriais de forma segura. (Na seção F.a.8. Treinamento: número de meses necessários = não é possível inserir dias. É necessário inserir um mínimo de um mês OU, se nenhum treinamento for necessário, inserir 0 no campo indicado. Como o treinamento é necessári"&amp;"o, inserimos um mínimo de 1. No entanto, reiteramos que o treinamento tem duração de apenas 2 dias, mas como não é possível inserir dias, especificamos isso aqui. A ordem de serviço também corresponde ao que estamos listando aqui, ou seja, apenas 2 dias d"&amp;"e treinamento e 3 dias de acompanhamento.) Número de horas por semana: 40. Horário de trabalho (início/término): 7h30. - 17h00")</f>
        <v>Um profissional de remoção de chumbo será especializado na remoção de tinta à base de chumbo e outros materiais em superfícies como tetos e paredes, em temperaturas que variam de 9°C a 37°C. Utilizará o método de raspagem úmida e, ocasionalmente, operará pulverizadores de alta pressão, jateadoras de areia, pincéis, rolos de pintura e pistolas de pintura. Suas responsabilidades também incluem o uso de equipamentos de proteção individual e o descarte seguro dos materiais. Além do trabalho físico, um profissional de remoção de chumbo geralmente precisa subir em locais altos, manter registros e treinar novos funcionários. Trabalha em equipe para um fluxo de trabalho mais seguro e eficiente. Classificação da função: 47-4041.00 - Trabalhadores de Remoção de Materiais Perigosos. A classificação e descrição da função/setor inclui informações gerais sobre o cargo, de acordo com o ONET/OES e o Sistema de Classificação Industrial da América do Norte (NAICS). Consulte as Funções e a Ordem de Serviço para obter mais informações. Requisitos da vaga: Experiência necessária: Não. Requisitos especiais: O treinamento terá duração de 2 dias antes que os funcionários possam começar a realizar qualquer trabalho de reforma ou remoção de chumbo nos projetos definidos pelo empregador. O custo do treinamento é de US$ 300 e o certificado custa US$ 103, pagos diretamente pelo empregador. Os 3 dias restantes da semana de trabalho serão destinados ao acompanhamento da equipe no local de trabalho, para que o funcionário observe como o trabalho é realizado. O funcionário receberá o certificado de conclusão do treinamento. O empregador não exigirá reembolso do custo do treinamento por parte do funcionário. Os funcionários devem usar equipamentos de proteção individual e descartar os materiais de forma segura. (Na seção F.a.8. Treinamento: número de meses necessários = não é possível inserir dias. É necessário inserir um mínimo de um mês OU, se nenhum treinamento for necessário, inserir 0 no campo indicado. Como o treinamento é necessário, inserimos um mínimo de 1. No entanto, reiteramos que o treinamento tem duração de apenas 2 dias, mas como não é possível inserir dias, especificamos isso aqui. A ordem de serviço também corresponde ao que estamos listando aqui, ou seja, apenas 2 dias de treinamento e 3 dias de acompanhamento.) Número de horas por semana: 40. Horário de trabalho (início/término): 7h30. - 17h00</v>
      </c>
    </row>
    <row r="1761" ht="20.25" customHeight="1">
      <c r="A1761" s="8" t="s">
        <v>7931</v>
      </c>
      <c r="B1761" s="8" t="s">
        <v>7932</v>
      </c>
      <c r="C1761" s="8" t="s">
        <v>197</v>
      </c>
      <c r="D1761" s="8" t="s">
        <v>71</v>
      </c>
      <c r="E1761" s="9" t="s">
        <v>19</v>
      </c>
      <c r="F1761" s="9" t="s">
        <v>20</v>
      </c>
      <c r="G1761" s="9" t="s">
        <v>524</v>
      </c>
      <c r="H1761" s="8" t="s">
        <v>7933</v>
      </c>
      <c r="I1761" s="8" t="s">
        <v>7934</v>
      </c>
      <c r="J1761" s="9">
        <v>24.46</v>
      </c>
      <c r="K1761" s="9">
        <v>2.0</v>
      </c>
      <c r="L1761" s="8" t="s">
        <v>2826</v>
      </c>
      <c r="M1761" s="8" t="s">
        <v>7935</v>
      </c>
      <c r="N1761" s="7" t="str">
        <f>IFERROR(__xludf.DUMMYFUNCTION("GOOGLETRANSLATE(L1761, ""en"", ""pt"")"),"Supervisor de Cozinha")</f>
        <v>Supervisor de Cozinha</v>
      </c>
      <c r="O1761" s="7" t="str">
        <f>IFERROR(__xludf.DUMMYFUNCTION("IF(M1761="""","""",GOOGLETRANSLATE(M1761,""en"",""pt""))"),"Supervisionar e coordenar diretamente as atividades dos funcionários envolvidos na preparação e no serviço de alimentos. Coordenar as tarefas diárias, programar os trabalhos e garantir que a equipe esteja adequadamente alocada para atender às necessidades"&amp;" operacionais em cada turno. Monitorar o fluxo de trabalho entre as áreas de preparação e serviço de alimentos para manter a eficiência das operações e o atendimento ao cliente em tempo hábil. (2) vagas disponíveis. Período: 01/10/2026 a 31/05/2027. Turno"&amp;"s rotativos. Dias de trabalho: segunda a domingo. Horário de trabalho: 7h às 23h. Salário: US$ 24,46 a US$ 27/hora, com base no desempenho; horas extras: US$ 36,69 a US$ 40,50/hora. Pagamento quinzenal. 35 horas semanais. Alojamento opcional disponível po"&amp;"r US$ 26/dia com um depósito de US$ 200 (US$ 150 reembolsáveis, US$ 50 não reembolsáveis: o depósito será deduzido do segundo e terceiro pagamento do funcionário em incrementos de US$ 100. US$ 50 deste depósito não são reembolsáveis, pois cobrirão custos "&amp;"parciais de limpeza. O depósito será reembolsado após a conclusão do contrato e inspeção do alojamento. Custos adicionais poderão ser aplicados por danos ou itens faltantes). Os benefícios incluem bônus de Natal e elegibilidade para o plano 401k. Uniforme"&amp;"s parciais e refeições durante o turno são fornecidos. Local de trabalho: 250 South Beach Drive, Marco Island, FL 34145. O trabalho é temporário em tempo integral. Uma única semana de trabalho será usada para calcular o salário. Pode haver até 10 horas ex"&amp;"tras disponíveis. Todas as deduções do pagamento do trabalhador exigidas por lei serão feitas. O empregador fornecerá aos trabalhadores, sem custo, todas as ferramentas, suprimentos e equipamentos necessários para a execução do trabalho. O trabalhador rec"&amp;"eberá ou será reembolsado pelo transporte e subsistência (incluindo o custo razoável de hospedagem noturna, quando necessário, até US$ 110/noite para hospedagem com recibos) a uma taxa de US$ 16,78 por dia durante a viagem, até um máximo de US$ 68,00 por "&amp;"dia com recibos, desde o local de onde o trabalhador veio trabalhar para o empregador, seja nos EUA ou no exterior, até o local de trabalho, se o trabalhador completar 50% do período de emprego coberto pela ordem de serviço, de acordo com 20 CFR 655.20(j)"&amp;"(1)(i), mediante inclusão no pagamento da semana aplicável. O empregador fornecerá ou pagará o custo do transporte de retorno e da subsistência diária do trabalhador, do local de trabalho até o local de onde o trabalhador partiu para trabalhar para o empr"&amp;"egador, independentemente de empregos intermediários, caso o trabalhador complete o período de emprego certificado ou seja demitido do emprego por qualquer motivo pelo empregador antes do término do período, de acordo com o § 655.20(j)(1)(ii); os trabalha"&amp;"dores com visto H-2B serão reembolsados ​​na primeira semana de trabalho por todos os vistos, processamento de vistos, travessia de fronteira e outras taxas relacionadas, incluindo aquelas exigidas pelo governo (exceto taxas de passaporte). O empregador f"&amp;"ornecerá aos trabalhadores todas as ferramentas, suprimentos e equipamentos necessários para o desempenho do trabalho, sem custo para o trabalhador, de acordo com o 20 CFR 655.20(k). Os candidatos qualificados podem enviar o currículo para Pamela Radcliff"&amp;", no endereço 250 South Beach Drive, Marco Island, FL 34145, por e-mail para H2B2026@hideawaybeachclub.org ou visitar o centro de empregos local no endereço 3050 Horseshoe Drive North, Building A, Suite 110, Naples, FL 34104. *Seu depósito de segurança é "&amp;"reembolsável após a conclusão do contrato e a inspeção da moradia. Se um trabalhador abandonar o emprego sem a permissão do empregador ou abandonar a moradia antes do término do prazo de inscrição por qualquer motivo, exceto rescisão por parte do empregad"&amp;"or, o trabalhador perderá todos os depósitos de moradia, dias de folga remunerada, férias e bônus. Após a rescisão ou demissão, o trabalhador deverá desocupar a moradia imediatamente, a menos que haja acordo com o empregador.* Classificação do Cargo: 35-1"&amp;"012.00 - Supervisores de Primeira Linha de Trabalhadores de Preparação e Serviço de Alimentos. A classificação e descrição do cargo/setor inclui informações gerais sobre a posição, de acordo com o ONET/OES e o Sistema de Classificação Industrial da Améric"&amp;"a do Norte. Consulte a Descrição das Funções e a Ordem de Serviço para obter mais informações. Requisitos da Vaga Experiência Necessária: Sim Meses de Experiência Necessária: 3 Número de Horas por Semana: 35 Horário de Trabalho (Início/Término): 7h00 - 23"&amp;"h00")</f>
        <v>Supervisionar e coordenar diretamente as atividades dos funcionários envolvidos na preparação e no serviço de alimentos. Coordenar as tarefas diárias, programar os trabalhos e garantir que a equipe esteja adequadamente alocada para atender às necessidades operacionais em cada turno. Monitorar o fluxo de trabalho entre as áreas de preparação e serviço de alimentos para manter a eficiência das operações e o atendimento ao cliente em tempo hábil. (2) vagas disponíveis. Período: 01/10/2026 a 31/05/2027. Turnos rotativos. Dias de trabalho: segunda a domingo. Horário de trabalho: 7h às 23h. Salário: US$ 24,46 a US$ 27/hora, com base no desempenho; horas extras: US$ 36,69 a US$ 40,50/hora. Pagamento quinzenal. 35 horas semanais. Alojamento opcional disponível por US$ 26/dia com um depósito de US$ 200 (US$ 150 reembolsáveis, US$ 50 não reembolsáveis: o depósito será deduzido do segundo e terceiro pagamento do funcionário em incrementos de US$ 100. US$ 50 deste depósito não são reembolsáveis, pois cobrirão custos parciais de limpeza. O depósito será reembolsado após a conclusão do contrato e inspeção do alojamento. Custos adicionais poderão ser aplicados por danos ou itens faltantes). Os benefícios incluem bônus de Natal e elegibilidade para o plano 401k. Uniformes parciais e refeições durante o turno são fornecidos. Local de trabalho: 250 South Beach Drive, Marco Island, FL 34145. O trabalho é temporário em tempo integral. Uma única semana de trabalho será usada para calcular o salário. Pode haver até 10 horas extras disponíveis. Todas as deduções do pagamento do trabalhador exigidas por lei serão feitas. O empregador fornecerá aos trabalhadores, sem custo, todas as ferramentas, suprimentos e equipamentos necessários para a execução do trabalho. O trabalhador receberá ou será reembolsado pelo transporte e subsistência (incluindo o custo razoável de hospedagem noturna, quando necessário, até US$ 110/noite para hospedagem com recibos) a uma taxa de US$ 16,78 por dia durante a viagem, até um máximo de US$ 68,00 por dia com recibos, desde o local de onde o trabalhador veio trabalhar para o empregador, seja nos EUA ou no exterior, até o local de trabalho, se o trabalhador completar 50% do período de emprego coberto pela ordem de serviço, de acordo com 20 CFR 655.20(j)(1)(i), mediante inclusão no pagamento da semana aplicável. O empregador fornecerá ou pagará o custo do transporte de retorno e da subsistência diária do trabalhador, do local de trabalho até o local de onde o trabalhador partiu para trabalhar para o empregador, independentemente de empregos intermediários, caso o trabalhador complete o período de emprego certificado ou seja demitido do emprego por qualquer motivo pelo empregador antes do término do período, de acordo com o § 655.20(j)(1)(ii); os trabalhadores com visto H-2B serão reembolsados ​​na primeira semana de trabalho por todos os vistos, processamento de vistos, travessia de fronteira e outras taxas relacionadas, incluindo aquelas exigidas pelo governo (exceto taxas de passaporte). O empregador fornecerá aos trabalhadores todas as ferramentas, suprimentos e equipamentos necessários para o desempenho do trabalho, sem custo para o trabalhador, de acordo com o 20 CFR 655.20(k). Os candidatos qualificados podem enviar o currículo para Pamela Radcliff, no endereço 250 South Beach Drive, Marco Island, FL 34145, por e-mail para H2B2026@hideawaybeachclub.org ou visitar o centro de empregos local no endereço 3050 Horseshoe Drive North, Building A, Suite 110, Naples, FL 34104. *Seu depósito de segurança é reembolsável após a conclusão do contrato e a inspeção da moradia. Se um trabalhador abandonar o emprego sem a permissão do empregador ou abandonar a moradia antes do término do prazo de inscrição por qualquer motivo, exceto rescisão por parte do empregador, o trabalhador perderá todos os depósitos de moradia, dias de folga remunerada, férias e bônus. Após a rescisão ou demissão, o trabalhador deverá desocupar a moradia imediatamente, a menos que haja acordo com o empregador.* Classificação do Cargo: 35-1012.00 - Supervisores de Primeira Linha de Trabalhadores de Preparação e Serviço de Alimentos. A classificação e descrição do cargo/setor inclui informações gerais sobre a posição, de acordo com o ONET/OES e o Sistema de Classificação Industrial da América do Norte. Consulte a Descrição das Funções e a Ordem de Serviço para obter mais informações. Requisitos da Vaga Experiência Necessária: Sim Meses de Experiência Necessária: 3 Número de Horas por Semana: 35 Horário de Trabalho (Início/Término): 7h00 - 23h00</v>
      </c>
    </row>
    <row r="1762" ht="20.25" customHeight="1">
      <c r="A1762" s="3" t="s">
        <v>7936</v>
      </c>
      <c r="B1762" s="3" t="s">
        <v>7932</v>
      </c>
      <c r="C1762" s="3" t="s">
        <v>197</v>
      </c>
      <c r="D1762" s="3" t="s">
        <v>71</v>
      </c>
      <c r="E1762" s="4" t="s">
        <v>19</v>
      </c>
      <c r="F1762" s="4" t="s">
        <v>20</v>
      </c>
      <c r="G1762" s="4" t="s">
        <v>524</v>
      </c>
      <c r="H1762" s="3" t="s">
        <v>7933</v>
      </c>
      <c r="I1762" s="3" t="s">
        <v>7934</v>
      </c>
      <c r="J1762" s="4">
        <v>19.0</v>
      </c>
      <c r="K1762" s="4">
        <v>4.0</v>
      </c>
      <c r="L1762" s="3" t="s">
        <v>2821</v>
      </c>
      <c r="M1762" s="3" t="s">
        <v>7937</v>
      </c>
      <c r="N1762" s="7" t="str">
        <f>IFERROR(__xludf.DUMMYFUNCTION("GOOGLETRANSLATE(L1762, ""en"", ""pt"")"),"Auxiliar de Recreação")</f>
        <v>Auxiliar de Recreação</v>
      </c>
      <c r="O1762" s="7" t="str">
        <f>IFERROR(__xludf.DUMMYFUNCTION("IF(M1762="""","""",GOOGLETRANSLATE(M1762,""en"",""pt""))"),"Monitorar as atividades nas instalações. Pode prestar assistência administrativa aos membros, incluindo verificação de cartões de membro, confirmação de reservas, organização de mercadorias e fornecimento de informações sobre as instalações, além de limpe"&amp;"za básica. O trabalho é realizado em um clube de praia privado e instalações recreativas, incluindo piscina, praia, restaurantes, lojas e áreas de atividades para membros, onde os funcionários monitoram as atividades de hóspedes e membros para garantir a "&amp;"conformidade com as políticas do clube e o uso seguro das instalações. A assistência administrativa inclui recepcionar membros e hóspedes, responder a perguntas básicas sobre as instalações e eventos do clube, verificar reservas, manter registros de entra"&amp;"da/saída e comunicar informações sobre os membros aos supervisores ou departamentos apropriados. A organização de mercadorias inclui organizar, estocar, exibir e repor itens de varejo, como roupas, toalhas, protetor solar, lanches, bebidas e outras mercad"&amp;"orias relacionadas ao clube em áreas de vendas ou armazenamento designadas. As tarefas de limpeza básica incluem limpar balcões e mesas, higienizar superfícies, recolher lixo, varrer áreas comuns e manter a limpeza da área da piscina, restaurantes, lojas "&amp;"e áreas recreativas usando produtos e equipamentos básicos de limpeza, como vassouras, esfregões, desinfetantes, toalhas e lixeiras. (4) vagas disponíveis. Período: 01/10/2026 a 31/05/2027. Turnos rotativos. Dias de trabalho: segunda a domingo. Horário: 7"&amp;"h às 23h. Salário: US$ 19 a US$ 25 por hora, com base no desempenho; horas extras: US$ 28,50 a US$ 37,50 por hora. Pagamento quinzenal. 35 horas semanais. Alojamento opcional por US$ 26 por dia, com depósito de US$ 200 (US$ 150 reembolsáveis, US$ 50 não r"&amp;"eembolsáveis: o depósito será descontado do segundo e terceiro pagamento do funcionário em parcelas de US$ 100. US$ 50 deste depósito não são reembolsáveis, pois cobrem custos parciais de limpeza. O depósito será reembolsado após a conclusão do contrato e"&amp;" inspeção do alojamento. Custos adicionais podem ser aplicados em caso de danos ou itens faltantes). Benefícios incluem bônus de Natal e elegibilidade para o plano 401k. Uniformes parciais e refeições durante o turno são fornecidos. Local de trabalho: 250"&amp;" South Beach Drive, Marco Island, FL 34145. O trabalho é temporário, em tempo integral. A remuneração será calculada com base em uma semana de trabalho. Poderá haver até 10 horas extras, quando disponíveis. Todos os descontos obrigatórios por lei serão fe"&amp;"itos no contracheque do trabalhador. O empregador fornecerá gratuitamente ao trabalhador todas as ferramentas, materiais e equipamentos necessários para a execução do trabalho. O trabalhador receberá ou será reembolsado pelo transporte e subsistência (inc"&amp;"luindo o custo razoável de hospedagem noturna, quando necessário, até US$ 110/noite para hospedagem com recibos) a uma taxa de US$ 16,78 por dia durante a viagem, até um máximo de US$ 68,00 por dia com recibos, desde o local de onde o trabalhador veio tra"&amp;"balhar para o empregador, seja nos EUA ou no exterior, até o local de trabalho, se o trabalhador completar 50% do período de emprego coberto pela ordem de serviço, de acordo com 20 CFR 655.20(j)(1)(i), mediante inclusão no pagamento da semana aplicável. O"&amp;" empregador fornecerá ou pagará o custo do transporte de retorno e da subsistência diária do trabalhador, do local de trabalho até o local de onde o trabalhador partiu para trabalhar para o empregador, independentemente de empregos intermediários, caso o "&amp;"trabalhador complete o período de emprego certificado ou seja demitido do emprego por qualquer motivo pelo empregador antes do término do período, de acordo com o § 655.20(j)(1)(ii); os trabalhadores com visto H-2B serão reembolsados ​​na primeira semana "&amp;"de trabalho por todos os vistos, processamento de vistos, travessia de fronteira e outras taxas relacionadas, incluindo aquelas exigidas pelo governo (exceto taxas de passaporte). O empregador fornecerá aos trabalhadores todas as ferramentas, suprimentos "&amp;"e equipamentos necessários para o desempenho do trabalho, sem custo para o trabalhador, de acordo com o 20 CFR 655.20(k). Os candidatos qualificados podem enviar o currículo para Pamela Radcliff, no endereço 250 South Beach Drive, Marco Island, FL 34145, "&amp;"por e-mail para H2B2026@hideawaybeachclub.org ou visitar o centro de empregos local em 3050 Horseshoe Drive North, Edifício A. Classificação da vaga: 37-2012.00 - Empregadas Domésticas e Auxiliares de Limpeza. A classificação e descrição da vaga/setor inc"&amp;"luem informações gerais sobre o cargo, de acordo com o ONET/OES e o Sistema de Classificação Industrial da América do Norte (NAICS). Consulte as Funções e a Ordem de Serviço para obter mais informações. Requisitos da vaga: Experiência necessária: Não. Núm"&amp;"ero de horas por semana: 35. Horário de trabalho (início/término): 7h às 23h.")</f>
        <v>Monitorar as atividades nas instalações. Pode prestar assistência administrativa aos membros, incluindo verificação de cartões de membro, confirmação de reservas, organização de mercadorias e fornecimento de informações sobre as instalações, além de limpeza básica. O trabalho é realizado em um clube de praia privado e instalações recreativas, incluindo piscina, praia, restaurantes, lojas e áreas de atividades para membros, onde os funcionários monitoram as atividades de hóspedes e membros para garantir a conformidade com as políticas do clube e o uso seguro das instalações. A assistência administrativa inclui recepcionar membros e hóspedes, responder a perguntas básicas sobre as instalações e eventos do clube, verificar reservas, manter registros de entrada/saída e comunicar informações sobre os membros aos supervisores ou departamentos apropriados. A organização de mercadorias inclui organizar, estocar, exibir e repor itens de varejo, como roupas, toalhas, protetor solar, lanches, bebidas e outras mercadorias relacionadas ao clube em áreas de vendas ou armazenamento designadas. As tarefas de limpeza básica incluem limpar balcões e mesas, higienizar superfícies, recolher lixo, varrer áreas comuns e manter a limpeza da área da piscina, restaurantes, lojas e áreas recreativas usando produtos e equipamentos básicos de limpeza, como vassouras, esfregões, desinfetantes, toalhas e lixeiras. (4) vagas disponíveis. Período: 01/10/2026 a 31/05/2027. Turnos rotativos. Dias de trabalho: segunda a domingo. Horário: 7h às 23h. Salário: US$ 19 a US$ 25 por hora, com base no desempenho; horas extras: US$ 28,50 a US$ 37,50 por hora. Pagamento quinzenal. 35 horas semanais. Alojamento opcional por US$ 26 por dia, com depósito de US$ 200 (US$ 150 reembolsáveis, US$ 50 não reembolsáveis: o depósito será descontado do segundo e terceiro pagamento do funcionário em parcelas de US$ 100. US$ 50 deste depósito não são reembolsáveis, pois cobrem custos parciais de limpeza. O depósito será reembolsado após a conclusão do contrato e inspeção do alojamento. Custos adicionais podem ser aplicados em caso de danos ou itens faltantes). Benefícios incluem bônus de Natal e elegibilidade para o plano 401k. Uniformes parciais e refeições durante o turno são fornecidos. Local de trabalho: 250 South Beach Drive, Marco Island, FL 34145. O trabalho é temporário, em tempo integral. A remuneração será calculada com base em uma semana de trabalho. Poderá haver até 10 horas extras, quando disponíveis. Todos os descontos obrigatórios por lei serão feitos no contracheque do trabalhador. O empregador fornecerá gratuitamente ao trabalhador todas as ferramentas, materiais e equipamentos necessários para a execução do trabalho. O trabalhador receberá ou será reembolsado pelo transporte e subsistência (incluindo o custo razoável de hospedagem noturna, quando necessário, até US$ 110/noite para hospedagem com recibos) a uma taxa de US$ 16,78 por dia durante a viagem, até um máximo de US$ 68,00 por dia com recibos, desde o local de onde o trabalhador veio trabalhar para o empregador, seja nos EUA ou no exterior, até o local de trabalho, se o trabalhador completar 50% do período de emprego coberto pela ordem de serviço, de acordo com 20 CFR 655.20(j)(1)(i), mediante inclusão no pagamento da semana aplicável. O empregador fornecerá ou pagará o custo do transporte de retorno e da subsistência diária do trabalhador, do local de trabalho até o local de onde o trabalhador partiu para trabalhar para o empregador, independentemente de empregos intermediários, caso o trabalhador complete o período de emprego certificado ou seja demitido do emprego por qualquer motivo pelo empregador antes do término do período, de acordo com o § 655.20(j)(1)(ii); os trabalhadores com visto H-2B serão reembolsados ​​na primeira semana de trabalho por todos os vistos, processamento de vistos, travessia de fronteira e outras taxas relacionadas, incluindo aquelas exigidas pelo governo (exceto taxas de passaporte). O empregador fornecerá aos trabalhadores todas as ferramentas, suprimentos e equipamentos necessários para o desempenho do trabalho, sem custo para o trabalhador, de acordo com o 20 CFR 655.20(k). Os candidatos qualificados podem enviar o currículo para Pamela Radcliff, no endereço 250 South Beach Drive, Marco Island, FL 34145, por e-mail para H2B2026@hideawaybeachclub.org ou visitar o centro de empregos local em 3050 Horseshoe Drive North, Edifício A. Classificação da vaga: 37-2012.00 - Empregadas Domésticas e Auxiliares de Limpeza. A classificação e descrição da vaga/setor incluem informações gerais sobre o cargo, de acordo com o ONET/OES e o Sistema de Classificação Industrial da América do Norte (NAICS). Consulte as Funções e a Ordem de Serviço para obter mais informações. Requisitos da vaga: Experiência necessária: Não. Número de horas por semana: 35. Horário de trabalho (início/término): 7h às 23h.</v>
      </c>
    </row>
    <row r="1763" ht="20.25" customHeight="1">
      <c r="A1763" s="8" t="s">
        <v>7938</v>
      </c>
      <c r="B1763" s="8" t="s">
        <v>7932</v>
      </c>
      <c r="C1763" s="8" t="s">
        <v>197</v>
      </c>
      <c r="D1763" s="8" t="s">
        <v>71</v>
      </c>
      <c r="E1763" s="9" t="s">
        <v>19</v>
      </c>
      <c r="F1763" s="9" t="s">
        <v>20</v>
      </c>
      <c r="G1763" s="9" t="s">
        <v>524</v>
      </c>
      <c r="H1763" s="8" t="s">
        <v>7933</v>
      </c>
      <c r="I1763" s="8" t="s">
        <v>7934</v>
      </c>
      <c r="J1763" s="9">
        <v>19.88</v>
      </c>
      <c r="K1763" s="9">
        <v>11.0</v>
      </c>
      <c r="L1763" s="8" t="s">
        <v>387</v>
      </c>
      <c r="M1763" s="8" t="s">
        <v>7939</v>
      </c>
      <c r="N1763" s="7" t="str">
        <f>IFERROR(__xludf.DUMMYFUNCTION("GOOGLETRANSLATE(L1763, ""en"", ""pt"")"),"Ordem de serviço não disponível")</f>
        <v>Ordem de serviço não disponível</v>
      </c>
      <c r="O1763" s="7" t="str">
        <f>IFERROR(__xludf.DUMMYFUNCTION("IF(M1763="""","""",GOOGLETRANSLATE(M1763,""en"",""pt""))"),"Preparar, cozinhar, refogar, grelhar e fritar itens como frutos do mar, carnes, aves, legumes, massas e sopas. Manter as áreas da cozinha limpas e higienizadas. (11) vagas disponíveis. Período: 01/10/2026 a 31/05/2027. Necessário 3 meses de experiência. T"&amp;"urnos rotativos. Dias de trabalho: segunda a domingo. Horário: 7h às 23h. Salário: US$ 19,88 a US$ 24 por hora, com base no desempenho; horas extras: US$ 29,82 a US$ 36 por hora. Pagamento quinzenal. 35 horas semanais. Alojamento opcional por US$ 26 por d"&amp;"ia, com depósito de US$ 200 (US$ 150 reembolsáveis, US$ 50 não reembolsáveis: o depósito será descontado do segundo e terceiro pagamento do funcionário em parcelas de US$ 100. US$ 50 deste depósito não são reembolsáveis, pois cobrirão custos parciais de l"&amp;"impeza. O depósito será reembolsado após a conclusão do contrato e inspeção do alojamento. Cobranças adicionais poderão ser aplicadas por danos ou itens faltantes). Os benefícios incluem bônus de Natal e elegibilidade para o plano 401k. Uniformes parciais"&amp;" e refeições durante o turno são fornecidos. Local de trabalho: 250 South Beach Drive, Marco Island, FL 34145. O trabalho é temporário, em tempo integral. A remuneração será calculada com base em uma semana de trabalho. Pode haver até 10 horas extras disp"&amp;"oníveis. Todos os descontos obrigatórios por lei serão feitos no contracheque do trabalhador. O empregador fornecerá gratuitamente aos trabalhadores todas as ferramentas, materiais e equipamentos necessários para a execução do trabalho. O trabalhador rece"&amp;"berá ou será reembolsado pelo transporte e subsistência (incluindo o custo razoável de hospedagem noturna, quando necessário, até US$ 110/noite para hospedagem com recibos) a uma taxa de US$ 16,78 por dia durante a viagem, até um máximo de US$ 68,00 por d"&amp;"ia com recibos, desde o local de onde o trabalhador veio trabalhar para o empregador, seja nos EUA ou no exterior, até o local de trabalho, se o trabalhador completar 50% do período de emprego coberto pela ordem de serviço, de acordo com 20 CFR 655.20(j)("&amp;"1)(i), mediante inclusão no pagamento da semana aplicável. O empregador fornecerá ou pagará o custo do transporte de retorno e da subsistência diária do trabalhador, do local de trabalho até o local de onde o trabalhador partiu para trabalhar para o empre"&amp;"gador, independentemente de empregos intermediários, caso o trabalhador complete o período de emprego certificado ou seja demitido do emprego por qualquer motivo pelo empregador antes do término do período, de acordo com o § 655.20(j)(1)(ii); os trabalhad"&amp;"ores com visto H-2B serão reembolsados ​​na primeira semana de trabalho por todos os vistos, processamento de vistos, travessia de fronteira e outras taxas relacionadas, incluindo aquelas exigidas pelo governo (exceto taxas de passaporte). O empregador fo"&amp;"rnecerá aos trabalhadores todas as ferramentas, suprimentos e equipamentos necessários para o desempenho do trabalho, sem custo para o trabalhador, de acordo com o 20 CFR 655.20(k). Os candidatos qualificados podem enviar o currículo para Pamela Radcliff,"&amp;" no endereço 250 South Beach Drive, Marco Island, FL 34145, por e-mail para H2B2026@hideawaybeachclub.org ou visitar o centro de empregos local no endereço 3050 Horseshoe Drive North, Building A, Suite 110, Naples, FL 34104. *Seu depósito de segurança ser"&amp;"á reembolsado após a conclusão do contrato e a inspeção da moradia. Caso o trabalhador abandone o emprego sem a permissão do empregador ou abandone a moradia antes do término do prazo de inscrição por qualquer motivo, exceto rescisão contratual, o trabalh"&amp;"ador perderá todos os depósitos de moradia, dias de folga remunerada, férias e bônus. Após a rescisão ou demissão, o trabalhador deverá desocupar a moradia imediatamente, a menos que haja acordo com o empregador.* Classificação da vaga: 35-2014.00 - Cozin"&amp;"heiros, Restaurante. A classificação e a descrição da vaga/setor incluem informações gerais sobre o cargo, de acordo com o ONET/OES e o Sistema de Classificação Industrial da América do Norte. Consulte as Funções e a Ordem de Serviço para obter mais infor"&amp;"mações. Requisitos da vaga Experiência necessária: Sim Meses de experiência necessários: 3 Número de horas por semana: 35 Horário de trabalho (início/término): 7h às 23h")</f>
        <v>Preparar, cozinhar, refogar, grelhar e fritar itens como frutos do mar, carnes, aves, legumes, massas e sopas. Manter as áreas da cozinha limpas e higienizadas. (11) vagas disponíveis. Período: 01/10/2026 a 31/05/2027. Necessário 3 meses de experiência. Turnos rotativos. Dias de trabalho: segunda a domingo. Horário: 7h às 23h. Salário: US$ 19,88 a US$ 24 por hora, com base no desempenho; horas extras: US$ 29,82 a US$ 36 por hora. Pagamento quinzenal. 35 horas semanais. Alojamento opcional por US$ 26 por dia, com depósito de US$ 200 (US$ 150 reembolsáveis, US$ 50 não reembolsáveis: o depósito será descontado do segundo e terceiro pagamento do funcionário em parcelas de US$ 100. US$ 50 deste depósito não são reembolsáveis, pois cobrirão custos parciais de limpeza. O depósito será reembolsado após a conclusão do contrato e inspeção do alojamento. Cobranças adicionais poderão ser aplicadas por danos ou itens faltantes). Os benefícios incluem bônus de Natal e elegibilidade para o plano 401k. Uniformes parciais e refeições durante o turno são fornecidos. Local de trabalho: 250 South Beach Drive, Marco Island, FL 34145. O trabalho é temporário, em tempo integral. A remuneração será calculada com base em uma semana de trabalho. Pode haver até 10 horas extras disponíveis. Todos os descontos obrigatórios por lei serão feitos no contracheque do trabalhador. O empregador fornecerá gratuitamente aos trabalhadores todas as ferramentas, materiais e equipamentos necessários para a execução do trabalho. O trabalhador receberá ou será reembolsado pelo transporte e subsistência (incluindo o custo razoável de hospedagem noturna, quando necessário, até US$ 110/noite para hospedagem com recibos) a uma taxa de US$ 16,78 por dia durante a viagem, até um máximo de US$ 68,00 por dia com recibos, desde o local de onde o trabalhador veio trabalhar para o empregador, seja nos EUA ou no exterior, até o local de trabalho, se o trabalhador completar 50% do período de emprego coberto pela ordem de serviço, de acordo com 20 CFR 655.20(j)(1)(i), mediante inclusão no pagamento da semana aplicável. O empregador fornecerá ou pagará o custo do transporte de retorno e da subsistência diária do trabalhador, do local de trabalho até o local de onde o trabalhador partiu para trabalhar para o empregador, independentemente de empregos intermediários, caso o trabalhador complete o período de emprego certificado ou seja demitido do emprego por qualquer motivo pelo empregador antes do término do período, de acordo com o § 655.20(j)(1)(ii); os trabalhadores com visto H-2B serão reembolsados ​​na primeira semana de trabalho por todos os vistos, processamento de vistos, travessia de fronteira e outras taxas relacionadas, incluindo aquelas exigidas pelo governo (exceto taxas de passaporte). O empregador fornecerá aos trabalhadores todas as ferramentas, suprimentos e equipamentos necessários para o desempenho do trabalho, sem custo para o trabalhador, de acordo com o 20 CFR 655.20(k). Os candidatos qualificados podem enviar o currículo para Pamela Radcliff, no endereço 250 South Beach Drive, Marco Island, FL 34145, por e-mail para H2B2026@hideawaybeachclub.org ou visitar o centro de empregos local no endereço 3050 Horseshoe Drive North, Building A, Suite 110, Naples, FL 34104. *Seu depósito de segurança será reembolsado após a conclusão do contrato e a inspeção da moradia. Caso o trabalhador abandone o emprego sem a permissão do empregador ou abandone a moradia antes do término do prazo de inscrição por qualquer motivo, exceto rescisão contratual, o trabalhador perderá todos os depósitos de moradia, dias de folga remunerada, férias e bônus. Após a rescisão ou demissão, o trabalhador deverá desocupar a moradia imediatamente, a menos que haja acordo com o empregador.* Classificação da vaga: 35-2014.00 - Cozinheiros, Restaurante. A classificação e a descrição da vaga/setor incluem informações gerais sobre o cargo, de acordo com o ONET/OES e o Sistema de Classificação Industrial da América do Norte. Consulte as Funções e a Ordem de Serviço para obter mais informações. Requisitos da vaga Experiência necessária: Sim Meses de experiência necessários: 3 Número de horas por semana: 35 Horário de trabalho (início/término): 7h às 23h</v>
      </c>
    </row>
    <row r="1764" ht="20.25" customHeight="1">
      <c r="A1764" s="3" t="s">
        <v>7940</v>
      </c>
      <c r="B1764" s="3" t="s">
        <v>7932</v>
      </c>
      <c r="C1764" s="3" t="s">
        <v>197</v>
      </c>
      <c r="D1764" s="3" t="s">
        <v>71</v>
      </c>
      <c r="E1764" s="4" t="s">
        <v>19</v>
      </c>
      <c r="F1764" s="4" t="s">
        <v>20</v>
      </c>
      <c r="G1764" s="4" t="s">
        <v>524</v>
      </c>
      <c r="H1764" s="3" t="s">
        <v>7933</v>
      </c>
      <c r="I1764" s="3" t="s">
        <v>7934</v>
      </c>
      <c r="J1764" s="4">
        <v>16.35</v>
      </c>
      <c r="K1764" s="4">
        <v>3.0</v>
      </c>
      <c r="L1764" s="3" t="s">
        <v>1690</v>
      </c>
      <c r="M1764" s="3" t="s">
        <v>7941</v>
      </c>
      <c r="N1764" s="7" t="str">
        <f>IFERROR(__xludf.DUMMYFUNCTION("GOOGLETRANSLATE(L1764, ""en"", ""pt"")"),"Atendente de Sala de Jantar")</f>
        <v>Atendente de Sala de Jantar</v>
      </c>
      <c r="O1764" s="7" t="str">
        <f>IFERROR(__xludf.DUMMYFUNCTION("IF(M1764="""","""",GOOGLETRANSLATE(M1764,""en"",""pt""))"),"Limpar e arrumar mesas, levar comida da cozinha para as mesas e balcões, servir café/água. (3) vagas. Período: 01/10/2026 a 31/05/2027. Necessário 3 meses de experiência. Turnos rotativos. Dias de trabalho: segunda a domingo. Horário: 7h às 23h. Salário: "&amp;"US$ 15,45 a US$ 20,45/hora, mais gorjetas, mas não menos que US$ 16,35/hora, hora extra: US$ 24,53/hora. Pagamento quinzenal. 35 horas semanais. Alojamento opcional por US$ 26/dia com depósito de US$ 200 (US$ 150 reembolsáveis, US$ 50 não reembolsáveis: o"&amp;" depósito será descontado do segundo e terceiro pagamento do funcionário em parcelas de US$ 100. US$ 50 deste depósito não são reembolsáveis, pois cobrirão parte dos custos de limpeza. O depósito será reembolsado após a conclusão do contrato e inspeção do"&amp;" alojamento. Cobranças adicionais poderão ser aplicadas por danos ou itens faltantes). Os benefícios incluem bônus de Natal e elegibilidade para o plano 401k. Uniformes parciais e refeições durante o turno são fornecidos. Local de trabalho: 250 South Beac"&amp;"h Drive, Marco Island, FL 34145. O trabalho é temporário, em tempo integral. A remuneração será calculada com base em uma semana de trabalho. Pode haver até 10 horas extras disponíveis. Todos os descontos obrigatórios por lei serão feitos no contracheque "&amp;"do trabalhador. O empregador fornecerá gratuitamente aos trabalhadores todas as ferramentas, materiais e equipamentos necessários para a execução do trabalho. O trabalhador receberá ou será reembolsado pelo transporte e subsistência (incluindo o custo raz"&amp;"oável de hospedagem noturna, quando necessário, até US$ 110/noite para hospedagem com recibos) a uma taxa de US$ 16,78 por dia durante a viagem, até um máximo de US$ 68,00 por dia com recibos, desde o local de onde o trabalhador veio trabalhar para o empr"&amp;"egador, seja nos EUA ou no exterior, até o local de trabalho, se o trabalhador completar 50% do período de emprego coberto pela ordem de serviço, de acordo com 20 CFR 655.20(j)(1)(i), mediante inclusão no pagamento da semana aplicável. O empregador fornec"&amp;"erá ou pagará o custo do transporte de retorno e da subsistência diária do trabalhador, do local de trabalho até o local de onde o trabalhador partiu para trabalhar para o empregador, independentemente de empregos intermediários, caso o trabalhador comple"&amp;"te o período de emprego certificado ou seja demitido do emprego por qualquer motivo pelo empregador antes do término do período, de acordo com o § 655.20(j)(1)(ii); os trabalhadores com visto H-2B serão reembolsados ​​na primeira semana de trabalho por to"&amp;"dos os vistos, processamento de vistos, travessia de fronteira e outras taxas relacionadas, incluindo aquelas exigidas pelo governo (exceto taxas de passaporte). O empregador fornecerá aos trabalhadores todas as ferramentas, suprimentos e equipamentos nec"&amp;"essários para o desempenho do trabalho, sem custo para o trabalhador, de acordo com o 20 CFR 655.20(k). Os candidatos qualificados podem enviar o currículo para Pamela Radcliff, no endereço 250 South Beach Drive, Marco Island, FL 34145, por e-mail para H2"&amp;"B2026@hideawaybeachclub.org ou visitar o centro de empregos local no endereço 3050 Horseshoe Drive North, Building A, Suite 110, Naples, FL 34104. *Seu depósito de segurança será reembolsado após a conclusão do contrato e a inspeção da moradia. Caso o tra"&amp;"balhador abandone o emprego sem a permissão do empregador ou abandone a moradia antes do término do prazo de inscrição por qualquer motivo, exceto rescisão contratual, perderá todos os depósitos de moradia, dias de folga remunerada, férias e bônus. Após a"&amp;" rescisão ou demissão, o trabalhador deverá desocupar a moradia imediatamente, a menos que haja acordo com o empregador.* Classificação da vaga: 35-9011.00 - Atendentes de Refeitório e Cafeteria e Auxiliares de Barman. A classificação e descrição da vaga/"&amp;"setor incluem informações gerais sobre o cargo, conforme ONET/OES e o Sistema de Classificação Industrial da América do Norte (NAICS). Consulte a Descrição das Funções e a Ordem de Serviço para obter mais informações. Requisitos da Vaga Experiência Necess"&amp;"ária: Sim Meses de Experiência Necessária: 3 Número de Horas por Semana: 35 Horário de Trabalho (Início/Término): 7h00 - 23h00")</f>
        <v>Limpar e arrumar mesas, levar comida da cozinha para as mesas e balcões, servir café/água. (3) vagas. Período: 01/10/2026 a 31/05/2027. Necessário 3 meses de experiência. Turnos rotativos. Dias de trabalho: segunda a domingo. Horário: 7h às 23h. Salário: US$ 15,45 a US$ 20,45/hora, mais gorjetas, mas não menos que US$ 16,35/hora, hora extra: US$ 24,53/hora. Pagamento quinzenal. 35 horas semanais. Alojamento opcional por US$ 26/dia com depósito de US$ 200 (US$ 150 reembolsáveis, US$ 50 não reembolsáveis: o depósito será descontado do segundo e terceiro pagamento do funcionário em parcelas de US$ 100. US$ 50 deste depósito não são reembolsáveis, pois cobrirão parte dos custos de limpeza. O depósito será reembolsado após a conclusão do contrato e inspeção do alojamento. Cobranças adicionais poderão ser aplicadas por danos ou itens faltantes). Os benefícios incluem bônus de Natal e elegibilidade para o plano 401k. Uniformes parciais e refeições durante o turno são fornecidos. Local de trabalho: 250 South Beach Drive, Marco Island, FL 34145. O trabalho é temporário, em tempo integral. A remuneração será calculada com base em uma semana de trabalho. Pode haver até 10 horas extras disponíveis. Todos os descontos obrigatórios por lei serão feitos no contracheque do trabalhador. O empregador fornecerá gratuitamente aos trabalhadores todas as ferramentas, materiais e equipamentos necessários para a execução do trabalho. O trabalhador receberá ou será reembolsado pelo transporte e subsistência (incluindo o custo razoável de hospedagem noturna, quando necessário, até US$ 110/noite para hospedagem com recibos) a uma taxa de US$ 16,78 por dia durante a viagem, até um máximo de US$ 68,00 por dia com recibos, desde o local de onde o trabalhador veio trabalhar para o empregador, seja nos EUA ou no exterior, até o local de trabalho, se o trabalhador completar 50% do período de emprego coberto pela ordem de serviço, de acordo com 20 CFR 655.20(j)(1)(i), mediante inclusão no pagamento da semana aplicável. O empregador fornecerá ou pagará o custo do transporte de retorno e da subsistência diária do trabalhador, do local de trabalho até o local de onde o trabalhador partiu para trabalhar para o empregador, independentemente de empregos intermediários, caso o trabalhador complete o período de emprego certificado ou seja demitido do emprego por qualquer motivo pelo empregador antes do término do período, de acordo com o § 655.20(j)(1)(ii); os trabalhadores com visto H-2B serão reembolsados ​​na primeira semana de trabalho por todos os vistos, processamento de vistos, travessia de fronteira e outras taxas relacionadas, incluindo aquelas exigidas pelo governo (exceto taxas de passaporte). O empregador fornecerá aos trabalhadores todas as ferramentas, suprimentos e equipamentos necessários para o desempenho do trabalho, sem custo para o trabalhador, de acordo com o 20 CFR 655.20(k). Os candidatos qualificados podem enviar o currículo para Pamela Radcliff, no endereço 250 South Beach Drive, Marco Island, FL 34145, por e-mail para H2B2026@hideawaybeachclub.org ou visitar o centro de empregos local no endereço 3050 Horseshoe Drive North, Building A, Suite 110, Naples, FL 34104. *Seu depósito de segurança será reembolsado após a conclusão do contrato e a inspeção da moradia. Caso o trabalhador abandone o emprego sem a permissão do empregador ou abandone a moradia antes do término do prazo de inscrição por qualquer motivo, exceto rescisão contratual, perderá todos os depósitos de moradia, dias de folga remunerada, férias e bônus. Após a rescisão ou demissão, o trabalhador deverá desocupar a moradia imediatamente, a menos que haja acordo com o empregador.* Classificação da vaga: 35-9011.00 - Atendentes de Refeitório e Cafeteria e Auxiliares de Barman. A classificação e descrição da vaga/setor incluem informações gerais sobre o cargo, conforme ONET/OES e o Sistema de Classificação Industrial da América do Norte (NAICS). Consulte a Descrição das Funções e a Ordem de Serviço para obter mais informações. Requisitos da Vaga Experiência Necessária: Sim Meses de Experiência Necessária: 3 Número de Horas por Semana: 35 Horário de Trabalho (Início/Término): 7h00 - 23h00</v>
      </c>
    </row>
    <row r="1765" ht="20.25" customHeight="1">
      <c r="A1765" s="8" t="s">
        <v>7942</v>
      </c>
      <c r="B1765" s="8" t="s">
        <v>7932</v>
      </c>
      <c r="C1765" s="8" t="s">
        <v>197</v>
      </c>
      <c r="D1765" s="8" t="s">
        <v>71</v>
      </c>
      <c r="E1765" s="9" t="s">
        <v>44</v>
      </c>
      <c r="F1765" s="9" t="s">
        <v>20</v>
      </c>
      <c r="G1765" s="9" t="s">
        <v>524</v>
      </c>
      <c r="H1765" s="8" t="s">
        <v>7933</v>
      </c>
      <c r="I1765" s="8" t="s">
        <v>7934</v>
      </c>
      <c r="J1765" s="9">
        <v>25.0</v>
      </c>
      <c r="K1765" s="9">
        <v>4.0</v>
      </c>
      <c r="L1765" s="8" t="s">
        <v>7943</v>
      </c>
      <c r="M1765" s="8" t="s">
        <v>7944</v>
      </c>
      <c r="N1765" s="7" t="str">
        <f>IFERROR(__xludf.DUMMYFUNCTION("GOOGLETRANSLATE(L1765, ""en"", ""pt"")"),"Supervisor de Restaurante")</f>
        <v>Supervisor de Restaurante</v>
      </c>
      <c r="O1765" s="7" t="str">
        <f>IFERROR(__xludf.DUMMYFUNCTION("IF(M1765="""","""",GOOGLETRANSLATE(M1765,""en"",""pt""))"),"Executar diversas atividades financeiras, incluindo manuseio de dinheiro e fechamento do caixa ao final do dia ou turno. Resolver reclamações de clientes relacionadas ao serviço de alimentação e garantir a satisfação do cliente. Apresentar contas e recebe"&amp;"r pagamentos. Preparar e manter escalas de trabalho para os funcionários do salão, incluindo garçons, recepcionistas, auxiliares de mesa e equipe de serviço de alimentação. Supervisionar e coordenar as atividades diárias dos funcionários do salão durante "&amp;"os turnos designados. Monitorar a frequência dos funcionários, atribuir tarefas e garantir que a equipe siga as políticas da empresa e os padrões de atendimento ao cliente. Treinar novos funcionários do salão em procedimentos de trabalho, normas de segura"&amp;"nça e práticas de atendimento ao cliente. Auxiliar a gerência na supervisão das operações do restaurante e na manutenção dos padrões de qualidade do serviço. Comunicar problemas operacionais ou preocupações com a equipe à gerência, conforme necessário. (4"&amp;") vagas. Período: 01/10/2026 a 31/05/2027. 3 meses de experiência necessários. Turnos rotativos. Dias de trabalho: segunda a domingo. Horário de trabalho: 7h às 23h. Salário: US$ 25 a US$ 30 por hora, com base no desempenho; horas extras: US$ 37,50 a US$ "&amp;"45 por hora. Pagamento quinzenal. 35 horas semanais. Alojamento opcional por US$ 26 por dia, mediante depósito de US$ 200 (US$ 150 reembolsáveis ​​e US$ 50 não reembolsáveis: o depósito será descontado do segundo e terceiro salários do funcionário em parc"&amp;"elas de US$ 100. US$ 50 deste depósito não são reembolsáveis, pois cobrem custos parciais de limpeza. O depósito será reembolsado após a conclusão do contrato e inspeção do alojamento. Custos adicionais poderão ser aplicados em caso de danos ou itens falt"&amp;"antes). Benefícios incluem bônus de Natal e elegibilidade para o plano 401k. Uniformes parciais e refeições durante o turno são fornecidos. Local de trabalho: 250 South Beach Drive, Marco Island, FL 34145. Trabalho temporário em tempo integral. A remunera"&amp;"ção será calculada com base em uma única semana de trabalho. Possibilidade de até 10 horas extras, quando disponíveis. Todos os descontos obrigatórios por lei serão realizados no salário do funcionário. O empregador fornecerá aos trabalhadores, sem custos"&amp;", todas as ferramentas, suprimentos e equipamentos necessários para a execução do trabalho. O trabalhador receberá ou será reembolsado pelo transporte e subsistência (incluindo o custo razoável de hospedagem noturna, quando necessário, até US$ 110 por noi"&amp;"te, mediante apresentação de recibos) à taxa de US$ 16,78 por dia durante o deslocamento, até um máximo de US$ 68,00 por dia, mediante apresentação de recibos, desde o local de origem do trabalhador, seja nos EUA ou no exterior, até o local de trabalho, c"&amp;"aso o trabalhador complete 50% do período de trabalho abrangido pela ordem de serviço, em conformidade com 20 CFR 655.20(j)(1)(i), mediante inclusão no pagamento da semana correspondente. O empregador fornecerá ou pagará o custo do transporte de retorno e"&amp;" da subsistência diária do trabalhador, do local de trabalho até o local de onde o trabalhador partiu para trabalhar para o empregador, independentemente de empregos intermediários, caso o trabalhador complete o período de emprego certificado ou seja demi"&amp;"tido do emprego por qualquer motivo pelo empregador antes do término do período, de acordo com o § 655.20(j)(1)(ii); os trabalhadores com visto H-2B serão reembolsados ​​na primeira semana de trabalho por todos os vistos, processamento de vistos, travessi"&amp;"a de fronteira e outras taxas relacionadas, incluindo aquelas exigidas pelo governo (exceto taxas de passaporte). O empregador fornecerá aos trabalhadores todas as ferramentas, suprimentos e equipamentos necessários para o desempenho do trabalho, sem cust"&amp;"o para o trabalhador, de acordo com o 20 CFR 655.20(k). Os candidatos qualificados podem enviar o currículo para Pamela Radcliff, no endereço 250 South Beach Drive, Marco Island, FL 34145, por e-mail para H2B2026@hideawaybeachclub.org ou visitar o centro "&amp;"de empregos local no endereço 3050 Horseshoe Drive North, Building A, Suite 110, Naples, FL 34104. *Seu depósito de segurança será reembolsado após a conclusão do contrato e a inspeção da moradia. Se um trabalhador abandonar o emprego sem a permissão do e"&amp;"mpregador ou abandonar a moradia antes do término do prazo da petição por qualquer motivo, exceto rescisão por parte do empregador, o trabalhador perderá todos os depósitos de moradia, dias de folga remunerada e férias. Classificação do Cargo: 35-1012.00 "&amp;"- Supervisores de Primeira Linha de Trabalhadores de Preparação e Serviço de Alimentos. A classificação e descrição do cargo/setor inclui informações gerais sobre a posição, de acordo com o ONET/OES e o Sistema de Classificação Industrial da América do No"&amp;"rte. Consulte as Funções e a Ordem de Serviço para obter mais informações. Requisitos da vaga Experiência necessária: Sim Meses de experiência necessários: 3 Número de horas por semana: 35 Horário de trabalho (início/término): 7h às 23h")</f>
        <v>Executar diversas atividades financeiras, incluindo manuseio de dinheiro e fechamento do caixa ao final do dia ou turno. Resolver reclamações de clientes relacionadas ao serviço de alimentação e garantir a satisfação do cliente. Apresentar contas e receber pagamentos. Preparar e manter escalas de trabalho para os funcionários do salão, incluindo garçons, recepcionistas, auxiliares de mesa e equipe de serviço de alimentação. Supervisionar e coordenar as atividades diárias dos funcionários do salão durante os turnos designados. Monitorar a frequência dos funcionários, atribuir tarefas e garantir que a equipe siga as políticas da empresa e os padrões de atendimento ao cliente. Treinar novos funcionários do salão em procedimentos de trabalho, normas de segurança e práticas de atendimento ao cliente. Auxiliar a gerência na supervisão das operações do restaurante e na manutenção dos padrões de qualidade do serviço. Comunicar problemas operacionais ou preocupações com a equipe à gerência, conforme necessário. (4) vagas. Período: 01/10/2026 a 31/05/2027. 3 meses de experiência necessários. Turnos rotativos. Dias de trabalho: segunda a domingo. Horário de trabalho: 7h às 23h. Salário: US$ 25 a US$ 30 por hora, com base no desempenho; horas extras: US$ 37,50 a US$ 45 por hora. Pagamento quinzenal. 35 horas semanais. Alojamento opcional por US$ 26 por dia, mediante depósito de US$ 200 (US$ 150 reembolsáveis ​​e US$ 50 não reembolsáveis: o depósito será descontado do segundo e terceiro salários do funcionário em parcelas de US$ 100. US$ 50 deste depósito não são reembolsáveis, pois cobrem custos parciais de limpeza. O depósito será reembolsado após a conclusão do contrato e inspeção do alojamento. Custos adicionais poderão ser aplicados em caso de danos ou itens faltantes). Benefícios incluem bônus de Natal e elegibilidade para o plano 401k. Uniformes parciais e refeições durante o turno são fornecidos. Local de trabalho: 250 South Beach Drive, Marco Island, FL 34145. Trabalho temporário em tempo integral. A remuneração será calculada com base em uma única semana de trabalho. Possibilidade de até 10 horas extras, quando disponíveis. Todos os descontos obrigatórios por lei serão realizados no salário do funcionário. O empregador fornecerá aos trabalhadores, sem custos, todas as ferramentas, suprimentos e equipamentos necessários para a execução do trabalho. O trabalhador receberá ou será reembolsado pelo transporte e subsistência (incluindo o custo razoável de hospedagem noturna, quando necessário, até US$ 110 por noite, mediante apresentação de recibos) à taxa de US$ 16,78 por dia durante o deslocamento, até um máximo de US$ 68,00 por dia, mediante apresentação de recibos, desde o local de origem do trabalhador, seja nos EUA ou no exterior, até o local de trabalho, caso o trabalhador complete 50% do período de trabalho abrangido pela ordem de serviço, em conformidade com 20 CFR 655.20(j)(1)(i), mediante inclusão no pagamento da semana correspondente. O empregador fornecerá ou pagará o custo do transporte de retorno e da subsistência diária do trabalhador, do local de trabalho até o local de onde o trabalhador partiu para trabalhar para o empregador, independentemente de empregos intermediários, caso o trabalhador complete o período de emprego certificado ou seja demitido do emprego por qualquer motivo pelo empregador antes do término do período, de acordo com o § 655.20(j)(1)(ii); os trabalhadores com visto H-2B serão reembolsados ​​na primeira semana de trabalho por todos os vistos, processamento de vistos, travessia de fronteira e outras taxas relacionadas, incluindo aquelas exigidas pelo governo (exceto taxas de passaporte). O empregador fornecerá aos trabalhadores todas as ferramentas, suprimentos e equipamentos necessários para o desempenho do trabalho, sem custo para o trabalhador, de acordo com o 20 CFR 655.20(k). Os candidatos qualificados podem enviar o currículo para Pamela Radcliff, no endereço 250 South Beach Drive, Marco Island, FL 34145, por e-mail para H2B2026@hideawaybeachclub.org ou visitar o centro de empregos local no endereço 3050 Horseshoe Drive North, Building A, Suite 110, Naples, FL 34104. *Seu depósito de segurança será reembolsado após a conclusão do contrato e a inspeção da moradia. Se um trabalhador abandonar o emprego sem a permissão do empregador ou abandonar a moradia antes do término do prazo da petição por qualquer motivo, exceto rescisão por parte do empregador, o trabalhador perderá todos os depósitos de moradia, dias de folga remunerada e férias. Classificação do Cargo: 35-1012.00 - Supervisores de Primeira Linha de Trabalhadores de Preparação e Serviço de Alimentos. A classificação e descrição do cargo/setor inclui informações gerais sobre a posição, de acordo com o ONET/OES e o Sistema de Classificação Industrial da América do Norte. Consulte as Funções e a Ordem de Serviço para obter mais informações. Requisitos da vaga Experiência necessária: Sim Meses de experiência necessários: 3 Número de horas por semana: 35 Horário de trabalho (início/término): 7h às 23h</v>
      </c>
    </row>
    <row r="1766" ht="20.25" customHeight="1">
      <c r="A1766" s="3" t="s">
        <v>7945</v>
      </c>
      <c r="B1766" s="3" t="s">
        <v>7932</v>
      </c>
      <c r="C1766" s="3" t="s">
        <v>197</v>
      </c>
      <c r="D1766" s="3" t="s">
        <v>71</v>
      </c>
      <c r="E1766" s="4" t="s">
        <v>44</v>
      </c>
      <c r="F1766" s="4" t="s">
        <v>20</v>
      </c>
      <c r="G1766" s="4" t="s">
        <v>524</v>
      </c>
      <c r="H1766" s="3" t="s">
        <v>7933</v>
      </c>
      <c r="I1766" s="3" t="s">
        <v>7934</v>
      </c>
      <c r="J1766" s="4">
        <v>20.13</v>
      </c>
      <c r="K1766" s="4">
        <v>20.0</v>
      </c>
      <c r="L1766" s="3" t="s">
        <v>201</v>
      </c>
      <c r="M1766" s="3" t="s">
        <v>7946</v>
      </c>
      <c r="N1766" s="7" t="str">
        <f>IFERROR(__xludf.DUMMYFUNCTION("GOOGLETRANSLATE(L1766, ""en"", ""pt"")"),"Servidores")</f>
        <v>Servidores</v>
      </c>
      <c r="O1766" s="7" t="str">
        <f>IFERROR(__xludf.DUMMYFUNCTION("IF(M1766="""","""",GOOGLETRANSLATE(M1766,""en"",""pt""))"),"Receber pedidos, servir comidas e bebidas aos clientes. Limpar e arrumar as mesas. Receber pagamentos e emitir recibos. Manter todos os postos de trabalho abastecidos. (20 vagas) Período: 01/10/2026 a 31/05/2027. Necessário 3 meses de experiência. Turnos "&amp;"rotativos. Dias de trabalho: segunda a domingo. Horário: 7h às 23h. Salário: US$ 9,15 a US$ 14,15 por hora, mais gorjetas, mas não menos que US$ 20,13 por hora, US$ 30,20 por hora para horas extras. Pagamento quinzenal. 35 horas semanais. Alojamento opcio"&amp;"nal por US$ 26 por dia, com depósito de US$ 200 (US$ 150 reembolsáveis, US$ 50 não reembolsáveis: o depósito será descontado do segundo e terceiro pagamento do funcionário em parcelas de US$ 100. US$ 50 deste depósito não são reembolsáveis, pois cobrirão "&amp;"custos parciais de limpeza. O depósito será reembolsado após a conclusão do contrato e inspeção do alojamento. Cobranças adicionais poderão ser aplicadas por danos ou itens faltantes). Os benefícios incluem bônus de Natal e elegibilidade para o plano 401k"&amp;". Uniformes parciais e refeições durante o turno são fornecidos. Local de trabalho: 250 South Beach Drive, Marco Island, FL 34145. O trabalho é temporário, em tempo integral. A remuneração será calculada com base em uma semana de trabalho. Pode haver até "&amp;"10 horas extras disponíveis. Todos os descontos obrigatórios por lei serão feitos no contracheque do trabalhador. O empregador fornecerá gratuitamente aos trabalhadores todas as ferramentas, materiais e equipamentos necessários para a execução do trabalho"&amp;". O trabalhador receberá ou será reembolsado pelo transporte e subsistência (incluindo o custo razoável de hospedagem noturna, quando necessário, até US$ 110/noite para hospedagem com recibos) a uma taxa de US$ 16,78 por dia durante a viagem, até um máxim"&amp;"o de US$ 68,00 por dia com recibos, desde o local de onde o trabalhador veio trabalhar para o empregador, seja nos EUA ou no exterior, até o local de trabalho, se o trabalhador completar 50% do período de emprego coberto pela ordem de serviço, de acordo c"&amp;"om 20 CFR 655.20(j)(1)(i), mediante inclusão no pagamento da semana aplicável. O empregador fornecerá ou pagará o custo do transporte de retorno e da subsistência diária do trabalhador, do local de trabalho até o local de onde o trabalhador partiu para tr"&amp;"abalhar para o empregador, independentemente de empregos intermediários, caso o trabalhador complete o período de emprego certificado ou seja demitido do emprego por qualquer motivo pelo empregador antes do término do período, de acordo com o § 655.20(j)("&amp;"1)(ii); os trabalhadores com visto H-2B serão reembolsados ​​na primeira semana de trabalho por todos os vistos, processamento de vistos, travessia de fronteira e outras taxas relacionadas, incluindo aquelas exigidas pelo governo (exceto taxas de passapor"&amp;"te). O empregador fornecerá aos trabalhadores todas as ferramentas, suprimentos e equipamentos necessários para o desempenho do trabalho, sem custo para o trabalhador, de acordo com o 20 CFR 655.20(k). Os candidatos qualificados podem enviar o currículo p"&amp;"ara Pamela Radcliff, no endereço 250 South Beach Drive, Marco Island, FL 34145, por e-mail para H2B2026@hideawaybeachclub.org ou visitar o centro de empregos local no endereço 3050 Horseshoe Drive North, Building A, Suite 110, Naples, FL 34104. *Seu depós"&amp;"ito de segurança será reembolsado após a conclusão do contrato e a inspeção da moradia. Se um trabalhador abandonar o emprego sem a permissão do empregador ou abandonar a moradia antes do término do prazo de inscrição por qualquer motivo, exceto rescisão "&amp;"por parte do empregador, o trabalhador perderá todos os depósitos de moradia, dias de folga remunerada, férias e bônus. Após a rescisão ou demissão, o trabalhador deverá desocupar a moradia imediatamente, a menos que haja acordo com o empregador.* Classif"&amp;"icação da vaga: 35-3031.00 - Garçons e Garçonetes. A classificação e descrição da vaga/setor incluem informações gerais sobre o cargo, de acordo com o ONET/OES e o Sistema de Classificação Industrial da América do Norte. Consulte a Descrição das Funções e"&amp;" a Ordem de Serviço para obter mais informações. Requisitos da Vaga Experiência Necessária: Sim Meses de Experiência Necessária: 3 Número de Horas por Semana: 35 Horário de Trabalho (Início/Término): 7h00 - 23h00")</f>
        <v>Receber pedidos, servir comidas e bebidas aos clientes. Limpar e arrumar as mesas. Receber pagamentos e emitir recibos. Manter todos os postos de trabalho abastecidos. (20 vagas) Período: 01/10/2026 a 31/05/2027. Necessário 3 meses de experiência. Turnos rotativos. Dias de trabalho: segunda a domingo. Horário: 7h às 23h. Salário: US$ 9,15 a US$ 14,15 por hora, mais gorjetas, mas não menos que US$ 20,13 por hora, US$ 30,20 por hora para horas extras. Pagamento quinzenal. 35 horas semanais. Alojamento opcional por US$ 26 por dia, com depósito de US$ 200 (US$ 150 reembolsáveis, US$ 50 não reembolsáveis: o depósito será descontado do segundo e terceiro pagamento do funcionário em parcelas de US$ 100. US$ 50 deste depósito não são reembolsáveis, pois cobrirão custos parciais de limpeza. O depósito será reembolsado após a conclusão do contrato e inspeção do alojamento. Cobranças adicionais poderão ser aplicadas por danos ou itens faltantes). Os benefícios incluem bônus de Natal e elegibilidade para o plano 401k. Uniformes parciais e refeições durante o turno são fornecidos. Local de trabalho: 250 South Beach Drive, Marco Island, FL 34145. O trabalho é temporário, em tempo integral. A remuneração será calculada com base em uma semana de trabalho. Pode haver até 10 horas extras disponíveis. Todos os descontos obrigatórios por lei serão feitos no contracheque do trabalhador. O empregador fornecerá gratuitamente aos trabalhadores todas as ferramentas, materiais e equipamentos necessários para a execução do trabalho. O trabalhador receberá ou será reembolsado pelo transporte e subsistência (incluindo o custo razoável de hospedagem noturna, quando necessário, até US$ 110/noite para hospedagem com recibos) a uma taxa de US$ 16,78 por dia durante a viagem, até um máximo de US$ 68,00 por dia com recibos, desde o local de onde o trabalhador veio trabalhar para o empregador, seja nos EUA ou no exterior, até o local de trabalho, se o trabalhador completar 50% do período de emprego coberto pela ordem de serviço, de acordo com 20 CFR 655.20(j)(1)(i), mediante inclusão no pagamento da semana aplicável. O empregador fornecerá ou pagará o custo do transporte de retorno e da subsistência diária do trabalhador, do local de trabalho até o local de onde o trabalhador partiu para trabalhar para o empregador, independentemente de empregos intermediários, caso o trabalhador complete o período de emprego certificado ou seja demitido do emprego por qualquer motivo pelo empregador antes do término do período, de acordo com o § 655.20(j)(1)(ii); os trabalhadores com visto H-2B serão reembolsados ​​na primeira semana de trabalho por todos os vistos, processamento de vistos, travessia de fronteira e outras taxas relacionadas, incluindo aquelas exigidas pelo governo (exceto taxas de passaporte). O empregador fornecerá aos trabalhadores todas as ferramentas, suprimentos e equipamentos necessários para o desempenho do trabalho, sem custo para o trabalhador, de acordo com o 20 CFR 655.20(k). Os candidatos qualificados podem enviar o currículo para Pamela Radcliff, no endereço 250 South Beach Drive, Marco Island, FL 34145, por e-mail para H2B2026@hideawaybeachclub.org ou visitar o centro de empregos local no endereço 3050 Horseshoe Drive North, Building A, Suite 110, Naples, FL 34104. *Seu depósito de segurança será reembolsado após a conclusão do contrato e a inspeção da moradia. Se um trabalhador abandonar o emprego sem a permissão do empregador ou abandonar a moradia antes do término do prazo de inscrição por qualquer motivo, exceto rescisão por parte do empregador, o trabalhador perderá todos os depósitos de moradia, dias de folga remunerada, férias e bônus. Após a rescisão ou demissão, o trabalhador deverá desocupar a moradia imediatamente, a menos que haja acordo com o empregador.* Classificação da vaga: 35-3031.00 - Garçons e Garçonetes. A classificação e descrição da vaga/setor incluem informações gerais sobre o cargo, de acordo com o ONET/OES e o Sistema de Classificação Industrial da América do Norte. Consulte a Descrição das Funções e a Ordem de Serviço para obter mais informações. Requisitos da Vaga Experiência Necessária: Sim Meses de Experiência Necessária: 3 Número de Horas por Semana: 35 Horário de Trabalho (Início/Término): 7h00 - 23h00</v>
      </c>
    </row>
    <row r="1767" ht="20.25" customHeight="1">
      <c r="A1767" s="8" t="s">
        <v>7947</v>
      </c>
      <c r="B1767" s="8" t="s">
        <v>7948</v>
      </c>
      <c r="C1767" s="8" t="s">
        <v>7745</v>
      </c>
      <c r="D1767" s="8" t="s">
        <v>71</v>
      </c>
      <c r="E1767" s="9" t="s">
        <v>19</v>
      </c>
      <c r="F1767" s="9" t="s">
        <v>20</v>
      </c>
      <c r="G1767" s="9" t="s">
        <v>7949</v>
      </c>
      <c r="H1767" s="8" t="s">
        <v>7950</v>
      </c>
      <c r="I1767" s="8"/>
      <c r="J1767" s="9">
        <v>25.25</v>
      </c>
      <c r="K1767" s="9">
        <v>9.0</v>
      </c>
      <c r="L1767" s="8" t="s">
        <v>7951</v>
      </c>
      <c r="M1767" s="8" t="s">
        <v>7952</v>
      </c>
      <c r="N1767" s="7" t="str">
        <f>IFERROR(__xludf.DUMMYFUNCTION("GOOGLETRANSLATE(L1767, ""en"", ""pt"")"),"Cozinheiros e todos os outros")</f>
        <v>Cozinheiros e todos os outros</v>
      </c>
      <c r="O1767" s="7" t="str">
        <f>IFERROR(__xludf.DUMMYFUNCTION("IF(M1767="""","""",GOOGLETRANSLATE(M1767,""en"",""pt""))"),"***Resposta à Solicitação de Informações*** O(A) funcionário(a) será contratado(a) por uma empresa de catering que prepara e serve alimentos para eventos privados, como eventos corporativos, casamentos, festivais, etc. Os alimentos são preparados em uma c"&amp;"ozinha industrial e transportados para os locais dos eventos, onde são cozidos, finalizados e servidos em food trucks e pontos de venda de alimentos. Antes dos eventos, o(a) funcionário(a) auxiliará na preparação dos alimentos, lavando, descascando, corta"&amp;"ndo, fatiando, picando, porcionando, marinando e montando os ingredientes; preparando sanduíches, wraps, saladas, tacos, hambúrgueres, grelhados, frutos do mar, itens de café da manhã, acompanhamentos e outros itens de menu de serviço rápido; estocando e "&amp;"organizando os ingredientes; etiquetando e armazenando os alimentos; e carregando alimentos, suprimentos e equipamentos nos veículos de catering e food trucks. Nos eventos de catering e no food truck, o(a) funcionário(a) preparará, cozinhará, aquecerá, gr"&amp;"elhará, fritará, refogará, montará, decorará e servirá os itens do menu de acordo com as receitas estabelecidas e os padrões de segurança alimentar. O(A) funcionário(a) operará chapas, grelhas, fritadeiras, fornos, banhos-maria, aquecedores de alimentos, "&amp;"micro-ondas, torradeiras, fogões de indução e outros equipamentos comerciais padrão de serviço de alimentação para cozinhar e finalizar pedidos de comida. As funções incluem monitorar os tempos e temperaturas de cozimento, repor ingredientes e suprimentos"&amp;", manter os padrões de apresentação dos alimentos, embalar pedidos e coordenar com outros funcionários da cozinha e do serviço para garantir um serviço de alimentação pontual. O(A) funcionário(a) utilizará facas, tábuas de corte, tigelas, utensílios de me"&amp;"dição, panelas, pinças, espátulas, conchas, termômetros, recipientes para armazenamento de alimentos, produtos de limpeza e outras ferramentas e materiais padrão de cozinha. O(A) funcionário(a) manuseará carnes, aves, frutos do mar, vegetais, frutas, pães"&amp;", laticínios, molhos, temperos, óleos e outros ingredientes alimentares utilizados em operações de catering. Outras funções incluem manter as áreas de preparação, cozimento e serviço de alimentos limpas e higienizadas; limpar e higienizar equipamentos e s"&amp;"uperfícies de trabalho; descartar resíduos; receber e armazenar suprimentos; e auxiliar na montagem e desmontagem de locais de catering e operações de food truck. ***Original*** O(A) funcionário(a) receberá treinamento para preparar e cozinhar itens que e"&amp;"xigem pouco tempo de preparo. Também será responsável por empratar, decorar e armazenar alimentos. Deverá seguir procedimentos de higiene alimentar. É necessário limpar os equipamentos e áreas de trabalho. O deslocamento para diferentes locais de trabalho"&amp;" será fornecido pelo empregador. O turno de trabalho é das 14h às 22h, 40 horas por semana, 5 dias por semana, de quarta a domingo. Horas extras podem estar disponíveis. Classificação do cargo: 35-2019.00 - Cozinheiros(as), Outros. A classificação e descr"&amp;"ição do cargo/setor inclui informações gerais sobre a posição, de acordo com o ONET/OES e o Sistema de Classificação Industrial da América do Norte. Consulte as atribuições e a ordem de serviço para obter mais informações. Requisitos da vaga Experiência n"&amp;"ecessária: Não Número de horas por semana: 40 Horário de trabalho (início/término): 14h00 - 22h00")</f>
        <v>***Resposta à Solicitação de Informações*** O(A) funcionário(a) será contratado(a) por uma empresa de catering que prepara e serve alimentos para eventos privados, como eventos corporativos, casamentos, festivais, etc. Os alimentos são preparados em uma cozinha industrial e transportados para os locais dos eventos, onde são cozidos, finalizados e servidos em food trucks e pontos de venda de alimentos. Antes dos eventos, o(a) funcionário(a) auxiliará na preparação dos alimentos, lavando, descascando, cortando, fatiando, picando, porcionando, marinando e montando os ingredientes; preparando sanduíches, wraps, saladas, tacos, hambúrgueres, grelhados, frutos do mar, itens de café da manhã, acompanhamentos e outros itens de menu de serviço rápido; estocando e organizando os ingredientes; etiquetando e armazenando os alimentos; e carregando alimentos, suprimentos e equipamentos nos veículos de catering e food trucks. Nos eventos de catering e no food truck, o(a) funcionário(a) preparará, cozinhará, aquecerá, grelhará, fritará, refogará, montará, decorará e servirá os itens do menu de acordo com as receitas estabelecidas e os padrões de segurança alimentar. O(A) funcionário(a) operará chapas, grelhas, fritadeiras, fornos, banhos-maria, aquecedores de alimentos, micro-ondas, torradeiras, fogões de indução e outros equipamentos comerciais padrão de serviço de alimentação para cozinhar e finalizar pedidos de comida. As funções incluem monitorar os tempos e temperaturas de cozimento, repor ingredientes e suprimentos, manter os padrões de apresentação dos alimentos, embalar pedidos e coordenar com outros funcionários da cozinha e do serviço para garantir um serviço de alimentação pontual. O(A) funcionário(a) utilizará facas, tábuas de corte, tigelas, utensílios de medição, panelas, pinças, espátulas, conchas, termômetros, recipientes para armazenamento de alimentos, produtos de limpeza e outras ferramentas e materiais padrão de cozinha. O(A) funcionário(a) manuseará carnes, aves, frutos do mar, vegetais, frutas, pães, laticínios, molhos, temperos, óleos e outros ingredientes alimentares utilizados em operações de catering. Outras funções incluem manter as áreas de preparação, cozimento e serviço de alimentos limpas e higienizadas; limpar e higienizar equipamentos e superfícies de trabalho; descartar resíduos; receber e armazenar suprimentos; e auxiliar na montagem e desmontagem de locais de catering e operações de food truck. ***Original*** O(A) funcionário(a) receberá treinamento para preparar e cozinhar itens que exigem pouco tempo de preparo. Também será responsável por empratar, decorar e armazenar alimentos. Deverá seguir procedimentos de higiene alimentar. É necessário limpar os equipamentos e áreas de trabalho. O deslocamento para diferentes locais de trabalho será fornecido pelo empregador. O turno de trabalho é das 14h às 22h, 40 horas por semana, 5 dias por semana, de quarta a domingo. Horas extras podem estar disponíveis. Classificação do cargo: 35-2019.00 - Cozinheiros(as), Outros. A classificação e descrição do cargo/setor inclui informações gerais sobre a posição, de acordo com o ONET/OES e o Sistema de Classificação Industrial da América do Norte. Consulte as atribuições e a ordem de serviço para obter mais informações. Requisitos da vaga Experiência necessária: Não Número de horas por semana: 40 Horário de trabalho (início/término): 14h00 - 22h00</v>
      </c>
    </row>
    <row r="1768" ht="20.25" customHeight="1">
      <c r="A1768" s="3" t="s">
        <v>7953</v>
      </c>
      <c r="B1768" s="3" t="s">
        <v>7954</v>
      </c>
      <c r="C1768" s="3" t="s">
        <v>7703</v>
      </c>
      <c r="D1768" s="3" t="s">
        <v>64</v>
      </c>
      <c r="E1768" s="4" t="s">
        <v>19</v>
      </c>
      <c r="F1768" s="4" t="s">
        <v>20</v>
      </c>
      <c r="G1768" s="4" t="s">
        <v>377</v>
      </c>
      <c r="H1768" s="3" t="s">
        <v>7704</v>
      </c>
      <c r="I1768" s="3" t="s">
        <v>7955</v>
      </c>
      <c r="J1768" s="4">
        <v>18.38</v>
      </c>
      <c r="K1768" s="4">
        <v>5.0</v>
      </c>
      <c r="L1768" s="3" t="s">
        <v>7956</v>
      </c>
      <c r="M1768" s="3" t="s">
        <v>7957</v>
      </c>
      <c r="N1768" s="7" t="str">
        <f>IFERROR(__xludf.DUMMYFUNCTION("GOOGLETRANSLATE(L1768, ""en"", ""pt"")"),"Ajudante de Carpinteiro")</f>
        <v>Ajudante de Carpinteiro</v>
      </c>
      <c r="O1768" s="7" t="str">
        <f>IFERROR(__xludf.DUMMYFUNCTION("IF(M1768="""","""",GOOGLETRANSLATE(M1768,""en"",""pt""))"),"Auxiliar carpinteiros experientes em diversas tarefas durante projetos de construção e reforma. As funções incluem coletar e fornecer materiais, limpar áreas de trabalho e equipamentos, usar ferramentas elétricas e realizar tarefas como medir, cortar e mo"&amp;"ntar materiais. Auxiliará em tarefas como montar estruturas temporárias ou instalar acessórios. Classificação da vaga: 47-3012.00 - Ajudantes de Carpinteiro. A classificação e descrição da vaga/setor incluem informações gerais sobre o cargo, de acordo com"&amp;" o ONET/OES e o Sistema de Classificação Industrial da América do Norte (NAICS). Consulte as Funções e a Ordem de Serviço para obter mais informações. Requisitos da vaga: Experiência exigida: Não. Requisitos especiais: ""1 hora de intervalo para almoço""."&amp;" Número de horas por semana: 40. Horário de trabalho (início/término): 8h às 17h.")</f>
        <v>Auxiliar carpinteiros experientes em diversas tarefas durante projetos de construção e reforma. As funções incluem coletar e fornecer materiais, limpar áreas de trabalho e equipamentos, usar ferramentas elétricas e realizar tarefas como medir, cortar e montar materiais. Auxiliará em tarefas como montar estruturas temporárias ou instalar acessórios. Classificação da vaga: 47-3012.00 - Ajudantes de Carpinteiro. A classificação e descrição da vaga/setor incluem informações gerais sobre o cargo, de acordo com o ONET/OES e o Sistema de Classificação Industrial da América do Norte (NAICS). Consulte as Funções e a Ordem de Serviço para obter mais informações. Requisitos da vaga: Experiência exigida: Não. Requisitos especiais: "1 hora de intervalo para almoço". Número de horas por semana: 40. Horário de trabalho (início/término): 8h às 17h.</v>
      </c>
    </row>
    <row r="1769" ht="20.25" customHeight="1">
      <c r="A1769" s="8" t="s">
        <v>7958</v>
      </c>
      <c r="B1769" s="8" t="s">
        <v>7959</v>
      </c>
      <c r="C1769" s="8" t="s">
        <v>197</v>
      </c>
      <c r="D1769" s="8" t="s">
        <v>71</v>
      </c>
      <c r="E1769" s="9" t="s">
        <v>19</v>
      </c>
      <c r="F1769" s="9" t="s">
        <v>20</v>
      </c>
      <c r="G1769" s="9" t="s">
        <v>524</v>
      </c>
      <c r="H1769" s="8" t="s">
        <v>7960</v>
      </c>
      <c r="I1769" s="8" t="s">
        <v>7961</v>
      </c>
      <c r="J1769" s="9">
        <v>17.0</v>
      </c>
      <c r="K1769" s="9">
        <v>3.0</v>
      </c>
      <c r="L1769" s="8" t="s">
        <v>2821</v>
      </c>
      <c r="M1769" s="8" t="s">
        <v>7962</v>
      </c>
      <c r="N1769" s="7" t="str">
        <f>IFERROR(__xludf.DUMMYFUNCTION("GOOGLETRANSLATE(L1769, ""en"", ""pt"")"),"Auxiliar de Recreação")</f>
        <v>Auxiliar de Recreação</v>
      </c>
      <c r="O1769" s="7" t="str">
        <f>IFERROR(__xludf.DUMMYFUNCTION("IF(M1769="""","""",GOOGLETRANSLATE(M1769,""en"",""pt""))"),"Monitorar as atividades de hóspedes e membros nas instalações recreativas, incluindo piscina, academia, lounge e áreas de recreação comuns, para garantir o cumprimento das regras do local e o uso seguro dos equipamentos e comodidades. Prestar assistência "&amp;"administrativa a membros e hóspedes, verificando cartões de membro, confirmando reservas, respondendo a perguntas sobre serviços, horários e atividades do local e auxiliando nos procedimentos de check-in. Organizar e repor mercadorias como toalhas, lanche"&amp;"s, bebidas, roupas e suprimentos recreativos nas áreas de exposição e armazenamento designadas. Manter registros de reservas, presença de hóspedes e uso de equipamentos utilizando sistemas básicos de computador e equipamentos de escritório. Distribuir equ"&amp;"ipamentos e suprimentos recreativos e recolher os itens após o uso. Realizar pequenas tarefas de limpeza, incluindo limpar mesas e balcões, limpar equipamentos recreativos, esvaziar lixeiras, varrer e passar pano nas áreas comuns e repor suprimentos de ba"&amp;"nheiros e para hóspedes. Utilizar produtos e equipamentos de limpeza padrão, incluindo desinfetantes, esfregões, vassouras, aspiradores de pó e panos de limpeza. (3) vagas disponíveis. Período: 01/10/2026 a 31/05/2027. Necessária experiência de 3 meses. T"&amp;"urnos rotativos. Dias de trabalho: segunda a domingo. Horário de trabalho: 7h às 22h. Salário: US$ 17 a US$ 18,50 por hora, com base no desempenho; horas extras: US$ 25,50 a US$ 27,75 por hora. Pagamento quinzenal. 35 horas semanais. Alojamento opcional p"&amp;"or US$ 29 a US$ 32 por dia (qualquer valor acima de US$ 150 para energia elétrica em apartamentos de dois quartos e acima de US$ 200 para apartamentos de três quartos será de responsabilidade do trabalhador). Depósito reembolsável de US$ 500 após a assina"&amp;"tura do contrato e inspeção do alojamento. Uniformes e refeições durante o turno fornecidos. Local de trabalho: 2700 Pine Ridge Rd., Naples, FL 34109. O trabalho é temporário, em tempo integral. A remuneração será calculada com base em uma semana de traba"&amp;"lho. Até 10 horas extras serão possíveis, quando disponíveis. Todos os descontos obrigatórios por lei serão feitos no contracheque do trabalhador. O empregador fornecerá gratuitamente todas as ferramentas, materiais e equipamentos necessários para a execu"&amp;"ção do trabalho. O trabalhador receberá ou será reembolsado pelo transporte e subsistência (incluindo o custo razoável de hospedagem noturna, quando necessário, até US$ 110/noite para hospedagem com recibos) a uma taxa de US$ 16,78 por dia durante a viage"&amp;"m, até um máximo de US$ 68,00 por dia com recibos, desde o local de onde o trabalhador veio trabalhar para o empregador, seja nos EUA ou no exterior, até o local de trabalho, se o trabalhador completar 50% do período de emprego coberto pela ordem de servi"&amp;"ço, de acordo com 20 CFR 655.20(j)(1)(i), mediante inclusão no pagamento da semana aplicável. O empregador fornecerá ou pagará o custo do transporte de retorno e da subsistência diária do trabalhador, do local de trabalho até o local de onde o trabalhador"&amp;" partiu para trabalhar para o empregador, independentemente de empregos intermediários, caso o trabalhador complete o período de emprego certificado ou seja demitido do emprego por qualquer motivo pelo empregador antes do término do período, de acordo com"&amp;" o § 655.20(j)(1)(ii); os trabalhadores com visto H-2B serão reembolsados ​​na primeira semana de trabalho por todos os vistos, processamento de vistos, travessia de fronteira e outras taxas relacionadas, incluindo aquelas exigidas pelo governo (exceto ta"&amp;"xas de passaporte). O empregador fornecerá aos trabalhadores todas as ferramentas, suprimentos e equipamentos necessários para o desempenho do trabalho, sem custo para o trabalhador, de acordo com o 20 CFR 655.20(k). Os candidatos qualificados podem envia"&amp;"r o currículo para: A/C: Jose Detaille, 2700 Pine Ridge Rd. Naples, FL 34109, envie um e-mail para 4hr@kensingtoncc.com ou visite o centro de empregos local em 3050 Horseshoe Drive North Building A Suite 110, Naples, FL 34104. *Seu depósito de segurança é"&amp;" reembolsável após a conclusão do contrato e a inspeção da moradia. Se um trabalhador abandonar o emprego sem a permissão do empregador ou abandonar a moradia antes do término do prazo da petição por qualquer motivo, exceto rescisão por parte do empregado"&amp;"r, o trabalhador perderá todos os depósitos de moradia, folgas remuneradas, férias e bônus. Classificação do Cargo: 37-2012.00 - Empregadas Domésticas e Auxiliares de Limpeza. A classificação e a descrição do cargo/setor incluem informações gerais sobre a"&amp;" posição, de acordo com o ONET/OES e o Sistema de Classificação Industrial da América do Norte. Consulte as Funções e a Ordem de Serviço para obter mais informações. Requisitos do Cargo: Experiência Necessária: Sim. Meses de Experiência Necessária: 3. Núm"&amp;"ero de Horas por Semana: 35. Horário de Trabalho (Início/Término): 7h. - 22:00")</f>
        <v>Monitorar as atividades de hóspedes e membros nas instalações recreativas, incluindo piscina, academia, lounge e áreas de recreação comuns, para garantir o cumprimento das regras do local e o uso seguro dos equipamentos e comodidades. Prestar assistência administrativa a membros e hóspedes, verificando cartões de membro, confirmando reservas, respondendo a perguntas sobre serviços, horários e atividades do local e auxiliando nos procedimentos de check-in. Organizar e repor mercadorias como toalhas, lanches, bebidas, roupas e suprimentos recreativos nas áreas de exposição e armazenamento designadas. Manter registros de reservas, presença de hóspedes e uso de equipamentos utilizando sistemas básicos de computador e equipamentos de escritório. Distribuir equipamentos e suprimentos recreativos e recolher os itens após o uso. Realizar pequenas tarefas de limpeza, incluindo limpar mesas e balcões, limpar equipamentos recreativos, esvaziar lixeiras, varrer e passar pano nas áreas comuns e repor suprimentos de banheiros e para hóspedes. Utilizar produtos e equipamentos de limpeza padrão, incluindo desinfetantes, esfregões, vassouras, aspiradores de pó e panos de limpeza. (3) vagas disponíveis. Período: 01/10/2026 a 31/05/2027. Necessária experiência de 3 meses. Turnos rotativos. Dias de trabalho: segunda a domingo. Horário de trabalho: 7h às 22h. Salário: US$ 17 a US$ 18,50 por hora, com base no desempenho; horas extras: US$ 25,50 a US$ 27,75 por hora. Pagamento quinzenal. 35 horas semanais. Alojamento opcional por US$ 29 a US$ 32 por dia (qualquer valor acima de US$ 150 para energia elétrica em apartamentos de dois quartos e acima de US$ 200 para apartamentos de três quartos será de responsabilidade do trabalhador). Depósito reembolsável de US$ 500 após a assinatura do contrato e inspeção do alojamento. Uniformes e refeições durante o turno fornecidos. Local de trabalho: 2700 Pine Ridge Rd., Naples, FL 34109. O trabalho é temporário, em tempo integral. A remuneração será calculada com base em uma semana de trabalho. Até 10 horas extras serão possíveis, quando disponíveis. Todos os descontos obrigatórios por lei serão feitos no contracheque do trabalhador. O empregador fornecerá gratuitamente todas as ferramentas, materiais e equipamentos necessários para a execução do trabalho. O trabalhador receberá ou será reembolsado pelo transporte e subsistência (incluindo o custo razoável de hospedagem noturna, quando necessário, até US$ 110/noite para hospedagem com recibos) a uma taxa de US$ 16,78 por dia durante a viagem, até um máximo de US$ 68,00 por dia com recibos, desde o local de onde o trabalhador veio trabalhar para o empregador, seja nos EUA ou no exterior, até o local de trabalho, se o trabalhador completar 50% do período de emprego coberto pela ordem de serviço, de acordo com 20 CFR 655.20(j)(1)(i), mediante inclusão no pagamento da semana aplicável. O empregador fornecerá ou pagará o custo do transporte de retorno e da subsistência diária do trabalhador, do local de trabalho até o local de onde o trabalhador partiu para trabalhar para o empregador, independentemente de empregos intermediários, caso o trabalhador complete o período de emprego certificado ou seja demitido do emprego por qualquer motivo pelo empregador antes do término do período, de acordo com o § 655.20(j)(1)(ii); os trabalhadores com visto H-2B serão reembolsados ​​na primeira semana de trabalho por todos os vistos, processamento de vistos, travessia de fronteira e outras taxas relacionadas, incluindo aquelas exigidas pelo governo (exceto taxas de passaporte). O empregador fornecerá aos trabalhadores todas as ferramentas, suprimentos e equipamentos necessários para o desempenho do trabalho, sem custo para o trabalhador, de acordo com o 20 CFR 655.20(k). Os candidatos qualificados podem enviar o currículo para: A/C: Jose Detaille, 2700 Pine Ridge Rd. Naples, FL 34109, envie um e-mail para 4hr@kensingtoncc.com ou visite o centro de empregos local em 3050 Horseshoe Drive North Building A Suite 110, Naples, FL 34104. *Seu depósito de segurança é reembolsável após a conclusão do contrato e a inspeção da moradia. Se um trabalhador abandonar o emprego sem a permissão do empregador ou abandonar a moradia antes do término do prazo da petição por qualquer motivo, exceto rescisão por parte do empregador, o trabalhador perderá todos os depósitos de moradia, folgas remuneradas, férias e bônus. Classificação do Cargo: 37-2012.00 - Empregadas Domésticas e Auxiliares de Limpeza. A classificação e a descrição do cargo/setor incluem informações gerais sobre a posição, de acordo com o ONET/OES e o Sistema de Classificação Industrial da América do Norte. Consulte as Funções e a Ordem de Serviço para obter mais informações. Requisitos do Cargo: Experiência Necessária: Sim. Meses de Experiência Necessária: 3. Número de Horas por Semana: 35. Horário de Trabalho (Início/Término): 7h. - 22:00</v>
      </c>
    </row>
    <row r="1770" ht="20.25" customHeight="1">
      <c r="A1770" s="3" t="s">
        <v>7963</v>
      </c>
      <c r="B1770" s="3" t="s">
        <v>7959</v>
      </c>
      <c r="C1770" s="3" t="s">
        <v>197</v>
      </c>
      <c r="D1770" s="3" t="s">
        <v>71</v>
      </c>
      <c r="E1770" s="4" t="s">
        <v>19</v>
      </c>
      <c r="F1770" s="4" t="s">
        <v>20</v>
      </c>
      <c r="G1770" s="4" t="s">
        <v>524</v>
      </c>
      <c r="H1770" s="3" t="s">
        <v>7960</v>
      </c>
      <c r="I1770" s="3" t="s">
        <v>7961</v>
      </c>
      <c r="J1770" s="4">
        <v>19.0</v>
      </c>
      <c r="K1770" s="4">
        <v>17.0</v>
      </c>
      <c r="L1770" s="3" t="s">
        <v>387</v>
      </c>
      <c r="M1770" s="3" t="s">
        <v>7964</v>
      </c>
      <c r="N1770" s="7" t="str">
        <f>IFERROR(__xludf.DUMMYFUNCTION("GOOGLETRANSLATE(L1770, ""en"", ""pt"")"),"Ordem de serviço não disponível")</f>
        <v>Ordem de serviço não disponível</v>
      </c>
      <c r="O1770" s="7" t="str">
        <f>IFERROR(__xludf.DUMMYFUNCTION("IF(M1770="""","""",GOOGLETRANSLATE(M1770,""en"",""pt""))"),"Preparar, cozinhar, refogar, grelhar e fritar itens como frutos do mar, carnes, aves, legumes, massas e sopas. Manter as áreas da cozinha limpas e higienizadas. Armazenar todos os produtos em locais adequados e realizar todos os demais serviços relacionad"&amp;"os à cozinha. (17) vagas disponíveis. Período: 01/10/2026 a 31/05/2027. Necessário 3 meses de experiência. Turnos rotativos. Dias de trabalho: segunda a domingo. Horário de trabalho: 7h às 22h. Salário: US$ 19 a US$ 27 por hora, com base no desempenho; US"&amp;"$ 28,50 a US$ 40,50 por hora para horas extras. Pagamento quinzenal. 35 horas semanais. Alojamento opcional por US$ 29 a US$ 32 por dia (qualquer valor acima de US$ 150 para energia elétrica em apartamentos de 2 quartos e acima de US$ 200 para apartamento"&amp;"s de 3 quartos será de responsabilidade do funcionário). Depósito reembolsável de US$ 500 após a assinatura do contrato e inspeção do alojamento. Uniformes e refeições durante o turno fornecidos. Local de trabalho: 2700 Pine Ridge Rd. Naples, FL 34109. O "&amp;"trabalho é temporário e em tempo integral. A remuneração será calculada com base em uma única semana de trabalho. O trabalhador poderá receber até 10 horas extras, quando disponíveis. Todos os descontos exigidos por lei serão feitos no contracheque do tra"&amp;"balhador. O empregador fornecerá gratuitamente ao trabalhador todas as ferramentas, suprimentos e equipamentos necessários para a execução do trabalho. O trabalhador receberá ou será reembolsado pelas despesas de transporte e alimentação (incluindo o cust"&amp;"o razoável de hospedagem, quando necessário, até US$ 110 por noite, mediante apresentação de recibos) no valor de US$ 16,78 por dia durante o deslocamento, até um máximo de US$ 68,00 por dia, mediante apresentação de recibos, desde o local de origem do tr"&amp;"abalhador, seja nos EUA ou no exterior, até o local de trabalho, caso o trabalhador complete 50% do período de trabalho coberto pela ordem de serviço, de acordo com 20 CFR 655.20(j)(1)(i), mediante inclusão no contracheque da semana correspondente. O empr"&amp;"egador fornecerá ou pagará o custo do transporte de retorno e da subsistência diária do trabalhador, do local de trabalho até o local de onde o trabalhador partiu para trabalhar para o empregador, independentemente de empregos intermediários, caso o traba"&amp;"lhador complete o período de emprego certificado ou seja demitido do emprego por qualquer motivo pelo empregador antes do término do período, de acordo com o § 655.20(j)(1)(ii); os trabalhadores com visto H-2B serão reembolsados ​​na primeira semana de tr"&amp;"abalho por todos os vistos, processamento de vistos, travessia de fronteira e outras taxas relacionadas, incluindo aquelas exigidas pelo governo (exceto taxas de passaporte). O empregador fornecerá aos trabalhadores todas as ferramentas, suprimentos e equ"&amp;"ipamentos necessários para o desempenho do trabalho, sem custo para o trabalhador, de acordo com o 20 CFR 655.20(k). Os candidatos qualificados podem enviar o currículo para: A/C: Jose Detaille, 2700 Pine Ridge Rd. Naples, FL 34109, envie um e-mail para 4"&amp;"hr@kensingtoncc.com ou visite o centro de empregos local em 3050 Horseshoe Drive North, Edifício A, Suíte 110, Naples, FL 34104. *Seu depósito de segurança é reembolsável após a conclusão do contrato e a inspeção da moradia. Se um trabalhador abandonar o "&amp;"emprego sem a permissão do empregador ou abandonar a moradia antes do término do prazo de solicitação por qualquer motivo, exceto rescisão por parte do empregador, o trabalhador perderá todos os depósitos de moradia, dias de folga remunerada, férias e bôn"&amp;"us. Após a rescisão ou demissão, o trabalhador deverá desocupar a moradia imediatamente, a menos que haja acordo com o empregador.* Classificação do Cargo: 35-2014.00 - Cozinheiros, Restaurante. A classificação e a descrição do cargo/setor incluem informa"&amp;"ções gerais sobre a posição, de acordo com o ONET/OES e o Sistema de Classificação Industrial da América do Norte. Consulte as Funções e a Ordem de Serviço para obter mais informações. Requisitos da vaga Experiência necessária: Sim Meses de experiência ne"&amp;"cessários: 3 Número de horas por semana: 35 Horário de trabalho (início/término): 7h às 22h")</f>
        <v>Preparar, cozinhar, refogar, grelhar e fritar itens como frutos do mar, carnes, aves, legumes, massas e sopas. Manter as áreas da cozinha limpas e higienizadas. Armazenar todos os produtos em locais adequados e realizar todos os demais serviços relacionados à cozinha. (17) vagas disponíveis. Período: 01/10/2026 a 31/05/2027. Necessário 3 meses de experiência. Turnos rotativos. Dias de trabalho: segunda a domingo. Horário de trabalho: 7h às 22h. Salário: US$ 19 a US$ 27 por hora, com base no desempenho; US$ 28,50 a US$ 40,50 por hora para horas extras. Pagamento quinzenal. 35 horas semanais. Alojamento opcional por US$ 29 a US$ 32 por dia (qualquer valor acima de US$ 150 para energia elétrica em apartamentos de 2 quartos e acima de US$ 200 para apartamentos de 3 quartos será de responsabilidade do funcionário). Depósito reembolsável de US$ 500 após a assinatura do contrato e inspeção do alojamento. Uniformes e refeições durante o turno fornecidos. Local de trabalho: 2700 Pine Ridge Rd. Naples, FL 34109. O trabalho é temporário e em tempo integral. A remuneração será calculada com base em uma única semana de trabalho. O trabalhador poderá receber até 10 horas extras, quando disponíveis. Todos os descontos exigidos por lei serão feitos no contracheque do trabalhador. O empregador fornecerá gratuitamente ao trabalhador todas as ferramentas, suprimentos e equipamentos necessários para a execução do trabalho. O trabalhador receberá ou será reembolsado pelas despesas de transporte e alimentação (incluindo o custo razoável de hospedagem, quando necessário, até US$ 110 por noite, mediante apresentação de recibos) no valor de US$ 16,78 por dia durante o deslocamento, até um máximo de US$ 68,00 por dia, mediante apresentação de recibos, desde o local de origem do trabalhador, seja nos EUA ou no exterior, até o local de trabalho, caso o trabalhador complete 50% do período de trabalho coberto pela ordem de serviço, de acordo com 20 CFR 655.20(j)(1)(i), mediante inclusão no contracheque da semana correspondente. O empregador fornecerá ou pagará o custo do transporte de retorno e da subsistência diária do trabalhador, do local de trabalho até o local de onde o trabalhador partiu para trabalhar para o empregador, independentemente de empregos intermediários, caso o trabalhador complete o período de emprego certificado ou seja demitido do emprego por qualquer motivo pelo empregador antes do término do período, de acordo com o § 655.20(j)(1)(ii); os trabalhadores com visto H-2B serão reembolsados ​​na primeira semana de trabalho por todos os vistos, processamento de vistos, travessia de fronteira e outras taxas relacionadas, incluindo aquelas exigidas pelo governo (exceto taxas de passaporte). O empregador fornecerá aos trabalhadores todas as ferramentas, suprimentos e equipamentos necessários para o desempenho do trabalho, sem custo para o trabalhador, de acordo com o 20 CFR 655.20(k). Os candidatos qualificados podem enviar o currículo para: A/C: Jose Detaille, 2700 Pine Ridge Rd. Naples, FL 34109, envie um e-mail para 4hr@kensingtoncc.com ou visite o centro de empregos local em 3050 Horseshoe Drive North, Edifício A, Suíte 110, Naples, FL 34104. *Seu depósito de segurança é reembolsável após a conclusão do contrato e a inspeção da moradia. Se um trabalhador abandonar o emprego sem a permissão do empregador ou abandonar a moradia antes do término do prazo de solicitação por qualquer motivo, exceto rescisão por parte do empregador, o trabalhador perderá todos os depósitos de moradia, dias de folga remunerada, férias e bônus. Após a rescisão ou demissão, o trabalhador deverá desocupar a moradia imediatamente, a menos que haja acordo com o empregador.* Classificação do Cargo: 35-2014.00 - Cozinheiros, Restaurante. A classificação e a descrição do cargo/setor incluem informações gerais sobre a posição, de acordo com o ONET/OES e o Sistema de Classificação Industrial da América do Norte. Consulte as Funções e a Ordem de Serviço para obter mais informações. Requisitos da vaga Experiência necessária: Sim Meses de experiência necessários: 3 Número de horas por semana: 35 Horário de trabalho (início/término): 7h às 22h</v>
      </c>
    </row>
    <row r="1771" ht="20.25" customHeight="1">
      <c r="A1771" s="8" t="s">
        <v>7965</v>
      </c>
      <c r="B1771" s="8" t="s">
        <v>7959</v>
      </c>
      <c r="C1771" s="8" t="s">
        <v>197</v>
      </c>
      <c r="D1771" s="8" t="s">
        <v>71</v>
      </c>
      <c r="E1771" s="9" t="s">
        <v>19</v>
      </c>
      <c r="F1771" s="9" t="s">
        <v>20</v>
      </c>
      <c r="G1771" s="9" t="s">
        <v>524</v>
      </c>
      <c r="H1771" s="8" t="s">
        <v>7960</v>
      </c>
      <c r="I1771" s="8" t="s">
        <v>7961</v>
      </c>
      <c r="J1771" s="9">
        <v>14.79</v>
      </c>
      <c r="K1771" s="9">
        <v>4.0</v>
      </c>
      <c r="L1771" s="8" t="s">
        <v>7966</v>
      </c>
      <c r="M1771" s="8" t="s">
        <v>7967</v>
      </c>
      <c r="N1771" s="7" t="str">
        <f>IFERROR(__xludf.DUMMYFUNCTION("GOOGLETRANSLATE(L1771, ""en"", ""pt"")"),"Máquinas de lavar louça")</f>
        <v>Máquinas de lavar louça</v>
      </c>
      <c r="O1771" s="7" t="str">
        <f>IFERROR(__xludf.DUMMYFUNCTION("IF(M1771="""","""",GOOGLETRANSLATE(M1771,""en"",""pt""))"),"Lavar e secar panelas, frigideiras, copos e utensílios à mão e na máquina. Manter a cozinha e as áreas limpas, levar o lixo para a lixeira. (4) vagas disponíveis. Período: 01/10/2026 a 31/05/2027. Turnos rotativos. Dias de trabalho: segunda a domingo. Hor"&amp;"ário: 7h às 22h. Salário: US$ 14,79 a US$ 18,50 por hora, dependendo do desempenho; horas extras: US$ 22,19 a US$ 27,75 por hora. Pagamento quinzenal. 35 horas semanais. Alojamento opcional por US$ 29 a US$ 32 por dia (qualquer valor acima de US$ 150 para"&amp;" energia elétrica em apartamentos de 2 quartos e acima de US$ 200 para apartamentos de 3 quartos será de responsabilidade do trabalhador). Depósito reembolsável de US$ 500 após a assinatura do contrato e inspeção do alojamento. Uniformes e refeições duran"&amp;"te o turno fornecidos. Local de trabalho: 2700 Pine Ridge Rd., Naples, FL 34109. Trabalho temporário em tempo integral. Uma única semana de trabalho será utilizada para calcular os salários. O trabalhador poderá receber até 10 horas extras, quando disponí"&amp;"veis. Todas as deduções exigidas por lei serão feitas no contracheque do trabalhador. O empregador fornecerá ao trabalhador, sem custos, todas as ferramentas, suprimentos e equipamentos necessários para a execução do trabalho. O trabalhador receberá ou se"&amp;"rá reembolsado pelas despesas de transporte e subsistência (incluindo o custo razoável de hospedagem, quando necessário, até US$ 110 por noite, mediante apresentação de recibos) à taxa de US$ 16,78 por dia durante o deslocamento, até um máximo de US$ 68,0"&amp;"0 por dia, mediante apresentação de recibos, desde o local de origem do trabalhador, seja nos EUA ou no exterior, até o local de trabalho, caso o trabalhador complete 50% do período de trabalho coberto pela ordem de serviço, em conformidade com 20 CFR 655"&amp;".20(j)(1)(i), mediante inclusão no contracheque da semana correspondente. O empregador fornecerá ou pagará o custo do transporte de retorno e da subsistência diária do trabalhador, do local de trabalho até o local de onde o trabalhador partiu para trabalh"&amp;"ar para o empregador, independentemente de empregos intermediários, caso o trabalhador complete o período de emprego certificado ou seja demitido do emprego por qualquer motivo pelo empregador antes do término do período, de acordo com o § 655.20(j)(1)(ii"&amp;"); os trabalhadores com visto H-2B serão reembolsados ​​na primeira semana de trabalho por todos os vistos, processamento de vistos, travessia de fronteira e outras taxas relacionadas, incluindo aquelas exigidas pelo governo (exceto taxas de passaporte). "&amp;"O empregador fornecerá aos trabalhadores todas as ferramentas, suprimentos e equipamentos necessários para o desempenho do trabalho, sem custo para o trabalhador, de acordo com o 20 CFR 655.20(k). Os candidatos qualificados podem enviar o currículo para: "&amp;"A/C: Jose Detaille, 2700 Pine Ridge Rd. Naples, FL 34109, envie um e-mail para 4hr@kensingtoncc.com ou visite o centro de empregos local em 3050 Horseshoe Drive North, Edifício A, Suíte 110, Naples, FL 34104. *Seu depósito de segurança é reembolsável após"&amp;" a conclusão do contrato e a inspeção da moradia. Se um trabalhador abandonar o emprego sem a permissão do empregador ou abandonar a moradia antes do término do prazo de solicitação por qualquer motivo, exceto rescisão por parte do empregador, o trabalhad"&amp;"or perderá todos os depósitos de moradia, dias de folga remunerada, férias e bônus. Após a rescisão ou demissão, o trabalhador deverá desocupar a moradia imediatamente, a menos que haja acordo com o empregador.* Classificação do Cargo: 35-9021.00 - Lavado"&amp;"res de Pratos. A classificação e a descrição do cargo/setor incluem informações gerais sobre a posição, de acordo com o ONET/OES e o Sistema de Classificação Industrial da América do Norte. Consulte as Funções e a Ordem de Serviço para obter mais informaç"&amp;"ões. Requisitos da vaga Experiência necessária: Não Número de horas por semana: 35 Horário de trabalho (início/término): 7h às 22h")</f>
        <v>Lavar e secar panelas, frigideiras, copos e utensílios à mão e na máquina. Manter a cozinha e as áreas limpas, levar o lixo para a lixeira. (4) vagas disponíveis. Período: 01/10/2026 a 31/05/2027. Turnos rotativos. Dias de trabalho: segunda a domingo. Horário: 7h às 22h. Salário: US$ 14,79 a US$ 18,50 por hora, dependendo do desempenho; horas extras: US$ 22,19 a US$ 27,75 por hora. Pagamento quinzenal. 35 horas semanais. Alojamento opcional por US$ 29 a US$ 32 por dia (qualquer valor acima de US$ 150 para energia elétrica em apartamentos de 2 quartos e acima de US$ 200 para apartamentos de 3 quartos será de responsabilidade do trabalhador). Depósito reembolsável de US$ 500 após a assinatura do contrato e inspeção do alojamento. Uniformes e refeições durante o turno fornecidos. Local de trabalho: 2700 Pine Ridge Rd., Naples, FL 34109. Trabalho temporário em tempo integral. Uma única semana de trabalho será utilizada para calcular os salários. O trabalhador poderá receber até 10 horas extras, quando disponíveis. Todas as deduções exigidas por lei serão feitas no contracheque do trabalhador. O empregador fornecerá ao trabalhador, sem custos, todas as ferramentas, suprimentos e equipamentos necessários para a execução do trabalho. O trabalhador receberá ou será reembolsado pelas despesas de transporte e subsistência (incluindo o custo razoável de hospedagem, quando necessário, até US$ 110 por noite, mediante apresentação de recibos) à taxa de US$ 16,78 por dia durante o deslocamento, até um máximo de US$ 68,00 por dia, mediante apresentação de recibos, desde o local de origem do trabalhador, seja nos EUA ou no exterior, até o local de trabalho, caso o trabalhador complete 50% do período de trabalho coberto pela ordem de serviço, em conformidade com 20 CFR 655.20(j)(1)(i), mediante inclusão no contracheque da semana correspondente. O empregador fornecerá ou pagará o custo do transporte de retorno e da subsistência diária do trabalhador, do local de trabalho até o local de onde o trabalhador partiu para trabalhar para o empregador, independentemente de empregos intermediários, caso o trabalhador complete o período de emprego certificado ou seja demitido do emprego por qualquer motivo pelo empregador antes do término do período, de acordo com o § 655.20(j)(1)(ii); os trabalhadores com visto H-2B serão reembolsados ​​na primeira semana de trabalho por todos os vistos, processamento de vistos, travessia de fronteira e outras taxas relacionadas, incluindo aquelas exigidas pelo governo (exceto taxas de passaporte). O empregador fornecerá aos trabalhadores todas as ferramentas, suprimentos e equipamentos necessários para o desempenho do trabalho, sem custo para o trabalhador, de acordo com o 20 CFR 655.20(k). Os candidatos qualificados podem enviar o currículo para: A/C: Jose Detaille, 2700 Pine Ridge Rd. Naples, FL 34109, envie um e-mail para 4hr@kensingtoncc.com ou visite o centro de empregos local em 3050 Horseshoe Drive North, Edifício A, Suíte 110, Naples, FL 34104. *Seu depósito de segurança é reembolsável após a conclusão do contrato e a inspeção da moradia. Se um trabalhador abandonar o emprego sem a permissão do empregador ou abandonar a moradia antes do término do prazo de solicitação por qualquer motivo, exceto rescisão por parte do empregador, o trabalhador perderá todos os depósitos de moradia, dias de folga remunerada, férias e bônus. Após a rescisão ou demissão, o trabalhador deverá desocupar a moradia imediatamente, a menos que haja acordo com o empregador.* Classificação do Cargo: 35-9021.00 - Lavadores de Pratos. A classificação e a descrição do cargo/setor incluem informações gerais sobre a posição, de acordo com o ONET/OES e o Sistema de Classificação Industrial da América do Norte. Consulte as Funções e a Ordem de Serviço para obter mais informações. Requisitos da vaga Experiência necessária: Não Número de horas por semana: 35 Horário de trabalho (início/término): 7h às 22h</v>
      </c>
    </row>
    <row r="1772" ht="20.25" customHeight="1">
      <c r="A1772" s="3" t="s">
        <v>7968</v>
      </c>
      <c r="B1772" s="3" t="s">
        <v>7959</v>
      </c>
      <c r="C1772" s="3" t="s">
        <v>197</v>
      </c>
      <c r="D1772" s="3" t="s">
        <v>71</v>
      </c>
      <c r="E1772" s="4" t="s">
        <v>19</v>
      </c>
      <c r="F1772" s="4" t="s">
        <v>20</v>
      </c>
      <c r="G1772" s="4" t="s">
        <v>524</v>
      </c>
      <c r="H1772" s="3" t="s">
        <v>7960</v>
      </c>
      <c r="I1772" s="3" t="s">
        <v>7961</v>
      </c>
      <c r="J1772" s="4">
        <v>18.71</v>
      </c>
      <c r="K1772" s="4">
        <v>22.0</v>
      </c>
      <c r="L1772" s="3" t="s">
        <v>1206</v>
      </c>
      <c r="M1772" s="3" t="s">
        <v>7969</v>
      </c>
      <c r="N1772" s="7" t="str">
        <f>IFERROR(__xludf.DUMMYFUNCTION("GOOGLETRANSLATE(L1772, ""en"", ""pt"")"),"Servidor")</f>
        <v>Servidor</v>
      </c>
      <c r="O1772" s="7" t="str">
        <f>IFERROR(__xludf.DUMMYFUNCTION("IF(M1772="""","""",GOOGLETRANSLATE(M1772,""en"",""pt""))"),"Receber pedidos, servir comidas e bebidas aos clientes. Limpar e arrumar as mesas. Receber pagamentos e entregar recibos. Manter todos os postos de trabalho abastecidos e realizar todos os demais serviços relacionados ao atendimento. (22) vagas disponívei"&amp;"s. Período: 01/10/2026 a 31/05/2027. Necessário 3 meses de experiência. Turnos rotativos. Dias de trabalho: segunda a domingo. Horário: 7h às 22h. Salário: US$ 11,98 a US$ 13,40 por hora, mais gorjetas, mas não menos que US$ 18,71 por hora, US$ 28,07 por "&amp;"hora para horas extras. Pagamento quinzenal. 35 horas semanais. Alojamento opcional por US$ 29 a US$ 32 por dia (qualquer valor acima de US$ 150 para energia elétrica em apartamentos de 2 quartos e acima de US$ 200 para apartamentos de 3 quartos será de r"&amp;"esponsabilidade do funcionário). Depósito reembolsável de US$ 500 após a assinatura do contrato e inspeção do alojamento. Uniformes e refeições durante o turno fornecidos. Local de trabalho: 2700 Pine Ridge Rd. Naples, FL 34109. O trabalho é temporário e "&amp;"em tempo integral. A remuneração será calculada com base em uma única semana de trabalho. O trabalhador poderá receber até 10 horas extras, quando disponíveis. Todos os descontos exigidos por lei serão feitos no contracheque do trabalhador. O empregador f"&amp;"ornecerá gratuitamente ao trabalhador todas as ferramentas, suprimentos e equipamentos necessários para a execução do trabalho. O trabalhador receberá ou será reembolsado pelas despesas de transporte e alimentação (incluindo o custo razoável de hospedagem"&amp;", quando necessário, até US$ 110 por noite, mediante apresentação de recibos) no valor de US$ 16,78 por dia durante o deslocamento, até um máximo de US$ 68,00 por dia, mediante apresentação de recibos, desde o local de origem do trabalhador, seja nos EUA "&amp;"ou no exterior, até o local de trabalho, caso o trabalhador complete 50% do período de trabalho coberto pela ordem de serviço, de acordo com 20 CFR 655.20(j)(1)(i), mediante inclusão no contracheque da semana correspondente. O empregador fornecerá ou paga"&amp;"rá o custo do transporte de retorno e da subsistência diária do trabalhador, do local de trabalho até o local de onde o trabalhador partiu para trabalhar para o empregador, independentemente de empregos intermediários, caso o trabalhador complete o períod"&amp;"o de emprego certificado ou seja demitido do emprego por qualquer motivo pelo empregador antes do término do período, de acordo com o § 655.20(j)(1)(ii); os trabalhadores com visto H-2B serão reembolsados ​​na primeira semana de trabalho por todos os vist"&amp;"os, processamento de vistos, travessia de fronteira e outras taxas relacionadas, incluindo aquelas exigidas pelo governo (exceto taxas de passaporte). O empregador fornecerá aos trabalhadores todas as ferramentas, suprimentos e equipamentos necessários pa"&amp;"ra o desempenho do trabalho, sem custo para o trabalhador, de acordo com o 20 CFR 655.20(k). Os candidatos qualificados podem enviar o currículo para: A/C: Jose Detaille, 2700 Pine Ridge Rd. Naples, FL 34109, envie um e-mail para 4hr@kensingtoncc.com ou v"&amp;"isite o centro de empregos local em 3050 Horseshoe Drive North, Edifício A, Suíte 110, Naples, FL 34104. *Seu depósito de segurança é reembolsável após a conclusão do contrato e a inspeção da moradia. Se um trabalhador abandonar o emprego sem a permissão "&amp;"do empregador ou abandonar a moradia antes do término do prazo de solicitação por qualquer motivo, exceto rescisão por parte do empregador, o trabalhador perderá todos os depósitos de moradia, dias de folga remunerada, férias e bônus. Após a rescisão ou d"&amp;"emissão, o trabalhador deverá desocupar a moradia imediatamente, a menos que haja acordo com o empregador.* Classificação do Cargo: 35-3031.00 - Garçons e Garçonetes. A classificação e a descrição do cargo/setor incluem informações gerais sobre a posição,"&amp;" de acordo com o ONET/OES e o Sistema de Classificação Industrial da América do Norte. Consulte as Funções e a Ordem de Serviço para obter mais informações. Requisitos da vaga Experiência necessária: Sim Meses de experiência necessários: 3 Número de horas"&amp;" por semana: 35 Horário de trabalho (início/término): 7h às 22h")</f>
        <v>Receber pedidos, servir comidas e bebidas aos clientes. Limpar e arrumar as mesas. Receber pagamentos e entregar recibos. Manter todos os postos de trabalho abastecidos e realizar todos os demais serviços relacionados ao atendimento. (22) vagas disponíveis. Período: 01/10/2026 a 31/05/2027. Necessário 3 meses de experiência. Turnos rotativos. Dias de trabalho: segunda a domingo. Horário: 7h às 22h. Salário: US$ 11,98 a US$ 13,40 por hora, mais gorjetas, mas não menos que US$ 18,71 por hora, US$ 28,07 por hora para horas extras. Pagamento quinzenal. 35 horas semanais. Alojamento opcional por US$ 29 a US$ 32 por dia (qualquer valor acima de US$ 150 para energia elétrica em apartamentos de 2 quartos e acima de US$ 200 para apartamentos de 3 quartos será de responsabilidade do funcionário). Depósito reembolsável de US$ 500 após a assinatura do contrato e inspeção do alojamento. Uniformes e refeições durante o turno fornecidos. Local de trabalho: 2700 Pine Ridge Rd. Naples, FL 34109. O trabalho é temporário e em tempo integral. A remuneração será calculada com base em uma única semana de trabalho. O trabalhador poderá receber até 10 horas extras, quando disponíveis. Todos os descontos exigidos por lei serão feitos no contracheque do trabalhador. O empregador fornecerá gratuitamente ao trabalhador todas as ferramentas, suprimentos e equipamentos necessários para a execução do trabalho. O trabalhador receberá ou será reembolsado pelas despesas de transporte e alimentação (incluindo o custo razoável de hospedagem, quando necessário, até US$ 110 por noite, mediante apresentação de recibos) no valor de US$ 16,78 por dia durante o deslocamento, até um máximo de US$ 68,00 por dia, mediante apresentação de recibos, desde o local de origem do trabalhador, seja nos EUA ou no exterior, até o local de trabalho, caso o trabalhador complete 50% do período de trabalho coberto pela ordem de serviço, de acordo com 20 CFR 655.20(j)(1)(i), mediante inclusão no contracheque da semana correspondente. O empregador fornecerá ou pagará o custo do transporte de retorno e da subsistência diária do trabalhador, do local de trabalho até o local de onde o trabalhador partiu para trabalhar para o empregador, independentemente de empregos intermediários, caso o trabalhador complete o período de emprego certificado ou seja demitido do emprego por qualquer motivo pelo empregador antes do término do período, de acordo com o § 655.20(j)(1)(ii); os trabalhadores com visto H-2B serão reembolsados ​​na primeira semana de trabalho por todos os vistos, processamento de vistos, travessia de fronteira e outras taxas relacionadas, incluindo aquelas exigidas pelo governo (exceto taxas de passaporte). O empregador fornecerá aos trabalhadores todas as ferramentas, suprimentos e equipamentos necessários para o desempenho do trabalho, sem custo para o trabalhador, de acordo com o 20 CFR 655.20(k). Os candidatos qualificados podem enviar o currículo para: A/C: Jose Detaille, 2700 Pine Ridge Rd. Naples, FL 34109, envie um e-mail para 4hr@kensingtoncc.com ou visite o centro de empregos local em 3050 Horseshoe Drive North, Edifício A, Suíte 110, Naples, FL 34104. *Seu depósito de segurança é reembolsável após a conclusão do contrato e a inspeção da moradia. Se um trabalhador abandonar o emprego sem a permissão do empregador ou abandonar a moradia antes do término do prazo de solicitação por qualquer motivo, exceto rescisão por parte do empregador, o trabalhador perderá todos os depósitos de moradia, dias de folga remunerada, férias e bônus. Após a rescisão ou demissão, o trabalhador deverá desocupar a moradia imediatamente, a menos que haja acordo com o empregador.* Classificação do Cargo: 35-3031.00 - Garçons e Garçonetes. A classificação e a descrição do cargo/setor incluem informações gerais sobre a posição, de acordo com o ONET/OES e o Sistema de Classificação Industrial da América do Norte. Consulte as Funções e a Ordem de Serviço para obter mais informações. Requisitos da vaga Experiência necessária: Sim Meses de experiência necessários: 3 Número de horas por semana: 35 Horário de trabalho (início/término): 7h às 22h</v>
      </c>
    </row>
    <row r="1773" ht="20.25" customHeight="1">
      <c r="A1773" s="8" t="s">
        <v>7970</v>
      </c>
      <c r="B1773" s="8" t="s">
        <v>7971</v>
      </c>
      <c r="C1773" s="8" t="s">
        <v>6228</v>
      </c>
      <c r="D1773" s="8" t="s">
        <v>117</v>
      </c>
      <c r="E1773" s="9" t="s">
        <v>19</v>
      </c>
      <c r="F1773" s="9" t="s">
        <v>20</v>
      </c>
      <c r="G1773" s="9" t="s">
        <v>473</v>
      </c>
      <c r="H1773" s="8" t="s">
        <v>7972</v>
      </c>
      <c r="I1773" s="8" t="s">
        <v>7973</v>
      </c>
      <c r="J1773" s="9">
        <v>29.15</v>
      </c>
      <c r="K1773" s="9">
        <v>7.0</v>
      </c>
      <c r="L1773" s="8" t="s">
        <v>7974</v>
      </c>
      <c r="M1773" s="8" t="s">
        <v>7975</v>
      </c>
      <c r="N1773" s="7" t="str">
        <f>IFERROR(__xludf.DUMMYFUNCTION("GOOGLETRANSLATE(L1773, ""en"", ""pt"")"),"Operadores de equipamentos de pavimentação, revestimento e compactação de inverno")</f>
        <v>Operadores de equipamentos de pavimentação, revestimento e compactação de inverno</v>
      </c>
      <c r="O1773" s="7" t="str">
        <f>IFERROR(__xludf.DUMMYFUNCTION("IF(M1773="""","""",GOOGLETRANSLATE(M1773,""en"",""pt""))"),"Como operador de equipamentos de pavimentação, revestimento e compactação, o trabalhador operará equipamentos de pavimentação usados ​​para aplicar concreto, asfalto e outros materiais em leitos de estradas, estacionamentos ou pistas e vias de circulação "&amp;"de aeroportos, ou para compactar cascalho, terra ou outros materiais. Os equipamentos que o trabalhador poderá utilizar incluem máquinas de pavimentação de concreto e asfalto, compactadores de formas, máquinas de compactação e espalhadores de pedra. O ope"&amp;"rador fixa implementos aos equipamentos com engates de pino ou cunha, conecta mangueiras hidráulicas, correias, articulações mecânicas ou eixo de tomada de força ao trator para fornecer energia para levantar, abaixar ou inclinar o implemento. Lubrifica, a"&amp;"plica óleo e realiza pequenos reparos nos equipamentos. Deve preencher uma lista de verificação formal de ""preparação para o inverno"" antes da paralisação sazonal ou da chegada de clima frio. Participa das atividades de encerramento da temporada, como l"&amp;"impeza das oficinas, armazenamento de equipamentos, abastecimento de anticongelante nos equipamentos e limpeza dos equipamentos antes de guardá-los para a temporada. Classificação da Função: 47-2071.00 - Operadores de Equipamentos de Pavimentação, Revesti"&amp;"mento e Compactação. A classificação e descrição da função/setor inclui informações gerais sobre o cargo, conforme o ONET/OES e o Sistema de Classificação Industrial da América do Norte (NAICS). Consulte as Funções e a Ordem de Serviço para obter mais inf"&amp;"ormações. Requisitos da Função Experiência Necessária: Sim Meses de Experiência Necessários: 6 Requisitos Especiais: Seis (6) meses de experiência comprovada na operação de equipamentos similares são necessários. Ao desempenhar as funções deste cargo, o f"&amp;"uncionário deverá usar regularmente as mãos e os dedos para manusear ou sentir objetos e alcançar com as mãos e os braços. O funcionário deverá frequentemente ficar em pé; subir ou equilibrar-se; agachar-se, ajoelhar-se, curvar-se ou rastejar e falar ou o"&amp;"uvir. O funcionário deverá ocasionalmente ficar em pé; caminhar; agachar-se, ajoelhar-se, curvar-se ou rastejar; e provar ou cheirar. O funcionário deverá levantar e/ou mover regularmente até 23 kg, frequentemente levantar e/ou mover até 34 kg e ocasional"&amp;"mente levantar e/ou mover até 45 kg com auxílio. As habilidades visuais específicas exigidas para este trabalho incluem visão de perto, visão de longe, visão de cores, visão periférica, percepção de profundidade e capacidade de ajustar o foco. É necessári"&amp;"o ser capaz de lidar com temperaturas extremas, incluindo frio e calor. Todos os candidatos (tanto americanos quanto estrangeiros/com visto H-2B) devem preencher o formulário de emprego online padrão do empregador como parte do processo de contratação. O "&amp;"preenchimento do formulário é obrigatório para todos os candidatos e não impõe requisitos adicionais ou diferentes aos trabalhadores americanos. Os trabalhadores estarão sujeitos a testes de drogas mediante suspeita razoável, pagos pelo empregador e aplic"&amp;"ados igualmente a todos os trabalhadores, americanos e estrangeiros/com visto H-2B. Número de horas por semana: 40. Horário de trabalho (início/término): 8h às 17h.")</f>
        <v>Como operador de equipamentos de pavimentação, revestimento e compactação, o trabalhador operará equipamentos de pavimentação usados ​​para aplicar concreto, asfalto e outros materiais em leitos de estradas, estacionamentos ou pistas e vias de circulação de aeroportos, ou para compactar cascalho, terra ou outros materiais. Os equipamentos que o trabalhador poderá utilizar incluem máquinas de pavimentação de concreto e asfalto, compactadores de formas, máquinas de compactação e espalhadores de pedra. O operador fixa implementos aos equipamentos com engates de pino ou cunha, conecta mangueiras hidráulicas, correias, articulações mecânicas ou eixo de tomada de força ao trator para fornecer energia para levantar, abaixar ou inclinar o implemento. Lubrifica, aplica óleo e realiza pequenos reparos nos equipamentos. Deve preencher uma lista de verificação formal de "preparação para o inverno" antes da paralisação sazonal ou da chegada de clima frio. Participa das atividades de encerramento da temporada, como limpeza das oficinas, armazenamento de equipamentos, abastecimento de anticongelante nos equipamentos e limpeza dos equipamentos antes de guardá-los para a temporada. Classificação da Função: 47-2071.00 - Operadores de Equipamentos de Pavimentação, Revestimento e Compactação. A classificação e descrição da função/setor inclui informações gerais sobre o cargo, conforme o ONET/OES e o Sistema de Classificação Industrial da América do Norte (NAICS). Consulte as Funções e a Ordem de Serviço para obter mais informações. Requisitos da Função Experiência Necessária: Sim Meses de Experiência Necessários: 6 Requisitos Especiais: Seis (6) meses de experiência comprovada na operação de equipamentos similares são necessários. Ao desempenhar as funções deste cargo, o funcionário deverá usar regularmente as mãos e os dedos para manusear ou sentir objetos e alcançar com as mãos e os braços. O funcionário deverá frequentemente ficar em pé; subir ou equilibrar-se; agachar-se, ajoelhar-se, curvar-se ou rastejar e falar ou ouvir. O funcionário deverá ocasionalmente ficar em pé; caminhar; agachar-se, ajoelhar-se, curvar-se ou rastejar; e provar ou cheirar. O funcionário deverá levantar e/ou mover regularmente até 23 kg, frequentemente levantar e/ou mover até 34 kg e ocasionalmente levantar e/ou mover até 45 kg com auxílio. As habilidades visuais específicas exigidas para este trabalho incluem visão de perto, visão de longe, visão de cores, visão periférica, percepção de profundidade e capacidade de ajustar o foco. É necessário ser capaz de lidar com temperaturas extremas, incluindo frio e calor. Todos os candidatos (tanto americanos quanto estrangeiros/com visto H-2B) devem preencher o formulário de emprego online padrão do empregador como parte do processo de contratação. O preenchimento do formulário é obrigatório para todos os candidatos e não impõe requisitos adicionais ou diferentes aos trabalhadores americanos. Os trabalhadores estarão sujeitos a testes de drogas mediante suspeita razoável, pagos pelo empregador e aplicados igualmente a todos os trabalhadores, americanos e estrangeiros/com visto H-2B. Número de horas por semana: 40. Horário de trabalho (início/término): 8h às 17h.</v>
      </c>
    </row>
    <row r="1774" ht="20.25" customHeight="1">
      <c r="A1774" s="3" t="s">
        <v>7976</v>
      </c>
      <c r="B1774" s="3" t="s">
        <v>7977</v>
      </c>
      <c r="C1774" s="3" t="s">
        <v>6921</v>
      </c>
      <c r="D1774" s="3" t="s">
        <v>71</v>
      </c>
      <c r="E1774" s="4" t="s">
        <v>19</v>
      </c>
      <c r="F1774" s="4" t="s">
        <v>20</v>
      </c>
      <c r="G1774" s="4" t="s">
        <v>80</v>
      </c>
      <c r="H1774" s="3" t="s">
        <v>7978</v>
      </c>
      <c r="I1774" s="3" t="s">
        <v>7979</v>
      </c>
      <c r="J1774" s="4">
        <v>17.0</v>
      </c>
      <c r="K1774" s="4">
        <v>4.0</v>
      </c>
      <c r="L1774" s="3" t="s">
        <v>527</v>
      </c>
      <c r="M1774" s="3" t="s">
        <v>7980</v>
      </c>
      <c r="N1774" s="7" t="str">
        <f>IFERROR(__xludf.DUMMYFUNCTION("GOOGLETRANSLATE(L1774, ""en"", ""pt"")"),"máquina de lavar louça")</f>
        <v>máquina de lavar louça</v>
      </c>
      <c r="O1774" s="7" t="str">
        <f>IFERROR(__xludf.DUMMYFUNCTION("IF(M1774="""","""",GOOGLETRANSLATE(M1774,""en"",""pt""))"),"***Resposta à Solicitação de Informações*** Os lavadores de louça serão responsáveis ​​por lavar pratos e todos os utensílios de cozinha à máquina ou manualmente, manter as áreas de trabalho e equipamentos da cozinha limpos, varrer e esfregar o chão, prep"&amp;"arar diversos alimentos para serem cozidos pelos nossos cozinheiros ou servidos pela nossa equipe de garçons/recepcionistas, e separar e descartar o lixo. O preparo dos alimentos inclui descascar batatas e cenouras com descascadores manuais, bem como lava"&amp;"r diversos vegetais. Não é necessário cozinhar. ***Original*** Os lavadores de louça serão responsáveis ​​por lavar pratos e todos os utensílios de cozinha à máquina ou manualmente, manter as áreas de trabalho e equipamentos da cozinha limpos, varrer e es"&amp;"fregar o chão, preparar diversos alimentos para serem cozidos ou servidos, e separar e descartar o lixo. Classificação do Cargo: 35-9021.00 - Lavadores de Louça. A classificação e descrição do cargo/setor inclui informações gerais sobre a posição, de acor"&amp;"do com o ONET/OES e o Sistema de Classificação Industrial da América do Norte. Consulte as Funções e a Ordem de Serviço para obter mais informações. Requisitos do Cargo Experiência Necessária: Sim Meses de Experiência Necessários: 3 Requisitos Especiais: "&amp;"O candidato deve passar por uma verificação de antecedentes pré-emprego. Requisitos: Três (3) meses de experiência em restaurante, resort ou clube privado. Dias e turnos: Segunda a domingo; turnos disponíveis 7 dias por semana. Horário de trabalho: 10h às"&amp;" 18h; 8h às 16h; 16h às 00h. Os horários dos turnos podem variar de acordo com a época do ano, a disponibilidade de luz natural e a necessidade. Salário por hora: US$ 17,00 a US$ 21,00 por hora, com base no mérito e na experiência anterior na empresa. Pos"&amp;"sibilidade de horas extras: Horas extras podem estar disponíveis, com pagamento de US$ 25,50 a US$ 31,50 por hora. Bônus ocasionais para eventos em grupo podem ser concedidos, a critério do gerente do departamento. Benefícios: Tarpon Lodge: 20% de descont"&amp;"o em alimentos e bebidas; 25% na loja de presentes. Cabbage Key: 25% de desconto em compras de alimentos, bebidas e na loja de presentes. Número de horas por semana: 35 Horário de trabalho (início/término): 8h00 - 16h00")</f>
        <v>***Resposta à Solicitação de Informações*** Os lavadores de louça serão responsáveis ​​por lavar pratos e todos os utensílios de cozinha à máquina ou manualmente, manter as áreas de trabalho e equipamentos da cozinha limpos, varrer e esfregar o chão, preparar diversos alimentos para serem cozidos pelos nossos cozinheiros ou servidos pela nossa equipe de garçons/recepcionistas, e separar e descartar o lixo. O preparo dos alimentos inclui descascar batatas e cenouras com descascadores manuais, bem como lavar diversos vegetais. Não é necessário cozinhar. ***Original*** Os lavadores de louça serão responsáveis ​​por lavar pratos e todos os utensílios de cozinha à máquina ou manualmente, manter as áreas de trabalho e equipamentos da cozinha limpos, varrer e esfregar o chão, preparar diversos alimentos para serem cozidos ou servidos, e separar e descartar o lixo. Classificação do Cargo: 35-9021.00 - Lavadores de Louça. A classificação e descrição do cargo/setor inclui informações gerais sobre a posição, de acordo com o ONET/OES e o Sistema de Classificação Industrial da América do Norte. Consulte as Funções e a Ordem de Serviço para obter mais informações. Requisitos do Cargo Experiência Necessária: Sim Meses de Experiência Necessários: 3 Requisitos Especiais: O candidato deve passar por uma verificação de antecedentes pré-emprego. Requisitos: Três (3) meses de experiência em restaurante, resort ou clube privado. Dias e turnos: Segunda a domingo; turnos disponíveis 7 dias por semana. Horário de trabalho: 10h às 18h; 8h às 16h; 16h às 00h. Os horários dos turnos podem variar de acordo com a época do ano, a disponibilidade de luz natural e a necessidade. Salário por hora: US$ 17,00 a US$ 21,00 por hora, com base no mérito e na experiência anterior na empresa. Possibilidade de horas extras: Horas extras podem estar disponíveis, com pagamento de US$ 25,50 a US$ 31,50 por hora. Bônus ocasionais para eventos em grupo podem ser concedidos, a critério do gerente do departamento. Benefícios: Tarpon Lodge: 20% de desconto em alimentos e bebidas; 25% na loja de presentes. Cabbage Key: 25% de desconto em compras de alimentos, bebidas e na loja de presentes. Número de horas por semana: 35 Horário de trabalho (início/término): 8h00 - 16h00</v>
      </c>
    </row>
    <row r="1775" ht="20.25" customHeight="1">
      <c r="A1775" s="8" t="s">
        <v>7981</v>
      </c>
      <c r="B1775" s="8" t="s">
        <v>7977</v>
      </c>
      <c r="C1775" s="8" t="s">
        <v>6921</v>
      </c>
      <c r="D1775" s="8" t="s">
        <v>71</v>
      </c>
      <c r="E1775" s="9" t="s">
        <v>19</v>
      </c>
      <c r="F1775" s="9" t="s">
        <v>20</v>
      </c>
      <c r="G1775" s="9" t="s">
        <v>80</v>
      </c>
      <c r="H1775" s="8" t="s">
        <v>7978</v>
      </c>
      <c r="I1775" s="8" t="s">
        <v>7979</v>
      </c>
      <c r="J1775" s="9">
        <v>17.78</v>
      </c>
      <c r="K1775" s="9">
        <v>4.0</v>
      </c>
      <c r="L1775" s="8" t="s">
        <v>1490</v>
      </c>
      <c r="M1775" s="8" t="s">
        <v>7982</v>
      </c>
      <c r="N1775" s="7" t="str">
        <f>IFERROR(__xludf.DUMMYFUNCTION("GOOGLETRANSLATE(L1775, ""en"", ""pt"")"),"Zelador")</f>
        <v>Zelador</v>
      </c>
      <c r="O1775" s="7" t="str">
        <f>IFERROR(__xludf.DUMMYFUNCTION("IF(M1775="""","""",GOOGLETRANSLATE(M1775,""en"",""pt""))"),"O jardineiro será responsável pela manutenção das áreas externas da propriedade, garantindo que estejam limpas, seguras e visualmente atraentes, por meio de tarefas como cortar grama, podar arbustos, plantar flores e operar equipamentos de jardinagem. Cla"&amp;"ssificação da vaga: 37-3011.00 - Trabalhadores de Paisagismo e Jardinagem. A classificação e descrição da vaga/setor incluem informações gerais sobre o cargo, de acordo com o ONET/OES e o Sistema de Classificação Industrial da América do Norte (NAICS). Co"&amp;"nsulte as Funções e a Ordem de Serviço para obter mais informações. Requisitos da vaga: Experiência necessária: Sim. Meses de experiência necessários: 3. Requisitos especiais: Capacidade de falar e ler inglês. O candidato deve passar por uma verificação d"&amp;"e antecedentes pré-emprego. Treinamento no local de trabalho fornecido. Treinamento oferecido. Dias e turnos: Segunda a domingo; turnos disponíveis 7 dias por semana. Horário de trabalho: das 10h às 18h; das 8h às 16h. Das 16h às 00h, o horário de trabalh"&amp;"o pode variar de acordo com a época do ano, a disponibilidade de luz e a necessidade. Salário por hora: de US$ 17,78 a US$ 21,00 por hora, com base no mérito e na experiência anterior na empresa. Possibilidade de horas extras: Horas extras podem estar dis"&amp;"poníveis com pagamento de US$ 26,67 a US$ 31,50 por hora. Bônus ocasionais para eventos em grupo podem ser concedidos, a critério do gerente do departamento. Benefícios: Tarpon Lodge: 20% de desconto em alimentos e bebidas; 25% na loja de presentes. Cabba"&amp;"ge Key: 25% de desconto em compras de alimentos, bebidas e na loja de presentes. Número de horas por semana: 35. Horário de trabalho (início/término): 8h às 16h.")</f>
        <v>O jardineiro será responsável pela manutenção das áreas externas da propriedade, garantindo que estejam limpas, seguras e visualmente atraentes, por meio de tarefas como cortar grama, podar arbustos, plantar flores e operar equipamentos de jardinagem. Classificação da vaga: 37-3011.00 - Trabalhadores de Paisagismo e Jardinagem. A classificação e descrição da vaga/setor incluem informações gerais sobre o cargo, de acordo com o ONET/OES e o Sistema de Classificação Industrial da América do Norte (NAICS). Consulte as Funções e a Ordem de Serviço para obter mais informações. Requisitos da vaga: Experiência necessária: Sim. Meses de experiência necessários: 3. Requisitos especiais: Capacidade de falar e ler inglês. O candidato deve passar por uma verificação de antecedentes pré-emprego. Treinamento no local de trabalho fornecido. Treinamento oferecido. Dias e turnos: Segunda a domingo; turnos disponíveis 7 dias por semana. Horário de trabalho: das 10h às 18h; das 8h às 16h. Das 16h às 00h, o horário de trabalho pode variar de acordo com a época do ano, a disponibilidade de luz e a necessidade. Salário por hora: de US$ 17,78 a US$ 21,00 por hora, com base no mérito e na experiência anterior na empresa. Possibilidade de horas extras: Horas extras podem estar disponíveis com pagamento de US$ 26,67 a US$ 31,50 por hora. Bônus ocasionais para eventos em grupo podem ser concedidos, a critério do gerente do departamento. Benefícios: Tarpon Lodge: 20% de desconto em alimentos e bebidas; 25% na loja de presentes. Cabbage Key: 25% de desconto em compras de alimentos, bebidas e na loja de presentes. Número de horas por semana: 35. Horário de trabalho (início/término): 8h às 16h.</v>
      </c>
    </row>
    <row r="1776" ht="20.25" customHeight="1">
      <c r="A1776" s="3" t="s">
        <v>7983</v>
      </c>
      <c r="B1776" s="3" t="s">
        <v>7984</v>
      </c>
      <c r="C1776" s="3" t="s">
        <v>7985</v>
      </c>
      <c r="D1776" s="3" t="s">
        <v>299</v>
      </c>
      <c r="E1776" s="4" t="s">
        <v>19</v>
      </c>
      <c r="F1776" s="4" t="s">
        <v>20</v>
      </c>
      <c r="G1776" s="4" t="s">
        <v>307</v>
      </c>
      <c r="H1776" s="3" t="s">
        <v>7986</v>
      </c>
      <c r="I1776" s="3" t="s">
        <v>7987</v>
      </c>
      <c r="J1776" s="4">
        <v>21.5</v>
      </c>
      <c r="K1776" s="4">
        <v>24.0</v>
      </c>
      <c r="L1776" s="3" t="s">
        <v>1245</v>
      </c>
      <c r="M1776" s="3" t="s">
        <v>7988</v>
      </c>
      <c r="N1776" s="7" t="str">
        <f>IFERROR(__xludf.DUMMYFUNCTION("GOOGLETRANSLATE(L1776, ""en"", ""pt"")"),"Operário de Produção")</f>
        <v>Operário de Produção</v>
      </c>
      <c r="O1776" s="7" t="str">
        <f>IFERROR(__xludf.DUMMYFUNCTION("IF(M1776="""","""",GOOGLETRANSLATE(M1776,""en"",""pt""))"),"A Marvin Lumber and Cedar Company, LLC, de Warroad, Minnesota, fabricante de janelas e portas de madeira, está oferecendo vagas temporárias de tempo integral para Operador de Produção em sua fábrica localizada em Warroad, Minnesota. As funções incluem: • "&amp;"Separar e preparar peças para o armazém. • Montar caixilhos e esquadrias de janelas; aplicar revestimento de alumínio em peças de madeira, colocar vidros e instalar o caixilho da janela. • Pode ser necessário o uso de ferramentas manuais, elétricas ou par"&amp;"a trabalhar madeira. • Colocar a unidade finalizada no carrinho da linha de transporte e entregar na doca de carga. • Limpar a área de trabalho ao final do turno. As vagas temporárias de Operador de Produção são para o turno da noite. O horário de trabalh"&amp;"o é de segunda a quinta, das 15h30 às 1h30, com possibilidade de 0 a 16 horas extras. (2 horas extras por dia e/ou adição do turno da noite de sexta-feira de até 10 horas.) Classificação do Cargo: 51-2092.00 - Montadores de Equipe. A classificação e descr"&amp;"ição do cargo/setor incluem informações gerais sobre a posição, de acordo com o ONET/OES e o Sistema de Classificação Industrial da América do Norte. Consulte as Funções e a Ordem de Serviço para obter mais informações. Requisitos do Cargo Experiência Nec"&amp;"essária: Não. Requisitos Especiais: Não há requisitos mínimos de escolaridade, treinamento ou experiência para essas posições. O candidato deve ter a capacidade de desempenhar as funções do cargo e ser aprovado em uma verificação de antecedentes criminais"&amp;", teste toxicológico e avaliação física pré-emprego. Número de Horas por Semana: 40. Horário de Trabalho (Início/Término): 15h30 - 1h30.")</f>
        <v>A Marvin Lumber and Cedar Company, LLC, de Warroad, Minnesota, fabricante de janelas e portas de madeira, está oferecendo vagas temporárias de tempo integral para Operador de Produção em sua fábrica localizada em Warroad, Minnesota. As funções incluem: • Separar e preparar peças para o armazém. • Montar caixilhos e esquadrias de janelas; aplicar revestimento de alumínio em peças de madeira, colocar vidros e instalar o caixilho da janela. • Pode ser necessário o uso de ferramentas manuais, elétricas ou para trabalhar madeira. • Colocar a unidade finalizada no carrinho da linha de transporte e entregar na doca de carga. • Limpar a área de trabalho ao final do turno. As vagas temporárias de Operador de Produção são para o turno da noite. O horário de trabalho é de segunda a quinta, das 15h30 às 1h30, com possibilidade de 0 a 16 horas extras. (2 horas extras por dia e/ou adição do turno da noite de sexta-feira de até 10 horas.) Classificação do Cargo: 51-2092.00 - Montadores de Equipe. A classificação e descrição do cargo/setor incluem informações gerais sobre a posição, de acordo com o ONET/OES e o Sistema de Classificação Industrial da América do Norte. Consulte as Funções e a Ordem de Serviço para obter mais informações. Requisitos do Cargo Experiência Necessária: Não. Requisitos Especiais: Não há requisitos mínimos de escolaridade, treinamento ou experiência para essas posições. O candidato deve ter a capacidade de desempenhar as funções do cargo e ser aprovado em uma verificação de antecedentes criminais, teste toxicológico e avaliação física pré-emprego. Número de Horas por Semana: 40. Horário de Trabalho (Início/Término): 15h30 - 1h30.</v>
      </c>
    </row>
    <row r="1777" ht="20.25" customHeight="1">
      <c r="A1777" s="8" t="s">
        <v>7989</v>
      </c>
      <c r="B1777" s="8" t="s">
        <v>7990</v>
      </c>
      <c r="C1777" s="8" t="s">
        <v>197</v>
      </c>
      <c r="D1777" s="8" t="s">
        <v>71</v>
      </c>
      <c r="E1777" s="9" t="s">
        <v>19</v>
      </c>
      <c r="F1777" s="9" t="s">
        <v>20</v>
      </c>
      <c r="G1777" s="9" t="s">
        <v>524</v>
      </c>
      <c r="H1777" s="8" t="s">
        <v>7991</v>
      </c>
      <c r="I1777" s="8" t="s">
        <v>7992</v>
      </c>
      <c r="J1777" s="9">
        <v>20.0</v>
      </c>
      <c r="K1777" s="9">
        <v>2.0</v>
      </c>
      <c r="L1777" s="8" t="s">
        <v>2826</v>
      </c>
      <c r="M1777" s="8" t="s">
        <v>7993</v>
      </c>
      <c r="N1777" s="7" t="str">
        <f>IFERROR(__xludf.DUMMYFUNCTION("GOOGLETRANSLATE(L1777, ""en"", ""pt"")"),"Supervisor de Cozinha")</f>
        <v>Supervisor de Cozinha</v>
      </c>
      <c r="O1777" s="7" t="str">
        <f>IFERROR(__xludf.DUMMYFUNCTION("IF(M1777="""","""",GOOGLETRANSLATE(M1777,""en"",""pt""))"),"Atribuir e monitorar as tarefas diárias dos funcionários da cozinha e do serviço de alimentação. Coordenar as atividades de preparação e serviço de alimentos para garantir a conclusão dos pedidos dos clientes dentro do prazo. Treinar os funcionários em pr"&amp;"eparação de alimentos, higiene e procedimentos de segurança no local de trabalho. Inspecionar a qualidade dos alimentos, a apresentação e a limpeza das áreas de trabalho. Programar os funcionários e manter uma equipe adequada durante os turnos. Monitorar "&amp;"o estoque e comunicar as necessidades de suprimentos e problemas operacionais à gerência. (2) vagas para funcionários. Período: 01/10/2026 a 31/05/2027. Necessária experiência de 3 meses. Turnos rotativos. Dias de trabalho: segunda a domingo. Horário de t"&amp;"rabalho: 6h às 22h. Salário: US$ 20 a US$ 30 por hora, com base no desempenho; horas extras: US$ 30 a US$ 45 por hora. Pagamento quinzenal. 35 horas semanais. Alojamento opcional por US$ 50 por semana (compartilhado) ou US$ 100 por semana (individual), me"&amp;"diante depósito de US$ 300 (US$ 250 reembolsáveis ​​/ US$ 50 não reembolsáveis) após a assinatura do contrato e inspeção do alojamento. Uniformes e refeições durante o turno fornecidos. Local de trabalho: 2300 N. Scenic Highway, Lake Wales, FL 33898. O tr"&amp;"abalho é temporário, em tempo integral. A remuneração será calculada com base em uma semana de trabalho. Poderá haver até 10 horas extras, quando disponíveis. Todos os descontos obrigatórios por lei serão feitos no contracheque do trabalhador. O empregado"&amp;"r fornecerá gratuitamente ao trabalhador todas as ferramentas, materiais e equipamentos necessários para a execução do trabalho. O trabalhador receberá ou será reembolsado pelo transporte e subsistência (incluindo o custo razoável de hospedagem noturna, q"&amp;"uando necessário, até US$ 110/noite para hospedagem com recibos) a uma taxa de US$ 16,78 por dia durante a viagem, até um máximo de US$ 68,00 por dia com recibos, desde o local de onde o trabalhador veio trabalhar para o empregador, seja nos EUA ou no ext"&amp;"erior, até o local de trabalho, se o trabalhador completar 50% do período de emprego coberto pela ordem de serviço, de acordo com 20 CFR 655.20(j)(1)(i), mediante inclusão no pagamento da semana aplicável. O empregador fornecerá ou pagará o custo do trans"&amp;"porte de retorno e da subsistência diária do trabalhador, do local de trabalho até o local de onde o trabalhador partiu para trabalhar para o empregador, independentemente de empregos intermediários, caso o trabalhador complete o período de emprego certif"&amp;"icado ou seja demitido do emprego por qualquer motivo pelo empregador antes do término do período, de acordo com o § 655.20(j)(1)(ii); os trabalhadores com visto H-2B serão reembolsados ​​na primeira semana de trabalho por todos os vistos, processamento d"&amp;"e vistos, travessia de fronteira e outras taxas relacionadas, incluindo aquelas exigidas pelo governo (exceto taxas de passaporte). O empregador fornecerá aos trabalhadores todas as ferramentas, suprimentos e equipamentos necessários para o desempenho do "&amp;"trabalho, sem custo para o trabalhador, de acordo com o 20 CFR 655.20(k). Os candidatos qualificados podem enviar o currículo para Aaron Langley, no endereço 2300 N. Scenic Highway, Lake Wales, FL 33898, por e-mail para recruiting@mountainlakeflorida.com "&amp;"ou visitar o centro de empregos local em 915 Avenue East (Oakland Neighborhood Center), Haines City, FL 33844. *Seu depósito de segurança é reembolsável após a conclusão do contrato e a inspeção da moradia. Se um trabalhador abandonar o emprego sem a perm"&amp;"issão do empregador ou abandonar a moradia antes do término do prazo de inscrição por qualquer motivo, exceto rescisão por parte do empregador, o trabalhador perderá todos os depósitos de moradia, dias de folga remunerada, férias e bônus. Após a rescisão "&amp;"ou demissão, o trabalhador deverá desocupar a moradia imediatamente, a menos que haja acordo com o empregador.* Classificação do Cargo: 35-1012.00 - Supervisores de Primeira Linha de Trabalhadores de Preparação e Serviço de Alimentos. A classificação e de"&amp;"scrição do cargo/setor inclui informações gerais sobre a posição, de acordo com o ONET/OES e o Sistema de Classificação Industrial da América do Norte. Consulte a Descrição das Funções e a Ordem de Serviço para obter mais informações. Requisitos da Vaga E"&amp;"xperiência Necessária: Sim Meses de Experiência Necessária: 3 Número de Horas por Semana: 35 Horário de Trabalho (Início/Término): 6h00 - 22h00")</f>
        <v>Atribuir e monitorar as tarefas diárias dos funcionários da cozinha e do serviço de alimentação. Coordenar as atividades de preparação e serviço de alimentos para garantir a conclusão dos pedidos dos clientes dentro do prazo. Treinar os funcionários em preparação de alimentos, higiene e procedimentos de segurança no local de trabalho. Inspecionar a qualidade dos alimentos, a apresentação e a limpeza das áreas de trabalho. Programar os funcionários e manter uma equipe adequada durante os turnos. Monitorar o estoque e comunicar as necessidades de suprimentos e problemas operacionais à gerência. (2) vagas para funcionários. Período: 01/10/2026 a 31/05/2027. Necessária experiência de 3 meses. Turnos rotativos. Dias de trabalho: segunda a domingo. Horário de trabalho: 6h às 22h. Salário: US$ 20 a US$ 30 por hora, com base no desempenho; horas extras: US$ 30 a US$ 45 por hora. Pagamento quinzenal. 35 horas semanais. Alojamento opcional por US$ 50 por semana (compartilhado) ou US$ 100 por semana (individual), mediante depósito de US$ 300 (US$ 250 reembolsáveis ​​/ US$ 50 não reembolsáveis) após a assinatura do contrato e inspeção do alojamento. Uniformes e refeições durante o turno fornecidos. Local de trabalho: 2300 N. Scenic Highway, Lake Wales, FL 33898. O trabalho é temporário, em tempo integral. A remuneração será calculada com base em uma semana de trabalho. Poderá haver até 10 horas extras, quando disponíveis. Todos os descontos obrigatórios por lei serão feitos no contracheque do trabalhador. O empregador fornecerá gratuitamente ao trabalhador todas as ferramentas, materiais e equipamentos necessários para a execução do trabalho. O trabalhador receberá ou será reembolsado pelo transporte e subsistência (incluindo o custo razoável de hospedagem noturna, quando necessário, até US$ 110/noite para hospedagem com recibos) a uma taxa de US$ 16,78 por dia durante a viagem, até um máximo de US$ 68,00 por dia com recibos, desde o local de onde o trabalhador veio trabalhar para o empregador, seja nos EUA ou no exterior, até o local de trabalho, se o trabalhador completar 50% do período de emprego coberto pela ordem de serviço, de acordo com 20 CFR 655.20(j)(1)(i), mediante inclusão no pagamento da semana aplicável. O empregador fornecerá ou pagará o custo do transporte de retorno e da subsistência diária do trabalhador, do local de trabalho até o local de onde o trabalhador partiu para trabalhar para o empregador, independentemente de empregos intermediários, caso o trabalhador complete o período de emprego certificado ou seja demitido do emprego por qualquer motivo pelo empregador antes do término do período, de acordo com o § 655.20(j)(1)(ii); os trabalhadores com visto H-2B serão reembolsados ​​na primeira semana de trabalho por todos os vistos, processamento de vistos, travessia de fronteira e outras taxas relacionadas, incluindo aquelas exigidas pelo governo (exceto taxas de passaporte). O empregador fornecerá aos trabalhadores todas as ferramentas, suprimentos e equipamentos necessários para o desempenho do trabalho, sem custo para o trabalhador, de acordo com o 20 CFR 655.20(k). Os candidatos qualificados podem enviar o currículo para Aaron Langley, no endereço 2300 N. Scenic Highway, Lake Wales, FL 33898, por e-mail para recruiting@mountainlakeflorida.com ou visitar o centro de empregos local em 915 Avenue East (Oakland Neighborhood Center), Haines City, FL 33844. *Seu depósito de segurança é reembolsável após a conclusão do contrato e a inspeção da moradia. Se um trabalhador abandonar o emprego sem a permissão do empregador ou abandonar a moradia antes do término do prazo de inscrição por qualquer motivo, exceto rescisão por parte do empregador, o trabalhador perderá todos os depósitos de moradia, dias de folga remunerada, férias e bônus. Após a rescisão ou demissão, o trabalhador deverá desocupar a moradia imediatamente, a menos que haja acordo com o empregador.* Classificação do Cargo: 35-1012.00 - Supervisores de Primeira Linha de Trabalhadores de Preparação e Serviço de Alimentos. A classificação e descrição do cargo/setor inclui informações gerais sobre a posição, de acordo com o ONET/OES e o Sistema de Classificação Industrial da América do Norte. Consulte a Descrição das Funções e a Ordem de Serviço para obter mais informações. Requisitos da Vaga Experiência Necessária: Sim Meses de Experiência Necessária: 3 Número de Horas por Semana: 35 Horário de Trabalho (Início/Término): 6h00 - 22h00</v>
      </c>
    </row>
    <row r="1778" ht="20.25" customHeight="1">
      <c r="A1778" s="3" t="s">
        <v>7994</v>
      </c>
      <c r="B1778" s="3" t="s">
        <v>7990</v>
      </c>
      <c r="C1778" s="3" t="s">
        <v>197</v>
      </c>
      <c r="D1778" s="3" t="s">
        <v>71</v>
      </c>
      <c r="E1778" s="4" t="s">
        <v>19</v>
      </c>
      <c r="F1778" s="4" t="s">
        <v>20</v>
      </c>
      <c r="G1778" s="4" t="s">
        <v>524</v>
      </c>
      <c r="H1778" s="3" t="s">
        <v>7991</v>
      </c>
      <c r="I1778" s="3" t="s">
        <v>7992</v>
      </c>
      <c r="J1778" s="4">
        <v>20.25</v>
      </c>
      <c r="K1778" s="4">
        <v>1.0</v>
      </c>
      <c r="L1778" s="3" t="s">
        <v>7995</v>
      </c>
      <c r="M1778" s="3" t="s">
        <v>7996</v>
      </c>
      <c r="N1778" s="7" t="str">
        <f>IFERROR(__xludf.DUMMYFUNCTION("GOOGLETRANSLATE(L1778, ""en"", ""pt"")"),"Receptor")</f>
        <v>Receptor</v>
      </c>
      <c r="O1778" s="7" t="str">
        <f>IFERROR(__xludf.DUMMYFUNCTION("IF(M1778="""","""",GOOGLETRANSLATE(M1778,""en"",""pt""))"),"Agente de compras. Verifica e mantém registros de remessas de entrada e saída relacionadas ao estoque. As funções incluem verificar e registrar mercadorias ou materiais recebidos e providenciar o transporte dos produtos. Pode preparar itens para envio. (1"&amp;") vaga disponível. Período: 01/10/2026 a 31/05/2027. Necessário 3 meses de experiência. Turnos rotativos. Dias de trabalho: segunda a domingo. Horário de trabalho: 6h às 22h. Salário: US$ 20,25 a US$ 25/hora, com base no desempenho; horas extras: US$ 30,3"&amp;"8 a US$ 36,38/hora. Pagamento quinzenal. 35 horas semanais. Alojamento opcional disponível por US$ 50/semana (compartilhado) ou US$ 100/semana (individual), mediante depósito de US$ 300 (US$ 250 reembolsáveis ​​/ US$ 50 não reembolsáveis) após a assinatur"&amp;"a do contrato e inspeção do alojamento. Uniformes e refeições durante o turno fornecidos. Local de trabalho: 2300 N. Scenic Highway, Lake Wales, FL 33898. O trabalho é temporário, em tempo integral. A remuneração será calculada com base em uma semana de t"&amp;"rabalho. Poderá haver até 10 horas extras, quando disponíveis. Todos os descontos obrigatórios por lei serão feitos no contracheque do trabalhador. O empregador fornecerá gratuitamente ao trabalhador todas as ferramentas, materiais e equipamentos necessár"&amp;"ios para a execução do trabalho. O trabalhador receberá ou será reembolsado pelo transporte e subsistência (incluindo o custo razoável de hospedagem noturna, quando necessário, até US$ 110/noite para hospedagem com recibos) a uma taxa de US$ 16,78 por dia"&amp;" durante a viagem, até um máximo de US$ 68,00 por dia com recibos, desde o local de onde o trabalhador veio trabalhar para o empregador, seja nos EUA ou no exterior, até o local de trabalho, se o trabalhador completar 50% do período de emprego coberto pel"&amp;"a ordem de serviço, de acordo com 20 CFR 655.20(j)(1)(i), mediante inclusão no pagamento da semana aplicável. O empregador fornecerá ou pagará o custo do transporte de retorno e da subsistência diária do trabalhador, do local de trabalho até o local de on"&amp;"de o trabalhador partiu para trabalhar para o empregador, independentemente de empregos intermediários, caso o trabalhador complete o período de emprego certificado ou seja demitido do emprego por qualquer motivo pelo empregador antes do término do períod"&amp;"o, de acordo com o § 655.20(j)(1)(ii); os trabalhadores com visto H-2B serão reembolsados ​​na primeira semana de trabalho por todos os vistos, processamento de vistos, travessia de fronteira e outras taxas relacionadas, incluindo aquelas exigidas pelo go"&amp;"verno (exceto taxas de passaporte). O empregador fornecerá aos trabalhadores todas as ferramentas, suprimentos e equipamentos necessários para o desempenho do trabalho, sem custo para o trabalhador, de acordo com o 20 CFR 655.20(k). Os candidatos qualific"&amp;"ados podem enviar o currículo para Aaron Langley, no endereço 2300 N. Scenic Highway, Lake Wales, FL 33898, por e-mail para recruiting@mountainlakeflorida.com ou visitar o centro de empregos local em 915 Avenue East (Oakland Neighborhood Center), Haines C"&amp;"ity, FL 33844. *Seu depósito de segurança será reembolsado após a conclusão do contrato e a inspeção da moradia. Se um trabalhador abandonar o emprego sem a permissão do empregador ou a moradia antes do término do prazo de inscrição por qualquer motivo, e"&amp;"xceto rescisão por parte do empregador, o trabalhador perderá todos os depósitos de moradia, dias de folga remunerada, férias e bônus. Após a rescisão ou demissão, o trabalhador deverá desocupar a moradia imediatamente, a menos que haja acordo com o empre"&amp;"gador.* Classificação do Cargo: 43-5071.00 - Auxiliares de Expedição, Recebimento e Estoque. A classificação e descrição do cargo/setor incluem informações gerais sobre a posição, de acordo com o ONET/OES e o Sistema de Classificação Industrial da América"&amp;" do Norte. Consulte a Descrição das Funções e a Ordem de Serviço para obter mais informações. Requisitos da Vaga Experiência Necessária: Sim Meses de Experiência Necessária: 3 Número de Horas por Semana: 35 Horário de Trabalho (Início/Término): 6h00 - 22h"&amp;"00")</f>
        <v>Agente de compras. Verifica e mantém registros de remessas de entrada e saída relacionadas ao estoque. As funções incluem verificar e registrar mercadorias ou materiais recebidos e providenciar o transporte dos produtos. Pode preparar itens para envio. (1) vaga disponível. Período: 01/10/2026 a 31/05/2027. Necessário 3 meses de experiência. Turnos rotativos. Dias de trabalho: segunda a domingo. Horário de trabalho: 6h às 22h. Salário: US$ 20,25 a US$ 25/hora, com base no desempenho; horas extras: US$ 30,38 a US$ 36,38/hora. Pagamento quinzenal. 35 horas semanais. Alojamento opcional disponível por US$ 50/semana (compartilhado) ou US$ 100/semana (individual), mediante depósito de US$ 300 (US$ 250 reembolsáveis ​​/ US$ 50 não reembolsáveis) após a assinatura do contrato e inspeção do alojamento. Uniformes e refeições durante o turno fornecidos. Local de trabalho: 2300 N. Scenic Highway, Lake Wales, FL 33898. O trabalho é temporário, em tempo integral. A remuneração será calculada com base em uma semana de trabalho. Poderá haver até 10 horas extras, quando disponíveis. Todos os descontos obrigatórios por lei serão feitos no contracheque do trabalhador. O empregador fornecerá gratuitamente ao trabalhador todas as ferramentas, materiais e equipamentos necessários para a execução do trabalho. O trabalhador receberá ou será reembolsado pelo transporte e subsistência (incluindo o custo razoável de hospedagem noturna, quando necessário, até US$ 110/noite para hospedagem com recibos) a uma taxa de US$ 16,78 por dia durante a viagem, até um máximo de US$ 68,00 por dia com recibos, desde o local de onde o trabalhador veio trabalhar para o empregador, seja nos EUA ou no exterior, até o local de trabalho, se o trabalhador completar 50% do período de emprego coberto pela ordem de serviço, de acordo com 20 CFR 655.20(j)(1)(i), mediante inclusão no pagamento da semana aplicável. O empregador fornecerá ou pagará o custo do transporte de retorno e da subsistência diária do trabalhador, do local de trabalho até o local de onde o trabalhador partiu para trabalhar para o empregador, independentemente de empregos intermediários, caso o trabalhador complete o período de emprego certificado ou seja demitido do emprego por qualquer motivo pelo empregador antes do término do período, de acordo com o § 655.20(j)(1)(ii); os trabalhadores com visto H-2B serão reembolsados ​​na primeira semana de trabalho por todos os vistos, processamento de vistos, travessia de fronteira e outras taxas relacionadas, incluindo aquelas exigidas pelo governo (exceto taxas de passaporte). O empregador fornecerá aos trabalhadores todas as ferramentas, suprimentos e equipamentos necessários para o desempenho do trabalho, sem custo para o trabalhador, de acordo com o 20 CFR 655.20(k). Os candidatos qualificados podem enviar o currículo para Aaron Langley, no endereço 2300 N. Scenic Highway, Lake Wales, FL 33898, por e-mail para recruiting@mountainlakeflorida.com ou visitar o centro de empregos local em 915 Avenue East (Oakland Neighborhood Center), Haines City, FL 33844. *Seu depósito de segurança será reembolsado após a conclusão do contrato e a inspeção da moradia. Se um trabalhador abandonar o emprego sem a permissão do empregador ou a moradia antes do término do prazo de inscrição por qualquer motivo, exceto rescisão por parte do empregador, o trabalhador perderá todos os depósitos de moradia, dias de folga remunerada, férias e bônus. Após a rescisão ou demissão, o trabalhador deverá desocupar a moradia imediatamente, a menos que haja acordo com o empregador.* Classificação do Cargo: 43-5071.00 - Auxiliares de Expedição, Recebimento e Estoque. A classificação e descrição do cargo/setor incluem informações gerais sobre a posição, de acordo com o ONET/OES e o Sistema de Classificação Industrial da América do Norte. Consulte a Descrição das Funções e a Ordem de Serviço para obter mais informações. Requisitos da Vaga Experiência Necessária: Sim Meses de Experiência Necessária: 3 Número de Horas por Semana: 35 Horário de Trabalho (Início/Término): 6h00 - 22h00</v>
      </c>
    </row>
    <row r="1779" ht="20.25" customHeight="1">
      <c r="A1779" s="8" t="s">
        <v>7997</v>
      </c>
      <c r="B1779" s="8" t="s">
        <v>7990</v>
      </c>
      <c r="C1779" s="8" t="s">
        <v>197</v>
      </c>
      <c r="D1779" s="8" t="s">
        <v>71</v>
      </c>
      <c r="E1779" s="9" t="s">
        <v>19</v>
      </c>
      <c r="F1779" s="9" t="s">
        <v>20</v>
      </c>
      <c r="G1779" s="9" t="s">
        <v>524</v>
      </c>
      <c r="H1779" s="8" t="s">
        <v>7991</v>
      </c>
      <c r="I1779" s="8" t="s">
        <v>7992</v>
      </c>
      <c r="J1779" s="9">
        <v>16.75</v>
      </c>
      <c r="K1779" s="9">
        <v>23.0</v>
      </c>
      <c r="L1779" s="8" t="s">
        <v>586</v>
      </c>
      <c r="M1779" s="8" t="s">
        <v>7998</v>
      </c>
      <c r="N1779" s="7" t="str">
        <f>IFERROR(__xludf.DUMMYFUNCTION("GOOGLETRANSLATE(L1779, ""en"", ""pt"")"),"Cozinheiro de linha")</f>
        <v>Cozinheiro de linha</v>
      </c>
      <c r="O1779" s="7" t="str">
        <f>IFERROR(__xludf.DUMMYFUNCTION("IF(M1779="""","""",GOOGLETRANSLATE(M1779,""en"",""pt""))"),"Preparar, cozinhar, refogar, grelhar e fritar itens como frutos do mar, carnes, aves, legumes, massas e sopas. Manter as áreas da cozinha limpas e higienizadas. Armazenar todos os produtos em locais adequados e realizar todos os demais serviços relacionad"&amp;"os à cozinha. (23) vagas disponíveis. Período: 01/10/2026 a 31/05/2027. Necessário 3 meses de experiência. Turnos rotativos. Dias de trabalho: segunda a domingo. Horário de trabalho: 6h às 22h. Salário: US$ 16,75 a US$ 23,50 por hora, com base no desempen"&amp;"ho; horas extras: US$ 25,13 a US$ 35,25 por hora. Pagamento quinzenal. 35 horas semanais. Alojamento opcional disponível por US$ 50 por semana (compartilhado) ou US$ 100 por semana (individual), mediante depósito de US$ 300 (US$ 250 reembolsáveis ​​/ US$ "&amp;"50 não reembolsáveis) após a assinatura do contrato e vistoria do imóvel. Uniformes e refeições durante o turno fornecidos. Local de trabalho: 2300 N. Scenic Highway, Lake Wales, FL 33898. O trabalho é temporário, em tempo integral. A remuneração será cal"&amp;"culada com base em uma semana de trabalho. Poderá haver até 10 horas extras, quando disponíveis. Todos os descontos obrigatórios por lei serão feitos no contracheque do trabalhador. O empregador fornecerá gratuitamente ao trabalhador todas as ferramentas,"&amp;" materiais e equipamentos necessários para a execução do trabalho. O trabalhador receberá ou será reembolsado pelo transporte e subsistência (incluindo o custo razoável de hospedagem noturna, quando necessário, até US$ 110/noite para hospedagem com recibo"&amp;"s) a uma taxa de US$ 16,78 por dia durante a viagem, até um máximo de US$ 68,00 por dia com recibos, desde o local de onde o trabalhador veio trabalhar para o empregador, seja nos EUA ou no exterior, até o local de trabalho, se o trabalhador completar 50%"&amp;" do período de emprego coberto pela ordem de serviço, de acordo com 20 CFR 655.20(j)(1)(i), mediante inclusão no pagamento da semana aplicável. O empregador fornecerá ou pagará o custo do transporte de retorno e da subsistência diária do trabalhador, do l"&amp;"ocal de trabalho até o local de onde o trabalhador partiu para trabalhar para o empregador, independentemente de empregos intermediários, caso o trabalhador complete o período de emprego certificado ou seja demitido do emprego por qualquer motivo pelo emp"&amp;"regador antes do término do período, de acordo com o § 655.20(j)(1)(ii); os trabalhadores com visto H-2B serão reembolsados ​​na primeira semana de trabalho por todos os vistos, processamento de vistos, travessia de fronteira e outras taxas relacionadas, "&amp;"incluindo aquelas exigidas pelo governo (exceto taxas de passaporte). O empregador fornecerá aos trabalhadores todas as ferramentas, suprimentos e equipamentos necessários para o desempenho do trabalho, sem custo para o trabalhador, de acordo com o 20 CFR"&amp;" 655.20(k). Os candidatos qualificados podem enviar o currículo para Aaron Langley, no endereço 2300 N. Scenic Highway, Lake Wales, FL 33898, por e-mail para recruiting@mountainlakeflorida.com ou visitar o centro de empregos local em 915 Avenue East (Oakl"&amp;"and Neighborhood Center), Haines City, FL 33844. *Seu depósito de segurança será reembolsado após a conclusão do contrato e a inspeção da moradia. Se um trabalhador abandonar o emprego sem a permissão do empregador ou a moradia antes do término do prazo d"&amp;"e inscrição por qualquer motivo, exceto rescisão por parte do empregador, o trabalhador perderá todos os depósitos de moradia, dias de folga remunerada, férias e bônus. Após a rescisão ou demissão, o trabalhador deverá desocupar a moradia imediatamente, a"&amp;" menos que haja acordo com o empregador.* Classificação do Cargo: 35-2014.00 - Cozinheiros, Restaurante. A classificação e a descrição do cargo/setor incluem informações gerais sobre a posição, de acordo com o ONET/OES e o Sistema de Classificação Industr"&amp;"ial da América do Norte. Consulte as Funções e a Ordem de Serviço para obter mais informações. Requisitos da vaga Experiência necessária: Sim Meses de experiência necessários: 3 Número de horas por semana: 35 Horário de trabalho (início/término): 6h às 22"&amp;"h")</f>
        <v>Preparar, cozinhar, refogar, grelhar e fritar itens como frutos do mar, carnes, aves, legumes, massas e sopas. Manter as áreas da cozinha limpas e higienizadas. Armazenar todos os produtos em locais adequados e realizar todos os demais serviços relacionados à cozinha. (23) vagas disponíveis. Período: 01/10/2026 a 31/05/2027. Necessário 3 meses de experiência. Turnos rotativos. Dias de trabalho: segunda a domingo. Horário de trabalho: 6h às 22h. Salário: US$ 16,75 a US$ 23,50 por hora, com base no desempenho; horas extras: US$ 25,13 a US$ 35,25 por hora. Pagamento quinzenal. 35 horas semanais. Alojamento opcional disponível por US$ 50 por semana (compartilhado) ou US$ 100 por semana (individual), mediante depósito de US$ 300 (US$ 250 reembolsáveis ​​/ US$ 50 não reembolsáveis) após a assinatura do contrato e vistoria do imóvel. Uniformes e refeições durante o turno fornecidos. Local de trabalho: 2300 N. Scenic Highway, Lake Wales, FL 33898. O trabalho é temporário, em tempo integral. A remuneração será calculada com base em uma semana de trabalho. Poderá haver até 10 horas extras, quando disponíveis. Todos os descontos obrigatórios por lei serão feitos no contracheque do trabalhador. O empregador fornecerá gratuitamente ao trabalhador todas as ferramentas, materiais e equipamentos necessários para a execução do trabalho. O trabalhador receberá ou será reembolsado pelo transporte e subsistência (incluindo o custo razoável de hospedagem noturna, quando necessário, até US$ 110/noite para hospedagem com recibos) a uma taxa de US$ 16,78 por dia durante a viagem, até um máximo de US$ 68,00 por dia com recibos, desde o local de onde o trabalhador veio trabalhar para o empregador, seja nos EUA ou no exterior, até o local de trabalho, se o trabalhador completar 50% do período de emprego coberto pela ordem de serviço, de acordo com 20 CFR 655.20(j)(1)(i), mediante inclusão no pagamento da semana aplicável. O empregador fornecerá ou pagará o custo do transporte de retorno e da subsistência diária do trabalhador, do local de trabalho até o local de onde o trabalhador partiu para trabalhar para o empregador, independentemente de empregos intermediários, caso o trabalhador complete o período de emprego certificado ou seja demitido do emprego por qualquer motivo pelo empregador antes do término do período, de acordo com o § 655.20(j)(1)(ii); os trabalhadores com visto H-2B serão reembolsados ​​na primeira semana de trabalho por todos os vistos, processamento de vistos, travessia de fronteira e outras taxas relacionadas, incluindo aquelas exigidas pelo governo (exceto taxas de passaporte). O empregador fornecerá aos trabalhadores todas as ferramentas, suprimentos e equipamentos necessários para o desempenho do trabalho, sem custo para o trabalhador, de acordo com o 20 CFR 655.20(k). Os candidatos qualificados podem enviar o currículo para Aaron Langley, no endereço 2300 N. Scenic Highway, Lake Wales, FL 33898, por e-mail para recruiting@mountainlakeflorida.com ou visitar o centro de empregos local em 915 Avenue East (Oakland Neighborhood Center), Haines City, FL 33844. *Seu depósito de segurança será reembolsado após a conclusão do contrato e a inspeção da moradia. Se um trabalhador abandonar o emprego sem a permissão do empregador ou a moradia antes do término do prazo de inscrição por qualquer motivo, exceto rescisão por parte do empregador, o trabalhador perderá todos os depósitos de moradia, dias de folga remunerada, férias e bônus. Após a rescisão ou demissão, o trabalhador deverá desocupar a moradia imediatamente, a menos que haja acordo com o empregador.* Classificação do Cargo: 35-2014.00 - Cozinheiros, Restaurante. A classificação e a descrição do cargo/setor incluem informações gerais sobre a posição, de acordo com o ONET/OES e o Sistema de Classificação Industrial da América do Norte. Consulte as Funções e a Ordem de Serviço para obter mais informações. Requisitos da vaga Experiência necessária: Sim Meses de experiência necessários: 3 Número de horas por semana: 35 Horário de trabalho (início/término): 6h às 22h</v>
      </c>
    </row>
    <row r="1780" ht="20.25" customHeight="1">
      <c r="A1780" s="3" t="s">
        <v>7999</v>
      </c>
      <c r="B1780" s="3" t="s">
        <v>7990</v>
      </c>
      <c r="C1780" s="3" t="s">
        <v>197</v>
      </c>
      <c r="D1780" s="3" t="s">
        <v>71</v>
      </c>
      <c r="E1780" s="4" t="s">
        <v>19</v>
      </c>
      <c r="F1780" s="4" t="s">
        <v>20</v>
      </c>
      <c r="G1780" s="4" t="s">
        <v>524</v>
      </c>
      <c r="H1780" s="3" t="s">
        <v>7991</v>
      </c>
      <c r="I1780" s="3" t="s">
        <v>7992</v>
      </c>
      <c r="J1780" s="4">
        <v>21.0</v>
      </c>
      <c r="K1780" s="4">
        <v>3.0</v>
      </c>
      <c r="L1780" s="3" t="s">
        <v>1687</v>
      </c>
      <c r="M1780" s="3" t="s">
        <v>8000</v>
      </c>
      <c r="N1780" s="7" t="str">
        <f>IFERROR(__xludf.DUMMYFUNCTION("GOOGLETRANSLATE(L1780, ""en"", ""pt"")"),"Capitão")</f>
        <v>Capitão</v>
      </c>
      <c r="O1780" s="7" t="str">
        <f>IFERROR(__xludf.DUMMYFUNCTION("IF(M1780="""","""",GOOGLETRANSLATE(M1780,""en"",""pt""))"),"Executar diversas atividades financeiras, como manuseio de dinheiro. Resolver reclamações de clientes relacionadas ao serviço de alimentação. Compilar e conferir o caixa ao final do dia ou turno. Apresentar contas e receber pagamentos. Elaborar a escala d"&amp;"e trabalho dos funcionários do refeitório. (3 vagas disponíveis). Período: 01/10/2026 a 31/05/2027. Necessária experiência de 3 meses. Turnos rotativos. Dias de trabalho: segunda a domingo. Horário: 6h às 22h. Salário: US$ 21 a US$ 29 por hora, com base n"&amp;"o desempenho; horas extras: US$ 31,50 a US$ 43,50 por hora. Pagamento quinzenal. 35 horas semanais. Alojamento opcional disponível por US$ 50 por semana (quarto compartilhado) ou US$ 100 por semana (quarto individual, mediante depósito de US$ 300, sendo U"&amp;"S$ 250 reembolsáveis ​​e US$ 50 não reembolsáveis, após assinatura do contrato e vistoria do imóvel). Uniformes e refeições durante o turno fornecidos. Local de trabalho: 2300 N. Scenic Highway, Lake Wales, FL 33898. Vaga temporária em tempo integral. Uma"&amp;" única semana de trabalho será utilizada para calcular os salários. O trabalhador poderá receber até 10 horas extras, quando disponíveis. Todas as deduções exigidas por lei serão feitas no contracheque do trabalhador. O empregador fornecerá ao trabalhador"&amp;", sem custos, todas as ferramentas, suprimentos e equipamentos necessários para a execução do trabalho. O trabalhador receberá ou será reembolsado pelas despesas de transporte e subsistência (incluindo o custo razoável de hospedagem, quando necessário, at"&amp;"é US$ 110 por noite, mediante apresentação de recibos) à taxa de US$ 16,78 por dia durante o deslocamento, até um máximo de US$ 68,00 por dia, mediante apresentação de recibos, desde o local de origem do trabalhador, seja nos EUA ou no exterior, até o loc"&amp;"al de trabalho, caso o trabalhador complete 50% do período de trabalho coberto pela ordem de serviço, em conformidade com 20 CFR 655.20(j)(1)(i), mediante inclusão no contracheque da semana correspondente. O empregador fornecerá ou pagará o custo do trans"&amp;"porte de retorno e da subsistência diária do trabalhador, do local de trabalho até o local de onde o trabalhador partiu para trabalhar para o empregador, independentemente de empregos intermediários, caso o trabalhador complete o período de emprego certif"&amp;"icado ou seja demitido do emprego por qualquer motivo pelo empregador antes do término do período, de acordo com o § 655.20(j)(1)(ii); os trabalhadores com visto H-2B serão reembolsados ​​na primeira semana de trabalho por todos os vistos, processamento d"&amp;"e vistos, travessia de fronteira e outras taxas relacionadas, incluindo aquelas exigidas pelo governo (exceto taxas de passaporte). O empregador fornecerá aos trabalhadores todas as ferramentas, suprimentos e equipamentos necessários para o desempenho do "&amp;"trabalho, sem custo para o trabalhador, de acordo com o 20 CFR 655.20(k). Os candidatos qualificados podem enviar o currículo para Aaron Langley, no endereço 2300 N. Scenic Highway, Lake Wales, FL 33898, por e-mail para recruiting@mountainlakeflorida.com "&amp;"ou visitar o centro de empregos local em 915 Avenue East (Oakland Neighborhood Center), Haines City, FL 33844. *Seu depósito de segurança é reembolsável após a conclusão do contrato e a inspeção da moradia. Se um trabalhador abandonar o emprego sem a perm"&amp;"issão do empregador ou abandonar a moradia antes do término do prazo de inscrição por qualquer motivo, exceto rescisão por parte do empregador, o trabalhador perderá todos os depósitos de moradia, dias de folga remunerada, férias e bônus. Após a rescisão "&amp;"ou demissão, o trabalhador deverá desocupar a moradia imediatamente, a menos que haja acordo com o empregador.* Classificação do Cargo: 35-1012.00 - Supervisores de Primeira Linha de Trabalhadores de Preparação e Serviço de Alimentos. A classificação e de"&amp;"scrição do cargo/setor inclui informações gerais sobre a posição, de acordo com o ONET/OES e o Sistema de Classificação Industrial da América do Norte. Consulte a Descrição das Funções e a Ordem de Serviço para obter mais informações. Requisitos da Vaga E"&amp;"xperiência Necessária: Sim Meses de Experiência Necessária: 3 Número de Horas por Semana: 35 Horário de Trabalho (Início/Término): 6h00 - 22h00")</f>
        <v>Executar diversas atividades financeiras, como manuseio de dinheiro. Resolver reclamações de clientes relacionadas ao serviço de alimentação. Compilar e conferir o caixa ao final do dia ou turno. Apresentar contas e receber pagamentos. Elaborar a escala de trabalho dos funcionários do refeitório. (3 vagas disponíveis). Período: 01/10/2026 a 31/05/2027. Necessária experiência de 3 meses. Turnos rotativos. Dias de trabalho: segunda a domingo. Horário: 6h às 22h. Salário: US$ 21 a US$ 29 por hora, com base no desempenho; horas extras: US$ 31,50 a US$ 43,50 por hora. Pagamento quinzenal. 35 horas semanais. Alojamento opcional disponível por US$ 50 por semana (quarto compartilhado) ou US$ 100 por semana (quarto individual, mediante depósito de US$ 300, sendo US$ 250 reembolsáveis ​​e US$ 50 não reembolsáveis, após assinatura do contrato e vistoria do imóvel). Uniformes e refeições durante o turno fornecidos. Local de trabalho: 2300 N. Scenic Highway, Lake Wales, FL 33898. Vaga temporária em tempo integral. Uma única semana de trabalho será utilizada para calcular os salários. O trabalhador poderá receber até 10 horas extras, quando disponíveis. Todas as deduções exigidas por lei serão feitas no contracheque do trabalhador. O empregador fornecerá ao trabalhador, sem custos, todas as ferramentas, suprimentos e equipamentos necessários para a execução do trabalho. O trabalhador receberá ou será reembolsado pelas despesas de transporte e subsistência (incluindo o custo razoável de hospedagem, quando necessário, até US$ 110 por noite, mediante apresentação de recibos) à taxa de US$ 16,78 por dia durante o deslocamento, até um máximo de US$ 68,00 por dia, mediante apresentação de recibos, desde o local de origem do trabalhador, seja nos EUA ou no exterior, até o local de trabalho, caso o trabalhador complete 50% do período de trabalho coberto pela ordem de serviço, em conformidade com 20 CFR 655.20(j)(1)(i), mediante inclusão no contracheque da semana correspondente. O empregador fornecerá ou pagará o custo do transporte de retorno e da subsistência diária do trabalhador, do local de trabalho até o local de onde o trabalhador partiu para trabalhar para o empregador, independentemente de empregos intermediários, caso o trabalhador complete o período de emprego certificado ou seja demitido do emprego por qualquer motivo pelo empregador antes do término do período, de acordo com o § 655.20(j)(1)(ii); os trabalhadores com visto H-2B serão reembolsados ​​na primeira semana de trabalho por todos os vistos, processamento de vistos, travessia de fronteira e outras taxas relacionadas, incluindo aquelas exigidas pelo governo (exceto taxas de passaporte). O empregador fornecerá aos trabalhadores todas as ferramentas, suprimentos e equipamentos necessários para o desempenho do trabalho, sem custo para o trabalhador, de acordo com o 20 CFR 655.20(k). Os candidatos qualificados podem enviar o currículo para Aaron Langley, no endereço 2300 N. Scenic Highway, Lake Wales, FL 33898, por e-mail para recruiting@mountainlakeflorida.com ou visitar o centro de empregos local em 915 Avenue East (Oakland Neighborhood Center), Haines City, FL 33844. *Seu depósito de segurança é reembolsável após a conclusão do contrato e a inspeção da moradia. Se um trabalhador abandonar o emprego sem a permissão do empregador ou abandonar a moradia antes do término do prazo de inscrição por qualquer motivo, exceto rescisão por parte do empregador, o trabalhador perderá todos os depósitos de moradia, dias de folga remunerada, férias e bônus. Após a rescisão ou demissão, o trabalhador deverá desocupar a moradia imediatamente, a menos que haja acordo com o empregador.* Classificação do Cargo: 35-1012.00 - Supervisores de Primeira Linha de Trabalhadores de Preparação e Serviço de Alimentos. A classificação e descrição do cargo/setor inclui informações gerais sobre a posição, de acordo com o ONET/OES e o Sistema de Classificação Industrial da América do Norte. Consulte a Descrição das Funções e a Ordem de Serviço para obter mais informações. Requisitos da Vaga Experiência Necessária: Sim Meses de Experiência Necessária: 3 Número de Horas por Semana: 35 Horário de Trabalho (Início/Término): 6h00 - 22h00</v>
      </c>
    </row>
    <row r="1781" ht="20.25" customHeight="1">
      <c r="A1781" s="8" t="s">
        <v>8001</v>
      </c>
      <c r="B1781" s="8" t="s">
        <v>7990</v>
      </c>
      <c r="C1781" s="8" t="s">
        <v>197</v>
      </c>
      <c r="D1781" s="8" t="s">
        <v>71</v>
      </c>
      <c r="E1781" s="9" t="s">
        <v>19</v>
      </c>
      <c r="F1781" s="9" t="s">
        <v>20</v>
      </c>
      <c r="G1781" s="9" t="s">
        <v>524</v>
      </c>
      <c r="H1781" s="8" t="s">
        <v>7991</v>
      </c>
      <c r="I1781" s="8" t="s">
        <v>7992</v>
      </c>
      <c r="J1781" s="9">
        <v>14.22</v>
      </c>
      <c r="K1781" s="9">
        <v>7.0</v>
      </c>
      <c r="L1781" s="8" t="s">
        <v>1636</v>
      </c>
      <c r="M1781" s="8" t="s">
        <v>8002</v>
      </c>
      <c r="N1781" s="7" t="str">
        <f>IFERROR(__xludf.DUMMYFUNCTION("GOOGLETRANSLATE(L1781, ""en"", ""pt"")"),"Mordomo")</f>
        <v>Mordomo</v>
      </c>
      <c r="O1781" s="7" t="str">
        <f>IFERROR(__xludf.DUMMYFUNCTION("IF(M1781="""","""",GOOGLETRANSLATE(M1781,""en"",""pt""))"),"Lavar e secar panelas, frigideiras, louças e utensílios à mão e na máquina. Levar o lixo para as lixeiras. Lavar, passar pano e secar o chão. Abastecer as prateleiras. Manter as áreas da cozinha limpas e higienizadas. (7) vagas disponíveis. Período: 01/10"&amp;"/2026 a 31/05/2027. Necessário 3 meses de experiência. Turnos rotativos. Dias de trabalho: segunda a domingo. Horário de trabalho: 6h às 22h. Salário: US$ 14,22 a US$ 18,25 por hora, dependendo do desempenho; horas extras: US$ 21,33 a US$ 27,38 por hora. "&amp;"Pagamento quinzenal. 35 horas semanais. Alojamento opcional disponível por US$ 50 por semana (quarto compartilhado) ou US$ 100 por semana (quarto individual), mediante depósito de US$ 300 (US$ 250 reembolsáveis ​​/ US$ 50 não reembolsáveis) após a assinat"&amp;"ura do contrato e vistoria do imóvel. Uniformes e refeições durante o turno fornecidos. Local de trabalho: 2300 N. Scenic Highway, Lake Wales, FL 33898. O trabalho é temporário, em tempo integral. A remuneração será calculada com base em uma semana de tra"&amp;"balho. Poderá haver até 10 horas extras, quando disponíveis. Todos os descontos obrigatórios por lei serão feitos no contracheque do trabalhador. O empregador fornecerá gratuitamente ao trabalhador todas as ferramentas, materiais e equipamentos necessário"&amp;"s para a execução do trabalho. O trabalhador receberá ou será reembolsado pelo transporte e subsistência (incluindo o custo razoável de hospedagem noturna, quando necessário, até US$ 110/noite para hospedagem com recibos) a uma taxa de US$ 16,78 por dia d"&amp;"urante a viagem, até um máximo de US$ 68,00 por dia com recibos, desde o local de onde o trabalhador veio trabalhar para o empregador, seja nos EUA ou no exterior, até o local de trabalho, se o trabalhador completar 50% do período de emprego coberto pela "&amp;"ordem de serviço, de acordo com 20 CFR 655.20(j)(1)(i), mediante inclusão no pagamento da semana aplicável. O empregador fornecerá ou pagará o custo do transporte de retorno e da subsistência diária do trabalhador, do local de trabalho até o local de onde"&amp;" o trabalhador partiu para trabalhar para o empregador, independentemente de empregos intermediários, caso o trabalhador complete o período de emprego certificado ou seja demitido do emprego por qualquer motivo pelo empregador antes do término do período,"&amp;" de acordo com o § 655.20(j)(1)(ii); os trabalhadores com visto H-2B serão reembolsados ​​na primeira semana de trabalho por todos os vistos, processamento de vistos, travessia de fronteira e outras taxas relacionadas, incluindo aquelas exigidas pelo gove"&amp;"rno (exceto taxas de passaporte). O empregador fornecerá aos trabalhadores todas as ferramentas, suprimentos e equipamentos necessários para o desempenho do trabalho, sem custo para o trabalhador, de acordo com o 20 CFR 655.20(k). Os candidatos qualificad"&amp;"os podem enviar o currículo para Aaron Langley, no endereço 2300 N. Scenic Highway, Lake Wales, FL 33898, por e-mail para recruiting@mountainlakeflorida.com ou visitar o centro de empregos local em 915 Avenue East (Oakland Neighborhood Center), Haines Cit"&amp;"y, FL 33844. *Seu depósito de segurança é reembolsável após a conclusão do contrato e a inspeção da moradia. Se um trabalhador abandonar o emprego sem a permissão do empregador ou a moradia antes do término do prazo de inscrição por qualquer motivo, excet"&amp;"o rescisão por parte do empregador, o trabalhador perderá todos os depósitos de moradia, dias de folga remunerada, férias e bônus. Após a rescisão ou demissão, o trabalhador deverá desocupar a moradia imediatamente, a menos que haja acordo com o empregado"&amp;"r.* Classificação do Cargo: 35-9021.00 - Lavadores de Pratos. A classificação e a descrição do cargo/setor incluem informações gerais sobre a posição, de acordo com o ONET/OES e o Sistema de Classificação Industrial da América do Norte. Consulte as Funçõe"&amp;"s e a Ordem de Serviço para obter mais informações. Requisitos da vaga Experiência necessária: Sim Meses de experiência necessários: 3 Número de horas por semana: 35 Horário de trabalho (início/término): 6h às 22h")</f>
        <v>Lavar e secar panelas, frigideiras, louças e utensílios à mão e na máquina. Levar o lixo para as lixeiras. Lavar, passar pano e secar o chão. Abastecer as prateleiras. Manter as áreas da cozinha limpas e higienizadas. (7) vagas disponíveis. Período: 01/10/2026 a 31/05/2027. Necessário 3 meses de experiência. Turnos rotativos. Dias de trabalho: segunda a domingo. Horário de trabalho: 6h às 22h. Salário: US$ 14,22 a US$ 18,25 por hora, dependendo do desempenho; horas extras: US$ 21,33 a US$ 27,38 por hora. Pagamento quinzenal. 35 horas semanais. Alojamento opcional disponível por US$ 50 por semana (quarto compartilhado) ou US$ 100 por semana (quarto individual), mediante depósito de US$ 300 (US$ 250 reembolsáveis ​​/ US$ 50 não reembolsáveis) após a assinatura do contrato e vistoria do imóvel. Uniformes e refeições durante o turno fornecidos. Local de trabalho: 2300 N. Scenic Highway, Lake Wales, FL 33898. O trabalho é temporário, em tempo integral. A remuneração será calculada com base em uma semana de trabalho. Poderá haver até 10 horas extras, quando disponíveis. Todos os descontos obrigatórios por lei serão feitos no contracheque do trabalhador. O empregador fornecerá gratuitamente ao trabalhador todas as ferramentas, materiais e equipamentos necessários para a execução do trabalho. O trabalhador receberá ou será reembolsado pelo transporte e subsistência (incluindo o custo razoável de hospedagem noturna, quando necessário, até US$ 110/noite para hospedagem com recibos) a uma taxa de US$ 16,78 por dia durante a viagem, até um máximo de US$ 68,00 por dia com recibos, desde o local de onde o trabalhador veio trabalhar para o empregador, seja nos EUA ou no exterior, até o local de trabalho, se o trabalhador completar 50% do período de emprego coberto pela ordem de serviço, de acordo com 20 CFR 655.20(j)(1)(i), mediante inclusão no pagamento da semana aplicável. O empregador fornecerá ou pagará o custo do transporte de retorno e da subsistência diária do trabalhador, do local de trabalho até o local de onde o trabalhador partiu para trabalhar para o empregador, independentemente de empregos intermediários, caso o trabalhador complete o período de emprego certificado ou seja demitido do emprego por qualquer motivo pelo empregador antes do término do período, de acordo com o § 655.20(j)(1)(ii); os trabalhadores com visto H-2B serão reembolsados ​​na primeira semana de trabalho por todos os vistos, processamento de vistos, travessia de fronteira e outras taxas relacionadas, incluindo aquelas exigidas pelo governo (exceto taxas de passaporte). O empregador fornecerá aos trabalhadores todas as ferramentas, suprimentos e equipamentos necessários para o desempenho do trabalho, sem custo para o trabalhador, de acordo com o 20 CFR 655.20(k). Os candidatos qualificados podem enviar o currículo para Aaron Langley, no endereço 2300 N. Scenic Highway, Lake Wales, FL 33898, por e-mail para recruiting@mountainlakeflorida.com ou visitar o centro de empregos local em 915 Avenue East (Oakland Neighborhood Center), Haines City, FL 33844. *Seu depósito de segurança é reembolsável após a conclusão do contrato e a inspeção da moradia. Se um trabalhador abandonar o emprego sem a permissão do empregador ou a moradia antes do término do prazo de inscrição por qualquer motivo, exceto rescisão por parte do empregador, o trabalhador perderá todos os depósitos de moradia, dias de folga remunerada, férias e bônus. Após a rescisão ou demissão, o trabalhador deverá desocupar a moradia imediatamente, a menos que haja acordo com o empregador.* Classificação do Cargo: 35-9021.00 - Lavadores de Pratos. A classificação e a descrição do cargo/setor incluem informações gerais sobre a posição, de acordo com o ONET/OES e o Sistema de Classificação Industrial da América do Norte. Consulte as Funções e a Ordem de Serviço para obter mais informações. Requisitos da vaga Experiência necessária: Sim Meses de experiência necessários: 3 Número de horas por semana: 35 Horário de trabalho (início/término): 6h às 22h</v>
      </c>
    </row>
    <row r="1782" ht="20.25" customHeight="1">
      <c r="A1782" s="3" t="s">
        <v>8003</v>
      </c>
      <c r="B1782" s="3" t="s">
        <v>7990</v>
      </c>
      <c r="C1782" s="3" t="s">
        <v>197</v>
      </c>
      <c r="D1782" s="3" t="s">
        <v>71</v>
      </c>
      <c r="E1782" s="4" t="s">
        <v>19</v>
      </c>
      <c r="F1782" s="4" t="s">
        <v>20</v>
      </c>
      <c r="G1782" s="4" t="s">
        <v>524</v>
      </c>
      <c r="H1782" s="3" t="s">
        <v>7991</v>
      </c>
      <c r="I1782" s="3" t="s">
        <v>7992</v>
      </c>
      <c r="J1782" s="4">
        <v>18.25</v>
      </c>
      <c r="K1782" s="4">
        <v>20.0</v>
      </c>
      <c r="L1782" s="3" t="s">
        <v>1206</v>
      </c>
      <c r="M1782" s="3" t="s">
        <v>8004</v>
      </c>
      <c r="N1782" s="7" t="str">
        <f>IFERROR(__xludf.DUMMYFUNCTION("GOOGLETRANSLATE(L1782, ""en"", ""pt"")"),"Servidor")</f>
        <v>Servidor</v>
      </c>
      <c r="O1782" s="7" t="str">
        <f>IFERROR(__xludf.DUMMYFUNCTION("IF(M1782="""","""",GOOGLETRANSLATE(M1782,""en"",""pt""))"),"Receber pedidos, servir comidas e bebidas aos clientes. Limpar e arrumar as mesas. Receber pagamentos e entregar recibos. Manter todos os postos de trabalho abastecidos e realizar todos os demais serviços relacionados ao atendimento. (20 vagas) Necessário"&amp;". Período: 01/10/2026 a 31/05/2027. 3 meses de experiência necessários. Turnos rotativos. Dias de trabalho: segunda a domingo. Horário de trabalho: 6h às 22h. Salário: US$ 18,25 a US$ 23,50 por hora, com base no desempenho; horas extras: US$ 27,38 a US$ 3"&amp;"5,25 por hora. Pagamento quinzenal. 35 horas semanais. Alojamento opcional disponível por US$ 50 por semana (quarto compartilhado) ou US$ 100 por semana (quarto individual, mediante depósito de US$ 300, sendo US$ 250 reembolsáveis ​​e US$ 50 não reembolsá"&amp;"veis) após a assinatura do contrato e vistoria do imóvel. Uniformes e refeições durante o turno fornecidos. Local de trabalho: 2300 N. Scenic Highway, Lake Wales, FL 33898. Vaga temporária em tempo integral. Uma única semana de trabalho será utilizada par"&amp;"a calcular os salários. O trabalhador poderá receber até 10 horas extras, quando disponíveis. Todas as deduções exigidas por lei serão feitas no contracheque do trabalhador. O empregador fornecerá ao trabalhador, sem custos, todas as ferramentas, suprimen"&amp;"tos e equipamentos necessários para a execução do trabalho. O trabalhador receberá ou será reembolsado pelas despesas de transporte e subsistência (incluindo o custo razoável de hospedagem, quando necessário, até US$ 110 por noite, mediante apresentação d"&amp;"e recibos) à taxa de US$ 16,78 por dia durante o deslocamento, até um máximo de US$ 68,00 por dia, mediante apresentação de recibos, desde o local de origem do trabalhador, seja nos EUA ou no exterior, até o local de trabalho, caso o trabalhador complete "&amp;"50% do período de trabalho coberto pela ordem de serviço, em conformidade com 20 CFR 655.20(j)(1)(i), mediante inclusão no contracheque da semana correspondente. O empregador fornecerá ou pagará o custo do transporte de retorno e da subsistência diária do"&amp;" trabalhador, do local de trabalho até o local de onde o trabalhador partiu para trabalhar para o empregador, independentemente de empregos intermediários, caso o trabalhador complete o período de emprego certificado ou seja demitido do emprego por qualqu"&amp;"er motivo pelo empregador antes do término do período, de acordo com o § 655.20(j)(1)(ii); os trabalhadores com visto H-2B serão reembolsados ​​na primeira semana de trabalho por todos os vistos, processamento de vistos, travessia de fronteira e outras ta"&amp;"xas relacionadas, incluindo aquelas exigidas pelo governo (exceto taxas de passaporte). O empregador fornecerá aos trabalhadores todas as ferramentas, suprimentos e equipamentos necessários para o desempenho do trabalho, sem custo para o trabalhador, de a"&amp;"cordo com o 20 CFR 655.20(k). Os candidatos qualificados podem enviar o currículo para Aaron Langley, no endereço 2300 N. Scenic Highway, Lake Wales, FL 33898, por e-mail para recruiting@mountainlakeflorida.com ou visitar o centro de empregos local em 915"&amp;" Avenue East (Oakland Neighborhood Center), Haines City, FL 33844. *Seu depósito de segurança será reembolsado após a conclusão do contrato e a inspeção da moradia. Se um trabalhador abandonar o emprego sem a permissão do empregador ou abandonar a moradia"&amp;" antes do término do prazo de inscrição por qualquer motivo, exceto rescisão por parte do empregador, o trabalhador perderá todos os depósitos de moradia, dias de folga remunerada, férias e bônus. Após a rescisão ou demissão, o trabalhador deverá desocupa"&amp;"r a moradia imediatamente, a menos que haja acordo com o empregador.* Classificação do Cargo: 35-3031.00 - Garçons e Garçonetes. A classificação e descrição do cargo/setor incluem informações gerais sobre a posição, de acordo com o ONET/OES e o Sistema de"&amp;" Classificação Industrial da América do Norte. Consulte as Funções e a Ordem de Serviço para obter mais informações. Requisitos da vaga Experiência necessária: Sim Meses de experiência necessários: 3 Número de horas por semana: 35 Horário de trabalho (iní"&amp;"cio/término): 6h às 22h")</f>
        <v>Receber pedidos, servir comidas e bebidas aos clientes. Limpar e arrumar as mesas. Receber pagamentos e entregar recibos. Manter todos os postos de trabalho abastecidos e realizar todos os demais serviços relacionados ao atendimento. (20 vagas) Necessário. Período: 01/10/2026 a 31/05/2027. 3 meses de experiência necessários. Turnos rotativos. Dias de trabalho: segunda a domingo. Horário de trabalho: 6h às 22h. Salário: US$ 18,25 a US$ 23,50 por hora, com base no desempenho; horas extras: US$ 27,38 a US$ 35,25 por hora. Pagamento quinzenal. 35 horas semanais. Alojamento opcional disponível por US$ 50 por semana (quarto compartilhado) ou US$ 100 por semana (quarto individual, mediante depósito de US$ 300, sendo US$ 250 reembolsáveis ​​e US$ 50 não reembolsáveis) após a assinatura do contrato e vistoria do imóvel. Uniformes e refeições durante o turno fornecidos. Local de trabalho: 2300 N. Scenic Highway, Lake Wales, FL 33898. Vaga temporária em tempo integral. Uma única semana de trabalho será utilizada para calcular os salários. O trabalhador poderá receber até 10 horas extras, quando disponíveis. Todas as deduções exigidas por lei serão feitas no contracheque do trabalhador. O empregador fornecerá ao trabalhador, sem custos, todas as ferramentas, suprimentos e equipamentos necessários para a execução do trabalho. O trabalhador receberá ou será reembolsado pelas despesas de transporte e subsistência (incluindo o custo razoável de hospedagem, quando necessário, até US$ 110 por noite, mediante apresentação de recibos) à taxa de US$ 16,78 por dia durante o deslocamento, até um máximo de US$ 68,00 por dia, mediante apresentação de recibos, desde o local de origem do trabalhador, seja nos EUA ou no exterior, até o local de trabalho, caso o trabalhador complete 50% do período de trabalho coberto pela ordem de serviço, em conformidade com 20 CFR 655.20(j)(1)(i), mediante inclusão no contracheque da semana correspondente. O empregador fornecerá ou pagará o custo do transporte de retorno e da subsistência diária do trabalhador, do local de trabalho até o local de onde o trabalhador partiu para trabalhar para o empregador, independentemente de empregos intermediários, caso o trabalhador complete o período de emprego certificado ou seja demitido do emprego por qualquer motivo pelo empregador antes do término do período, de acordo com o § 655.20(j)(1)(ii); os trabalhadores com visto H-2B serão reembolsados ​​na primeira semana de trabalho por todos os vistos, processamento de vistos, travessia de fronteira e outras taxas relacionadas, incluindo aquelas exigidas pelo governo (exceto taxas de passaporte). O empregador fornecerá aos trabalhadores todas as ferramentas, suprimentos e equipamentos necessários para o desempenho do trabalho, sem custo para o trabalhador, de acordo com o 20 CFR 655.20(k). Os candidatos qualificados podem enviar o currículo para Aaron Langley, no endereço 2300 N. Scenic Highway, Lake Wales, FL 33898, por e-mail para recruiting@mountainlakeflorida.com ou visitar o centro de empregos local em 915 Avenue East (Oakland Neighborhood Center), Haines City, FL 33844. *Seu depósito de segurança será reembolsado após a conclusão do contrato e a inspeção da moradia. Se um trabalhador abandonar o emprego sem a permissão do empregador ou abandonar a moradia antes do término do prazo de inscrição por qualquer motivo, exceto rescisão por parte do empregador, o trabalhador perderá todos os depósitos de moradia, dias de folga remunerada, férias e bônus. Após a rescisão ou demissão, o trabalhador deverá desocupar a moradia imediatamente, a menos que haja acordo com o empregador.* Classificação do Cargo: 35-3031.00 - Garçons e Garçonetes. A classificação e descrição do cargo/setor incluem informações gerais sobre a posição, de acordo com o ONET/OES e o Sistema de Classificação Industrial da América do Norte. Consulte as Funções e a Ordem de Serviço para obter mais informações. Requisitos da vaga Experiência necessária: Sim Meses de experiência necessários: 3 Número de horas por semana: 35 Horário de trabalho (início/término): 6h às 22h</v>
      </c>
    </row>
    <row r="1783" ht="20.25" customHeight="1">
      <c r="A1783" s="8" t="s">
        <v>8005</v>
      </c>
      <c r="B1783" s="8" t="s">
        <v>7990</v>
      </c>
      <c r="C1783" s="8" t="s">
        <v>197</v>
      </c>
      <c r="D1783" s="8" t="s">
        <v>71</v>
      </c>
      <c r="E1783" s="9" t="s">
        <v>44</v>
      </c>
      <c r="F1783" s="9" t="s">
        <v>20</v>
      </c>
      <c r="G1783" s="9" t="s">
        <v>524</v>
      </c>
      <c r="H1783" s="8" t="s">
        <v>7991</v>
      </c>
      <c r="I1783" s="8" t="s">
        <v>7992</v>
      </c>
      <c r="J1783" s="9">
        <v>17.5</v>
      </c>
      <c r="K1783" s="9">
        <v>2.0</v>
      </c>
      <c r="L1783" s="8" t="s">
        <v>1690</v>
      </c>
      <c r="M1783" s="8" t="s">
        <v>8006</v>
      </c>
      <c r="N1783" s="7" t="str">
        <f>IFERROR(__xludf.DUMMYFUNCTION("GOOGLETRANSLATE(L1783, ""en"", ""pt"")"),"Atendente de Sala de Jantar")</f>
        <v>Atendente de Sala de Jantar</v>
      </c>
      <c r="O1783" s="7" t="str">
        <f>IFERROR(__xludf.DUMMYFUNCTION("IF(M1783="""","""",GOOGLETRANSLATE(M1783,""en"",""pt""))"),"Limpar e arrumar mesas, levar comida da cozinha para as mesas, servir água/café. Mover mesas. Manter todas as áreas de trabalho limpas e higienizadas. Abastecer os bares com suprimentos. (2) vagas disponíveis. Período: 01/10/2026 a 31/05/2027. Necessário "&amp;"3 meses de experiência. Turnos rotativos. Dias de trabalho: segunda a domingo. Horário de trabalho: 6h às 22h. Salário: US$ 17,50 a US$ 21/hora, dependendo do desempenho; US$ 26,25 a US$ 31,50/hora para horas extras. Pagamento quinzenal. 35 horas semanais"&amp;". Alojamento opcional disponível por US$ 50/semana (quarto compartilhado) ou US$ 100/semana (quarto individual) com depósito de US$ 300 (US$ 250 reembolsáveis ​​/ US$ 50 não reembolsáveis) após a assinatura do contrato e vistoria do imóvel. Uniformes e re"&amp;"feições durante o turno fornecidos. Local de trabalho: 2300 N. Scenic Highway, Lake Wales, FL 33898. Trabalho temporário em tempo integral. Uma única semana de trabalho será utilizada para calcular os salários. O trabalhador poderá receber até 10 horas ex"&amp;"tras, quando disponíveis. Todas as deduções exigidas por lei serão feitas no contracheque do trabalhador. O empregador fornecerá ao trabalhador, sem custos, todas as ferramentas, suprimentos e equipamentos necessários para a execução do trabalho. O trabal"&amp;"hador receberá ou será reembolsado pelas despesas de transporte e subsistência (incluindo o custo razoável de hospedagem, quando necessário, até US$ 110 por noite, mediante apresentação de recibos) à taxa de US$ 16,78 por dia durante o deslocamento, até u"&amp;"m máximo de US$ 68,00 por dia, mediante apresentação de recibos, desde o local de origem do trabalhador, seja nos EUA ou no exterior, até o local de trabalho, caso o trabalhador complete 50% do período de trabalho coberto pela ordem de serviço, em conform"&amp;"idade com 20 CFR 655.20(j)(1)(i), mediante inclusão no contracheque da semana correspondente. O empregador fornecerá ou pagará o custo do transporte de retorno e da subsistência diária do trabalhador, do local de trabalho até o local de onde o trabalhador"&amp;" partiu para trabalhar para o empregador, independentemente de empregos intermediários, caso o trabalhador complete o período de emprego certificado ou seja demitido do emprego por qualquer motivo pelo empregador antes do término do período, de acordo com"&amp;" o § 655.20(j)(1)(ii); os trabalhadores com visto H-2B serão reembolsados ​​na primeira semana de trabalho por todos os vistos, processamento de vistos, travessia de fronteira e outras taxas relacionadas, incluindo aquelas exigidas pelo governo (exceto ta"&amp;"xas de passaporte). O empregador fornecerá aos trabalhadores todas as ferramentas, suprimentos e equipamentos necessários para o desempenho do trabalho, sem custo para o trabalhador, de acordo com o 20 CFR 655.20(k). Os candidatos qualificados podem envia"&amp;"r o currículo para Aaron Langley, no endereço 2300 N. Scenic Highway, Lake Wales, FL 33898, por e-mail para recruiting@mountainlakeflorida.com ou visitar o centro de empregos local em 915 Avenue East (Oakland Neighborhood Center), Haines City, FL 33844. *"&amp;"Seu depósito de segurança é reembolsável após a conclusão do contrato e a inspeção da moradia. Se um trabalhador abandonar o emprego sem a permissão do empregador ou abandonar a moradia antes do término do prazo de inscrição por qualquer motivo, exceto re"&amp;"scisão por parte do empregador, o trabalhador perderá todos os depósitos de moradia, dias de folga remunerada, férias e bônus. Após a rescisão ou demissão, o trabalhador deverá desocupar a moradia imediatamente, a menos que haja acordo com o empregador.* "&amp;"Classificação do Cargo: 35-9011.00 - Atendentes de Refeitório e Cafeteria e Auxiliares de Barman. A classificação e descrição do cargo/setor incluem informações gerais sobre a posição, de acordo com o ONET/OES e o Sistema de Classificação Industrial da Am"&amp;"érica do Norte. Consulte a Descrição das Funções e a Ordem de Serviço para obter mais informações. Requisitos da Vaga Experiência Necessária: Sim Meses de Experiência Necessária: 3 Número de Horas por Semana: 35 Horário de Trabalho (Início/Término): 6h00 "&amp;"- 22h00")</f>
        <v>Limpar e arrumar mesas, levar comida da cozinha para as mesas, servir água/café. Mover mesas. Manter todas as áreas de trabalho limpas e higienizadas. Abastecer os bares com suprimentos. (2) vagas disponíveis. Período: 01/10/2026 a 31/05/2027. Necessário 3 meses de experiência. Turnos rotativos. Dias de trabalho: segunda a domingo. Horário de trabalho: 6h às 22h. Salário: US$ 17,50 a US$ 21/hora, dependendo do desempenho; US$ 26,25 a US$ 31,50/hora para horas extras. Pagamento quinzenal. 35 horas semanais. Alojamento opcional disponível por US$ 50/semana (quarto compartilhado) ou US$ 100/semana (quarto individual) com depósito de US$ 300 (US$ 250 reembolsáveis ​​/ US$ 50 não reembolsáveis) após a assinatura do contrato e vistoria do imóvel. Uniformes e refeições durante o turno fornecidos. Local de trabalho: 2300 N. Scenic Highway, Lake Wales, FL 33898. Trabalho temporário em tempo integral. Uma única semana de trabalho será utilizada para calcular os salários. O trabalhador poderá receber até 10 horas extras, quando disponíveis. Todas as deduções exigidas por lei serão feitas no contracheque do trabalhador. O empregador fornecerá ao trabalhador, sem custos, todas as ferramentas, suprimentos e equipamentos necessários para a execução do trabalho. O trabalhador receberá ou será reembolsado pelas despesas de transporte e subsistência (incluindo o custo razoável de hospedagem, quando necessário, até US$ 110 por noite, mediante apresentação de recibos) à taxa de US$ 16,78 por dia durante o deslocamento, até um máximo de US$ 68,00 por dia, mediante apresentação de recibos, desde o local de origem do trabalhador, seja nos EUA ou no exterior, até o local de trabalho, caso o trabalhador complete 50% do período de trabalho coberto pela ordem de serviço, em conformidade com 20 CFR 655.20(j)(1)(i), mediante inclusão no contracheque da semana correspondente. O empregador fornecerá ou pagará o custo do transporte de retorno e da subsistência diária do trabalhador, do local de trabalho até o local de onde o trabalhador partiu para trabalhar para o empregador, independentemente de empregos intermediários, caso o trabalhador complete o período de emprego certificado ou seja demitido do emprego por qualquer motivo pelo empregador antes do término do período, de acordo com o § 655.20(j)(1)(ii); os trabalhadores com visto H-2B serão reembolsados ​​na primeira semana de trabalho por todos os vistos, processamento de vistos, travessia de fronteira e outras taxas relacionadas, incluindo aquelas exigidas pelo governo (exceto taxas de passaporte). O empregador fornecerá aos trabalhadores todas as ferramentas, suprimentos e equipamentos necessários para o desempenho do trabalho, sem custo para o trabalhador, de acordo com o 20 CFR 655.20(k). Os candidatos qualificados podem enviar o currículo para Aaron Langley, no endereço 2300 N. Scenic Highway, Lake Wales, FL 33898, por e-mail para recruiting@mountainlakeflorida.com ou visitar o centro de empregos local em 915 Avenue East (Oakland Neighborhood Center), Haines City, FL 33844. *Seu depósito de segurança é reembolsável após a conclusão do contrato e a inspeção da moradia. Se um trabalhador abandonar o emprego sem a permissão do empregador ou abandonar a moradia antes do término do prazo de inscrição por qualquer motivo, exceto rescisão por parte do empregador, o trabalhador perderá todos os depósitos de moradia, dias de folga remunerada, férias e bônus. Após a rescisão ou demissão, o trabalhador deverá desocupar a moradia imediatamente, a menos que haja acordo com o empregador.* Classificação do Cargo: 35-9011.00 - Atendentes de Refeitório e Cafeteria e Auxiliares de Barman. A classificação e descrição do cargo/setor incluem informações gerais sobre a posição, de acordo com o ONET/OES e o Sistema de Classificação Industrial da América do Norte. Consulte a Descrição das Funções e a Ordem de Serviço para obter mais informações. Requisitos da Vaga Experiência Necessária: Sim Meses de Experiência Necessária: 3 Número de Horas por Semana: 35 Horário de Trabalho (Início/Término): 6h00 - 22h00</v>
      </c>
    </row>
    <row r="1784" ht="20.25" customHeight="1">
      <c r="A1784" s="3" t="s">
        <v>8007</v>
      </c>
      <c r="B1784" s="3" t="s">
        <v>7990</v>
      </c>
      <c r="C1784" s="3" t="s">
        <v>197</v>
      </c>
      <c r="D1784" s="3" t="s">
        <v>71</v>
      </c>
      <c r="E1784" s="4" t="s">
        <v>44</v>
      </c>
      <c r="F1784" s="4" t="s">
        <v>20</v>
      </c>
      <c r="G1784" s="4" t="s">
        <v>524</v>
      </c>
      <c r="H1784" s="3" t="s">
        <v>7991</v>
      </c>
      <c r="I1784" s="3" t="s">
        <v>7992</v>
      </c>
      <c r="J1784" s="4">
        <v>18.25</v>
      </c>
      <c r="K1784" s="4">
        <v>4.0</v>
      </c>
      <c r="L1784" s="3" t="s">
        <v>1684</v>
      </c>
      <c r="M1784" s="3" t="s">
        <v>8008</v>
      </c>
      <c r="N1784" s="7" t="str">
        <f>IFERROR(__xludf.DUMMYFUNCTION("GOOGLETRANSLATE(L1784, ""en"", ""pt"")"),"Barman")</f>
        <v>Barman</v>
      </c>
      <c r="O1784" s="7" t="str">
        <f>IFERROR(__xludf.DUMMYFUNCTION("IF(M1784="""","""",GOOGLETRANSLATE(M1784,""en"",""pt""))"),"Recebe pedidos, prepara e serve bebidas aos clientes. Mantém o bar abastecido e limpo, leva a comida da cozinha para o bar e recebe pagamentos. (4) vagas disponíveis. Período: 01/10/2026 a 31/05/2027. Necessário 3 meses de experiência. Turnos rotativos. D"&amp;"ias de trabalho: segunda a domingo. Horário: 6h às 22h. Salário: US$ 18,25 a US$ 24,50 por hora, com base no desempenho; horas extras: US$ 27,38 a US$ 36,75 por hora. Pagamento quinzenal. 35 horas semanais. Alojamento opcional disponível por US$ 50 por se"&amp;"mana (quarto compartilhado) ou US$ 100 por semana (quarto individual) com depósito de US$ 300 (US$ 250 reembolsáveis ​​/ US$ 50 não reembolsáveis) após a assinatura do contrato e vistoria do imóvel. Uniformes e refeições durante o turno fornecidos. Local "&amp;"de trabalho: 2300 N. Scenic Highway, Lake Wales, FL 33898. Trabalho temporário em tempo integral. O salário será calculado com base em uma semana de trabalho. Poderá ser feito até 10 horas extras, quando disponíveis. Todos os descontos exigidos por lei se"&amp;"rão efetuados no contracheque do trabalhador. O empregador fornecerá ao trabalhador, sem custos, todas as ferramentas, materiais e equipamentos necessários para a execução do trabalho. O trabalhador receberá ou será reembolsado pelas despesas de transport"&amp;"e e alimentação (incluindo o custo razoável de hospedagem, quando necessário, até US$ 110 por noite, mediante apresentação de recibos) no valor de US$ 16,78 por dia durante o deslocamento, até um máximo de US$ 68,00 por dia, mediante apresentação de recib"&amp;"os, desde o local de origem do trabalhador, seja nos EUA ou no exterior, até o local de trabalho, caso o trabalhador complete 50% do período de trabalho abrangido pela ordem de serviço, em conformidade com o 20 CFR 655.20(j)(1)(i), mediante inclusão no co"&amp;"ntracheque da semana correspondente. O empregador fornecerá ou pagará o custo do transporte de retorno e da subsistência diária do trabalhador, do local de trabalho até o local de onde o trabalhador partiu para trabalhar para o empregador, independentemen"&amp;"te de empregos intermediários, caso o trabalhador complete o período de emprego certificado ou seja demitido do emprego por qualquer motivo pelo empregador antes do término do período, de acordo com o § 655.20(j)(1)(ii); os trabalhadores com visto H-2B se"&amp;"rão reembolsados ​​na primeira semana de trabalho por todos os vistos, processamento de vistos, travessia de fronteira e outras taxas relacionadas, incluindo aquelas exigidas pelo governo (exceto taxas de passaporte). O empregador fornecerá aos trabalhado"&amp;"res todas as ferramentas, suprimentos e equipamentos necessários para o desempenho do trabalho, sem custo para o trabalhador, de acordo com o 20 CFR 655.20(k). Os candidatos qualificados podem enviar o currículo para Aaron Langley, no endereço 2300 N. Sce"&amp;"nic Highway, Lake Wales, FL 33898, por e-mail para recruiting@mountainlakeflorida.com ou visitar o centro de empregos local em 915 Avenue East (Oakland Neighborhood Center), Haines City, FL 33844. *Seu depósito de segurança será reembolsado após a conclus"&amp;"ão do contrato e a inspeção da moradia. Se um trabalhador abandonar o emprego sem a permissão do empregador ou abandonar a moradia antes do término do prazo de inscrição por qualquer motivo, exceto rescisão por parte do empregador, o trabalhador perderá t"&amp;"odos os depósitos de moradia, dias de folga remunerada, férias e bônus. Após a rescisão ou demissão, o trabalhador deverá desocupar a moradia imediatamente, a menos que haja acordo com o empregador.* Classificação do Cargo: 35-3011.00 - Bartenders. A clas"&amp;"sificação e descrição do cargo/setor incluem informações gerais sobre a posição, de acordo com o ONET/OES e o Sistema de Classificação Industrial da América do Norte. Consulte as Funções e a Ordem de Serviço para obter mais informações. Requisitos da vaga"&amp;" Experiência necessária: Sim Meses de experiência necessários: 3 Número de horas por semana: 35 Horário de trabalho (início/término): 18h00 - 22h00")</f>
        <v>Recebe pedidos, prepara e serve bebidas aos clientes. Mantém o bar abastecido e limpo, leva a comida da cozinha para o bar e recebe pagamentos. (4) vagas disponíveis. Período: 01/10/2026 a 31/05/2027. Necessário 3 meses de experiência. Turnos rotativos. Dias de trabalho: segunda a domingo. Horário: 6h às 22h. Salário: US$ 18,25 a US$ 24,50 por hora, com base no desempenho; horas extras: US$ 27,38 a US$ 36,75 por hora. Pagamento quinzenal. 35 horas semanais. Alojamento opcional disponível por US$ 50 por semana (quarto compartilhado) ou US$ 100 por semana (quarto individual) com depósito de US$ 300 (US$ 250 reembolsáveis ​​/ US$ 50 não reembolsáveis) após a assinatura do contrato e vistoria do imóvel. Uniformes e refeições durante o turno fornecidos. Local de trabalho: 2300 N. Scenic Highway, Lake Wales, FL 33898. Trabalho temporário em tempo integral. O salário será calculado com base em uma semana de trabalho. Poderá ser feito até 10 horas extras, quando disponíveis. Todos os descontos exigidos por lei serão efetuados no contracheque do trabalhador. O empregador fornecerá ao trabalhador, sem custos, todas as ferramentas, materiais e equipamentos necessários para a execução do trabalho. O trabalhador receberá ou será reembolsado pelas despesas de transporte e alimentação (incluindo o custo razoável de hospedagem, quando necessário, até US$ 110 por noite, mediante apresentação de recibos) no valor de US$ 16,78 por dia durante o deslocamento, até um máximo de US$ 68,00 por dia, mediante apresentação de recibos, desde o local de origem do trabalhador, seja nos EUA ou no exterior, até o local de trabalho, caso o trabalhador complete 50% do período de trabalho abrangido pela ordem de serviço, em conformidade com o 20 CFR 655.20(j)(1)(i), mediante inclusão no contracheque da semana correspondente. O empregador fornecerá ou pagará o custo do transporte de retorno e da subsistência diária do trabalhador, do local de trabalho até o local de onde o trabalhador partiu para trabalhar para o empregador, independentemente de empregos intermediários, caso o trabalhador complete o período de emprego certificado ou seja demitido do emprego por qualquer motivo pelo empregador antes do término do período, de acordo com o § 655.20(j)(1)(ii); os trabalhadores com visto H-2B serão reembolsados ​​na primeira semana de trabalho por todos os vistos, processamento de vistos, travessia de fronteira e outras taxas relacionadas, incluindo aquelas exigidas pelo governo (exceto taxas de passaporte). O empregador fornecerá aos trabalhadores todas as ferramentas, suprimentos e equipamentos necessários para o desempenho do trabalho, sem custo para o trabalhador, de acordo com o 20 CFR 655.20(k). Os candidatos qualificados podem enviar o currículo para Aaron Langley, no endereço 2300 N. Scenic Highway, Lake Wales, FL 33898, por e-mail para recruiting@mountainlakeflorida.com ou visitar o centro de empregos local em 915 Avenue East (Oakland Neighborhood Center), Haines City, FL 33844. *Seu depósito de segurança será reembolsado após a conclusão do contrato e a inspeção da moradia. Se um trabalhador abandonar o emprego sem a permissão do empregador ou abandonar a moradia antes do término do prazo de inscrição por qualquer motivo, exceto rescisão por parte do empregador, o trabalhador perderá todos os depósitos de moradia, dias de folga remunerada, férias e bônus. Após a rescisão ou demissão, o trabalhador deverá desocupar a moradia imediatamente, a menos que haja acordo com o empregador.* Classificação do Cargo: 35-3011.00 - Bartenders. A classificação e descrição do cargo/setor incluem informações gerais sobre a posição, de acordo com o ONET/OES e o Sistema de Classificação Industrial da América do Norte. Consulte as Funções e a Ordem de Serviço para obter mais informações. Requisitos da vaga Experiência necessária: Sim Meses de experiência necessários: 3 Número de horas por semana: 35 Horário de trabalho (início/término): 18h00 - 22h00</v>
      </c>
    </row>
    <row r="1785" ht="20.25" customHeight="1">
      <c r="A1785" s="8" t="s">
        <v>8009</v>
      </c>
      <c r="B1785" s="8" t="s">
        <v>8010</v>
      </c>
      <c r="C1785" s="8" t="s">
        <v>8011</v>
      </c>
      <c r="D1785" s="8" t="s">
        <v>71</v>
      </c>
      <c r="E1785" s="9" t="s">
        <v>19</v>
      </c>
      <c r="F1785" s="9" t="s">
        <v>20</v>
      </c>
      <c r="G1785" s="9" t="s">
        <v>155</v>
      </c>
      <c r="H1785" s="8" t="s">
        <v>8012</v>
      </c>
      <c r="I1785" s="8" t="s">
        <v>8013</v>
      </c>
      <c r="J1785" s="9">
        <v>17.32</v>
      </c>
      <c r="K1785" s="9">
        <v>5.0</v>
      </c>
      <c r="L1785" s="8" t="s">
        <v>387</v>
      </c>
      <c r="M1785" s="8" t="s">
        <v>8014</v>
      </c>
      <c r="N1785" s="7" t="str">
        <f>IFERROR(__xludf.DUMMYFUNCTION("GOOGLETRANSLATE(L1785, ""en"", ""pt"")"),"Ordem de serviço não disponível")</f>
        <v>Ordem de serviço não disponível</v>
      </c>
      <c r="O1785" s="7" t="str">
        <f>IFERROR(__xludf.DUMMYFUNCTION("IF(M1785="""","""",GOOGLETRANSLATE(M1785,""en"",""pt""))"),"Preparar, temperar e cozinhar pratos tailandeses, como rolinhos primavera, sopas, arroz, carnes, legumes ou sobremesas em um restaurante tailandês. O funcionário também poderá realizar as seguintes atividades: - Inspecionar e limpar as áreas de preparação"&amp;" de alimentos, como equipamentos, superfícies de trabalho e áreas de serviço, para garantir práticas seguras e higiênicas de manipulação de alimentos. - Garantir que os alimentos sejam armazenados e cozidos na temperatura correta, regulando a temperatura "&amp;"de fornos, grelhas e assadeiras. - Temperar e cozinhar os alimentos de acordo com receitas ou com base em seu próprio julgamento e experiência. - Virar ou mexer os alimentos para garantir um cozimento uniforme. - Observar e testar os alimentos para determ"&amp;"inar se estão suficientemente cozidos, utilizando métodos como provar, cheirar ou perfurá-los com utensílios. - Assar, grelhar e cozinhar no vapor carnes, peixes, legumes e outros alimentos. - Lavar, descascar, cortar e retirar sementes de frutas e legume"&amp;"s para prepará-los para o consumo. Classificação da função: 35-2014.00 - Cozinheiros, Restaurante. A classificação e descrição da função/setor inclui informações gerais sobre o cargo, de acordo com o ONET/OES e o Sistema de Classificação Industrial da Amé"&amp;"rica do Norte. Consulte a Descrição das Funções e a Ordem de Serviço para obter mais informações. Requisitos da Vaga Experiência Necessária: Sim Meses de Experiência Necessária: 6 Requisitos Especiais: Em relação aos dias e horários de trabalho previstos "&amp;"por semana, haverá turnos disponíveis para os funcionários. O horário de funcionamento do empregador é de domingo a sábado, das 11h às 21h. Os funcionários têm garantia de 40 horas semanais, 5 dias por semana, 8 horas por dia, dentro do horário de funcion"&amp;"amento. Número de Horas por Semana: 56 Horário de Trabalho (Início/Término): 11h às 21h")</f>
        <v>Preparar, temperar e cozinhar pratos tailandeses, como rolinhos primavera, sopas, arroz, carnes, legumes ou sobremesas em um restaurante tailandês. O funcionário também poderá realizar as seguintes atividades: - Inspecionar e limpar as áreas de preparação de alimentos, como equipamentos, superfícies de trabalho e áreas de serviço, para garantir práticas seguras e higiênicas de manipulação de alimentos. - Garantir que os alimentos sejam armazenados e cozidos na temperatura correta, regulando a temperatura de fornos, grelhas e assadeiras. - Temperar e cozinhar os alimentos de acordo com receitas ou com base em seu próprio julgamento e experiência. - Virar ou mexer os alimentos para garantir um cozimento uniforme. - Observar e testar os alimentos para determinar se estão suficientemente cozidos, utilizando métodos como provar, cheirar ou perfurá-los com utensílios. - Assar, grelhar e cozinhar no vapor carnes, peixes, legumes e outros alimentos. - Lavar, descascar, cortar e retirar sementes de frutas e legumes para prepará-los para o consumo. Classificação da função: 35-2014.00 - Cozinheiros, Restaurante. A classificação e descrição da função/setor inclui informações gerais sobre o cargo, de acordo com o ONET/OES e o Sistema de Classificação Industrial da América do Norte. Consulte a Descrição das Funções e a Ordem de Serviço para obter mais informações. Requisitos da Vaga Experiência Necessária: Sim Meses de Experiência Necessária: 6 Requisitos Especiais: Em relação aos dias e horários de trabalho previstos por semana, haverá turnos disponíveis para os funcionários. O horário de funcionamento do empregador é de domingo a sábado, das 11h às 21h. Os funcionários têm garantia de 40 horas semanais, 5 dias por semana, 8 horas por dia, dentro do horário de funcionamento. Número de Horas por Semana: 56 Horário de Trabalho (Início/Término): 11h às 21h</v>
      </c>
    </row>
    <row r="1786" ht="20.25" customHeight="1">
      <c r="A1786" s="3" t="s">
        <v>8015</v>
      </c>
      <c r="B1786" s="3" t="s">
        <v>3295</v>
      </c>
      <c r="C1786" s="3" t="s">
        <v>197</v>
      </c>
      <c r="D1786" s="3" t="s">
        <v>71</v>
      </c>
      <c r="E1786" s="4" t="s">
        <v>19</v>
      </c>
      <c r="F1786" s="4" t="s">
        <v>20</v>
      </c>
      <c r="G1786" s="4" t="s">
        <v>524</v>
      </c>
      <c r="H1786" s="3" t="s">
        <v>3296</v>
      </c>
      <c r="I1786" s="3" t="s">
        <v>3297</v>
      </c>
      <c r="J1786" s="4">
        <v>18.5</v>
      </c>
      <c r="K1786" s="4">
        <v>12.0</v>
      </c>
      <c r="L1786" s="3" t="s">
        <v>387</v>
      </c>
      <c r="M1786" s="3" t="s">
        <v>8016</v>
      </c>
      <c r="N1786" s="7" t="str">
        <f>IFERROR(__xludf.DUMMYFUNCTION("GOOGLETRANSLATE(L1786, ""en"", ""pt"")"),"Ordem de serviço não disponível")</f>
        <v>Ordem de serviço não disponível</v>
      </c>
      <c r="O1786" s="7" t="str">
        <f>IFERROR(__xludf.DUMMYFUNCTION("IF(M1786="""","""",GOOGLETRANSLATE(M1786,""en"",""pt""))"),"Preparar, cozinhar, refogar, grelhar e fritar itens como frutos do mar, carnes, aves, legumes, massas e sopas. Manter as áreas da cozinha limpas e higienizadas. Armazenar todos os produtos em locais adequados. (12) vagas disponíveis. Período: 01/10/2026 a"&amp;" 31/05/2027. Necessário 3 meses de experiência. Turnos rotativos. Dias de trabalho: segunda a domingo. Horário de trabalho: 7h às 23h. Salário: US$ 18,50 a US$ 24/hora, dependendo do desempenho; horas extras: US$ 27,75 a US$ 36/hora. Pagamento quinzenal. "&amp;"O Clube oferece um bônus anual discricionário ao final da temporada, com base no desempenho e nas condições da acomodação corporativa. Acomodação opcional disponível por US$ 180/semana, sem necessidade de depósito. No entanto, reprovação em inspeções do a"&amp;"partamento/casa pode resultar em medidas disciplinares e/ou responsabilidade financeira pela reposição de itens danificados ou faltantes. Após o término do contrato de trabalho ou pedido de demissão, o trabalhador deverá desocupar a acomodação imediatamen"&amp;"te, a menos que outras providências tenham sido aprovadas e documentadas por escrito pelo The Country Club of Florida. Uniformes e refeições durante o turno serão fornecidos. Local de trabalho: 22 Country Road, Village of Golf, FL 33436. A vaga é temporár"&amp;"ia, em tempo integral. O salário será calculado com base em uma semana de trabalho. Poderá haver até 10 horas extras, quando disponíveis. Todos os descontos obrigatórios por lei serão feitos no contracheque do trabalhador. O empregador fornecerá gratuitam"&amp;"ente todas as ferramentas, materiais e equipamentos necessários para a execução do trabalho. O trabalhador receberá ou será reembolsado pelo transporte e subsistência (incluindo o custo razoável de hospedagem noturna, quando necessário, até US$ 110/noite "&amp;"para hospedagem com recibos) a uma taxa de US$ 16,78 por dia durante a viagem, até um máximo de US$ 68,00 por dia com recibos, desde o local de onde o trabalhador veio trabalhar para o empregador, seja nos EUA ou no exterior, até o local de trabalho, se o"&amp;" trabalhador completar 50% do período de emprego coberto pela ordem de serviço, de acordo com 20 CFR 655.20(j)(1)(i), mediante inclusão no pagamento da semana aplicável. O empregador fornecerá ou pagará o custo do transporte de retorno e da subsistência d"&amp;"iária do trabalhador, do local de trabalho até o local de onde o trabalhador partiu para trabalhar para o empregador, independentemente de empregos intermediários, caso o trabalhador complete o período de emprego certificado ou seja demitido do emprego po"&amp;"r qualquer motivo pelo empregador antes do término do período, de acordo com o § 655.20(j)(1)(ii); os trabalhadores com visto H-2B serão reembolsados ​​na primeira semana de trabalho por todos os vistos, processamento de vistos, travessia de fronteira e o"&amp;"utras taxas relacionadas, incluindo aquelas exigidas pelo governo (exceto taxas de passaporte). O empregador fornecerá aos trabalhadores todas as ferramentas, suprimentos e equipamentos necessários para o desempenho do trabalho, sem custo para o trabalhad"&amp;"or, de acordo com o 20 CFR 655.20(k). Os candidatos qualificados podem enviar o currículo para John Collier, no endereço 22 Country Road, Village of Golf, FL 33436, por e-mail para TCCF@ccfgolf.com ou visitar o centro de empregos local em 3400 Belvedere R"&amp;"oad, West Palm Beach, FL 33406. *Seu depósito de segurança será reembolsado após a conclusão do contrato e a inspeção da moradia. Se um trabalhador abandonar o emprego sem a permissão do empregador ou abandonar a moradia antes do término do prazo de inscr"&amp;"ição por qualquer motivo, exceto rescisão por parte do empregador, o trabalhador perderá todos os depósitos de moradia, dias de folga remunerada, férias e bônus. Após a rescisão ou demissão, o trabalhador deverá desocupar a moradia imediatamente, a menos "&amp;"que haja acordo com o empregador.* Classificação do Cargo: 35-2014.00 - Cozinheiros, Restaurante. A classificação e a descrição do cargo/setor incluem informações gerais sobre a posição, de acordo com o ONET/OES e o Sistema de Classificação Industrial da "&amp;"América do Norte. Consulte as Funções e a Ordem de Serviço para obter mais informações. Requisitos da vaga Experiência necessária: Sim Meses de experiência necessários: 3 Número de horas por semana: 35 Horário de trabalho (início/término): 19h00 - 23h00")</f>
        <v>Preparar, cozinhar, refogar, grelhar e fritar itens como frutos do mar, carnes, aves, legumes, massas e sopas. Manter as áreas da cozinha limpas e higienizadas. Armazenar todos os produtos em locais adequados. (12) vagas disponíveis. Período: 01/10/2026 a 31/05/2027. Necessário 3 meses de experiência. Turnos rotativos. Dias de trabalho: segunda a domingo. Horário de trabalho: 7h às 23h. Salário: US$ 18,50 a US$ 24/hora, dependendo do desempenho; horas extras: US$ 27,75 a US$ 36/hora. Pagamento quinzenal. O Clube oferece um bônus anual discricionário ao final da temporada, com base no desempenho e nas condições da acomodação corporativa. Acomodação opcional disponível por US$ 180/semana, sem necessidade de depósito. No entanto, reprovação em inspeções do apartamento/casa pode resultar em medidas disciplinares e/ou responsabilidade financeira pela reposição de itens danificados ou faltantes. Após o término do contrato de trabalho ou pedido de demissão, o trabalhador deverá desocupar a acomodação imediatamente, a menos que outras providências tenham sido aprovadas e documentadas por escrito pelo The Country Club of Florida. Uniformes e refeições durante o turno serão fornecidos. Local de trabalho: 22 Country Road, Village of Golf, FL 33436. A vaga é temporária, em tempo integral. O salário será calculado com base em uma semana de trabalho. Poderá haver até 10 horas extras, quando disponíveis. Todos os descontos obrigatórios por lei serão feitos no contracheque do trabalhador. O empregador fornecerá gratuitamente todas as ferramentas, materiais e equipamentos necessários para a execução do trabalho. O trabalhador receberá ou será reembolsado pelo transporte e subsistência (incluindo o custo razoável de hospedagem noturna, quando necessário, até US$ 110/noite para hospedagem com recibos) a uma taxa de US$ 16,78 por dia durante a viagem, até um máximo de US$ 68,00 por dia com recibos, desde o local de onde o trabalhador veio trabalhar para o empregador, seja nos EUA ou no exterior, até o local de trabalho, se o trabalhador completar 50% do período de emprego coberto pela ordem de serviço, de acordo com 20 CFR 655.20(j)(1)(i), mediante inclusão no pagamento da semana aplicável. O empregador fornecerá ou pagará o custo do transporte de retorno e da subsistência diária do trabalhador, do local de trabalho até o local de onde o trabalhador partiu para trabalhar para o empregador, independentemente de empregos intermediários, caso o trabalhador complete o período de emprego certificado ou seja demitido do emprego por qualquer motivo pelo empregador antes do término do período, de acordo com o § 655.20(j)(1)(ii); os trabalhadores com visto H-2B serão reembolsados ​​na primeira semana de trabalho por todos os vistos, processamento de vistos, travessia de fronteira e outras taxas relacionadas, incluindo aquelas exigidas pelo governo (exceto taxas de passaporte). O empregador fornecerá aos trabalhadores todas as ferramentas, suprimentos e equipamentos necessários para o desempenho do trabalho, sem custo para o trabalhador, de acordo com o 20 CFR 655.20(k). Os candidatos qualificados podem enviar o currículo para John Collier, no endereço 22 Country Road, Village of Golf, FL 33436, por e-mail para TCCF@ccfgolf.com ou visitar o centro de empregos local em 3400 Belvedere Road, West Palm Beach, FL 33406. *Seu depósito de segurança será reembolsado após a conclusão do contrato e a inspeção da moradia. Se um trabalhador abandonar o emprego sem a permissão do empregador ou abandonar a moradia antes do término do prazo de inscrição por qualquer motivo, exceto rescisão por parte do empregador, o trabalhador perderá todos os depósitos de moradia, dias de folga remunerada, férias e bônus. Após a rescisão ou demissão, o trabalhador deverá desocupar a moradia imediatamente, a menos que haja acordo com o empregador.* Classificação do Cargo: 35-2014.00 - Cozinheiros, Restaurante. A classificação e a descrição do cargo/setor incluem informações gerais sobre a posição, de acordo com o ONET/OES e o Sistema de Classificação Industrial da América do Norte. Consulte as Funções e a Ordem de Serviço para obter mais informações. Requisitos da vaga Experiência necessária: Sim Meses de experiência necessários: 3 Número de horas por semana: 35 Horário de trabalho (início/término): 19h00 - 23h00</v>
      </c>
    </row>
    <row r="1787" ht="20.25" customHeight="1">
      <c r="A1787" s="8" t="s">
        <v>8017</v>
      </c>
      <c r="B1787" s="8" t="s">
        <v>8018</v>
      </c>
      <c r="C1787" s="8" t="s">
        <v>197</v>
      </c>
      <c r="D1787" s="8" t="s">
        <v>71</v>
      </c>
      <c r="E1787" s="9" t="s">
        <v>19</v>
      </c>
      <c r="F1787" s="9" t="s">
        <v>20</v>
      </c>
      <c r="G1787" s="9" t="s">
        <v>524</v>
      </c>
      <c r="H1787" s="8" t="s">
        <v>8019</v>
      </c>
      <c r="I1787" s="8" t="s">
        <v>8020</v>
      </c>
      <c r="J1787" s="9">
        <v>18.71</v>
      </c>
      <c r="K1787" s="9">
        <v>10.0</v>
      </c>
      <c r="L1787" s="8" t="s">
        <v>201</v>
      </c>
      <c r="M1787" s="8" t="s">
        <v>8021</v>
      </c>
      <c r="N1787" s="7" t="str">
        <f>IFERROR(__xludf.DUMMYFUNCTION("GOOGLETRANSLATE(L1787, ""en"", ""pt"")"),"Servidores")</f>
        <v>Servidores</v>
      </c>
      <c r="O1787" s="7" t="str">
        <f>IFERROR(__xludf.DUMMYFUNCTION("IF(M1787="""","""",GOOGLETRANSLATE(M1787,""en"",""pt""))"),"Receber pedidos, servir comidas e bebidas aos clientes. Limpar e arrumar as mesas. Receber pagamentos e entregar recibos. Manter todos os postos de trabalho abastecidos e realizar todos os demais serviços relacionados ao atendimento. (10) vagas disponívei"&amp;"s. Período: 01/10/2026 a 31/05/2027. Necessário 3 meses de experiência. Turnos rotativos. Dias de trabalho: segunda a domingo. Horário: 6h às 22h. Salário: US$ 10 a US$ 12 por hora, mais gorjetas, mas não menos que US$ 18,71 por hora, US$ 28,07 por hora e"&amp;"m horas extras. Pagamento quinzenal. 35 horas semanais. Alojamento opcional por US$ 150 a US$ 250 por semana, com depósito de US$ 300, reembolsável após a assinatura do contrato e vistoria do imóvel. Uniformes e refeições durante o turno fornecidos. Local"&amp;" de trabalho: 1338 North Lake Way, Palm Beach, FL 33480. Trabalho temporário em tempo integral. O salário será calculado com base em uma semana de trabalho. Possibilidade de até 10 horas extras, quando disponíveis. Todas as deduções do salário do trabalha"&amp;"dor exigidas por lei serão feitas. O empregador fornecerá aos trabalhadores, sem custo algum, todas as ferramentas, suprimentos e equipamentos necessários para a execução do trabalho. O trabalhador receberá ou será reembolsado pelas despesas de transporte"&amp;" e subsistência (incluindo o custo razoável de hospedagem noturna, quando necessário, até US$ 110 por noite, mediante apresentação de recibos) à taxa de US$ 16,78 por dia durante o deslocamento, até um máximo de US$ 68,00 por dia, mediante apresentação de"&amp;" recibos, desde o local de origem do trabalhador, seja nos EUA ou no exterior, até o local de trabalho, caso o trabalhador complete 50% do período de trabalho abrangido pela ordem de serviço, em conformidade com 20 CFR 655.20(j)(1)(i), mediante inclusão n"&amp;"o salário da semana correspondente. O empregador fornecerá ou pagará o custo do transporte de retorno e da subsistência diária do trabalhador, do local de trabalho até o local de onde o trabalhador partiu para trabalhar para o empregador, independentement"&amp;"e de empregos intermediários, caso o trabalhador complete o período de emprego certificado ou seja demitido do emprego por qualquer motivo pelo empregador antes do término do período, de acordo com o § 655.20(j)(1)(ii); os trabalhadores com visto H-2B ser"&amp;"ão reembolsados ​​na primeira semana de trabalho por todos os vistos, processamento de vistos, travessia de fronteira e outras taxas relacionadas, incluindo aquelas exigidas pelo governo (exceto taxas de passaporte). O empregador fornecerá aos trabalhador"&amp;"es todas as ferramentas, suprimentos e equipamentos necessários para o desempenho do trabalho, sem custo. Classificação do Cargo: 35-3031.00 - Garçons e Garçonetes. A classificação e descrição do cargo/setor incluem informações gerais sobre a posição, pro"&amp;"venientes do ONET/OES e do Sistema de Classificação Industrial da América do Norte. Consulte as Funções e a Ordem de Serviço para obter mais informações. Requisitos da vaga Experiência necessária: Sim Meses de experiência necessários: 3 Número de horas po"&amp;"r semana: 35 Horário de trabalho (início/término): 6h às 22h")</f>
        <v>Receber pedidos, servir comidas e bebidas aos clientes. Limpar e arrumar as mesas. Receber pagamentos e entregar recibos. Manter todos os postos de trabalho abastecidos e realizar todos os demais serviços relacionados ao atendimento. (10) vagas disponíveis. Período: 01/10/2026 a 31/05/2027. Necessário 3 meses de experiência. Turnos rotativos. Dias de trabalho: segunda a domingo. Horário: 6h às 22h. Salário: US$ 10 a US$ 12 por hora, mais gorjetas, mas não menos que US$ 18,71 por hora, US$ 28,07 por hora em horas extras. Pagamento quinzenal. 35 horas semanais. Alojamento opcional por US$ 150 a US$ 250 por semana, com depósito de US$ 300, reembolsável após a assinatura do contrato e vistoria do imóvel. Uniformes e refeições durante o turno fornecidos. Local de trabalho: 1338 North Lake Way, Palm Beach, FL 33480. Trabalho temporário em tempo integral. O salário será calculado com base em uma semana de trabalho. Possibilidade de até 10 horas extras, quando disponíveis. Todas as deduções do salário do trabalhador exigidas por lei serão feitas. O empregador fornecerá aos trabalhadores, sem custo algum, todas as ferramentas, suprimentos e equipamentos necessários para a execução do trabalho. O trabalhador receberá ou será reembolsado pelas despesas de transporte e subsistência (incluindo o custo razoável de hospedagem noturna, quando necessário, até US$ 110 por noite, mediante apresentação de recibos) à taxa de US$ 16,78 por dia durante o deslocamento, até um máximo de US$ 68,00 por dia, mediante apresentação de recibos, desde o local de origem do trabalhador, seja nos EUA ou no exterior, até o local de trabalho, caso o trabalhador complete 50% do período de trabalho abrangido pela ordem de serviço, em conformidade com 20 CFR 655.20(j)(1)(i), mediante inclusão no salário da semana correspondente. O empregador fornecerá ou pagará o custo do transporte de retorno e da subsistência diária do trabalhador, do local de trabalho até o local de onde o trabalhador partiu para trabalhar para o empregador, independentemente de empregos intermediários, caso o trabalhador complete o período de emprego certificado ou seja demitido do emprego por qualquer motivo pelo empregador antes do término do período, de acordo com o § 655.20(j)(1)(ii); os trabalhadores com visto H-2B serão reembolsados ​​na primeira semana de trabalho por todos os vistos, processamento de vistos, travessia de fronteira e outras taxas relacionadas, incluindo aquelas exigidas pelo governo (exceto taxas de passaporte). O empregador fornecerá aos trabalhadores todas as ferramentas, suprimentos e equipamentos necessários para o desempenho do trabalho, sem custo. Classificação do Cargo: 35-3031.00 - Garçons e Garçonetes. A classificação e descrição do cargo/setor incluem informações gerais sobre a posição, provenientes do ONET/OES e do Sistema de Classificação Industrial da América do Norte. Consulte as Funções e a Ordem de Serviço para obter mais informações. Requisitos da vaga Experiência necessária: Sim Meses de experiência necessários: 3 Número de horas por semana: 35 Horário de trabalho (início/término): 6h às 22h</v>
      </c>
    </row>
    <row r="1788" ht="20.25" customHeight="1">
      <c r="A1788" s="3" t="s">
        <v>8022</v>
      </c>
      <c r="B1788" s="3" t="s">
        <v>8018</v>
      </c>
      <c r="C1788" s="3" t="s">
        <v>197</v>
      </c>
      <c r="D1788" s="3" t="s">
        <v>71</v>
      </c>
      <c r="E1788" s="4" t="s">
        <v>44</v>
      </c>
      <c r="F1788" s="4" t="s">
        <v>20</v>
      </c>
      <c r="G1788" s="4" t="s">
        <v>524</v>
      </c>
      <c r="H1788" s="3" t="s">
        <v>8019</v>
      </c>
      <c r="I1788" s="3" t="s">
        <v>8020</v>
      </c>
      <c r="J1788" s="4">
        <v>20.0</v>
      </c>
      <c r="K1788" s="4">
        <v>7.0</v>
      </c>
      <c r="L1788" s="3" t="s">
        <v>489</v>
      </c>
      <c r="M1788" s="3" t="s">
        <v>8023</v>
      </c>
      <c r="N1788" s="7" t="str">
        <f>IFERROR(__xludf.DUMMYFUNCTION("GOOGLETRANSLATE(L1788, ""en"", ""pt"")"),"Cozinheiros de linha")</f>
        <v>Cozinheiros de linha</v>
      </c>
      <c r="O1788" s="7" t="str">
        <f>IFERROR(__xludf.DUMMYFUNCTION("IF(M1788="""","""",GOOGLETRANSLATE(M1788,""en"",""pt""))"),"Preparar, cozinhar, refogar, grelhar e fritar itens como frutos do mar, carnes, aves, legumes, massas e sopas. Manter as áreas da cozinha limpas e higienizadas. Armazenar todos os produtos em locais adequados e realizar todos os demais serviços relacionad"&amp;"os à cozinha. (7) vagas disponíveis. Período: 01/10/2026 a 31/05/2027. Necessário 3 meses de experiência. Turnos rotativos. Dias de trabalho: segunda a domingo. Horário de trabalho: 6h às 22h. Salário: US$ 20 a US$ 23,50 por hora, com base no desempenho; "&amp;"horas extras: US$ 30 a US$ 35,25 por hora. Pagamento quinzenal. 35 horas semanais. Alojamento opcional disponível por US$ 150 a US$ 250 por semana, com depósito de US$ 300, reembolsável após a assinatura do contrato e vistoria do imóvel. Uniformes e refei"&amp;"ções durante o turno fornecidos. Local de trabalho: 1338 North Lake Way, Palm Beach, FL 33480. Trabalho temporário em tempo integral. O salário será calculado com base em uma semana de trabalho. Poderá ser feito até 10 horas extras, quando disponíveis. To"&amp;"dos os descontos exigidos por lei serão efetuados no contracheque do trabalhador. O empregador fornecerá ao trabalhador, sem custos, todas as ferramentas, materiais e equipamentos necessários para a execução do trabalho. O trabalhador receberá ou será ree"&amp;"mbolsado pelas despesas de transporte e alimentação (incluindo o custo razoável de hospedagem, quando necessário, até US$ 110 por noite, mediante apresentação de recibos) no valor de US$ 16,78 por dia durante o deslocamento, até um máximo de US$ 68,00 por"&amp;" dia, mediante apresentação de recibos, desde o local de origem do trabalhador, seja nos EUA ou no exterior, até o local de trabalho, caso o trabalhador complete 50% do período de trabalho abrangido pela ordem de serviço, em conformidade com o 20 CFR 655."&amp;"20(j)(1)(i), mediante inclusão no contracheque da semana correspondente. O empregador fornecerá ou pagará o custo do transporte de retorno e da subsistência diária do trabalhador, do local de trabalho até o local de onde o trabalhador partiu para trabalha"&amp;"r para o empregador, independentemente de empregos intermediários, caso o trabalhador complete o período de emprego certificado ou seja demitido do emprego por qualquer motivo pelo empregador antes do término do período, de acordo com o § 655.20(j)(1)(ii)"&amp;"; os trabalhadores com visto H-2B serão reembolsados ​​na primeira semana de trabalho por todos os vistos, processamento de vistos, travessia de fronteira e outras taxas relacionadas, incluindo aquelas exigidas pelo governo (exceto taxas de passaporte). O"&amp;" empregador fornecerá aos trabalhadores todas as ferramentas, suprimentos e equipamentos necessários para o desempenho do trabalho, sem custo para o trabalhador, de acordo com o 20 CFR 655.20(k). Os candidatos qualificados podem enviar o currículo para Ry"&amp;"an Barry, aos cuidados de 1338 North Lake Way, Palm Beach, FL 33480, por e-mail para HR@sailfishclub.com ou visitar o centro de empregos local em 3400 Belvedere Road, West Palm Beach, FL 33406. *Seu depósito de segurança será reembolsado após a conclusão "&amp;"do contrato e a inspeção da moradia. Se um trabalhador abandonar o emprego sem a permissão do empregador ou abandonar a moradia antes do término do prazo de inscrição por qualquer motivo, exceto rescisão por parte do empregador, o trabalhador perderá todo"&amp;"s os depósitos de moradia, dias de folga remunerada, férias e bônus. Após a rescisão ou demissão, o trabalhador deverá desocupar a moradia imediatamente, a menos que haja acordo com o empregador.* Classificação do Cargo: 35-2014.00 - Cozinheiros, Restaura"&amp;"nte. A classificação e descrição do cargo/setor incluem informações gerais sobre a posição, de acordo com o ONET/OES e o Sistema de Classificação Industrial da América do Norte. Consulte as Funções e a Ordem de Serviço para obter mais informações. Requisi"&amp;"tos da vaga Experiência necessária: Sim Meses de experiência necessários: 3 Número de horas por semana: 35 Horário de trabalho (início/término): 6h às 22h")</f>
        <v>Preparar, cozinhar, refogar, grelhar e fritar itens como frutos do mar, carnes, aves, legumes, massas e sopas. Manter as áreas da cozinha limpas e higienizadas. Armazenar todos os produtos em locais adequados e realizar todos os demais serviços relacionados à cozinha. (7) vagas disponíveis. Período: 01/10/2026 a 31/05/2027. Necessário 3 meses de experiência. Turnos rotativos. Dias de trabalho: segunda a domingo. Horário de trabalho: 6h às 22h. Salário: US$ 20 a US$ 23,50 por hora, com base no desempenho; horas extras: US$ 30 a US$ 35,25 por hora. Pagamento quinzenal. 35 horas semanais. Alojamento opcional disponível por US$ 150 a US$ 250 por semana, com depósito de US$ 300, reembolsável após a assinatura do contrato e vistoria do imóvel. Uniformes e refeições durante o turno fornecidos. Local de trabalho: 1338 North Lake Way, Palm Beach, FL 33480. Trabalho temporário em tempo integral. O salário será calculado com base em uma semana de trabalho. Poderá ser feito até 10 horas extras, quando disponíveis. Todos os descontos exigidos por lei serão efetuados no contracheque do trabalhador. O empregador fornecerá ao trabalhador, sem custos, todas as ferramentas, materiais e equipamentos necessários para a execução do trabalho. O trabalhador receberá ou será reembolsado pelas despesas de transporte e alimentação (incluindo o custo razoável de hospedagem, quando necessário, até US$ 110 por noite, mediante apresentação de recibos) no valor de US$ 16,78 por dia durante o deslocamento, até um máximo de US$ 68,00 por dia, mediante apresentação de recibos, desde o local de origem do trabalhador, seja nos EUA ou no exterior, até o local de trabalho, caso o trabalhador complete 50% do período de trabalho abrangido pela ordem de serviço, em conformidade com o 20 CFR 655.20(j)(1)(i), mediante inclusão no contracheque da semana correspondente. O empregador fornecerá ou pagará o custo do transporte de retorno e da subsistência diária do trabalhador, do local de trabalho até o local de onde o trabalhador partiu para trabalhar para o empregador, independentemente de empregos intermediários, caso o trabalhador complete o período de emprego certificado ou seja demitido do emprego por qualquer motivo pelo empregador antes do término do período, de acordo com o § 655.20(j)(1)(ii); os trabalhadores com visto H-2B serão reembolsados ​​na primeira semana de trabalho por todos os vistos, processamento de vistos, travessia de fronteira e outras taxas relacionadas, incluindo aquelas exigidas pelo governo (exceto taxas de passaporte). O empregador fornecerá aos trabalhadores todas as ferramentas, suprimentos e equipamentos necessários para o desempenho do trabalho, sem custo para o trabalhador, de acordo com o 20 CFR 655.20(k). Os candidatos qualificados podem enviar o currículo para Ryan Barry, aos cuidados de 1338 North Lake Way, Palm Beach, FL 33480, por e-mail para HR@sailfishclub.com ou visitar o centro de empregos local em 3400 Belvedere Road, West Palm Beach, FL 33406. *Seu depósito de segurança será reembolsado após a conclusão do contrato e a inspeção da moradia. Se um trabalhador abandonar o emprego sem a permissão do empregador ou abandonar a moradia antes do término do prazo de inscrição por qualquer motivo, exceto rescisão por parte do empregador, o trabalhador perderá todos os depósitos de moradia, dias de folga remunerada, férias e bônus. Após a rescisão ou demissão, o trabalhador deverá desocupar a moradia imediatamente, a menos que haja acordo com o empregador.* Classificação do Cargo: 35-2014.00 - Cozinheiros, Restaurante. A classificação e descrição do cargo/setor incluem informações gerais sobre a posição, de acordo com o ONET/OES e o Sistema de Classificação Industrial da América do Norte. Consulte as Funções e a Ordem de Serviço para obter mais informações. Requisitos da vaga Experiência necessária: Sim Meses de experiência necessários: 3 Número de horas por semana: 35 Horário de trabalho (início/término): 6h às 22h</v>
      </c>
    </row>
    <row r="1789" ht="20.25" customHeight="1">
      <c r="A1789" s="8" t="s">
        <v>8024</v>
      </c>
      <c r="B1789" s="8" t="s">
        <v>8025</v>
      </c>
      <c r="C1789" s="8" t="s">
        <v>197</v>
      </c>
      <c r="D1789" s="8" t="s">
        <v>71</v>
      </c>
      <c r="E1789" s="9" t="s">
        <v>19</v>
      </c>
      <c r="F1789" s="9" t="s">
        <v>20</v>
      </c>
      <c r="G1789" s="9" t="s">
        <v>524</v>
      </c>
      <c r="H1789" s="8" t="s">
        <v>8026</v>
      </c>
      <c r="I1789" s="8" t="s">
        <v>8027</v>
      </c>
      <c r="J1789" s="9">
        <v>18.23</v>
      </c>
      <c r="K1789" s="9">
        <v>4.0</v>
      </c>
      <c r="L1789" s="8" t="s">
        <v>387</v>
      </c>
      <c r="M1789" s="8" t="s">
        <v>8028</v>
      </c>
      <c r="N1789" s="7" t="str">
        <f>IFERROR(__xludf.DUMMYFUNCTION("GOOGLETRANSLATE(L1789, ""en"", ""pt"")"),"Ordem de serviço não disponível")</f>
        <v>Ordem de serviço não disponível</v>
      </c>
      <c r="O1789" s="7" t="str">
        <f>IFERROR(__xludf.DUMMYFUNCTION("IF(M1789="""","""",GOOGLETRANSLATE(M1789,""en"",""pt""))"),"Preparar, cozinhar, refogar, grelhar e fritar itens como frutos do mar, carnes, aves, legumes, massas e sopas. Manter as áreas da cozinha limpas e higienizadas. Armazenar todos os produtos em locais adequados e realizar todos os demais serviços relacionad"&amp;"os à cozinha. (4) vagas disponíveis. Período: 01/10/2026 a 31/05/2027. Necessário 3 meses de experiência. Turnos rotativos. Dias de trabalho: segunda a domingo. Horário de trabalho: 6h às 22h. Salário: US$ 18,23 a US$ 23/hora, com base no desempenho; US$ "&amp;"27,35 a US$ 34,50/hora para horas extras. Pagamento semanal. 35 horas semanais. Alojamento opcional por US$ 150 a US$ 200/semana, com tudo incluso, mediante depósito de US$ 350 (US$ 300 reembolsáveis ​​após inspeção e conclusão do contrato / US$ 50 não re"&amp;"embolsáveis). Uniformes e refeições durante o turno fornecidos. Local de trabalho: 250 Venice Golf Club Drive, Venice, FL 34292. A vaga é temporária, em tempo integral. O salário será calculado com base em uma semana de trabalho. Poderá haver até 10 horas"&amp;" extras, quando disponíveis. Todos os descontos obrigatórios por lei serão feitos no contracheque do trabalhador. O empregador fornecerá gratuitamente todas as ferramentas, materiais e equipamentos necessários para a execução do trabalho. O trabalhador re"&amp;"ceberá ou será reembolsado pelo transporte e subsistência (incluindo o custo razoável de hospedagem noturna, quando necessário, até US$ 110/noite para hospedagem com recibos) a uma taxa de US$ 16,78 por dia durante a viagem, até um máximo de US$ 68,00 por"&amp;" dia com recibos, desde o local de onde o trabalhador veio trabalhar para o empregador, seja nos EUA ou no exterior, até o local de trabalho, se o trabalhador completar 50% do período de emprego coberto pela ordem de serviço, de acordo com 20 CFR 655.20(j"&amp;")(1)(i), mediante inclusão no pagamento da semana aplicável. O empregador fornecerá ou pagará o custo do transporte de retorno e da subsistência diária do trabalhador, do local de trabalho até o local de onde o trabalhador partiu para trabalhar para o emp"&amp;"regador, independentemente de empregos intermediários, caso o trabalhador complete o período de emprego certificado ou seja demitido do emprego por qualquer motivo pelo empregador antes do término do período, de acordo com o § 655.20(j)(1)(ii); os trabalh"&amp;"adores com visto H-2B serão reembolsados ​​na primeira semana de trabalho por todos os vistos, processamento de vistos, travessia de fronteira e outras taxas relacionadas, incluindo aquelas exigidas pelo governo (exceto taxas de passaporte). O empregador "&amp;"fornecerá aos trabalhadores todas as ferramentas, suprimentos e equipamentos necessários para o desempenho do trabalho, sem custo para o trabalhador, de acordo com o 20 CFR 655.20(k). Os candidatos qualificados podem enviar o currículo para Peter Cizdziel"&amp;", no endereço 250 Venice Golf Club Drive, Venice, FL 34292, por e-mail para H2Bjobs@venicegcc.com ou visitar o centro de empregos local em 3660 N. Washington Blvd., Sarasota, FL 34234. *Seu depósito de segurança será reembolsado após a conclusão do contra"&amp;"to e a inspeção da moradia. Se um trabalhador abandonar o emprego sem a permissão do empregador ou abandonar a moradia antes do término do prazo de solicitação por qualquer motivo, exceto rescisão por parte do empregador, o trabalhador perderá todos os de"&amp;"pósitos de moradia, dias de folga remunerada, férias e bônus. Após a rescisão ou demissão, o trabalhador deverá desocupar a moradia imediatamente, a menos que haja acordo com o empregador.* Classificação do Cargo: 35-2014.00 - Cozinheiros, Restaurante. A "&amp;"classificação e a descrição do cargo/setor incluem informações gerais sobre a posição, de acordo com o ONET/OES e o Sistema de Classificação Industrial da América do Norte. Consulte as Funções e a Ordem de Serviço para obter mais informações. Requisitos d"&amp;"a vaga Experiência necessária: Sim Meses de experiência necessários: 3 Número de horas por semana: 35 Horário de trabalho (início/término): 6h às 22h")</f>
        <v>Preparar, cozinhar, refogar, grelhar e fritar itens como frutos do mar, carnes, aves, legumes, massas e sopas. Manter as áreas da cozinha limpas e higienizadas. Armazenar todos os produtos em locais adequados e realizar todos os demais serviços relacionados à cozinha. (4) vagas disponíveis. Período: 01/10/2026 a 31/05/2027. Necessário 3 meses de experiência. Turnos rotativos. Dias de trabalho: segunda a domingo. Horário de trabalho: 6h às 22h. Salário: US$ 18,23 a US$ 23/hora, com base no desempenho; US$ 27,35 a US$ 34,50/hora para horas extras. Pagamento semanal. 35 horas semanais. Alojamento opcional por US$ 150 a US$ 200/semana, com tudo incluso, mediante depósito de US$ 350 (US$ 300 reembolsáveis ​​após inspeção e conclusão do contrato / US$ 50 não reembolsáveis). Uniformes e refeições durante o turno fornecidos. Local de trabalho: 250 Venice Golf Club Drive, Venice, FL 34292. A vaga é temporária, em tempo integral. O salário será calculado com base em uma semana de trabalho. Poderá haver até 10 horas extras, quando disponíveis. Todos os descontos obrigatórios por lei serão feitos no contracheque do trabalhador. O empregador fornecerá gratuitamente todas as ferramentas, materiais e equipamentos necessários para a execução do trabalho. O trabalhador receberá ou será reembolsado pelo transporte e subsistência (incluindo o custo razoável de hospedagem noturna, quando necessário, até US$ 110/noite para hospedagem com recibos) a uma taxa de US$ 16,78 por dia durante a viagem, até um máximo de US$ 68,00 por dia com recibos, desde o local de onde o trabalhador veio trabalhar para o empregador, seja nos EUA ou no exterior, até o local de trabalho, se o trabalhador completar 50% do período de emprego coberto pela ordem de serviço, de acordo com 20 CFR 655.20(j)(1)(i), mediante inclusão no pagamento da semana aplicável. O empregador fornecerá ou pagará o custo do transporte de retorno e da subsistência diária do trabalhador, do local de trabalho até o local de onde o trabalhador partiu para trabalhar para o empregador, independentemente de empregos intermediários, caso o trabalhador complete o período de emprego certificado ou seja demitido do emprego por qualquer motivo pelo empregador antes do término do período, de acordo com o § 655.20(j)(1)(ii); os trabalhadores com visto H-2B serão reembolsados ​​na primeira semana de trabalho por todos os vistos, processamento de vistos, travessia de fronteira e outras taxas relacionadas, incluindo aquelas exigidas pelo governo (exceto taxas de passaporte). O empregador fornecerá aos trabalhadores todas as ferramentas, suprimentos e equipamentos necessários para o desempenho do trabalho, sem custo para o trabalhador, de acordo com o 20 CFR 655.20(k). Os candidatos qualificados podem enviar o currículo para Peter Cizdziel, no endereço 250 Venice Golf Club Drive, Venice, FL 34292, por e-mail para H2Bjobs@venicegcc.com ou visitar o centro de empregos local em 3660 N. Washington Blvd., Sarasota, FL 34234. *Seu depósito de segurança será reembolsado após a conclusão do contrato e a inspeção da moradia. Se um trabalhador abandonar o emprego sem a permissão do empregador ou abandonar a moradia antes do término do prazo de solicitação por qualquer motivo, exceto rescisão por parte do empregador, o trabalhador perderá todos os depósitos de moradia, dias de folga remunerada, férias e bônus. Após a rescisão ou demissão, o trabalhador deverá desocupar a moradia imediatamente, a menos que haja acordo com o empregador.* Classificação do Cargo: 35-2014.00 - Cozinheiros, Restaurante. A classificação e a descrição do cargo/setor incluem informações gerais sobre a posição, de acordo com o ONET/OES e o Sistema de Classificação Industrial da América do Norte. Consulte as Funções e a Ordem de Serviço para obter mais informações. Requisitos da vaga Experiência necessária: Sim Meses de experiência necessários: 3 Número de horas por semana: 35 Horário de trabalho (início/término): 6h às 22h</v>
      </c>
    </row>
    <row r="1790" ht="20.25" customHeight="1">
      <c r="A1790" s="3" t="s">
        <v>8029</v>
      </c>
      <c r="B1790" s="3" t="s">
        <v>8025</v>
      </c>
      <c r="C1790" s="3" t="s">
        <v>197</v>
      </c>
      <c r="D1790" s="3" t="s">
        <v>71</v>
      </c>
      <c r="E1790" s="4" t="s">
        <v>19</v>
      </c>
      <c r="F1790" s="4" t="s">
        <v>20</v>
      </c>
      <c r="G1790" s="4" t="s">
        <v>524</v>
      </c>
      <c r="H1790" s="3" t="s">
        <v>8026</v>
      </c>
      <c r="I1790" s="3" t="s">
        <v>8027</v>
      </c>
      <c r="J1790" s="4">
        <v>18.74</v>
      </c>
      <c r="K1790" s="4">
        <v>8.0</v>
      </c>
      <c r="L1790" s="3" t="s">
        <v>1206</v>
      </c>
      <c r="M1790" s="3" t="s">
        <v>8030</v>
      </c>
      <c r="N1790" s="7" t="str">
        <f>IFERROR(__xludf.DUMMYFUNCTION("GOOGLETRANSLATE(L1790, ""en"", ""pt"")"),"Servidor")</f>
        <v>Servidor</v>
      </c>
      <c r="O1790" s="7" t="str">
        <f>IFERROR(__xludf.DUMMYFUNCTION("IF(M1790="""","""",GOOGLETRANSLATE(M1790,""en"",""pt""))"),"Receber pedidos, servir comidas e bebidas aos clientes. Limpar e arrumar as mesas. Receber pagamentos e entregar recibos. Manter todos os postos de trabalho abastecidos e realizar todos os demais serviços relacionados ao atendimento. (8) vagas disponíveis"&amp;". Período: 01/10/2026 a 31/05/2027. Necessário 3 meses de experiência. Turnos rotativos. Dias de trabalho: segunda a domingo. Horário: 6h às 22h. Salário: US$ 10,98/hora mais gorjetas, com um mínimo de US$ 18,74/hora e US$ 28,11/hora para horas extras. Pa"&amp;"gamento semanal. 35 horas semanais. Alojamento opcional por US$ 150 a US$ 200/semana, com tudo incluso e um depósito de US$ 350 (US$ 300 reembolsáveis ​​após inspeção e assinatura do contrato/US$ 50 não reembolsáveis). Uniformes e refeições durante o turn"&amp;"o fornecidos. Local de trabalho: 250 Venice Golf Club Drive, Venice, FL 34292. Trabalho temporário em tempo integral. O salário será calculado com base em uma semana de trabalho. Poderá ser feito até 10 horas extras, quando disponíveis. Todos os descontos"&amp;" exigidos por lei serão efetuados no contracheque do trabalhador. O empregador fornecerá ao trabalhador, sem custos, todas as ferramentas, materiais e equipamentos necessários para a execução do trabalho. O trabalhador receberá ou será reembolsado pelas d"&amp;"espesas de transporte e alimentação (incluindo o custo razoável de hospedagem, quando necessário, até US$ 110 por noite, mediante apresentação de recibos) no valor de US$ 16,78 por dia durante o deslocamento, até um máximo de US$ 68,00 por dia, mediante a"&amp;"presentação de recibos, desde o local de origem do trabalhador, seja nos EUA ou no exterior, até o local de trabalho, caso o trabalhador complete 50% do período de trabalho abrangido pela ordem de serviço, em conformidade com o 20 CFR 655.20(j)(1)(i), med"&amp;"iante inclusão no contracheque da semana correspondente. O empregador fornecerá ou pagará o custo do transporte de retorno e da subsistência diária do trabalhador, do local de trabalho até o local de onde o trabalhador partiu para trabalhar para o emprega"&amp;"dor, independentemente de empregos intermediários, caso o trabalhador complete o período de emprego certificado ou seja demitido do emprego por qualquer motivo pelo empregador antes do término do período, de acordo com o § 655.20(j)(1)(ii); os trabalhador"&amp;"es com visto H-2B serão reembolsados ​​na primeira semana de trabalho por todos os vistos, processamento de vistos, travessia de fronteira e outras taxas relacionadas, incluindo aquelas exigidas pelo governo (exceto taxas de passaporte). O empregador forn"&amp;"ecerá aos trabalhadores todas as ferramentas, suprimentos e equipamentos necessários para o desempenho do trabalho, sem custo para o trabalhador, de acordo com o 20 CFR 655.20(k). Os candidatos qualificados podem enviar o currículo para Peter Cizdziel, no"&amp;" endereço 250 Venice Golf Club Drive, Venice, FL 34292, por e-mail para H2Bjobs@venicegcc.com ou visitar o centro de empregos local em 3660 N. Washington Blvd., Sarasota, FL 34234. *Seu depósito de segurança será reembolsado após a conclusão do contrato e"&amp;" a inspeção da moradia. Se um trabalhador abandonar o emprego sem a permissão do empregador ou abandonar a moradia antes do término do prazo de solicitação por qualquer motivo, exceto rescisão por parte do empregador, o trabalhador perderá todos os depósi"&amp;"tos de moradia, dias de folga remunerada, férias e bônus. Após a rescisão ou demissão, o trabalhador deverá desocupar a moradia imediatamente, a menos que haja acordo com o empregador.* Classificação da vaga: 35-3031.00 - Garçons e Garçonetes. A classific"&amp;"ação e a descrição da vaga/setor incluem informações gerais sobre o cargo, de acordo com o ONET/OES e o Sistema de Classificação Industrial da América do Norte. Consulte as Funções e a Ordem de Serviço para obter mais informações. Requisitos da vaga Exper"&amp;"iência necessária: Sim Meses de experiência necessários: 3 Número de horas por semana: 35 Horário de trabalho (início/término): 6h às 22h")</f>
        <v>Receber pedidos, servir comidas e bebidas aos clientes. Limpar e arrumar as mesas. Receber pagamentos e entregar recibos. Manter todos os postos de trabalho abastecidos e realizar todos os demais serviços relacionados ao atendimento. (8) vagas disponíveis. Período: 01/10/2026 a 31/05/2027. Necessário 3 meses de experiência. Turnos rotativos. Dias de trabalho: segunda a domingo. Horário: 6h às 22h. Salário: US$ 10,98/hora mais gorjetas, com um mínimo de US$ 18,74/hora e US$ 28,11/hora para horas extras. Pagamento semanal. 35 horas semanais. Alojamento opcional por US$ 150 a US$ 200/semana, com tudo incluso e um depósito de US$ 350 (US$ 300 reembolsáveis ​​após inspeção e assinatura do contrato/US$ 50 não reembolsáveis). Uniformes e refeições durante o turno fornecidos. Local de trabalho: 250 Venice Golf Club Drive, Venice, FL 34292. Trabalho temporário em tempo integral. O salário será calculado com base em uma semana de trabalho. Poderá ser feito até 10 horas extras, quando disponíveis. Todos os descontos exigidos por lei serão efetuados no contracheque do trabalhador. O empregador fornecerá ao trabalhador, sem custos, todas as ferramentas, materiais e equipamentos necessários para a execução do trabalho. O trabalhador receberá ou será reembolsado pelas despesas de transporte e alimentação (incluindo o custo razoável de hospedagem, quando necessário, até US$ 110 por noite, mediante apresentação de recibos) no valor de US$ 16,78 por dia durante o deslocamento, até um máximo de US$ 68,00 por dia, mediante apresentação de recibos, desde o local de origem do trabalhador, seja nos EUA ou no exterior, até o local de trabalho, caso o trabalhador complete 50% do período de trabalho abrangido pela ordem de serviço, em conformidade com o 20 CFR 655.20(j)(1)(i), mediante inclusão no contracheque da semana correspondente. O empregador fornecerá ou pagará o custo do transporte de retorno e da subsistência diária do trabalhador, do local de trabalho até o local de onde o trabalhador partiu para trabalhar para o empregador, independentemente de empregos intermediários, caso o trabalhador complete o período de emprego certificado ou seja demitido do emprego por qualquer motivo pelo empregador antes do término do período, de acordo com o § 655.20(j)(1)(ii); os trabalhadores com visto H-2B serão reembolsados ​​na primeira semana de trabalho por todos os vistos, processamento de vistos, travessia de fronteira e outras taxas relacionadas, incluindo aquelas exigidas pelo governo (exceto taxas de passaporte). O empregador fornecerá aos trabalhadores todas as ferramentas, suprimentos e equipamentos necessários para o desempenho do trabalho, sem custo para o trabalhador, de acordo com o 20 CFR 655.20(k). Os candidatos qualificados podem enviar o currículo para Peter Cizdziel, no endereço 250 Venice Golf Club Drive, Venice, FL 34292, por e-mail para H2Bjobs@venicegcc.com ou visitar o centro de empregos local em 3660 N. Washington Blvd., Sarasota, FL 34234. *Seu depósito de segurança será reembolsado após a conclusão do contrato e a inspeção da moradia. Se um trabalhador abandonar o emprego sem a permissão do empregador ou abandonar a moradia antes do término do prazo de solicitação por qualquer motivo, exceto rescisão por parte do empregador, o trabalhador perderá todos os depósitos de moradia, dias de folga remunerada, férias e bônus. Após a rescisão ou demissão, o trabalhador deverá desocupar a moradia imediatamente, a menos que haja acordo com o empregador.* Classificação da vaga: 35-3031.00 - Garçons e Garçonetes. A classificação e a descrição da vaga/setor incluem informações gerais sobre o cargo, de acordo com o ONET/OES e o Sistema de Classificação Industrial da América do Norte. Consulte as Funções e a Ordem de Serviço para obter mais informações. Requisitos da vaga Experiência necessária: Sim Meses de experiência necessários: 3 Número de horas por semana: 35 Horário de trabalho (início/término): 6h às 22h</v>
      </c>
    </row>
    <row r="1791" ht="20.25" customHeight="1">
      <c r="A1791" s="8" t="s">
        <v>8031</v>
      </c>
      <c r="B1791" s="8" t="s">
        <v>8032</v>
      </c>
      <c r="C1791" s="8" t="s">
        <v>169</v>
      </c>
      <c r="D1791" s="8" t="s">
        <v>28</v>
      </c>
      <c r="E1791" s="9" t="s">
        <v>19</v>
      </c>
      <c r="F1791" s="9" t="s">
        <v>20</v>
      </c>
      <c r="G1791" s="9" t="s">
        <v>8033</v>
      </c>
      <c r="H1791" s="8" t="s">
        <v>8034</v>
      </c>
      <c r="I1791" s="8" t="s">
        <v>8035</v>
      </c>
      <c r="J1791" s="9">
        <v>19.34</v>
      </c>
      <c r="K1791" s="9">
        <v>57.0</v>
      </c>
      <c r="L1791" s="8" t="s">
        <v>1507</v>
      </c>
      <c r="M1791" s="8" t="s">
        <v>8036</v>
      </c>
      <c r="N1791" s="7" t="str">
        <f>IFERROR(__xludf.DUMMYFUNCTION("GOOGLETRANSLATE(L1791, ""en"", ""pt"")"),"Trabalhadores braçais")</f>
        <v>Trabalhadores braçais</v>
      </c>
      <c r="O1791" s="7" t="str">
        <f>IFERROR(__xludf.DUMMYFUNCTION("IF(M1791="""","""",GOOGLETRANSLATE(M1791,""en"",""pt""))"),"Executar trabalhos de plantio mecanizado de mudas de árvores e aplicação de inseticidas utilizando equipamentos para reflorestamento e manutenção de áreas florestais. Verificar o funcionamento adequado dos equipamentos. Comunicar-se com outros trabalhador"&amp;"es para discutir questões como segurança, altura de corte ou necessidades do trabalho. Operar tratores de esteira para puxar diversos equipamentos de escarificação ou preparação do solo sobre as áreas a serem regeneradas. Abastecer tanques de pulverizador"&amp;"es com água e produtos químicos, de acordo com as fórmulas. Misturar pesticidas e fungicidas para aplicação em árvores, arbustos ou culturas botânicas. Realizar reflorestamento ou renovação florestal, incluindo operações de viveiro e silvicultura, prepara"&amp;"ção do solo, programas de semeadura e plantio de árvores, coleta de cones e melhoramento de árvores. Classificar mudas de árvores, descartando as de qualidade inferior, de acordo com tabelas padrão ou instruções verbais. Os trabalhadores que solicitarem e"&amp;" obtiverem, ou já possuírem, um certificado de registro FLC ou FLCE com autorização para dirigir, emitido pela Divisão de Salários e Horas do Departamento do Trabalho dos EUA (USDOL), durante o período de emprego, poderão transportar trabalhadores, realiz"&amp;"ar contagens e verificações, e poderão receber horas extras de trabalho. O empregador poderá pagar uma taxa por produção de US$ 25,00 por acre plantado corretamente ou o Salário Vigente por hora, o que for maior. Aumentos salariais e/ou bônus poderão ser "&amp;"oferecidos a critério do empregador, com base em fatores individuais como desempenho, habilidade e tempo de serviço. Classificação da Função: 45-4011.00 - Trabalhadores Florestais e de Conservação. A classificação e descrição da função/setor incluem infor"&amp;"mações gerais sobre o cargo, de acordo com o ONET/OES e o Sistema de Classificação Industrial da América do Norte (NAICS). Consulte as Funções e a Ordem de Serviço para obter mais informações. Requisitos da Função: Experiência Necessária: Não. Requisitos "&amp;"Especiais: Não são necessários escolaridade ou experiência. Requer resistência física. O trabalho é realizado em condições climáticas adversas. É necessário levantar e carregar 23 kg. Caminhadas extensas em terrenos acidentados. O horário e os locais de t"&amp;"rabalho dependem das condições climáticas. O empregador poderá oferecer mais horas de trabalho do que as estipuladas, dependendo do clima, das necessidades da empresa e de outras condições. Calor extremo, frio, chuva ou seca podem afetar o horário de trab"&amp;"alho exato. Número de horas por semana: 45 Horário de trabalho (início/término): 6h00 - 16h00")</f>
        <v>Executar trabalhos de plantio mecanizado de mudas de árvores e aplicação de inseticidas utilizando equipamentos para reflorestamento e manutenção de áreas florestais. Verificar o funcionamento adequado dos equipamentos. Comunicar-se com outros trabalhadores para discutir questões como segurança, altura de corte ou necessidades do trabalho. Operar tratores de esteira para puxar diversos equipamentos de escarificação ou preparação do solo sobre as áreas a serem regeneradas. Abastecer tanques de pulverizadores com água e produtos químicos, de acordo com as fórmulas. Misturar pesticidas e fungicidas para aplicação em árvores, arbustos ou culturas botânicas. Realizar reflorestamento ou renovação florestal, incluindo operações de viveiro e silvicultura, preparação do solo, programas de semeadura e plantio de árvores, coleta de cones e melhoramento de árvores. Classificar mudas de árvores, descartando as de qualidade inferior, de acordo com tabelas padrão ou instruções verbais. Os trabalhadores que solicitarem e obtiverem, ou já possuírem, um certificado de registro FLC ou FLCE com autorização para dirigir, emitido pela Divisão de Salários e Horas do Departamento do Trabalho dos EUA (USDOL), durante o período de emprego, poderão transportar trabalhadores, realizar contagens e verificações, e poderão receber horas extras de trabalho. O empregador poderá pagar uma taxa por produção de US$ 25,00 por acre plantado corretamente ou o Salário Vigente por hora, o que for maior. Aumentos salariais e/ou bônus poderão ser oferecidos a critério do empregador, com base em fatores individuais como desempenho, habilidade e tempo de serviço. Classificação da Função: 45-4011.00 - Trabalhadores Florestais e de Conservação. A classificação e descrição da função/setor incluem informações gerais sobre o cargo, de acordo com o ONET/OES e o Sistema de Classificação Industrial da América do Norte (NAICS). Consulte as Funções e a Ordem de Serviço para obter mais informações. Requisitos da Função: Experiência Necessária: Não. Requisitos Especiais: Não são necessários escolaridade ou experiência. Requer resistência física. O trabalho é realizado em condições climáticas adversas. É necessário levantar e carregar 23 kg. Caminhadas extensas em terrenos acidentados. O horário e os locais de trabalho dependem das condições climáticas. O empregador poderá oferecer mais horas de trabalho do que as estipuladas, dependendo do clima, das necessidades da empresa e de outras condições. Calor extremo, frio, chuva ou seca podem afetar o horário de trabalho exato. Número de horas por semana: 45 Horário de trabalho (início/término): 6h00 - 16h00</v>
      </c>
    </row>
    <row r="1792" ht="20.25" customHeight="1">
      <c r="A1792" s="3" t="s">
        <v>8037</v>
      </c>
      <c r="B1792" s="3" t="s">
        <v>8038</v>
      </c>
      <c r="C1792" s="3" t="s">
        <v>7651</v>
      </c>
      <c r="D1792" s="3" t="s">
        <v>3015</v>
      </c>
      <c r="E1792" s="4" t="s">
        <v>19</v>
      </c>
      <c r="F1792" s="4" t="s">
        <v>20</v>
      </c>
      <c r="G1792" s="4" t="s">
        <v>345</v>
      </c>
      <c r="H1792" s="3" t="s">
        <v>8039</v>
      </c>
      <c r="I1792" s="3" t="s">
        <v>8040</v>
      </c>
      <c r="J1792" s="4">
        <v>19.71</v>
      </c>
      <c r="K1792" s="4">
        <v>30.0</v>
      </c>
      <c r="L1792" s="3" t="s">
        <v>8041</v>
      </c>
      <c r="M1792" s="3" t="s">
        <v>8042</v>
      </c>
      <c r="N1792" s="7" t="str">
        <f>IFERROR(__xludf.DUMMYFUNCTION("GOOGLETRANSLATE(L1792, ""en"", ""pt"")"),"Limpadores de neve e zeladores")</f>
        <v>Limpadores de neve e zeladores</v>
      </c>
      <c r="O1792" s="7" t="str">
        <f>IFERROR(__xludf.DUMMYFUNCTION("IF(M1792="""","""",GOOGLETRANSLATE(M1792,""en"",""pt""))"),"A remoção de neve e gelo é realizada diariamente por motivos de segurança e para garantir o acesso ao local da obra. Envolve principalmente trabalho manual menos especializado, incluindo o uso de pás, varrição ou sopradores de neve para remover o excesso "&amp;"de neve do canteiro de obras. A maioria das áreas onde o trabalho está sendo realizado precisa ser limpa manualmente, pois equipamentos maiores não têm espaço, são muito pesados ​​ou muito grandes e potentes, podendo danificar a construção em andamento. E"&amp;"m raras ocasiões, trabalhadores mais qualificados podem usar caminhões com lâminas de neve e/ou minicarregadeiras para áreas maiores e/ou áreas de entrada e saída do canteiro de obras. Os trabalhadores responsáveis ​​pela remoção de neve precisam armazena"&amp;"r, manter e colocar correntes nos pneus dos caminhões e minicarregadeiras quando as condições estiverem escorregadias devido à neve e ao gelo. Abrigos de neve são usados ​​em canteiros de obras de concreto para manter a temperatura elevada, permitindo que"&amp;" o concreto endureça adequadamente quando as temperaturas externas estiverem baixas. Os abrigos de neve são erguidos pelos trabalhadores da remoção de neve sob a supervisão dos encarregados, usando materiais básicos como madeira de 5 x 10 cm ou 10 x 10 cm"&amp;", que são fixadas temporariamente e cobertas com plástico reforçado ou lona. Uma vez cobertos, aquecedores a diesel bombearão ar quente através de mangueiras para dentro dos abrigos, tempo suficiente para que o concreto endureça adequadamente. Os abrigos "&amp;"de neve são erguidos seguindo um padrão básico e repetitivo, e a madeira é preservada e reutilizada sempre que possível. Os trabalhadores da limpeza de neve também cobrirão o concreto com mangueiras de água, cobertores pesados ​​e lonas para mantê-lo aque"&amp;"cido e evitar danos causados ​​pelo acúmulo de neve, gelo e umidade. Da mesma forma, os trabalhadores da limpeza de neve removerão as mangueiras, cobertores e lonas quando o concreto estiver completamente seco. Regularmente, os trabalhadores precisarão re"&amp;"mover manualmente a neve das lonas e cobertores com pás e vassouras antes de retirá-los quando a neve se acumular sobre eles. Todos os materiais usados ​​para remover a neve e manter o canteiro de obras e o concreto limpos e aquecidos são de responsabilid"&amp;"ade dos trabalhadores. Portanto, todos os aquecedores, correntes, cobertores, lonas, pás, vassouras, sopradores de neve, plástico reforçado, lona, ​​madeira, mangueiras, bombas e os abrigos de armazenamento devem ser mantidos, limpos e organizados pelos t"&amp;"rabalhadores da limpeza de neve. A limpeza geral do local é de responsabilidade dos trabalhadores de limpeza de neve durante os meses de neve e clima frio. Classificação da função: 37-2011.00 - Zeladores e Limpadores, exceto empregadas domésticas e auxili"&amp;"ares de limpeza. A classificação e descrição da função/setor inclui informações gerais sobre o cargo, de acordo com o ONET/OES e o Sistema de Classificação Industrial da América do Norte (NAICS). Consulte as Funções e a Ordem de Serviço para obter mais in"&amp;"formações. Requisitos da vaga: Experiência necessária: Sim. Meses de experiência necessários: 3. Requisitos especiais: Deve ser capaz de levantar e carregar 34 kg de neve por 70 metros e suportar temperaturas extremas. Trabalho em alguns fins de semana. N"&amp;"úmero de horas por semana: 40. Horário de trabalho (início/término): 7h às 15h30.")</f>
        <v>A remoção de neve e gelo é realizada diariamente por motivos de segurança e para garantir o acesso ao local da obra. Envolve principalmente trabalho manual menos especializado, incluindo o uso de pás, varrição ou sopradores de neve para remover o excesso de neve do canteiro de obras. A maioria das áreas onde o trabalho está sendo realizado precisa ser limpa manualmente, pois equipamentos maiores não têm espaço, são muito pesados ​​ou muito grandes e potentes, podendo danificar a construção em andamento. Em raras ocasiões, trabalhadores mais qualificados podem usar caminhões com lâminas de neve e/ou minicarregadeiras para áreas maiores e/ou áreas de entrada e saída do canteiro de obras. Os trabalhadores responsáveis ​​pela remoção de neve precisam armazenar, manter e colocar correntes nos pneus dos caminhões e minicarregadeiras quando as condições estiverem escorregadias devido à neve e ao gelo. Abrigos de neve são usados ​​em canteiros de obras de concreto para manter a temperatura elevada, permitindo que o concreto endureça adequadamente quando as temperaturas externas estiverem baixas. Os abrigos de neve são erguidos pelos trabalhadores da remoção de neve sob a supervisão dos encarregados, usando materiais básicos como madeira de 5 x 10 cm ou 10 x 10 cm, que são fixadas temporariamente e cobertas com plástico reforçado ou lona. Uma vez cobertos, aquecedores a diesel bombearão ar quente através de mangueiras para dentro dos abrigos, tempo suficiente para que o concreto endureça adequadamente. Os abrigos de neve são erguidos seguindo um padrão básico e repetitivo, e a madeira é preservada e reutilizada sempre que possível. Os trabalhadores da limpeza de neve também cobrirão o concreto com mangueiras de água, cobertores pesados ​​e lonas para mantê-lo aquecido e evitar danos causados ​​pelo acúmulo de neve, gelo e umidade. Da mesma forma, os trabalhadores da limpeza de neve removerão as mangueiras, cobertores e lonas quando o concreto estiver completamente seco. Regularmente, os trabalhadores precisarão remover manualmente a neve das lonas e cobertores com pás e vassouras antes de retirá-los quando a neve se acumular sobre eles. Todos os materiais usados ​​para remover a neve e manter o canteiro de obras e o concreto limpos e aquecidos são de responsabilidade dos trabalhadores. Portanto, todos os aquecedores, correntes, cobertores, lonas, pás, vassouras, sopradores de neve, plástico reforçado, lona, ​​madeira, mangueiras, bombas e os abrigos de armazenamento devem ser mantidos, limpos e organizados pelos trabalhadores da limpeza de neve. A limpeza geral do local é de responsabilidade dos trabalhadores de limpeza de neve durante os meses de neve e clima frio. Classificação da função: 37-2011.00 - Zeladores e Limpadores, exceto empregadas domésticas e auxiliares de limpeza. A classificação e descrição da função/setor inclui informações gerais sobre o cargo, de acordo com o ONET/OES e o Sistema de Classificação Industrial da América do Norte (NAICS). Consulte as Funções e a Ordem de Serviço para obter mais informações. Requisitos da vaga: Experiência necessária: Sim. Meses de experiência necessários: 3. Requisitos especiais: Deve ser capaz de levantar e carregar 34 kg de neve por 70 metros e suportar temperaturas extremas. Trabalho em alguns fins de semana. Número de horas por semana: 40. Horário de trabalho (início/término): 7h às 15h30.</v>
      </c>
    </row>
    <row r="1793" ht="20.25" customHeight="1">
      <c r="A1793" s="8" t="s">
        <v>8043</v>
      </c>
      <c r="B1793" s="8" t="s">
        <v>8038</v>
      </c>
      <c r="C1793" s="8" t="s">
        <v>7651</v>
      </c>
      <c r="D1793" s="8" t="s">
        <v>3015</v>
      </c>
      <c r="E1793" s="9" t="s">
        <v>19</v>
      </c>
      <c r="F1793" s="9" t="s">
        <v>20</v>
      </c>
      <c r="G1793" s="9" t="s">
        <v>307</v>
      </c>
      <c r="H1793" s="8" t="s">
        <v>8039</v>
      </c>
      <c r="I1793" s="8" t="s">
        <v>8040</v>
      </c>
      <c r="J1793" s="9">
        <v>24.46</v>
      </c>
      <c r="K1793" s="9">
        <v>12.0</v>
      </c>
      <c r="L1793" s="8" t="s">
        <v>262</v>
      </c>
      <c r="M1793" s="8" t="s">
        <v>8044</v>
      </c>
      <c r="N1793" s="7" t="str">
        <f>IFERROR(__xludf.DUMMYFUNCTION("GOOGLETRANSLATE(L1793, ""en"", ""pt"")"),"Operário da construção civil")</f>
        <v>Operário da construção civil</v>
      </c>
      <c r="O1793" s="7" t="str">
        <f>IFERROR(__xludf.DUMMYFUNCTION("IF(M1793="""","""",GOOGLETRANSLATE(M1793,""en"",""pt""))"),"Limpar e preparar canteiros de obras; carregar e descarregar materiais de construção; instalar e remover escoras; cavar valas e aterrar buracos; compactar terra e espalhar concreto; transportar cascalho e pedra; usar martelos, marretas, pás e ancinhos; op"&amp;"erar furadeiras, britadeiras e betoneiras. Classificação da função: 47-2061.00 - Auxiliares de Construção Civil. A classificação e descrição da função/setor inclui informações gerais sobre o cargo, de acordo com o ONET/OES e o Sistema de Classificação Ind"&amp;"ustrial da América do Norte (NAICS). Consulte as Funções e a Ordem de Serviço para obter mais informações. Requisitos da vaga: Experiência necessária: Sim. Meses de experiência necessários: 3. Requisitos especiais: Deve ser capaz de levantar e carregar 34"&amp;" kg por 68 metros e suportar temperaturas extremas. Número de horas por semana: 40. Horário de trabalho (início/término): 7h às 15h30.")</f>
        <v>Limpar e preparar canteiros de obras; carregar e descarregar materiais de construção; instalar e remover escoras; cavar valas e aterrar buracos; compactar terra e espalhar concreto; transportar cascalho e pedra; usar martelos, marretas, pás e ancinhos; operar furadeiras, britadeiras e betoneiras. Classificação da função: 47-2061.00 - Auxiliares de Construção Civil. A classificação e descrição da função/setor inclui informações gerais sobre o cargo, de acordo com o ONET/OES e o Sistema de Classificação Industrial da América do Norte (NAICS). Consulte as Funções e a Ordem de Serviço para obter mais informações. Requisitos da vaga: Experiência necessária: Sim. Meses de experiência necessários: 3. Requisitos especiais: Deve ser capaz de levantar e carregar 34 kg por 68 metros e suportar temperaturas extremas. Número de horas por semana: 40. Horário de trabalho (início/término): 7h às 15h30.</v>
      </c>
    </row>
    <row r="1794" ht="20.25" customHeight="1">
      <c r="A1794" s="3" t="s">
        <v>8045</v>
      </c>
      <c r="B1794" s="3" t="s">
        <v>8038</v>
      </c>
      <c r="C1794" s="3" t="s">
        <v>7651</v>
      </c>
      <c r="D1794" s="3" t="s">
        <v>3015</v>
      </c>
      <c r="E1794" s="4" t="s">
        <v>19</v>
      </c>
      <c r="F1794" s="4" t="s">
        <v>20</v>
      </c>
      <c r="G1794" s="4" t="s">
        <v>345</v>
      </c>
      <c r="H1794" s="3" t="s">
        <v>8039</v>
      </c>
      <c r="I1794" s="3" t="s">
        <v>8046</v>
      </c>
      <c r="J1794" s="4">
        <v>16.63</v>
      </c>
      <c r="K1794" s="4">
        <v>4.0</v>
      </c>
      <c r="L1794" s="3" t="s">
        <v>8047</v>
      </c>
      <c r="M1794" s="3" t="s">
        <v>8048</v>
      </c>
      <c r="N1794" s="7" t="str">
        <f>IFERROR(__xludf.DUMMYFUNCTION("GOOGLETRANSLATE(L1794, ""en"", ""pt"")"),"Faxineira")</f>
        <v>Faxineira</v>
      </c>
      <c r="O1794" s="7" t="str">
        <f>IFERROR(__xludf.DUMMYFUNCTION("IF(M1794="""","""",GOOGLETRANSLATE(M1794,""en"",""pt""))"),"Transportar roupas de cama, toalhas, artigos de higiene pessoal e produtos de limpeza utilizando carrinhos com rodas. Desinfetar equipamentos e suprimentos utilizando germicidas ou esterilizadores a vapor. Limpar casas de temporada e imóveis alugados pela"&amp;" empresa, incluindo: quartos, corredores, banheiros, escadas e outras áreas, de forma a atender aos padrões de higiene. Esvaziar lixeiras e transportar outros lixos e resíduos para as áreas de descarte. Observar as precauções necessárias para proteger a p"&amp;"ropriedade de aluguel de temporada e relatar danos, furtos e objetos encontrados aos supervisores. Classificação da vaga: 37-2012.00 - Empregadas Domésticas e Auxiliares de Limpeza. A classificação e descrição da vaga/setor inclui informações gerais sobre"&amp;" o cargo, de acordo com o ONET/OES e o Sistema de Classificação Industrial da América do Norte. Consulte as Funções e a Ordem de Serviço para obter mais informações. Requisitos da vaga: Experiência necessária: Sim. Meses de experiência necessários: 3. Req"&amp;"uisitos especiais: Levantar e carregar 11 kg por 45 metros. Deve ser capaz de flexionar os braços, pernas e costas, estender os braços e as mãos para cima, trabalhar de joelhos e usar as mãos e os braços para agarrar, empurrar e puxar. Número de horas por"&amp;" semana: 40. Horário de trabalho (início/término): 7h às 15h30.")</f>
        <v>Transportar roupas de cama, toalhas, artigos de higiene pessoal e produtos de limpeza utilizando carrinhos com rodas. Desinfetar equipamentos e suprimentos utilizando germicidas ou esterilizadores a vapor. Limpar casas de temporada e imóveis alugados pela empresa, incluindo: quartos, corredores, banheiros, escadas e outras áreas, de forma a atender aos padrões de higiene. Esvaziar lixeiras e transportar outros lixos e resíduos para as áreas de descarte. Observar as precauções necessárias para proteger a propriedade de aluguel de temporada e relatar danos, furtos e objetos encontrados aos supervisores. Classificação da vaga: 37-2012.00 - Empregadas Domésticas e Auxiliares de Limpeza. A classificação e descrição da vaga/setor inclui informações gerais sobre o cargo, de acordo com o ONET/OES e o Sistema de Classificação Industrial da América do Norte. Consulte as Funções e a Ordem de Serviço para obter mais informações. Requisitos da vaga: Experiência necessária: Sim. Meses de experiência necessários: 3. Requisitos especiais: Levantar e carregar 11 kg por 45 metros. Deve ser capaz de flexionar os braços, pernas e costas, estender os braços e as mãos para cima, trabalhar de joelhos e usar as mãos e os braços para agarrar, empurrar e puxar. Número de horas por semana: 40. Horário de trabalho (início/término): 7h às 15h30.</v>
      </c>
    </row>
    <row r="1795" ht="20.25" customHeight="1">
      <c r="A1795" s="8" t="s">
        <v>8049</v>
      </c>
      <c r="B1795" s="8" t="s">
        <v>8050</v>
      </c>
      <c r="C1795" s="8" t="s">
        <v>7651</v>
      </c>
      <c r="D1795" s="8" t="s">
        <v>109</v>
      </c>
      <c r="E1795" s="9" t="s">
        <v>44</v>
      </c>
      <c r="F1795" s="9" t="s">
        <v>20</v>
      </c>
      <c r="G1795" s="9" t="s">
        <v>404</v>
      </c>
      <c r="H1795" s="8" t="s">
        <v>8051</v>
      </c>
      <c r="I1795" s="8" t="s">
        <v>8052</v>
      </c>
      <c r="J1795" s="9">
        <v>18.54</v>
      </c>
      <c r="K1795" s="9">
        <v>10.0</v>
      </c>
      <c r="L1795" s="8" t="s">
        <v>8053</v>
      </c>
      <c r="M1795" s="8" t="s">
        <v>8054</v>
      </c>
      <c r="N1795" s="7" t="str">
        <f>IFERROR(__xludf.DUMMYFUNCTION("GOOGLETRANSLATE(L1795, ""en"", ""pt"")"),"Zeladores sazonais")</f>
        <v>Zeladores sazonais</v>
      </c>
      <c r="O1795" s="7" t="str">
        <f>IFERROR(__xludf.DUMMYFUNCTION("IF(M1795="""","""",GOOGLETRANSLATE(M1795,""en"",""pt""))"),"Os trabalhadores sazonais de limpeza de neve realizam tarefas de zeladoria, remoção de neve e limpeza sazonal para manter a segurança e a higiene de propriedades comerciais ou institucionais. Durante o inverno, eles removem manualmente a neve e o gelo de "&amp;"calçadas e caminhos usando pás, sopradores manuais, vassouras e espalhadores de sal, além de aplicar materiais de degelo para evitar escorregões. Os trabalhadores limpam áreas internas, como banheiros, saguões e espaços comuns, varrendo, passando pano, as"&amp;"pirando e removendo o lixo, e mantêm as áreas externas limpas, recolhendo lixo e detritos. Além do trabalho de inverno, eles auxiliam na limpeza de folhas no outono e ajudam a restaurar as condições da propriedade após tempestades de primavera, removendo "&amp;"galhos caídos, limpando calçadas e descartando detritos. Todas as tarefas são realizadas usando apenas ferramentas manuais, sem o uso de equipamentos motorizados. Classificação da Função: 37-2011.00 - Zeladores e Faxineiros, exceto Empregadas Domésticas e"&amp;" Auxiliares de Limpeza. A classificação e descrição da função/setor inclui informações gerais sobre o cargo, de acordo com o ONET/OES e o Sistema de Classificação Industrial da América do Norte (NAICS). Consulte as Funções e a Ordem de Serviço para obter "&amp;"mais informações. Requisitos da Função Experiência Necessária: Sim Meses de Experiência Necessários: 3 Requisitos Especiais: O trabalho é fisicamente exigente e requer força, resistência e agilidade. Os trabalhadores devem ser capazes de levantar e carreg"&amp;"ar cargas pesadas, operar equipamentos em terrenos gelados ou irregulares e realizar tarefas como agachar, torcer e usar pá por longos períodos. Devem também tolerar condições climáticas adversas, incluindo frio, neve e vento. Número de Horas por Semana: "&amp;"35 Horário de Trabalho (Início/Término): 7h00 - 17h30")</f>
        <v>Os trabalhadores sazonais de limpeza de neve realizam tarefas de zeladoria, remoção de neve e limpeza sazonal para manter a segurança e a higiene de propriedades comerciais ou institucionais. Durante o inverno, eles removem manualmente a neve e o gelo de calçadas e caminhos usando pás, sopradores manuais, vassouras e espalhadores de sal, além de aplicar materiais de degelo para evitar escorregões. Os trabalhadores limpam áreas internas, como banheiros, saguões e espaços comuns, varrendo, passando pano, aspirando e removendo o lixo, e mantêm as áreas externas limpas, recolhendo lixo e detritos. Além do trabalho de inverno, eles auxiliam na limpeza de folhas no outono e ajudam a restaurar as condições da propriedade após tempestades de primavera, removendo galhos caídos, limpando calçadas e descartando detritos. Todas as tarefas são realizadas usando apenas ferramentas manuais, sem o uso de equipamentos motorizados. Classificação da Função: 37-2011.00 - Zeladores e Faxineiros, exceto Empregadas Domésticas e Auxiliares de Limpeza. A classificação e descrição da função/setor inclui informações gerais sobre o cargo, de acordo com o ONET/OES e o Sistema de Classificação Industrial da América do Norte (NAICS). Consulte as Funções e a Ordem de Serviço para obter mais informações. Requisitos da Função Experiência Necessária: Sim Meses de Experiência Necessários: 3 Requisitos Especiais: O trabalho é fisicamente exigente e requer força, resistência e agilidade. Os trabalhadores devem ser capazes de levantar e carregar cargas pesadas, operar equipamentos em terrenos gelados ou irregulares e realizar tarefas como agachar, torcer e usar pá por longos períodos. Devem também tolerar condições climáticas adversas, incluindo frio, neve e vento. Número de Horas por Semana: 35 Horário de Trabalho (Início/Término): 7h00 - 17h30</v>
      </c>
    </row>
    <row r="1796" ht="20.25" customHeight="1">
      <c r="A1796" s="3" t="s">
        <v>8055</v>
      </c>
      <c r="B1796" s="3" t="s">
        <v>8056</v>
      </c>
      <c r="C1796" s="3" t="s">
        <v>197</v>
      </c>
      <c r="D1796" s="3" t="s">
        <v>71</v>
      </c>
      <c r="E1796" s="4" t="s">
        <v>19</v>
      </c>
      <c r="F1796" s="4" t="s">
        <v>20</v>
      </c>
      <c r="G1796" s="4" t="s">
        <v>524</v>
      </c>
      <c r="H1796" s="3" t="s">
        <v>8057</v>
      </c>
      <c r="I1796" s="3" t="s">
        <v>8058</v>
      </c>
      <c r="J1796" s="4">
        <v>20.0</v>
      </c>
      <c r="K1796" s="4">
        <v>15.0</v>
      </c>
      <c r="L1796" s="3" t="s">
        <v>387</v>
      </c>
      <c r="M1796" s="3" t="s">
        <v>8059</v>
      </c>
      <c r="N1796" s="7" t="str">
        <f>IFERROR(__xludf.DUMMYFUNCTION("GOOGLETRANSLATE(L1796, ""en"", ""pt"")"),"Ordem de serviço não disponível")</f>
        <v>Ordem de serviço não disponível</v>
      </c>
      <c r="O1796" s="7" t="str">
        <f>IFERROR(__xludf.DUMMYFUNCTION("IF(M1796="""","""",GOOGLETRANSLATE(M1796,""en"",""pt""))"),"Preparar, cozinhar, refogar, grelhar e fritar itens como frutos do mar, carnes, aves, legumes, massas e sopas. Manter as áreas da cozinha limpas e higienizadas. Armazenar todos os produtos em locais adequados e realizar todos os demais serviços relacionad"&amp;"os à cozinha. (15) vagas disponíveis. Período: 01/10/2026 a 31/05/2027. Necessário 3 meses de experiência. Turnos rotativos. Dias de trabalho: segunda a domingo. Horário de trabalho: 6h às 22h. Salário: US$ 20 a US$ 25 por hora, com base no desempenho; US"&amp;"$ 30 a US$ 37,50 por hora para horas extras. Pagamento quinzenal. 35 horas semanais. Moradia opcional por US$ 387,50 a cada duas semanas, com um depósito reembolsável de US$ 400 após a assinatura do contrato e inspeção da moradia. Bônus disponível mediant"&amp;"e avaliação de desempenho e a critério do empregador. Uniformes e refeições durante o turno fornecidos a preço de custo. Local de trabalho: 9800 Treviso Bay Blvd, Naples, FL 34113. Vaga temporária em tempo integral. Uma única semana de trabalho será utili"&amp;"zada para calcular os salários. O trabalhador poderá receber até 10 horas extras, quando disponíveis. Todas as deduções exigidas por lei serão feitas no contracheque do trabalhador. O empregador fornecerá ao trabalhador, sem custos, todas as ferramentas, "&amp;"suprimentos e equipamentos necessários para a execução do trabalho. O trabalhador receberá ou será reembolsado pelas despesas de transporte e subsistência (incluindo o custo razoável de hospedagem, quando necessário, até US$ 110 por noite, mediante aprese"&amp;"ntação de recibos) à taxa de US$ 16,78 por dia durante o deslocamento, até um máximo de US$ 68,00 por dia, mediante apresentação de recibos, desde o local de origem do trabalhador, seja nos EUA ou no exterior, até o local de trabalho, caso o trabalhador c"&amp;"omplete 50% do período de trabalho coberto pela ordem de serviço, em conformidade com 20 CFR 655.20(j)(1)(i), mediante inclusão no contracheque da semana correspondente. O empregador fornecerá ou pagará o custo do transporte de retorno e da subsistência d"&amp;"iária do trabalhador, do local de trabalho até o local de onde o trabalhador partiu para trabalhar para o empregador, independentemente de empregos intermediários, caso o trabalhador complete o período de emprego certificado ou seja demitido do emprego po"&amp;"r qualquer motivo pelo empregador antes do término do período, de acordo com o § 655.20(j)(1)(ii); os trabalhadores com visto H-2B serão reembolsados ​​na primeira semana de trabalho por todos os vistos, processamento de vistos, travessia de fronteira e o"&amp;"utras taxas relacionadas, incluindo aquelas exigidas pelo governo (exceto taxas de passaporte). O empregador fornecerá aos trabalhadores todas as ferramentas, suprimentos e equipamentos necessários para o desempenho do trabalho, sem custo para o trabalhad"&amp;"or, de acordo com o 20 CFR 655.20(k). Os candidatos qualificados podem enviar o currículo para Carol Meichner-Smith, no endereço 9800 Treviso Bay Blvd, Naples, FL 34113, por e-mail para immigration@troon.com ou visitar o centro de empregos local em 3050 H"&amp;"orseshoe Drive North, Building A, Suite 110, Naples, FL 34104. *Seu depósito de segurança é reembolsável após a conclusão do contrato e a inspeção da moradia. Se um trabalhador abandonar o emprego sem a permissão do empregador ou a moradia antes do términ"&amp;"o do prazo da petição por qualquer motivo, exceto rescisão contratual por parte do empregador, o trabalhador perderá todos os depósitos de moradia, dias de folga remunerada, férias e bônus. Após a rescisão ou demissão, o trabalhador deverá desocupar a mor"&amp;"adia imediatamente, a menos que haja acordo com o empregador.* Classificação da vaga: 35-2014.00 - Cozinheiros, Restaurante. A classificação e a descrição da vaga/setor incluem informações gerais sobre o cargo, de acordo com o ONET/OES e o Sistema de Clas"&amp;"sificação Industrial da América do Norte. Consulte as Funções e a Ordem de Serviço para obter mais informações. Requisitos da vaga Experiência necessária: Sim Meses de experiência necessários: 3 Número de horas por semana: 35 Horário de trabalho (início/t"&amp;"érmino): 6h às 22h")</f>
        <v>Preparar, cozinhar, refogar, grelhar e fritar itens como frutos do mar, carnes, aves, legumes, massas e sopas. Manter as áreas da cozinha limpas e higienizadas. Armazenar todos os produtos em locais adequados e realizar todos os demais serviços relacionados à cozinha. (15) vagas disponíveis. Período: 01/10/2026 a 31/05/2027. Necessário 3 meses de experiência. Turnos rotativos. Dias de trabalho: segunda a domingo. Horário de trabalho: 6h às 22h. Salário: US$ 20 a US$ 25 por hora, com base no desempenho; US$ 30 a US$ 37,50 por hora para horas extras. Pagamento quinzenal. 35 horas semanais. Moradia opcional por US$ 387,50 a cada duas semanas, com um depósito reembolsável de US$ 400 após a assinatura do contrato e inspeção da moradia. Bônus disponível mediante avaliação de desempenho e a critério do empregador. Uniformes e refeições durante o turno fornecidos a preço de custo. Local de trabalho: 9800 Treviso Bay Blvd, Naples, FL 34113. Vaga temporária em tempo integral. Uma única semana de trabalho será utilizada para calcular os salários. O trabalhador poderá receber até 10 horas extras, quando disponíveis. Todas as deduções exigidas por lei serão feitas no contracheque do trabalhador. O empregador fornecerá ao trabalhador, sem custos, todas as ferramentas, suprimentos e equipamentos necessários para a execução do trabalho. O trabalhador receberá ou será reembolsado pelas despesas de transporte e subsistência (incluindo o custo razoável de hospedagem, quando necessário, até US$ 110 por noite, mediante apresentação de recibos) à taxa de US$ 16,78 por dia durante o deslocamento, até um máximo de US$ 68,00 por dia, mediante apresentação de recibos, desde o local de origem do trabalhador, seja nos EUA ou no exterior, até o local de trabalho, caso o trabalhador complete 50% do período de trabalho coberto pela ordem de serviço, em conformidade com 20 CFR 655.20(j)(1)(i), mediante inclusão no contracheque da semana correspondente. O empregador fornecerá ou pagará o custo do transporte de retorno e da subsistência diária do trabalhador, do local de trabalho até o local de onde o trabalhador partiu para trabalhar para o empregador, independentemente de empregos intermediários, caso o trabalhador complete o período de emprego certificado ou seja demitido do emprego por qualquer motivo pelo empregador antes do término do período, de acordo com o § 655.20(j)(1)(ii); os trabalhadores com visto H-2B serão reembolsados ​​na primeira semana de trabalho por todos os vistos, processamento de vistos, travessia de fronteira e outras taxas relacionadas, incluindo aquelas exigidas pelo governo (exceto taxas de passaporte). O empregador fornecerá aos trabalhadores todas as ferramentas, suprimentos e equipamentos necessários para o desempenho do trabalho, sem custo para o trabalhador, de acordo com o 20 CFR 655.20(k). Os candidatos qualificados podem enviar o currículo para Carol Meichner-Smith, no endereço 9800 Treviso Bay Blvd, Naples, FL 34113, por e-mail para immigration@troon.com ou visitar o centro de empregos local em 3050 Horseshoe Drive North, Building A, Suite 110, Naples, FL 34104. *Seu depósito de segurança é reembolsável após a conclusão do contrato e a inspeção da moradia. Se um trabalhador abandonar o emprego sem a permissão do empregador ou a moradia antes do término do prazo da petição por qualquer motivo, exceto rescisão contratual por parte do empregador, o trabalhador perderá todos os depósitos de moradia, dias de folga remunerada, férias e bônus. Após a rescisão ou demissão, o trabalhador deverá desocupar a moradia imediatamente, a menos que haja acordo com o empregador.* Classificação da vaga: 35-2014.00 - Cozinheiros, Restaurante. A classificação e a descrição da vaga/setor incluem informações gerais sobre o cargo, de acordo com o ONET/OES e o Sistema de Classificação Industrial da América do Norte. Consulte as Funções e a Ordem de Serviço para obter mais informações. Requisitos da vaga Experiência necessária: Sim Meses de experiência necessários: 3 Número de horas por semana: 35 Horário de trabalho (início/término): 6h às 22h</v>
      </c>
    </row>
    <row r="1797" ht="20.25" customHeight="1">
      <c r="A1797" s="8" t="s">
        <v>8060</v>
      </c>
      <c r="B1797" s="8" t="s">
        <v>8056</v>
      </c>
      <c r="C1797" s="8" t="s">
        <v>197</v>
      </c>
      <c r="D1797" s="8" t="s">
        <v>71</v>
      </c>
      <c r="E1797" s="9" t="s">
        <v>44</v>
      </c>
      <c r="F1797" s="9" t="s">
        <v>20</v>
      </c>
      <c r="G1797" s="9" t="s">
        <v>524</v>
      </c>
      <c r="H1797" s="8" t="s">
        <v>8057</v>
      </c>
      <c r="I1797" s="8" t="s">
        <v>8058</v>
      </c>
      <c r="J1797" s="9">
        <v>20.13</v>
      </c>
      <c r="K1797" s="9">
        <v>15.0</v>
      </c>
      <c r="L1797" s="8" t="s">
        <v>201</v>
      </c>
      <c r="M1797" s="8" t="s">
        <v>8061</v>
      </c>
      <c r="N1797" s="7" t="str">
        <f>IFERROR(__xludf.DUMMYFUNCTION("GOOGLETRANSLATE(L1797, ""en"", ""pt"")"),"Servidores")</f>
        <v>Servidores</v>
      </c>
      <c r="O1797" s="7" t="str">
        <f>IFERROR(__xludf.DUMMYFUNCTION("IF(M1797="""","""",GOOGLETRANSLATE(M1797,""en"",""pt""))"),"Receber pedidos, servir comidas e bebidas aos clientes. Limpar e arrumar as mesas. Receber pagamentos e entregar recibos. Manter todos os postos de trabalho abastecidos e realizar todos os demais serviços relacionados ao atendimento. (15) vagas disponívei"&amp;"s. Período: 01/10/2026 a 31/05/2027. Necessário 3 meses de experiência. Turnos rotativos. Dias de trabalho: segunda a domingo. Horário: 6h às 22h. Salário: US$ 12/hora mais gorjetas, com um mínimo de US$ 20,13/hora e US$ 30,20/hora para horas extras. Paga"&amp;"mento quinzenal. 35 horas semanais. Alojamento opcional por US$ 387,50 quinzenal, com um depósito reembolsável de US$ 400 após a assinatura do contrato e vistoria do imóvel. Bônus disponível mediante avaliação de desempenho e a critério do empregador. Uni"&amp;"formes e refeições durante o turno fornecidos a preço de custo. Local de trabalho: 9800 Treviso Bay Blvd, Naples, FL 34113. Trabalho temporário em tempo integral. O salário será calculado com base em uma única semana de trabalho. Poderá ser feito até 10 h"&amp;"oras extras, quando disponíveis. Todos os descontos exigidos por lei serão efetuados no contracheque do trabalhador. O empregador fornecerá ao trabalhador, sem custos, todas as ferramentas, materiais e equipamentos necessários para a execução do trabalho."&amp;" O trabalhador receberá ou será reembolsado pelas despesas de transporte e alimentação (incluindo o custo razoável de hospedagem, quando necessário, até US$ 110 por noite, mediante apresentação de recibos) no valor de US$ 16,78 por dia durante o deslocame"&amp;"nto, até um máximo de US$ 68,00 por dia, mediante apresentação de recibos, desde o local de origem do trabalhador, seja nos EUA ou no exterior, até o local de trabalho, caso o trabalhador complete 50% do período de trabalho abrangido pela ordem de serviço"&amp;", em conformidade com o 20 CFR 655.20(j)(1)(i), mediante inclusão no contracheque da semana correspondente. O empregador fornecerá ou pagará o custo do transporte de retorno e da subsistência diária do trabalhador, do local de trabalho até o local de onde"&amp;" o trabalhador partiu para trabalhar para o empregador, independentemente de empregos intermediários, caso o trabalhador complete o período de emprego certificado ou seja demitido do emprego por qualquer motivo pelo empregador antes do término do período,"&amp;" de acordo com o § 655.20(j)(1)(ii); os trabalhadores com visto H-2B serão reembolsados ​​na primeira semana de trabalho por todos os vistos, processamento de vistos, travessia de fronteira e outras taxas relacionadas, incluindo aquelas exigidas pelo gove"&amp;"rno (exceto taxas de passaporte). O empregador fornecerá aos trabalhadores todas as ferramentas, suprimentos e equipamentos necessários para o desempenho do trabalho, sem custo para o trabalhador, de acordo com o 20 CFR 655.20(k). Os candidatos qualificad"&amp;"os podem enviar o currículo para Carol Meichner-Smith, no endereço 9800 Treviso Bay Blvd, Naples, FL 34113, por e-mail para immigration@troon.com ou visitar o centro de empregos local em 3050 Horseshoe Drive North, Building A, Suite 110, Naples, FL 34104."&amp;" *Seu depósito de segurança é reembolsável após a conclusão do contrato e a inspeção da moradia. Se um trabalhador abandonar o emprego sem a permissão do empregador ou a moradia antes do término do prazo da petição por qualquer motivo, exceto rescisão por"&amp;" parte do empregador, o trabalhador perderá todos os depósitos de moradia, dias de folga remunerada, férias e bônus. Após a rescisão ou demissão, o trabalhador deverá desocupar a moradia imediatamente, a menos que haja acordo com o empregador.* Classifica"&amp;"ção da vaga: 35-3031.00 - Garçons e Garçonetes. A classificação e a descrição da vaga/setor incluem informações gerais sobre o cargo, de acordo com o ONET/OES e o Sistema de Classificação Industrial da América do Norte. Consulte as Funções e a Ordem de Se"&amp;"rviço para obter mais informações. Requisitos da vaga Experiência necessária: Sim Meses de experiência necessários: 3 Número de horas por semana: 35 Horário de trabalho (início/término): 6h às 22h")</f>
        <v>Receber pedidos, servir comidas e bebidas aos clientes. Limpar e arrumar as mesas. Receber pagamentos e entregar recibos. Manter todos os postos de trabalho abastecidos e realizar todos os demais serviços relacionados ao atendimento. (15) vagas disponíveis. Período: 01/10/2026 a 31/05/2027. Necessário 3 meses de experiência. Turnos rotativos. Dias de trabalho: segunda a domingo. Horário: 6h às 22h. Salário: US$ 12/hora mais gorjetas, com um mínimo de US$ 20,13/hora e US$ 30,20/hora para horas extras. Pagamento quinzenal. 35 horas semanais. Alojamento opcional por US$ 387,50 quinzenal, com um depósito reembolsável de US$ 400 após a assinatura do contrato e vistoria do imóvel. Bônus disponível mediante avaliação de desempenho e a critério do empregador. Uniformes e refeições durante o turno fornecidos a preço de custo. Local de trabalho: 9800 Treviso Bay Blvd, Naples, FL 34113. Trabalho temporário em tempo integral. O salário será calculado com base em uma única semana de trabalho. Poderá ser feito até 10 horas extras, quando disponíveis. Todos os descontos exigidos por lei serão efetuados no contracheque do trabalhador. O empregador fornecerá ao trabalhador, sem custos, todas as ferramentas, materiais e equipamentos necessários para a execução do trabalho. O trabalhador receberá ou será reembolsado pelas despesas de transporte e alimentação (incluindo o custo razoável de hospedagem, quando necessário, até US$ 110 por noite, mediante apresentação de recibos) no valor de US$ 16,78 por dia durante o deslocamento, até um máximo de US$ 68,00 por dia, mediante apresentação de recibos, desde o local de origem do trabalhador, seja nos EUA ou no exterior, até o local de trabalho, caso o trabalhador complete 50% do período de trabalho abrangido pela ordem de serviço, em conformidade com o 20 CFR 655.20(j)(1)(i), mediante inclusão no contracheque da semana correspondente. O empregador fornecerá ou pagará o custo do transporte de retorno e da subsistência diária do trabalhador, do local de trabalho até o local de onde o trabalhador partiu para trabalhar para o empregador, independentemente de empregos intermediários, caso o trabalhador complete o período de emprego certificado ou seja demitido do emprego por qualquer motivo pelo empregador antes do término do período, de acordo com o § 655.20(j)(1)(ii); os trabalhadores com visto H-2B serão reembolsados ​​na primeira semana de trabalho por todos os vistos, processamento de vistos, travessia de fronteira e outras taxas relacionadas, incluindo aquelas exigidas pelo governo (exceto taxas de passaporte). O empregador fornecerá aos trabalhadores todas as ferramentas, suprimentos e equipamentos necessários para o desempenho do trabalho, sem custo para o trabalhador, de acordo com o 20 CFR 655.20(k). Os candidatos qualificados podem enviar o currículo para Carol Meichner-Smith, no endereço 9800 Treviso Bay Blvd, Naples, FL 34113, por e-mail para immigration@troon.com ou visitar o centro de empregos local em 3050 Horseshoe Drive North, Building A, Suite 110, Naples, FL 34104. *Seu depósito de segurança é reembolsável após a conclusão do contrato e a inspeção da moradia. Se um trabalhador abandonar o emprego sem a permissão do empregador ou a moradia antes do término do prazo da petição por qualquer motivo, exceto rescisão por parte do empregador, o trabalhador perderá todos os depósitos de moradia, dias de folga remunerada, férias e bônus. Após a rescisão ou demissão, o trabalhador deverá desocupar a moradia imediatamente, a menos que haja acordo com o empregador.* Classificação da vaga: 35-3031.00 - Garçons e Garçonetes. A classificação e a descrição da vaga/setor incluem informações gerais sobre o cargo, de acordo com o ONET/OES e o Sistema de Classificação Industrial da América do Norte. Consulte as Funções e a Ordem de Serviço para obter mais informações. Requisitos da vaga Experiência necessária: Sim Meses de experiência necessários: 3 Número de horas por semana: 35 Horário de trabalho (início/término): 6h às 22h</v>
      </c>
    </row>
    <row r="1798" ht="20.25" customHeight="1">
      <c r="A1798" s="3" t="s">
        <v>8062</v>
      </c>
      <c r="B1798" s="3" t="s">
        <v>8063</v>
      </c>
      <c r="C1798" s="3" t="s">
        <v>7651</v>
      </c>
      <c r="D1798" s="3" t="s">
        <v>249</v>
      </c>
      <c r="E1798" s="4" t="s">
        <v>19</v>
      </c>
      <c r="F1798" s="4" t="s">
        <v>20</v>
      </c>
      <c r="G1798" s="4" t="s">
        <v>404</v>
      </c>
      <c r="H1798" s="3" t="s">
        <v>8064</v>
      </c>
      <c r="I1798" s="3" t="s">
        <v>8065</v>
      </c>
      <c r="J1798" s="4">
        <v>17.41</v>
      </c>
      <c r="K1798" s="4">
        <v>8.0</v>
      </c>
      <c r="L1798" s="3" t="s">
        <v>8066</v>
      </c>
      <c r="M1798" s="3" t="s">
        <v>8067</v>
      </c>
      <c r="N1798" s="7" t="str">
        <f>IFERROR(__xludf.DUMMYFUNCTION("GOOGLETRANSLATE(L1798, ""en"", ""pt"")"),"Auxiliar de limpeza")</f>
        <v>Auxiliar de limpeza</v>
      </c>
      <c r="O1798" s="7" t="str">
        <f>IFERROR(__xludf.DUMMYFUNCTION("IF(M1798="""","""",GOOGLETRANSLATE(M1798,""en"",""pt""))"),"1. Tarefa: Remover neve de calçadas, entradas de garagem ou estacionamentos. O funcionário utilizará apenas ferramentas manuais para remoção de neve, como pás, vassouras, empurradores e espalhadores de sal manuais ou de empurrar. Não serão utilizados arad"&amp;"os de neve motorizados, equipamentos de montaria ou sopradores de neve motorizados. O trabalho envolve a limpeza de calçadas e caminhos de acesso em torno de propriedades comerciais para manter o acesso seguro de pedestres. 2. Tarefa: Limpar instalações o"&amp;"u locais. O funcionário realizará a limpeza rotineira de áreas comuns internas e externas de propriedades comerciais, incluindo: Varrição, lavagem e aspiração de pisos; Esvaziamento de lixeiras e remoção de lixo; Remoção de folhas, pequenos detritos e nev"&amp;"e de entradas externas e calçadas utilizando ferramentas manuais. ""Instalações ou locais"" refere-se a áreas internas e externas de edifícios comerciais, incluindo escritórios, saguões, banheiros, lojas, calçadas, entradas e depósitos. Não serão realizad"&amp;"as tarefas de paisagismo, construção ou reparo. 3. Requisito: Flexão, inclinação, ajoelhamento, empurrar e puxar equipamentos pesados ​​com frequência. Isso se refere à atividade física normal associada ao trabalho de limpeza. Os ""equipamentos pesados"" "&amp;"incluem: Baldes de esfregão com rodinhas cheios de água (aproximadamente 13 a 16 kg); Lavadoras ou aspiradores de pó manuais; Lixeiras ou carrinhos de suprimentos. Esses itens são empurrados ou puxados manualmente durante as tarefas de limpeza. 4. Requisi"&amp;"to: Subir escadas, destreza manual para manusear ferramentas e operar máquinas. Subir escadas: Os funcionários podem ocasionalmente usar uma escada de 1,8 a 2,4 metros para alcançar janelas altas, calhas ou prateleiras. Destreza manual: Os trabalhadores u"&amp;"sam ferramentas básicas de limpeza, como borrifadores, esfregões, rodos, pegadores de lixo e dispensadores recarregáveis. Operação de máquinas: Os funcionários podem operar máquinas de limpeza manuais ou de passeio, como: Aspiradores de pó comerciais; Pol"&amp;"idoras ou enceradeiras manuais. Essas máquinas são usadas para limpar pisos e superfícies. Não são utilizados tratores, limpa-neves motorizados ou máquinas de jardinagem. Classificação da função: 37-2011.00 - Zeladores e Faxineiros, exceto empregadas domé"&amp;"sticas e auxiliares de limpeza. A classificação e descrição da função/setor inclui informações gerais sobre o cargo, de acordo com o ONET/OES e o Sistema de Classificação Industrial da América do Norte (NAICS). Consulte as Funções e a Ordem de Serviço par"&amp;"a obter mais informações. Requisitos da função: Experiência necessária: Sim. Meses de experiência necessários: 3. Requisitos especiais: Capacidade de levantar e carregar até 23 kg. Permanecer em pé por longos períodos, caminhar em superfícies escorregadia"&amp;"s e se locomover por grandes áreas. Flexionar-se, abaixar-se, ajoelhar-se, empurrar e puxar equipamentos pesados ​​com frequência. Subir escadas, destreza manual para manusear ferramentas e operar máquinas. Resistência física por longos períodos em divers"&amp;"as condições climáticas, incluindo ambientes frios e úmidos. Número de horas por semana: 40. Horário de trabalho (início/término): 8h às 16h.")</f>
        <v>1. Tarefa: Remover neve de calçadas, entradas de garagem ou estacionamentos. O funcionário utilizará apenas ferramentas manuais para remoção de neve, como pás, vassouras, empurradores e espalhadores de sal manuais ou de empurrar. Não serão utilizados arados de neve motorizados, equipamentos de montaria ou sopradores de neve motorizados. O trabalho envolve a limpeza de calçadas e caminhos de acesso em torno de propriedades comerciais para manter o acesso seguro de pedestres. 2. Tarefa: Limpar instalações ou locais. O funcionário realizará a limpeza rotineira de áreas comuns internas e externas de propriedades comerciais, incluindo: Varrição, lavagem e aspiração de pisos; Esvaziamento de lixeiras e remoção de lixo; Remoção de folhas, pequenos detritos e neve de entradas externas e calçadas utilizando ferramentas manuais. "Instalações ou locais" refere-se a áreas internas e externas de edifícios comerciais, incluindo escritórios, saguões, banheiros, lojas, calçadas, entradas e depósitos. Não serão realizadas tarefas de paisagismo, construção ou reparo. 3. Requisito: Flexão, inclinação, ajoelhamento, empurrar e puxar equipamentos pesados ​​com frequência. Isso se refere à atividade física normal associada ao trabalho de limpeza. Os "equipamentos pesados" incluem: Baldes de esfregão com rodinhas cheios de água (aproximadamente 13 a 16 kg); Lavadoras ou aspiradores de pó manuais; Lixeiras ou carrinhos de suprimentos. Esses itens são empurrados ou puxados manualmente durante as tarefas de limpeza. 4. Requisito: Subir escadas, destreza manual para manusear ferramentas e operar máquinas. Subir escadas: Os funcionários podem ocasionalmente usar uma escada de 1,8 a 2,4 metros para alcançar janelas altas, calhas ou prateleiras. Destreza manual: Os trabalhadores usam ferramentas básicas de limpeza, como borrifadores, esfregões, rodos, pegadores de lixo e dispensadores recarregáveis. Operação de máquinas: Os funcionários podem operar máquinas de limpeza manuais ou de passeio, como: Aspiradores de pó comerciais; Polidoras ou enceradeiras manuais. Essas máquinas são usadas para limpar pisos e superfícies. Não são utilizados tratores, limpa-neves motorizados ou máquinas de jardinagem. Classificação da função: 37-2011.00 - Zeladores e Faxineiros, exceto empregadas domésticas e auxiliares de limpeza. A classificação e descrição da função/setor inclui informações gerais sobre o cargo, de acordo com o ONET/OES e o Sistema de Classificação Industrial da América do Norte (NAICS). Consulte as Funções e a Ordem de Serviço para obter mais informações. Requisitos da função: Experiência necessária: Sim. Meses de experiência necessários: 3. Requisitos especiais: Capacidade de levantar e carregar até 23 kg. Permanecer em pé por longos períodos, caminhar em superfícies escorregadias e se locomover por grandes áreas. Flexionar-se, abaixar-se, ajoelhar-se, empurrar e puxar equipamentos pesados ​​com frequência. Subir escadas, destreza manual para manusear ferramentas e operar máquinas. Resistência física por longos períodos em diversas condições climáticas, incluindo ambientes frios e úmidos. Número de horas por semana: 40. Horário de trabalho (início/término): 8h às 16h.</v>
      </c>
    </row>
    <row r="1799" ht="20.25" customHeight="1">
      <c r="A1799" s="8" t="s">
        <v>8068</v>
      </c>
      <c r="B1799" s="8" t="s">
        <v>8069</v>
      </c>
      <c r="C1799" s="8" t="s">
        <v>197</v>
      </c>
      <c r="D1799" s="8" t="s">
        <v>71</v>
      </c>
      <c r="E1799" s="9" t="s">
        <v>44</v>
      </c>
      <c r="F1799" s="9" t="s">
        <v>20</v>
      </c>
      <c r="G1799" s="9" t="s">
        <v>8070</v>
      </c>
      <c r="H1799" s="8" t="s">
        <v>8071</v>
      </c>
      <c r="I1799" s="8" t="s">
        <v>8072</v>
      </c>
      <c r="J1799" s="9">
        <v>24.46</v>
      </c>
      <c r="K1799" s="9">
        <v>2.0</v>
      </c>
      <c r="L1799" s="8" t="s">
        <v>2826</v>
      </c>
      <c r="M1799" s="8" t="s">
        <v>8073</v>
      </c>
      <c r="N1799" s="7" t="str">
        <f>IFERROR(__xludf.DUMMYFUNCTION("GOOGLETRANSLATE(L1799, ""en"", ""pt"")"),"Supervisor de Cozinha")</f>
        <v>Supervisor de Cozinha</v>
      </c>
      <c r="O1799" s="7" t="str">
        <f>IFERROR(__xludf.DUMMYFUNCTION("IF(M1799="""","""",GOOGLETRANSLATE(M1799,""en"",""pt""))"),"Supervisionar e coordenar diretamente as atividades dos funcionários envolvidos na preparação e serviço de alimentos. (2) vagas disponíveis. Período: 01/10/2026 a 21/07/2027. Requer-se 3 meses de experiência. Turnos rotativos. Dias de trabalho: segunda a "&amp;"domingo. Horário: 18h às 22h. Salário: US$ 24,46 a US$ 27,46/hora, com base no desempenho; horas extras: US$ 36,69 a US$ 41,19/hora. Pagamento quinzenal. 35 horas semanais. Alojamento opcional por US$ 375 quinzenalmente, com depósito de US$ 350 (US$ 200 r"&amp;"eembolsáveis ​​após a assinatura do contrato e vistoria do imóvel / US$ 150 não reembolsáveis). Uniformes e refeições durante o turno fornecidos. Local de trabalho: 400 Vineyards Blvd, Naples, FL 34119. Trabalho temporário em tempo integral. O salário ser"&amp;"á calculado com base em uma semana de trabalho. Possibilidade de até 10 horas extras, quando disponíveis. Todas as deduções do salário do trabalhador exigidas por lei serão feitas. O empregador fornecerá aos trabalhadores, sem custo algum, todas as ferram"&amp;"entas, suprimentos e equipamentos necessários para a execução do trabalho. O trabalhador receberá ou será reembolsado pelas despesas de transporte e subsistência (incluindo o custo razoável de hospedagem noturna, quando necessário, até US$ 110 por noite, "&amp;"mediante apresentação de recibos) à taxa de US$ 16,78 por dia durante o deslocamento, até um máximo de US$ 68,00 por dia, mediante apresentação de recibos, desde o local de origem do trabalhador, seja nos EUA ou no exterior, até o local de trabalho, caso "&amp;"o trabalhador complete 50% do período de trabalho abrangido pela ordem de serviço, em conformidade com 20 CFR 655.20(j)(1)(i), mediante inclusão no salário da semana correspondente. O empregador fornecerá ou pagará o custo do transporte de retorno e da su"&amp;"bsistência diária do trabalhador, do local de trabalho até o local de onde o trabalhador partiu para trabalhar para o empregador, independentemente de empregos intermediários, caso o trabalhador complete o período de emprego certificado ou seja demitido d"&amp;"o emprego por qualquer motivo pelo empregador antes do término do período, de acordo com o § 655.20(j)(1)(ii); os trabalhadores com visto H-2B serão reembolsados ​​na primeira semana de trabalho por todos os vistos, processamento de vistos, travessia de f"&amp;"ronteira e outras taxas relacionadas, incluindo aquelas exigidas pelo governo (exceto taxas de passaporte). O empregador fornecerá aos trabalhadores todas as ferramentas, suprimentos e equipamentos necessários para o desempenho do trabalho, sem custo para"&amp;" o trabalhador, de acordo com o 20 CFR 655.20(k). Os candidatos qualificados podem enviar o currículo para Jeffrey Lesek, no endereço 400 Vineyards Blvd, Naples, FL 34119, por e-mail para employment@vineyardscountryclubnaples.com ou visitar o centro de em"&amp;"pregos local em 6800 Shoppes at Plantation Drive, Suite 170, Fort Myers, FL 33912. *Seu depósito de segurança é reembolsável após a conclusão do contrato e a inspeção da moradia. Se um trabalhador abandonar o emprego sem a permissão do empregador ou aband"&amp;"onar a moradia antes do término do prazo de solicitação por qualquer motivo, exceto rescisão contratual por parte do empregador, o trabalhador perderá todos os depósitos de moradia, dias de folga remunerada, férias e bônus. Após a rescisão ou demissão, o "&amp;"trabalhador deverá desocupar a moradia imediatamente, a menos que haja acordo em contrário com o empregador. Classificação do Cargo: 35-1012.00 - Supervisores de Primeira Linha de Trabalhadores de Preparação e Serviço de Alimentos. A classificação e descr"&amp;"ição do cargo/setor inclui informações gerais sobre a posição, de acordo com o ONET/OES e o Sistema de Classificação Industrial da América do Norte. Consulte a Descrição das Funções e a Ordem de Serviço para obter mais informações. Requisitos da Vaga Expe"&amp;"riência Necessária: Sim Meses de Experiência Necessária: 3 Número de Horas por Semana: 35 Horário de Trabalho (Início/Término): 6h00 - 22h00")</f>
        <v>Supervisionar e coordenar diretamente as atividades dos funcionários envolvidos na preparação e serviço de alimentos. (2) vagas disponíveis. Período: 01/10/2026 a 21/07/2027. Requer-se 3 meses de experiência. Turnos rotativos. Dias de trabalho: segunda a domingo. Horário: 18h às 22h. Salário: US$ 24,46 a US$ 27,46/hora, com base no desempenho; horas extras: US$ 36,69 a US$ 41,19/hora. Pagamento quinzenal. 35 horas semanais. Alojamento opcional por US$ 375 quinzenalmente, com depósito de US$ 350 (US$ 200 reembolsáveis ​​após a assinatura do contrato e vistoria do imóvel / US$ 150 não reembolsáveis). Uniformes e refeições durante o turno fornecidos. Local de trabalho: 400 Vineyards Blvd, Naples, FL 34119. Trabalho temporário em tempo integral. O salário será calculado com base em uma semana de trabalho. Possibilidade de até 10 horas extras, quando disponíveis. Todas as deduções do salário do trabalhador exigidas por lei serão feitas. O empregador fornecerá aos trabalhadores, sem custo algum, todas as ferramentas, suprimentos e equipamentos necessários para a execução do trabalho. O trabalhador receberá ou será reembolsado pelas despesas de transporte e subsistência (incluindo o custo razoável de hospedagem noturna, quando necessário, até US$ 110 por noite, mediante apresentação de recibos) à taxa de US$ 16,78 por dia durante o deslocamento, até um máximo de US$ 68,00 por dia, mediante apresentação de recibos, desde o local de origem do trabalhador, seja nos EUA ou no exterior, até o local de trabalho, caso o trabalhador complete 50% do período de trabalho abrangido pela ordem de serviço, em conformidade com 20 CFR 655.20(j)(1)(i), mediante inclusão no salário da semana correspondente. O empregador fornecerá ou pagará o custo do transporte de retorno e da subsistência diária do trabalhador, do local de trabalho até o local de onde o trabalhador partiu para trabalhar para o empregador, independentemente de empregos intermediários, caso o trabalhador complete o período de emprego certificado ou seja demitido do emprego por qualquer motivo pelo empregador antes do término do período, de acordo com o § 655.20(j)(1)(ii); os trabalhadores com visto H-2B serão reembolsados ​​na primeira semana de trabalho por todos os vistos, processamento de vistos, travessia de fronteira e outras taxas relacionadas, incluindo aquelas exigidas pelo governo (exceto taxas de passaporte). O empregador fornecerá aos trabalhadores todas as ferramentas, suprimentos e equipamentos necessários para o desempenho do trabalho, sem custo para o trabalhador, de acordo com o 20 CFR 655.20(k). Os candidatos qualificados podem enviar o currículo para Jeffrey Lesek, no endereço 400 Vineyards Blvd, Naples, FL 34119, por e-mail para employment@vineyardscountryclubnaples.com ou visitar o centro de empregos local em 6800 Shoppes at Plantation Drive, Suite 170, Fort Myers, FL 33912. *Seu depósito de segurança é reembolsável após a conclusão do contrato e a inspeção da moradia. Se um trabalhador abandonar o emprego sem a permissão do empregador ou abandonar a moradia antes do término do prazo de solicitação por qualquer motivo, exceto rescisão contratual por parte do empregador, o trabalhador perderá todos os depósitos de moradia, dias de folga remunerada, férias e bônus. Após a rescisão ou demissão, o trabalhador deverá desocupar a moradia imediatamente, a menos que haja acordo em contrário com o empregador. Classificação do Cargo: 35-1012.00 - Supervisores de Primeira Linha de Trabalhadores de Preparação e Serviço de Alimentos. A classificação e descrição do cargo/setor inclui informações gerais sobre a posição, de acordo com o ONET/OES e o Sistema de Classificação Industrial da América do Norte. Consulte a Descrição das Funções e a Ordem de Serviço para obter mais informações. Requisitos da Vaga Experiência Necessária: Sim Meses de Experiência Necessária: 3 Número de Horas por Semana: 35 Horário de Trabalho (Início/Término): 6h00 - 22h00</v>
      </c>
    </row>
    <row r="1800" ht="20.25" customHeight="1">
      <c r="A1800" s="3" t="s">
        <v>8074</v>
      </c>
      <c r="B1800" s="3" t="s">
        <v>8075</v>
      </c>
      <c r="C1800" s="3" t="s">
        <v>7260</v>
      </c>
      <c r="D1800" s="3" t="s">
        <v>249</v>
      </c>
      <c r="E1800" s="4" t="s">
        <v>44</v>
      </c>
      <c r="F1800" s="4" t="s">
        <v>20</v>
      </c>
      <c r="G1800" s="4" t="s">
        <v>56</v>
      </c>
      <c r="H1800" s="3" t="s">
        <v>8076</v>
      </c>
      <c r="I1800" s="3" t="s">
        <v>8077</v>
      </c>
      <c r="J1800" s="4">
        <v>18.91</v>
      </c>
      <c r="K1800" s="4">
        <v>6.0</v>
      </c>
      <c r="L1800" s="3" t="s">
        <v>59</v>
      </c>
      <c r="M1800" s="3" t="s">
        <v>8078</v>
      </c>
      <c r="N1800" s="7" t="str">
        <f>IFERROR(__xludf.DUMMYFUNCTION("GOOGLETRANSLATE(L1800, ""en"", ""pt"")"),"Trabalhador de paisagismo")</f>
        <v>Trabalhador de paisagismo</v>
      </c>
      <c r="O1800" s="7" t="str">
        <f>IFERROR(__xludf.DUMMYFUNCTION("IF(M1800="""","""",GOOGLETRANSLATE(M1800,""en"",""pt""))"),"Paisagismo e manutenção de terrenos, utilizando ferramentas manuais ou elétricas. Os trabalhadores geralmente executam uma variedade de tarefas, que podem incluir qualquer combinação das seguintes: colocação de grama, corte de grama, poda, plantio, rega, "&amp;"fertilização, escavação, rastelagem, instalação de sprinklers e instalação de blocos de concreto pré-moldados sem argamassa. Classificação da função: 37-3011.00 - Trabalhadores de Paisagismo e Manutenção de Terrenos. A classificação e descrição da função/"&amp;"setor incluem informações gerais sobre o cargo, de acordo com o ONET/OES e o Sistema de Classificação Industrial da América do Norte (NAICS). Consulte as Funções e a Ordem de Serviço para obter mais informações. Requisitos da função: Experiência necessári"&amp;"a: Não. Requisitos especiais: Capacidade de levantar/carregar 23 kg quando necessário. Número de horas por semana: 40. Horário de trabalho (início/término): 8h às 17h.")</f>
        <v>Paisagismo e manutenção de terrenos, utilizando ferramentas manuais ou elétricas. Os trabalhadores geralmente executam uma variedade de tarefas, que podem incluir qualquer combinação das seguintes: colocação de grama, corte de grama, poda, plantio, rega, fertilização, escavação, rastelagem, instalação de sprinklers e instalação de blocos de concreto pré-moldados sem argamassa. Classificação da função: 37-3011.00 - Trabalhadores de Paisagismo e Manutenção de Terrenos. A classificação e descrição da função/setor incluem informações gerais sobre o cargo, de acordo com o ONET/OES e o Sistema de Classificação Industrial da América do Norte (NAICS). Consulte as Funções e a Ordem de Serviço para obter mais informações. Requisitos da função: Experiência necessária: Não. Requisitos especiais: Capacidade de levantar/carregar 23 kg quando necessário. Número de horas por semana: 40. Horário de trabalho (início/término): 8h às 17h.</v>
      </c>
    </row>
    <row r="1801" ht="20.25" customHeight="1">
      <c r="A1801" s="8" t="s">
        <v>8079</v>
      </c>
      <c r="B1801" s="8" t="s">
        <v>8080</v>
      </c>
      <c r="C1801" s="8"/>
      <c r="D1801" s="8" t="s">
        <v>28</v>
      </c>
      <c r="E1801" s="9" t="s">
        <v>19</v>
      </c>
      <c r="F1801" s="9" t="s">
        <v>20</v>
      </c>
      <c r="G1801" s="9" t="s">
        <v>212</v>
      </c>
      <c r="H1801" s="8" t="s">
        <v>8081</v>
      </c>
      <c r="I1801" s="8" t="s">
        <v>8082</v>
      </c>
      <c r="J1801" s="9">
        <v>21.15</v>
      </c>
      <c r="K1801" s="9">
        <v>65.0</v>
      </c>
      <c r="L1801" s="8" t="s">
        <v>8083</v>
      </c>
      <c r="M1801" s="8" t="s">
        <v>8084</v>
      </c>
      <c r="N1801" s="7" t="str">
        <f>IFERROR(__xludf.DUMMYFUNCTION("GOOGLETRANSLATE(L1801, ""en"", ""pt"")"),"Trabalhador sazonal de fábrica")</f>
        <v>Trabalhador sazonal de fábrica</v>
      </c>
      <c r="O1801" s="7" t="str">
        <f>IFERROR(__xludf.DUMMYFUNCTION("IF(M1801="""","""",GOOGLETRANSLATE(M1801,""en"",""pt""))"),"A Bayou Gulf Shrimp, LLC busca sessenta e cinco (65) trabalhadores sazonais temporários em tempo integral para trabalhar em sua fábrica de processamento de frutos do mar, localizada em 6896 Grand Caillou Road, Dulac, Louisiana 70353, Paróquia de Terrebonn"&amp;"e, de 1º de outubro de 2026 a 1º de junho de 2027. Os candidatos devem possuir três (3) meses de experiência profissional na área. Não é exigida escolaridade formal. Os trabalhadores devem ser capazes de permanecer em pé por longos períodos, realizar tare"&amp;"fas repetitivas e trabalhar em um ambiente frio e úmido de processamento de frutos do mar. A vaga é em tempo integral, com quarenta (40) horas semanais. O trabalho será realizado em turnos rotativos de segunda a sexta-feira, consistindo em turnos de sete "&amp;"(7) horas (das 6h às 14h, das 14h às 22h ou das 22h às 6h) e turnos de cinco (5) horas aos sábados (das 6h às 11h, das 11h às 16h ou das 16h às 21h). Não há previsão de horas extras. As funções incluem a limpeza e preparação das áreas de trabalho para o r"&amp;"ecebimento de ostras e camarões provenientes de embarcações de pesca comercial ou fazendas de aquicultura para processamento; a colocação de ostras e camarões em mesas de processamento ou esteiras transportadoras; a triagem de ostras e camarões por tamanh"&amp;"o e qualidade; a limpeza de ostras e camarões para remover sujeira, detritos e organismos marinhos; Inspecionar produtos de frutos do mar quanto a odores desagradáveis, contaminação ou outros defeitos de qualidade e remover produtos não consumíveis da lin"&amp;"ha de processamento; pesar, embalar e etiquetar ostras e camarões de acordo com as especificações do cliente; colocar frutos do mar processados ​​em recipientes com gelo, caixas térmicas ou outros recipientes refrigerados para manter as temperaturas frias"&amp;" adequadas e preservar o frescor até o envio; manter as áreas de trabalho limpas e higienizadas durante toda a operação de processamento; e seguir todos os procedimentos de segurança alimentar, higiene, controle de qualidade e segurança no trabalho estabe"&amp;"lecidos pelo empregador. Os salários serão pagos semanalmente. O empregador utilizará uma única semana de trabalho como padrão para o cálculo dos salários devidos. O empregador pagará o maior valor entre o salário vigente, o salário mínimo federal aplicáv"&amp;"el, o salário mínimo estadual ou o salário mínimo local, conforme exigido por lei. Todas as deduções dos salários dos trabalhadores exigidas por lei serão feitas. O empregador fornecerá, sem custo para os trabalhadores, todas as ferramentas, suprimentos, "&amp;"equipamentos, roupas de proteção e quaisquer outros materiais necessários para o desempenho das funções atribuídas. O empregador fornecerá transporte diário, sem custo para os trabalhadores, do ponto de encontro centralizado localizado em 3282 Bayou Dular"&amp;"ge Road, Theriot, Louisiana 70397, e da residência fornecida pelo empregador, localizada em 5756 Highway 56, Chauvin, Louisiana 70344, até o local de trabalho, situado em 6896 Grand Caillou Road, Dulac, Louisiana 70353, e transporte de retorno a esses loc"&amp;"ais ao final de cada dia de trabalho. O empregador também fornecerá transporte, sem custo para os trabalhadores que residem na residência fornecida pelo empregador, todos os sábados e domingos, para mercearias, supermercados, farmácias e outros estabeleci"&amp;"mentos comerciais locais, para que os trabalhadores possam comprar seus mantimentos semanais, itens domésticos, objetos de higiene pessoal e suprimentos necessários para preparar suas refeições diárias, com transporte de retorno fornecido para a residênci"&amp;"a fornecida pelo empregador. O transporte público está disponível para o ponto de encontro centralizado para os trabalhadores que optarem por não residir na residência fornecida pelo empregador. Classificação da Função: 45-2041.00 - Classificadores e Sele"&amp;"cionadores de Produtos Agrícolas. A classificação e descrição da função/setor inclui informações gerais sobre o cargo, de acordo com o ONET/OES e o Sistema de Classificação Industrial da América do Norte (NAICS). Consulte as Funções e a Ordem de Serviço p"&amp;"ara obter mais informações. Requisitos da Função Experiência Necessária: Sim Meses de Experiência Necessários: 3 Requisitos Especiais: Os funcionários devem ser capazes de permanecer em pé por longos períodos e trabalhar em um ambiente frio e úmido de pro"&amp;"cessamento de frutos do mar. Os candidatos devem ter três (3) meses de experiência profissional na área. Não é necessário nível de escolaridade formal. A vaga é em tempo integral (40 horas semanais). Não há possibilidade de horas extras. Número de Horas p"&amp;"or Semana: 40 Horário de Trabalho (Início/Término): 14h00 - 22h00")</f>
        <v>A Bayou Gulf Shrimp, LLC busca sessenta e cinco (65) trabalhadores sazonais temporários em tempo integral para trabalhar em sua fábrica de processamento de frutos do mar, localizada em 6896 Grand Caillou Road, Dulac, Louisiana 70353, Paróquia de Terrebonne, de 1º de outubro de 2026 a 1º de junho de 2027. Os candidatos devem possuir três (3) meses de experiência profissional na área. Não é exigida escolaridade formal. Os trabalhadores devem ser capazes de permanecer em pé por longos períodos, realizar tarefas repetitivas e trabalhar em um ambiente frio e úmido de processamento de frutos do mar. A vaga é em tempo integral, com quarenta (40) horas semanais. O trabalho será realizado em turnos rotativos de segunda a sexta-feira, consistindo em turnos de sete (7) horas (das 6h às 14h, das 14h às 22h ou das 22h às 6h) e turnos de cinco (5) horas aos sábados (das 6h às 11h, das 11h às 16h ou das 16h às 21h). Não há previsão de horas extras. As funções incluem a limpeza e preparação das áreas de trabalho para o recebimento de ostras e camarões provenientes de embarcações de pesca comercial ou fazendas de aquicultura para processamento; a colocação de ostras e camarões em mesas de processamento ou esteiras transportadoras; a triagem de ostras e camarões por tamanho e qualidade; a limpeza de ostras e camarões para remover sujeira, detritos e organismos marinhos; Inspecionar produtos de frutos do mar quanto a odores desagradáveis, contaminação ou outros defeitos de qualidade e remover produtos não consumíveis da linha de processamento; pesar, embalar e etiquetar ostras e camarões de acordo com as especificações do cliente; colocar frutos do mar processados ​​em recipientes com gelo, caixas térmicas ou outros recipientes refrigerados para manter as temperaturas frias adequadas e preservar o frescor até o envio; manter as áreas de trabalho limpas e higienizadas durante toda a operação de processamento; e seguir todos os procedimentos de segurança alimentar, higiene, controle de qualidade e segurança no trabalho estabelecidos pelo empregador. Os salários serão pagos semanalmente. O empregador utilizará uma única semana de trabalho como padrão para o cálculo dos salários devidos. O empregador pagará o maior valor entre o salário vigente, o salário mínimo federal aplicável, o salário mínimo estadual ou o salário mínimo local, conforme exigido por lei. Todas as deduções dos salários dos trabalhadores exigidas por lei serão feitas. O empregador fornecerá, sem custo para os trabalhadores, todas as ferramentas, suprimentos, equipamentos, roupas de proteção e quaisquer outros materiais necessários para o desempenho das funções atribuídas. O empregador fornecerá transporte diário, sem custo para os trabalhadores, do ponto de encontro centralizado localizado em 3282 Bayou Dularge Road, Theriot, Louisiana 70397, e da residência fornecida pelo empregador, localizada em 5756 Highway 56, Chauvin, Louisiana 70344, até o local de trabalho, situado em 6896 Grand Caillou Road, Dulac, Louisiana 70353, e transporte de retorno a esses locais ao final de cada dia de trabalho. O empregador também fornecerá transporte, sem custo para os trabalhadores que residem na residência fornecida pelo empregador, todos os sábados e domingos, para mercearias, supermercados, farmácias e outros estabelecimentos comerciais locais, para que os trabalhadores possam comprar seus mantimentos semanais, itens domésticos, objetos de higiene pessoal e suprimentos necessários para preparar suas refeições diárias, com transporte de retorno fornecido para a residência fornecida pelo empregador. O transporte público está disponível para o ponto de encontro centralizado para os trabalhadores que optarem por não residir na residência fornecida pelo empregador. Classificação da Função: 45-2041.00 - Classificadores e Selecionadores de Produtos Agrícolas. A classificação e descrição da função/setor inclui informações gerais sobre o cargo, de acordo com o ONET/OES e o Sistema de Classificação Industrial da América do Norte (NAICS). Consulte as Funções e a Ordem de Serviço para obter mais informações. Requisitos da Função Experiência Necessária: Sim Meses de Experiência Necessários: 3 Requisitos Especiais: Os funcionários devem ser capazes de permanecer em pé por longos períodos e trabalhar em um ambiente frio e úmido de processamento de frutos do mar. Os candidatos devem ter três (3) meses de experiência profissional na área. Não é necessário nível de escolaridade formal. A vaga é em tempo integral (40 horas semanais). Não há possibilidade de horas extras. Número de Horas por Semana: 40 Horário de Trabalho (Início/Término): 14h00 - 22h00</v>
      </c>
    </row>
    <row r="1802" ht="20.25" customHeight="1">
      <c r="A1802" s="3" t="s">
        <v>8085</v>
      </c>
      <c r="B1802" s="3" t="s">
        <v>7886</v>
      </c>
      <c r="C1802" s="3"/>
      <c r="D1802" s="3" t="s">
        <v>795</v>
      </c>
      <c r="E1802" s="4" t="s">
        <v>19</v>
      </c>
      <c r="F1802" s="4" t="s">
        <v>20</v>
      </c>
      <c r="G1802" s="4" t="s">
        <v>118</v>
      </c>
      <c r="H1802" s="3" t="s">
        <v>8086</v>
      </c>
      <c r="I1802" s="3" t="s">
        <v>7888</v>
      </c>
      <c r="J1802" s="4">
        <v>16.69</v>
      </c>
      <c r="K1802" s="4">
        <v>6.0</v>
      </c>
      <c r="L1802" s="3" t="s">
        <v>5592</v>
      </c>
      <c r="M1802" s="3" t="s">
        <v>8087</v>
      </c>
      <c r="N1802" s="7" t="str">
        <f>IFERROR(__xludf.DUMMYFUNCTION("GOOGLETRANSLATE(L1802, ""en"", ""pt"")"),"Auxiliar de Cozinha")</f>
        <v>Auxiliar de Cozinha</v>
      </c>
      <c r="O1802" s="7" t="str">
        <f>IFERROR(__xludf.DUMMYFUNCTION("IF(M1802="""","""",GOOGLETRANSLATE(M1802,""en"",""pt""))"),"Auxiliar na preparação de ingredientes para pratos de lagostins e frutos do mar em uma cozinha comercial. As tarefas incluem limpar, selecionar e porcionar lagostins vivos usando peneiras, luvas e pias comerciais; picar legumes e ervas como cebola, alho, "&amp;"cenoura, aipo, pimentão e coentro usando facas e tábuas de corte; preparar misturas de temperos e molhos, como temperos cajun e molho de manteiga com alho, usando tigelas, utensílios de medição e recipientes para alimentos; organizar e preparar os ingredi"&amp;"entes para a equipe de cozinha, incluindo a transferência dos itens preparados para recipientes e caixas de armazenamento de alimentos etiquetados para uso em grandes panelas de fervura comerciais; limpar e higienizar mesas de preparo, facas, tábuas de co"&amp;"rte, pias e recipientes de alimentos de acordo com as normas de segurança alimentar e higiene; seguir as instruções da equipe de cozinha sênior. Classificação do Cargo: 35-2021.00 - Auxiliares de Preparo de Alimentos. A classificação e descrição do cargo/"&amp;"setor inclui informações gerais sobre a posição, conforme o ONET/OES e o Sistema de Classificação Industrial da América do Norte. Consulte as Funções e a Ordem de Serviço para obter mais informações. Requisitos da vaga Experiência necessária: Sim Meses de"&amp;" experiência necessários: 24 Requisitos especiais: Não há exigência mínima de escolaridade ou experiência. O empregador fornecerá treinamento no local de trabalho. O candidato deve ser capaz de desempenhar as funções do cargo. Número de horas por semana: "&amp;"40 Horário de trabalho (início/término): 12:00 - 20:30")</f>
        <v>Auxiliar na preparação de ingredientes para pratos de lagostins e frutos do mar em uma cozinha comercial. As tarefas incluem limpar, selecionar e porcionar lagostins vivos usando peneiras, luvas e pias comerciais; picar legumes e ervas como cebola, alho, cenoura, aipo, pimentão e coentro usando facas e tábuas de corte; preparar misturas de temperos e molhos, como temperos cajun e molho de manteiga com alho, usando tigelas, utensílios de medição e recipientes para alimentos; organizar e preparar os ingredientes para a equipe de cozinha, incluindo a transferência dos itens preparados para recipientes e caixas de armazenamento de alimentos etiquetados para uso em grandes panelas de fervura comerciais; limpar e higienizar mesas de preparo, facas, tábuas de corte, pias e recipientes de alimentos de acordo com as normas de segurança alimentar e higiene; seguir as instruções da equipe de cozinha sênior. Classificação do Cargo: 35-2021.00 - Auxiliares de Preparo de Alimentos. A classificação e descrição do cargo/setor inclui informações gerais sobre a posição, conforme o ONET/OES e o Sistema de Classificação Industrial da América do Norte. Consulte as Funções e a Ordem de Serviço para obter mais informações. Requisitos da vaga Experiência necessária: Sim Meses de experiência necessários: 24 Requisitos especiais: Não há exigência mínima de escolaridade ou experiência. O empregador fornecerá treinamento no local de trabalho. O candidato deve ser capaz de desempenhar as funções do cargo. Número de horas por semana: 40 Horário de trabalho (início/término): 12:00 - 20:30</v>
      </c>
    </row>
    <row r="1803" ht="20.25" customHeight="1">
      <c r="A1803" s="8" t="s">
        <v>8088</v>
      </c>
      <c r="B1803" s="8" t="s">
        <v>8089</v>
      </c>
      <c r="C1803" s="8"/>
      <c r="D1803" s="8" t="s">
        <v>102</v>
      </c>
      <c r="E1803" s="9" t="s">
        <v>19</v>
      </c>
      <c r="F1803" s="9" t="s">
        <v>20</v>
      </c>
      <c r="G1803" s="9" t="s">
        <v>377</v>
      </c>
      <c r="H1803" s="8" t="s">
        <v>8090</v>
      </c>
      <c r="I1803" s="8" t="s">
        <v>8091</v>
      </c>
      <c r="J1803" s="9">
        <v>17.83</v>
      </c>
      <c r="K1803" s="9">
        <v>28.0</v>
      </c>
      <c r="L1803" s="8" t="s">
        <v>1490</v>
      </c>
      <c r="M1803" s="8" t="s">
        <v>8092</v>
      </c>
      <c r="N1803" s="7" t="str">
        <f>IFERROR(__xludf.DUMMYFUNCTION("GOOGLETRANSLATE(L1803, ""en"", ""pt"")"),"Zelador")</f>
        <v>Zelador</v>
      </c>
      <c r="O1803" s="7" t="str">
        <f>IFERROR(__xludf.DUMMYFUNCTION("IF(M1803="""","""",GOOGLETRANSLATE(M1803,""en"",""pt""))"),"Paisagismo e manutenção de terrenos utilizando ferramentas manuais ou elétricas. Os trabalhadores geralmente executam uma variedade de tarefas, que podem incluir qualquer combinação das seguintes: colocação de grama, corte de grama, poda, plantio, irrigaç"&amp;"ão, fertilização, escavação, rastelagem, instalação de aspersores e instalação de blocos de concreto pré-moldados sem argamassa. Classificação da função: 37-3011.00 - Trabalhadores de Paisagismo e Manutenção de Terrenos. A classificação e descrição da fun"&amp;"ção/setor incluem informações gerais sobre o cargo, de acordo com o ONET/OES e o Sistema de Classificação Industrial da América do Norte (NAICS). Consulte as Funções e a Ordem de Serviço para obter mais informações. Requisitos da função: Experiência neces"&amp;"sária: Não. Requisitos especiais: Capacidade de levantar e carregar 23 kg. Capacidade de trabalhar em condições climáticas adversas. Número de horas por semana: 40. Horário de trabalho (início/término): 8h30 às 16h30.")</f>
        <v>Paisagismo e manutenção de terrenos utilizando ferramentas manuais ou elétricas. Os trabalhadores geralmente executam uma variedade de tarefas, que podem incluir qualquer combinação das seguintes: colocação de grama, corte de grama, poda, plantio, irrigação, fertilização, escavação, rastelagem, instalação de aspersores e instalação de blocos de concreto pré-moldados sem argamassa. Classificação da função: 37-3011.00 - Trabalhadores de Paisagismo e Manutenção de Terrenos. A classificação e descrição da função/setor incluem informações gerais sobre o cargo, de acordo com o ONET/OES e o Sistema de Classificação Industrial da América do Norte (NAICS). Consulte as Funções e a Ordem de Serviço para obter mais informações. Requisitos da função: Experiência necessária: Não. Requisitos especiais: Capacidade de levantar e carregar 23 kg. Capacidade de trabalhar em condições climáticas adversas. Número de horas por semana: 40. Horário de trabalho (início/término): 8h30 às 16h30.</v>
      </c>
    </row>
    <row r="1804" ht="20.25" customHeight="1">
      <c r="A1804" s="3" t="s">
        <v>8093</v>
      </c>
      <c r="B1804" s="3" t="s">
        <v>8094</v>
      </c>
      <c r="C1804" s="3" t="s">
        <v>7651</v>
      </c>
      <c r="D1804" s="3" t="s">
        <v>102</v>
      </c>
      <c r="E1804" s="4" t="s">
        <v>19</v>
      </c>
      <c r="F1804" s="4" t="s">
        <v>20</v>
      </c>
      <c r="G1804" s="4" t="s">
        <v>404</v>
      </c>
      <c r="H1804" s="3" t="s">
        <v>8095</v>
      </c>
      <c r="I1804" s="3" t="s">
        <v>8096</v>
      </c>
      <c r="J1804" s="4">
        <v>15.18</v>
      </c>
      <c r="K1804" s="4">
        <v>5.0</v>
      </c>
      <c r="L1804" s="3" t="s">
        <v>8097</v>
      </c>
      <c r="M1804" s="3" t="s">
        <v>8098</v>
      </c>
      <c r="N1804" s="7" t="str">
        <f>IFERROR(__xludf.DUMMYFUNCTION("GOOGLETRANSLATE(L1804, ""en"", ""pt"")"),"Serviços de limpeza de neve")</f>
        <v>Serviços de limpeza de neve</v>
      </c>
      <c r="O1804" s="7" t="str">
        <f>IFERROR(__xludf.DUMMYFUNCTION("IF(M1804="""","""",GOOGLETRANSLATE(M1804,""en"",""pt""))"),"Executar serviços temporários e em tempo integral de manutenção de inverno e remoção de neve para propriedades comerciais e residenciais. Remover neve, gelo, lama, folhas, galhos, lama e detritos de calçadas, passarelas, entradas, estacionamentos e áreas "&amp;"comuns usando pás, sopradores de neve, vassouras, sopradores de mochila e outras ferramentas manuais ou elétricas. Aplicar sal e produtos para derreter gelo a fim de manter condições seguras. Realizar limpeza externa, remoção de lixo, varrição, limpeza sa"&amp;"zonal e outras tarefas de manutenção de propriedades. O trabalho pode incluir turnos noturnos, fins de semana, feriados e atendimento a emergências climáticas. As tarefas também podem incluir atividades de limpeza de outono e primavera, como recolher folh"&amp;"as, limpar calhas, remover galhos e detritos de tempestades, limpar áreas ajardinadas e preparar as propriedades para as condições climáticas sazonais. Classificação da função: 37-2011.00 - Zeladores e Faxineiros, exceto empregadas domésticas e faxineiras"&amp;". A classificação e descrição da função/setor incluem informações gerais sobre o cargo, de acordo com o ONET/OES e o Sistema de Classificação Industrial da América do Norte. Consulte as Funções e a Ordem de Serviço para obter mais informações. Requisitos "&amp;"da vaga Experiência necessária: Sim Meses de experiência necessários: 3 Requisitos especiais: Deve ser capaz de levantar/carregar 23 kg, quando necessário. Trabalho aos sábados e domingos, quando necessário. Exame toxicológico pago pelo empregador é obrig"&amp;"atório para trabalhadores estrangeiros e nacionais antes do início do trabalho e após a contratação, em caso de acidente. Verificação de antecedentes e elegibilidade para emprego (e-Verify) é obrigatória para trabalhadores estrangeiros e nacionais após a "&amp;"contratação. Número de horas por semana: 45 Horário de trabalho (início/término): 7h às 17h")</f>
        <v>Executar serviços temporários e em tempo integral de manutenção de inverno e remoção de neve para propriedades comerciais e residenciais. Remover neve, gelo, lama, folhas, galhos, lama e detritos de calçadas, passarelas, entradas, estacionamentos e áreas comuns usando pás, sopradores de neve, vassouras, sopradores de mochila e outras ferramentas manuais ou elétricas. Aplicar sal e produtos para derreter gelo a fim de manter condições seguras. Realizar limpeza externa, remoção de lixo, varrição, limpeza sazonal e outras tarefas de manutenção de propriedades. O trabalho pode incluir turnos noturnos, fins de semana, feriados e atendimento a emergências climáticas. As tarefas também podem incluir atividades de limpeza de outono e primavera, como recolher folhas, limpar calhas, remover galhos e detritos de tempestades, limpar áreas ajardinadas e preparar as propriedades para as condições climáticas sazonais. Classificação da função: 37-2011.00 - Zeladores e Faxineiros, exceto empregadas domésticas e faxineiras. A classificação e descrição da função/setor incluem informações gerais sobre o cargo, de acordo com o ONET/OES e o Sistema de Classificação Industrial da América do Norte. Consulte as Funções e a Ordem de Serviço para obter mais informações. Requisitos da vaga Experiência necessária: Sim Meses de experiência necessários: 3 Requisitos especiais: Deve ser capaz de levantar/carregar 23 kg, quando necessário. Trabalho aos sábados e domingos, quando necessário. Exame toxicológico pago pelo empregador é obrigatório para trabalhadores estrangeiros e nacionais antes do início do trabalho e após a contratação, em caso de acidente. Verificação de antecedentes e elegibilidade para emprego (e-Verify) é obrigatória para trabalhadores estrangeiros e nacionais após a contratação. Número de horas por semana: 45 Horário de trabalho (início/término): 7h às 17h</v>
      </c>
    </row>
    <row r="1805" ht="20.25" customHeight="1">
      <c r="A1805" s="8" t="s">
        <v>8099</v>
      </c>
      <c r="B1805" s="8" t="s">
        <v>8094</v>
      </c>
      <c r="C1805" s="8" t="s">
        <v>7651</v>
      </c>
      <c r="D1805" s="8" t="s">
        <v>102</v>
      </c>
      <c r="E1805" s="9" t="s">
        <v>19</v>
      </c>
      <c r="F1805" s="9" t="s">
        <v>20</v>
      </c>
      <c r="G1805" s="9" t="s">
        <v>1441</v>
      </c>
      <c r="H1805" s="8" t="s">
        <v>8095</v>
      </c>
      <c r="I1805" s="8" t="s">
        <v>8096</v>
      </c>
      <c r="J1805" s="9">
        <v>22.25</v>
      </c>
      <c r="K1805" s="9">
        <v>5.0</v>
      </c>
      <c r="L1805" s="8" t="s">
        <v>8100</v>
      </c>
      <c r="M1805" s="8" t="s">
        <v>8101</v>
      </c>
      <c r="N1805" s="7" t="str">
        <f>IFERROR(__xludf.DUMMYFUNCTION("GOOGLETRANSLATE(L1805, ""en"", ""pt"")"),"Instaladores de Iluminação Natalina")</f>
        <v>Instaladores de Iluminação Natalina</v>
      </c>
      <c r="O1805" s="7" t="str">
        <f>IFERROR(__xludf.DUMMYFUNCTION("IF(M1805="""","""",GOOGLETRANSLATE(M1805,""en"",""pt""))"),"Auxiliar na instalação, manutenção, resolução de problemas e remoção de decorações de Natal e sazonais em propriedades residenciais e comerciais. As funções incluem carregar e descarregar materiais, operar ferramentas manuais e elétricas, trabalhar em esc"&amp;"adas e plataformas elevatórias, instalar luzes, decorações, fiação e componentes de exibição, fixar sistemas de iluminação, realizar a remoção e o armazenamento após a temporada, manter um local de trabalho limpo e seguro e executar outras tarefas manuais"&amp;" conforme atribuídas. Seguir todos os procedimentos de segurança e manter as ferramentas e equipamentos em boas condições de funcionamento. Classificação da função: 49-9099.00 - Trabalhadores de Instalação, Manutenção e Reparo, Outros. A classificação e a"&amp;" descrição da função/setor incluem informações gerais sobre o cargo de acordo com o ONET/OES e o Sistema de Classificação Industrial da América do Norte. Consulte as Funções e a Ordem de Serviço para obter mais informações. Requisitos da vaga: Experiência"&amp;" necessária: Sim. Meses de experiência necessários: 3. Requisitos especiais: Deve ser capaz de levantar/carregar 23 kg, quando necessário. Trabalho aos sábados e domingos, quando necessário. O empregador exige que trabalhadores estrangeiros e nacionais se"&amp;" submetam a testes de drogas pagos pelo empregador antes do início do trabalho e após a contratação, em caso de acidente. A verificação de antecedentes e a verificação de elegibilidade para emprego (e-Verify) são obrigatórias para trabalhadores estrangeir"&amp;"os e nacionais após a contratação. Número de horas por semana: 45. Horário de trabalho (início/término): 7h às 17h.")</f>
        <v>Auxiliar na instalação, manutenção, resolução de problemas e remoção de decorações de Natal e sazonais em propriedades residenciais e comerciais. As funções incluem carregar e descarregar materiais, operar ferramentas manuais e elétricas, trabalhar em escadas e plataformas elevatórias, instalar luzes, decorações, fiação e componentes de exibição, fixar sistemas de iluminação, realizar a remoção e o armazenamento após a temporada, manter um local de trabalho limpo e seguro e executar outras tarefas manuais conforme atribuídas. Seguir todos os procedimentos de segurança e manter as ferramentas e equipamentos em boas condições de funcionamento. Classificação da função: 49-9099.00 - Trabalhadores de Instalação, Manutenção e Reparo, Outros. A classificação e a descrição da função/setor incluem informações gerais sobre o cargo de acordo com o ONET/OES e o Sistema de Classificação Industrial da América do Norte. Consulte as Funções e a Ordem de Serviço para obter mais informações. Requisitos da vaga: Experiência necessária: Sim. Meses de experiência necessários: 3. Requisitos especiais: Deve ser capaz de levantar/carregar 23 kg, quando necessário. Trabalho aos sábados e domingos, quando necessário. O empregador exige que trabalhadores estrangeiros e nacionais se submetam a testes de drogas pagos pelo empregador antes do início do trabalho e após a contratação, em caso de acidente. A verificação de antecedentes e a verificação de elegibilidade para emprego (e-Verify) são obrigatórias para trabalhadores estrangeiros e nacionais após a contratação. Número de horas por semana: 45. Horário de trabalho (início/término): 7h às 17h.</v>
      </c>
    </row>
    <row r="1806" ht="20.25" customHeight="1">
      <c r="A1806" s="3" t="s">
        <v>8102</v>
      </c>
      <c r="B1806" s="3" t="s">
        <v>8103</v>
      </c>
      <c r="C1806" s="3" t="s">
        <v>7651</v>
      </c>
      <c r="D1806" s="3" t="s">
        <v>71</v>
      </c>
      <c r="E1806" s="4" t="s">
        <v>19</v>
      </c>
      <c r="F1806" s="4" t="s">
        <v>20</v>
      </c>
      <c r="G1806" s="4" t="s">
        <v>1441</v>
      </c>
      <c r="H1806" s="3" t="s">
        <v>8104</v>
      </c>
      <c r="I1806" s="3" t="s">
        <v>8105</v>
      </c>
      <c r="J1806" s="4">
        <v>23.77</v>
      </c>
      <c r="K1806" s="4">
        <v>2.0</v>
      </c>
      <c r="L1806" s="3" t="s">
        <v>8106</v>
      </c>
      <c r="M1806" s="3" t="s">
        <v>8101</v>
      </c>
      <c r="N1806" s="7" t="str">
        <f>IFERROR(__xludf.DUMMYFUNCTION("GOOGLETRANSLATE(L1806, ""en"", ""pt"")"),"Instalador de Iluminação Natalina")</f>
        <v>Instalador de Iluminação Natalina</v>
      </c>
      <c r="O1806" s="7" t="str">
        <f>IFERROR(__xludf.DUMMYFUNCTION("IF(M1806="""","""",GOOGLETRANSLATE(M1806,""en"",""pt""))"),"Auxiliar na instalação, manutenção, resolução de problemas e remoção de decorações de Natal e sazonais em propriedades residenciais e comerciais. As funções incluem carregar e descarregar materiais, operar ferramentas manuais e elétricas, trabalhar em esc"&amp;"adas e plataformas elevatórias, instalar luzes, decorações, fiação e componentes de exibição, fixar sistemas de iluminação, realizar a remoção e o armazenamento após a temporada, manter um local de trabalho limpo e seguro e executar outras tarefas manuais"&amp;" conforme atribuídas. Seguir todos os procedimentos de segurança e manter as ferramentas e equipamentos em boas condições de funcionamento. Classificação da função: 49-9099.00 - Trabalhadores de Instalação, Manutenção e Reparo, Outros. A classificação e a"&amp;" descrição da função/setor incluem informações gerais sobre o cargo de acordo com o ONET/OES e o Sistema de Classificação Industrial da América do Norte. Consulte as Funções e a Ordem de Serviço para obter mais informações. Requisitos da vaga: Experiência"&amp;" necessária: Sim. Meses de experiência necessários: 3. Requisitos especiais: Deve ser capaz de levantar/carregar 23 kg, quando necessário. Trabalho aos sábados e domingos, quando necessário. O empregador exige que trabalhadores estrangeiros e nacionais se"&amp;" submetam a testes de drogas pagos pelo empregador antes do início do trabalho e após a contratação, em caso de acidente. A verificação de antecedentes e a verificação de elegibilidade para emprego (e-Verify) são obrigatórias para trabalhadores estrangeir"&amp;"os e nacionais após a contratação. Número de horas por semana: 45. Horário de trabalho (início/término): 7h às 17h.")</f>
        <v>Auxiliar na instalação, manutenção, resolução de problemas e remoção de decorações de Natal e sazonais em propriedades residenciais e comerciais. As funções incluem carregar e descarregar materiais, operar ferramentas manuais e elétricas, trabalhar em escadas e plataformas elevatórias, instalar luzes, decorações, fiação e componentes de exibição, fixar sistemas de iluminação, realizar a remoção e o armazenamento após a temporada, manter um local de trabalho limpo e seguro e executar outras tarefas manuais conforme atribuídas. Seguir todos os procedimentos de segurança e manter as ferramentas e equipamentos em boas condições de funcionamento. Classificação da função: 49-9099.00 - Trabalhadores de Instalação, Manutenção e Reparo, Outros. A classificação e a descrição da função/setor incluem informações gerais sobre o cargo de acordo com o ONET/OES e o Sistema de Classificação Industrial da América do Norte. Consulte as Funções e a Ordem de Serviço para obter mais informações. Requisitos da vaga: Experiência necessária: Sim. Meses de experiência necessários: 3. Requisitos especiais: Deve ser capaz de levantar/carregar 23 kg, quando necessário. Trabalho aos sábados e domingos, quando necessário. O empregador exige que trabalhadores estrangeiros e nacionais se submetam a testes de drogas pagos pelo empregador antes do início do trabalho e após a contratação, em caso de acidente. A verificação de antecedentes e a verificação de elegibilidade para emprego (e-Verify) são obrigatórias para trabalhadores estrangeiros e nacionais após a contratação. Número de horas por semana: 45. Horário de trabalho (início/término): 7h às 17h.</v>
      </c>
    </row>
    <row r="1807" ht="20.25" customHeight="1">
      <c r="A1807" s="8" t="s">
        <v>8107</v>
      </c>
      <c r="B1807" s="8" t="s">
        <v>8103</v>
      </c>
      <c r="C1807" s="8" t="s">
        <v>7651</v>
      </c>
      <c r="D1807" s="8" t="s">
        <v>71</v>
      </c>
      <c r="E1807" s="9" t="s">
        <v>19</v>
      </c>
      <c r="F1807" s="9" t="s">
        <v>20</v>
      </c>
      <c r="G1807" s="9" t="s">
        <v>110</v>
      </c>
      <c r="H1807" s="8" t="s">
        <v>8108</v>
      </c>
      <c r="I1807" s="8" t="s">
        <v>8109</v>
      </c>
      <c r="J1807" s="9">
        <v>26.53</v>
      </c>
      <c r="K1807" s="9">
        <v>6.0</v>
      </c>
      <c r="L1807" s="8" t="s">
        <v>8110</v>
      </c>
      <c r="M1807" s="8" t="s">
        <v>8111</v>
      </c>
      <c r="N1807" s="7" t="str">
        <f>IFERROR(__xludf.DUMMYFUNCTION("GOOGLETRANSLATE(L1807, ""en"", ""pt"")"),"Podadores e aparadores de árvores")</f>
        <v>Podadores e aparadores de árvores</v>
      </c>
      <c r="O1807" s="7" t="str">
        <f>IFERROR(__xludf.DUMMYFUNCTION("IF(M1807="""","""",GOOGLETRANSLATE(M1807,""en"",""pt""))"),"Utilizando técnicas sofisticadas de escalada e içamento, corte galhos mortos ou em excesso de palmeiras para manter a faixa de domínio de estradas, calçadas ou serviços públicos, ou para melhorar a aparência, a saúde e o valor da árvore. Poda ou trata árv"&amp;"ores ou arbustos usando serras manuais, tesouras de poda manuais, tesouras de poda elétricas e podadores motorizados. Trabalha no alto da copa da árvore e pode utilizar plataformas elevatórias montadas em caminhões. Classificação da Função: 37-3013.00 - P"&amp;"odadores e Podadores de Árvores. A classificação e descrição da função/setor inclui informações gerais sobre o cargo, de acordo com o ONET/OES e o Sistema de Classificação Industrial da América do Norte. Consulte as Funções e a Ordem de Serviço para obter"&amp;" mais informações. Requisitos da Função: Experiência Necessária: Sim. Meses de Experiência Necessários: 3. Requisitos Especiais: Deve ser capaz de levantar/carregar 23 kg, quando necessário. Trabalho aos sábados e domingos, quando necessário. Exame toxico"&amp;"lógico pago pelo empregador é obrigatório para trabalhadores estrangeiros e nacionais antes do início do trabalho e após a contratação, em caso de acidente. É obrigatória a verificação de antecedentes e de elegibilidade para emprego (e-Verify) após a cont"&amp;"ratação de trabalhadores estrangeiros e nacionais. Número de horas por semana: 45. Horário de trabalho (início/término): 7h às 17h.")</f>
        <v>Utilizando técnicas sofisticadas de escalada e içamento, corte galhos mortos ou em excesso de palmeiras para manter a faixa de domínio de estradas, calçadas ou serviços públicos, ou para melhorar a aparência, a saúde e o valor da árvore. Poda ou trata árvores ou arbustos usando serras manuais, tesouras de poda manuais, tesouras de poda elétricas e podadores motorizados. Trabalha no alto da copa da árvore e pode utilizar plataformas elevatórias montadas em caminhões. Classificação da Função: 37-3013.00 - Podadores e Podadores de Árvores. A classificação e descrição da função/setor inclui informações gerais sobre o cargo, de acordo com o ONET/OES e o Sistema de Classificação Industrial da América do Norte. Consulte as Funções e a Ordem de Serviço para obter mais informações. Requisitos da Função: Experiência Necessária: Sim. Meses de Experiência Necessários: 3. Requisitos Especiais: Deve ser capaz de levantar/carregar 23 kg, quando necessário. Trabalho aos sábados e domingos, quando necessário. Exame toxicológico pago pelo empregador é obrigatório para trabalhadores estrangeiros e nacionais antes do início do trabalho e após a contratação, em caso de acidente. É obrigatória a verificação de antecedentes e de elegibilidade para emprego (e-Verify) após a contratação de trabalhadores estrangeiros e nacionais. Número de horas por semana: 45. Horário de trabalho (início/término): 7h às 17h.</v>
      </c>
    </row>
    <row r="1808" ht="20.25" customHeight="1">
      <c r="A1808" s="3" t="s">
        <v>8112</v>
      </c>
      <c r="B1808" s="3" t="s">
        <v>8113</v>
      </c>
      <c r="C1808" s="3" t="s">
        <v>7651</v>
      </c>
      <c r="D1808" s="3" t="s">
        <v>71</v>
      </c>
      <c r="E1808" s="4" t="s">
        <v>19</v>
      </c>
      <c r="F1808" s="4" t="s">
        <v>20</v>
      </c>
      <c r="G1808" s="4" t="s">
        <v>110</v>
      </c>
      <c r="H1808" s="3" t="s">
        <v>8095</v>
      </c>
      <c r="I1808" s="3" t="s">
        <v>8096</v>
      </c>
      <c r="J1808" s="4">
        <v>24.7</v>
      </c>
      <c r="K1808" s="4">
        <v>4.0</v>
      </c>
      <c r="L1808" s="3" t="s">
        <v>8110</v>
      </c>
      <c r="M1808" s="3" t="s">
        <v>8111</v>
      </c>
      <c r="N1808" s="7" t="str">
        <f>IFERROR(__xludf.DUMMYFUNCTION("GOOGLETRANSLATE(L1808, ""en"", ""pt"")"),"Podadores e aparadores de árvores")</f>
        <v>Podadores e aparadores de árvores</v>
      </c>
      <c r="O1808" s="7" t="str">
        <f>IFERROR(__xludf.DUMMYFUNCTION("IF(M1808="""","""",GOOGLETRANSLATE(M1808,""en"",""pt""))"),"Utilizando técnicas sofisticadas de escalada e içamento, corte galhos mortos ou em excesso de palmeiras para manter a faixa de domínio de estradas, calçadas ou serviços públicos, ou para melhorar a aparência, a saúde e o valor da árvore. Poda ou trata árv"&amp;"ores ou arbustos usando serras manuais, tesouras de poda manuais, tesouras de poda elétricas e podadores motorizados. Trabalha no alto da copa da árvore e pode utilizar plataformas elevatórias montadas em caminhões. Classificação da Função: 37-3013.00 - P"&amp;"odadores e Podadores de Árvores. A classificação e descrição da função/setor inclui informações gerais sobre o cargo, de acordo com o ONET/OES e o Sistema de Classificação Industrial da América do Norte. Consulte as Funções e a Ordem de Serviço para obter"&amp;" mais informações. Requisitos da Função: Experiência Necessária: Sim. Meses de Experiência Necessários: 3. Requisitos Especiais: Deve ser capaz de levantar/carregar 23 kg, quando necessário. Trabalho aos sábados e domingos, quando necessário. Exame toxico"&amp;"lógico pago pelo empregador é obrigatório para trabalhadores estrangeiros e nacionais antes do início do trabalho e após a contratação, em caso de acidente. É obrigatória a verificação de antecedentes e de elegibilidade para emprego (e-Verify) após a cont"&amp;"ratação de trabalhadores estrangeiros e nacionais. Número de horas por semana: 45. Horário de trabalho (início/término): 7h às 17h.")</f>
        <v>Utilizando técnicas sofisticadas de escalada e içamento, corte galhos mortos ou em excesso de palmeiras para manter a faixa de domínio de estradas, calçadas ou serviços públicos, ou para melhorar a aparência, a saúde e o valor da árvore. Poda ou trata árvores ou arbustos usando serras manuais, tesouras de poda manuais, tesouras de poda elétricas e podadores motorizados. Trabalha no alto da copa da árvore e pode utilizar plataformas elevatórias montadas em caminhões. Classificação da Função: 37-3013.00 - Podadores e Podadores de Árvores. A classificação e descrição da função/setor inclui informações gerais sobre o cargo, de acordo com o ONET/OES e o Sistema de Classificação Industrial da América do Norte. Consulte as Funções e a Ordem de Serviço para obter mais informações. Requisitos da Função: Experiência Necessária: Sim. Meses de Experiência Necessários: 3. Requisitos Especiais: Deve ser capaz de levantar/carregar 23 kg, quando necessário. Trabalho aos sábados e domingos, quando necessário. Exame toxicológico pago pelo empregador é obrigatório para trabalhadores estrangeiros e nacionais antes do início do trabalho e após a contratação, em caso de acidente. É obrigatória a verificação de antecedentes e de elegibilidade para emprego (e-Verify) após a contratação de trabalhadores estrangeiros e nacionais. Número de horas por semana: 45. Horário de trabalho (início/término): 7h às 17h.</v>
      </c>
    </row>
    <row r="1809" ht="20.25" customHeight="1">
      <c r="A1809" s="8" t="s">
        <v>8114</v>
      </c>
      <c r="B1809" s="8" t="s">
        <v>8115</v>
      </c>
      <c r="C1809" s="8" t="s">
        <v>7260</v>
      </c>
      <c r="D1809" s="8" t="s">
        <v>249</v>
      </c>
      <c r="E1809" s="9" t="s">
        <v>44</v>
      </c>
      <c r="F1809" s="9" t="s">
        <v>20</v>
      </c>
      <c r="G1809" s="9" t="s">
        <v>56</v>
      </c>
      <c r="H1809" s="8" t="s">
        <v>8116</v>
      </c>
      <c r="I1809" s="8" t="s">
        <v>8117</v>
      </c>
      <c r="J1809" s="9">
        <v>25.72</v>
      </c>
      <c r="K1809" s="9">
        <v>12.0</v>
      </c>
      <c r="L1809" s="8" t="s">
        <v>8118</v>
      </c>
      <c r="M1809" s="8" t="s">
        <v>8119</v>
      </c>
      <c r="N1809" s="7" t="str">
        <f>IFERROR(__xludf.DUMMYFUNCTION("GOOGLETRANSLATE(L1809, ""en"", ""pt"")"),"Operário de pavimentação segmentada")</f>
        <v>Operário de pavimentação segmentada</v>
      </c>
      <c r="O1809" s="7" t="str">
        <f>IFERROR(__xludf.DUMMYFUNCTION("IF(M1809="""","""",GOOGLETRANSLATE(M1809,""en"",""pt""))"),"Preparar, cortar e colar unidades de pavimentação segmentada. Inclui a instalação de materiais de assentamento e contenção para as unidades de pavimentação. Classificação da função: 47-4091.00 - Pavimentação Segmentada. A classificação e descrição da funç"&amp;"ão/setor inclui informações gerais sobre o cargo, de acordo com o ONET/OES e o Sistema de Classificação Industrial da América do Norte (NAICS). Consulte as Funções e a Ordem de Serviço para obter mais informações. Requisitos da função: Experiência necessá"&amp;"ria: Não. Requisitos especiais: Capacidade de levantar/carregar 23 kg quando necessário. Número de horas por semana: 40. Horário de trabalho (início/término): 8h às 17h.")</f>
        <v>Preparar, cortar e colar unidades de pavimentação segmentada. Inclui a instalação de materiais de assentamento e contenção para as unidades de pavimentação. Classificação da função: 47-4091.00 - Pavimentação Segmentada. A classificação e descrição da função/setor inclui informações gerais sobre o cargo, de acordo com o ONET/OES e o Sistema de Classificação Industrial da América do Norte (NAICS). Consulte as Funções e a Ordem de Serviço para obter mais informações. Requisitos da função: Experiência necessária: Não. Requisitos especiais: Capacidade de levantar/carregar 23 kg quando necessário. Número de horas por semana: 40. Horário de trabalho (início/término): 8h às 17h.</v>
      </c>
    </row>
    <row r="1810" ht="20.25" customHeight="1">
      <c r="A1810" s="3" t="s">
        <v>8120</v>
      </c>
      <c r="B1810" s="3" t="s">
        <v>8121</v>
      </c>
      <c r="C1810" s="3" t="s">
        <v>7651</v>
      </c>
      <c r="D1810" s="3" t="s">
        <v>64</v>
      </c>
      <c r="E1810" s="4" t="s">
        <v>44</v>
      </c>
      <c r="F1810" s="4" t="s">
        <v>20</v>
      </c>
      <c r="G1810" s="4" t="s">
        <v>198</v>
      </c>
      <c r="H1810" s="3" t="s">
        <v>8122</v>
      </c>
      <c r="I1810" s="3" t="s">
        <v>8123</v>
      </c>
      <c r="J1810" s="4">
        <v>15.53</v>
      </c>
      <c r="K1810" s="4">
        <v>10.0</v>
      </c>
      <c r="L1810" s="3" t="s">
        <v>8124</v>
      </c>
      <c r="M1810" s="3" t="s">
        <v>8125</v>
      </c>
      <c r="N1810" s="7" t="str">
        <f>IFERROR(__xludf.DUMMYFUNCTION("GOOGLETRANSLATE(L1810, ""en"", ""pt"")"),"Professora de dança")</f>
        <v>Professora de dança</v>
      </c>
      <c r="O1810" s="7" t="str">
        <f>IFERROR(__xludf.DUMMYFUNCTION("IF(M1810="""","""",GOOGLETRANSLATE(M1810,""en"",""pt""))"),"- Ministrar aulas particulares e em grupo ao longo do dia, abrangendo diversos estilos de dança. - Criar e manter uma lista de alunos personalizada, acompanhando o progresso e as metas individuais. - Competir ao lado dos alunos na divisão Pro Am em evento"&amp;"s regionais e nacionais. - Criar e apresentar produções de espetáculo, incluindo coreografias originais. - Desenvolver planos de aula personalizados, adaptados à habilidade e às ambições de cada aluno. - Representar a marca Fred Astaire com profissionalis"&amp;"mo, energia e talento artístico. - Participar de eventos do estúdio, recitais e atividades promocionais. Classificação da vaga: 27-2022.00 - Instrutores e Observadores. A classificação e a descrição da vaga/setor incluem informações gerais sobre o cargo, "&amp;"de acordo com o ONET/OES e o Sistema de Classificação Industrial da América do Norte. Consulte as Funções e a Ordem de Serviço para obter mais informações. Requisitos da vaga Experiência necessária: Sim Meses de experiência necessários: 3 Requisitos espec"&amp;"iais: - Proficiência em estilos de dança de salão, latina, contemporânea e lírica - Experiência prévia em dança competitiva ou profissional é preferencial - Forte habilidade coreográfica e presença de palco - Excelentes habilidades interpessoais e de comu"&amp;"nicação - Capacidade de motivar e inspirar alunos de todos os níveis - Disponibilidade flexível, incluindo noites - Paixão por compartilhar a arte da dança com uma comunidade estudantil diversificada Número de horas por semana: 40 Horário de trabalho (iní"&amp;"cio/término): 8h às 16h")</f>
        <v>- Ministrar aulas particulares e em grupo ao longo do dia, abrangendo diversos estilos de dança. - Criar e manter uma lista de alunos personalizada, acompanhando o progresso e as metas individuais. - Competir ao lado dos alunos na divisão Pro Am em eventos regionais e nacionais. - Criar e apresentar produções de espetáculo, incluindo coreografias originais. - Desenvolver planos de aula personalizados, adaptados à habilidade e às ambições de cada aluno. - Representar a marca Fred Astaire com profissionalismo, energia e talento artístico. - Participar de eventos do estúdio, recitais e atividades promocionais. Classificação da vaga: 27-2022.00 - Instrutores e Observadores. A classificação e a descrição da vaga/setor incluem informações gerais sobre o cargo, de acordo com o ONET/OES e o Sistema de Classificação Industrial da América do Norte. Consulte as Funções e a Ordem de Serviço para obter mais informações. Requisitos da vaga Experiência necessária: Sim Meses de experiência necessários: 3 Requisitos especiais: - Proficiência em estilos de dança de salão, latina, contemporânea e lírica - Experiência prévia em dança competitiva ou profissional é preferencial - Forte habilidade coreográfica e presença de palco - Excelentes habilidades interpessoais e de comunicação - Capacidade de motivar e inspirar alunos de todos os níveis - Disponibilidade flexível, incluindo noites - Paixão por compartilhar a arte da dança com uma comunidade estudantil diversificada Número de horas por semana: 40 Horário de trabalho (início/término): 8h às 16h</v>
      </c>
    </row>
    <row r="1811" ht="20.25" customHeight="1">
      <c r="A1811" s="8" t="s">
        <v>8126</v>
      </c>
      <c r="B1811" s="8" t="s">
        <v>8127</v>
      </c>
      <c r="C1811" s="8" t="s">
        <v>197</v>
      </c>
      <c r="D1811" s="8" t="s">
        <v>71</v>
      </c>
      <c r="E1811" s="9" t="s">
        <v>19</v>
      </c>
      <c r="F1811" s="9" t="s">
        <v>20</v>
      </c>
      <c r="G1811" s="9" t="s">
        <v>524</v>
      </c>
      <c r="H1811" s="8" t="s">
        <v>8128</v>
      </c>
      <c r="I1811" s="8" t="s">
        <v>8129</v>
      </c>
      <c r="J1811" s="9">
        <v>15.0</v>
      </c>
      <c r="K1811" s="9">
        <v>6.0</v>
      </c>
      <c r="L1811" s="8" t="s">
        <v>527</v>
      </c>
      <c r="M1811" s="8" t="s">
        <v>8130</v>
      </c>
      <c r="N1811" s="7" t="str">
        <f>IFERROR(__xludf.DUMMYFUNCTION("GOOGLETRANSLATE(L1811, ""en"", ""pt"")"),"máquina de lavar louça")</f>
        <v>máquina de lavar louça</v>
      </c>
      <c r="O1811" s="7" t="str">
        <f>IFERROR(__xludf.DUMMYFUNCTION("IF(M1811="""","""",GOOGLETRANSLATE(M1811,""en"",""pt""))"),"Lavar e secar panelas, frigideiras, copos e utensílios à mão e na máquina. Manter as áreas da cozinha limpas e levar o lixo para a lixeira. (6) vagas disponíveis. Período: 01/10/2026 a 31/05/2027. Turnos rotativos. Dias de trabalho: segunda a domingo. Hor"&amp;"ário: 6h às 22h. Salário: US$ 15 a US$ 18 por hora, com base no desempenho; horas extras: US$ 22,50 a US$ 27 por hora. Pagamento quinzenal. 35 horas semanais. Alojamento opcional por US$ 175 por semana, com um depósito reembolsável de US$ 10 por período d"&amp;"e pagamento após a assinatura do contrato e inspeção do alojamento. Uniformes e refeições durante o turno fornecidos. Local de trabalho: 6500 SE Mariner Sands Dr, Stuart, FL 34997. O trabalho é temporário, em tempo integral. O salário será calculado com b"&amp;"ase em uma única semana de trabalho. Poderá haver até 10 horas extras, quando disponíveis. Todos os descontos exigidos por lei serão feitos no contracheque do trabalhador. O empregador fornecerá aos trabalhadores, sem custos, todas as ferramentas, suprime"&amp;"ntos e equipamentos necessários para a execução do trabalho. O trabalhador receberá ou será reembolsado pelo transporte e subsistência (incluindo o custo razoável de hospedagem noturna, quando necessário, até US$ 110 por noite, mediante apresentação de re"&amp;"cibos) à taxa de US$ 16,78 por dia durante o deslocamento, até um máximo de US$ 68,00 por dia, mediante apresentação de recibos, desde o local de origem do trabalhador, seja nos EUA ou no exterior, até o local de trabalho, caso o trabalhador complete 50% "&amp;"do período de trabalho abrangido pela ordem de serviço, em conformidade com 20 CFR 655.20(j)(1)(i), mediante inclusão no pagamento da semana correspondente. O empregador fornecerá ou pagará o custo do transporte de retorno e da subsistência diária do trab"&amp;"alhador, do local de trabalho até o local de onde o trabalhador partiu para trabalhar para o empregador, independentemente de empregos intermediários, caso o trabalhador complete o período de emprego certificado ou seja demitido do emprego por qualquer mo"&amp;"tivo pelo empregador antes do término do período, de acordo com o § 655.20(j)(1)(ii); os trabalhadores com visto H-2B serão reembolsados ​​na primeira semana de trabalho por todos os vistos, processamento de vistos, travessia de fronteira e outras taxas r"&amp;"elacionadas, incluindo aquelas exigidas pelo governo (exceto taxas de passaporte). O empregador fornecerá aos trabalhadores todas as ferramentas, suprimentos e equipamentos necessários para o desempenho do trabalho, sem custo para o trabalhador, de acordo"&amp;" com o 20 CFR 655.20(k). Os candidatos qualificados podem enviar o currículo para Lora Hoffmann, no endereço 6500 SE Mariner Sands Dr, Stuart, FL 34997, por e-mail para H2Bjobs@marinersands.com ou visitar o centro de empregos local em 2400 SE Salerno Rd, "&amp;"Stuart, FL 34997. *Seu depósito de segurança será reembolsado após a conclusão do contrato e a inspeção da moradia. Se um trabalhador abandonar o emprego sem a permissão do empregador ou abandonar a moradia antes do término do prazo de solicitação por qua"&amp;"lquer motivo, exceto rescisão por parte do empregador, o trabalhador perderá todos os depósitos de moradia, dias de folga remunerada, férias e bônus. Após a rescisão ou demissão, o trabalhador deverá desocupar a moradia imediatamente, a menos que haja aco"&amp;"rdo com o empregador.* Classificação do Cargo: 35-9021.00 - Lavadores de Pratos. A classificação e a descrição do cargo/setor incluem informações gerais sobre a posição, de acordo com o ONET/OES e o Sistema de Classificação Industrial da América do Norte."&amp;" Consulte as Funções e a Ordem de Serviço para obter mais informações. Requisitos da vaga Experiência necessária: Não Número de horas por semana: 35 Horário de trabalho (início/término): 6h às 22h")</f>
        <v>Lavar e secar panelas, frigideiras, copos e utensílios à mão e na máquina. Manter as áreas da cozinha limpas e levar o lixo para a lixeira. (6) vagas disponíveis. Período: 01/10/2026 a 31/05/2027. Turnos rotativos. Dias de trabalho: segunda a domingo. Horário: 6h às 22h. Salário: US$ 15 a US$ 18 por hora, com base no desempenho; horas extras: US$ 22,50 a US$ 27 por hora. Pagamento quinzenal. 35 horas semanais. Alojamento opcional por US$ 175 por semana, com um depósito reembolsável de US$ 10 por período de pagamento após a assinatura do contrato e inspeção do alojamento. Uniformes e refeições durante o turno fornecidos. Local de trabalho: 6500 SE Mariner Sands Dr, Stuart, FL 34997. O trabalho é temporário, em tempo integral. O salário será calculado com base em uma única semana de trabalho. Poderá haver até 10 horas extras, quando disponíveis. Todos os descontos exigidos por lei serão feitos no contracheque do trabalhador. O empregador fornecerá aos trabalhadores, sem custos, todas as ferramentas, suprimentos e equipamentos necessários para a execução do trabalho. O trabalhador receberá ou será reembolsado pelo transporte e subsistência (incluindo o custo razoável de hospedagem noturna, quando necessário, até US$ 110 por noite, mediante apresentação de recibos) à taxa de US$ 16,78 por dia durante o deslocamento, até um máximo de US$ 68,00 por dia, mediante apresentação de recibos, desde o local de origem do trabalhador, seja nos EUA ou no exterior, até o local de trabalho, caso o trabalhador complete 50% do período de trabalho abrangido pela ordem de serviço, em conformidade com 20 CFR 655.20(j)(1)(i), mediante inclusão no pagamento da semana correspondente. O empregador fornecerá ou pagará o custo do transporte de retorno e da subsistência diária do trabalhador, do local de trabalho até o local de onde o trabalhador partiu para trabalhar para o empregador, independentemente de empregos intermediários, caso o trabalhador complete o período de emprego certificado ou seja demitido do emprego por qualquer motivo pelo empregador antes do término do período, de acordo com o § 655.20(j)(1)(ii); os trabalhadores com visto H-2B serão reembolsados ​​na primeira semana de trabalho por todos os vistos, processamento de vistos, travessia de fronteira e outras taxas relacionadas, incluindo aquelas exigidas pelo governo (exceto taxas de passaporte). O empregador fornecerá aos trabalhadores todas as ferramentas, suprimentos e equipamentos necessários para o desempenho do trabalho, sem custo para o trabalhador, de acordo com o 20 CFR 655.20(k). Os candidatos qualificados podem enviar o currículo para Lora Hoffmann, no endereço 6500 SE Mariner Sands Dr, Stuart, FL 34997, por e-mail para H2Bjobs@marinersands.com ou visitar o centro de empregos local em 2400 SE Salerno Rd, Stuart, FL 34997. *Seu depósito de segurança será reembolsado após a conclusão do contrato e a inspeção da moradia. Se um trabalhador abandonar o emprego sem a permissão do empregador ou abandonar a moradia antes do término do prazo de solicitação por qualquer motivo, exceto rescisão por parte do empregador, o trabalhador perderá todos os depósitos de moradia, dias de folga remunerada, férias e bônus. Após a rescisão ou demissão, o trabalhador deverá desocupar a moradia imediatamente, a menos que haja acordo com o empregador.* Classificação do Cargo: 35-9021.00 - Lavadores de Pratos. A classificação e a descrição do cargo/setor incluem informações gerais sobre a posição, de acordo com o ONET/OES e o Sistema de Classificação Industrial da América do Norte. Consulte as Funções e a Ordem de Serviço para obter mais informações. Requisitos da vaga Experiência necessária: Não Número de horas por semana: 35 Horário de trabalho (início/término): 6h às 22h</v>
      </c>
    </row>
    <row r="1812" ht="20.25" customHeight="1">
      <c r="A1812" s="3" t="s">
        <v>8131</v>
      </c>
      <c r="B1812" s="3" t="s">
        <v>8127</v>
      </c>
      <c r="C1812" s="3" t="s">
        <v>197</v>
      </c>
      <c r="D1812" s="3" t="s">
        <v>71</v>
      </c>
      <c r="E1812" s="4" t="s">
        <v>19</v>
      </c>
      <c r="F1812" s="4" t="s">
        <v>20</v>
      </c>
      <c r="G1812" s="4" t="s">
        <v>524</v>
      </c>
      <c r="H1812" s="3" t="s">
        <v>8128</v>
      </c>
      <c r="I1812" s="3" t="s">
        <v>8129</v>
      </c>
      <c r="J1812" s="4">
        <v>20.0</v>
      </c>
      <c r="K1812" s="4">
        <v>3.0</v>
      </c>
      <c r="L1812" s="3" t="s">
        <v>1684</v>
      </c>
      <c r="M1812" s="3" t="s">
        <v>8132</v>
      </c>
      <c r="N1812" s="7" t="str">
        <f>IFERROR(__xludf.DUMMYFUNCTION("GOOGLETRANSLATE(L1812, ""en"", ""pt"")"),"Barman")</f>
        <v>Barman</v>
      </c>
      <c r="O1812" s="7" t="str">
        <f>IFERROR(__xludf.DUMMYFUNCTION("IF(M1812="""","""",GOOGLETRANSLATE(M1812,""en"",""pt""))"),"Receber pedidos de bebidas, preparar, decorar e servir bebidas como vinho, coquetéis e cerveja aos clientes. Cortar frutas para as bebidas. Manter os bares abastecidos e higienizados. (3) vagas disponíveis. Período: 01/10/2026 a 31/05/2027. Necessário 3 m"&amp;"eses de experiência. Turnos rotativos. Dias de trabalho: segunda a domingo. Horário de trabalho: 10h às 23h. Salário: US$ 20 a US$ 25 por hora, com base no desempenho; US$ 30 a US$ 37,50 por hora para horas extras. Pagamento quinzenal. 35 horas semanais. "&amp;"Alojamento opcional por US$ 175 por semana, com um depósito reembolsável de US$ 10 por período de pagamento após a assinatura do contrato e inspeção do imóvel. Uniformes e refeições durante o turno fornecidos. Local de trabalho: 6500 SE Mariner Sands Dr, "&amp;"Stuart, FL 34997. Trabalho temporário em tempo integral. O salário será calculado com base em uma única semana de trabalho. Possibilidade de até 10 horas extras, quando disponíveis. Todas as deduções do salário do trabalhador exigidas por lei serão feitas"&amp;". O empregador fornecerá aos trabalhadores, sem custo algum, todas as ferramentas, suprimentos e equipamentos necessários para a execução do trabalho. O trabalhador receberá ou será reembolsado pelas despesas de transporte e subsistência (incluindo o cust"&amp;"o razoável de hospedagem noturna, quando necessário, até US$ 110 por noite, mediante apresentação de recibos) à taxa de US$ 16,78 por dia durante o deslocamento, até um máximo de US$ 68,00 por dia, mediante apresentação de recibos, desde o local de origem"&amp;" do trabalhador, seja nos EUA ou no exterior, até o local de trabalho, caso o trabalhador complete 50% do período de trabalho abrangido pela ordem de serviço, em conformidade com 20 CFR 655.20(j)(1)(i), mediante inclusão no salário da semana correspondent"&amp;"e. O empregador fornecerá ou pagará o custo do transporte de retorno e da subsistência diária do trabalhador, do local de trabalho até o local de onde o trabalhador partiu para trabalhar para o empregador, independentemente de empregos intermediários, cas"&amp;"o o trabalhador complete o período de emprego certificado ou seja demitido do emprego por qualquer motivo pelo empregador antes do término do período, de acordo com o § 655.20(j)(1)(ii); os trabalhadores com visto H-2B serão reembolsados ​​na primeira sem"&amp;"ana de trabalho por todos os vistos, processamento de vistos, travessia de fronteira e outras taxas relacionadas, incluindo aquelas exigidas pelo governo (exceto taxas de passaporte). O empregador fornecerá aos trabalhadores todas as ferramentas, suprimen"&amp;"tos e equipamentos necessários para o desempenho do trabalho, sem custo para o trabalhador, de acordo com o 20 CFR 655.20(k). Os candidatos qualificados podem enviar o currículo para Lora Hoffmann, no endereço 6500 SE Mariner Sands Dr, Stuart, FL 34997, p"&amp;"or e-mail para H2Bjobs@marinersands.com ou visitar o centro de empregos local em 2400 SE Salerno Rd, Stuart, FL 34997. *Seu depósito de segurança será reembolsado após a conclusão do contrato e a inspeção da moradia. Se um trabalhador abandonar o emprego "&amp;"sem a permissão do empregador ou abandonar a moradia antes do término do prazo de solicitação por qualquer motivo, exceto rescisão por parte do empregador, o trabalhador perderá todos os depósitos de moradia, dias de folga remunerada, férias e bônus. Após"&amp;" a rescisão ou demissão, o trabalhador deverá desocupar a moradia imediatamente, a menos que haja acordo com o empregador.* Classificação do Cargo: 35-3011.00 - Bartenders. A classificação e descrição do cargo/setor incluem informações gerais sobre a posi"&amp;"ção, de acordo com o ONET/OES e o Sistema de Classificação Industrial da América do Norte. Consulte as Funções e a Ordem de Serviço para obter mais informações. Requisitos da vaga Experiência necessária: Sim Meses de experiência necessários: 3 Número de h"&amp;"oras por semana: 35 Horário de trabalho (início/término): 10:00 - 23:00")</f>
        <v>Receber pedidos de bebidas, preparar, decorar e servir bebidas como vinho, coquetéis e cerveja aos clientes. Cortar frutas para as bebidas. Manter os bares abastecidos e higienizados. (3) vagas disponíveis. Período: 01/10/2026 a 31/05/2027. Necessário 3 meses de experiência. Turnos rotativos. Dias de trabalho: segunda a domingo. Horário de trabalho: 10h às 23h. Salário: US$ 20 a US$ 25 por hora, com base no desempenho; US$ 30 a US$ 37,50 por hora para horas extras. Pagamento quinzenal. 35 horas semanais. Alojamento opcional por US$ 175 por semana, com um depósito reembolsável de US$ 10 por período de pagamento após a assinatura do contrato e inspeção do imóvel. Uniformes e refeições durante o turno fornecidos. Local de trabalho: 6500 SE Mariner Sands Dr, Stuart, FL 34997. Trabalho temporário em tempo integral. O salário será calculado com base em uma única semana de trabalho. Possibilidade de até 10 horas extras, quando disponíveis. Todas as deduções do salário do trabalhador exigidas por lei serão feitas. O empregador fornecerá aos trabalhadores, sem custo algum, todas as ferramentas, suprimentos e equipamentos necessários para a execução do trabalho. O trabalhador receberá ou será reembolsado pelas despesas de transporte e subsistência (incluindo o custo razoável de hospedagem noturna, quando necessário, até US$ 110 por noite, mediante apresentação de recibos) à taxa de US$ 16,78 por dia durante o deslocamento, até um máximo de US$ 68,00 por dia, mediante apresentação de recibos, desde o local de origem do trabalhador, seja nos EUA ou no exterior, até o local de trabalho, caso o trabalhador complete 50% do período de trabalho abrangido pela ordem de serviço, em conformidade com 20 CFR 655.20(j)(1)(i), mediante inclusão no salário da semana correspondente. O empregador fornecerá ou pagará o custo do transporte de retorno e da subsistência diária do trabalhador, do local de trabalho até o local de onde o trabalhador partiu para trabalhar para o empregador, independentemente de empregos intermediários, caso o trabalhador complete o período de emprego certificado ou seja demitido do emprego por qualquer motivo pelo empregador antes do término do período, de acordo com o § 655.20(j)(1)(ii); os trabalhadores com visto H-2B serão reembolsados ​​na primeira semana de trabalho por todos os vistos, processamento de vistos, travessia de fronteira e outras taxas relacionadas, incluindo aquelas exigidas pelo governo (exceto taxas de passaporte). O empregador fornecerá aos trabalhadores todas as ferramentas, suprimentos e equipamentos necessários para o desempenho do trabalho, sem custo para o trabalhador, de acordo com o 20 CFR 655.20(k). Os candidatos qualificados podem enviar o currículo para Lora Hoffmann, no endereço 6500 SE Mariner Sands Dr, Stuart, FL 34997, por e-mail para H2Bjobs@marinersands.com ou visitar o centro de empregos local em 2400 SE Salerno Rd, Stuart, FL 34997. *Seu depósito de segurança será reembolsado após a conclusão do contrato e a inspeção da moradia. Se um trabalhador abandonar o emprego sem a permissão do empregador ou abandonar a moradia antes do término do prazo de solicitação por qualquer motivo, exceto rescisão por parte do empregador, o trabalhador perderá todos os depósitos de moradia, dias de folga remunerada, férias e bônus. Após a rescisão ou demissão, o trabalhador deverá desocupar a moradia imediatamente, a menos que haja acordo com o empregador.* Classificação do Cargo: 35-3011.00 - Bartenders. A classificação e descrição do cargo/setor incluem informações gerais sobre a posição, de acordo com o ONET/OES e o Sistema de Classificação Industrial da América do Norte. Consulte as Funções e a Ordem de Serviço para obter mais informações. Requisitos da vaga Experiência necessária: Sim Meses de experiência necessários: 3 Número de horas por semana: 35 Horário de trabalho (início/término): 10:00 - 23:00</v>
      </c>
    </row>
    <row r="1813" ht="20.25" customHeight="1">
      <c r="A1813" s="8" t="s">
        <v>8133</v>
      </c>
      <c r="B1813" s="8" t="s">
        <v>8127</v>
      </c>
      <c r="C1813" s="8" t="s">
        <v>197</v>
      </c>
      <c r="D1813" s="8" t="s">
        <v>71</v>
      </c>
      <c r="E1813" s="9" t="s">
        <v>19</v>
      </c>
      <c r="F1813" s="9" t="s">
        <v>20</v>
      </c>
      <c r="G1813" s="9" t="s">
        <v>524</v>
      </c>
      <c r="H1813" s="8" t="s">
        <v>8128</v>
      </c>
      <c r="I1813" s="8" t="s">
        <v>8129</v>
      </c>
      <c r="J1813" s="9">
        <v>19.0</v>
      </c>
      <c r="K1813" s="9">
        <v>11.0</v>
      </c>
      <c r="L1813" s="8" t="s">
        <v>387</v>
      </c>
      <c r="M1813" s="8" t="s">
        <v>8134</v>
      </c>
      <c r="N1813" s="7" t="str">
        <f>IFERROR(__xludf.DUMMYFUNCTION("GOOGLETRANSLATE(L1813, ""en"", ""pt"")"),"Ordem de serviço não disponível")</f>
        <v>Ordem de serviço não disponível</v>
      </c>
      <c r="O1813" s="7" t="str">
        <f>IFERROR(__xludf.DUMMYFUNCTION("IF(M1813="""","""",GOOGLETRANSLATE(M1813,""en"",""pt""))"),"Preparar, cozinhar, refogar, grelhar e fritar itens como frutos do mar, carnes, aves, legumes, massas e sopas. Manter as áreas da cozinha limpas e higienizadas. Armazenar todos os produtos em locais adequados e realizar todos os demais serviços relacionad"&amp;"os à cozinha. (11) vagas disponíveis. Período: 01/10/2026 a 31/05/2027. Necessário 3 meses de experiência. Turnos rotativos. Dias de trabalho: segunda a domingo. Horário de trabalho: 6h às 22h. Salário: US$ 19 a US$ 24 por hora, com base no desempenho; ho"&amp;"ras extras: US$ 28,50 a US$ 36 por hora. Pagamento quinzenal. 35 horas semanais. Alojamento opcional por US$ 175 por semana, com depósito reembolsável de US$ 10 por período de pagamento após a assinatura do contrato e inspeção do imóvel. Uniformes e refei"&amp;"ções durante o turno fornecidos. Local de trabalho: 6500 SE Mariner Sands Dr, Stuart, FL 34997. Trabalho temporário em tempo integral. O salário será calculado com base em uma única semana de trabalho. Poderá ser feito até 10 horas extras, quando disponív"&amp;"eis. Todos os descontos exigidos por lei serão efetuados no contracheque do trabalhador. O empregador fornecerá ao trabalhador, sem custos, todas as ferramentas, materiais e equipamentos necessários para a execução do trabalho. O trabalhador receberá ou s"&amp;"erá reembolsado pelas despesas de transporte e alimentação (incluindo o custo razoável de hospedagem, quando necessário, até US$ 110 por noite, mediante apresentação de recibos) no valor de US$ 16,78 por dia durante o deslocamento, até um máximo de US$ 68"&amp;",00 por dia, mediante apresentação de recibos, desde o local de origem do trabalhador, seja nos EUA ou no exterior, até o local de trabalho, caso o trabalhador complete 50% do período de trabalho abrangido pela ordem de serviço, em conformidade com o 20 C"&amp;"FR 655.20(j)(1)(i), mediante inclusão no contracheque da semana correspondente. O empregador fornecerá ou pagará o custo do transporte de retorno e da subsistência diária do trabalhador, do local de trabalho até o local de onde o trabalhador partiu para t"&amp;"rabalhar para o empregador, independentemente de empregos intermediários, caso o trabalhador complete o período de emprego certificado ou seja demitido do emprego por qualquer motivo pelo empregador antes do término do período, de acordo com o § 655.20(j)"&amp;"(1)(ii); os trabalhadores com visto H-2B serão reembolsados ​​na primeira semana de trabalho por todos os vistos, processamento de vistos, travessia de fronteira e outras taxas relacionadas, incluindo aquelas exigidas pelo governo (exceto taxas de passapo"&amp;"rte). O empregador fornecerá aos trabalhadores todas as ferramentas, suprimentos e equipamentos necessários para o desempenho do trabalho, sem custo para o trabalhador, de acordo com o 20 CFR 655.20(k). Os candidatos qualificados podem enviar o currículo "&amp;"para Lora Hoffmann, no endereço 6500 SE Mariner Sands Dr, Stuart, FL 34997, por e-mail para H2Bjobs@marinersands.com ou visitar o centro de empregos local em 2400 SE Salerno Rd, Stuart, FL 34997. *Seu depósito de segurança será reembolsado após a conclusã"&amp;"o do contrato e a inspeção da moradia. Se um trabalhador abandonar o emprego sem a permissão do empregador ou abandonar a moradia antes do término do prazo de solicitação por qualquer motivo, exceto rescisão por parte do empregador, o trabalhador perderá "&amp;"todos os depósitos de moradia, dias de folga remunerada, férias e bônus. Após a rescisão ou demissão, o trabalhador deverá desocupar a moradia imediatamente, a menos que haja acordo com o empregador.* Classificação do Cargo: 35-2014.00 - Cozinheiros, Rest"&amp;"aurante. A classificação e a descrição do cargo/setor incluem informações gerais sobre a posição, de acordo com o ONET/OES e o Sistema de Classificação Industrial da América do Norte. Consulte as Funções e a Ordem de Serviço para obter mais informações. R"&amp;"equisitos da vaga Experiência necessária: Sim Meses de experiência necessários: 3 Número de horas por semana: 35 Horário de trabalho (início/término): 6h às 22h")</f>
        <v>Preparar, cozinhar, refogar, grelhar e fritar itens como frutos do mar, carnes, aves, legumes, massas e sopas. Manter as áreas da cozinha limpas e higienizadas. Armazenar todos os produtos em locais adequados e realizar todos os demais serviços relacionados à cozinha. (11) vagas disponíveis. Período: 01/10/2026 a 31/05/2027. Necessário 3 meses de experiência. Turnos rotativos. Dias de trabalho: segunda a domingo. Horário de trabalho: 6h às 22h. Salário: US$ 19 a US$ 24 por hora, com base no desempenho; horas extras: US$ 28,50 a US$ 36 por hora. Pagamento quinzenal. 35 horas semanais. Alojamento opcional por US$ 175 por semana, com depósito reembolsável de US$ 10 por período de pagamento após a assinatura do contrato e inspeção do imóvel. Uniformes e refeições durante o turno fornecidos. Local de trabalho: 6500 SE Mariner Sands Dr, Stuart, FL 34997. Trabalho temporário em tempo integral. O salário será calculado com base em uma única semana de trabalho. Poderá ser feito até 10 horas extras, quando disponíveis. Todos os descontos exigidos por lei serão efetuados no contracheque do trabalhador. O empregador fornecerá ao trabalhador, sem custos, todas as ferramentas, materiais e equipamentos necessários para a execução do trabalho. O trabalhador receberá ou será reembolsado pelas despesas de transporte e alimentação (incluindo o custo razoável de hospedagem, quando necessário, até US$ 110 por noite, mediante apresentação de recibos) no valor de US$ 16,78 por dia durante o deslocamento, até um máximo de US$ 68,00 por dia, mediante apresentação de recibos, desde o local de origem do trabalhador, seja nos EUA ou no exterior, até o local de trabalho, caso o trabalhador complete 50% do período de trabalho abrangido pela ordem de serviço, em conformidade com o 20 CFR 655.20(j)(1)(i), mediante inclusão no contracheque da semana correspondente. O empregador fornecerá ou pagará o custo do transporte de retorno e da subsistência diária do trabalhador, do local de trabalho até o local de onde o trabalhador partiu para trabalhar para o empregador, independentemente de empregos intermediários, caso o trabalhador complete o período de emprego certificado ou seja demitido do emprego por qualquer motivo pelo empregador antes do término do período, de acordo com o § 655.20(j)(1)(ii); os trabalhadores com visto H-2B serão reembolsados ​​na primeira semana de trabalho por todos os vistos, processamento de vistos, travessia de fronteira e outras taxas relacionadas, incluindo aquelas exigidas pelo governo (exceto taxas de passaporte). O empregador fornecerá aos trabalhadores todas as ferramentas, suprimentos e equipamentos necessários para o desempenho do trabalho, sem custo para o trabalhador, de acordo com o 20 CFR 655.20(k). Os candidatos qualificados podem enviar o currículo para Lora Hoffmann, no endereço 6500 SE Mariner Sands Dr, Stuart, FL 34997, por e-mail para H2Bjobs@marinersands.com ou visitar o centro de empregos local em 2400 SE Salerno Rd, Stuart, FL 34997. *Seu depósito de segurança será reembolsado após a conclusão do contrato e a inspeção da moradia. Se um trabalhador abandonar o emprego sem a permissão do empregador ou abandonar a moradia antes do término do prazo de solicitação por qualquer motivo, exceto rescisão por parte do empregador, o trabalhador perderá todos os depósitos de moradia, dias de folga remunerada, férias e bônus. Após a rescisão ou demissão, o trabalhador deverá desocupar a moradia imediatamente, a menos que haja acordo com o empregador.* Classificação do Cargo: 35-2014.00 - Cozinheiros, Restaurante. A classificação e a descrição do cargo/setor incluem informações gerais sobre a posição, de acordo com o ONET/OES e o Sistema de Classificação Industrial da América do Norte. Consulte as Funções e a Ordem de Serviço para obter mais informações. Requisitos da vaga Experiência necessária: Sim Meses de experiência necessários: 3 Número de horas por semana: 35 Horário de trabalho (início/término): 6h às 22h</v>
      </c>
    </row>
    <row r="1814" ht="20.25" customHeight="1">
      <c r="A1814" s="3" t="s">
        <v>8135</v>
      </c>
      <c r="B1814" s="3" t="s">
        <v>8127</v>
      </c>
      <c r="C1814" s="3" t="s">
        <v>197</v>
      </c>
      <c r="D1814" s="3" t="s">
        <v>71</v>
      </c>
      <c r="E1814" s="4" t="s">
        <v>19</v>
      </c>
      <c r="F1814" s="4" t="s">
        <v>20</v>
      </c>
      <c r="G1814" s="4" t="s">
        <v>524</v>
      </c>
      <c r="H1814" s="3" t="s">
        <v>8128</v>
      </c>
      <c r="I1814" s="3" t="s">
        <v>8129</v>
      </c>
      <c r="J1814" s="4">
        <v>19.0</v>
      </c>
      <c r="K1814" s="4">
        <v>15.0</v>
      </c>
      <c r="L1814" s="3" t="s">
        <v>1206</v>
      </c>
      <c r="M1814" s="3" t="s">
        <v>8136</v>
      </c>
      <c r="N1814" s="7" t="str">
        <f>IFERROR(__xludf.DUMMYFUNCTION("GOOGLETRANSLATE(L1814, ""en"", ""pt"")"),"Servidor")</f>
        <v>Servidor</v>
      </c>
      <c r="O1814" s="7" t="str">
        <f>IFERROR(__xludf.DUMMYFUNCTION("IF(M1814="""","""",GOOGLETRANSLATE(M1814,""en"",""pt""))"),"Receber pedidos, servir comidas e bebidas aos clientes. Limpar e arrumar as mesas. Receber pagamentos e entregar recibos. Manter todos os postos de trabalho abastecidos e realizar todos os demais serviços relacionados ao atendimento. (15) vagas disponívei"&amp;"s. Período: 01/10/2026 a 31/05/2027. Necessário 3 meses de experiência. Turnos rotativos. Dias de trabalho: segunda a domingo. Horário: 6h às 22h. Salário: US$ 19 a US$ 23 por hora, com base no desempenho; US$ 28,50 a US$ 34,50 por hora para horas extras."&amp;" Pagamento quinzenal. 35 horas semanais. Alojamento opcional por US$ 175 por semana, com um depósito reembolsável de US$ 10 por período de pagamento após a assinatura do contrato e vistoria do imóvel. Uniformes e refeições durante o turno fornecidos. Loca"&amp;"l de trabalho: 6500 SE Mariner Sands Dr, Stuart, FL 34997. Trabalho temporário em tempo integral. O salário será calculado com base em uma única semana de trabalho. Possibilidade de até 10 horas extras, quando disponíveis. Todas as deduções do salário do "&amp;"trabalhador exigidas por lei serão feitas. O empregador fornecerá aos trabalhadores, sem custo algum, todas as ferramentas, suprimentos e equipamentos necessários para a execução do trabalho. O trabalhador receberá ou será reembolsado pelas despesas de tr"&amp;"ansporte e subsistência (incluindo o custo razoável de hospedagem noturna, quando necessário, até US$ 110 por noite, mediante apresentação de recibos) à taxa de US$ 16,78 por dia durante o deslocamento, até um máximo de US$ 68,00 por dia, mediante apresen"&amp;"tação de recibos, desde o local de origem do trabalhador, seja nos EUA ou no exterior, até o local de trabalho, caso o trabalhador complete 50% do período de trabalho abrangido pela ordem de serviço, em conformidade com 20 CFR 655.20(j)(1)(i), mediante in"&amp;"clusão no salário da semana correspondente. O empregador fornecerá ou pagará o custo do transporte de retorno e da subsistência diária do trabalhador, do local de trabalho até o local de onde o trabalhador partiu para trabalhar para o empregador, independ"&amp;"entemente de empregos intermediários, caso o trabalhador complete o período de emprego certificado ou seja demitido do emprego por qualquer motivo pelo empregador antes do término do período, de acordo com o § 655.20(j)(1)(ii); os trabalhadores com visto "&amp;"H-2B serão reembolsados ​​na primeira semana de trabalho por todos os vistos, processamento de vistos, travessia de fronteira e outras taxas relacionadas, incluindo aquelas exigidas pelo governo (exceto taxas de passaporte). O empregador fornecerá aos tra"&amp;"balhadores todas as ferramentas, suprimentos e equipamentos necessários para o desempenho do trabalho, sem custo para o trabalhador, de acordo com o 20 CFR 655.20(k). Os candidatos qualificados podem enviar o currículo para Lora Hoffmann, no endereço 6500"&amp;" SE Mariner Sands Dr, Stuart, FL 34997, por e-mail para H2Bjobs@marinersands.com ou visitar o centro de empregos local em 2400 SE Salerno Rd, Stuart, FL 34997. *Seu depósito de segurança será reembolsado após a conclusão do contrato e a inspeção da moradi"&amp;"a. Se um trabalhador abandonar o emprego sem a permissão do empregador ou abandonar a moradia antes do término do prazo de solicitação por qualquer motivo, exceto rescisão por parte do empregador, o trabalhador perderá todos os depósitos de moradia, dias "&amp;"de folga remunerada, férias e bônus. Após a rescisão ou demissão, o trabalhador deverá desocupar a moradia imediatamente, a menos que haja acordo com o empregador.* Classificação da vaga: 35-3031.00 - Garçons e Garçonetes. A classificação e a descrição da"&amp;" vaga/setor incluem informações gerais sobre o cargo, de acordo com o ONET/OES e o Sistema de Classificação Industrial da América do Norte. Consulte as Funções e a Ordem de Serviço para obter mais informações. Requisitos da vaga Experiência necessária: Si"&amp;"m Meses de experiência necessários: 3 Número de horas por semana: 35 Horário de trabalho (início/término): 6h às 22h")</f>
        <v>Receber pedidos, servir comidas e bebidas aos clientes. Limpar e arrumar as mesas. Receber pagamentos e entregar recibos. Manter todos os postos de trabalho abastecidos e realizar todos os demais serviços relacionados ao atendimento. (15) vagas disponíveis. Período: 01/10/2026 a 31/05/2027. Necessário 3 meses de experiência. Turnos rotativos. Dias de trabalho: segunda a domingo. Horário: 6h às 22h. Salário: US$ 19 a US$ 23 por hora, com base no desempenho; US$ 28,50 a US$ 34,50 por hora para horas extras. Pagamento quinzenal. 35 horas semanais. Alojamento opcional por US$ 175 por semana, com um depósito reembolsável de US$ 10 por período de pagamento após a assinatura do contrato e vistoria do imóvel. Uniformes e refeições durante o turno fornecidos. Local de trabalho: 6500 SE Mariner Sands Dr, Stuart, FL 34997. Trabalho temporário em tempo integral. O salário será calculado com base em uma única semana de trabalho. Possibilidade de até 10 horas extras, quando disponíveis. Todas as deduções do salário do trabalhador exigidas por lei serão feitas. O empregador fornecerá aos trabalhadores, sem custo algum, todas as ferramentas, suprimentos e equipamentos necessários para a execução do trabalho. O trabalhador receberá ou será reembolsado pelas despesas de transporte e subsistência (incluindo o custo razoável de hospedagem noturna, quando necessário, até US$ 110 por noite, mediante apresentação de recibos) à taxa de US$ 16,78 por dia durante o deslocamento, até um máximo de US$ 68,00 por dia, mediante apresentação de recibos, desde o local de origem do trabalhador, seja nos EUA ou no exterior, até o local de trabalho, caso o trabalhador complete 50% do período de trabalho abrangido pela ordem de serviço, em conformidade com 20 CFR 655.20(j)(1)(i), mediante inclusão no salário da semana correspondente. O empregador fornecerá ou pagará o custo do transporte de retorno e da subsistência diária do trabalhador, do local de trabalho até o local de onde o trabalhador partiu para trabalhar para o empregador, independentemente de empregos intermediários, caso o trabalhador complete o período de emprego certificado ou seja demitido do emprego por qualquer motivo pelo empregador antes do término do período, de acordo com o § 655.20(j)(1)(ii); os trabalhadores com visto H-2B serão reembolsados ​​na primeira semana de trabalho por todos os vistos, processamento de vistos, travessia de fronteira e outras taxas relacionadas, incluindo aquelas exigidas pelo governo (exceto taxas de passaporte). O empregador fornecerá aos trabalhadores todas as ferramentas, suprimentos e equipamentos necessários para o desempenho do trabalho, sem custo para o trabalhador, de acordo com o 20 CFR 655.20(k). Os candidatos qualificados podem enviar o currículo para Lora Hoffmann, no endereço 6500 SE Mariner Sands Dr, Stuart, FL 34997, por e-mail para H2Bjobs@marinersands.com ou visitar o centro de empregos local em 2400 SE Salerno Rd, Stuart, FL 34997. *Seu depósito de segurança será reembolsado após a conclusão do contrato e a inspeção da moradia. Se um trabalhador abandonar o emprego sem a permissão do empregador ou abandonar a moradia antes do término do prazo de solicitação por qualquer motivo, exceto rescisão por parte do empregador, o trabalhador perderá todos os depósitos de moradia, dias de folga remunerada, férias e bônus. Após a rescisão ou demissão, o trabalhador deverá desocupar a moradia imediatamente, a menos que haja acordo com o empregador.* Classificação da vaga: 35-3031.00 - Garçons e Garçonetes. A classificação e a descrição da vaga/setor incluem informações gerais sobre o cargo, de acordo com o ONET/OES e o Sistema de Classificação Industrial da América do Norte. Consulte as Funções e a Ordem de Serviço para obter mais informações. Requisitos da vaga Experiência necessária: Sim Meses de experiência necessários: 3 Número de horas por semana: 35 Horário de trabalho (início/término): 6h às 22h</v>
      </c>
    </row>
    <row r="1815" ht="20.25" customHeight="1">
      <c r="A1815" s="8" t="s">
        <v>8137</v>
      </c>
      <c r="B1815" s="8" t="s">
        <v>8127</v>
      </c>
      <c r="C1815" s="8" t="s">
        <v>197</v>
      </c>
      <c r="D1815" s="8" t="s">
        <v>71</v>
      </c>
      <c r="E1815" s="9" t="s">
        <v>44</v>
      </c>
      <c r="F1815" s="9" t="s">
        <v>20</v>
      </c>
      <c r="G1815" s="9" t="s">
        <v>524</v>
      </c>
      <c r="H1815" s="8" t="s">
        <v>8128</v>
      </c>
      <c r="I1815" s="8" t="s">
        <v>8129</v>
      </c>
      <c r="J1815" s="9">
        <v>23.0</v>
      </c>
      <c r="K1815" s="9">
        <v>3.0</v>
      </c>
      <c r="L1815" s="8" t="s">
        <v>1687</v>
      </c>
      <c r="M1815" s="8" t="s">
        <v>8138</v>
      </c>
      <c r="N1815" s="7" t="str">
        <f>IFERROR(__xludf.DUMMYFUNCTION("GOOGLETRANSLATE(L1815, ""en"", ""pt"")"),"Capitão")</f>
        <v>Capitão</v>
      </c>
      <c r="O1815" s="7" t="str">
        <f>IFERROR(__xludf.DUMMYFUNCTION("IF(M1815="""","""",GOOGLETRANSLATE(M1815,""en"",""pt""))"),"Executar diversas atividades financeiras, como manuseio de dinheiro. Resolver reclamações de clientes relacionadas ao serviço de alimentação. Compilar e conferir o caixa ao final do dia ou turno. Apresentar contas e receber pagamentos. Elaborar a escala d"&amp;"e trabalho dos funcionários do salão (3 vagas). Período: 01/10/2026 a 31/05/2027. Necessária experiência de 3 meses. Turnos rotativos. Dias de trabalho: segunda a domingo. Horário: 6h às 22h. Salário: US$ 23 a US$ 27 por hora, com base no desempenho; US$ "&amp;"34,50 a US$ 40,50 por hora para horas extras. Pagamento quinzenal. 35 horas semanais. Alojamento opcional por US$ 175 por semana, com depósito reembolsável de US$ 10 por período de pagamento após a assinatura do contrato e vistoria do imóvel. Uniformes e "&amp;"refeições durante o turno fornecidos. Local de trabalho: 6500 SE Mariner Sands Dr, Stuart, FL 34997. Trabalho temporário em tempo integral. O salário será calculado com base em uma única semana de trabalho. Poderá ser feito até 10 horas extras, quando dis"&amp;"poníveis. Todos os descontos exigidos por lei serão efetuados no contracheque do trabalhador. O empregador fornecerá ao trabalhador, sem custos, todas as ferramentas, materiais e equipamentos necessários para a execução do trabalho. O trabalhador receberá"&amp;" ou será reembolsado pelas despesas de transporte e alimentação (incluindo o custo razoável de hospedagem, quando necessário, até US$ 110 por noite, mediante apresentação de recibos) no valor de US$ 16,78 por dia durante o deslocamento, até um máximo de U"&amp;"S$ 68,00 por dia, mediante apresentação de recibos, desde o local de origem do trabalhador, seja nos EUA ou no exterior, até o local de trabalho, caso o trabalhador complete 50% do período de trabalho abrangido pela ordem de serviço, em conformidade com o"&amp;" 20 CFR 655.20(j)(1)(i), mediante inclusão no contracheque da semana correspondente. O empregador fornecerá ou pagará o custo do transporte de retorno e da subsistência diária do trabalhador, do local de trabalho até o local de onde o trabalhador partiu p"&amp;"ara trabalhar para o empregador, independentemente de empregos intermediários, caso o trabalhador complete o período de emprego certificado ou seja demitido do emprego por qualquer motivo pelo empregador antes do término do período, de acordo com o § 655."&amp;"20(j)(1)(ii); os trabalhadores com visto H-2B serão reembolsados ​​na primeira semana de trabalho por todos os vistos, processamento de vistos, travessia de fronteira e outras taxas relacionadas, incluindo aquelas exigidas pelo governo (exceto taxas de pa"&amp;"ssaporte). O empregador fornecerá aos trabalhadores todas as ferramentas, suprimentos e equipamentos necessários para o desempenho do trabalho, sem custo para o trabalhador, de acordo com o 20 CFR 655.20(k). Os candidatos qualificados podem enviar o currí"&amp;"culo para Lora Hoffmann, no endereço 6500 SE Mariner Sands Dr, Stuart, FL 34997, por e-mail para H2Bjobs@marinersands.com ou visitar o centro de empregos local em 2400 SE Salerno Rd, Stuart, FL 34997. *Seu depósito de segurança é reembolsável após a concl"&amp;"usão do contrato e a inspeção da moradia. Se um trabalhador abandonar o emprego sem a permissão do empregador ou abandonar a moradia antes do término do prazo de solicitação por qualquer motivo, exceto rescisão por parte do empregador, o trabalhador perde"&amp;"rá todos os depósitos de moradia, dias de folga remunerada, férias e bônus. Após a rescisão ou demissão, o trabalhador deverá desocupar a moradia imediatamente, a menos que haja acordo com o empregador.* Classificação do Cargo: 35-1012.00 - Supervisores d"&amp;"e Primeira Linha de Trabalhadores de Preparação e Serviço de Alimentos. A classificação e descrição do cargo/setor incluem informações gerais sobre a posição, de acordo com o ONET/OES e o Sistema de Classificação Industrial da América do Norte. Consulte a"&amp;"s Funções e a Ordem de Serviço para obter mais informações. Requisitos da vaga Experiência necessária: Sim Meses de experiência necessários: 3 Número de horas por semana: 35 Horário de trabalho (início/término): 6h às 22h")</f>
        <v>Executar diversas atividades financeiras, como manuseio de dinheiro. Resolver reclamações de clientes relacionadas ao serviço de alimentação. Compilar e conferir o caixa ao final do dia ou turno. Apresentar contas e receber pagamentos. Elaborar a escala de trabalho dos funcionários do salão (3 vagas). Período: 01/10/2026 a 31/05/2027. Necessária experiência de 3 meses. Turnos rotativos. Dias de trabalho: segunda a domingo. Horário: 6h às 22h. Salário: US$ 23 a US$ 27 por hora, com base no desempenho; US$ 34,50 a US$ 40,50 por hora para horas extras. Pagamento quinzenal. 35 horas semanais. Alojamento opcional por US$ 175 por semana, com depósito reembolsável de US$ 10 por período de pagamento após a assinatura do contrato e vistoria do imóvel. Uniformes e refeições durante o turno fornecidos. Local de trabalho: 6500 SE Mariner Sands Dr, Stuart, FL 34997. Trabalho temporário em tempo integral. O salário será calculado com base em uma única semana de trabalho. Poderá ser feito até 10 horas extras, quando disponíveis. Todos os descontos exigidos por lei serão efetuados no contracheque do trabalhador. O empregador fornecerá ao trabalhador, sem custos, todas as ferramentas, materiais e equipamentos necessários para a execução do trabalho. O trabalhador receberá ou será reembolsado pelas despesas de transporte e alimentação (incluindo o custo razoável de hospedagem, quando necessário, até US$ 110 por noite, mediante apresentação de recibos) no valor de US$ 16,78 por dia durante o deslocamento, até um máximo de US$ 68,00 por dia, mediante apresentação de recibos, desde o local de origem do trabalhador, seja nos EUA ou no exterior, até o local de trabalho, caso o trabalhador complete 50% do período de trabalho abrangido pela ordem de serviço, em conformidade com o 20 CFR 655.20(j)(1)(i), mediante inclusão no contracheque da semana correspondente. O empregador fornecerá ou pagará o custo do transporte de retorno e da subsistência diária do trabalhador, do local de trabalho até o local de onde o trabalhador partiu para trabalhar para o empregador, independentemente de empregos intermediários, caso o trabalhador complete o período de emprego certificado ou seja demitido do emprego por qualquer motivo pelo empregador antes do término do período, de acordo com o § 655.20(j)(1)(ii); os trabalhadores com visto H-2B serão reembolsados ​​na primeira semana de trabalho por todos os vistos, processamento de vistos, travessia de fronteira e outras taxas relacionadas, incluindo aquelas exigidas pelo governo (exceto taxas de passaporte). O empregador fornecerá aos trabalhadores todas as ferramentas, suprimentos e equipamentos necessários para o desempenho do trabalho, sem custo para o trabalhador, de acordo com o 20 CFR 655.20(k). Os candidatos qualificados podem enviar o currículo para Lora Hoffmann, no endereço 6500 SE Mariner Sands Dr, Stuart, FL 34997, por e-mail para H2Bjobs@marinersands.com ou visitar o centro de empregos local em 2400 SE Salerno Rd, Stuart, FL 34997. *Seu depósito de segurança é reembolsável após a conclusão do contrato e a inspeção da moradia. Se um trabalhador abandonar o emprego sem a permissão do empregador ou abandonar a moradia antes do término do prazo de solicitação por qualquer motivo, exceto rescisão por parte do empregador, o trabalhador perderá todos os depósitos de moradia, dias de folga remunerada, férias e bônus. Após a rescisão ou demissão, o trabalhador deverá desocupar a moradia imediatamente, a menos que haja acordo com o empregador.* Classificação do Cargo: 35-1012.00 - Supervisores de Primeira Linha de Trabalhadores de Preparação e Serviço de Alimentos. A classificação e descrição do cargo/setor incluem informações gerais sobre a posição, de acordo com o ONET/OES e o Sistema de Classificação Industrial da América do Norte. Consulte as Funções e a Ordem de Serviço para obter mais informações. Requisitos da vaga Experiência necessária: Sim Meses de experiência necessários: 3 Número de horas por semana: 35 Horário de trabalho (início/término): 6h às 22h</v>
      </c>
    </row>
    <row r="1816" ht="20.25" customHeight="1">
      <c r="A1816" s="3" t="s">
        <v>8139</v>
      </c>
      <c r="B1816" s="3" t="s">
        <v>8140</v>
      </c>
      <c r="C1816" s="3" t="s">
        <v>7651</v>
      </c>
      <c r="D1816" s="3" t="s">
        <v>64</v>
      </c>
      <c r="E1816" s="4" t="s">
        <v>44</v>
      </c>
      <c r="F1816" s="4" t="s">
        <v>20</v>
      </c>
      <c r="G1816" s="4" t="s">
        <v>307</v>
      </c>
      <c r="H1816" s="3" t="s">
        <v>8141</v>
      </c>
      <c r="I1816" s="3" t="s">
        <v>8142</v>
      </c>
      <c r="J1816" s="4">
        <v>21.7</v>
      </c>
      <c r="K1816" s="4">
        <v>10.0</v>
      </c>
      <c r="L1816" s="3" t="s">
        <v>1003</v>
      </c>
      <c r="M1816" s="3" t="s">
        <v>8143</v>
      </c>
      <c r="N1816" s="7" t="str">
        <f>IFERROR(__xludf.DUMMYFUNCTION("GOOGLETRANSLATE(L1816, ""en"", ""pt"")"),"Acabadores de concreto")</f>
        <v>Acabadores de concreto</v>
      </c>
      <c r="O1816" s="7" t="str">
        <f>IFERROR(__xludf.DUMMYFUNCTION("IF(M1816="""","""",GOOGLETRANSLATE(M1816,""en"",""pt""))"),"Prepare o local da obra onde o concreto será despejado. Posicione e alise as fôrmas que irão conter o concreto. Espalhe, nivele e alise o concreto usando rastelos, pás ou ferramentas manuais. Desmonte as fôrmas de concreto. Limpe o local da obra. Classifi"&amp;"cação da Função: 47-2051.00 - Pedreiros e Acabadores de Concreto. A classificação e descrição da função/setor inclui informações gerais sobre o cargo, de acordo com o ONET/OES e o Sistema de Classificação Industrial da América do Norte (NAICS). Consulte a"&amp;"s Funções e a Ordem de Serviço para obter mais informações. Requisitos da Função: Experiência Necessária: Sim. Meses de Experiência Necessários: 3. Requisitos Especiais: Deve ser capaz de levantar e carregar 34 kg por 45 metros. Deve ser capaz de lidar co"&amp;"m temperaturas extremas. Trabalho em alguns fins de semana. Número de Horas por Semana: 50. Horário de Trabalho (Início/Término): 7h às 17h.")</f>
        <v>Prepare o local da obra onde o concreto será despejado. Posicione e alise as fôrmas que irão conter o concreto. Espalhe, nivele e alise o concreto usando rastelos, pás ou ferramentas manuais. Desmonte as fôrmas de concreto. Limpe o local da obra. Classificação da Função: 47-2051.00 - Pedreiros e Acabadores de Concreto. A classificação e descrição da função/setor inclui informações gerais sobre o cargo, de acordo com o ONET/OES e o Sistema de Classificação Industrial da América do Norte (NAICS). Consulte as Funções e a Ordem de Serviço para obter mais informações. Requisitos da Função: Experiência Necessária: Sim. Meses de Experiência Necessários: 3. Requisitos Especiais: Deve ser capaz de levantar e carregar 34 kg por 45 metros. Deve ser capaz de lidar com temperaturas extremas. Trabalho em alguns fins de semana. Número de Horas por Semana: 50. Horário de Trabalho (Início/Término): 7h às 17h.</v>
      </c>
    </row>
    <row r="1817" ht="20.25" customHeight="1">
      <c r="A1817" s="8" t="s">
        <v>8144</v>
      </c>
      <c r="B1817" s="8" t="s">
        <v>8145</v>
      </c>
      <c r="C1817" s="8" t="s">
        <v>197</v>
      </c>
      <c r="D1817" s="8" t="s">
        <v>71</v>
      </c>
      <c r="E1817" s="9" t="s">
        <v>19</v>
      </c>
      <c r="F1817" s="9" t="s">
        <v>20</v>
      </c>
      <c r="G1817" s="9" t="s">
        <v>524</v>
      </c>
      <c r="H1817" s="8" t="s">
        <v>8146</v>
      </c>
      <c r="I1817" s="8" t="s">
        <v>8147</v>
      </c>
      <c r="J1817" s="9">
        <v>20.13</v>
      </c>
      <c r="K1817" s="9">
        <v>15.0</v>
      </c>
      <c r="L1817" s="8" t="s">
        <v>201</v>
      </c>
      <c r="M1817" s="8" t="s">
        <v>8148</v>
      </c>
      <c r="N1817" s="7" t="str">
        <f>IFERROR(__xludf.DUMMYFUNCTION("GOOGLETRANSLATE(L1817, ""en"", ""pt"")"),"Servidores")</f>
        <v>Servidores</v>
      </c>
      <c r="O1817" s="7" t="str">
        <f>IFERROR(__xludf.DUMMYFUNCTION("IF(M1817="""","""",GOOGLETRANSLATE(M1817,""en"",""pt""))"),"Receber pedidos, servir comidas e bebidas aos clientes. Limpar e arrumar as mesas. Receber pagamentos e entregar recibos. Manter todos os postos de trabalho abastecidos e realizar todos os demais serviços relacionados ao atendimento. (15 vagas) Período: 0"&amp;"1/10/2026 a 31/05/2027. Necessário 3 meses de experiência. Turnos rotativos. Dias de trabalho: segunda a domingo. Horário: 6h às 22h. Salário: US$ 11,98 a US$ 13/hora, mais gorjetas, mas não menos que US$ 20,13/hora, US$ 30,20/hora para horas extras. Paga"&amp;"mento quinzenal. 35 horas semanais. Moradia opcional disponível por US$ 550/mês (contas de luz, água e internet inclusas) com depósito de US$ 200 (não reembolsável). Funcionários temporários têm direito a benefícios médicos a partir do primeiro dia do mês"&amp;" seguinte à data de contratação. A inscrição inicial deve ser concluída em até 30 dias a partir da data de contratação. Uniformes e refeições durante o turno são fornecidos. Local de trabalho: 4784 Naples Lakes Boulevard, Naples, FL 34112. O trabalho é te"&amp;"mporário, em tempo integral. A remuneração será calculada com base em uma semana de trabalho. Poderá haver até 10 horas extras, quando disponíveis. Todos os descontos obrigatórios por lei serão feitos no contracheque do trabalhador. O empregador fornecerá"&amp;" gratuitamente ao trabalhador todas as ferramentas, materiais e equipamentos necessários para a execução do trabalho. O trabalhador receberá ou será reembolsado pelo transporte e subsistência (incluindo o custo razoável de hospedagem noturna, quando neces"&amp;"sário, até US$ 110/noite para hospedagem com recibos) a uma taxa de US$ 16,78 por dia durante a viagem, até um máximo de US$ 68,00 por dia com recibos, desde o local de onde o trabalhador veio trabalhar para o empregador, seja nos EUA ou no exterior, até "&amp;"o local de trabalho, se o trabalhador completar 50% do período de emprego coberto pela ordem de serviço, de acordo com 20 CFR 655.20(j)(1)(i), mediante inclusão no pagamento da semana aplicável. O empregador fornecerá ou pagará o custo do transporte de re"&amp;"torno e da subsistência diária do trabalhador, do local de trabalho até o local de onde o trabalhador partiu para trabalhar para o empregador, independentemente de empregos intermediários, caso o trabalhador complete o período de emprego certificado ou se"&amp;"ja demitido do emprego por qualquer motivo pelo empregador antes do término do período, de acordo com o § 655.20(j)(1)(ii); os trabalhadores com visto H-2B serão reembolsados ​​na primeira semana de trabalho por todos os vistos, processamento de vistos, t"&amp;"ravessia de fronteira e outras taxas relacionadas, incluindo aquelas exigidas pelo governo (exceto taxas de passaporte). O empregador fornecerá aos trabalhadores todas as ferramentas, suprimentos e equipamentos necessários para o desempenho do trabalho, s"&amp;"em custo para o trabalhador, de acordo com o 20 CFR 655.20(k). Os candidatos qualificados podem enviar o currículo para Joseph F. Basso, no endereço 4784 Naples Lakes Boulevard, Naples, FL 34112, por e-mail para employment@napleslakesfl.com ou visitar o c"&amp;"entro de empregos local no endereço 3050 Horseshoe Drive North, Building A, Suite 110, Naples, FL 34104. *Seu depósito de segurança é reembolsável após a conclusão do contrato e a inspeção da moradia. Se um trabalhador abandonar o emprego sem a permissão "&amp;"do empregador ou abandonar a moradia antes do término do prazo de solicitação por qualquer motivo, exceto rescisão por parte do empregador, o trabalhador perderá todos os depósitos de moradia, 4 horas de feriados remunerados e bônus. Após a rescisão ou de"&amp;"missão, o trabalhador deverá desocupar a moradia imediatamente, a menos que haja acordo com o empregador.* Classificação do Cargo: 35-3031.00 - Garçons e Garçonetes. A classificação e descrição do cargo/setor incluem informações gerais sobre a posição, de"&amp;" acordo com o ONET/OES e o Sistema de Classificação Industrial da América do Norte. Consulte as Funções e a Ordem de Serviço para obter mais informações. Requisitos da vaga Experiência necessária: Sim Meses de experiência necessários: 3 Número de horas po"&amp;"r semana: 35 Horário de trabalho (início/término): 6h às 22h")</f>
        <v>Receber pedidos, servir comidas e bebidas aos clientes. Limpar e arrumar as mesas. Receber pagamentos e entregar recibos. Manter todos os postos de trabalho abastecidos e realizar todos os demais serviços relacionados ao atendimento. (15 vagas) Período: 01/10/2026 a 31/05/2027. Necessário 3 meses de experiência. Turnos rotativos. Dias de trabalho: segunda a domingo. Horário: 6h às 22h. Salário: US$ 11,98 a US$ 13/hora, mais gorjetas, mas não menos que US$ 20,13/hora, US$ 30,20/hora para horas extras. Pagamento quinzenal. 35 horas semanais. Moradia opcional disponível por US$ 550/mês (contas de luz, água e internet inclusas) com depósito de US$ 200 (não reembolsável). Funcionários temporários têm direito a benefícios médicos a partir do primeiro dia do mês seguinte à data de contratação. A inscrição inicial deve ser concluída em até 30 dias a partir da data de contratação. Uniformes e refeições durante o turno são fornecidos. Local de trabalho: 4784 Naples Lakes Boulevard, Naples, FL 34112. O trabalho é temporário, em tempo integral. A remuneração será calculada com base em uma semana de trabalho. Poderá haver até 10 horas extras, quando disponíveis. Todos os descontos obrigatórios por lei serão feitos no contracheque do trabalhador. O empregador fornecerá gratuitamente ao trabalhador todas as ferramentas, materiais e equipamentos necessários para a execução do trabalho. O trabalhador receberá ou será reembolsado pelo transporte e subsistência (incluindo o custo razoável de hospedagem noturna, quando necessário, até US$ 110/noite para hospedagem com recibos) a uma taxa de US$ 16,78 por dia durante a viagem, até um máximo de US$ 68,00 por dia com recibos, desde o local de onde o trabalhador veio trabalhar para o empregador, seja nos EUA ou no exterior, até o local de trabalho, se o trabalhador completar 50% do período de emprego coberto pela ordem de serviço, de acordo com 20 CFR 655.20(j)(1)(i), mediante inclusão no pagamento da semana aplicável. O empregador fornecerá ou pagará o custo do transporte de retorno e da subsistência diária do trabalhador, do local de trabalho até o local de onde o trabalhador partiu para trabalhar para o empregador, independentemente de empregos intermediários, caso o trabalhador complete o período de emprego certificado ou seja demitido do emprego por qualquer motivo pelo empregador antes do término do período, de acordo com o § 655.20(j)(1)(ii); os trabalhadores com visto H-2B serão reembolsados ​​na primeira semana de trabalho por todos os vistos, processamento de vistos, travessia de fronteira e outras taxas relacionadas, incluindo aquelas exigidas pelo governo (exceto taxas de passaporte). O empregador fornecerá aos trabalhadores todas as ferramentas, suprimentos e equipamentos necessários para o desempenho do trabalho, sem custo para o trabalhador, de acordo com o 20 CFR 655.20(k). Os candidatos qualificados podem enviar o currículo para Joseph F. Basso, no endereço 4784 Naples Lakes Boulevard, Naples, FL 34112, por e-mail para employment@napleslakesfl.com ou visitar o centro de empregos local no endereço 3050 Horseshoe Drive North, Building A, Suite 110, Naples, FL 34104. *Seu depósito de segurança é reembolsável após a conclusão do contrato e a inspeção da moradia. Se um trabalhador abandonar o emprego sem a permissão do empregador ou abandonar a moradia antes do término do prazo de solicitação por qualquer motivo, exceto rescisão por parte do empregador, o trabalhador perderá todos os depósitos de moradia, 4 horas de feriados remunerados e bônus. Após a rescisão ou demissão, o trabalhador deverá desocupar a moradia imediatamente, a menos que haja acordo com o empregador.* Classificação do Cargo: 35-3031.00 - Garçons e Garçonetes. A classificação e descrição do cargo/setor incluem informações gerais sobre a posição, de acordo com o ONET/OES e o Sistema de Classificação Industrial da América do Norte. Consulte as Funções e a Ordem de Serviço para obter mais informações. Requisitos da vaga Experiência necessária: Sim Meses de experiência necessários: 3 Número de horas por semana: 35 Horário de trabalho (início/término): 6h às 22h</v>
      </c>
    </row>
    <row r="1818" ht="20.25" customHeight="1">
      <c r="A1818" s="3" t="s">
        <v>8149</v>
      </c>
      <c r="B1818" s="3" t="s">
        <v>8145</v>
      </c>
      <c r="C1818" s="3" t="s">
        <v>197</v>
      </c>
      <c r="D1818" s="3" t="s">
        <v>71</v>
      </c>
      <c r="E1818" s="4" t="s">
        <v>44</v>
      </c>
      <c r="F1818" s="4" t="s">
        <v>20</v>
      </c>
      <c r="G1818" s="4" t="s">
        <v>524</v>
      </c>
      <c r="H1818" s="3" t="s">
        <v>8146</v>
      </c>
      <c r="I1818" s="3" t="s">
        <v>8147</v>
      </c>
      <c r="J1818" s="4">
        <v>21.0</v>
      </c>
      <c r="K1818" s="4">
        <v>15.0</v>
      </c>
      <c r="L1818" s="3" t="s">
        <v>387</v>
      </c>
      <c r="M1818" s="3" t="s">
        <v>8150</v>
      </c>
      <c r="N1818" s="7" t="str">
        <f>IFERROR(__xludf.DUMMYFUNCTION("GOOGLETRANSLATE(L1818, ""en"", ""pt"")"),"Ordem de serviço não disponível")</f>
        <v>Ordem de serviço não disponível</v>
      </c>
      <c r="O1818" s="7" t="str">
        <f>IFERROR(__xludf.DUMMYFUNCTION("IF(M1818="""","""",GOOGLETRANSLATE(M1818,""en"",""pt""))"),"Preparar, cozinhar, refogar, grelhar e fritar itens como frutos do mar, carnes, aves, legumes, massas e sopas. Manter as áreas da cozinha limpas e higienizadas. Armazenar todos os produtos em locais adequados. (15) vagas disponíveis. Período: 01/10/2026 a"&amp;" 31/05/2027. Necessário 3 meses de experiência. Turnos rotativos. Dias de trabalho: segunda a domingo. Horário de trabalho: 6h às 22h. Salário: US$ 21 a US$ 26,50 por hora, com base no desempenho; horas extras: US$ 31,50 a US$ 39,75 por hora. Pagamento qu"&amp;"inzenal. 35 horas semanais. Moradia opcional disponível por US$ 550 por mês (contas de luz, água e internet inclusas) com depósito de US$ 200 (não reembolsável). Funcionários temporários têm direito a benefícios médicos a partir do primeiro dia do mês seg"&amp;"uinte à data de contratação. A inscrição inicial deve ser concluída em até 30 dias a partir da data de contratação. Uniformes e refeições durante o turno são fornecidos. Local de trabalho: 4784 Naples Lakes Boulevard, Naples, FL 34112. O trabalho é tempor"&amp;"ário, em tempo integral. A remuneração será calculada com base em uma semana de trabalho. Poderá haver até 10 horas extras, quando disponíveis. Todos os descontos obrigatórios por lei serão feitos no contracheque do trabalhador. O empregador fornecerá gra"&amp;"tuitamente ao trabalhador todas as ferramentas, materiais e equipamentos necessários para a execução do trabalho. O trabalhador receberá ou será reembolsado pelo transporte e subsistência (incluindo o custo razoável de hospedagem noturna, quando necessári"&amp;"o, até US$ 110/noite para hospedagem com recibos) a uma taxa de US$ 16,78 por dia durante a viagem, até um máximo de US$ 68,00 por dia com recibos, desde o local de onde o trabalhador veio trabalhar para o empregador, seja nos EUA ou no exterior, até o lo"&amp;"cal de trabalho, se o trabalhador completar 50% do período de emprego coberto pela ordem de serviço, de acordo com 20 CFR 655.20(j)(1)(i), mediante inclusão no pagamento da semana aplicável. O empregador fornecerá ou pagará o custo do transporte de retorn"&amp;"o e da subsistência diária do trabalhador, do local de trabalho até o local de onde o trabalhador partiu para trabalhar para o empregador, independentemente de empregos intermediários, caso o trabalhador complete o período de emprego certificado ou seja d"&amp;"emitido do emprego por qualquer motivo pelo empregador antes do término do período, de acordo com o § 655.20(j)(1)(ii); os trabalhadores com visto H-2B serão reembolsados ​​na primeira semana de trabalho por todos os vistos, processamento de vistos, trave"&amp;"ssia de fronteira e outras taxas relacionadas, incluindo aquelas exigidas pelo governo (exceto taxas de passaporte). O empregador fornecerá aos trabalhadores todas as ferramentas, suprimentos e equipamentos necessários para o desempenho do trabalho, sem c"&amp;"usto para o trabalhador, de acordo com o 20 CFR 655.20(k). Os candidatos qualificados podem enviar o currículo para Joseph F. Basso, no endereço 4784 Naples Lakes Boulevard, Naples, FL 34112, por e-mail para employment@napleslakesfl.com ou visitar o centr"&amp;"o de empregos local no endereço 3050 Horseshoe Drive North, Building A, Suite 110, Naples, FL 34104. *Seu depósito de segurança será reembolsado após a conclusão do contrato e a inspeção da moradia. Se um trabalhador abandonar o emprego sem a permissão do"&amp;" empregador ou abandonar a moradia antes do término do prazo de solicitação por qualquer motivo, exceto rescisão por parte do empregador, o trabalhador perderá todos os depósitos de moradia, 4 horas de feriados remunerados e bônus. Após a rescisão ou demi"&amp;"ssão, o trabalhador deverá desocupar a moradia imediatamente, a menos que haja acordo com o empregador.* Classificação do Cargo: 35-2014.00 - Cozinheiros, Restaurante. A classificação e descrição do cargo/setor incluem informações gerais sobre a posição, "&amp;"de acordo com o ONET/OES e o Sistema de Classificação Industrial da América do Norte. Consulte as Funções e a Ordem de Serviço para obter mais informações. Requisitos da vaga Experiência necessária: Sim Meses de experiência necessários: 3 Número de horas "&amp;"por semana: 35 Horário de trabalho (início/término): 6h às 22h")</f>
        <v>Preparar, cozinhar, refogar, grelhar e fritar itens como frutos do mar, carnes, aves, legumes, massas e sopas. Manter as áreas da cozinha limpas e higienizadas. Armazenar todos os produtos em locais adequados. (15) vagas disponíveis. Período: 01/10/2026 a 31/05/2027. Necessário 3 meses de experiência. Turnos rotativos. Dias de trabalho: segunda a domingo. Horário de trabalho: 6h às 22h. Salário: US$ 21 a US$ 26,50 por hora, com base no desempenho; horas extras: US$ 31,50 a US$ 39,75 por hora. Pagamento quinzenal. 35 horas semanais. Moradia opcional disponível por US$ 550 por mês (contas de luz, água e internet inclusas) com depósito de US$ 200 (não reembolsável). Funcionários temporários têm direito a benefícios médicos a partir do primeiro dia do mês seguinte à data de contratação. A inscrição inicial deve ser concluída em até 30 dias a partir da data de contratação. Uniformes e refeições durante o turno são fornecidos. Local de trabalho: 4784 Naples Lakes Boulevard, Naples, FL 34112. O trabalho é temporário, em tempo integral. A remuneração será calculada com base em uma semana de trabalho. Poderá haver até 10 horas extras, quando disponíveis. Todos os descontos obrigatórios por lei serão feitos no contracheque do trabalhador. O empregador fornecerá gratuitamente ao trabalhador todas as ferramentas, materiais e equipamentos necessários para a execução do trabalho. O trabalhador receberá ou será reembolsado pelo transporte e subsistência (incluindo o custo razoável de hospedagem noturna, quando necessário, até US$ 110/noite para hospedagem com recibos) a uma taxa de US$ 16,78 por dia durante a viagem, até um máximo de US$ 68,00 por dia com recibos, desde o local de onde o trabalhador veio trabalhar para o empregador, seja nos EUA ou no exterior, até o local de trabalho, se o trabalhador completar 50% do período de emprego coberto pela ordem de serviço, de acordo com 20 CFR 655.20(j)(1)(i), mediante inclusão no pagamento da semana aplicável. O empregador fornecerá ou pagará o custo do transporte de retorno e da subsistência diária do trabalhador, do local de trabalho até o local de onde o trabalhador partiu para trabalhar para o empregador, independentemente de empregos intermediários, caso o trabalhador complete o período de emprego certificado ou seja demitido do emprego por qualquer motivo pelo empregador antes do término do período, de acordo com o § 655.20(j)(1)(ii); os trabalhadores com visto H-2B serão reembolsados ​​na primeira semana de trabalho por todos os vistos, processamento de vistos, travessia de fronteira e outras taxas relacionadas, incluindo aquelas exigidas pelo governo (exceto taxas de passaporte). O empregador fornecerá aos trabalhadores todas as ferramentas, suprimentos e equipamentos necessários para o desempenho do trabalho, sem custo para o trabalhador, de acordo com o 20 CFR 655.20(k). Os candidatos qualificados podem enviar o currículo para Joseph F. Basso, no endereço 4784 Naples Lakes Boulevard, Naples, FL 34112, por e-mail para employment@napleslakesfl.com ou visitar o centro de empregos local no endereço 3050 Horseshoe Drive North, Building A, Suite 110, Naples, FL 34104. *Seu depósito de segurança será reembolsado após a conclusão do contrato e a inspeção da moradia. Se um trabalhador abandonar o emprego sem a permissão do empregador ou abandonar a moradia antes do término do prazo de solicitação por qualquer motivo, exceto rescisão por parte do empregador, o trabalhador perderá todos os depósitos de moradia, 4 horas de feriados remunerados e bônus. Após a rescisão ou demissão, o trabalhador deverá desocupar a moradia imediatamente, a menos que haja acordo com o empregador.* Classificação do Cargo: 35-2014.00 - Cozinheiros, Restaurante. A classificação e descrição do cargo/setor incluem informações gerais sobre a posição, de acordo com o ONET/OES e o Sistema de Classificação Industrial da América do Norte. Consulte as Funções e a Ordem de Serviço para obter mais informações. Requisitos da vaga Experiência necessária: Sim Meses de experiência necessários: 3 Número de horas por semana: 35 Horário de trabalho (início/término): 6h às 22h</v>
      </c>
    </row>
    <row r="1819" ht="20.25" customHeight="1">
      <c r="A1819" s="8" t="s">
        <v>8151</v>
      </c>
      <c r="B1819" s="8" t="s">
        <v>8152</v>
      </c>
      <c r="C1819" s="8" t="s">
        <v>197</v>
      </c>
      <c r="D1819" s="8" t="s">
        <v>71</v>
      </c>
      <c r="E1819" s="9" t="s">
        <v>19</v>
      </c>
      <c r="F1819" s="9" t="s">
        <v>20</v>
      </c>
      <c r="G1819" s="9" t="s">
        <v>524</v>
      </c>
      <c r="H1819" s="8" t="s">
        <v>8153</v>
      </c>
      <c r="I1819" s="8" t="s">
        <v>8154</v>
      </c>
      <c r="J1819" s="9">
        <v>19.4</v>
      </c>
      <c r="K1819" s="9">
        <v>6.0</v>
      </c>
      <c r="L1819" s="8" t="s">
        <v>387</v>
      </c>
      <c r="M1819" s="8" t="s">
        <v>8155</v>
      </c>
      <c r="N1819" s="7" t="str">
        <f>IFERROR(__xludf.DUMMYFUNCTION("GOOGLETRANSLATE(L1819, ""en"", ""pt"")"),"Ordem de serviço não disponível")</f>
        <v>Ordem de serviço não disponível</v>
      </c>
      <c r="O1819" s="7" t="str">
        <f>IFERROR(__xludf.DUMMYFUNCTION("IF(M1819="""","""",GOOGLETRANSLATE(M1819,""en"",""pt""))"),"Preparar, cozinhar, refogar, grelhar e fritar itens como frutos do mar, carnes, aves, legumes, massas e sopas. Manter as áreas da cozinha limpas e higienizadas. Armazenar todos os produtos em locais adequados e realizar todos os demais serviços relacionad"&amp;"os à cozinha. (6) vagas disponíveis. Período: 01/10/2026 a 31/05/2027. Necessário 3 meses de experiência. Turnos rotativos. Dias de trabalho: segunda a domingo. Horário de trabalho: 7h às 23h. Salário: US$ 19,40 a US$ 23/hora, US$ 29,10 a US$ 34,50/hora p"&amp;"ara horas extras. Pagamento quinzenal. 35 horas semanais. Alojamento opcional gratuito mediante depósito de US$ 500, sendo US$ 300 reembolsáveis ​​após a assinatura do contrato e inspeção do imóvel. O depósito será pago com o valor do primeiro e do segund"&amp;"o salário na chegada. Será retido como garantia, e não como pagamento de aluguel, definitivo ou não, para assegurar que o inquilino cumpra todos os termos e condições deste contrato de locação. Caso o Inquilino permaneça na posse do Imóvel Locado após o t"&amp;"érmino do Contrato, sem a assinatura de um acordo por escrito entre o Locador e o Inquilino permitindo tal permanência, o Inquilino será considerado como ocupante do Imóvel Locado por tolerância, sujeito a todas as cláusulas e obrigações deste Contrato, e"&amp;" será devido um aluguel diário de US$ 300,00. Uniformes e refeições durante o turno serão fornecidos. Bônus de fim de temporada e de Natal disponíveis. Local de trabalho: 23721 NE 48th Av. Okeechobee, FL 34972. O trabalho é temporário, em tempo integral. "&amp;"A remuneração será calculada com base em uma única semana de trabalho. Poderá haver até 10 horas extras, quando disponíveis. Todos os descontos obrigatórios por lei serão feitos no contracheque do trabalhador. O empregador fornecerá gratuitamente aos trab"&amp;"alhadores todas as ferramentas, materiais e equipamentos necessários para a execução do trabalho. O trabalhador receberá ou será reembolsado pelo transporte e subsistência (incluindo o custo razoável de hospedagem noturna, quando necessário, até US$ 110/n"&amp;"oite para hospedagem com recibos) a uma taxa de US$ 16,78 por dia durante a viagem, até um máximo de US$ 68,00 por dia com recibos, desde o local de onde o trabalhador veio trabalhar para o empregador, seja nos EUA ou no exterior, até o local de trabalho,"&amp;" se o trabalhador completar 50% do período de emprego coberto pela ordem de serviço, de acordo com 20 CFR 655.20(j)(1)(i), mediante inclusão no contracheque da semana aplicável. O empregador fornecerá ou pagará o custo do transporte de retorno e da subsis"&amp;"tência diária do trabalhador, do local de trabalho até o local de onde o trabalhador partiu para trabalhar para o empregador, independentemente de empregos intermediários, caso o trabalhador complete o período de emprego certificado ou seja demitido do em"&amp;"prego por qualquer motivo pelo empregador antes do término do período, de acordo com o § 655.20(j)(1)(ii); os trabalhadores com visto H-2B serão reembolsados ​​na primeira semana de trabalho por todos os vistos, processamento de vistos, travessia de front"&amp;"eira e outras taxas relacionadas, incluindo aquelas exigidas pelo governo (exceto taxas de passaporte). O empregador fornecerá aos trabalhadores todas as ferramentas, suprimentos e equipamentos necessários para o desempenho do trabalho, sem custo para o t"&amp;"rabalhador, de acordo com o 20 CFR 655.20(k). Os candidatos qualificados podem enviar o currículo para Brian Boushie, no endereço 23721 NE 48th Av., Okeechobee, FL. 34972, envie um e-mail para pinecreeksportingclubjobs@gmail.com ou visite o centro de empr"&amp;"egos local em 207 SW Park Street, Okeechobee, FL 34972. *Seu depósito de segurança é reembolsável após a conclusão do contrato e a inspeção da moradia. Se um trabalhador abandonar o emprego sem a permissão do empregador ou abandonar a moradia antes do tér"&amp;"mino do prazo de inscrição por qualquer motivo, exceto rescisão por parte do empregador, o trabalhador perderá todos os depósitos de moradia, dias de folga remunerada, férias e bônus. Após a rescisão ou demissão, o trabalhador deverá desocupar a moradia i"&amp;"mediatamente, a menos que haja acordo com o empregador.* Classificação do Cargo: 35-2014.00 - Cozinheiros, Restaurante. A classificação e descrição do cargo/setor incluem informações gerais sobre a posição, de acordo com o ONET/OES e o Sistema de Classifi"&amp;"cação Industrial da América do Norte. Consulte as Funções e a Ordem de Serviço para obter mais informações. Requisitos da vaga Experiência necessária: Sim Meses de experiência necessários: 3 Número de horas por semana: 35 Horário de trabalho (início/térmi"&amp;"no): 7h às 23h")</f>
        <v>Preparar, cozinhar, refogar, grelhar e fritar itens como frutos do mar, carnes, aves, legumes, massas e sopas. Manter as áreas da cozinha limpas e higienizadas. Armazenar todos os produtos em locais adequados e realizar todos os demais serviços relacionados à cozinha. (6) vagas disponíveis. Período: 01/10/2026 a 31/05/2027. Necessário 3 meses de experiência. Turnos rotativos. Dias de trabalho: segunda a domingo. Horário de trabalho: 7h às 23h. Salário: US$ 19,40 a US$ 23/hora, US$ 29,10 a US$ 34,50/hora para horas extras. Pagamento quinzenal. 35 horas semanais. Alojamento opcional gratuito mediante depósito de US$ 500, sendo US$ 300 reembolsáveis ​​após a assinatura do contrato e inspeção do imóvel. O depósito será pago com o valor do primeiro e do segundo salário na chegada. Será retido como garantia, e não como pagamento de aluguel, definitivo ou não, para assegurar que o inquilino cumpra todos os termos e condições deste contrato de locação. Caso o Inquilino permaneça na posse do Imóvel Locado após o término do Contrato, sem a assinatura de um acordo por escrito entre o Locador e o Inquilino permitindo tal permanência, o Inquilino será considerado como ocupante do Imóvel Locado por tolerância, sujeito a todas as cláusulas e obrigações deste Contrato, e será devido um aluguel diário de US$ 300,00. Uniformes e refeições durante o turno serão fornecidos. Bônus de fim de temporada e de Natal disponíveis. Local de trabalho: 23721 NE 48th Av. Okeechobee, FL 34972. O trabalho é temporário, em tempo integral. A remuneração será calculada com base em uma única semana de trabalho. Poderá haver até 10 horas extras, quando disponíveis. Todos os descontos obrigatórios por lei serão feitos no contracheque do trabalhador. O empregador fornecerá gratuitamente aos trabalhadores todas as ferramentas, materiais e equipamentos necessários para a execução do trabalho. O trabalhador receberá ou será reembolsado pelo transporte e subsistência (incluindo o custo razoável de hospedagem noturna, quando necessário, até US$ 110/noite para hospedagem com recibos) a uma taxa de US$ 16,78 por dia durante a viagem, até um máximo de US$ 68,00 por dia com recibos, desde o local de onde o trabalhador veio trabalhar para o empregador, seja nos EUA ou no exterior, até o local de trabalho, se o trabalhador completar 50% do período de emprego coberto pela ordem de serviço, de acordo com 20 CFR 655.20(j)(1)(i), mediante inclusão no contracheque da semana aplicável. O empregador fornecerá ou pagará o custo do transporte de retorno e da subsistência diária do trabalhador, do local de trabalho até o local de onde o trabalhador partiu para trabalhar para o empregador, independentemente de empregos intermediários, caso o trabalhador complete o período de emprego certificado ou seja demitido do emprego por qualquer motivo pelo empregador antes do término do período, de acordo com o § 655.20(j)(1)(ii); os trabalhadores com visto H-2B serão reembolsados ​​na primeira semana de trabalho por todos os vistos, processamento de vistos, travessia de fronteira e outras taxas relacionadas, incluindo aquelas exigidas pelo governo (exceto taxas de passaporte). O empregador fornecerá aos trabalhadores todas as ferramentas, suprimentos e equipamentos necessários para o desempenho do trabalho, sem custo para o trabalhador, de acordo com o 20 CFR 655.20(k). Os candidatos qualificados podem enviar o currículo para Brian Boushie, no endereço 23721 NE 48th Av., Okeechobee, FL. 34972, envie um e-mail para pinecreeksportingclubjobs@gmail.com ou visite o centro de empregos local em 207 SW Park Street, Okeechobee, FL 34972. *Seu depósito de segurança é reembolsável após a conclusão do contrato e a inspeção da moradia. Se um trabalhador abandonar o emprego sem a permissão do empregador ou abandonar a moradia antes do término do prazo de inscrição por qualquer motivo, exceto rescisão por parte do empregador, o trabalhador perderá todos os depósitos de moradia, dias de folga remunerada, férias e bônus. Após a rescisão ou demissão, o trabalhador deverá desocupar a moradia imediatamente, a menos que haja acordo com o empregador.* Classificação do Cargo: 35-2014.00 - Cozinheiros, Restaurante. A classificação e descrição do cargo/setor incluem informações gerais sobre a posição, de acordo com o ONET/OES e o Sistema de Classificação Industrial da América do Norte. Consulte as Funções e a Ordem de Serviço para obter mais informações. Requisitos da vaga Experiência necessária: Sim Meses de experiência necessários: 3 Número de horas por semana: 35 Horário de trabalho (início/término): 7h às 23h</v>
      </c>
    </row>
    <row r="1820" ht="20.25" customHeight="1">
      <c r="A1820" s="3" t="s">
        <v>8156</v>
      </c>
      <c r="B1820" s="3" t="s">
        <v>8152</v>
      </c>
      <c r="C1820" s="3" t="s">
        <v>197</v>
      </c>
      <c r="D1820" s="3" t="s">
        <v>71</v>
      </c>
      <c r="E1820" s="4" t="s">
        <v>44</v>
      </c>
      <c r="F1820" s="4" t="s">
        <v>20</v>
      </c>
      <c r="G1820" s="4" t="s">
        <v>524</v>
      </c>
      <c r="H1820" s="3" t="s">
        <v>8153</v>
      </c>
      <c r="I1820" s="3" t="s">
        <v>8154</v>
      </c>
      <c r="J1820" s="4">
        <v>18.75</v>
      </c>
      <c r="K1820" s="4">
        <v>8.0</v>
      </c>
      <c r="L1820" s="3" t="s">
        <v>1206</v>
      </c>
      <c r="M1820" s="3" t="s">
        <v>8157</v>
      </c>
      <c r="N1820" s="7" t="str">
        <f>IFERROR(__xludf.DUMMYFUNCTION("GOOGLETRANSLATE(L1820, ""en"", ""pt"")"),"Servidor")</f>
        <v>Servidor</v>
      </c>
      <c r="O1820" s="7" t="str">
        <f>IFERROR(__xludf.DUMMYFUNCTION("IF(M1820="""","""",GOOGLETRANSLATE(M1820,""en"",""pt""))"),"Receber pedidos, servir comidas e bebidas aos clientes. Limpar e arrumar as mesas. Receber pagamentos e entregar recibos. Manter todos os postos de trabalho abastecidos e realizar todos os demais serviços relacionados ao atendimento. (8) vagas disponíveis"&amp;". Período: 01/10/2026 a 31/05/2027. Necessário 3 meses de experiência. Turnos rotativos. Dias de trabalho: segunda a domingo. Horário: 7h às 23h. Salário: US$ 7,50 a US$ 12 por hora, mais gorjetas, mas não menos que US$ 18,75 por hora, US$ 28,13 por hora "&amp;"em horas extras. Pagamento quinzenal. 35 horas semanais. Alojamento opcional gratuito mediante depósito de US$ 500, sendo US$ 300 reembolsáveis ​​após a assinatura do contrato e inspeção do imóvel. O depósito será pago com o valor do primeiro e do segundo"&amp;" salário na chegada. Será retido como garantia, e não como pagamento de aluguel, definitivo ou não, para assegurar que o inquilino cumpra todos os termos e condições deste contrato de locação. Caso o Locatário permaneça na posse do Imóvel Locado após o té"&amp;"rmino do Contrato, sem a assinatura de um acordo por escrito entre Locador e Locatário autorizando tal permanência, o Locatário será considerado como ocupante do Imóvel Locado por tolerância, sujeito a todas as cláusulas e obrigações deste Contrato, e ser"&amp;"á devido um aluguel diário de $300,00. Uniformes e refeições durante o turno serão fornecidos. Bônus de fim de temporada disponível. Local de trabalho: 23721 NE 48th Av. Okeechobee, FL 34972. O trabalho é temporário, em tempo integral. A remuneração será "&amp;"calculada com base em uma semana de trabalho. Poderá haver até 10 horas extras, quando disponíveis. Todos os descontos exigidos por lei serão feitos no contracheque do trabalhador. O empregador fornecerá gratuitamente aos trabalhadores todas as ferramenta"&amp;"s, materiais e equipamentos necessários para a execução do trabalho. O trabalhador receberá ou será reembolsado pelo transporte e subsistência (incluindo o custo razoável de hospedagem noturna, quando necessário, até US$ 110/noite para hospedagem com reci"&amp;"bos) a uma taxa de US$ 16,78 por dia durante a viagem, até um máximo de US$ 68,00 por dia com recibos, desde o local de onde o trabalhador veio trabalhar para o empregador, seja nos EUA ou no exterior, até o local de trabalho, se o trabalhador completar 5"&amp;"0% do período de emprego coberto pela ordem de serviço, de acordo com 20 CFR 655.20(j)(1)(i), mediante inclusão no contracheque da semana aplicável. O empregador fornecerá ou pagará o custo do transporte de retorno e da subsistência diária do trabalhador,"&amp;" do local de trabalho até o local de onde o trabalhador partiu para trabalhar para o empregador, independentemente de empregos intermediários, caso o trabalhador complete o período de emprego certificado ou seja demitido do emprego por qualquer motivo pel"&amp;"o empregador antes do término do período, de acordo com o § 655.20(j)(1)(ii); os trabalhadores com visto H-2B serão reembolsados ​​na primeira semana de trabalho por todos os vistos, processamento de vistos, travessia de fronteira e outras taxas relaciona"&amp;"das, incluindo aquelas exigidas pelo governo (exceto taxas de passaporte). O empregador fornecerá aos trabalhadores todas as ferramentas, suprimentos e equipamentos necessários para o desempenho do trabalho, sem custo para o trabalhador, de acordo com o 2"&amp;"0 CFR 655.20(k). Os candidatos qualificados podem enviar o currículo para Brian Boushie, no endereço 23721 NE 48th Av., Okeechobee, FL. 34972, envie um e-mail para pinecreeksportingclubjobs@gmail.com ou visite o centro de empregos local em 207 SW Park Str"&amp;"eet, Okeechobee, FL 34972. *Seu depósito de segurança é reembolsável após a conclusão do contrato e a inspeção da moradia. Se um trabalhador abandonar o emprego sem a permissão do empregador ou abandonar a moradia antes do término do prazo de inscrição po"&amp;"r qualquer motivo, exceto rescisão por parte do empregador, o trabalhador perderá todos os depósitos de moradia, dias de folga remunerada, férias e bônus. Após a rescisão ou demissão, o trabalhador deverá desocupar a moradia imediatamente, a menos que haj"&amp;"a acordo com o empregador.* Classificação do Cargo: 35-3031.00 - Garçons e Garçonetes. A classificação e descrição do cargo/setor incluem informações gerais sobre a posição, de acordo com o ONET/OES e o Sistema de Classificação Industrial da América do No"&amp;"rte. Consulte as Funções e a Ordem de Serviço para obter mais informações. Requisitos da vaga Experiência necessária: Sim Meses de experiência necessários: 3 Número de horas por semana: 35 Horário de trabalho (início/término): 7h às 23h")</f>
        <v>Receber pedidos, servir comidas e bebidas aos clientes. Limpar e arrumar as mesas. Receber pagamentos e entregar recibos. Manter todos os postos de trabalho abastecidos e realizar todos os demais serviços relacionados ao atendimento. (8) vagas disponíveis. Período: 01/10/2026 a 31/05/2027. Necessário 3 meses de experiência. Turnos rotativos. Dias de trabalho: segunda a domingo. Horário: 7h às 23h. Salário: US$ 7,50 a US$ 12 por hora, mais gorjetas, mas não menos que US$ 18,75 por hora, US$ 28,13 por hora em horas extras. Pagamento quinzenal. 35 horas semanais. Alojamento opcional gratuito mediante depósito de US$ 500, sendo US$ 300 reembolsáveis ​​após a assinatura do contrato e inspeção do imóvel. O depósito será pago com o valor do primeiro e do segundo salário na chegada. Será retido como garantia, e não como pagamento de aluguel, definitivo ou não, para assegurar que o inquilino cumpra todos os termos e condições deste contrato de locação. Caso o Locatário permaneça na posse do Imóvel Locado após o término do Contrato, sem a assinatura de um acordo por escrito entre Locador e Locatário autorizando tal permanência, o Locatário será considerado como ocupante do Imóvel Locado por tolerância, sujeito a todas as cláusulas e obrigações deste Contrato, e será devido um aluguel diário de $300,00. Uniformes e refeições durante o turno serão fornecidos. Bônus de fim de temporada disponível. Local de trabalho: 23721 NE 48th Av. Okeechobee, FL 34972. O trabalho é temporário, em tempo integral. A remuneração será calculada com base em uma semana de trabalho. Poderá haver até 10 horas extras, quando disponíveis. Todos os descontos exigidos por lei serão feitos no contracheque do trabalhador. O empregador fornecerá gratuitamente aos trabalhadores todas as ferramentas, materiais e equipamentos necessários para a execução do trabalho. O trabalhador receberá ou será reembolsado pelo transporte e subsistência (incluindo o custo razoável de hospedagem noturna, quando necessário, até US$ 110/noite para hospedagem com recibos) a uma taxa de US$ 16,78 por dia durante a viagem, até um máximo de US$ 68,00 por dia com recibos, desde o local de onde o trabalhador veio trabalhar para o empregador, seja nos EUA ou no exterior, até o local de trabalho, se o trabalhador completar 50% do período de emprego coberto pela ordem de serviço, de acordo com 20 CFR 655.20(j)(1)(i), mediante inclusão no contracheque da semana aplicável. O empregador fornecerá ou pagará o custo do transporte de retorno e da subsistência diária do trabalhador, do local de trabalho até o local de onde o trabalhador partiu para trabalhar para o empregador, independentemente de empregos intermediários, caso o trabalhador complete o período de emprego certificado ou seja demitido do emprego por qualquer motivo pelo empregador antes do término do período, de acordo com o § 655.20(j)(1)(ii); os trabalhadores com visto H-2B serão reembolsados ​​na primeira semana de trabalho por todos os vistos, processamento de vistos, travessia de fronteira e outras taxas relacionadas, incluindo aquelas exigidas pelo governo (exceto taxas de passaporte). O empregador fornecerá aos trabalhadores todas as ferramentas, suprimentos e equipamentos necessários para o desempenho do trabalho, sem custo para o trabalhador, de acordo com o 20 CFR 655.20(k). Os candidatos qualificados podem enviar o currículo para Brian Boushie, no endereço 23721 NE 48th Av., Okeechobee, FL. 34972, envie um e-mail para pinecreeksportingclubjobs@gmail.com ou visite o centro de empregos local em 207 SW Park Street, Okeechobee, FL 34972. *Seu depósito de segurança é reembolsável após a conclusão do contrato e a inspeção da moradia. Se um trabalhador abandonar o emprego sem a permissão do empregador ou abandonar a moradia antes do término do prazo de inscrição por qualquer motivo, exceto rescisão por parte do empregador, o trabalhador perderá todos os depósitos de moradia, dias de folga remunerada, férias e bônus. Após a rescisão ou demissão, o trabalhador deverá desocupar a moradia imediatamente, a menos que haja acordo com o empregador.* Classificação do Cargo: 35-3031.00 - Garçons e Garçonetes. A classificação e descrição do cargo/setor incluem informações gerais sobre a posição, de acordo com o ONET/OES e o Sistema de Classificação Industrial da América do Norte. Consulte as Funções e a Ordem de Serviço para obter mais informações. Requisitos da vaga Experiência necessária: Sim Meses de experiência necessários: 3 Número de horas por semana: 35 Horário de trabalho (início/término): 7h às 23h</v>
      </c>
    </row>
    <row r="1821" ht="20.25" customHeight="1">
      <c r="A1821" s="8" t="s">
        <v>8158</v>
      </c>
      <c r="B1821" s="8" t="s">
        <v>8159</v>
      </c>
      <c r="C1821" s="8" t="s">
        <v>6921</v>
      </c>
      <c r="D1821" s="8" t="s">
        <v>532</v>
      </c>
      <c r="E1821" s="9" t="s">
        <v>19</v>
      </c>
      <c r="F1821" s="9" t="s">
        <v>20</v>
      </c>
      <c r="G1821" s="9" t="s">
        <v>198</v>
      </c>
      <c r="H1821" s="8" t="s">
        <v>8160</v>
      </c>
      <c r="I1821" s="8" t="s">
        <v>8161</v>
      </c>
      <c r="J1821" s="9">
        <v>28.04</v>
      </c>
      <c r="K1821" s="9">
        <v>5.0</v>
      </c>
      <c r="L1821" s="8" t="s">
        <v>8162</v>
      </c>
      <c r="M1821" s="8" t="s">
        <v>8163</v>
      </c>
      <c r="N1821" s="7" t="str">
        <f>IFERROR(__xludf.DUMMYFUNCTION("GOOGLETRANSLATE(L1821, ""en"", ""pt"")"),"Treinador de Corridas para Equipes Juniores")</f>
        <v>Treinador de Corridas para Equipes Juniores</v>
      </c>
      <c r="O1821" s="7" t="str">
        <f>IFERROR(__xludf.DUMMYFUNCTION("IF(M1821="""","""",GOOGLETRANSLATE(M1821,""en"",""pt""))"),"Ministrar sessões de treinamento para atletas. Fluência em leitura, escrita e comunicação em inglês. Fornecer orientação, feedback e aconselhamento para preparar os atletas para o desenvolvimento atlético a longo prazo e para as próximas competições. Ajus"&amp;"tar as técnicas de treinamento com base nos pontos fortes e fracos dos atletas. Instruir indivíduos ou grupos sobre regras, táticas, preparação e princípios de desempenho, como maneiras específicas de utilizar o equipamento na superfície da neve para alca"&amp;"nçar os resultados desejados. Liderar, orientar e supervisionar o desenvolvimento dos atletas dentro do grupo do programa atribuído, garantindo o alinhamento com os objetivos e padrões gerais do programa. Apoiar, gerenciar e orientar a equipe de treinador"&amp;"es para manter a consistência na qualidade do treinamento, na experiência do atleta e na execução do programa. Conhecer e cumprir o cronograma e as expectativas de frequência. Receber, cumprimentar e interagir diariamente com convidados, atletas e pais. L"&amp;"iderar e supervisionar um grupo de atletas, executando o currículo de forma independente sob a direção do gerente. Desenvolver e gerenciar os horários da equipe para garantir a cobertura adequada, operações eficientes e alinhamento com as necessidades do "&amp;"programa. Gerenciar a equipe no dia a dia, incluindo supervisão, orientação e apoio à equipe de treinadores. Liderar a entrega e a execução do currículo do programa, garantindo o alinhamento com os padrões do programa e assumindo a responsabilidade pela q"&amp;"ualidade do treinamento diário e pela experiência do atleta. Auxiliar no planejamento das sessões de treinamento, da programação sazonal e da preparação para competições em colaboração com o Gerente/Técnico Principal. Preparar ambientes de treinamento de "&amp;"qualidade: transportar e instalar os equipamentos necessários para o treinamento, segurança e proteção, incluindo fechamentos, sinalização, postes/painéis de treinamento, exercícios e outros. Implementar o treinamento da equipe sob a direção do Gerente/Té"&amp;"cnico Principal: ser responsável pela qualidade do currículo implementado, dos produtos e serviços entregues. Ser responsável pela qualidade geral, consistência e eficácia dos ambientes de treinamento, da entrega do currículo e dos resultados dos atletas."&amp;" Apoiar as operações diárias do programa, incluindo logística de treinamento, alinhamento de horários e coordenação de recursos. Adaptabilidade aos ambientes de treinamento e à dinâmica interpessoal. Ajudar a manter a qualidade e a aparência de todas as i"&amp;"nstalações e da infraestrutura física da Equipe de Esqui, incluindo o Centro da Equipe, as instalações de treinamento na montanha, a sinalização, a imagem do programa e outros. Manter-se atualizado e cumprir as diretrizes, políticas e procedimentos da emp"&amp;"resa, incluindo, entre outros: Política de Esqui e Snowboard para Funcionários, segurança, comportamento, aparência, viagens, horário e frequência. Comunique-se de forma eficaz com os membros da equipe, incluindo convidados e funcionários. Lidere uma comu"&amp;"nicação clara e profissional com atletas, pais e funcionários, servindo como um ponto de contato fundamental para informações, expectativas e feedback relacionados ao programa. Forneça feedback contínuo à equipe, apoie a gestão de desempenho e atenda às n"&amp;"ecessidades diárias de pessoal. Modele e reforce a cultura da equipe, o profissionalismo e os padrões da empresa entre atletas e funcionários. Assegure e execute o trabalho em equipe dentro da equipe, departamentos e empresa. Participe e contribua positiv"&amp;"amente para os treinamentos e reuniões obrigatórios. Deve ser capaz de caminhar, falar, ver, ouvir e esquiar/praticar snowboard regularmente. Deve ser capaz de ficar em pé e/ou se equilibrar por longos períodos, até 90% ou mais de um turno de trabalho nor"&amp;"mal. Deve ser capaz de se equilibrar, alcançar, agachar, curvar, ajoelhar, inclinar, manusear e torcer o corpo com frequência ou constantemente. Deve ser capaz de ocasionalmente carregar, levantar, empurrar ou puxar até 34 kg. As habilidades visuais espec"&amp;"íficas exigidas para este trabalho incluem visão de perto, visão de longe, visão periférica, percepção de profundidade e capacidade de ajustar o foco. Classificação da Função: 27-2022.00 - Treinadores e Observadores. A classificação e descrição da função/"&amp;"setor inclui informações gerais sobre o cargo, de acordo com o ONET/OES e o Sistema de Classificação Industrial da América do Norte. Consulte as Funções e a Ordem de Serviço para obter mais informações. Requisitos da Função Experiência Necessária: Sim Mes"&amp;"es de Experiência Necessários: 36 Requisitos Especiais: 3 anos de experiência em competição alpina. 3 meses de experiência como treinador ou instrutor de esqui. Experiência com ferramentas básicas de treinamento digital/eletrônicas. Nível 200 USSS ou equi"&amp;"valente com 3 meses de experiência como treinador. Treinamento no local de trabalho fornecido. Treinamento oferecido. Dias e Turnos: Os seguintes turnos estão disponíveis 5 dias por semana (quarta a domingo), incluindo fins de semana e feriados. Horário d"&amp;"e trabalho: das 7h30 às 16h, com turnos definidos de acordo com a época do ano, a disponibilidade de luz natural e a necessidade. Salário por hora: US$ 28,04 a US$ 36,00 por hora (com base no mérito e experiência anterior na empresa). Possibilidade de aum"&amp;"ento salarial: Possível aumento salarial com base em certificações e experiência comprovada na área. Possibilidade de horas extras: Horas extras podem estar disponíveis com pagamento de US$ 42,06 a US$ 54,00 por hora. Será necessária verificação de antece"&amp;"dentes criminais antes da contratação. Referências poderão ser solicitadas. Benefícios: Acesso gratuito a 14 resorts icônicos, incluindo Palisades Tahoe, Mammoth Mountain, Steamboat, Solitude e muito mais! Plano 401(k) com generosa contribuição da empresa"&amp;". Passes de esqui gratuitos, além de 50% de desconto em passes de esqui, 25% a 50% de desconto em restaurantes e bares em Olympic Valley e Alpine Meadows, 30% de desconto em lojas de varejo operadas pela Palisades Tahoe, incluindo The North Face, Oakley e"&amp;" muito mais, Programa de Assistência ao Empregado (PAE). Número de horas por semana: 35. Horário de trabalho (início/término): 7h30. - 16:00")</f>
        <v>Ministrar sessões de treinamento para atletas. Fluência em leitura, escrita e comunicação em inglês. Fornecer orientação, feedback e aconselhamento para preparar os atletas para o desenvolvimento atlético a longo prazo e para as próximas competições. Ajustar as técnicas de treinamento com base nos pontos fortes e fracos dos atletas. Instruir indivíduos ou grupos sobre regras, táticas, preparação e princípios de desempenho, como maneiras específicas de utilizar o equipamento na superfície da neve para alcançar os resultados desejados. Liderar, orientar e supervisionar o desenvolvimento dos atletas dentro do grupo do programa atribuído, garantindo o alinhamento com os objetivos e padrões gerais do programa. Apoiar, gerenciar e orientar a equipe de treinadores para manter a consistência na qualidade do treinamento, na experiência do atleta e na execução do programa. Conhecer e cumprir o cronograma e as expectativas de frequência. Receber, cumprimentar e interagir diariamente com convidados, atletas e pais. Liderar e supervisionar um grupo de atletas, executando o currículo de forma independente sob a direção do gerente. Desenvolver e gerenciar os horários da equipe para garantir a cobertura adequada, operações eficientes e alinhamento com as necessidades do programa. Gerenciar a equipe no dia a dia, incluindo supervisão, orientação e apoio à equipe de treinadores. Liderar a entrega e a execução do currículo do programa, garantindo o alinhamento com os padrões do programa e assumindo a responsabilidade pela qualidade do treinamento diário e pela experiência do atleta. Auxiliar no planejamento das sessões de treinamento, da programação sazonal e da preparação para competições em colaboração com o Gerente/Técnico Principal. Preparar ambientes de treinamento de qualidade: transportar e instalar os equipamentos necessários para o treinamento, segurança e proteção, incluindo fechamentos, sinalização, postes/painéis de treinamento, exercícios e outros. Implementar o treinamento da equipe sob a direção do Gerente/Técnico Principal: ser responsável pela qualidade do currículo implementado, dos produtos e serviços entregues. Ser responsável pela qualidade geral, consistência e eficácia dos ambientes de treinamento, da entrega do currículo e dos resultados dos atletas. Apoiar as operações diárias do programa, incluindo logística de treinamento, alinhamento de horários e coordenação de recursos. Adaptabilidade aos ambientes de treinamento e à dinâmica interpessoal. Ajudar a manter a qualidade e a aparência de todas as instalações e da infraestrutura física da Equipe de Esqui, incluindo o Centro da Equipe, as instalações de treinamento na montanha, a sinalização, a imagem do programa e outros. Manter-se atualizado e cumprir as diretrizes, políticas e procedimentos da empresa, incluindo, entre outros: Política de Esqui e Snowboard para Funcionários, segurança, comportamento, aparência, viagens, horário e frequência. Comunique-se de forma eficaz com os membros da equipe, incluindo convidados e funcionários. Lidere uma comunicação clara e profissional com atletas, pais e funcionários, servindo como um ponto de contato fundamental para informações, expectativas e feedback relacionados ao programa. Forneça feedback contínuo à equipe, apoie a gestão de desempenho e atenda às necessidades diárias de pessoal. Modele e reforce a cultura da equipe, o profissionalismo e os padrões da empresa entre atletas e funcionários. Assegure e execute o trabalho em equipe dentro da equipe, departamentos e empresa. Participe e contribua positivamente para os treinamentos e reuniões obrigatórios. Deve ser capaz de caminhar, falar, ver, ouvir e esquiar/praticar snowboard regularmente. Deve ser capaz de ficar em pé e/ou se equilibrar por longos períodos, até 90% ou mais de um turno de trabalho normal. Deve ser capaz de se equilibrar, alcançar, agachar, curvar, ajoelhar, inclinar, manusear e torcer o corpo com frequência ou constantemente. Deve ser capaz de ocasionalmente carregar, levantar, empurrar ou puxar até 34 kg. As habilidades visuais específicas exigidas para este trabalho incluem visão de perto, visão de longe, visão periférica, percepção de profundidade e capacidade de ajustar o foco. Classificação da Função: 27-2022.00 - Treinadores e Observadores. A classificação e descrição da função/setor inclui informações gerais sobre o cargo, de acordo com o ONET/OES e o Sistema de Classificação Industrial da América do Norte. Consulte as Funções e a Ordem de Serviço para obter mais informações. Requisitos da Função Experiência Necessária: Sim Meses de Experiência Necessários: 36 Requisitos Especiais: 3 anos de experiência em competição alpina. 3 meses de experiência como treinador ou instrutor de esqui. Experiência com ferramentas básicas de treinamento digital/eletrônicas. Nível 200 USSS ou equivalente com 3 meses de experiência como treinador. Treinamento no local de trabalho fornecido. Treinamento oferecido. Dias e Turnos: Os seguintes turnos estão disponíveis 5 dias por semana (quarta a domingo), incluindo fins de semana e feriados. Horário de trabalho: das 7h30 às 16h, com turnos definidos de acordo com a época do ano, a disponibilidade de luz natural e a necessidade. Salário por hora: US$ 28,04 a US$ 36,00 por hora (com base no mérito e experiência anterior na empresa). Possibilidade de aumento salarial: Possível aumento salarial com base em certificações e experiência comprovada na área. Possibilidade de horas extras: Horas extras podem estar disponíveis com pagamento de US$ 42,06 a US$ 54,00 por hora. Será necessária verificação de antecedentes criminais antes da contratação. Referências poderão ser solicitadas. Benefícios: Acesso gratuito a 14 resorts icônicos, incluindo Palisades Tahoe, Mammoth Mountain, Steamboat, Solitude e muito mais! Plano 401(k) com generosa contribuição da empresa. Passes de esqui gratuitos, além de 50% de desconto em passes de esqui, 25% a 50% de desconto em restaurantes e bares em Olympic Valley e Alpine Meadows, 30% de desconto em lojas de varejo operadas pela Palisades Tahoe, incluindo The North Face, Oakley e muito mais, Programa de Assistência ao Empregado (PAE). Número de horas por semana: 35. Horário de trabalho (início/término): 7h30. - 16:00</v>
      </c>
    </row>
    <row r="1822" ht="20.25" customHeight="1">
      <c r="A1822" s="3" t="s">
        <v>8164</v>
      </c>
      <c r="B1822" s="3" t="s">
        <v>8165</v>
      </c>
      <c r="C1822" s="3" t="s">
        <v>8166</v>
      </c>
      <c r="D1822" s="3" t="s">
        <v>28</v>
      </c>
      <c r="E1822" s="4" t="s">
        <v>44</v>
      </c>
      <c r="F1822" s="4" t="s">
        <v>20</v>
      </c>
      <c r="G1822" s="4" t="s">
        <v>2356</v>
      </c>
      <c r="H1822" s="3" t="s">
        <v>7810</v>
      </c>
      <c r="I1822" s="3" t="s">
        <v>7811</v>
      </c>
      <c r="J1822" s="4">
        <v>29.98</v>
      </c>
      <c r="K1822" s="4">
        <v>26.0</v>
      </c>
      <c r="L1822" s="3" t="s">
        <v>8167</v>
      </c>
      <c r="M1822" s="3" t="s">
        <v>8168</v>
      </c>
      <c r="N1822" s="7" t="str">
        <f>IFERROR(__xludf.DUMMYFUNCTION("GOOGLETRANSLATE(L1822, ""en"", ""pt"")"),"Auxiliares de decoração para festas/Natal")</f>
        <v>Auxiliares de decoração para festas/Natal</v>
      </c>
      <c r="O1822" s="7" t="str">
        <f>IFERROR(__xludf.DUMMYFUNCTION("IF(M1822="""","""",GOOGLETRANSLATE(M1822,""en"",""pt""))"),"Instalação de todos os tipos de decoração natalina externa em residências, comércios e propriedades (dependendo das necessidades de cada cliente) (incluindo: guirlandas, iluminação, infláveis, árvores, ganchos, suportes, etc.); remoção da decoração; carga"&amp;" e descarga de decorações de caminhões/carrinhos de trabalho; desembalagem e embalagem da decoração; verificação da decoração; limpeza da área de trabalho e remoção de detritos. Classificação da função: 49-9099.00 - Trabalhadores de Instalação, Manutenção"&amp;" e Reparo, Outros. A classificação e descrição da função/setor inclui informações gerais sobre o cargo, conforme ONET/OES e o Sistema de Classificação Industrial da América do Norte. Consulte as Funções e a Ordem de Serviço para obter mais informações. Re"&amp;"quisitos da vaga Experiência necessária: Não Requisitos especiais: DEVE SER CAPAZ DE SUBIR ESCADAS DE 2,4 A 4,9 METROS, TRABALHAR EM ALTURAS, ANDAR, SENTAR, FICAR EM PÉ, ABAIXAR-SE, ALCANÇAR (ACIMA DA CABEÇA E AO NÍVEL DO SOLO), AJOELHAR-SE REPETIDAMENTE "&amp;"POR LONGOS PERÍODOS DE TEMPO, LEVANTAR DE 13 A 23 KG, USAR FERRAMENTAS MANUAIS (MARTELO, GRAMPEADOR, CLIPE, EXTENSÃO ELÉTRICA, CRONÔMETRO, ETC.) CAPAZ DE TRABALHAR EM TODOS OS TIPOS DE CLIMA, CALOR EXTREMO, FRIO OU CHUVA. CAPAZ DE TRABALHAR AOS FINS DE SE"&amp;"MANA. APÓS A CONTRATAÇÃO, PODERÁ SER SOLICITADO A REALIZAR UM TESTE DE DROGAS ALEATÓRIO, SEM CUSTO PARA O TRABALHADOR. A RECUSA OU O RESULTADO POSITIVO PODERÁ RESULTAR EM DEMISSÃO IMEDIATA DO CONTRATO DE TRABALHO. Depósito direto - caso o funcionário não "&amp;"possua conta corrente, receberá um cheque apenas durante os primeiros 30 dias de trabalho, para que tenha tempo de abrir ou ativar o depósito direto. O horário de trabalho padrão é das 7h às 16h, de segunda a sexta-feira; trabalho aos sábados e domingos s"&amp;"erá exigido quando necessário. O empregador oferecerá 35 horas semanais. Horas extras são oferecidas, mas não garantidas. O empregador poderá oferecer mais horas do que o horário de trabalho estipulado, dependendo do clima, das necessidades da empresa e d"&amp;"e outras condições. Calor extremo, frio intenso e chuva podem afetar o horário exato. Número de horas por semana: 35. Horário de trabalho (início/término): 7h às 16h.")</f>
        <v>Instalação de todos os tipos de decoração natalina externa em residências, comércios e propriedades (dependendo das necessidades de cada cliente) (incluindo: guirlandas, iluminação, infláveis, árvores, ganchos, suportes, etc.); remoção da decoração; carga e descarga de decorações de caminhões/carrinhos de trabalho; desembalagem e embalagem da decoração; verificação da decoração; limpeza da área de trabalho e remoção de detritos. Classificação da função: 49-9099.00 - Trabalhadores de Instalação, Manutenção e Reparo, Outros. A classificação e descrição da função/setor inclui informações gerais sobre o cargo, conforme ONET/OES e o Sistema de Classificação Industrial da América do Norte. Consulte as Funções e a Ordem de Serviço para obter mais informações. Requisitos da vaga Experiência necessária: Não Requisitos especiais: DEVE SER CAPAZ DE SUBIR ESCADAS DE 2,4 A 4,9 METROS, TRABALHAR EM ALTURAS, ANDAR, SENTAR, FICAR EM PÉ, ABAIXAR-SE, ALCANÇAR (ACIMA DA CABEÇA E AO NÍVEL DO SOLO), AJOELHAR-SE REPETIDAMENTE POR LONGOS PERÍODOS DE TEMPO, LEVANTAR DE 13 A 23 KG, USAR FERRAMENTAS MANUAIS (MARTELO, GRAMPEADOR, CLIPE, EXTENSÃO ELÉTRICA, CRONÔMETRO, ETC.) CAPAZ DE TRABALHAR EM TODOS OS TIPOS DE CLIMA, CALOR EXTREMO, FRIO OU CHUVA. CAPAZ DE TRABALHAR AOS FINS DE SEMANA. APÓS A CONTRATAÇÃO, PODERÁ SER SOLICITADO A REALIZAR UM TESTE DE DROGAS ALEATÓRIO, SEM CUSTO PARA O TRABALHADOR. A RECUSA OU O RESULTADO POSITIVO PODERÁ RESULTAR EM DEMISSÃO IMEDIATA DO CONTRATO DE TRABALHO. Depósito direto - caso o funcionário não possua conta corrente, receberá um cheque apenas durante os primeiros 30 dias de trabalho, para que tenha tempo de abrir ou ativar o depósito direto. O horário de trabalho padrão é das 7h às 16h, de segunda a sexta-feira; trabalho aos sábados e domingos será exigido quando necessário. O empregador oferecerá 35 horas semanais. Horas extras são oferecidas, mas não garantidas. O empregador poderá oferecer mais horas do que o horário de trabalho estipulado, dependendo do clima, das necessidades da empresa e de outras condições. Calor extremo, frio intenso e chuva podem afetar o horário exato. Número de horas por semana: 35. Horário de trabalho (início/término): 7h às 16h.</v>
      </c>
    </row>
    <row r="1823" ht="20.25" customHeight="1">
      <c r="A1823" s="8" t="s">
        <v>8169</v>
      </c>
      <c r="B1823" s="8" t="s">
        <v>8170</v>
      </c>
      <c r="C1823" s="8" t="s">
        <v>197</v>
      </c>
      <c r="D1823" s="8" t="s">
        <v>71</v>
      </c>
      <c r="E1823" s="9" t="s">
        <v>19</v>
      </c>
      <c r="F1823" s="9" t="s">
        <v>20</v>
      </c>
      <c r="G1823" s="9" t="s">
        <v>524</v>
      </c>
      <c r="H1823" s="8" t="s">
        <v>8171</v>
      </c>
      <c r="I1823" s="8" t="s">
        <v>8172</v>
      </c>
      <c r="J1823" s="9">
        <v>21.0</v>
      </c>
      <c r="K1823" s="9">
        <v>5.0</v>
      </c>
      <c r="L1823" s="8" t="s">
        <v>1206</v>
      </c>
      <c r="M1823" s="8" t="s">
        <v>8173</v>
      </c>
      <c r="N1823" s="7" t="str">
        <f>IFERROR(__xludf.DUMMYFUNCTION("GOOGLETRANSLATE(L1823, ""en"", ""pt"")"),"Servidor")</f>
        <v>Servidor</v>
      </c>
      <c r="O1823" s="7" t="str">
        <f>IFERROR(__xludf.DUMMYFUNCTION("IF(M1823="""","""",GOOGLETRANSLATE(M1823,""en"",""pt""))"),"Receber pedidos, servir comidas e bebidas aos clientes. Limpar e arrumar as mesas. Receber pagamentos e entregar recibos. Manter todos os postos de trabalho abastecidos e realizar todos os demais serviços relacionados ao atendimento. (5) vagas disponíveis"&amp;". Período: 01/10/2026 a 31/05/2027. Necessário 3 meses de experiência. Turnos rotativos. Dias de trabalho: segunda a domingo. Horário de trabalho: 6h às 22h. Salário: US$ 21 a US$ 25 por hora, com base no desempenho; US$ 31,50 a US$ 37,50 por hora em hora"&amp;"s extras. Pagamento quinzenal. 35 horas semanais. Alojamento opcional disponível por US$ 100 por semana, com depósito reembolsável de US$ 350. Uniformes fornecidos. Local de trabalho: 6160 S.W. Thistle Terrace, Palm City, Flórida 34990. Trabalho temporári"&amp;"o em tempo integral. O salário será calculado com base em uma única semana de trabalho. Possibilidade de até 10 horas extras, quando disponíveis. Todos os descontos exigidos por lei serão feitos no contracheque do trabalhador. O empregador fornecerá aos t"&amp;"rabalhadores, sem custos, todas as ferramentas, suprimentos e equipamentos necessários para a execução do trabalho. O trabalhador receberá ou será reembolsado pelo transporte e subsistência (incluindo o custo razoável de hospedagem noturna, quando necessá"&amp;"rio, até US$ 110 por noite, mediante apresentação de recibos) à taxa de US$ 16,78 por dia durante o deslocamento, até um máximo de US$ 68,00 por dia, mediante apresentação de recibos, desde o local de origem do trabalhador, seja nos EUA ou no exterior, at"&amp;"é o local de trabalho, caso o trabalhador complete 50% do período de trabalho abrangido pela ordem de serviço, em conformidade com 20 CFR 655.20(j)(1)(i), mediante inclusão no pagamento da semana correspondente. O empregador fornecerá ou pagará o custo do"&amp;" transporte de retorno e da subsistência diária do trabalhador, do local de trabalho até o local de onde o trabalhador, independentemente de empregos intermediários, partiu para trabalhar para o empregador, se o trabalhador completar o período de emprego "&amp;"certificado ou for demitido do emprego por qualquer motivo pelo empregador antes do final do período, de acordo com o § 655.20(j)(1)(ii); os trabalhadores H-2B serão reembolsados ​​na primeira semana de trabalho por todos os vistos, processamento de visto"&amp;"s, travessia de fronteira e outras taxas relacionadas, incluindo aquelas exigidas pelo governo (excluindo taxas de passaporte). O empregador fornecerá aos trabalhadores todas as ferramentas, suprimentos e equipamentos necessários para o desempenho do trab"&amp;"alho, sem custo para o trabalhador, de acordo com 20 CFR 655.20(k). Os candidatos qualificados podem enviar o currículo para Jessica Roy, no endereço 6160 S.W. Thistle Terrace, Palm City, Flórida 34990, envie um e-mail para jobs@piperslanding.com ou visit"&amp;"e o centro de empregos local em 2400 SE Salerno Rd, Stuart, FL 34997. *Seu depósito de segurança é reembolsável após a conclusão do contrato e a inspeção da moradia. Se um trabalhador abandonar o emprego sem a permissão do empregador ou abandonar a moradi"&amp;"a antes do término do prazo de solicitação por qualquer motivo, exceto rescisão por parte do empregador, o trabalhador perderá todos os depósitos de moradia, dias de folga remunerada, férias e bônus. Após a rescisão ou demissão, o trabalhador deverá desoc"&amp;"upar a moradia imediatamente, a menos que haja acordo com o empregador.* Classificação do Cargo: 35-3031.00 - Garçons e Garçonetes. A classificação e descrição do cargo/setor incluem informações gerais sobre a posição, de acordo com o ONET/OES e o Sistema"&amp;" de Classificação Industrial da América do Norte. Consulte as Funções e a Ordem de Serviço para obter mais informações. Requisitos da vaga Experiência necessária: Sim Meses de experiência necessários: 3 Número de horas por semana: 35 Horário de trabalho ("&amp;"início/término): 6h às 22h")</f>
        <v>Receber pedidos, servir comidas e bebidas aos clientes. Limpar e arrumar as mesas. Receber pagamentos e entregar recibos. Manter todos os postos de trabalho abastecidos e realizar todos os demais serviços relacionados ao atendimento. (5) vagas disponíveis. Período: 01/10/2026 a 31/05/2027. Necessário 3 meses de experiência. Turnos rotativos. Dias de trabalho: segunda a domingo. Horário de trabalho: 6h às 22h. Salário: US$ 21 a US$ 25 por hora, com base no desempenho; US$ 31,50 a US$ 37,50 por hora em horas extras. Pagamento quinzenal. 35 horas semanais. Alojamento opcional disponível por US$ 100 por semana, com depósito reembolsável de US$ 350. Uniformes fornecidos. Local de trabalho: 6160 S.W. Thistle Terrace, Palm City, Flórida 34990. Trabalho temporário em tempo integral. O salário será calculado com base em uma única semana de trabalho. Possibilidade de até 10 horas extras, quando disponíveis. Todos os descontos exigidos por lei serão feitos no contracheque do trabalhador. O empregador fornecerá aos trabalhadores, sem custos, todas as ferramentas, suprimentos e equipamentos necessários para a execução do trabalho. O trabalhador receberá ou será reembolsado pelo transporte e subsistência (incluindo o custo razoável de hospedagem noturna, quando necessário, até US$ 110 por noite, mediante apresentação de recibos) à taxa de US$ 16,78 por dia durante o deslocamento, até um máximo de US$ 68,00 por dia, mediante apresentação de recibos, desde o local de origem do trabalhador, seja nos EUA ou no exterior, até o local de trabalho, caso o trabalhador complete 50% do período de trabalho abrangido pela ordem de serviço, em conformidade com 20 CFR 655.20(j)(1)(i), mediante inclusão no pagamento da semana correspondente. O empregador fornecerá ou pagará o custo do transporte de retorno e da subsistência diária do trabalhador, do local de trabalho até o local de onde o trabalhador, independentemente de empregos intermediários, partiu para trabalhar para o empregador, se o trabalhador completar o período de emprego certificado ou for demitido do emprego por qualquer motivo pelo empregador antes do final do período, de acordo com o § 655.20(j)(1)(ii); os trabalhadores H-2B serão reembolsados ​​na primeira semana de trabalho por todos os vistos, processamento de vistos, travessia de fronteira e outras taxas relacionadas, incluindo aquelas exigidas pelo governo (excluindo taxas de passaporte). O empregador fornecerá aos trabalhadores todas as ferramentas, suprimentos e equipamentos necessários para o desempenho do trabalho, sem custo para o trabalhador, de acordo com 20 CFR 655.20(k). Os candidatos qualificados podem enviar o currículo para Jessica Roy, no endereço 6160 S.W. Thistle Terrace, Palm City, Flórida 34990, envie um e-mail para jobs@piperslanding.com ou visite o centro de empregos local em 2400 SE Salerno Rd, Stuart, FL 34997. *Seu depósito de segurança é reembolsável após a conclusão do contrato e a inspeção da moradia. Se um trabalhador abandonar o emprego sem a permissão do empregador ou abandonar a moradia antes do término do prazo de solicitação por qualquer motivo, exceto rescisão por parte do empregador, o trabalhador perderá todos os depósitos de moradia, dias de folga remunerada, férias e bônus. Após a rescisão ou demissão, o trabalhador deverá desocupar a moradia imediatamente, a menos que haja acordo com o empregador.* Classificação do Cargo: 35-3031.00 - Garçons e Garçonetes. A classificação e descrição do cargo/setor incluem informações gerais sobre a posição, de acordo com o ONET/OES e o Sistema de Classificação Industrial da América do Norte. Consulte as Funções e a Ordem de Serviço para obter mais informações. Requisitos da vaga Experiência necessária: Sim Meses de experiência necessários: 3 Número de horas por semana: 35 Horário de trabalho (início/término): 6h às 22h</v>
      </c>
    </row>
    <row r="1824" ht="20.25" customHeight="1">
      <c r="A1824" s="3" t="s">
        <v>8174</v>
      </c>
      <c r="B1824" s="3" t="s">
        <v>8170</v>
      </c>
      <c r="C1824" s="3" t="s">
        <v>197</v>
      </c>
      <c r="D1824" s="3" t="s">
        <v>71</v>
      </c>
      <c r="E1824" s="4" t="s">
        <v>19</v>
      </c>
      <c r="F1824" s="4" t="s">
        <v>20</v>
      </c>
      <c r="G1824" s="4" t="s">
        <v>524</v>
      </c>
      <c r="H1824" s="3" t="s">
        <v>8171</v>
      </c>
      <c r="I1824" s="3" t="s">
        <v>8172</v>
      </c>
      <c r="J1824" s="4">
        <v>20.0</v>
      </c>
      <c r="K1824" s="4">
        <v>4.0</v>
      </c>
      <c r="L1824" s="3" t="s">
        <v>387</v>
      </c>
      <c r="M1824" s="3" t="s">
        <v>8175</v>
      </c>
      <c r="N1824" s="7" t="str">
        <f>IFERROR(__xludf.DUMMYFUNCTION("GOOGLETRANSLATE(L1824, ""en"", ""pt"")"),"Ordem de serviço não disponível")</f>
        <v>Ordem de serviço não disponível</v>
      </c>
      <c r="O1824" s="7" t="str">
        <f>IFERROR(__xludf.DUMMYFUNCTION("IF(M1824="""","""",GOOGLETRANSLATE(M1824,""en"",""pt""))"),"Preparar, cozinhar, refogar, grelhar e fritar itens como frutos do mar, carnes, aves, legumes, massas e sopas. Manter as áreas da cozinha limpas e higienizadas. Armazenar todos os produtos em locais adequados e realizar todos os demais serviços relacionad"&amp;"os à cozinha. (4) vagas disponíveis. Período: 01/10/2026 a 31/05/2027. Necessário 3 meses de experiência. Turnos rotativos. Dias de trabalho: segunda a domingo. Horário de trabalho: 6h às 22h. Salário: US$ 20 a US$ 24 por hora, com base no desempenho; US$"&amp;" 30 a US$ 36 por hora para horas extras. Pagamento quinzenal. 35 horas semanais. Alojamento opcional disponível por US$ 100 por semana, com um depósito reembolsável de US$ 350. Uniformes fornecidos. Local de trabalho: 6160 S.W. Thistle Terrace, Palm City,"&amp;" Flórida 34990. Trabalho temporário em tempo integral. O salário será calculado com base em uma única semana de trabalho. Possibilidade de até 10 horas extras, quando disponíveis. Todas as deduções do salário do trabalhador exigidas por lei serão feitas. "&amp;"O empregador fornecerá aos trabalhadores, sem custo algum, todas as ferramentas, suprimentos e equipamentos necessários para a execução do trabalho. O trabalhador receberá ou será reembolsado pelo transporte e subsistência (incluindo o custo razoável de h"&amp;"ospedagem noturna, quando necessário, até US$ 110 por noite, mediante apresentação de recibos) à taxa de US$ 16,78 por dia durante o deslocamento, até um máximo de US$ 68,00 por dia, mediante apresentação de recibos, desde o local de origem do trabalhador"&amp;", seja nos EUA ou no exterior, até o local de trabalho, caso o trabalhador complete 50% do período de trabalho coberto pela ordem de serviço, em conformidade com 20 CFR 655.20(j)(1)(i), mediante inclusão no salário da semana correspondente. O empregador f"&amp;"ornecerá ou pagará o custo do transporte de retorno e da subsistência diária do trabalhador, do local de trabalho até o local de onde o trabalhador, independentemente de empregos intermediários, partiu para trabalhar para o empregador, se o trabalhador co"&amp;"mpletar o período de emprego certificado ou for demitido do emprego por qualquer motivo pelo empregador antes do final do período, de acordo com o § 655.20(j)(1)(ii); os trabalhadores H-2B serão reembolsados ​​na primeira semana de trabalho por todos os v"&amp;"istos, processamento de vistos, travessia de fronteira e outras taxas relacionadas, incluindo aquelas exigidas pelo governo (excluindo taxas de passaporte). O empregador fornecerá aos trabalhadores todas as ferramentas, suprimentos e equipamentos necessár"&amp;"ios para o desempenho do trabalho, sem custo para o trabalhador, de acordo com 20 CFR 655.20(k). Os candidatos qualificados podem enviar o currículo para Jessica Roy, no endereço 6160 S.W. Thistle Terrace, Palm City, Flórida 34990, envie um e-mail para jo"&amp;"bs@piperslanding.com ou visite o centro de empregos local em 2400 SE Salerno Rd, Stuart, FL 34997. *Seu depósito de segurança é reembolsável após a conclusão do contrato e a inspeção da moradia. Se um trabalhador abandonar o emprego sem a permissão do emp"&amp;"regador ou abandonar a moradia antes do término do prazo de solicitação por qualquer motivo, exceto rescisão por parte do empregador, o trabalhador perderá todos os depósitos de moradia, dias de folga remunerada, férias e bônus. Após a rescisão ou demissã"&amp;"o, o trabalhador deverá desocupar a moradia imediatamente, a menos que haja acordo com o empregador.* Classificação do Cargo: 35-2014.00 - Cozinheiros, Restaurante. A classificação e descrição do cargo/setor incluem informações gerais sobre a posição, de "&amp;"acordo com o ONET/OES e o Sistema de Classificação Industrial da América do Norte. Consulte as Funções e a Ordem de Serviço para obter mais informações. Requisitos da vaga Experiência necessária: Sim Meses de experiência necessários: 3 Número de horas por"&amp;" semana: 35 Horário de trabalho (início/término): 6h às 22h")</f>
        <v>Preparar, cozinhar, refogar, grelhar e fritar itens como frutos do mar, carnes, aves, legumes, massas e sopas. Manter as áreas da cozinha limpas e higienizadas. Armazenar todos os produtos em locais adequados e realizar todos os demais serviços relacionados à cozinha. (4) vagas disponíveis. Período: 01/10/2026 a 31/05/2027. Necessário 3 meses de experiência. Turnos rotativos. Dias de trabalho: segunda a domingo. Horário de trabalho: 6h às 22h. Salário: US$ 20 a US$ 24 por hora, com base no desempenho; US$ 30 a US$ 36 por hora para horas extras. Pagamento quinzenal. 35 horas semanais. Alojamento opcional disponível por US$ 100 por semana, com um depósito reembolsável de US$ 350. Uniformes fornecidos. Local de trabalho: 6160 S.W. Thistle Terrace, Palm City, Flórida 34990. Trabalho temporário em tempo integral. O salário será calculado com base em uma única semana de trabalho. Possibilidade de até 10 horas extras, quando disponíveis. Todas as deduções do salário do trabalhador exigidas por lei serão feitas. O empregador fornecerá aos trabalhadores, sem custo algum, todas as ferramentas, suprimentos e equipamentos necessários para a execução do trabalho. O trabalhador receberá ou será reembolsado pelo transporte e subsistência (incluindo o custo razoável de hospedagem noturna, quando necessário, até US$ 110 por noite, mediante apresentação de recibos) à taxa de US$ 16,78 por dia durante o deslocamento, até um máximo de US$ 68,00 por dia, mediante apresentação de recibos, desde o local de origem do trabalhador, seja nos EUA ou no exterior, até o local de trabalho, caso o trabalhador complete 50% do período de trabalho coberto pela ordem de serviço, em conformidade com 20 CFR 655.20(j)(1)(i), mediante inclusão no salário da semana correspondente. O empregador fornecerá ou pagará o custo do transporte de retorno e da subsistência diária do trabalhador, do local de trabalho até o local de onde o trabalhador, independentemente de empregos intermediários, partiu para trabalhar para o empregador, se o trabalhador completar o período de emprego certificado ou for demitido do emprego por qualquer motivo pelo empregador antes do final do período, de acordo com o § 655.20(j)(1)(ii); os trabalhadores H-2B serão reembolsados ​​na primeira semana de trabalho por todos os vistos, processamento de vistos, travessia de fronteira e outras taxas relacionadas, incluindo aquelas exigidas pelo governo (excluindo taxas de passaporte). O empregador fornecerá aos trabalhadores todas as ferramentas, suprimentos e equipamentos necessários para o desempenho do trabalho, sem custo para o trabalhador, de acordo com 20 CFR 655.20(k). Os candidatos qualificados podem enviar o currículo para Jessica Roy, no endereço 6160 S.W. Thistle Terrace, Palm City, Flórida 34990, envie um e-mail para jobs@piperslanding.com ou visite o centro de empregos local em 2400 SE Salerno Rd, Stuart, FL 34997. *Seu depósito de segurança é reembolsável após a conclusão do contrato e a inspeção da moradia. Se um trabalhador abandonar o emprego sem a permissão do empregador ou abandonar a moradia antes do término do prazo de solicitação por qualquer motivo, exceto rescisão por parte do empregador, o trabalhador perderá todos os depósitos de moradia, dias de folga remunerada, férias e bônus. Após a rescisão ou demissão, o trabalhador deverá desocupar a moradia imediatamente, a menos que haja acordo com o empregador.* Classificação do Cargo: 35-2014.00 - Cozinheiros, Restaurante. A classificação e descrição do cargo/setor incluem informações gerais sobre a posição, de acordo com o ONET/OES e o Sistema de Classificação Industrial da América do Norte. Consulte as Funções e a Ordem de Serviço para obter mais informações. Requisitos da vaga Experiência necessária: Sim Meses de experiência necessários: 3 Número de horas por semana: 35 Horário de trabalho (início/término): 6h às 22h</v>
      </c>
    </row>
    <row r="1825" ht="20.25" customHeight="1">
      <c r="A1825" s="8" t="s">
        <v>8176</v>
      </c>
      <c r="B1825" s="8" t="s">
        <v>8177</v>
      </c>
      <c r="C1825" s="8" t="s">
        <v>197</v>
      </c>
      <c r="D1825" s="8" t="s">
        <v>71</v>
      </c>
      <c r="E1825" s="9" t="s">
        <v>19</v>
      </c>
      <c r="F1825" s="9" t="s">
        <v>20</v>
      </c>
      <c r="G1825" s="9" t="s">
        <v>524</v>
      </c>
      <c r="H1825" s="8" t="s">
        <v>8178</v>
      </c>
      <c r="I1825" s="8" t="s">
        <v>8179</v>
      </c>
      <c r="J1825" s="9">
        <v>18.75</v>
      </c>
      <c r="K1825" s="9">
        <v>6.0</v>
      </c>
      <c r="L1825" s="8" t="s">
        <v>201</v>
      </c>
      <c r="M1825" s="8" t="s">
        <v>8180</v>
      </c>
      <c r="N1825" s="7" t="str">
        <f>IFERROR(__xludf.DUMMYFUNCTION("GOOGLETRANSLATE(L1825, ""en"", ""pt"")"),"Servidores")</f>
        <v>Servidores</v>
      </c>
      <c r="O1825" s="7" t="str">
        <f>IFERROR(__xludf.DUMMYFUNCTION("IF(M1825="""","""",GOOGLETRANSLATE(M1825,""en"",""pt""))"),"Recepcionar os clientes nas áreas de refeições e recepção, apresentar os cardápios e anotar os pedidos de comida e bebida. Servir comida e bebida aos clientes nos salões de jantar, áreas de convivência e áreas externas. Levar os pratos da cozinha e das ár"&amp;"eas de serviço às mesas de forma ágil. Limpar, arrumar e preparar as mesas para o atendimento contínuo aos clientes. Manter a limpeza e o estoque de utensílios e suprimentos nos postos de serviço, áreas de refeições e instalações de serviço. Processar os "&amp;"pagamentos dos clientes utilizando o sistema de ponto de venda (PDV) e seguir os padrões de atendimento ao cliente. Os garçons/garçonetes trabalharão em um rancho esportivo privado e pousada de caça que oferece serviços de alimentação e hospedagem aos hós"&amp;"pedes. (6) vagas disponíveis. Período: 01/10/2026 a 31/05/2027. Necessária experiência de 3 meses. Turnos rotativos. Dias de trabalho: segunda a domingo. Horário de trabalho: 6h às 22h. Salário: US$ 15 a US$ 23 por hora, mais gorjetas, mas não menos que U"&amp;"S$ 18,75 por hora, US$ 28,13 por hora para horas extras. Pagamento quinzenal. 35 horas semanais. Alojamento opcional incluído mediante um depósito de $500 (reembolsável $350/não reembolsável $150) após a conclusão do contrato e inspeção do alojamento. Uni"&amp;"formes e refeições durante o turno fornecidos. Local de trabalho: 12399 NE 224th Street, Okeechobee, FL 34972. Trabalho temporário em tempo integral. O salário será calculado com base em uma semana de trabalho. Possibilidade de até 10 horas extras, quando"&amp;" disponíveis. Todos os descontos obrigatórios por lei serão feitos no contracheque do trabalhador. O empregador fornecerá gratuitamente aos trabalhadores todas as ferramentas, materiais e equipamentos necessários para a execução do trabalho. O trabalhador"&amp;" receberá ou será reembolsado pelo transporte e subsistência (incluindo o custo razoável de hospedagem noturna, quando necessário, até US$ 110/noite para hospedagem com recibos) a uma taxa de US$ 16,78 por dia durante a viagem, até um máximo de US$ 68,00 "&amp;"por dia com recibos, desde o local de onde o trabalhador veio trabalhar para o empregador, seja nos EUA ou no exterior, até o local de trabalho, se o trabalhador completar 50% do período de emprego coberto pela ordem de serviço, de acordo com 20 CFR 655.2"&amp;"0(j)(1)(i), mediante inclusão no pagamento da semana aplicável. O empregador fornecerá ou pagará o custo do transporte de retorno e da subsistência diária do trabalhador, do local de trabalho até o local de onde o trabalhador partiu para trabalhar para o "&amp;"empregador, independentemente de empregos intermediários, caso o trabalhador complete o período de emprego certificado ou seja demitido do emprego por qualquer motivo pelo empregador antes do término do período, de acordo com o § 655.20(j)(1)(ii); os trab"&amp;"alhadores com visto H-2B serão reembolsados ​​na primeira semana de trabalho por todos os vistos, processamento de vistos, travessia de fronteira e outras taxas relacionadas, incluindo aquelas exigidas pelo governo (exceto taxas de passaporte). O empregad"&amp;"or fornecerá aos trabalhadores todas as ferramentas, suprimentos e equipamentos necessários para o desempenho do trabalho, sem custo para o trabalhador, de acordo com o 20 CFR 655.20(k). Os candidatos qualificados podem enviar o currículo para George Carm"&amp;"ichael, no endereço 12399 NE 224th Street, Okeechobee, FL 34972, por e-mail para H2BJobs@qcsportingranch.com ou visitar o centro de empregos local em 207 SW Park Street, Okeechobee, FL 34972. *Seu depósito de segurança será reembolsado após a conclusão do"&amp;" contrato e a inspeção da moradia. Se um trabalhador abandonar o emprego sem a permissão do empregador ou abandonar a moradia antes do término do prazo de inscrição por qualquer motivo, exceto rescisão por parte do empregador, o trabalhador perderá todos "&amp;"os depósitos de moradia, dias de folga remunerada, férias e bônus. Após a rescisão ou demissão, o trabalhador deverá desocupar a moradia imediatamente, a menos que haja acordo com o empregador.* Classificação da vaga: 35-3031.00 - Garçons e Garçonetes. A "&amp;"classificação e descrição da vaga/setor incluem informações gerais sobre o cargo, de acordo com o ONET/OES e o Sistema de Classificação Industrial da América do Norte. Consulte a Descrição das Funções e a Ordem de Serviço para obter mais informações. Requ"&amp;"isitos da Vaga Experiência Necessária: Sim Meses de Experiência Necessária: 3 Número de Horas por Semana: 35 Horário de Trabalho (Início/Término): 6h00 - 22h00")</f>
        <v>Recepcionar os clientes nas áreas de refeições e recepção, apresentar os cardápios e anotar os pedidos de comida e bebida. Servir comida e bebida aos clientes nos salões de jantar, áreas de convivência e áreas externas. Levar os pratos da cozinha e das áreas de serviço às mesas de forma ágil. Limpar, arrumar e preparar as mesas para o atendimento contínuo aos clientes. Manter a limpeza e o estoque de utensílios e suprimentos nos postos de serviço, áreas de refeições e instalações de serviço. Processar os pagamentos dos clientes utilizando o sistema de ponto de venda (PDV) e seguir os padrões de atendimento ao cliente. Os garçons/garçonetes trabalharão em um rancho esportivo privado e pousada de caça que oferece serviços de alimentação e hospedagem aos hóspedes. (6) vagas disponíveis. Período: 01/10/2026 a 31/05/2027. Necessária experiência de 3 meses. Turnos rotativos. Dias de trabalho: segunda a domingo. Horário de trabalho: 6h às 22h. Salário: US$ 15 a US$ 23 por hora, mais gorjetas, mas não menos que US$ 18,75 por hora, US$ 28,13 por hora para horas extras. Pagamento quinzenal. 35 horas semanais. Alojamento opcional incluído mediante um depósito de $500 (reembolsável $350/não reembolsável $150) após a conclusão do contrato e inspeção do alojamento. Uniformes e refeições durante o turno fornecidos. Local de trabalho: 12399 NE 224th Street, Okeechobee, FL 34972. Trabalho temporário em tempo integral. O salário será calculado com base em uma semana de trabalho. Possibilidade de até 10 horas extras, quando disponíveis. Todos os descontos obrigatórios por lei serão feitos no contracheque do trabalhador. O empregador fornecerá gratuitamente aos trabalhadores todas as ferramentas, materiais e equipamentos necessários para a execução do trabalho. O trabalhador receberá ou será reembolsado pelo transporte e subsistência (incluindo o custo razoável de hospedagem noturna, quando necessário, até US$ 110/noite para hospedagem com recibos) a uma taxa de US$ 16,78 por dia durante a viagem, até um máximo de US$ 68,00 por dia com recibos, desde o local de onde o trabalhador veio trabalhar para o empregador, seja nos EUA ou no exterior, até o local de trabalho, se o trabalhador completar 50% do período de emprego coberto pela ordem de serviço, de acordo com 20 CFR 655.20(j)(1)(i), mediante inclusão no pagamento da semana aplicável. O empregador fornecerá ou pagará o custo do transporte de retorno e da subsistência diária do trabalhador, do local de trabalho até o local de onde o trabalhador partiu para trabalhar para o empregador, independentemente de empregos intermediários, caso o trabalhador complete o período de emprego certificado ou seja demitido do emprego por qualquer motivo pelo empregador antes do término do período, de acordo com o § 655.20(j)(1)(ii); os trabalhadores com visto H-2B serão reembolsados ​​na primeira semana de trabalho por todos os vistos, processamento de vistos, travessia de fronteira e outras taxas relacionadas, incluindo aquelas exigidas pelo governo (exceto taxas de passaporte). O empregador fornecerá aos trabalhadores todas as ferramentas, suprimentos e equipamentos necessários para o desempenho do trabalho, sem custo para o trabalhador, de acordo com o 20 CFR 655.20(k). Os candidatos qualificados podem enviar o currículo para George Carmichael, no endereço 12399 NE 224th Street, Okeechobee, FL 34972, por e-mail para H2BJobs@qcsportingranch.com ou visitar o centro de empregos local em 207 SW Park Street, Okeechobee, FL 34972. *Seu depósito de segurança será reembolsado após a conclusão do contrato e a inspeção da moradia. Se um trabalhador abandonar o emprego sem a permissão do empregador ou abandonar a moradia antes do término do prazo de inscrição por qualquer motivo, exceto rescisão por parte do empregador, o trabalhador perderá todos os depósitos de moradia, dias de folga remunerada, férias e bônus. Após a rescisão ou demissão, o trabalhador deverá desocupar a moradia imediatamente, a menos que haja acordo com o empregador.* Classificação da vaga: 35-3031.00 - Garçons e Garçonetes. A classificação e descrição da vaga/setor incluem informações gerais sobre o cargo, de acordo com o ONET/OES e o Sistema de Classificação Industrial da América do Norte. Consulte a Descrição das Funções e a Ordem de Serviço para obter mais informações. Requisitos da Vaga Experiência Necessária: Sim Meses de Experiência Necessária: 3 Número de Horas por Semana: 35 Horário de Trabalho (Início/Término): 6h00 - 22h00</v>
      </c>
    </row>
    <row r="1826" ht="20.25" customHeight="1">
      <c r="A1826" s="3" t="s">
        <v>8181</v>
      </c>
      <c r="B1826" s="3" t="s">
        <v>8177</v>
      </c>
      <c r="C1826" s="3" t="s">
        <v>197</v>
      </c>
      <c r="D1826" s="3" t="s">
        <v>71</v>
      </c>
      <c r="E1826" s="4" t="s">
        <v>44</v>
      </c>
      <c r="F1826" s="4" t="s">
        <v>20</v>
      </c>
      <c r="G1826" s="4" t="s">
        <v>524</v>
      </c>
      <c r="H1826" s="3" t="s">
        <v>8178</v>
      </c>
      <c r="I1826" s="3" t="s">
        <v>8179</v>
      </c>
      <c r="J1826" s="4">
        <v>20.0</v>
      </c>
      <c r="K1826" s="4">
        <v>4.0</v>
      </c>
      <c r="L1826" s="3" t="s">
        <v>387</v>
      </c>
      <c r="M1826" s="3" t="s">
        <v>8182</v>
      </c>
      <c r="N1826" s="7" t="str">
        <f>IFERROR(__xludf.DUMMYFUNCTION("GOOGLETRANSLATE(L1826, ""en"", ""pt"")"),"Ordem de serviço não disponível")</f>
        <v>Ordem de serviço não disponível</v>
      </c>
      <c r="O1826" s="7" t="str">
        <f>IFERROR(__xludf.DUMMYFUNCTION("IF(M1826="""","""",GOOGLETRANSLATE(M1826,""en"",""pt""))"),"Preparar, cozinhar, refogar, grelhar e fritar itens como frutos do mar, carnes, aves, legumes, massas e sopas. Manter as áreas da cozinha limpas e higienizadas. Armazenar todos os produtos em locais adequados e realizar todos os demais serviços relacionad"&amp;"os à cozinha. (4) vagas disponíveis. Período: 01/10/2026 a 31/05/2027. Necessário 3 meses de experiência. Turnos rotativos. Dias de trabalho: segunda a domingo. Horário de trabalho: 6h às 22h. Salário: US$ 20 a US$ 24 por hora, com base no desempenho; US$"&amp;" 30 a US$ 36 por hora para horas extras. Pagamento quinzenal. 35 horas semanais. Alojamento opcional incluso mediante depósito de US$ 500 (US$ 350 reembolsáveis/US$ 150 não reembolsáveis) após a conclusão do contrato e inspeção do imóvel. Uniformes e refe"&amp;"ições durante o turno fornecidos. Local de trabalho: 12399 NE 224th Street, Okeechobee, FL 34972. Trabalho temporário em tempo integral. Uma única semana de trabalho será utilizada para calcular os salários. O trabalhador poderá receber até 10 horas extra"&amp;"s, quando disponíveis. Todas as deduções exigidas por lei serão feitas no contracheque do trabalhador. O empregador fornecerá ao trabalhador, sem custos, todas as ferramentas, suprimentos e equipamentos necessários para a execução do trabalho. O trabalhad"&amp;"or receberá ou será reembolsado pelas despesas de transporte e subsistência (incluindo o custo razoável de hospedagem, quando necessário, até US$ 110 por noite, mediante apresentação de recibos) à taxa de US$ 16,78 por dia durante o deslocamento, até um m"&amp;"áximo de US$ 68,00 por dia, mediante apresentação de recibos, desde o local de origem do trabalhador, seja nos EUA ou no exterior, até o local de trabalho, caso o trabalhador complete 50% do período de trabalho coberto pela ordem de serviço, em conformida"&amp;"de com 20 CFR 655.20(j)(1)(i), mediante inclusão no contracheque da semana correspondente. O empregador fornecerá ou pagará o custo do transporte de retorno e da subsistência diária do trabalhador, do local de trabalho até o local de onde o trabalhador pa"&amp;"rtiu para trabalhar para o empregador, independentemente de empregos intermediários, caso o trabalhador complete o período de emprego certificado ou seja demitido do emprego por qualquer motivo pelo empregador antes do término do período, de acordo com o "&amp;"§ 655.20(j)(1)(ii); os trabalhadores com visto H-2B serão reembolsados ​​na primeira semana de trabalho por todos os vistos, processamento de vistos, travessia de fronteira e outras taxas relacionadas, incluindo aquelas exigidas pelo governo (exceto taxas"&amp;" de passaporte). O empregador fornecerá aos trabalhadores todas as ferramentas, suprimentos e equipamentos necessários para o desempenho do trabalho, sem custo para o trabalhador, de acordo com o 20 CFR 655.20(k). Os candidatos qualificados podem enviar o"&amp;" currículo para George Carmichael, no endereço 12399 NE 224th Street, Okeechobee, FL 34972, por e-mail para H2BJobs@qcsportingranch.com ou visitar o centro de empregos local em 207 SW Park Street, Okeechobee, FL 34972. *Seu depósito de segurança será reem"&amp;"bolsado após a conclusão do contrato e a inspeção da moradia. Se um trabalhador abandonar o emprego sem a permissão do empregador ou abandonar a moradia antes do término do prazo de inscrição por qualquer motivo, exceto rescisão por parte do empregador, o"&amp;" trabalhador perderá todos os depósitos de moradia, dias de folga remunerada, férias e bônus. Após a rescisão ou demissão, o trabalhador deverá desocupar a moradia imediatamente, a menos que haja acordo com o empregador.* Classificação do Cargo: 35-2014.0"&amp;"0 - Cozinheiros, Restaurante. A classificação e a descrição do cargo/setor incluem informações gerais sobre a posição, de acordo com o ONET/OES e o Sistema de Classificação Industrial da América do Norte. Consulte as Funções e a Ordem de Serviço para obte"&amp;"r mais informações. Requisitos da vaga Experiência necessária: Sim Meses de experiência necessários: 3 Número de horas por semana: 35 Horário de trabalho (início/término): 6h às 22h")</f>
        <v>Preparar, cozinhar, refogar, grelhar e fritar itens como frutos do mar, carnes, aves, legumes, massas e sopas. Manter as áreas da cozinha limpas e higienizadas. Armazenar todos os produtos em locais adequados e realizar todos os demais serviços relacionados à cozinha. (4) vagas disponíveis. Período: 01/10/2026 a 31/05/2027. Necessário 3 meses de experiência. Turnos rotativos. Dias de trabalho: segunda a domingo. Horário de trabalho: 6h às 22h. Salário: US$ 20 a US$ 24 por hora, com base no desempenho; US$ 30 a US$ 36 por hora para horas extras. Pagamento quinzenal. 35 horas semanais. Alojamento opcional incluso mediante depósito de US$ 500 (US$ 350 reembolsáveis/US$ 150 não reembolsáveis) após a conclusão do contrato e inspeção do imóvel. Uniformes e refeições durante o turno fornecidos. Local de trabalho: 12399 NE 224th Street, Okeechobee, FL 34972. Trabalho temporário em tempo integral. Uma única semana de trabalho será utilizada para calcular os salários. O trabalhador poderá receber até 10 horas extras, quando disponíveis. Todas as deduções exigidas por lei serão feitas no contracheque do trabalhador. O empregador fornecerá ao trabalhador, sem custos, todas as ferramentas, suprimentos e equipamentos necessários para a execução do trabalho. O trabalhador receberá ou será reembolsado pelas despesas de transporte e subsistência (incluindo o custo razoável de hospedagem, quando necessário, até US$ 110 por noite, mediante apresentação de recibos) à taxa de US$ 16,78 por dia durante o deslocamento, até um máximo de US$ 68,00 por dia, mediante apresentação de recibos, desde o local de origem do trabalhador, seja nos EUA ou no exterior, até o local de trabalho, caso o trabalhador complete 50% do período de trabalho coberto pela ordem de serviço, em conformidade com 20 CFR 655.20(j)(1)(i), mediante inclusão no contracheque da semana correspondente. O empregador fornecerá ou pagará o custo do transporte de retorno e da subsistência diária do trabalhador, do local de trabalho até o local de onde o trabalhador partiu para trabalhar para o empregador, independentemente de empregos intermediários, caso o trabalhador complete o período de emprego certificado ou seja demitido do emprego por qualquer motivo pelo empregador antes do término do período, de acordo com o § 655.20(j)(1)(ii); os trabalhadores com visto H-2B serão reembolsados ​​na primeira semana de trabalho por todos os vistos, processamento de vistos, travessia de fronteira e outras taxas relacionadas, incluindo aquelas exigidas pelo governo (exceto taxas de passaporte). O empregador fornecerá aos trabalhadores todas as ferramentas, suprimentos e equipamentos necessários para o desempenho do trabalho, sem custo para o trabalhador, de acordo com o 20 CFR 655.20(k). Os candidatos qualificados podem enviar o currículo para George Carmichael, no endereço 12399 NE 224th Street, Okeechobee, FL 34972, por e-mail para H2BJobs@qcsportingranch.com ou visitar o centro de empregos local em 207 SW Park Street, Okeechobee, FL 34972. *Seu depósito de segurança será reembolsado após a conclusão do contrato e a inspeção da moradia. Se um trabalhador abandonar o emprego sem a permissão do empregador ou abandonar a moradia antes do término do prazo de inscrição por qualquer motivo, exceto rescisão por parte do empregador, o trabalhador perderá todos os depósitos de moradia, dias de folga remunerada, férias e bônus. Após a rescisão ou demissão, o trabalhador deverá desocupar a moradia imediatamente, a menos que haja acordo com o empregador.* Classificação do Cargo: 35-2014.00 - Cozinheiros, Restaurante. A classificação e a descrição do cargo/setor incluem informações gerais sobre a posição, de acordo com o ONET/OES e o Sistema de Classificação Industrial da América do Norte. Consulte as Funções e a Ordem de Serviço para obter mais informações. Requisitos da vaga Experiência necessária: Sim Meses de experiência necessários: 3 Número de horas por semana: 35 Horário de trabalho (início/término): 6h às 22h</v>
      </c>
    </row>
    <row r="1827" ht="20.25" customHeight="1">
      <c r="A1827" s="8" t="s">
        <v>8183</v>
      </c>
      <c r="B1827" s="8" t="s">
        <v>8184</v>
      </c>
      <c r="C1827" s="8" t="s">
        <v>6228</v>
      </c>
      <c r="D1827" s="8" t="s">
        <v>1031</v>
      </c>
      <c r="E1827" s="9" t="s">
        <v>19</v>
      </c>
      <c r="F1827" s="9" t="s">
        <v>20</v>
      </c>
      <c r="G1827" s="9" t="s">
        <v>307</v>
      </c>
      <c r="H1827" s="8" t="s">
        <v>8185</v>
      </c>
      <c r="I1827" s="8" t="s">
        <v>8186</v>
      </c>
      <c r="J1827" s="9">
        <v>34.21</v>
      </c>
      <c r="K1827" s="9">
        <v>30.0</v>
      </c>
      <c r="L1827" s="8" t="s">
        <v>6563</v>
      </c>
      <c r="M1827" s="8" t="s">
        <v>8187</v>
      </c>
      <c r="N1827" s="7" t="str">
        <f>IFERROR(__xludf.DUMMYFUNCTION("GOOGLETRANSLATE(L1827, ""en"", ""pt"")"),"Acabador de concreto")</f>
        <v>Acabador de concreto</v>
      </c>
      <c r="O1827" s="7" t="str">
        <f>IFERROR(__xludf.DUMMYFUNCTION("IF(M1827="""","""",GOOGLETRANSLATE(M1827,""en"",""pt""))"),"Os trabalhadores prepararão o canteiro de obras onde o concreto será despejado, assentando e alinhando as fôrmas que o conterão. Espalharão, nivelarão e alisarão o concreto usando grelhas, pás e ferramentas manuais. Desmontarão as fôrmas de concreto e lim"&amp;"parão o canteiro de obras. Prepararão as fôrmas para serem transportadas do canteiro de obras para o próximo local de trabalho. Classificação da função: 47-2051.00 - Pedreiros e Acabadores de Concreto. A classificação e descrição da função/setor incluem i"&amp;"nformações gerais sobre o cargo, de acordo com o ONET/OES e o Sistema de Classificação Industrial da América do Norte (NAICS). Consulte as Funções e a Ordem de Serviço para obter mais informações. Requisitos da função: Experiência necessária: Não. Requisi"&amp;"tos especiais: O trabalhador deve ser capaz de trabalhar em condições externas, levantar sacos pesados ​​de concreto de até 34 kg (75 lbs), passar em um teste antidrogas pré-admissional e em testes antidrogas aleatórios durante a contratação. O trabalhado"&amp;"r deve ser capaz de permanecer em pé por longos períodos e trabalhar de forma eficiente com as mãos, utilizando diversas ferramentas. Os trabalhadores estarão sujeitos a testes de drogas mediante suspeita razoável, pagos pelo empregador e aplicados igualm"&amp;"ente a todos os trabalhadores, americanos e estrangeiros/H-2B. Número de horas por semana: 40. Horário de trabalho (início/término): 6h às 16h.")</f>
        <v>Os trabalhadores prepararão o canteiro de obras onde o concreto será despejado, assentando e alinhando as fôrmas que o conterão. Espalharão, nivelarão e alisarão o concreto usando grelhas, pás e ferramentas manuais. Desmontarão as fôrmas de concreto e limparão o canteiro de obras. Prepararão as fôrmas para serem transportadas do canteiro de obras para o próximo local de trabalho. Classificação da função: 47-2051.00 - Pedreiros e Acabadores de Concreto. A classificação e descrição da função/setor incluem informações gerais sobre o cargo, de acordo com o ONET/OES e o Sistema de Classificação Industrial da América do Norte (NAICS). Consulte as Funções e a Ordem de Serviço para obter mais informações. Requisitos da função: Experiência necessária: Não. Requisitos especiais: O trabalhador deve ser capaz de trabalhar em condições externas, levantar sacos pesados ​​de concreto de até 34 kg (75 lbs), passar em um teste antidrogas pré-admissional e em testes antidrogas aleatórios durante a contratação. O trabalhador deve ser capaz de permanecer em pé por longos períodos e trabalhar de forma eficiente com as mãos, utilizando diversas ferramentas. Os trabalhadores estarão sujeitos a testes de drogas mediante suspeita razoável, pagos pelo empregador e aplicados igualmente a todos os trabalhadores, americanos e estrangeiros/H-2B. Número de horas por semana: 40. Horário de trabalho (início/término): 6h às 16h.</v>
      </c>
    </row>
    <row r="1828" ht="20.25" customHeight="1">
      <c r="A1828" s="3" t="s">
        <v>8188</v>
      </c>
      <c r="B1828" s="3" t="s">
        <v>8189</v>
      </c>
      <c r="C1828" s="3" t="s">
        <v>7651</v>
      </c>
      <c r="D1828" s="3" t="s">
        <v>71</v>
      </c>
      <c r="E1828" s="4" t="s">
        <v>19</v>
      </c>
      <c r="F1828" s="4" t="s">
        <v>20</v>
      </c>
      <c r="G1828" s="4" t="s">
        <v>524</v>
      </c>
      <c r="H1828" s="3" t="s">
        <v>8190</v>
      </c>
      <c r="I1828" s="3" t="s">
        <v>8191</v>
      </c>
      <c r="J1828" s="4">
        <v>16.29</v>
      </c>
      <c r="K1828" s="4">
        <v>30.0</v>
      </c>
      <c r="L1828" s="3" t="s">
        <v>8192</v>
      </c>
      <c r="M1828" s="3" t="s">
        <v>8193</v>
      </c>
      <c r="N1828" s="7" t="str">
        <f>IFERROR(__xludf.DUMMYFUNCTION("GOOGLETRANSLATE(L1828, ""en"", ""pt"")"),"Anfitrião - Anfitriã")</f>
        <v>Anfitrião - Anfitriã</v>
      </c>
      <c r="O1828" s="7" t="str">
        <f>IFERROR(__xludf.DUMMYFUNCTION("IF(M1828="""","""",GOOGLETRANSLATE(M1828,""en"",""pt""))"),"Recepciona e acompanha os clientes até as mesas, apresenta os cardápios e oferece um atendimento cortês. Auxilia na manutenção da limpeza das áreas de refeição e recepção, incluindo limpeza leve e polimento, conforme necessário. Coordena a disposição das "&amp;"mesas e auxilia a equipe do restaurante para garantir um atendimento eficiente aos clientes. Classificação da vaga: 35-9031.00 - Recepcionistas, Restaurante, Lounge e Cafeteria. A classificação e descrição da vaga/setor incluem informações gerais sobre o "&amp;"cargo, de acordo com o ONET/OES e o Sistema de Classificação Industrial da América do Norte (NAICS). Consulte as Funções e a Ordem de Serviço para obter mais informações. Requisitos da vaga: Experiência necessária: Sim. Meses de experiência necessários: 3"&amp;". Requisitos especiais: Recepciona, acompanha e entrega os cardápios aos clientes; auxilia em tarefas diversas de limpeza/polimento, etc., conforme necessário. Número de horas por semana: 40. Horário de trabalho (início/término): 8h às 16h.")</f>
        <v>Recepciona e acompanha os clientes até as mesas, apresenta os cardápios e oferece um atendimento cortês. Auxilia na manutenção da limpeza das áreas de refeição e recepção, incluindo limpeza leve e polimento, conforme necessário. Coordena a disposição das mesas e auxilia a equipe do restaurante para garantir um atendimento eficiente aos clientes. Classificação da vaga: 35-9031.00 - Recepcionistas, Restaurante, Lounge e Cafeteria. A classificação e descrição da vaga/setor incluem informações gerais sobre o cargo, de acordo com o ONET/OES e o Sistema de Classificação Industrial da América do Norte (NAICS). Consulte as Funções e a Ordem de Serviço para obter mais informações. Requisitos da vaga: Experiência necessária: Sim. Meses de experiência necessários: 3. Requisitos especiais: Recepciona, acompanha e entrega os cardápios aos clientes; auxilia em tarefas diversas de limpeza/polimento, etc., conforme necessário. Número de horas por semana: 40. Horário de trabalho (início/término): 8h às 16h.</v>
      </c>
    </row>
    <row r="1829" ht="20.25" customHeight="1">
      <c r="A1829" s="8" t="s">
        <v>8194</v>
      </c>
      <c r="B1829" s="8" t="s">
        <v>8189</v>
      </c>
      <c r="C1829" s="8" t="s">
        <v>7651</v>
      </c>
      <c r="D1829" s="8" t="s">
        <v>71</v>
      </c>
      <c r="E1829" s="9" t="s">
        <v>19</v>
      </c>
      <c r="F1829" s="9" t="s">
        <v>20</v>
      </c>
      <c r="G1829" s="9" t="s">
        <v>524</v>
      </c>
      <c r="H1829" s="8" t="s">
        <v>8190</v>
      </c>
      <c r="I1829" s="8" t="s">
        <v>8191</v>
      </c>
      <c r="J1829" s="9">
        <v>17.91</v>
      </c>
      <c r="K1829" s="9">
        <v>50.0</v>
      </c>
      <c r="L1829" s="8" t="s">
        <v>4619</v>
      </c>
      <c r="M1829" s="8" t="s">
        <v>8195</v>
      </c>
      <c r="N1829" s="7" t="str">
        <f>IFERROR(__xludf.DUMMYFUNCTION("GOOGLETRANSLATE(L1829, ""en"", ""pt"")"),"Garçom")</f>
        <v>Garçom</v>
      </c>
      <c r="O1829" s="7" t="str">
        <f>IFERROR(__xludf.DUMMYFUNCTION("IF(M1829="""","""",GOOGLETRANSLATE(M1829,""en"",""pt""))"),"Retira e limpa pratos, copos, talheres e outros itens de mesa sujos das áreas de refeição. Limpa e prepara as mesas para os próximos clientes. Auxilia na manutenção da limpeza das áreas de refeição e serviço. Abastece os postos de serviço com guardanapos,"&amp;" utensílios, copos e outros suprimentos necessários para o funcionamento do restaurante. Classificação da vaga: 35-9011.00 - Atendentes de Salão e Cafeteria e Auxiliares de Bar. A classificação e descrição da vaga/setor incluem informações gerais sobre o "&amp;"cargo, de acordo com o ONET/OES e o Sistema de Classificação Industrial da América do Norte (NAICS). Consulte as Funções e a Ordem de Serviço para obter mais informações. Requisitos da vaga: Experiência necessária: Sim. Meses de experiência necessários: 3"&amp;". Requisitos especiais: Retirar pratos, copos e talheres sujos e limpar as mesas para o próximo cliente. Garantir que os postos de serviço estejam abastecidos com guardanapos, talheres e copos. Não é necessária experiência, o empregador fornecerá treiname"&amp;"nto. Número de horas por semana: 40. Horário de trabalho (início/término): 8h. - 16:00")</f>
        <v>Retira e limpa pratos, copos, talheres e outros itens de mesa sujos das áreas de refeição. Limpa e prepara as mesas para os próximos clientes. Auxilia na manutenção da limpeza das áreas de refeição e serviço. Abastece os postos de serviço com guardanapos, utensílios, copos e outros suprimentos necessários para o funcionamento do restaurante. Classificação da vaga: 35-9011.00 - Atendentes de Salão e Cafeteria e Auxiliares de Bar. A classificação e descrição da vaga/setor incluem informações gerais sobre o cargo, de acordo com o ONET/OES e o Sistema de Classificação Industrial da América do Norte (NAICS). Consulte as Funções e a Ordem de Serviço para obter mais informações. Requisitos da vaga: Experiência necessária: Sim. Meses de experiência necessários: 3. Requisitos especiais: Retirar pratos, copos e talheres sujos e limpar as mesas para o próximo cliente. Garantir que os postos de serviço estejam abastecidos com guardanapos, talheres e copos. Não é necessária experiência, o empregador fornecerá treinamento. Número de horas por semana: 40. Horário de trabalho (início/término): 8h. - 16:00</v>
      </c>
    </row>
    <row r="1830" ht="20.25" customHeight="1">
      <c r="A1830" s="3" t="s">
        <v>8196</v>
      </c>
      <c r="B1830" s="3" t="s">
        <v>8197</v>
      </c>
      <c r="C1830" s="3" t="s">
        <v>197</v>
      </c>
      <c r="D1830" s="3" t="s">
        <v>71</v>
      </c>
      <c r="E1830" s="4" t="s">
        <v>19</v>
      </c>
      <c r="F1830" s="4" t="s">
        <v>20</v>
      </c>
      <c r="G1830" s="4" t="s">
        <v>524</v>
      </c>
      <c r="H1830" s="3" t="s">
        <v>8198</v>
      </c>
      <c r="I1830" s="3" t="s">
        <v>8199</v>
      </c>
      <c r="J1830" s="4">
        <v>18.95</v>
      </c>
      <c r="K1830" s="4">
        <v>14.0</v>
      </c>
      <c r="L1830" s="3" t="s">
        <v>201</v>
      </c>
      <c r="M1830" s="3" t="s">
        <v>8200</v>
      </c>
      <c r="N1830" s="7" t="str">
        <f>IFERROR(__xludf.DUMMYFUNCTION("GOOGLETRANSLATE(L1830, ""en"", ""pt"")"),"Servidores")</f>
        <v>Servidores</v>
      </c>
      <c r="O1830" s="7" t="str">
        <f>IFERROR(__xludf.DUMMYFUNCTION("IF(M1830="""","""",GOOGLETRANSLATE(M1830,""en"",""pt""))"),"Receber pedidos, servir comidas e bebidas aos clientes. Limpar e arrumar as mesas. Receber pagamentos e entregar recibos. Manter todos os postos de trabalho abastecidos e realizar todos os demais serviços relacionados ao atendimento. (14) vagas disponívei"&amp;"s. Período: 01/10/2026 a 31/05/2027. Necessário 3 meses de experiência. Turnos rotativos. Dias de trabalho: segunda a domingo. Horário: 6h às 22h. Salário: US$ 11 a US$ 20 por hora, mais gorjetas, mas não menos que US$ 18,95 por hora, US$ 28,43 por hora e"&amp;"m horas extras. Pagamento quinzenal. 35 horas semanais. Alojamento opcional por US$ 26 a US$ 28 por dia, com depósito reembolsável de US$ 250 após a assinatura do contrato e vistoria do imóvel. Uniformes e refeições durante o turno fornecidos. Local de tr"&amp;"abalho: 9501 Spring Run Blvd., Estero, FL 34135. Trabalho temporário em tempo integral. O salário será calculado com base em uma semana de trabalho. Possibilidade de até 10 horas extras, quando disponíveis. Todas as deduções do salário do trabalhador exig"&amp;"idas por lei serão feitas. O empregador fornecerá aos trabalhadores, sem custo algum, todas as ferramentas, suprimentos e equipamentos necessários para a execução do trabalho. O trabalhador receberá ou será reembolsado pelas despesas de transporte e subsi"&amp;"stência (incluindo o custo razoável de hospedagem noturna, quando necessário, até US$ 110 por noite, mediante apresentação de recibos) à taxa de US$ 16,78 por dia durante o deslocamento, até um máximo de US$ 68,00 por dia, mediante apresentação de recibos"&amp;", desde o local de origem do trabalhador, seja nos EUA ou no exterior, até o local de trabalho, caso o trabalhador complete 50% do período de trabalho abrangido pela ordem de serviço, em conformidade com 20 CFR 655.20(j)(1)(i), mediante inclusão no salári"&amp;"o da semana correspondente. O empregador fornecerá ou pagará o custo do transporte de retorno e da subsistência diária do trabalhador, do local de trabalho até o local de onde o trabalhador partiu para trabalhar para o empregador, independentemente de emp"&amp;"regos intermediários, caso o trabalhador complete o período de emprego certificado ou seja demitido do emprego por qualquer motivo pelo empregador antes do término do período, de acordo com o § 655.20(j)(1)(ii); os trabalhadores com visto H-2B serão reemb"&amp;"olsados ​​na primeira semana de trabalho por todos os vistos, processamento de vistos, travessia de fronteira e outras taxas relacionadas, incluindo aquelas exigidas pelo governo (exceto taxas de passaporte). O empregador fornecerá aos trabalhadores todas"&amp;" as ferramentas, suprimentos e equipamentos necessários para o desempenho do trabalho, sem custo para o trabalhador, de acordo com o 20 CFR 655.20(k). Os candidatos qualificados podem enviar o currículo para Mike Zigler, no endereço 9501 Spring Run Blvd. "&amp;"Estero, FL 34135, envie um e-mail para dining@springrun.com ou visite o centro de empregos local em 3050 Horseshoe Drive North Building A Suite 110, Naples, FL 34104. *Seu depósito de segurança é reembolsável após a conclusão do contrato e a inspeção da m"&amp;"oradia. Se um trabalhador abandonar o emprego sem a permissão do empregador ou abandonar a moradia antes do término do prazo de solicitação por qualquer motivo, exceto rescisão por parte do empregador, o trabalhador perderá todos os depósitos de moradia, "&amp;"dias de folga remunerada, férias e bônus. Após a rescisão ou demissão, o trabalhador deverá desocupar a moradia imediatamente, a menos que haja acordo com o empregador.* Classificação do Cargo: 35-3031.00 - Garçons e Garçonetes. A classificação e descriçã"&amp;"o do cargo/setor incluem informações gerais sobre a posição, de acordo com o ONET/OES e o Sistema de Classificação Industrial da América do Norte. Consulte as Funções e a Ordem de Serviço para obter mais informações. Requisitos da vaga Experiência necessá"&amp;"ria: Sim Meses de experiência necessários: 3 Número de horas por semana: 35 Horário de trabalho (início/término): 6h às 22h")</f>
        <v>Receber pedidos, servir comidas e bebidas aos clientes. Limpar e arrumar as mesas. Receber pagamentos e entregar recibos. Manter todos os postos de trabalho abastecidos e realizar todos os demais serviços relacionados ao atendimento. (14) vagas disponíveis. Período: 01/10/2026 a 31/05/2027. Necessário 3 meses de experiência. Turnos rotativos. Dias de trabalho: segunda a domingo. Horário: 6h às 22h. Salário: US$ 11 a US$ 20 por hora, mais gorjetas, mas não menos que US$ 18,95 por hora, US$ 28,43 por hora em horas extras. Pagamento quinzenal. 35 horas semanais. Alojamento opcional por US$ 26 a US$ 28 por dia, com depósito reembolsável de US$ 250 após a assinatura do contrato e vistoria do imóvel. Uniformes e refeições durante o turno fornecidos. Local de trabalho: 9501 Spring Run Blvd., Estero, FL 34135. Trabalho temporário em tempo integral. O salário será calculado com base em uma semana de trabalho. Possibilidade de até 10 horas extras, quando disponíveis. Todas as deduções do salário do trabalhador exigidas por lei serão feitas. O empregador fornecerá aos trabalhadores, sem custo algum, todas as ferramentas, suprimentos e equipamentos necessários para a execução do trabalho. O trabalhador receberá ou será reembolsado pelas despesas de transporte e subsistência (incluindo o custo razoável de hospedagem noturna, quando necessário, até US$ 110 por noite, mediante apresentação de recibos) à taxa de US$ 16,78 por dia durante o deslocamento, até um máximo de US$ 68,00 por dia, mediante apresentação de recibos, desde o local de origem do trabalhador, seja nos EUA ou no exterior, até o local de trabalho, caso o trabalhador complete 50% do período de trabalho abrangido pela ordem de serviço, em conformidade com 20 CFR 655.20(j)(1)(i), mediante inclusão no salário da semana correspondente. O empregador fornecerá ou pagará o custo do transporte de retorno e da subsistência diária do trabalhador, do local de trabalho até o local de onde o trabalhador partiu para trabalhar para o empregador, independentemente de empregos intermediários, caso o trabalhador complete o período de emprego certificado ou seja demitido do emprego por qualquer motivo pelo empregador antes do término do período, de acordo com o § 655.20(j)(1)(ii); os trabalhadores com visto H-2B serão reembolsados ​​na primeira semana de trabalho por todos os vistos, processamento de vistos, travessia de fronteira e outras taxas relacionadas, incluindo aquelas exigidas pelo governo (exceto taxas de passaporte). O empregador fornecerá aos trabalhadores todas as ferramentas, suprimentos e equipamentos necessários para o desempenho do trabalho, sem custo para o trabalhador, de acordo com o 20 CFR 655.20(k). Os candidatos qualificados podem enviar o currículo para Mike Zigler, no endereço 9501 Spring Run Blvd. Estero, FL 34135, envie um e-mail para dining@springrun.com ou visite o centro de empregos local em 3050 Horseshoe Drive North Building A Suite 110, Naples, FL 34104. *Seu depósito de segurança é reembolsável após a conclusão do contrato e a inspeção da moradia. Se um trabalhador abandonar o emprego sem a permissão do empregador ou abandonar a moradia antes do término do prazo de solicitação por qualquer motivo, exceto rescisão por parte do empregador, o trabalhador perderá todos os depósitos de moradia, dias de folga remunerada, férias e bônus. Após a rescisão ou demissão, o trabalhador deverá desocupar a moradia imediatamente, a menos que haja acordo com o empregador.* Classificação do Cargo: 35-3031.00 - Garçons e Garçonetes. A classificação e descrição do cargo/setor incluem informações gerais sobre a posição, de acordo com o ONET/OES e o Sistema de Classificação Industrial da América do Norte. Consulte as Funções e a Ordem de Serviço para obter mais informações. Requisitos da vaga Experiência necessária: Sim Meses de experiência necessários: 3 Número de horas por semana: 35 Horário de trabalho (início/término): 6h às 22h</v>
      </c>
    </row>
    <row r="1831" ht="20.25" customHeight="1">
      <c r="A1831" s="8" t="s">
        <v>8201</v>
      </c>
      <c r="B1831" s="8" t="s">
        <v>8197</v>
      </c>
      <c r="C1831" s="8" t="s">
        <v>197</v>
      </c>
      <c r="D1831" s="8" t="s">
        <v>71</v>
      </c>
      <c r="E1831" s="9" t="s">
        <v>44</v>
      </c>
      <c r="F1831" s="9" t="s">
        <v>20</v>
      </c>
      <c r="G1831" s="9" t="s">
        <v>524</v>
      </c>
      <c r="H1831" s="8" t="s">
        <v>8198</v>
      </c>
      <c r="I1831" s="8" t="s">
        <v>8199</v>
      </c>
      <c r="J1831" s="9">
        <v>19.39</v>
      </c>
      <c r="K1831" s="9">
        <v>3.0</v>
      </c>
      <c r="L1831" s="8" t="s">
        <v>741</v>
      </c>
      <c r="M1831" s="8" t="s">
        <v>8202</v>
      </c>
      <c r="N1831" s="7" t="str">
        <f>IFERROR(__xludf.DUMMYFUNCTION("GOOGLETRANSLATE(L1831, ""en"", ""pt"")"),"Bartenders")</f>
        <v>Bartenders</v>
      </c>
      <c r="O1831" s="7" t="str">
        <f>IFERROR(__xludf.DUMMYFUNCTION("IF(M1831="""","""",GOOGLETRANSLATE(M1831,""en"",""pt""))"),"Atender pedidos de coquetéis, preparar, servir e decorar bebidas alcoólicas, vinhos e cervejas. Servir comida no bar. Manter o bar abastecido e limpo. (3) vagas disponíveis. Período: 01/10/2026 a 31/05/2027. Necessário 3 meses de experiência. Turnos rotat"&amp;"ivos. Dias de trabalho: segunda a domingo. Horário: 11h às 23h. Salário: US$ 12 a US$ 16 por hora, mais gorjetas, mas não menos que US$ 19,39 por hora, US$ 29,09 por hora para horas extras. Pagamento quinzenal. 35 horas semanais. Alojamento opcional por U"&amp;"S$ 26 a US$ 28 por dia, com depósito reembolsável de US$ 250 após a assinatura do contrato e vistoria do imóvel. Uniformes e refeições durante o turno fornecidos. Local de trabalho: 9501 Spring Run Blvd., Estero, FL 34135. Trabalho temporário em tempo int"&amp;"egral. O salário será calculado com base em uma semana de trabalho. Possibilidade de até 10 horas extras, quando disponíveis. Todas as deduções do salário do trabalhador exigidas por lei serão feitas. O empregador fornecerá aos trabalhadores, sem custo al"&amp;"gum, todas as ferramentas, suprimentos e equipamentos necessários para a execução do trabalho. O trabalhador receberá ou será reembolsado pelas despesas de transporte e subsistência (incluindo o custo razoável de hospedagem noturna, quando necessário, até"&amp;" US$ 110 por noite, mediante apresentação de recibos) à taxa de US$ 16,78 por dia durante o deslocamento, até um máximo de US$ 68,00 por dia, mediante apresentação de recibos, desde o local de origem do trabalhador, seja nos EUA ou no exterior, até o loca"&amp;"l de trabalho, caso o trabalhador complete 50% do período de trabalho abrangido pela ordem de serviço, em conformidade com 20 CFR 655.20(j)(1)(i), mediante inclusão no salário da semana correspondente. O empregador fornecerá ou pagará o custo do transport"&amp;"e de retorno e da subsistência diária do trabalhador, do local de trabalho até o local de onde o trabalhador partiu para trabalhar para o empregador, independentemente de empregos intermediários, caso o trabalhador complete o período de emprego certificad"&amp;"o ou seja demitido do emprego por qualquer motivo pelo empregador antes do término do período, de acordo com o § 655.20(j)(1)(ii); os trabalhadores com visto H-2B serão reembolsados ​​na primeira semana de trabalho por todos os vistos, processamento de vi"&amp;"stos, travessia de fronteira e outras taxas relacionadas, incluindo aquelas exigidas pelo governo (exceto taxas de passaporte). O empregador fornecerá aos trabalhadores todas as ferramentas, suprimentos e equipamentos necessários para o desempenho do trab"&amp;"alho, sem custo para o trabalhador, de acordo com o 20 CFR 655.20(k). Os candidatos qualificados podem enviar o currículo para Mike Zigler, no endereço 9501 Spring Run Blvd. Estero, FL 34135, envie um e-mail para dining@springrun.com ou visite o centro de"&amp;" empregos local em 3050 Horseshoe Drive North Building A Suite 110, Naples, FL 34104. *Seu depósito de segurança é reembolsável após a conclusão do contrato e a inspeção da moradia. Se um trabalhador abandonar o emprego sem a permissão do empregador ou ab"&amp;"andonar a moradia antes do término do prazo de solicitação por qualquer motivo, exceto rescisão por parte do empregador, o trabalhador perderá todos os depósitos de moradia, dias de folga remunerada, férias e bônus. Após a rescisão ou demissão, o trabalha"&amp;"dor deverá desocupar a moradia imediatamente, a menos que haja acordo com o empregador.* Classificação do Cargo: 35-3011.00 - Bartenders. A classificação e descrição do cargo/setor incluem informações gerais sobre a posição, de acordo com o ONET/OES e o S"&amp;"istema de Classificação Industrial da América do Norte. Consulte as Funções e a Ordem de Serviço para obter mais informações. Requisitos da vaga Experiência necessária: Sim Meses de experiência necessários: 3 Número de horas por semana: 35 Horário de trab"&amp;"alho (início/término): 11:00 - 23:00")</f>
        <v>Atender pedidos de coquetéis, preparar, servir e decorar bebidas alcoólicas, vinhos e cervejas. Servir comida no bar. Manter o bar abastecido e limpo. (3) vagas disponíveis. Período: 01/10/2026 a 31/05/2027. Necessário 3 meses de experiência. Turnos rotativos. Dias de trabalho: segunda a domingo. Horário: 11h às 23h. Salário: US$ 12 a US$ 16 por hora, mais gorjetas, mas não menos que US$ 19,39 por hora, US$ 29,09 por hora para horas extras. Pagamento quinzenal. 35 horas semanais. Alojamento opcional por US$ 26 a US$ 28 por dia, com depósito reembolsável de US$ 250 após a assinatura do contrato e vistoria do imóvel. Uniformes e refeições durante o turno fornecidos. Local de trabalho: 9501 Spring Run Blvd., Estero, FL 34135. Trabalho temporário em tempo integral. O salário será calculado com base em uma semana de trabalho. Possibilidade de até 10 horas extras, quando disponíveis. Todas as deduções do salário do trabalhador exigidas por lei serão feitas. O empregador fornecerá aos trabalhadores, sem custo algum, todas as ferramentas, suprimentos e equipamentos necessários para a execução do trabalho. O trabalhador receberá ou será reembolsado pelas despesas de transporte e subsistência (incluindo o custo razoável de hospedagem noturna, quando necessário, até US$ 110 por noite, mediante apresentação de recibos) à taxa de US$ 16,78 por dia durante o deslocamento, até um máximo de US$ 68,00 por dia, mediante apresentação de recibos, desde o local de origem do trabalhador, seja nos EUA ou no exterior, até o local de trabalho, caso o trabalhador complete 50% do período de trabalho abrangido pela ordem de serviço, em conformidade com 20 CFR 655.20(j)(1)(i), mediante inclusão no salário da semana correspondente. O empregador fornecerá ou pagará o custo do transporte de retorno e da subsistência diária do trabalhador, do local de trabalho até o local de onde o trabalhador partiu para trabalhar para o empregador, independentemente de empregos intermediários, caso o trabalhador complete o período de emprego certificado ou seja demitido do emprego por qualquer motivo pelo empregador antes do término do período, de acordo com o § 655.20(j)(1)(ii); os trabalhadores com visto H-2B serão reembolsados ​​na primeira semana de trabalho por todos os vistos, processamento de vistos, travessia de fronteira e outras taxas relacionadas, incluindo aquelas exigidas pelo governo (exceto taxas de passaporte). O empregador fornecerá aos trabalhadores todas as ferramentas, suprimentos e equipamentos necessários para o desempenho do trabalho, sem custo para o trabalhador, de acordo com o 20 CFR 655.20(k). Os candidatos qualificados podem enviar o currículo para Mike Zigler, no endereço 9501 Spring Run Blvd. Estero, FL 34135, envie um e-mail para dining@springrun.com ou visite o centro de empregos local em 3050 Horseshoe Drive North Building A Suite 110, Naples, FL 34104. *Seu depósito de segurança é reembolsável após a conclusão do contrato e a inspeção da moradia. Se um trabalhador abandonar o emprego sem a permissão do empregador ou abandonar a moradia antes do término do prazo de solicitação por qualquer motivo, exceto rescisão por parte do empregador, o trabalhador perderá todos os depósitos de moradia, dias de folga remunerada, férias e bônus. Após a rescisão ou demissão, o trabalhador deverá desocupar a moradia imediatamente, a menos que haja acordo com o empregador.* Classificação do Cargo: 35-3011.00 - Bartenders. A classificação e descrição do cargo/setor incluem informações gerais sobre a posição, de acordo com o ONET/OES e o Sistema de Classificação Industrial da América do Norte. Consulte as Funções e a Ordem de Serviço para obter mais informações. Requisitos da vaga Experiência necessária: Sim Meses de experiência necessários: 3 Número de horas por semana: 35 Horário de trabalho (início/término): 11:00 - 23:00</v>
      </c>
    </row>
    <row r="1832" ht="20.25" customHeight="1">
      <c r="A1832" s="3" t="s">
        <v>8203</v>
      </c>
      <c r="B1832" s="3" t="s">
        <v>8197</v>
      </c>
      <c r="C1832" s="3" t="s">
        <v>197</v>
      </c>
      <c r="D1832" s="3" t="s">
        <v>71</v>
      </c>
      <c r="E1832" s="4" t="s">
        <v>44</v>
      </c>
      <c r="F1832" s="4" t="s">
        <v>20</v>
      </c>
      <c r="G1832" s="4" t="s">
        <v>524</v>
      </c>
      <c r="H1832" s="3" t="s">
        <v>8198</v>
      </c>
      <c r="I1832" s="3" t="s">
        <v>8199</v>
      </c>
      <c r="J1832" s="4">
        <v>16.04</v>
      </c>
      <c r="K1832" s="4">
        <v>6.0</v>
      </c>
      <c r="L1832" s="3" t="s">
        <v>8204</v>
      </c>
      <c r="M1832" s="3" t="s">
        <v>8205</v>
      </c>
      <c r="N1832" s="7" t="str">
        <f>IFERROR(__xludf.DUMMYFUNCTION("GOOGLETRANSLATE(L1832, ""en"", ""pt"")"),"Atendentes de refeitório")</f>
        <v>Atendentes de refeitório</v>
      </c>
      <c r="O1832" s="7" t="str">
        <f>IFERROR(__xludf.DUMMYFUNCTION("IF(M1832="""","""",GOOGLETRANSLATE(M1832,""en"",""pt""))"),"Limpar e arrumar mesas, levar comida da cozinha para as mesas e balcões, servir café/água. (6) vagas disponíveis. Período: 01/10/2026 a 31/05/2027. Necessário 3 meses de experiência. Turnos rotativos. Dias de trabalho: segunda a domingo. Horário: 6h às 22"&amp;"h. Salário: US$ 12 a US$ 15 por hora, mais gorjetas, mas não menos que US$ 16,04 por hora, US$ 24,06 por hora para horas extras. Pagamento quinzenal. 35 horas semanais. Alojamento opcional disponível por US$ 26 a US$ 28 por dia, com um depósito reembolsáv"&amp;"el de US$ 250 após a assinatura do contrato e inspeção do imóvel. Uniformes e refeições durante o turno fornecidos. Local de trabalho: 9501 Spring Run Blvd., Estero, FL 34135. Trabalho temporário em tempo integral. O salário será calculado com base em uma"&amp;" semana de trabalho. Possibilidade de até 10 horas extras, quando disponíveis. Todos os descontos obrigatórios por lei serão feitos no contracheque do trabalhador. O empregador fornecerá aos trabalhadores, sem custos, todas as ferramentas, suprimentos e e"&amp;"quipamentos necessários para a execução do trabalho. O trabalhador receberá ou será reembolsado pelo transporte e subsistência (incluindo o custo razoável de hospedagem noturna, quando necessário, até US$ 110 por noite, mediante apresentação de recibos) à"&amp;" taxa de US$ 16,78 por dia durante o deslocamento, até um máximo de US$ 68,00 por dia, mediante apresentação de recibos, desde o local de origem do trabalhador, seja nos EUA ou no exterior, até o local de trabalho, caso o trabalhador complete 50% do perío"&amp;"do de trabalho abrangido pela ordem de serviço, em conformidade com 20 CFR 655.20(j)(1)(i), mediante inclusão no pagamento da semana correspondente. O empregador fornecerá ou pagará o custo do transporte de retorno e da subsistência diária do trabalhador,"&amp;" do local de trabalho até o local de onde o trabalhador partiu para trabalhar para o empregador, independentemente de empregos intermediários, caso o trabalhador complete o período de emprego certificado ou seja demitido do emprego por qualquer motivo pel"&amp;"o empregador antes do término do período, de acordo com o § 655.20(j)(1)(ii); os trabalhadores com visto H-2B serão reembolsados ​​na primeira semana de trabalho por todos os vistos, processamento de vistos, travessia de fronteira e outras taxas relaciona"&amp;"das, incluindo aquelas exigidas pelo governo (exceto taxas de passaporte). O empregador fornecerá aos trabalhadores todas as ferramentas, suprimentos e equipamentos necessários para o desempenho do trabalho, sem custo para o trabalhador, de acordo com o 2"&amp;"0 CFR 655.20(k). Os candidatos qualificados podem enviar o currículo para Mike Zigler, no endereço 9501 Spring Run Blvd. Estero, FL 34135, envie um e-mail para dining@springrun.com ou visite o centro de empregos local em 3050 Horseshoe Drive North Buildin"&amp;"g A Suite 110, Naples, FL 34104. *Seu depósito de segurança é reembolsável após a conclusão do contrato e a inspeção da moradia. Se um trabalhador abandonar o emprego sem a permissão do empregador ou abandonar a moradia antes do término do prazo de solici"&amp;"tação por qualquer motivo, exceto rescisão por parte do empregador, o trabalhador perderá todos os depósitos de moradia, folgas remuneradas, férias e bônus. Após a rescisão ou demissão, o trabalhador deverá desocupar a moradia imediatamente, a menos que h"&amp;"aja acordo com o empregador.* Classificação do Cargo: 35-9011.00 - Atendentes de Refeitório e Cafeteria e Auxiliares de Barman. A classificação e descrição do cargo/setor incluem informações gerais sobre a posição, de acordo com o ONET/OES e o Sistema de "&amp;"Classificação Industrial da América do Norte. Consulte as Funções e a Ordem de Serviço para obter mais informações. Requisitos da vaga Experiência necessária: Sim Meses de experiência necessários: 3 Número de horas por semana: 35 Horário de trabalho (iníc"&amp;"io/término): 6h às 22h")</f>
        <v>Limpar e arrumar mesas, levar comida da cozinha para as mesas e balcões, servir café/água. (6) vagas disponíveis. Período: 01/10/2026 a 31/05/2027. Necessário 3 meses de experiência. Turnos rotativos. Dias de trabalho: segunda a domingo. Horário: 6h às 22h. Salário: US$ 12 a US$ 15 por hora, mais gorjetas, mas não menos que US$ 16,04 por hora, US$ 24,06 por hora para horas extras. Pagamento quinzenal. 35 horas semanais. Alojamento opcional disponível por US$ 26 a US$ 28 por dia, com um depósito reembolsável de US$ 250 após a assinatura do contrato e inspeção do imóvel. Uniformes e refeições durante o turno fornecidos. Local de trabalho: 9501 Spring Run Blvd., Estero, FL 34135. Trabalho temporário em tempo integral. O salário será calculado com base em uma semana de trabalho. Possibilidade de até 10 horas extras, quando disponíveis. Todos os descontos obrigatórios por lei serão feitos no contracheque do trabalhador. O empregador fornecerá aos trabalhadores, sem custos, todas as ferramentas, suprimentos e equipamentos necessários para a execução do trabalho. O trabalhador receberá ou será reembolsado pelo transporte e subsistência (incluindo o custo razoável de hospedagem noturna, quando necessário, até US$ 110 por noite, mediante apresentação de recibos) à taxa de US$ 16,78 por dia durante o deslocamento, até um máximo de US$ 68,00 por dia, mediante apresentação de recibos, desde o local de origem do trabalhador, seja nos EUA ou no exterior, até o local de trabalho, caso o trabalhador complete 50% do período de trabalho abrangido pela ordem de serviço, em conformidade com 20 CFR 655.20(j)(1)(i), mediante inclusão no pagamento da semana correspondente. O empregador fornecerá ou pagará o custo do transporte de retorno e da subsistência diária do trabalhador, do local de trabalho até o local de onde o trabalhador partiu para trabalhar para o empregador, independentemente de empregos intermediários, caso o trabalhador complete o período de emprego certificado ou seja demitido do emprego por qualquer motivo pelo empregador antes do término do período, de acordo com o § 655.20(j)(1)(ii); os trabalhadores com visto H-2B serão reembolsados ​​na primeira semana de trabalho por todos os vistos, processamento de vistos, travessia de fronteira e outras taxas relacionadas, incluindo aquelas exigidas pelo governo (exceto taxas de passaporte). O empregador fornecerá aos trabalhadores todas as ferramentas, suprimentos e equipamentos necessários para o desempenho do trabalho, sem custo para o trabalhador, de acordo com o 20 CFR 655.20(k). Os candidatos qualificados podem enviar o currículo para Mike Zigler, no endereço 9501 Spring Run Blvd. Estero, FL 34135, envie um e-mail para dining@springrun.com ou visite o centro de empregos local em 3050 Horseshoe Drive North Building A Suite 110, Naples, FL 34104. *Seu depósito de segurança é reembolsável após a conclusão do contrato e a inspeção da moradia. Se um trabalhador abandonar o emprego sem a permissão do empregador ou abandonar a moradia antes do término do prazo de solicitação por qualquer motivo, exceto rescisão por parte do empregador, o trabalhador perderá todos os depósitos de moradia, folgas remuneradas, férias e bônus. Após a rescisão ou demissão, o trabalhador deverá desocupar a moradia imediatamente, a menos que haja acordo com o empregador.* Classificação do Cargo: 35-9011.00 - Atendentes de Refeitório e Cafeteria e Auxiliares de Barman. A classificação e descrição do cargo/setor incluem informações gerais sobre a posição, de acordo com o ONET/OES e o Sistema de Classificação Industrial da América do Norte. Consulte as Funções e a Ordem de Serviço para obter mais informações. Requisitos da vaga Experiência necessária: Sim Meses de experiência necessários: 3 Número de horas por semana: 35 Horário de trabalho (início/término): 6h às 22h</v>
      </c>
    </row>
    <row r="1833" ht="20.25" customHeight="1">
      <c r="A1833" s="8" t="s">
        <v>8206</v>
      </c>
      <c r="B1833" s="8" t="s">
        <v>8197</v>
      </c>
      <c r="C1833" s="8" t="s">
        <v>197</v>
      </c>
      <c r="D1833" s="8" t="s">
        <v>71</v>
      </c>
      <c r="E1833" s="9" t="s">
        <v>44</v>
      </c>
      <c r="F1833" s="9" t="s">
        <v>20</v>
      </c>
      <c r="G1833" s="9" t="s">
        <v>524</v>
      </c>
      <c r="H1833" s="8" t="s">
        <v>8198</v>
      </c>
      <c r="I1833" s="8" t="s">
        <v>8199</v>
      </c>
      <c r="J1833" s="9">
        <v>18.0</v>
      </c>
      <c r="K1833" s="9">
        <v>12.0</v>
      </c>
      <c r="L1833" s="8" t="s">
        <v>489</v>
      </c>
      <c r="M1833" s="8" t="s">
        <v>8207</v>
      </c>
      <c r="N1833" s="7" t="str">
        <f>IFERROR(__xludf.DUMMYFUNCTION("GOOGLETRANSLATE(L1833, ""en"", ""pt"")"),"Cozinheiros de linha")</f>
        <v>Cozinheiros de linha</v>
      </c>
      <c r="O1833" s="7" t="str">
        <f>IFERROR(__xludf.DUMMYFUNCTION("IF(M1833="""","""",GOOGLETRANSLATE(M1833,""en"",""pt""))"),"Preparar, cozinhar, refogar, grelhar e fritar itens como frutos do mar, carnes, aves, legumes, massas e sopas. Manter as áreas da cozinha limpas e higienizadas. Armazenar todos os produtos em locais adequados e realizar todos os demais serviços relacionad"&amp;"os à cozinha. (12) vagas disponíveis. Período: 01/10/2026 a 31/05/2027. Necessário 3 meses de experiência. Turnos rotativos. Dias de trabalho: segunda a domingo. Horário de trabalho: 6h às 22h. Salário: US$ 18 a US$ 24 por hora, com base no desempenho; ho"&amp;"ras extras: US$ 27 a US$ 36 por hora. Pagamento quinzenal. 35 horas semanais. Alojamento opcional disponível por US$ 26 a US$ 28 por dia, com depósito reembolsável de US$ 250 após a assinatura do contrato e inspeção do imóvel. Uniformes e refeições durant"&amp;"e o turno fornecidos. Local de trabalho: 9501 Spring Run Blvd., Estero, FL 34135. Trabalho temporário em tempo integral. O salário será calculado com base em uma única semana de trabalho. Poderá ser feito até 10 horas extras, quando disponíveis. Todos os "&amp;"descontos exigidos por lei serão efetuados no contracheque do trabalhador. O empregador fornecerá ao trabalhador, sem custos, todas as ferramentas, materiais e equipamentos necessários para a execução do trabalho. O trabalhador receberá ou será reembolsad"&amp;"o pelas despesas de transporte e alimentação (incluindo o custo razoável de hospedagem, quando necessário, até US$ 110 por noite, mediante apresentação de recibos) no valor de US$ 16,78 por dia durante o deslocamento, até um máximo de US$ 68,00 por dia, m"&amp;"ediante apresentação de recibos, desde o local de origem do trabalhador, seja nos EUA ou no exterior, até o local de trabalho, caso o trabalhador complete 50% do período de trabalho abrangido pela ordem de serviço, em conformidade com o 20 CFR 655.20(j)(1"&amp;")(i), mediante inclusão no contracheque da semana correspondente. O empregador fornecerá ou pagará o custo do transporte de retorno e da subsistência diária do trabalhador, do local de trabalho até o local de onde o trabalhador partiu para trabalhar para "&amp;"o empregador, independentemente de empregos intermediários, caso o trabalhador complete o período de emprego certificado ou seja demitido do emprego por qualquer motivo pelo empregador antes do término do período, de acordo com o § 655.20(j)(1)(ii); os tr"&amp;"abalhadores com visto H-2B serão reembolsados ​​na primeira semana de trabalho por todos os vistos, processamento de vistos, travessia de fronteira e outras taxas relacionadas, incluindo aquelas exigidas pelo governo (exceto taxas de passaporte). O empreg"&amp;"ador fornecerá aos trabalhadores todas as ferramentas, suprimentos e equipamentos necessários para o desempenho do trabalho, sem custo para o trabalhador, de acordo com o 20 CFR 655.20(k). Os candidatos qualificados podem enviar o currículo para Mike Zigl"&amp;"er, no endereço 9501 Spring Run Blvd. Estero, FL 34135, envie um e-mail para dining@springrun.com ou visite o centro de empregos local em 3050 Horseshoe Drive North Building A Suite 110, Naples, FL 34104. *Seu depósito de segurança é reembolsável após a c"&amp;"onclusão do contrato e a inspeção da moradia. Se um trabalhador abandonar o emprego sem a permissão do empregador ou abandonar a moradia antes do término do prazo de solicitação por qualquer motivo, exceto rescisão por parte do empregador, o trabalhador p"&amp;"erderá todos os depósitos de moradia, dias de folga remunerada, férias e bônus. Após a rescisão ou demissão, o trabalhador deverá desocupar a moradia imediatamente, a menos que haja acordo com o empregador.* Classificação do Cargo: 35-2014.00 - Cozinheiro"&amp;"s, Restaurante. A classificação e descrição do cargo/setor incluem informações gerais sobre a posição, de acordo com o ONET/OES e o Sistema de Classificação Industrial da América do Norte. Consulte as Funções e a Ordem de Serviço para obter mais informaçõ"&amp;"es. Requisitos da vaga Experiência necessária: Sim Meses de experiência necessários: 3 Número de horas por semana: 35 Horário de trabalho (início/término): 6h às 22h")</f>
        <v>Preparar, cozinhar, refogar, grelhar e fritar itens como frutos do mar, carnes, aves, legumes, massas e sopas. Manter as áreas da cozinha limpas e higienizadas. Armazenar todos os produtos em locais adequados e realizar todos os demais serviços relacionados à cozinha. (12) vagas disponíveis. Período: 01/10/2026 a 31/05/2027. Necessário 3 meses de experiência. Turnos rotativos. Dias de trabalho: segunda a domingo. Horário de trabalho: 6h às 22h. Salário: US$ 18 a US$ 24 por hora, com base no desempenho; horas extras: US$ 27 a US$ 36 por hora. Pagamento quinzenal. 35 horas semanais. Alojamento opcional disponível por US$ 26 a US$ 28 por dia, com depósito reembolsável de US$ 250 após a assinatura do contrato e inspeção do imóvel. Uniformes e refeições durante o turno fornecidos. Local de trabalho: 9501 Spring Run Blvd., Estero, FL 34135. Trabalho temporário em tempo integral. O salário será calculado com base em uma única semana de trabalho. Poderá ser feito até 10 horas extras, quando disponíveis. Todos os descontos exigidos por lei serão efetuados no contracheque do trabalhador. O empregador fornecerá ao trabalhador, sem custos, todas as ferramentas, materiais e equipamentos necessários para a execução do trabalho. O trabalhador receberá ou será reembolsado pelas despesas de transporte e alimentação (incluindo o custo razoável de hospedagem, quando necessário, até US$ 110 por noite, mediante apresentação de recibos) no valor de US$ 16,78 por dia durante o deslocamento, até um máximo de US$ 68,00 por dia, mediante apresentação de recibos, desde o local de origem do trabalhador, seja nos EUA ou no exterior, até o local de trabalho, caso o trabalhador complete 50% do período de trabalho abrangido pela ordem de serviço, em conformidade com o 20 CFR 655.20(j)(1)(i), mediante inclusão no contracheque da semana correspondente. O empregador fornecerá ou pagará o custo do transporte de retorno e da subsistência diária do trabalhador, do local de trabalho até o local de onde o trabalhador partiu para trabalhar para o empregador, independentemente de empregos intermediários, caso o trabalhador complete o período de emprego certificado ou seja demitido do emprego por qualquer motivo pelo empregador antes do término do período, de acordo com o § 655.20(j)(1)(ii); os trabalhadores com visto H-2B serão reembolsados ​​na primeira semana de trabalho por todos os vistos, processamento de vistos, travessia de fronteira e outras taxas relacionadas, incluindo aquelas exigidas pelo governo (exceto taxas de passaporte). O empregador fornecerá aos trabalhadores todas as ferramentas, suprimentos e equipamentos necessários para o desempenho do trabalho, sem custo para o trabalhador, de acordo com o 20 CFR 655.20(k). Os candidatos qualificados podem enviar o currículo para Mike Zigler, no endereço 9501 Spring Run Blvd. Estero, FL 34135, envie um e-mail para dining@springrun.com ou visite o centro de empregos local em 3050 Horseshoe Drive North Building A Suite 110, Naples, FL 34104. *Seu depósito de segurança é reembolsável após a conclusão do contrato e a inspeção da moradia. Se um trabalhador abandonar o emprego sem a permissão do empregador ou abandonar a moradia antes do término do prazo de solicitação por qualquer motivo, exceto rescisão por parte do empregador, o trabalhador perderá todos os depósitos de moradia, dias de folga remunerada, férias e bônus. Após a rescisão ou demissão, o trabalhador deverá desocupar a moradia imediatamente, a menos que haja acordo com o empregador.* Classificação do Cargo: 35-2014.00 - Cozinheiros, Restaurante. A classificação e descrição do cargo/setor incluem informações gerais sobre a posição, de acordo com o ONET/OES e o Sistema de Classificação Industrial da América do Norte. Consulte as Funções e a Ordem de Serviço para obter mais informações. Requisitos da vaga Experiência necessária: Sim Meses de experiência necessários: 3 Número de horas por semana: 35 Horário de trabalho (início/término): 6h às 22h</v>
      </c>
    </row>
    <row r="1834" ht="20.25" customHeight="1">
      <c r="A1834" s="3" t="s">
        <v>8208</v>
      </c>
      <c r="B1834" s="3" t="s">
        <v>3295</v>
      </c>
      <c r="C1834" s="3" t="s">
        <v>197</v>
      </c>
      <c r="D1834" s="3" t="s">
        <v>71</v>
      </c>
      <c r="E1834" s="4" t="s">
        <v>19</v>
      </c>
      <c r="F1834" s="4" t="s">
        <v>20</v>
      </c>
      <c r="G1834" s="4" t="s">
        <v>524</v>
      </c>
      <c r="H1834" s="3" t="s">
        <v>3296</v>
      </c>
      <c r="I1834" s="3" t="s">
        <v>3297</v>
      </c>
      <c r="J1834" s="4">
        <v>23.81</v>
      </c>
      <c r="K1834" s="4">
        <v>3.0</v>
      </c>
      <c r="L1834" s="3" t="s">
        <v>1687</v>
      </c>
      <c r="M1834" s="3" t="s">
        <v>8209</v>
      </c>
      <c r="N1834" s="7" t="str">
        <f>IFERROR(__xludf.DUMMYFUNCTION("GOOGLETRANSLATE(L1834, ""en"", ""pt"")"),"Capitão")</f>
        <v>Capitão</v>
      </c>
      <c r="O1834" s="7" t="str">
        <f>IFERROR(__xludf.DUMMYFUNCTION("IF(M1834="""","""",GOOGLETRANSLATE(M1834,""en"",""pt""))"),"Executar diversas atividades financeiras, como manuseio de dinheiro. Resolver reclamações de clientes relacionadas ao serviço de alimentação. Compilar e conferir o caixa ao final do dia ou turno. Apresentar contas e receber pagamentos. Elaborar a escala d"&amp;"e trabalho dos funcionários do refeitório. (3 vagas disponíveis). Período: 01/10/2026 a 31/05/2027. Necessária experiência de 3 meses. Turnos rotativos. Dias de trabalho: segunda a domingo. Horário de trabalho: 6h às 22h. Salário: US$ 23,81 a US$ 29/hora,"&amp;" com base no desempenho; horas extras: US$ 35,72 a US$ 43,50/hora. Pagamento quinzenal. O Clube oferece um bônus anual discricionário ao final da temporada, com base no desempenho e nas condições da acomodação corporativa. Acomodação opcional disponível p"&amp;"or US$ 180/semana, sem necessidade de depósito. No entanto, reprovação em inspeções do apartamento/casa pode resultar em medidas disciplinares e/ou responsabilidade financeira pela reposição de itens danificados ou faltantes. Após o término do contrato de"&amp;" trabalho ou pedido de demissão, o trabalhador deverá desocupar a acomodação imediatamente, a menos que outras providências tenham sido aprovadas e documentadas por escrito pelo The Country Club of Florida. Uniformes e refeições durante o turno serão forn"&amp;"ecidos. Local de trabalho: 22 Country Road, Village of Golf, FL 33436. A vaga é temporária, em tempo integral. O salário será calculado com base em uma semana de trabalho. Poderá haver até 10 horas extras, quando disponíveis. Todos os descontos obrigatóri"&amp;"os por lei serão feitos no contracheque do trabalhador. O empregador fornecerá gratuitamente todas as ferramentas, materiais e equipamentos necessários para a execução do trabalho. O trabalhador receberá ou será reembolsado pelo transporte e subsistência "&amp;"(incluindo o custo razoável de hospedagem noturna, quando necessário, até US$ 110/noite para hospedagem com recibos) a uma taxa de US$ 16,78 por dia durante a viagem, até um máximo de US$ 68,00 por dia com recibos, desde o local de onde o trabalhador veio"&amp;" trabalhar para o empregador, seja nos EUA ou no exterior, até o local de trabalho, se o trabalhador completar 50% do período de emprego coberto pela ordem de serviço, de acordo com 20 CFR 655.20(j)(1)(i), mediante inclusão no pagamento da semana aplicáve"&amp;"l. O empregador fornecerá ou pagará o custo do transporte de retorno e da subsistência diária do trabalhador, do local de trabalho até o local de onde o trabalhador partiu para trabalhar para o empregador, independentemente de empregos intermediários, cas"&amp;"o o trabalhador complete o período de emprego certificado ou seja demitido do emprego por qualquer motivo pelo empregador antes do término do período, de acordo com o § 655.20(j)(1)(ii); os trabalhadores com visto H-2B serão reembolsados ​​na primeira sem"&amp;"ana de trabalho por todos os vistos, processamento de vistos, travessia de fronteira e outras taxas relacionadas, incluindo aquelas exigidas pelo governo (exceto taxas de passaporte). O empregador fornecerá aos trabalhadores todas as ferramentas, suprimen"&amp;"tos e equipamentos necessários para o desempenho do trabalho, sem custo para o trabalhador, de acordo com o 20 CFR 655.20(k). Os candidatos qualificados podem enviar o currículo para John Collier, no endereço 22 Country Road, Village of Golf, FL 33436, po"&amp;"r e-mail para TCCF@ccfgolf.com ou visitar o centro de empregos local em 3400 Belvedere Road, West Palm Beach, FL 33406. *Seu depósito de segurança será reembolsado após a conclusão do contrato e a inspeção da moradia. Se um trabalhador abandonar o emprego"&amp;" sem a permissão do empregador ou abandonar a moradia antes do término do prazo de inscrição por qualquer motivo, exceto rescisão por parte do empregador, o trabalhador perderá todos os depósitos de moradia, dias de folga remunerada, férias e bônus. Após "&amp;"a rescisão ou demissão, o trabalhador deverá desocupar a moradia imediatamente, a menos que haja acordo com o empregador.* Classificação do Cargo: 35-1012.00 - Supervisores de Primeira Linha de Preparadores e Servidores de Alimentos. A classificação e des"&amp;"crição do cargo/setor incluem informações gerais sobre a posição, de acordo com o ONET/OES e o Sistema de Classificação Industrial da América do Norte. Consulte as Funções e a Ordem de Serviço para obter mais informações. Requisitos da vaga Experiência ne"&amp;"cessária: Sim Meses de experiência necessários: 3 Número de horas por semana: 35 Horário de trabalho (início/término): 6h às 22h")</f>
        <v>Executar diversas atividades financeiras, como manuseio de dinheiro. Resolver reclamações de clientes relacionadas ao serviço de alimentação. Compilar e conferir o caixa ao final do dia ou turno. Apresentar contas e receber pagamentos. Elaborar a escala de trabalho dos funcionários do refeitório. (3 vagas disponíveis). Período: 01/10/2026 a 31/05/2027. Necessária experiência de 3 meses. Turnos rotativos. Dias de trabalho: segunda a domingo. Horário de trabalho: 6h às 22h. Salário: US$ 23,81 a US$ 29/hora, com base no desempenho; horas extras: US$ 35,72 a US$ 43,50/hora. Pagamento quinzenal. O Clube oferece um bônus anual discricionário ao final da temporada, com base no desempenho e nas condições da acomodação corporativa. Acomodação opcional disponível por US$ 180/semana, sem necessidade de depósito. No entanto, reprovação em inspeções do apartamento/casa pode resultar em medidas disciplinares e/ou responsabilidade financeira pela reposição de itens danificados ou faltantes. Após o término do contrato de trabalho ou pedido de demissão, o trabalhador deverá desocupar a acomodação imediatamente, a menos que outras providências tenham sido aprovadas e documentadas por escrito pelo The Country Club of Florida. Uniformes e refeições durante o turno serão fornecidos. Local de trabalho: 22 Country Road, Village of Golf, FL 33436. A vaga é temporária, em tempo integral. O salário será calculado com base em uma semana de trabalho. Poderá haver até 10 horas extras, quando disponíveis. Todos os descontos obrigatórios por lei serão feitos no contracheque do trabalhador. O empregador fornecerá gratuitamente todas as ferramentas, materiais e equipamentos necessários para a execução do trabalho. O trabalhador receberá ou será reembolsado pelo transporte e subsistência (incluindo o custo razoável de hospedagem noturna, quando necessário, até US$ 110/noite para hospedagem com recibos) a uma taxa de US$ 16,78 por dia durante a viagem, até um máximo de US$ 68,00 por dia com recibos, desde o local de onde o trabalhador veio trabalhar para o empregador, seja nos EUA ou no exterior, até o local de trabalho, se o trabalhador completar 50% do período de emprego coberto pela ordem de serviço, de acordo com 20 CFR 655.20(j)(1)(i), mediante inclusão no pagamento da semana aplicável. O empregador fornecerá ou pagará o custo do transporte de retorno e da subsistência diária do trabalhador, do local de trabalho até o local de onde o trabalhador partiu para trabalhar para o empregador, independentemente de empregos intermediários, caso o trabalhador complete o período de emprego certificado ou seja demitido do emprego por qualquer motivo pelo empregador antes do término do período, de acordo com o § 655.20(j)(1)(ii); os trabalhadores com visto H-2B serão reembolsados ​​na primeira semana de trabalho por todos os vistos, processamento de vistos, travessia de fronteira e outras taxas relacionadas, incluindo aquelas exigidas pelo governo (exceto taxas de passaporte). O empregador fornecerá aos trabalhadores todas as ferramentas, suprimentos e equipamentos necessários para o desempenho do trabalho, sem custo para o trabalhador, de acordo com o 20 CFR 655.20(k). Os candidatos qualificados podem enviar o currículo para John Collier, no endereço 22 Country Road, Village of Golf, FL 33436, por e-mail para TCCF@ccfgolf.com ou visitar o centro de empregos local em 3400 Belvedere Road, West Palm Beach, FL 33406. *Seu depósito de segurança será reembolsado após a conclusão do contrato e a inspeção da moradia. Se um trabalhador abandonar o emprego sem a permissão do empregador ou abandonar a moradia antes do término do prazo de inscrição por qualquer motivo, exceto rescisão por parte do empregador, o trabalhador perderá todos os depósitos de moradia, dias de folga remunerada, férias e bônus. Após a rescisão ou demissão, o trabalhador deverá desocupar a moradia imediatamente, a menos que haja acordo com o empregador.* Classificação do Cargo: 35-1012.00 - Supervisores de Primeira Linha de Preparadores e Servidores de Alimentos. A classificação e descrição do cargo/setor incluem informações gerais sobre a posição, de acordo com o ONET/OES e o Sistema de Classificação Industrial da América do Norte. Consulte as Funções e a Ordem de Serviço para obter mais informações. Requisitos da vaga Experiência necessária: Sim Meses de experiência necessários: 3 Número de horas por semana: 35 Horário de trabalho (início/término): 6h às 22h</v>
      </c>
    </row>
    <row r="1835" ht="20.25" customHeight="1">
      <c r="A1835" s="8" t="s">
        <v>8210</v>
      </c>
      <c r="B1835" s="8" t="s">
        <v>3295</v>
      </c>
      <c r="C1835" s="8" t="s">
        <v>197</v>
      </c>
      <c r="D1835" s="8" t="s">
        <v>71</v>
      </c>
      <c r="E1835" s="9" t="s">
        <v>19</v>
      </c>
      <c r="F1835" s="9" t="s">
        <v>20</v>
      </c>
      <c r="G1835" s="9" t="s">
        <v>524</v>
      </c>
      <c r="H1835" s="8" t="s">
        <v>3296</v>
      </c>
      <c r="I1835" s="8" t="s">
        <v>3297</v>
      </c>
      <c r="J1835" s="9">
        <v>19.51</v>
      </c>
      <c r="K1835" s="9">
        <v>4.0</v>
      </c>
      <c r="L1835" s="8" t="s">
        <v>1684</v>
      </c>
      <c r="M1835" s="8" t="s">
        <v>8211</v>
      </c>
      <c r="N1835" s="7" t="str">
        <f>IFERROR(__xludf.DUMMYFUNCTION("GOOGLETRANSLATE(L1835, ""en"", ""pt"")"),"Barman")</f>
        <v>Barman</v>
      </c>
      <c r="O1835" s="7" t="str">
        <f>IFERROR(__xludf.DUMMYFUNCTION("IF(M1835="""","""",GOOGLETRANSLATE(M1835,""en"",""pt""))"),"Recebe pedidos, prepara e serve bebidas aos clientes. Mantém o bar abastecido e limpo, leva a comida da cozinha para o bar e recebe pagamentos. (4) vagas disponíveis. Período: 01/10/2026 a 31/05/2027. Necessário 3 meses de experiência. Turnos rotativos. D"&amp;"ias de trabalho: segunda a domingo. Horário de trabalho: 6h às 22h. Salário: US$ 19,51 a US$ 24/hora, com base no desempenho; horas extras: US$ 29,27 a US$ 36/hora. Pagamento quinzenal. O Clube oferece um bônus anual discricionário ao final da temporada, "&amp;"com base no desempenho e nas condições da acomodação corporativa. Acomodação opcional disponível por US$ 180/semana, sem necessidade de depósito. No entanto, reprovação em inspeções do apartamento/casa pode resultar em medidas disciplinares e/ou responsab"&amp;"ilidade financeira pela reposição de itens danificados ou faltantes. Em caso de rescisão do contrato de trabalho ou demissão, o funcionário deve desocupar a acomodação imediatamente, a menos que outras providências tenham sido aprovadas e documentadas por"&amp;" escrito pelo The Country Club of Florida. Uniformes e refeições durante o turno são fornecidos. Local de trabalho: 22 Country Road, Village of Golf, FL 33436. A vaga é temporária, em tempo integral. O salário será calculado com base em uma semana de trab"&amp;"alho. Poderá haver até 10 horas extras, quando disponíveis. Todos os descontos obrigatórios por lei serão feitos no contracheque do trabalhador. O empregador fornecerá gratuitamente todas as ferramentas, materiais e equipamentos necessários para a execuçã"&amp;"o do trabalho. O trabalhador receberá ou será reembolsado pelo transporte e subsistência (incluindo o custo razoável de hospedagem noturna, quando necessário, até US$ 110/noite para hospedagem com recibos) a uma taxa de US$ 16,78 por dia durante a viagem,"&amp;" até um máximo de US$ 68,00 por dia com recibos, desde o local de onde o trabalhador veio trabalhar para o empregador, seja nos EUA ou no exterior, até o local de trabalho, se o trabalhador completar 50% do período de emprego coberto pela ordem de serviço"&amp;", de acordo com 20 CFR 655.20(j)(1)(i), mediante inclusão no pagamento da semana aplicável. O empregador fornecerá ou pagará o custo do transporte de retorno e da subsistência diária do trabalhador, do local de trabalho até o local de onde o trabalhador p"&amp;"artiu para trabalhar para o empregador, independentemente de empregos intermediários, caso o trabalhador complete o período de emprego certificado ou seja demitido do emprego por qualquer motivo pelo empregador antes do término do período, de acordo com o"&amp;" § 655.20(j)(1)(ii); os trabalhadores com visto H-2B serão reembolsados ​​na primeira semana de trabalho por todos os vistos, processamento de vistos, travessia de fronteira e outras taxas relacionadas, incluindo aquelas exigidas pelo governo (exceto taxa"&amp;"s de passaporte). O empregador fornecerá aos trabalhadores todas as ferramentas, suprimentos e equipamentos necessários para o desempenho do trabalho, sem custo para o trabalhador, de acordo com o 20 CFR 655.20(k). Os candidatos qualificados podem enviar "&amp;"o currículo para John Collier, no endereço 22 Country Road, Village of Golf, FL 33436, por e-mail para TCCF@ccfgolf.com ou visitar o centro de empregos local em 3400 Belvedere Road, West Palm Beach, FL 33406. *Seu depósito de segurança será reembolsado ap"&amp;"ós a conclusão do contrato e a inspeção da moradia. Se um trabalhador abandonar o emprego sem a permissão do empregador ou abandonar a moradia antes do término do prazo de inscrição por qualquer motivo, exceto rescisão por parte do empregador, o trabalhad"&amp;"or perderá todos os depósitos de moradia, dias de folga remunerada, férias e bônus. Após a rescisão ou demissão, o trabalhador deverá desocupar a moradia imediatamente, a menos que haja acordo com o empregador.* Classificação do Cargo: 35-3011.00 - Barten"&amp;"ders. A classificação e descrição do cargo/setor incluem informações gerais sobre a posição, de acordo com o ONET/OES e o Sistema de Classificação Industrial da América do Norte. Consulte as Funções e a Ordem de Serviço para obter mais informações. Requis"&amp;"itos da vaga Experiência necessária: Sim Meses de experiência necessários: 3 Número de horas por semana: 35 Horário de trabalho (início/término): 6h às 22h")</f>
        <v>Recebe pedidos, prepara e serve bebidas aos clientes. Mantém o bar abastecido e limpo, leva a comida da cozinha para o bar e recebe pagamentos. (4) vagas disponíveis. Período: 01/10/2026 a 31/05/2027. Necessário 3 meses de experiência. Turnos rotativos. Dias de trabalho: segunda a domingo. Horário de trabalho: 6h às 22h. Salário: US$ 19,51 a US$ 24/hora, com base no desempenho; horas extras: US$ 29,27 a US$ 36/hora. Pagamento quinzenal. O Clube oferece um bônus anual discricionário ao final da temporada, com base no desempenho e nas condições da acomodação corporativa. Acomodação opcional disponível por US$ 180/semana, sem necessidade de depósito. No entanto, reprovação em inspeções do apartamento/casa pode resultar em medidas disciplinares e/ou responsabilidade financeira pela reposição de itens danificados ou faltantes. Em caso de rescisão do contrato de trabalho ou demissão, o funcionário deve desocupar a acomodação imediatamente, a menos que outras providências tenham sido aprovadas e documentadas por escrito pelo The Country Club of Florida. Uniformes e refeições durante o turno são fornecidos. Local de trabalho: 22 Country Road, Village of Golf, FL 33436. A vaga é temporária, em tempo integral. O salário será calculado com base em uma semana de trabalho. Poderá haver até 10 horas extras, quando disponíveis. Todos os descontos obrigatórios por lei serão feitos no contracheque do trabalhador. O empregador fornecerá gratuitamente todas as ferramentas, materiais e equipamentos necessários para a execução do trabalho. O trabalhador receberá ou será reembolsado pelo transporte e subsistência (incluindo o custo razoável de hospedagem noturna, quando necessário, até US$ 110/noite para hospedagem com recibos) a uma taxa de US$ 16,78 por dia durante a viagem, até um máximo de US$ 68,00 por dia com recibos, desde o local de onde o trabalhador veio trabalhar para o empregador, seja nos EUA ou no exterior, até o local de trabalho, se o trabalhador completar 50% do período de emprego coberto pela ordem de serviço, de acordo com 20 CFR 655.20(j)(1)(i), mediante inclusão no pagamento da semana aplicável. O empregador fornecerá ou pagará o custo do transporte de retorno e da subsistência diária do trabalhador, do local de trabalho até o local de onde o trabalhador partiu para trabalhar para o empregador, independentemente de empregos intermediários, caso o trabalhador complete o período de emprego certificado ou seja demitido do emprego por qualquer motivo pelo empregador antes do término do período, de acordo com o § 655.20(j)(1)(ii); os trabalhadores com visto H-2B serão reembolsados ​​na primeira semana de trabalho por todos os vistos, processamento de vistos, travessia de fronteira e outras taxas relacionadas, incluindo aquelas exigidas pelo governo (exceto taxas de passaporte). O empregador fornecerá aos trabalhadores todas as ferramentas, suprimentos e equipamentos necessários para o desempenho do trabalho, sem custo para o trabalhador, de acordo com o 20 CFR 655.20(k). Os candidatos qualificados podem enviar o currículo para John Collier, no endereço 22 Country Road, Village of Golf, FL 33436, por e-mail para TCCF@ccfgolf.com ou visitar o centro de empregos local em 3400 Belvedere Road, West Palm Beach, FL 33406. *Seu depósito de segurança será reembolsado após a conclusão do contrato e a inspeção da moradia. Se um trabalhador abandonar o emprego sem a permissão do empregador ou abandonar a moradia antes do término do prazo de inscrição por qualquer motivo, exceto rescisão por parte do empregador, o trabalhador perderá todos os depósitos de moradia, dias de folga remunerada, férias e bônus. Após a rescisão ou demissão, o trabalhador deverá desocupar a moradia imediatamente, a menos que haja acordo com o empregador.* Classificação do Cargo: 35-3011.00 - Bartenders. A classificação e descrição do cargo/setor incluem informações gerais sobre a posição, de acordo com o ONET/OES e o Sistema de Classificação Industrial da América do Norte. Consulte as Funções e a Ordem de Serviço para obter mais informações. Requisitos da vaga Experiência necessária: Sim Meses de experiência necessários: 3 Número de horas por semana: 35 Horário de trabalho (início/término): 6h às 22h</v>
      </c>
    </row>
    <row r="1836" ht="20.25" customHeight="1">
      <c r="A1836" s="3" t="s">
        <v>8212</v>
      </c>
      <c r="B1836" s="3" t="s">
        <v>8213</v>
      </c>
      <c r="C1836" s="3" t="s">
        <v>7651</v>
      </c>
      <c r="D1836" s="3" t="s">
        <v>3015</v>
      </c>
      <c r="E1836" s="4" t="s">
        <v>19</v>
      </c>
      <c r="F1836" s="4" t="s">
        <v>20</v>
      </c>
      <c r="G1836" s="4" t="s">
        <v>345</v>
      </c>
      <c r="H1836" s="3" t="s">
        <v>8039</v>
      </c>
      <c r="I1836" s="3" t="s">
        <v>8046</v>
      </c>
      <c r="J1836" s="4">
        <v>18.26</v>
      </c>
      <c r="K1836" s="4">
        <v>10.0</v>
      </c>
      <c r="L1836" s="3" t="s">
        <v>8097</v>
      </c>
      <c r="M1836" s="3" t="s">
        <v>8214</v>
      </c>
      <c r="N1836" s="7" t="str">
        <f>IFERROR(__xludf.DUMMYFUNCTION("GOOGLETRANSLATE(L1836, ""en"", ""pt"")"),"Serviços de limpeza de neve")</f>
        <v>Serviços de limpeza de neve</v>
      </c>
      <c r="O1836" s="7" t="str">
        <f>IFERROR(__xludf.DUMMYFUNCTION("IF(M1836="""","""",GOOGLETRANSLATE(M1836,""en"",""pt""))"),"***Resposta à Solicitação de Informações*** Os trabalhadores realizarão serviços temporários e em tempo integral de limpeza, remoção de neve e manutenção externa de propriedades. As funções incluem a remoção de neve, gelo, lama, folhas, galhos, lixo e out"&amp;"ros detritos de calçadas, passarelas, entradas, estacionamentos, áreas de carga e descarga e outras áreas comuns externas, utilizando pás, sopradores de neve, vassouras manuais, sopradores de folhas, quebra-gelos, raspadores, ancinhos e ferramentas manuai"&amp;"s. Os trabalhadores aplicarão sal, areia e produtos para derretimento de gelo utilizando espalhadores manuais ou de empurrar para manter superfícies seguras para pedestres e motoristas. Além disso, os trabalhadores poderão auxiliar nas operações de varriç"&amp;"ão de ruas e estacionamentos como parte da manutenção rotineira da propriedade externa. Essas funções se limitam à limpeza de superfícies pavimentadas por meio de varrição manual ou utilizando varredoras mecânicas comerciais, manuais ou autopropelidas, pa"&amp;"ra remover folhas, sujeira, poeira, lixo, cascalho e outros detritos acumulados em estacionamentos, ruas particulares, calçadas, meio-fios, sarjetas, áreas de carga e descarga e superfícies pavimentadas similares. Os trabalhadores também podem usar vassou"&amp;"ras de empurrar, sopradores de folhas, apanhadores de lixo, pás de lixo, pás e contêineres de coleta de lixo para recolher e descartar detritos. Essas atividades são realizadas para manter propriedades comerciais e residenciais limpas, seguras e apresentá"&amp;"veis, e não se tratam de construção de estradas ou manutenção de ruas municipais. As tarefas gerais de manutenção externa podem incluir coleta de lixo, esvaziamento de lixeiras externas, limpeza ao redor de entradas e áreas de contêineres de lixo, remoção"&amp;" de galhos caídos e detritos de tempestades, varrição de calçadas e meio-fios, limpeza de canteiros ajardinados e preparação de áreas externas para as condições climáticas sazonais, utilizando ferramentas manuais e equipamentos padrão de manutenção de pro"&amp;"priedades comerciais. ***Original*** Realizar serviços temporários e em tempo integral de manutenção de inverno e remoção de neve para propriedades comerciais e residenciais. Remover neve, gelo, lama, folhas, galhos, lama e detritos de calçadas, passarela"&amp;"s, entradas, estacionamentos e áreas comuns usando pás, sopradores de neve, vassouras, sopradores de folhas e outras ferramentas manuais ou elétricas. Aplicar sal e produtos para derreter gelo para manter condições seguras. Executar limpeza externa, remoç"&amp;"ão de lixo, varrição, limpeza sazonal e outras tarefas de manutenção predial. Durante períodos sem neve, auxiliar na varrição de ruas e estacionamentos e na manutenção externa geral. O trabalho pode incluir turnos noturnos, fins de semana, feriados e aten"&amp;"dimento a emergências climáticas. As tarefas também podem incluir atividades de limpeza de outono e primavera, como recolher folhas, limpar calhas, remover galhos e detritos de tempestades, limpar áreas ajardinadas e preparar as propriedades para as condi"&amp;"ções climáticas sazonais. Classificação da vaga: 37-2011.00 - Zeladores e Faxineiros, exceto empregadas domésticas e faxineiras. A classificação e descrição da vaga/setor incluem informações gerais sobre o cargo, de acordo com o ONET/OES e o Sistema de Cl"&amp;"assificação Industrial da América do Norte (NAICS). Consulte as Funções e a Ordem de Serviço para obter mais informações. Requisitos da vaga: Experiência necessária: Sim. Meses de experiência necessários: 3. Requisitos especiais: Deve ser capaz de levanta"&amp;"r e carregar 34 kg de neve por 70 metros e suportar temperaturas extremas. Trabalho em alguns fins de semana. Número de horas por semana: 40 Horário de trabalho (início/término): 7h00 - 15h30")</f>
        <v>***Resposta à Solicitação de Informações*** Os trabalhadores realizarão serviços temporários e em tempo integral de limpeza, remoção de neve e manutenção externa de propriedades. As funções incluem a remoção de neve, gelo, lama, folhas, galhos, lixo e outros detritos de calçadas, passarelas, entradas, estacionamentos, áreas de carga e descarga e outras áreas comuns externas, utilizando pás, sopradores de neve, vassouras manuais, sopradores de folhas, quebra-gelos, raspadores, ancinhos e ferramentas manuais. Os trabalhadores aplicarão sal, areia e produtos para derretimento de gelo utilizando espalhadores manuais ou de empurrar para manter superfícies seguras para pedestres e motoristas. Além disso, os trabalhadores poderão auxiliar nas operações de varrição de ruas e estacionamentos como parte da manutenção rotineira da propriedade externa. Essas funções se limitam à limpeza de superfícies pavimentadas por meio de varrição manual ou utilizando varredoras mecânicas comerciais, manuais ou autopropelidas, para remover folhas, sujeira, poeira, lixo, cascalho e outros detritos acumulados em estacionamentos, ruas particulares, calçadas, meio-fios, sarjetas, áreas de carga e descarga e superfícies pavimentadas similares. Os trabalhadores também podem usar vassouras de empurrar, sopradores de folhas, apanhadores de lixo, pás de lixo, pás e contêineres de coleta de lixo para recolher e descartar detritos. Essas atividades são realizadas para manter propriedades comerciais e residenciais limpas, seguras e apresentáveis, e não se tratam de construção de estradas ou manutenção de ruas municipais. As tarefas gerais de manutenção externa podem incluir coleta de lixo, esvaziamento de lixeiras externas, limpeza ao redor de entradas e áreas de contêineres de lixo, remoção de galhos caídos e detritos de tempestades, varrição de calçadas e meio-fios, limpeza de canteiros ajardinados e preparação de áreas externas para as condições climáticas sazonais, utilizando ferramentas manuais e equipamentos padrão de manutenção de propriedades comerciais. ***Original*** Realizar serviços temporários e em tempo integral de manutenção de inverno e remoção de neve para propriedades comerciais e residenciais. Remover neve, gelo, lama, folhas, galhos, lama e detritos de calçadas, passarelas, entradas, estacionamentos e áreas comuns usando pás, sopradores de neve, vassouras, sopradores de folhas e outras ferramentas manuais ou elétricas. Aplicar sal e produtos para derreter gelo para manter condições seguras. Executar limpeza externa, remoção de lixo, varrição, limpeza sazonal e outras tarefas de manutenção predial. Durante períodos sem neve, auxiliar na varrição de ruas e estacionamentos e na manutenção externa geral. O trabalho pode incluir turnos noturnos, fins de semana, feriados e atendimento a emergências climáticas. As tarefas também podem incluir atividades de limpeza de outono e primavera, como recolher folhas, limpar calhas, remover galhos e detritos de tempestades, limpar áreas ajardinadas e preparar as propriedades para as condições climáticas sazonais. Classificação da vaga: 37-2011.00 - Zeladores e Faxineiros, exceto empregadas domésticas e faxineiras. A classificação e descrição da vaga/setor incluem informações gerais sobre o cargo, de acordo com o ONET/OES e o Sistema de Classificação Industrial da América do Norte (NAICS). Consulte as Funções e a Ordem de Serviço para obter mais informações. Requisitos da vaga: Experiência necessária: Sim. Meses de experiência necessários: 3. Requisitos especiais: Deve ser capaz de levantar e carregar 34 kg de neve por 70 metros e suportar temperaturas extremas. Trabalho em alguns fins de semana. Número de horas por semana: 40 Horário de trabalho (início/término): 7h00 - 15h30</v>
      </c>
    </row>
    <row r="1837" ht="20.25" customHeight="1">
      <c r="A1837" s="8" t="s">
        <v>8215</v>
      </c>
      <c r="B1837" s="8" t="s">
        <v>8213</v>
      </c>
      <c r="C1837" s="8" t="s">
        <v>7651</v>
      </c>
      <c r="D1837" s="8" t="s">
        <v>3015</v>
      </c>
      <c r="E1837" s="9" t="s">
        <v>19</v>
      </c>
      <c r="F1837" s="9" t="s">
        <v>20</v>
      </c>
      <c r="G1837" s="9" t="s">
        <v>345</v>
      </c>
      <c r="H1837" s="8" t="s">
        <v>8039</v>
      </c>
      <c r="I1837" s="8" t="s">
        <v>8040</v>
      </c>
      <c r="J1837" s="9">
        <v>16.63</v>
      </c>
      <c r="K1837" s="9">
        <v>40.0</v>
      </c>
      <c r="L1837" s="8" t="s">
        <v>177</v>
      </c>
      <c r="M1837" s="8" t="s">
        <v>8216</v>
      </c>
      <c r="N1837" s="7" t="str">
        <f>IFERROR(__xludf.DUMMYFUNCTION("GOOGLETRANSLATE(L1837, ""en"", ""pt"")"),"Empregadas domésticas")</f>
        <v>Empregadas domésticas</v>
      </c>
      <c r="O1837" s="7" t="str">
        <f>IFERROR(__xludf.DUMMYFUNCTION("IF(M1837="""","""",GOOGLETRANSLATE(M1837,""en"",""pt""))"),"Executar qualquer combinação de tarefas de limpeza leve para manter as instalações do hotel limpas e organizadas. As tarefas podem incluir arrumar camas, repor roupa de cama, limpar quartos e corredores e aspirar o pó. Classificação da vaga: 37-2012.00 - "&amp;"Camareiras e Auxiliares de Limpeza. A classificação e descrição da vaga/setor inclui informações gerais sobre o cargo, de acordo com o ONET/OES e o Sistema de Classificação Industrial da América do Norte (NAICS). Consulte a Descrição das Funções e a Ordem"&amp;" de Serviço para obter mais informações. Requisitos da vaga: Experiência necessária: Sim. Meses de experiência necessários: 3. Requisitos especiais: Levantar e carregar 11 kg por 45 metros. Deve ser capaz de dobrar os braços, pernas e costas, estender os "&amp;"braços e as mãos para cima, trabalhar de joelhos e usar as mãos e os braços para agarrar, empurrar e puxar. Número de horas por semana: 40. Horário de trabalho (início/término): 7h às 15h30.")</f>
        <v>Executar qualquer combinação de tarefas de limpeza leve para manter as instalações do hotel limpas e organizadas. As tarefas podem incluir arrumar camas, repor roupa de cama, limpar quartos e corredores e aspirar o pó. Classificação da vaga: 37-2012.00 - Camareiras e Auxiliares de Limpeza. A classificação e descrição da vaga/setor inclui informações gerais sobre o cargo, de acordo com o ONET/OES e o Sistema de Classificação Industrial da América do Norte (NAICS). Consulte a Descrição das Funções e a Ordem de Serviço para obter mais informações. Requisitos da vaga: Experiência necessária: Sim. Meses de experiência necessários: 3. Requisitos especiais: Levantar e carregar 11 kg por 45 metros. Deve ser capaz de dobrar os braços, pernas e costas, estender os braços e as mãos para cima, trabalhar de joelhos e usar as mãos e os braços para agarrar, empurrar e puxar. Número de horas por semana: 40. Horário de trabalho (início/término): 7h às 15h30.</v>
      </c>
    </row>
    <row r="1838" ht="20.25" customHeight="1">
      <c r="A1838" s="3" t="s">
        <v>8217</v>
      </c>
      <c r="B1838" s="3" t="s">
        <v>8213</v>
      </c>
      <c r="C1838" s="3" t="s">
        <v>7651</v>
      </c>
      <c r="D1838" s="3" t="s">
        <v>3015</v>
      </c>
      <c r="E1838" s="4" t="s">
        <v>19</v>
      </c>
      <c r="F1838" s="4" t="s">
        <v>20</v>
      </c>
      <c r="G1838" s="4" t="s">
        <v>345</v>
      </c>
      <c r="H1838" s="3" t="s">
        <v>8039</v>
      </c>
      <c r="I1838" s="3" t="s">
        <v>8040</v>
      </c>
      <c r="J1838" s="4">
        <v>24.27</v>
      </c>
      <c r="K1838" s="4">
        <v>6.0</v>
      </c>
      <c r="L1838" s="3" t="s">
        <v>8218</v>
      </c>
      <c r="M1838" s="3" t="s">
        <v>8219</v>
      </c>
      <c r="N1838" s="7" t="str">
        <f>IFERROR(__xludf.DUMMYFUNCTION("GOOGLETRANSLATE(L1838, ""en"", ""pt"")"),"Supervisores de limpeza")</f>
        <v>Supervisores de limpeza</v>
      </c>
      <c r="O1838" s="7" t="str">
        <f>IFERROR(__xludf.DUMMYFUNCTION("IF(M1838="""","""",GOOGLETRANSLATE(M1838,""en"",""pt""))"),"Descrição da vaga: Supervisionar e coordenar a equipe de limpeza do hotel, responsável pela limpeza dos quartos e áreas comuns. Garantir que todos os padrões de limpeza do hotel, as expectativas de atendimento ao hóspede e os procedimentos de segurança se"&amp;"jam atendidos de forma eficiente e consistente. Principais responsabilidades: Atribuir cronogramas de limpeza diários e listas de quartos à equipe de limpeza; Treinar membros novos e antigos da equipe sobre os padrões de limpeza do hotel, as expectativas "&amp;"de atendimento ao hóspede e os protocolos de segurança; Inspecionar quartos, corredores e áreas comuns para garantir a qualidade e a disponibilidade para os hóspedes; Monitorar o estoque de roupas de cama, produtos de limpeza e amenidades para hóspedes; S"&amp;"olicitar reposição de estoque conforme necessário. Auxiliar a equipe com tarefas de limpeza durante períodos de pico ou falta de pessoal. Atender às solicitações dos hóspedes e coordenar com a recepção e a gerência as atualizações sobre o status dos quart"&amp;"os. Manter registros de limpeza, registros de atribuição de quartos e folhas de ponto. Apoiar o desempenho da equipe por meio de treinamento e supervisão diária. Garantir o cumprimento das políticas da empresa, normas de segurança da OSHA e padrões de lim"&amp;"peza. Não pode contratar, demitir ou disciplinar funcionários de forma independente. Não pode definir salários, preços, orçamentos ou negociar contratos. Não pode tomar decisões de escala de trabalho fora da escala de limpeza designada. Trabalha sob a sup"&amp;"ervisão da gerência do hotel e segue os protocolos estabelecidos. Classificação do Cargo: 37-1011.00 - Supervisores de Primeira Linha de Funcionários de Limpeza e Higienização. A classificação e descrição do cargo/setor inclui informações gerais sobre a p"&amp;"osição, de acordo com o ONET/OES e o Sistema de Classificação Industrial da América do Norte. Consulte as Funções e a Ordem de Serviço para obter mais informações. Requisitos da vaga Experiência necessária: Sim Meses de experiência necessários: 3 Requisit"&amp;"os especiais: Deve ser capaz de levantar e carregar 34 kg por 68 metros e suportar temperaturas extremas Número de horas por semana: 40 Horário de trabalho (início/término): 7h às 15h30")</f>
        <v>Descrição da vaga: Supervisionar e coordenar a equipe de limpeza do hotel, responsável pela limpeza dos quartos e áreas comuns. Garantir que todos os padrões de limpeza do hotel, as expectativas de atendimento ao hóspede e os procedimentos de segurança sejam atendidos de forma eficiente e consistente. Principais responsabilidades: Atribuir cronogramas de limpeza diários e listas de quartos à equipe de limpeza; Treinar membros novos e antigos da equipe sobre os padrões de limpeza do hotel, as expectativas de atendimento ao hóspede e os protocolos de segurança; Inspecionar quartos, corredores e áreas comuns para garantir a qualidade e a disponibilidade para os hóspedes; Monitorar o estoque de roupas de cama, produtos de limpeza e amenidades para hóspedes; Solicitar reposição de estoque conforme necessário. Auxiliar a equipe com tarefas de limpeza durante períodos de pico ou falta de pessoal. Atender às solicitações dos hóspedes e coordenar com a recepção e a gerência as atualizações sobre o status dos quartos. Manter registros de limpeza, registros de atribuição de quartos e folhas de ponto. Apoiar o desempenho da equipe por meio de treinamento e supervisão diária. Garantir o cumprimento das políticas da empresa, normas de segurança da OSHA e padrões de limpeza. Não pode contratar, demitir ou disciplinar funcionários de forma independente. Não pode definir salários, preços, orçamentos ou negociar contratos. Não pode tomar decisões de escala de trabalho fora da escala de limpeza designada. Trabalha sob a supervisão da gerência do hotel e segue os protocolos estabelecidos. Classificação do Cargo: 37-1011.00 - Supervisores de Primeira Linha de Funcionários de Limpeza e Higienização. A classificação e descrição do cargo/setor inclui informações gerais sobre a posição, de acordo com o ONET/OES e o Sistema de Classificação Industrial da América do Norte. Consulte as Funções e a Ordem de Serviço para obter mais informações. Requisitos da vaga Experiência necessária: Sim Meses de experiência necessários: 3 Requisitos especiais: Deve ser capaz de levantar e carregar 34 kg por 68 metros e suportar temperaturas extremas Número de horas por semana: 40 Horário de trabalho (início/término): 7h às 15h30</v>
      </c>
    </row>
    <row r="1839" ht="20.25" customHeight="1">
      <c r="A1839" s="8" t="s">
        <v>8220</v>
      </c>
      <c r="B1839" s="8" t="s">
        <v>8213</v>
      </c>
      <c r="C1839" s="8" t="s">
        <v>7651</v>
      </c>
      <c r="D1839" s="8" t="s">
        <v>3015</v>
      </c>
      <c r="E1839" s="9" t="s">
        <v>19</v>
      </c>
      <c r="F1839" s="9" t="s">
        <v>20</v>
      </c>
      <c r="G1839" s="9" t="s">
        <v>345</v>
      </c>
      <c r="H1839" s="8" t="s">
        <v>8039</v>
      </c>
      <c r="I1839" s="8" t="s">
        <v>8046</v>
      </c>
      <c r="J1839" s="9">
        <v>17.19</v>
      </c>
      <c r="K1839" s="9">
        <v>6.0</v>
      </c>
      <c r="L1839" s="8" t="s">
        <v>8221</v>
      </c>
      <c r="M1839" s="8" t="s">
        <v>8222</v>
      </c>
      <c r="N1839" s="7" t="str">
        <f>IFERROR(__xludf.DUMMYFUNCTION("GOOGLETRANSLATE(L1839, ""en"", ""pt"")"),"Atendentes de lavanderia")</f>
        <v>Atendentes de lavanderia</v>
      </c>
      <c r="O1839" s="7" t="str">
        <f>IFERROR(__xludf.DUMMYFUNCTION("IF(M1839="""","""",GOOGLETRANSLATE(M1839,""en"",""pt""))"),"Separar roupas de cama, toalhas e uniformes sujos por tipo e nível de sujidade. Carregar/descarregar lavadoras e secadoras comerciais. Operar equipamentos básicos de lavanderia (lavadoras, secadoras, dobradeiras). Dobrar, empilhar e organizar roupas de ca"&amp;"ma e toalhas limpas. Inspecionar roupas de cama em busca de manchas ou danos e separar os itens que precisam ser lavados novamente ou descartados. Manter o armazenamento organizado de roupas limpas e entregá-las nas áreas designadas. Limpar a área de lava"&amp;"nderia e manter as máquinas de lavar/secar, limpando e removendo os filtros de fiapos. Seguir as diretrizes de segurança e higiene. Classificação do Cargo: 51-6011.00 - Trabalhadores de Lavanderia e Limpeza a Seco. A classificação e descrição do cargo/set"&amp;"or incluem informações gerais sobre a posição, de acordo com o ONET/OES e o Sistema de Classificação Industrial da América do Norte. Consulte as Funções e a Ordem de Serviço para obter mais informações. Requisitos do Cargo: Experiência Necessária: Sim. Me"&amp;"ses de Experiência Necessários: 3. Requisitos Especiais: Não é necessária experiência. Treinamento fornecido. Capacidade de levantar até 18 kg e permanecer em pé por longos períodos. Capacidade de seguir instruções e trabalhar com eficiência. Capacidade d"&amp;"e trabalhar em um ambiente dinâmico e realizar tarefas repetitivas. Número de horas por semana: 40. Horário de trabalho (início/término): 7h às 15h30.")</f>
        <v>Separar roupas de cama, toalhas e uniformes sujos por tipo e nível de sujidade. Carregar/descarregar lavadoras e secadoras comerciais. Operar equipamentos básicos de lavanderia (lavadoras, secadoras, dobradeiras). Dobrar, empilhar e organizar roupas de cama e toalhas limpas. Inspecionar roupas de cama em busca de manchas ou danos e separar os itens que precisam ser lavados novamente ou descartados. Manter o armazenamento organizado de roupas limpas e entregá-las nas áreas designadas. Limpar a área de lavanderia e manter as máquinas de lavar/secar, limpando e removendo os filtros de fiapos. Seguir as diretrizes de segurança e higiene. Classificação do Cargo: 51-6011.00 - Trabalhadores de Lavanderia e Limpeza a Seco. A classificação e descrição do cargo/setor incluem informações gerais sobre a posição, de acordo com o ONET/OES e o Sistema de Classificação Industrial da América do Norte. Consulte as Funções e a Ordem de Serviço para obter mais informações. Requisitos do Cargo: Experiência Necessária: Sim. Meses de Experiência Necessários: 3. Requisitos Especiais: Não é necessária experiência. Treinamento fornecido. Capacidade de levantar até 18 kg e permanecer em pé por longos períodos. Capacidade de seguir instruções e trabalhar com eficiência. Capacidade de trabalhar em um ambiente dinâmico e realizar tarefas repetitivas. Número de horas por semana: 40. Horário de trabalho (início/término): 7h às 15h30.</v>
      </c>
    </row>
    <row r="1840" ht="20.25" customHeight="1">
      <c r="A1840" s="3" t="s">
        <v>8223</v>
      </c>
      <c r="B1840" s="3" t="s">
        <v>8224</v>
      </c>
      <c r="C1840" s="3" t="s">
        <v>7651</v>
      </c>
      <c r="D1840" s="3" t="s">
        <v>186</v>
      </c>
      <c r="E1840" s="4" t="s">
        <v>19</v>
      </c>
      <c r="F1840" s="4" t="s">
        <v>20</v>
      </c>
      <c r="G1840" s="4" t="s">
        <v>524</v>
      </c>
      <c r="H1840" s="3" t="s">
        <v>8225</v>
      </c>
      <c r="I1840" s="3" t="s">
        <v>8226</v>
      </c>
      <c r="J1840" s="4">
        <v>24.71</v>
      </c>
      <c r="K1840" s="4">
        <v>20.0</v>
      </c>
      <c r="L1840" s="3" t="s">
        <v>8227</v>
      </c>
      <c r="M1840" s="3" t="s">
        <v>8228</v>
      </c>
      <c r="N1840" s="7" t="str">
        <f>IFERROR(__xludf.DUMMYFUNCTION("GOOGLETRANSLATE(L1840, ""en"", ""pt"")"),"Operário da Construção Civil – Reabilitação de Infraestrutura Subterrânea")</f>
        <v>Operário da Construção Civil – Reabilitação de Infraestrutura Subterrânea</v>
      </c>
      <c r="O1840" s="7" t="str">
        <f>IFERROR(__xludf.DUMMYFUNCTION("IF(M1840="""","""",GOOGLETRANSLATE(M1840,""en"",""pt""))"),"***Resposta à Solicitação de Informações*** Reconstrução de bancadas, fundos e canais de escoamento de bueiros: Os trabalhadores se deslocam até o bueiro, removem a tampa com um gancho e montam um tripé e uma escada para entrada segura. Dentro do bueiro, "&amp;"removem o concreto deteriorado, tijolos e detritos usando martelos, cinzéis, raspadores, alavancas e pás, e em seguida limpam as superfícies com uma mangueira de água de alta pressão ou lavadora de alta pressão. Os trabalhadores misturam argamassa de cime"&amp;"nto em baldes e a aplicam com colheres de pedreiro e desempenadeiras para reconstruir as bancadas, fundos e canais de escoamento. Tijolos ou materiais de reparo de concreto são instalados conforme necessário, seguidos de inspeção e restauração do local. F"&amp;"erramentas/Equipamentos: Ganchos para bueiros, tripé, escada, martelos, cinzéis, raspadores, alavancas, pás, baldes, ferramentas de mistura, colheres de pedreiro, desempenadeiras, lavadora de alta pressão/mangueira de alta pressão, detector de gás e EPI. "&amp;"Materiais: Argamassa de cimento, água, tijolos (conforme necessário), materiais para reparo de concreto e rejunte (conforme necessário). 2. Operação de tampões de fluxo contínuo e ferramentas de desvio de esgoto: O operário retira os tampões de fluxo cont"&amp;"ínuo do trailer de trabalho, inspeciona-os quanto a danos, instala as capas protetoras e os transporta até o poço de visita. O trabalhador auxilia o encarregado, passando o tampão para dentro do poço de visita e, após a conclusão do trabalho, ajuda a remo"&amp;"ver, limpar e armazenar o equipamento. Ferramentas/Equipamentos: Tampões de fluxo contínuo, capas protetoras, trailer de trabalho e EPI. Materiais: Nenhum. 3. Utilização de equipamentos de jateamento de areia, esmerilhadeiras e pulverizadores de concreto:"&amp;" Os trabalhadores auxiliam na preparação de tubulações de esgoto e poços de visita, removendo corrosão, revestimentos deteriorados, concreto solto e detritos. O operário retira o equipamento de jateamento de areia, mangueiras, compressores e ferramentas r"&amp;"elacionadas, conecta o equipamento e carrega o abrasivo. O trabalhador auxilia o operador de jateamento de areia certificado, fornecendo materiais, monitorando mangueiras e reposicionando equipamentos. Quando necessário, utiliza esmerilhadeiras manuais pa"&amp;"ra remover irregularidades da superfície. O trabalhador também auxilia com equipamentos de projeção de concreto, transportando materiais cimentícios ou geopoliméricos, misturando e carregando materiais, conectando mangueiras, limpando equipamentos e auxil"&amp;"iando o operador de bicos durante a aplicação de revestimentos, pinturas e produtos de reabilitação. Ferramentas/Equipamentos: Equipamentos de jateamento de areia, compressores, abrasivos, esmerilhadeiras manuais, equipamentos de projeção de concreto, bet"&amp;"oneiras, mangueiras, geradores, baldes, pás, colheres de pedreiro e EPIs. Materiais: Abrasivos para jateamento (grãos), argamassa cimentícia, materiais geopoliméricos e água. ***Original F.a.2*** Executar tarefas envolvendo a manutenção e reabilitação est"&amp;"rutural de infraestrutura subterrânea de águas pluviais e esgoto sanitário. As funções incluem: Entrada em espaços confinados, como poços de visita e estruturas subterrâneas de serviços públicos. Utilização de sistemas de água de alta pressão para limpeza"&amp;" e perfilamento de superfícies (ex.: hidrojateamento, lavagem de alta pressão). Vedação e estanqueidade de infiltrações em fissuras, juntas e conexões de tubulações utilizando argamassa e selantes. Aplicação de revestimentos cimentícios e epóxi por pulver"&amp;"ização e alisamento para restaurar a integridade estrutural. Instalação de sistemas de vedação de estrutura, ajuste ou substituição de anéis, estruturas e tampas de bueiros. Reconstrução de bancadas, fundos e canais de fluxo de bueiros. Operação de tampõe"&amp;"s de fluxo contínuo e ferramentas de desvio de esgoto. Utilização de equipamentos de jateamento de areia, esmerilhadeiras e pulverizadores de concreto. Execução de trabalhos braçais gerais, incluindo levantamento de materiais, preparação de locais de trab"&amp;"alho e limpeza de detritos. Cumprimento de todos os protocolos de segurança da OSHA e procedimentos da empresa para entrada em espaços confinados, uso de equipamentos de proteção individual (EPI) e manuseio de equipamentos. Classificação da função: 47-407"&amp;"1.00 - Serviços de Fossas Sépticas e Limpeza de Tubulações de Esgoto. A classificação e descrição da função/setor inclui informações gerais sobre o cargo, conforme ONET/OES e o Sistema de Classificação Industrial da América do Norte (NAICS). Consulte a De"&amp;"scrição das Funções e a Ordem de Serviço para obter mais informações. Requisitos da Vaga Experiência Necessária: Sim Meses de Experiência Necessários: 3 Requisitos Especiais: Necessário ser capaz de trabalhar em espaços confinados, suportar temperaturas e"&amp;"xtremas e carregar 23 kg (50 lbs) Número de Horas por Semana: 48 Horário de Trabalho (Início/Término): 8h00 - 17h00")</f>
        <v>***Resposta à Solicitação de Informações*** Reconstrução de bancadas, fundos e canais de escoamento de bueiros: Os trabalhadores se deslocam até o bueiro, removem a tampa com um gancho e montam um tripé e uma escada para entrada segura. Dentro do bueiro, removem o concreto deteriorado, tijolos e detritos usando martelos, cinzéis, raspadores, alavancas e pás, e em seguida limpam as superfícies com uma mangueira de água de alta pressão ou lavadora de alta pressão. Os trabalhadores misturam argamassa de cimento em baldes e a aplicam com colheres de pedreiro e desempenadeiras para reconstruir as bancadas, fundos e canais de escoamento. Tijolos ou materiais de reparo de concreto são instalados conforme necessário, seguidos de inspeção e restauração do local. Ferramentas/Equipamentos: Ganchos para bueiros, tripé, escada, martelos, cinzéis, raspadores, alavancas, pás, baldes, ferramentas de mistura, colheres de pedreiro, desempenadeiras, lavadora de alta pressão/mangueira de alta pressão, detector de gás e EPI. Materiais: Argamassa de cimento, água, tijolos (conforme necessário), materiais para reparo de concreto e rejunte (conforme necessário). 2. Operação de tampões de fluxo contínuo e ferramentas de desvio de esgoto: O operário retira os tampões de fluxo contínuo do trailer de trabalho, inspeciona-os quanto a danos, instala as capas protetoras e os transporta até o poço de visita. O trabalhador auxilia o encarregado, passando o tampão para dentro do poço de visita e, após a conclusão do trabalho, ajuda a remover, limpar e armazenar o equipamento. Ferramentas/Equipamentos: Tampões de fluxo contínuo, capas protetoras, trailer de trabalho e EPI. Materiais: Nenhum. 3. Utilização de equipamentos de jateamento de areia, esmerilhadeiras e pulverizadores de concreto: Os trabalhadores auxiliam na preparação de tubulações de esgoto e poços de visita, removendo corrosão, revestimentos deteriorados, concreto solto e detritos. O operário retira o equipamento de jateamento de areia, mangueiras, compressores e ferramentas relacionadas, conecta o equipamento e carrega o abrasivo. O trabalhador auxilia o operador de jateamento de areia certificado, fornecendo materiais, monitorando mangueiras e reposicionando equipamentos. Quando necessário, utiliza esmerilhadeiras manuais para remover irregularidades da superfície. O trabalhador também auxilia com equipamentos de projeção de concreto, transportando materiais cimentícios ou geopoliméricos, misturando e carregando materiais, conectando mangueiras, limpando equipamentos e auxiliando o operador de bicos durante a aplicação de revestimentos, pinturas e produtos de reabilitação. Ferramentas/Equipamentos: Equipamentos de jateamento de areia, compressores, abrasivos, esmerilhadeiras manuais, equipamentos de projeção de concreto, betoneiras, mangueiras, geradores, baldes, pás, colheres de pedreiro e EPIs. Materiais: Abrasivos para jateamento (grãos), argamassa cimentícia, materiais geopoliméricos e água. ***Original F.a.2*** Executar tarefas envolvendo a manutenção e reabilitação estrutural de infraestrutura subterrânea de águas pluviais e esgoto sanitário. As funções incluem: Entrada em espaços confinados, como poços de visita e estruturas subterrâneas de serviços públicos. Utilização de sistemas de água de alta pressão para limpeza e perfilamento de superfícies (ex.: hidrojateamento, lavagem de alta pressão). Vedação e estanqueidade de infiltrações em fissuras, juntas e conexões de tubulações utilizando argamassa e selantes. Aplicação de revestimentos cimentícios e epóxi por pulverização e alisamento para restaurar a integridade estrutural. Instalação de sistemas de vedação de estrutura, ajuste ou substituição de anéis, estruturas e tampas de bueiros. Reconstrução de bancadas, fundos e canais de fluxo de bueiros. Operação de tampões de fluxo contínuo e ferramentas de desvio de esgoto. Utilização de equipamentos de jateamento de areia, esmerilhadeiras e pulverizadores de concreto. Execução de trabalhos braçais gerais, incluindo levantamento de materiais, preparação de locais de trabalho e limpeza de detritos. Cumprimento de todos os protocolos de segurança da OSHA e procedimentos da empresa para entrada em espaços confinados, uso de equipamentos de proteção individual (EPI) e manuseio de equipamentos. Classificação da função: 47-4071.00 - Serviços de Fossas Sépticas e Limpeza de Tubulações de Esgoto. A classificação e descrição da função/setor inclui informações gerais sobre o cargo, conforme ONET/OES e o Sistema de Classificação Industrial da América do Norte (NAICS). Consulte a Descrição das Funções e a Ordem de Serviço para obter mais informações. Requisitos da Vaga Experiência Necessária: Sim Meses de Experiência Necessários: 3 Requisitos Especiais: Necessário ser capaz de trabalhar em espaços confinados, suportar temperaturas extremas e carregar 23 kg (50 lbs) Número de Horas por Semana: 48 Horário de Trabalho (Início/Término): 8h00 - 17h00</v>
      </c>
    </row>
    <row r="1841" ht="20.25" customHeight="1">
      <c r="A1841" s="8" t="s">
        <v>8229</v>
      </c>
      <c r="B1841" s="8" t="s">
        <v>8069</v>
      </c>
      <c r="C1841" s="8" t="s">
        <v>197</v>
      </c>
      <c r="D1841" s="8" t="s">
        <v>71</v>
      </c>
      <c r="E1841" s="9" t="s">
        <v>19</v>
      </c>
      <c r="F1841" s="9" t="s">
        <v>20</v>
      </c>
      <c r="G1841" s="9" t="s">
        <v>524</v>
      </c>
      <c r="H1841" s="8" t="s">
        <v>8071</v>
      </c>
      <c r="I1841" s="8" t="s">
        <v>8072</v>
      </c>
      <c r="J1841" s="9">
        <v>19.88</v>
      </c>
      <c r="K1841" s="9">
        <v>12.0</v>
      </c>
      <c r="L1841" s="8" t="s">
        <v>387</v>
      </c>
      <c r="M1841" s="8" t="s">
        <v>8230</v>
      </c>
      <c r="N1841" s="7" t="str">
        <f>IFERROR(__xludf.DUMMYFUNCTION("GOOGLETRANSLATE(L1841, ""en"", ""pt"")"),"Ordem de serviço não disponível")</f>
        <v>Ordem de serviço não disponível</v>
      </c>
      <c r="O1841" s="7" t="str">
        <f>IFERROR(__xludf.DUMMYFUNCTION("IF(M1841="""","""",GOOGLETRANSLATE(M1841,""en"",""pt""))"),"Preparar, cozinhar, refogar, grelhar e fritar itens como frutos do mar, carnes, aves, legumes, massas e sopas. Manter as áreas da cozinha limpas e higienizadas. Armazenar todos os produtos em locais adequados e realizar todos os demais serviços relacionad"&amp;"os à cozinha. (12) vagas disponíveis. Período: 01/10/2026 a 31/05/2027. Necessário 3 meses de experiência. Turnos rotativos. Dias de trabalho: segunda a domingo. Horário de trabalho: 18h às 22h. Salário: US$ 19,88 a US$ 23/hora, com base no desempenho; US"&amp;"$ 29,82 a US$ 34,50/hora para horas extras. Pagamento quinzenal. 35 horas semanais. Alojamento opcional por US$ 375 a cada duas semanas, com depósito de US$ 350 (US$ 200 reembolsáveis ​​após a assinatura do contrato e inspeção do imóvel / US$ 150 não reem"&amp;"bolsáveis). Uniformes e refeições durante o turno fornecidos. Local de trabalho: 400 Vineyards Blvd, Naples, FL 34119. Vaga temporária em tempo integral. Uma única semana de trabalho será utilizada para calcular os salários. O trabalhador poderá receber a"&amp;"té 10 horas extras, quando disponíveis. Todas as deduções exigidas por lei serão feitas no contracheque do trabalhador. O empregador fornecerá ao trabalhador, sem custos, todas as ferramentas, suprimentos e equipamentos necessários para a execução do trab"&amp;"alho. O trabalhador receberá ou será reembolsado pelas despesas de transporte e subsistência (incluindo o custo razoável de hospedagem, quando necessário, até US$ 110 por noite, mediante apresentação de recibos) à taxa de US$ 16,78 por dia durante o deslo"&amp;"camento, até um máximo de US$ 68,00 por dia, mediante apresentação de recibos, desde o local de origem do trabalhador, seja nos EUA ou no exterior, até o local de trabalho, caso o trabalhador complete 50% do período de trabalho coberto pela ordem de servi"&amp;"ço, em conformidade com 20 CFR 655.20(j)(1)(i), mediante inclusão no contracheque da semana correspondente. O empregador fornecerá ou pagará o custo do transporte de retorno e da subsistência diária do trabalhador, do local de trabalho até o local de onde"&amp;" o trabalhador partiu para trabalhar para o empregador, independentemente de empregos intermediários, caso o trabalhador complete o período de emprego certificado ou seja demitido do emprego por qualquer motivo pelo empregador antes do término do período,"&amp;" de acordo com o § 655.20(j)(1)(ii); os trabalhadores com visto H-2B serão reembolsados ​​na primeira semana de trabalho por todos os vistos, processamento de vistos, travessia de fronteira e outras taxas relacionadas, incluindo aquelas exigidas pelo gove"&amp;"rno (exceto taxas de passaporte). O empregador fornecerá aos trabalhadores todas as ferramentas, suprimentos e equipamentos necessários para o desempenho do trabalho, sem custo para o trabalhador, de acordo com o 20 CFR 655.20(k). Os candidatos qualificad"&amp;"os podem enviar o currículo para Jeffrey Lesek, no endereço 400 Vineyards Blvd, Naples, FL 34119, por e-mail para employment@vineyardscountryclubnaples.com ou visitar o centro de empregos local em 6800 Shoppes at Plantation Drive, Suite 170, Fort Myers, F"&amp;"L 33912. *Seu depósito de segurança é reembolsável após a conclusão do contrato e a inspeção da acomodação. Se um trabalhador abandonar o emprego sem a permissão do empregador ou abandonar a acomodação antes do término do prazo de solicitação por qualquer"&amp;" motivo, exceto rescisão contratual por parte do empregador, o trabalhador perderá todos os depósitos de acomodação, dias de folga remunerada, férias e bônus. Após a rescisão ou demissão, o trabalhador deverá desocupar a acomodação imediatamente, a menos "&amp;"que haja acordo com o empregador.* Classificação do Cargo: 35-2014.00 - Cozinheiros, Restaurante. A classificação e a descrição do cargo/setor incluem informações gerais sobre a posição, de acordo com o ONET/OES e o Sistema de Classificação Industrial da "&amp;"América do Norte. Consulte as Funções e a Ordem de Serviço para obter mais informações. Requisitos da vaga Experiência necessária: Sim Meses de experiência necessários: 3 Número de horas por semana: 35 Horário de trabalho (início/término): 6h às 22h")</f>
        <v>Preparar, cozinhar, refogar, grelhar e fritar itens como frutos do mar, carnes, aves, legumes, massas e sopas. Manter as áreas da cozinha limpas e higienizadas. Armazenar todos os produtos em locais adequados e realizar todos os demais serviços relacionados à cozinha. (12) vagas disponíveis. Período: 01/10/2026 a 31/05/2027. Necessário 3 meses de experiência. Turnos rotativos. Dias de trabalho: segunda a domingo. Horário de trabalho: 18h às 22h. Salário: US$ 19,88 a US$ 23/hora, com base no desempenho; US$ 29,82 a US$ 34,50/hora para horas extras. Pagamento quinzenal. 35 horas semanais. Alojamento opcional por US$ 375 a cada duas semanas, com depósito de US$ 350 (US$ 200 reembolsáveis ​​após a assinatura do contrato e inspeção do imóvel / US$ 150 não reembolsáveis). Uniformes e refeições durante o turno fornecidos. Local de trabalho: 400 Vineyards Blvd, Naples, FL 34119. Vaga temporária em tempo integral. Uma única semana de trabalho será utilizada para calcular os salários. O trabalhador poderá receber até 10 horas extras, quando disponíveis. Todas as deduções exigidas por lei serão feitas no contracheque do trabalhador. O empregador fornecerá ao trabalhador, sem custos, todas as ferramentas, suprimentos e equipamentos necessários para a execução do trabalho. O trabalhador receberá ou será reembolsado pelas despesas de transporte e subsistência (incluindo o custo razoável de hospedagem, quando necessário, até US$ 110 por noite, mediante apresentação de recibos) à taxa de US$ 16,78 por dia durante o deslocamento, até um máximo de US$ 68,00 por dia, mediante apresentação de recibos, desde o local de origem do trabalhador, seja nos EUA ou no exterior, até o local de trabalho, caso o trabalhador complete 50% do período de trabalho coberto pela ordem de serviço, em conformidade com 20 CFR 655.20(j)(1)(i), mediante inclusão no contracheque da semana correspondente. O empregador fornecerá ou pagará o custo do transporte de retorno e da subsistência diária do trabalhador, do local de trabalho até o local de onde o trabalhador partiu para trabalhar para o empregador, independentemente de empregos intermediários, caso o trabalhador complete o período de emprego certificado ou seja demitido do emprego por qualquer motivo pelo empregador antes do término do período, de acordo com o § 655.20(j)(1)(ii); os trabalhadores com visto H-2B serão reembolsados ​​na primeira semana de trabalho por todos os vistos, processamento de vistos, travessia de fronteira e outras taxas relacionadas, incluindo aquelas exigidas pelo governo (exceto taxas de passaporte). O empregador fornecerá aos trabalhadores todas as ferramentas, suprimentos e equipamentos necessários para o desempenho do trabalho, sem custo para o trabalhador, de acordo com o 20 CFR 655.20(k). Os candidatos qualificados podem enviar o currículo para Jeffrey Lesek, no endereço 400 Vineyards Blvd, Naples, FL 34119, por e-mail para employment@vineyardscountryclubnaples.com ou visitar o centro de empregos local em 6800 Shoppes at Plantation Drive, Suite 170, Fort Myers, FL 33912. *Seu depósito de segurança é reembolsável após a conclusão do contrato e a inspeção da acomodação. Se um trabalhador abandonar o emprego sem a permissão do empregador ou abandonar a acomodação antes do término do prazo de solicitação por qualquer motivo, exceto rescisão contratual por parte do empregador, o trabalhador perderá todos os depósitos de acomodação, dias de folga remunerada, férias e bônus. Após a rescisão ou demissão, o trabalhador deverá desocupar a acomodação imediatamente, a menos que haja acordo com o empregador.* Classificação do Cargo: 35-2014.00 - Cozinheiros, Restaurante. A classificação e a descrição do cargo/setor incluem informações gerais sobre a posição, de acordo com o ONET/OES e o Sistema de Classificação Industrial da América do Norte. Consulte as Funções e a Ordem de Serviço para obter mais informações. Requisitos da vaga Experiência necessária: Sim Meses de experiência necessários: 3 Número de horas por semana: 35 Horário de trabalho (início/término): 6h às 22h</v>
      </c>
    </row>
    <row r="1842" ht="20.25" customHeight="1">
      <c r="A1842" s="3" t="s">
        <v>8231</v>
      </c>
      <c r="B1842" s="3" t="s">
        <v>8069</v>
      </c>
      <c r="C1842" s="3" t="s">
        <v>197</v>
      </c>
      <c r="D1842" s="3" t="s">
        <v>71</v>
      </c>
      <c r="E1842" s="4" t="s">
        <v>44</v>
      </c>
      <c r="F1842" s="4" t="s">
        <v>20</v>
      </c>
      <c r="G1842" s="4" t="s">
        <v>524</v>
      </c>
      <c r="H1842" s="3" t="s">
        <v>8071</v>
      </c>
      <c r="I1842" s="3" t="s">
        <v>8072</v>
      </c>
      <c r="J1842" s="4">
        <v>20.13</v>
      </c>
      <c r="K1842" s="4">
        <v>18.0</v>
      </c>
      <c r="L1842" s="3" t="s">
        <v>1206</v>
      </c>
      <c r="M1842" s="3" t="s">
        <v>8232</v>
      </c>
      <c r="N1842" s="7" t="str">
        <f>IFERROR(__xludf.DUMMYFUNCTION("GOOGLETRANSLATE(L1842, ""en"", ""pt"")"),"Servidor")</f>
        <v>Servidor</v>
      </c>
      <c r="O1842" s="7" t="str">
        <f>IFERROR(__xludf.DUMMYFUNCTION("IF(M1842="""","""",GOOGLETRANSLATE(M1842,""en"",""pt""))"),"Receber pedidos, servir comidas e bebidas aos clientes. Limpar e arrumar as mesas. Receber pagamentos e entregar recibos. Manter todos os postos de trabalho abastecidos e realizar todos os demais serviços relacionados ao atendimento. (18) vagas disponívei"&amp;"s. Período: 01/10/2026 a 31/05/2027. Necessário 3 meses de experiência. Turnos rotativos. Dias de trabalho: segunda a domingo. Horário: 18h às 22h. Salário: US$ 10,98 a US$ 13/hora, mais gorjetas, mas não menos que US$ 20,13/hora, US$ 30,20/hora para hora"&amp;"s extras. Pagamento quinzenal. 35 horas semanais. Alojamento opcional por US$ 375 a cada duas semanas, com depósito de US$ 350 (US$ 200 reembolsáveis ​​após a assinatura do contrato e vistoria do imóvel/US$ 150 não reembolsáveis). Uniformes e refeições du"&amp;"rante o turno fornecidos. Local de trabalho: 400 Vineyards Blvd, Naples, FL 34119. Trabalho temporário em tempo integral. O salário será calculado com base em uma única semana de trabalho. Poderá ser feito até 10 horas extras, quando disponíveis. Todos os"&amp;" descontos exigidos por lei serão efetuados no contracheque do trabalhador. O empregador fornecerá ao trabalhador, sem custos, todas as ferramentas, materiais e equipamentos necessários para a execução do trabalho. O trabalhador receberá ou será reembolsa"&amp;"do pelas despesas de transporte e alimentação (incluindo o custo razoável de hospedagem, quando necessário, até US$ 110 por noite, mediante apresentação de recibos) no valor de US$ 16,78 por dia durante o deslocamento, até um máximo de US$ 68,00 por dia, "&amp;"mediante apresentação de recibos, desde o local de origem do trabalhador, seja nos EUA ou no exterior, até o local de trabalho, caso o trabalhador complete 50% do período de trabalho abrangido pela ordem de serviço, em conformidade com o 20 CFR 655.20(j)("&amp;"1)(i), mediante inclusão no contracheque da semana correspondente. O empregador fornecerá ou pagará o custo do transporte de retorno e da subsistência diária do trabalhador, do local de trabalho até o local de onde o trabalhador partiu para trabalhar para"&amp;" o empregador, independentemente de empregos intermediários, caso o trabalhador complete o período de emprego certificado ou seja demitido do emprego por qualquer motivo pelo empregador antes do término do período, de acordo com o § 655.20(j)(1)(ii); os t"&amp;"rabalhadores com visto H-2B serão reembolsados ​​na primeira semana de trabalho por todos os vistos, processamento de vistos, travessia de fronteira e outras taxas relacionadas, incluindo aquelas exigidas pelo governo (exceto taxas de passaporte). O empre"&amp;"gador fornecerá aos trabalhadores todas as ferramentas, suprimentos e equipamentos necessários para o desempenho do trabalho, sem custo para o trabalhador, de acordo com o 20 CFR 655.20(k). Os candidatos qualificados podem enviar o currículo para Jeffrey "&amp;"Lesek, no endereço 400 Vineyards Blvd, Naples, FL 34119, por e-mail para employment@vineyardscountryclubnaples.com ou visitar o centro de empregos local em 6800 Shoppes at Plantation Drive, Suite 170, Fort Myers, FL 33912. *Seu depósito de segurança é ree"&amp;"mbolsável após a conclusão do contrato e a inspeção da acomodação. Se um trabalhador abandonar o emprego sem a permissão do empregador ou abandonar a acomodação antes do término do prazo de inscrição por qualquer motivo, exceto rescisão contratual por par"&amp;"te do empregador, o trabalhador perderá todos os depósitos de acomodação, dias de folga remunerada, férias e bônus. Após a rescisão ou demissão, o trabalhador deverá desocupar a acomodação imediatamente, a menos que haja acordo com o empregador.* Classifi"&amp;"cação da vaga: 35-3031.00 - Garçons e Garçonetes. A classificação e a descrição da vaga/setor incluem informações gerais sobre o cargo, de acordo com o ONET/OES e o Sistema de Classificação Industrial da América do Norte. Consulte as Funções e a Ordem de "&amp;"Serviço para obter mais informações. Requisitos da vaga Experiência necessária: Sim Meses de experiência necessários: 3 Número de horas por semana: 35 Horário de trabalho (início/término): 6h às 22h")</f>
        <v>Receber pedidos, servir comidas e bebidas aos clientes. Limpar e arrumar as mesas. Receber pagamentos e entregar recibos. Manter todos os postos de trabalho abastecidos e realizar todos os demais serviços relacionados ao atendimento. (18) vagas disponíveis. Período: 01/10/2026 a 31/05/2027. Necessário 3 meses de experiência. Turnos rotativos. Dias de trabalho: segunda a domingo. Horário: 18h às 22h. Salário: US$ 10,98 a US$ 13/hora, mais gorjetas, mas não menos que US$ 20,13/hora, US$ 30,20/hora para horas extras. Pagamento quinzenal. 35 horas semanais. Alojamento opcional por US$ 375 a cada duas semanas, com depósito de US$ 350 (US$ 200 reembolsáveis ​​após a assinatura do contrato e vistoria do imóvel/US$ 150 não reembolsáveis). Uniformes e refeições durante o turno fornecidos. Local de trabalho: 400 Vineyards Blvd, Naples, FL 34119. Trabalho temporário em tempo integral. O salário será calculado com base em uma única semana de trabalho. Poderá ser feito até 10 horas extras, quando disponíveis. Todos os descontos exigidos por lei serão efetuados no contracheque do trabalhador. O empregador fornecerá ao trabalhador, sem custos, todas as ferramentas, materiais e equipamentos necessários para a execução do trabalho. O trabalhador receberá ou será reembolsado pelas despesas de transporte e alimentação (incluindo o custo razoável de hospedagem, quando necessário, até US$ 110 por noite, mediante apresentação de recibos) no valor de US$ 16,78 por dia durante o deslocamento, até um máximo de US$ 68,00 por dia, mediante apresentação de recibos, desde o local de origem do trabalhador, seja nos EUA ou no exterior, até o local de trabalho, caso o trabalhador complete 50% do período de trabalho abrangido pela ordem de serviço, em conformidade com o 20 CFR 655.20(j)(1)(i), mediante inclusão no contracheque da semana correspondente. O empregador fornecerá ou pagará o custo do transporte de retorno e da subsistência diária do trabalhador, do local de trabalho até o local de onde o trabalhador partiu para trabalhar para o empregador, independentemente de empregos intermediários, caso o trabalhador complete o período de emprego certificado ou seja demitido do emprego por qualquer motivo pelo empregador antes do término do período, de acordo com o § 655.20(j)(1)(ii); os trabalhadores com visto H-2B serão reembolsados ​​na primeira semana de trabalho por todos os vistos, processamento de vistos, travessia de fronteira e outras taxas relacionadas, incluindo aquelas exigidas pelo governo (exceto taxas de passaporte). O empregador fornecerá aos trabalhadores todas as ferramentas, suprimentos e equipamentos necessários para o desempenho do trabalho, sem custo para o trabalhador, de acordo com o 20 CFR 655.20(k). Os candidatos qualificados podem enviar o currículo para Jeffrey Lesek, no endereço 400 Vineyards Blvd, Naples, FL 34119, por e-mail para employment@vineyardscountryclubnaples.com ou visitar o centro de empregos local em 6800 Shoppes at Plantation Drive, Suite 170, Fort Myers, FL 33912. *Seu depósito de segurança é reembolsável após a conclusão do contrato e a inspeção da acomodação. Se um trabalhador abandonar o emprego sem a permissão do empregador ou abandonar a acomodação antes do término do prazo de inscrição por qualquer motivo, exceto rescisão contratual por parte do empregador, o trabalhador perderá todos os depósitos de acomodação, dias de folga remunerada, férias e bônus. Após a rescisão ou demissão, o trabalhador deverá desocupar a acomodação imediatamente, a menos que haja acordo com o empregador.* Classificação da vaga: 35-3031.00 - Garçons e Garçonetes. A classificação e a descrição da vaga/setor incluem informações gerais sobre o cargo, de acordo com o ONET/OES e o Sistema de Classificação Industrial da América do Norte. Consulte as Funções e a Ordem de Serviço para obter mais informações. Requisitos da vaga Experiência necessária: Sim Meses de experiência necessários: 3 Número de horas por semana: 35 Horário de trabalho (início/término): 6h às 22h</v>
      </c>
    </row>
    <row r="1843" ht="20.25" customHeight="1">
      <c r="A1843" s="8" t="s">
        <v>8233</v>
      </c>
      <c r="B1843" s="8" t="s">
        <v>8234</v>
      </c>
      <c r="C1843" s="8" t="s">
        <v>197</v>
      </c>
      <c r="D1843" s="8" t="s">
        <v>71</v>
      </c>
      <c r="E1843" s="9" t="s">
        <v>44</v>
      </c>
      <c r="F1843" s="9" t="s">
        <v>20</v>
      </c>
      <c r="G1843" s="9" t="s">
        <v>524</v>
      </c>
      <c r="H1843" s="8" t="s">
        <v>8235</v>
      </c>
      <c r="I1843" s="8" t="s">
        <v>8236</v>
      </c>
      <c r="J1843" s="9">
        <v>18.74</v>
      </c>
      <c r="K1843" s="9">
        <v>4.0</v>
      </c>
      <c r="L1843" s="8" t="s">
        <v>201</v>
      </c>
      <c r="M1843" s="8" t="s">
        <v>8237</v>
      </c>
      <c r="N1843" s="7" t="str">
        <f>IFERROR(__xludf.DUMMYFUNCTION("GOOGLETRANSLATE(L1843, ""en"", ""pt"")"),"Servidores")</f>
        <v>Servidores</v>
      </c>
      <c r="O1843" s="7" t="str">
        <f>IFERROR(__xludf.DUMMYFUNCTION("IF(M1843="""","""",GOOGLETRANSLATE(M1843,""en"",""pt""))"),"Receber pedidos, servir comidas e bebidas aos clientes. Limpar e arrumar as mesas. Receber pagamentos e entregar recibos. Manter todos os postos de trabalho abastecidos e realizar todos os demais serviços relacionados ao atendimento. (4) vagas disponíveis"&amp;". Período: 01/10/2026 a 31/05/2027. Necessário 3 meses de experiência. Turnos rotativos. Dias de trabalho: segunda a domingo. Horário: 6h às 22h. Salário: US$ 10,98 a US$ 15/hora, mais gorjetas, mas não menos que US$ 18,74/hora, US$ 28,11/hora para horas "&amp;"extras. Pagamento quinzenal. 35 horas semanais. Alojamento opcional por US$ 275 a US$ 350 quinzenalmente, com depósito reembolsável de US$ 250 após a assinatura do contrato e vistoria do imóvel. Uniformes e refeições durante o turno fornecidos. Local de t"&amp;"rabalho: 995 Fish Hook Cove, Bradenton, FL 34212. Trabalho temporário em tempo integral. O salário será calculado com base em uma única semana de trabalho. Poderá ser feito até 10 horas extras, quando disponíveis. Todos os descontos exigidos por lei serão"&amp;" efetuados no contracheque do trabalhador. O empregador fornecerá ao trabalhador, sem custos, todas as ferramentas, materiais e equipamentos necessários para a execução do trabalho. O trabalhador receberá ou será reembolsado pelas despesas de transporte e"&amp;" alimentação (incluindo o custo razoável de hospedagem, quando necessário, até US$ 110 por noite, mediante apresentação de recibos) no valor de US$ 16,78 por dia durante o deslocamento, até um máximo de US$ 68,00 por dia, mediante apresentação de recibos,"&amp;" desde o local de origem do trabalhador, seja nos EUA ou no exterior, até o local de trabalho, caso o trabalhador complete 50% do período de trabalho abrangido pela ordem de serviço, em conformidade com o 20 CFR 655.20(j)(1)(i), mediante inclusão no contr"&amp;"acheque da semana correspondente. O empregador fornecerá ou pagará o custo do transporte de retorno e da subsistência diária do trabalhador, do local de trabalho até o local de onde o trabalhador partiu para trabalhar para o empregador, independentemente "&amp;"de empregos intermediários, caso o trabalhador complete o período de emprego certificado ou seja demitido do emprego por qualquer motivo pelo empregador antes do término do período, de acordo com o § 655.20(j)(1)(ii); os trabalhadores com visto H-2B serão"&amp;" reembolsados ​​na primeira semana de trabalho por todos os vistos, processamento de vistos, travessia de fronteira e outras taxas relacionadas, incluindo aquelas exigidas pelo governo (exceto taxas de passaporte). O empregador fornecerá aos trabalhadores"&amp;" todas as ferramentas, suprimentos e equipamentos necessários para o desempenho do trabalho, sem custo para o trabalhador, de acordo com o 20 CFR 655.20(k). Os candidatos qualificados podem enviar o currículo para Armando Monterroso, no endereço 995 Fish "&amp;"Hook Cove, Bradenton, FL 34212, por e-mail para hr@waterlefefl.com ou visitar o centro de empregos local em 600 8th Ave. West, Suite 100, Palmetto, FL 34221. *Seu depósito de segurança será reembolsado após a conclusão do contrato e a inspeção da moradia."&amp;" Se um trabalhador abandonar o emprego sem a permissão do empregador ou abandonar a moradia antes do término do prazo de inscrição por qualquer motivo, exceto rescisão por parte do empregador, o trabalhador perderá todos os depósitos de moradia, dias de f"&amp;"olga remunerada, férias e bônus. Após a rescisão ou demissão, o trabalhador deverá desocupar a moradia imediatamente, a menos que haja acordo com o empregador.* Classificação do Cargo: 35-3031.00 - Garçons e Garçonetes. A classificação e descrição do carg"&amp;"o/setor incluem informações gerais sobre a posição, de acordo com o ONET/OES e o Sistema de Classificação Industrial da América do Norte. Consulte as Funções e a Ordem de Serviço para obter mais informações. Requisitos da vaga Experiência necessária: Sim "&amp;"Meses de experiência necessários: 3 Número de horas por semana: 35 Horário de trabalho (início/término): 6h às 22h")</f>
        <v>Receber pedidos, servir comidas e bebidas aos clientes. Limpar e arrumar as mesas. Receber pagamentos e entregar recibos. Manter todos os postos de trabalho abastecidos e realizar todos os demais serviços relacionados ao atendimento. (4) vagas disponíveis. Período: 01/10/2026 a 31/05/2027. Necessário 3 meses de experiência. Turnos rotativos. Dias de trabalho: segunda a domingo. Horário: 6h às 22h. Salário: US$ 10,98 a US$ 15/hora, mais gorjetas, mas não menos que US$ 18,74/hora, US$ 28,11/hora para horas extras. Pagamento quinzenal. 35 horas semanais. Alojamento opcional por US$ 275 a US$ 350 quinzenalmente, com depósito reembolsável de US$ 250 após a assinatura do contrato e vistoria do imóvel. Uniformes e refeições durante o turno fornecidos. Local de trabalho: 995 Fish Hook Cove, Bradenton, FL 34212. Trabalho temporário em tempo integral. O salário será calculado com base em uma única semana de trabalho. Poderá ser feito até 10 horas extras, quando disponíveis. Todos os descontos exigidos por lei serão efetuados no contracheque do trabalhador. O empregador fornecerá ao trabalhador, sem custos, todas as ferramentas, materiais e equipamentos necessários para a execução do trabalho. O trabalhador receberá ou será reembolsado pelas despesas de transporte e alimentação (incluindo o custo razoável de hospedagem, quando necessário, até US$ 110 por noite, mediante apresentação de recibos) no valor de US$ 16,78 por dia durante o deslocamento, até um máximo de US$ 68,00 por dia, mediante apresentação de recibos, desde o local de origem do trabalhador, seja nos EUA ou no exterior, até o local de trabalho, caso o trabalhador complete 50% do período de trabalho abrangido pela ordem de serviço, em conformidade com o 20 CFR 655.20(j)(1)(i), mediante inclusão no contracheque da semana correspondente. O empregador fornecerá ou pagará o custo do transporte de retorno e da subsistência diária do trabalhador, do local de trabalho até o local de onde o trabalhador partiu para trabalhar para o empregador, independentemente de empregos intermediários, caso o trabalhador complete o período de emprego certificado ou seja demitido do emprego por qualquer motivo pelo empregador antes do término do período, de acordo com o § 655.20(j)(1)(ii); os trabalhadores com visto H-2B serão reembolsados ​​na primeira semana de trabalho por todos os vistos, processamento de vistos, travessia de fronteira e outras taxas relacionadas, incluindo aquelas exigidas pelo governo (exceto taxas de passaporte). O empregador fornecerá aos trabalhadores todas as ferramentas, suprimentos e equipamentos necessários para o desempenho do trabalho, sem custo para o trabalhador, de acordo com o 20 CFR 655.20(k). Os candidatos qualificados podem enviar o currículo para Armando Monterroso, no endereço 995 Fish Hook Cove, Bradenton, FL 34212, por e-mail para hr@waterlefefl.com ou visitar o centro de empregos local em 600 8th Ave. West, Suite 100, Palmetto, FL 34221. *Seu depósito de segurança será reembolsado após a conclusão do contrato e a inspeção da moradia. Se um trabalhador abandonar o emprego sem a permissão do empregador ou abandonar a moradia antes do término do prazo de inscrição por qualquer motivo, exceto rescisão por parte do empregador, o trabalhador perderá todos os depósitos de moradia, dias de folga remunerada, férias e bônus. Após a rescisão ou demissão, o trabalhador deverá desocupar a moradia imediatamente, a menos que haja acordo com o empregador.* Classificação do Cargo: 35-3031.00 - Garçons e Garçonetes. A classificação e descrição do cargo/setor incluem informações gerais sobre a posição, de acordo com o ONET/OES e o Sistema de Classificação Industrial da América do Norte. Consulte as Funções e a Ordem de Serviço para obter mais informações. Requisitos da vaga Experiência necessária: Sim Meses de experiência necessários: 3 Número de horas por semana: 35 Horário de trabalho (início/término): 6h às 22h</v>
      </c>
    </row>
    <row r="1844" ht="20.25" customHeight="1">
      <c r="A1844" s="3" t="s">
        <v>8238</v>
      </c>
      <c r="B1844" s="3" t="s">
        <v>8239</v>
      </c>
      <c r="C1844" s="3" t="s">
        <v>197</v>
      </c>
      <c r="D1844" s="3" t="s">
        <v>71</v>
      </c>
      <c r="E1844" s="4" t="s">
        <v>19</v>
      </c>
      <c r="F1844" s="4" t="s">
        <v>20</v>
      </c>
      <c r="G1844" s="4" t="s">
        <v>524</v>
      </c>
      <c r="H1844" s="3" t="s">
        <v>8240</v>
      </c>
      <c r="I1844" s="3" t="s">
        <v>8241</v>
      </c>
      <c r="J1844" s="4">
        <v>18.0</v>
      </c>
      <c r="K1844" s="4">
        <v>5.0</v>
      </c>
      <c r="L1844" s="3" t="s">
        <v>387</v>
      </c>
      <c r="M1844" s="3" t="s">
        <v>8242</v>
      </c>
      <c r="N1844" s="7" t="str">
        <f>IFERROR(__xludf.DUMMYFUNCTION("GOOGLETRANSLATE(L1844, ""en"", ""pt"")"),"Ordem de serviço não disponível")</f>
        <v>Ordem de serviço não disponível</v>
      </c>
      <c r="O1844" s="7" t="str">
        <f>IFERROR(__xludf.DUMMYFUNCTION("IF(M1844="""","""",GOOGLETRANSLATE(M1844,""en"",""pt""))"),"Preparar, cozinhar, refogar, grelhar e fritar itens como frutos do mar, carnes, aves, legumes, massas e sopas. Manter as áreas da cozinha limpas e higienizadas. Armazenar todos os produtos em locais adequados e realizar todos os demais serviços relacionad"&amp;"os à cozinha. (5 vagas) Necessários. Período: 01/10/2026 a 31/05/2027. 3 meses de experiência necessários. Turnos rotativos. Dias de trabalho: segunda a domingo. Horário de trabalho: 6h às 22h. Salário: US$ 18 a US$ 25 por hora, com base no desempenho; US"&amp;"$ 27 a US$ 37,50 por hora para horas extras. Pagamento quinzenal. 35 horas semanais. Alojamento opcional por US$ 23 a US$ 25 por dia, com depósito de US$ 300 (US$ 250 reembolsáveis ​​após a assinatura do contrato e inspeção do alojamento / US$ 50 não reem"&amp;"bolsáveis). Uniformes e refeições durante o turno fornecidos. Local de trabalho: 13550 Worthington Way, Bonita Springs, Flórida 34135. Trabalho temporário em tempo integral. Uma única semana de trabalho será utilizada para calcular os salários. O trabalha"&amp;"dor poderá receber até 10 horas extras, quando disponíveis. Todas as deduções exigidas por lei serão feitas no contracheque do trabalhador. O empregador fornecerá ao trabalhador, sem custos, todas as ferramentas, suprimentos e equipamentos necessários par"&amp;"a a execução do trabalho. O trabalhador receberá ou será reembolsado pelas despesas de transporte e subsistência (incluindo o custo razoável de hospedagem, quando necessário, até US$ 110 por noite, mediante apresentação de recibos) à taxa de US$ 16,78 por"&amp;" dia durante o deslocamento, até um máximo de US$ 68,00 por dia, mediante apresentação de recibos, desde o local de origem do trabalhador, seja nos EUA ou no exterior, até o local de trabalho, caso o trabalhador complete 50% do período de trabalho coberto"&amp;" pela ordem de serviço, em conformidade com 20 CFR 655.20(j)(1)(i), mediante inclusão no contracheque da semana correspondente. O empregador fornecerá ou pagará o custo do transporte de retorno e da subsistência diária do trabalhador, do local de trabalho"&amp;" até o local de onde o trabalhador partiu para trabalhar para o empregador, independentemente de empregos intermediários, caso o trabalhador complete o período de emprego certificado ou seja demitido do emprego por qualquer motivo pelo empregador antes do"&amp;" término do período, de acordo com o § 655.20(j)(1)(ii); os trabalhadores com visto H-2B serão reembolsados ​​na primeira semana de trabalho por todos os vistos, processamento de vistos, travessia de fronteira e outras taxas relacionadas, incluindo aquela"&amp;"s exigidas pelo governo (exceto taxas de passaporte). O empregador fornecerá aos trabalhadores todas as ferramentas, suprimentos e equipamentos necessários para o desempenho do trabalho, sem custo para o trabalhador, de acordo com o 20 CFR 655.20(k). Os c"&amp;"andidatos qualificados podem enviar o currículo para Carol Ann Carney, no endereço 13550 Worthington Way, Bonita Springs, Florida 34135, por e-mail para H2Bjobs@worthingtoncc.net ou visitar o centro de empregos local no mesmo endereço. *Seu depósito de se"&amp;"gurança será reembolsado após a conclusão do contrato e a inspeção da moradia. Caso o trabalhador abandone o emprego sem a permissão do empregador ou a moradia antes do término do prazo de solicitação, por qualquer motivo que não seja a rescisão do contra"&amp;"to de trabalho, o trabalhador perderá todos os depósitos de moradia, dias de folga remunerada, férias e bônus. Após a rescisão do contrato de trabalho ou a demissão, o trabalhador deverá desocupar a moradia imediatamente, a menos que haja acordo em contrá"&amp;"rio com o empregador.* Classificação da vaga: 35-2014.00 - Cozinheiros, Restaurante. A classificação e a descrição da vaga/setor incluem informações gerais sobre o cargo, de acordo com o ONET/OES e o Sistema de Classificação Industrial da América do Norte"&amp;" (NAICS). Consulte as Funções e a Ordem de Serviço para obter mais informações. Requisitos da vaga Experiência necessária: Sim Meses de experiência necessários: 3 Número de horas por semana: 35 Horário de trabalho (início/término): 6h às 22h")</f>
        <v>Preparar, cozinhar, refogar, grelhar e fritar itens como frutos do mar, carnes, aves, legumes, massas e sopas. Manter as áreas da cozinha limpas e higienizadas. Armazenar todos os produtos em locais adequados e realizar todos os demais serviços relacionados à cozinha. (5 vagas) Necessários. Período: 01/10/2026 a 31/05/2027. 3 meses de experiência necessários. Turnos rotativos. Dias de trabalho: segunda a domingo. Horário de trabalho: 6h às 22h. Salário: US$ 18 a US$ 25 por hora, com base no desempenho; US$ 27 a US$ 37,50 por hora para horas extras. Pagamento quinzenal. 35 horas semanais. Alojamento opcional por US$ 23 a US$ 25 por dia, com depósito de US$ 300 (US$ 250 reembolsáveis ​​após a assinatura do contrato e inspeção do alojamento / US$ 50 não reembolsáveis). Uniformes e refeições durante o turno fornecidos. Local de trabalho: 13550 Worthington Way, Bonita Springs, Flórida 34135. Trabalho temporário em tempo integral. Uma única semana de trabalho será utilizada para calcular os salários. O trabalhador poderá receber até 10 horas extras, quando disponíveis. Todas as deduções exigidas por lei serão feitas no contracheque do trabalhador. O empregador fornecerá ao trabalhador, sem custos, todas as ferramentas, suprimentos e equipamentos necessários para a execução do trabalho. O trabalhador receberá ou será reembolsado pelas despesas de transporte e subsistência (incluindo o custo razoável de hospedagem, quando necessário, até US$ 110 por noite, mediante apresentação de recibos) à taxa de US$ 16,78 por dia durante o deslocamento, até um máximo de US$ 68,00 por dia, mediante apresentação de recibos, desde o local de origem do trabalhador, seja nos EUA ou no exterior, até o local de trabalho, caso o trabalhador complete 50% do período de trabalho coberto pela ordem de serviço, em conformidade com 20 CFR 655.20(j)(1)(i), mediante inclusão no contracheque da semana correspondente. O empregador fornecerá ou pagará o custo do transporte de retorno e da subsistência diária do trabalhador, do local de trabalho até o local de onde o trabalhador partiu para trabalhar para o empregador, independentemente de empregos intermediários, caso o trabalhador complete o período de emprego certificado ou seja demitido do emprego por qualquer motivo pelo empregador antes do término do período, de acordo com o § 655.20(j)(1)(ii); os trabalhadores com visto H-2B serão reembolsados ​​na primeira semana de trabalho por todos os vistos, processamento de vistos, travessia de fronteira e outras taxas relacionadas, incluindo aquelas exigidas pelo governo (exceto taxas de passaporte). O empregador fornecerá aos trabalhadores todas as ferramentas, suprimentos e equipamentos necessários para o desempenho do trabalho, sem custo para o trabalhador, de acordo com o 20 CFR 655.20(k). Os candidatos qualificados podem enviar o currículo para Carol Ann Carney, no endereço 13550 Worthington Way, Bonita Springs, Florida 34135, por e-mail para H2Bjobs@worthingtoncc.net ou visitar o centro de empregos local no mesmo endereço. *Seu depósito de segurança será reembolsado após a conclusão do contrato e a inspeção da moradia. Caso o trabalhador abandone o emprego sem a permissão do empregador ou a moradia antes do término do prazo de solicitação, por qualquer motivo que não seja a rescisão do contrato de trabalho, o trabalhador perderá todos os depósitos de moradia, dias de folga remunerada, férias e bônus. Após a rescisão do contrato de trabalho ou a demissão, o trabalhador deverá desocupar a moradia imediatamente, a menos que haja acordo em contrário com o empregador.* Classificação da vaga: 35-2014.00 - Cozinheiros, Restaurante. A classificação e a descrição da vaga/setor incluem informações gerais sobre o cargo, de acordo com o ONET/OES e o Sistema de Classificação Industrial da América do Norte (NAICS). Consulte as Funções e a Ordem de Serviço para obter mais informações. Requisitos da vaga Experiência necessária: Sim Meses de experiência necessários: 3 Número de horas por semana: 35 Horário de trabalho (início/término): 6h às 22h</v>
      </c>
    </row>
    <row r="1845" ht="20.25" customHeight="1">
      <c r="A1845" s="8" t="s">
        <v>8243</v>
      </c>
      <c r="B1845" s="8" t="s">
        <v>8239</v>
      </c>
      <c r="C1845" s="8" t="s">
        <v>197</v>
      </c>
      <c r="D1845" s="8" t="s">
        <v>71</v>
      </c>
      <c r="E1845" s="9" t="s">
        <v>44</v>
      </c>
      <c r="F1845" s="9" t="s">
        <v>20</v>
      </c>
      <c r="G1845" s="9" t="s">
        <v>524</v>
      </c>
      <c r="H1845" s="8" t="s">
        <v>8240</v>
      </c>
      <c r="I1845" s="8" t="s">
        <v>8241</v>
      </c>
      <c r="J1845" s="9">
        <v>18.95</v>
      </c>
      <c r="K1845" s="9">
        <v>10.0</v>
      </c>
      <c r="L1845" s="8" t="s">
        <v>201</v>
      </c>
      <c r="M1845" s="8" t="s">
        <v>8244</v>
      </c>
      <c r="N1845" s="7" t="str">
        <f>IFERROR(__xludf.DUMMYFUNCTION("GOOGLETRANSLATE(L1845, ""en"", ""pt"")"),"Servidores")</f>
        <v>Servidores</v>
      </c>
      <c r="O1845" s="7" t="str">
        <f>IFERROR(__xludf.DUMMYFUNCTION("IF(M1845="""","""",GOOGLETRANSLATE(M1845,""en"",""pt""))"),"Receber pedidos, servir comidas e bebidas aos clientes. Limpar e arrumar as mesas. Receber pagamentos e entregar recibos. Manter todos os postos de trabalho abastecidos e realizar todos os demais serviços relacionados ao atendimento. (10) vagas disponívei"&amp;"s. Período: 01/10/2026 a 31/05/2027. Necessário 3 meses de experiência. Turnos rotativos. Dias de trabalho: segunda a domingo. Horário: 6h às 22h. Salário: US$ 11 a US$ 14 por hora, mais gorjetas, mas não menos que US$ 18,95 por hora, US$ 28,43 por hora p"&amp;"ara horas extras. Pagamento quinzenal. 35 horas semanais. Alojamento opcional por US$ 23 a US$ 25 por dia, com depósito de US$ 300 (US$ 250 reembolsáveis ​​após a assinatura do contrato e inspeção do imóvel/US$ 50 não reembolsáveis). Uniformes e refeições"&amp;" durante o turno fornecidos. Local de trabalho: 13550 Worthington Way, Bonita Springs, Flórida 34135. Trabalho temporário em tempo integral. O salário será calculado com base em uma única semana de trabalho. Poderá ser feito até 10 horas extras, quando di"&amp;"sponíveis. Todos os descontos exigidos por lei serão efetuados no contracheque do trabalhador. O empregador fornecerá ao trabalhador, sem custos, todas as ferramentas, materiais e equipamentos necessários para a execução do trabalho. O trabalhador receber"&amp;"á ou será reembolsado pelas despesas de transporte e alimentação (incluindo o custo razoável de hospedagem, quando necessário, até US$ 110 por noite, mediante apresentação de recibos) no valor de US$ 16,78 por dia durante o deslocamento, até um máximo de "&amp;"US$ 68,00 por dia, mediante apresentação de recibos, desde o local de origem do trabalhador, seja nos EUA ou no exterior, até o local de trabalho, caso o trabalhador complete 50% do período de trabalho abrangido pela ordem de serviço, em conformidade com "&amp;"o 20 CFR 655.20(j)(1)(i), mediante inclusão no contracheque da semana correspondente. O empregador fornecerá ou pagará o custo do transporte de retorno e da subsistência diária do trabalhador, do local de trabalho até o local de onde o trabalhador partiu "&amp;"para trabalhar para o empregador, independentemente de empregos intermediários, caso o trabalhador complete o período de emprego certificado ou seja demitido do emprego por qualquer motivo pelo empregador antes do término do período, de acordo com o § 655"&amp;".20(j)(1)(ii); os trabalhadores H-2B serão reembolsados ​​na primeira semana de trabalho por todos os vistos, processamento de vistos, travessia de fronteira e outras taxas relacionadas, incluindo aquelas exigidas pelo governo (exceto taxas de passaporte)"&amp;". O empregador fornecerá aos trabalhadores todas as ferramentas, suprimentos e equipamentos necessários para o desempenho do trabalho, sem custo para o trabalhador, de acordo com 20 CFR 655.20(k). Os candidatos qualificados podem enviar o currículo para C"&amp;"arol Ann Carney, no endereço 13550 Worthington Way, Bonita Springs, Florida 34135, por e-mail para H2Bjobs@worthingtoncc.net ou visitar o centro de empregos local no mesmo endereço. *Seu depósito de segurança será reembolsado após a conclusão do contrato "&amp;"e a inspeção da moradia. Caso o trabalhador abandone o emprego sem a permissão do empregador ou a moradia antes do término do prazo de solicitação, por qualquer motivo que não seja a rescisão do contrato de trabalho, o trabalhador perderá todos os depósit"&amp;"os de moradia, dias de folga remunerada, férias e bônus. Após a rescisão do contrato de trabalho ou a demissão, o trabalhador deverá desocupar a moradia imediatamente, a menos que haja acordo com o empregador.* Classificação da vaga: 35-3031.00 - Garçons "&amp;"e Garçonetes. A classificação e a descrição da vaga/setor incluem informações gerais sobre o cargo, de acordo com o ONET/OES e o Sistema de Classificação Industrial da América do Norte (NAICS). Consulte as Funções e a Ordem de Serviço para obter mais info"&amp;"rmações. Requisitos da vaga Experiência necessária: Sim Meses de experiência necessários: 3 Número de horas por semana: 35 Horário de trabalho (início/término): 6h às 22h")</f>
        <v>Receber pedidos, servir comidas e bebidas aos clientes. Limpar e arrumar as mesas. Receber pagamentos e entregar recibos. Manter todos os postos de trabalho abastecidos e realizar todos os demais serviços relacionados ao atendimento. (10) vagas disponíveis. Período: 01/10/2026 a 31/05/2027. Necessário 3 meses de experiência. Turnos rotativos. Dias de trabalho: segunda a domingo. Horário: 6h às 22h. Salário: US$ 11 a US$ 14 por hora, mais gorjetas, mas não menos que US$ 18,95 por hora, US$ 28,43 por hora para horas extras. Pagamento quinzenal. 35 horas semanais. Alojamento opcional por US$ 23 a US$ 25 por dia, com depósito de US$ 300 (US$ 250 reembolsáveis ​​após a assinatura do contrato e inspeção do imóvel/US$ 50 não reembolsáveis). Uniformes e refeições durante o turno fornecidos. Local de trabalho: 13550 Worthington Way, Bonita Springs, Flórida 34135. Trabalho temporário em tempo integral. O salário será calculado com base em uma única semana de trabalho. Poderá ser feito até 10 horas extras, quando disponíveis. Todos os descontos exigidos por lei serão efetuados no contracheque do trabalhador. O empregador fornecerá ao trabalhador, sem custos, todas as ferramentas, materiais e equipamentos necessários para a execução do trabalho. O trabalhador receberá ou será reembolsado pelas despesas de transporte e alimentação (incluindo o custo razoável de hospedagem, quando necessário, até US$ 110 por noite, mediante apresentação de recibos) no valor de US$ 16,78 por dia durante o deslocamento, até um máximo de US$ 68,00 por dia, mediante apresentação de recibos, desde o local de origem do trabalhador, seja nos EUA ou no exterior, até o local de trabalho, caso o trabalhador complete 50% do período de trabalho abrangido pela ordem de serviço, em conformidade com o 20 CFR 655.20(j)(1)(i), mediante inclusão no contracheque da semana correspondente. O empregador fornecerá ou pagará o custo do transporte de retorno e da subsistência diária do trabalhador, do local de trabalho até o local de onde o trabalhador partiu para trabalhar para o empregador, independentemente de empregos intermediários, caso o trabalhador complete o período de emprego certificado ou seja demitido do emprego por qualquer motivo pelo empregador antes do término do período, de acordo com o § 655.20(j)(1)(ii); os trabalhadores H-2B serão reembolsados ​​na primeira semana de trabalho por todos os vistos, processamento de vistos, travessia de fronteira e outras taxas relacionadas, incluindo aquelas exigidas pelo governo (exceto taxas de passaporte). O empregador fornecerá aos trabalhadores todas as ferramentas, suprimentos e equipamentos necessários para o desempenho do trabalho, sem custo para o trabalhador, de acordo com 20 CFR 655.20(k). Os candidatos qualificados podem enviar o currículo para Carol Ann Carney, no endereço 13550 Worthington Way, Bonita Springs, Florida 34135, por e-mail para H2Bjobs@worthingtoncc.net ou visitar o centro de empregos local no mesmo endereço. *Seu depósito de segurança será reembolsado após a conclusão do contrato e a inspeção da moradia. Caso o trabalhador abandone o emprego sem a permissão do empregador ou a moradia antes do término do prazo de solicitação, por qualquer motivo que não seja a rescisão do contrato de trabalho, o trabalhador perderá todos os depósitos de moradia, dias de folga remunerada, férias e bônus. Após a rescisão do contrato de trabalho ou a demissão, o trabalhador deverá desocupar a moradia imediatamente, a menos que haja acordo com o empregador.* Classificação da vaga: 35-3031.00 - Garçons e Garçonetes. A classificação e a descrição da vaga/setor incluem informações gerais sobre o cargo, de acordo com o ONET/OES e o Sistema de Classificação Industrial da América do Norte (NAICS). Consulte as Funções e a Ordem de Serviço para obter mais informações. Requisitos da vaga Experiência necessária: Sim Meses de experiência necessários: 3 Número de horas por semana: 35 Horário de trabalho (início/término): 6h às 22h</v>
      </c>
    </row>
    <row r="1846" ht="20.25" customHeight="1">
      <c r="A1846" s="3" t="s">
        <v>8245</v>
      </c>
      <c r="B1846" s="3" t="s">
        <v>8246</v>
      </c>
      <c r="C1846" s="3" t="s">
        <v>197</v>
      </c>
      <c r="D1846" s="3" t="s">
        <v>71</v>
      </c>
      <c r="E1846" s="4" t="s">
        <v>19</v>
      </c>
      <c r="F1846" s="4" t="s">
        <v>20</v>
      </c>
      <c r="G1846" s="4" t="s">
        <v>80</v>
      </c>
      <c r="H1846" s="3" t="s">
        <v>8247</v>
      </c>
      <c r="I1846" s="3" t="s">
        <v>8248</v>
      </c>
      <c r="J1846" s="4">
        <v>18.25</v>
      </c>
      <c r="K1846" s="4">
        <v>16.0</v>
      </c>
      <c r="L1846" s="3" t="s">
        <v>829</v>
      </c>
      <c r="M1846" s="3" t="s">
        <v>8249</v>
      </c>
      <c r="N1846" s="7" t="str">
        <f>IFERROR(__xludf.DUMMYFUNCTION("GOOGLETRANSLATE(L1846, ""en"", ""pt"")"),"Manutenção de Campo de Golfe")</f>
        <v>Manutenção de Campo de Golfe</v>
      </c>
      <c r="O1846" s="7" t="str">
        <f>IFERROR(__xludf.DUMMYFUNCTION("IF(M1846="""","""",GOOGLETRANSLATE(M1846,""en"",""pt""))"),"Uso de ferramentas manuais e elétricas, como cortadores de grama, aparadores, roçadeiras e sopradores. Colocação de grama, plantio e instalação de irrigação. Escavação, rastelagem e rega. (4) vagas disponíveis. Período: 01/10/2026 a 31/07/2027. Necessária"&amp;" experiência de 3 meses. Turnos rotativos. Dias de trabalho: segunda a domingo. Horário: 6h às 15h. Salário: US$ 18,25 a US$ 22 por hora, com base no desempenho; horas extras: US$ 27,38 a US$ 33 por hora. Pagamento quinzenal. 35 horas semanais. Alojamento"&amp;" opcional por US$ 150 por semana, com depósito de US$ 350 (US$ 250 reembolsáveis ​​após a conclusão do contrato e inspeção do imóvel; US$ 100 não reembolsáveis). Uniformes parciais e refeições durante o turno fornecidos. Local de trabalho: 4650 Wycliffe C"&amp;"ountry Club Blvd, Wellington, FL 33449. Trabalho temporário em tempo integral. Uma única semana de trabalho será utilizada para calcular os salários. O trabalhador poderá receber até 10 horas extras, quando disponíveis. Todas as deduções exigidas por lei "&amp;"serão feitas no contracheque do trabalhador. O empregador fornecerá ao trabalhador, sem custos, todas as ferramentas, suprimentos e equipamentos necessários para a execução do trabalho. O trabalhador receberá ou será reembolsado pelas despesas de transpor"&amp;"te e subsistência (incluindo o custo razoável de hospedagem, quando necessário, até US$ 110 por noite, mediante apresentação de recibos) à taxa de US$ 16,78 por dia durante o deslocamento, até um máximo de US$ 68,00 por dia, mediante apresentação de recib"&amp;"os, desde o local de origem do trabalhador, seja nos EUA ou no exterior, até o local de trabalho, caso o trabalhador complete 50% do período de trabalho coberto pela ordem de serviço, em conformidade com 20 CFR 655.20(j)(1)(i), mediante inclusão no contra"&amp;"cheque da semana correspondente. O empregador fornecerá ou pagará o custo do transporte de retorno e da subsistência diária do trabalhador, do local de trabalho até o local de onde o trabalhador partiu para trabalhar para o empregador, independentemente d"&amp;"e empregos intermediários, caso o trabalhador complete o período de emprego certificado ou seja demitido do emprego por qualquer motivo pelo empregador antes do término do período, de acordo com o § 655.20(j)(1)(ii); os trabalhadores com visto H-2B serão "&amp;"reembolsados ​​na primeira semana de trabalho por todos os vistos, processamento de vistos, travessia de fronteira e outras taxas relacionadas, incluindo aquelas exigidas pelo governo (exceto taxas de passaporte). O empregador fornecerá aos trabalhadores "&amp;"todas as ferramentas, suprimentos e equipamentos necessários para o desempenho do trabalho, sem custo para o trabalhador, de acordo com o 20 CFR 655.20(k). Os candidatos qualificados podem enviar o currículo para Sarah Staley, no endereço 4650 Wycliffe Co"&amp;"untry Club Blvd, Wellington, FL 33449, por e-mail para hr@wycliffecc.com ou visitar o centro de empregos local em 3400 Belvedere Road, West Palm Beach, FL 33406. *Seu depósito de segurança será reembolsado após a conclusão do contrato e a inspeção da mora"&amp;"dia. Se um trabalhador abandonar o emprego sem a permissão do empregador ou abandonar a moradia antes do término do prazo de inscrição por qualquer motivo, exceto rescisão por parte do empregador, o trabalhador perderá todos os depósitos de moradia, dias "&amp;"de folga remunerada, férias e bônus. Após a rescisão ou demissão, o trabalhador deverá desocupar a moradia imediatamente, a menos que haja acordo com o empregador.* Classificação do Cargo: 37-3011.00 - Trabalhadores de Paisagismo e Manutenção de Jardins. "&amp;"A classificação e descrição do cargo/setor incluem informações gerais sobre a posição, de acordo com o ONET/OES e o Sistema de Classificação Industrial da América do Norte. Consulte as Funções e a Ordem de Serviço para obter mais informações. Requisitos d"&amp;"a vaga Experiência necessária: Sim Meses de experiência necessários: 3 Número de horas por semana: 35 Horário de trabalho (início/término): 6h às 15h")</f>
        <v>Uso de ferramentas manuais e elétricas, como cortadores de grama, aparadores, roçadeiras e sopradores. Colocação de grama, plantio e instalação de irrigação. Escavação, rastelagem e rega. (4) vagas disponíveis. Período: 01/10/2026 a 31/07/2027. Necessária experiência de 3 meses. Turnos rotativos. Dias de trabalho: segunda a domingo. Horário: 6h às 15h. Salário: US$ 18,25 a US$ 22 por hora, com base no desempenho; horas extras: US$ 27,38 a US$ 33 por hora. Pagamento quinzenal. 35 horas semanais. Alojamento opcional por US$ 150 por semana, com depósito de US$ 350 (US$ 250 reembolsáveis ​​após a conclusão do contrato e inspeção do imóvel; US$ 100 não reembolsáveis). Uniformes parciais e refeições durante o turno fornecidos. Local de trabalho: 4650 Wycliffe Country Club Blvd, Wellington, FL 33449. Trabalho temporário em tempo integral. Uma única semana de trabalho será utilizada para calcular os salários. O trabalhador poderá receber até 10 horas extras, quando disponíveis. Todas as deduções exigidas por lei serão feitas no contracheque do trabalhador. O empregador fornecerá ao trabalhador, sem custos, todas as ferramentas, suprimentos e equipamentos necessários para a execução do trabalho. O trabalhador receberá ou será reembolsado pelas despesas de transporte e subsistência (incluindo o custo razoável de hospedagem, quando necessário, até US$ 110 por noite, mediante apresentação de recibos) à taxa de US$ 16,78 por dia durante o deslocamento, até um máximo de US$ 68,00 por dia, mediante apresentação de recibos, desde o local de origem do trabalhador, seja nos EUA ou no exterior, até o local de trabalho, caso o trabalhador complete 50% do período de trabalho coberto pela ordem de serviço, em conformidade com 20 CFR 655.20(j)(1)(i), mediante inclusão no contracheque da semana correspondente. O empregador fornecerá ou pagará o custo do transporte de retorno e da subsistência diária do trabalhador, do local de trabalho até o local de onde o trabalhador partiu para trabalhar para o empregador, independentemente de empregos intermediários, caso o trabalhador complete o período de emprego certificado ou seja demitido do emprego por qualquer motivo pelo empregador antes do término do período, de acordo com o § 655.20(j)(1)(ii); os trabalhadores com visto H-2B serão reembolsados ​​na primeira semana de trabalho por todos os vistos, processamento de vistos, travessia de fronteira e outras taxas relacionadas, incluindo aquelas exigidas pelo governo (exceto taxas de passaporte). O empregador fornecerá aos trabalhadores todas as ferramentas, suprimentos e equipamentos necessários para o desempenho do trabalho, sem custo para o trabalhador, de acordo com o 20 CFR 655.20(k). Os candidatos qualificados podem enviar o currículo para Sarah Staley, no endereço 4650 Wycliffe Country Club Blvd, Wellington, FL 33449, por e-mail para hr@wycliffecc.com ou visitar o centro de empregos local em 3400 Belvedere Road, West Palm Beach, FL 33406. *Seu depósito de segurança será reembolsado após a conclusão do contrato e a inspeção da moradia. Se um trabalhador abandonar o emprego sem a permissão do empregador ou abandonar a moradia antes do término do prazo de inscrição por qualquer motivo, exceto rescisão por parte do empregador, o trabalhador perderá todos os depósitos de moradia, dias de folga remunerada, férias e bônus. Após a rescisão ou demissão, o trabalhador deverá desocupar a moradia imediatamente, a menos que haja acordo com o empregador.* Classificação do Cargo: 37-3011.00 - Trabalhadores de Paisagismo e Manutenção de Jardins. A classificação e descrição do cargo/setor incluem informações gerais sobre a posição, de acordo com o ONET/OES e o Sistema de Classificação Industrial da América do Norte. Consulte as Funções e a Ordem de Serviço para obter mais informações. Requisitos da vaga Experiência necessária: Sim Meses de experiência necessários: 3 Número de horas por semana: 35 Horário de trabalho (início/término): 6h às 15h</v>
      </c>
    </row>
    <row r="1847" ht="20.25" customHeight="1">
      <c r="A1847" s="8" t="s">
        <v>8250</v>
      </c>
      <c r="B1847" s="8" t="s">
        <v>8246</v>
      </c>
      <c r="C1847" s="8" t="s">
        <v>197</v>
      </c>
      <c r="D1847" s="8" t="s">
        <v>71</v>
      </c>
      <c r="E1847" s="9" t="s">
        <v>19</v>
      </c>
      <c r="F1847" s="9" t="s">
        <v>20</v>
      </c>
      <c r="G1847" s="9" t="s">
        <v>524</v>
      </c>
      <c r="H1847" s="8" t="s">
        <v>8247</v>
      </c>
      <c r="I1847" s="8" t="s">
        <v>8248</v>
      </c>
      <c r="J1847" s="9">
        <v>22.56</v>
      </c>
      <c r="K1847" s="9">
        <v>4.0</v>
      </c>
      <c r="L1847" s="8" t="s">
        <v>1687</v>
      </c>
      <c r="M1847" s="8" t="s">
        <v>8251</v>
      </c>
      <c r="N1847" s="7" t="str">
        <f>IFERROR(__xludf.DUMMYFUNCTION("GOOGLETRANSLATE(L1847, ""en"", ""pt"")"),"Capitão")</f>
        <v>Capitão</v>
      </c>
      <c r="O1847" s="7" t="str">
        <f>IFERROR(__xludf.DUMMYFUNCTION("IF(M1847="""","""",GOOGLETRANSLATE(M1847,""en"",""pt""))"),"Executar diversas atividades financeiras, como manuseio de dinheiro. Resolver reclamações de clientes relacionadas ao serviço de alimentação. Compilar e conferir o caixa ao final do dia ou turno. Apresentar contas e receber pagamentos. Elaborar a escala d"&amp;"e trabalho dos funcionários do salão (4 vagas). Período: 01/10/2026 a 31/05/2027. Necessária experiência de 3 meses. Turnos rotativos. Dias de trabalho: segunda a domingo. Horário: 6h às 22h. Salário: US$ 22,56 a US$ 25/hora, com base no desempenho; horas"&amp;" extras: US$ 33,84 a US$ 37,50/hora. Pagamento quinzenal. 35 horas semanais. Alojamento opcional por US$ 150/semana, com depósito de US$ 350 (US$ 250 reembolsáveis ​​após a assinatura do contrato e inspeção do imóvel / US$ 100 não reembolsáveis). Uniforme"&amp;"s parciais e refeições durante o turno fornecidos. Local de trabalho: 4650 Wycliffe Country Club Blvd, Wellington, FL 33449. Vaga temporária em tempo integral. Uma única semana de trabalho será utilizada para calcular os salários. O trabalhador poderá rec"&amp;"eber até 10 horas extras, quando disponíveis. Todas as deduções exigidas por lei serão feitas no contracheque do trabalhador. O empregador fornecerá ao trabalhador, sem custos, todas as ferramentas, suprimentos e equipamentos necessários para a execução d"&amp;"o trabalho. O trabalhador receberá ou será reembolsado pelas despesas de transporte e subsistência (incluindo o custo razoável de hospedagem, quando necessário, até US$ 110 por noite, mediante apresentação de recibos) à taxa de US$ 16,78 por dia durante o"&amp;" deslocamento, até um máximo de US$ 68,00 por dia, mediante apresentação de recibos, desde o local de origem do trabalhador, seja nos EUA ou no exterior, até o local de trabalho, caso o trabalhador complete 50% do período de trabalho coberto pela ordem de"&amp;" serviço, em conformidade com 20 CFR 655.20(j)(1)(i), mediante inclusão no contracheque da semana correspondente. O empregador fornecerá ou pagará o custo do transporte de retorno e da subsistência diária do trabalhador, do local de trabalho até o local d"&amp;"e onde o trabalhador partiu para trabalhar para o empregador, independentemente de empregos intermediários, caso o trabalhador complete o período de emprego certificado ou seja demitido do emprego por qualquer motivo pelo empregador antes do término do pe"&amp;"ríodo, de acordo com o § 655.20(j)(1)(ii); os trabalhadores com visto H-2B serão reembolsados ​​na primeira semana de trabalho por todos os vistos, processamento de vistos, travessia de fronteira e outras taxas relacionadas, incluindo aquelas exigidas pel"&amp;"o governo (exceto taxas de passaporte). O empregador fornecerá aos trabalhadores todas as ferramentas, suprimentos e equipamentos necessários para o desempenho do trabalho, sem custo para o trabalhador, de acordo com o 20 CFR 655.20(k). Os candidatos qual"&amp;"ificados podem enviar o currículo para Sarah Staley, no endereço 4650 Wycliffe Country Club Blvd, Wellington, FL 33449, por e-mail para hr@wycliffecc.com ou visitar o centro de empregos local em 3400 Belvedere Road, West Palm Beach, FL 33406. *Seu depósit"&amp;"o de segurança será reembolsado após a conclusão do contrato e a inspeção da moradia. Se um trabalhador abandonar o emprego sem a permissão do empregador ou abandonar a moradia antes do término do prazo de inscrição por qualquer motivo, exceto rescisão po"&amp;"r parte do empregador, o trabalhador perderá todos os depósitos de moradia, dias de folga remunerada, férias e bônus. Após a rescisão ou demissão, o trabalhador deverá desocupar a moradia imediatamente, a menos que haja acordo com o empregador.* Classific"&amp;"ação do Cargo: 35-1012.00 - Supervisores de Primeira Linha de Trabalhadores de Preparação e Serviço de Alimentos. A classificação e descrição do cargo/setor incluem informações gerais sobre a posição, de acordo com o ONET/OES e o Sistema de Classificação "&amp;"Industrial da América do Norte. Consulte as Funções e a Ordem de Serviço para obter mais informações. Requisitos da vaga Experiência necessária: Sim Meses de experiência necessários: 3 Número de horas por semana: 35 Horário de trabalho (início/término): 6"&amp;"h às 22h")</f>
        <v>Executar diversas atividades financeiras, como manuseio de dinheiro. Resolver reclamações de clientes relacionadas ao serviço de alimentação. Compilar e conferir o caixa ao final do dia ou turno. Apresentar contas e receber pagamentos. Elaborar a escala de trabalho dos funcionários do salão (4 vagas). Período: 01/10/2026 a 31/05/2027. Necessária experiência de 3 meses. Turnos rotativos. Dias de trabalho: segunda a domingo. Horário: 6h às 22h. Salário: US$ 22,56 a US$ 25/hora, com base no desempenho; horas extras: US$ 33,84 a US$ 37,50/hora. Pagamento quinzenal. 35 horas semanais. Alojamento opcional por US$ 150/semana, com depósito de US$ 350 (US$ 250 reembolsáveis ​​após a assinatura do contrato e inspeção do imóvel / US$ 100 não reembolsáveis). Uniformes parciais e refeições durante o turno fornecidos. Local de trabalho: 4650 Wycliffe Country Club Blvd, Wellington, FL 33449. Vaga temporária em tempo integral. Uma única semana de trabalho será utilizada para calcular os salários. O trabalhador poderá receber até 10 horas extras, quando disponíveis. Todas as deduções exigidas por lei serão feitas no contracheque do trabalhador. O empregador fornecerá ao trabalhador, sem custos, todas as ferramentas, suprimentos e equipamentos necessários para a execução do trabalho. O trabalhador receberá ou será reembolsado pelas despesas de transporte e subsistência (incluindo o custo razoável de hospedagem, quando necessário, até US$ 110 por noite, mediante apresentação de recibos) à taxa de US$ 16,78 por dia durante o deslocamento, até um máximo de US$ 68,00 por dia, mediante apresentação de recibos, desde o local de origem do trabalhador, seja nos EUA ou no exterior, até o local de trabalho, caso o trabalhador complete 50% do período de trabalho coberto pela ordem de serviço, em conformidade com 20 CFR 655.20(j)(1)(i), mediante inclusão no contracheque da semana correspondente. O empregador fornecerá ou pagará o custo do transporte de retorno e da subsistência diária do trabalhador, do local de trabalho até o local de onde o trabalhador partiu para trabalhar para o empregador, independentemente de empregos intermediários, caso o trabalhador complete o período de emprego certificado ou seja demitido do emprego por qualquer motivo pelo empregador antes do término do período, de acordo com o § 655.20(j)(1)(ii); os trabalhadores com visto H-2B serão reembolsados ​​na primeira semana de trabalho por todos os vistos, processamento de vistos, travessia de fronteira e outras taxas relacionadas, incluindo aquelas exigidas pelo governo (exceto taxas de passaporte). O empregador fornecerá aos trabalhadores todas as ferramentas, suprimentos e equipamentos necessários para o desempenho do trabalho, sem custo para o trabalhador, de acordo com o 20 CFR 655.20(k). Os candidatos qualificados podem enviar o currículo para Sarah Staley, no endereço 4650 Wycliffe Country Club Blvd, Wellington, FL 33449, por e-mail para hr@wycliffecc.com ou visitar o centro de empregos local em 3400 Belvedere Road, West Palm Beach, FL 33406. *Seu depósito de segurança será reembolsado após a conclusão do contrato e a inspeção da moradia. Se um trabalhador abandonar o emprego sem a permissão do empregador ou abandonar a moradia antes do término do prazo de inscrição por qualquer motivo, exceto rescisão por parte do empregador, o trabalhador perderá todos os depósitos de moradia, dias de folga remunerada, férias e bônus. Após a rescisão ou demissão, o trabalhador deverá desocupar a moradia imediatamente, a menos que haja acordo com o empregador.* Classificação do Cargo: 35-1012.00 - Supervisores de Primeira Linha de Trabalhadores de Preparação e Serviço de Alimentos. A classificação e descrição do cargo/setor incluem informações gerais sobre a posição, de acordo com o ONET/OES e o Sistema de Classificação Industrial da América do Norte. Consulte as Funções e a Ordem de Serviço para obter mais informações. Requisitos da vaga Experiência necessária: Sim Meses de experiência necessários: 3 Número de horas por semana: 35 Horário de trabalho (início/término): 6h às 22h</v>
      </c>
    </row>
    <row r="1848" ht="20.25" customHeight="1">
      <c r="A1848" s="3" t="s">
        <v>8252</v>
      </c>
      <c r="B1848" s="3" t="s">
        <v>8246</v>
      </c>
      <c r="C1848" s="3" t="s">
        <v>197</v>
      </c>
      <c r="D1848" s="3" t="s">
        <v>71</v>
      </c>
      <c r="E1848" s="4" t="s">
        <v>19</v>
      </c>
      <c r="F1848" s="4" t="s">
        <v>20</v>
      </c>
      <c r="G1848" s="4" t="s">
        <v>524</v>
      </c>
      <c r="H1848" s="3" t="s">
        <v>8247</v>
      </c>
      <c r="I1848" s="3" t="s">
        <v>8248</v>
      </c>
      <c r="J1848" s="4">
        <v>18.71</v>
      </c>
      <c r="K1848" s="4">
        <v>42.0</v>
      </c>
      <c r="L1848" s="3" t="s">
        <v>1206</v>
      </c>
      <c r="M1848" s="3" t="s">
        <v>8253</v>
      </c>
      <c r="N1848" s="7" t="str">
        <f>IFERROR(__xludf.DUMMYFUNCTION("GOOGLETRANSLATE(L1848, ""en"", ""pt"")"),"Servidor")</f>
        <v>Servidor</v>
      </c>
      <c r="O1848" s="7" t="str">
        <f>IFERROR(__xludf.DUMMYFUNCTION("IF(M1848="""","""",GOOGLETRANSLATE(M1848,""en"",""pt""))"),"Receber pedidos, servir comidas e bebidas aos clientes. Limpar e arrumar as mesas. Receber pagamentos e entregar recibos. Manter todos os postos de trabalho abastecidos e realizar todos os demais serviços relacionados ao atendimento. (42) vagas disponívei"&amp;"s. Período: 01/10/2026 a 31/05/2027. Necessário 3 meses de experiência. Turnos rotativos. Dias de trabalho: segunda a domingo. Horário de trabalho: 6h às 22h. Salário: US$ 18,71 a US$ 23/hora, com base no desempenho; US$ 28,07 a US$ 34,50/hora para horas "&amp;"extras. Pagamento quinzenal. 35 horas semanais. Alojamento opcional por US$ 150/semana, com depósito de US$ 350 (US$ 250 reembolsáveis ​​após a assinatura do contrato e vistoria do imóvel; US$ 100 não reembolsáveis). Uniformes parciais e refeições durante"&amp;" o turno fornecidos. Local de trabalho: 4650 Wycliffe Country Club Blvd, Wellington, FL 33449. Trabalho temporário em tempo integral. O salário será calculado com base em uma única semana de trabalho. Poderá ser feito até 10 horas extras, quando disponíve"&amp;"is. Todos os descontos exigidos por lei serão efetuados no contracheque do trabalhador. O empregador fornecerá ao trabalhador, sem custos, todas as ferramentas, materiais e equipamentos necessários para a execução do trabalho. O trabalhador receberá ou se"&amp;"rá reembolsado pelas despesas de transporte e alimentação (incluindo o custo razoável de hospedagem, quando necessário, até US$ 110 por noite, mediante apresentação de recibos) no valor de US$ 16,78 por dia durante o deslocamento, até um máximo de US$ 68,"&amp;"00 por dia, mediante apresentação de recibos, desde o local de origem do trabalhador, seja nos EUA ou no exterior, até o local de trabalho, caso o trabalhador complete 50% do período de trabalho abrangido pela ordem de serviço, em conformidade com o 20 CF"&amp;"R 655.20(j)(1)(i), mediante inclusão no contracheque da semana correspondente. O empregador fornecerá ou pagará o custo do transporte de retorno e da subsistência diária do trabalhador, do local de trabalho até o local de onde o trabalhador partiu para tr"&amp;"abalhar para o empregador, independentemente de empregos intermediários, caso o trabalhador complete o período de emprego certificado ou seja demitido do emprego por qualquer motivo pelo empregador antes do término do período, de acordo com o § 655.20(j)("&amp;"1)(ii); os trabalhadores com visto H-2B serão reembolsados ​​na primeira semana de trabalho por todos os vistos, processamento de vistos, travessia de fronteira e outras taxas relacionadas, incluindo aquelas exigidas pelo governo (exceto taxas de passapor"&amp;"te). O empregador fornecerá aos trabalhadores todas as ferramentas, suprimentos e equipamentos necessários para o desempenho do trabalho, sem custo para o trabalhador, de acordo com o 20 CFR 655.20(k). Os candidatos qualificados podem enviar o currículo p"&amp;"ara Sarah Staley, no endereço 4650 Wycliffe Country Club Blvd, Wellington, FL 33449, por e-mail para hr@wycliffecc.com ou visitar o centro de empregos local em 3400 Belvedere Road, West Palm Beach, FL 33406. *Seu depósito de segurança será reembolsado apó"&amp;"s a conclusão do contrato e a inspeção da moradia. Se um trabalhador abandonar o emprego sem a permissão do empregador ou abandonar a moradia antes do término do prazo de inscrição por qualquer motivo, exceto rescisão por parte do empregador, o trabalhado"&amp;"r perderá todos os depósitos de moradia, dias de folga remunerada, férias e bônus. Após a rescisão ou demissão, o trabalhador deverá desocupar a moradia imediatamente, a menos que haja acordo com o empregador.* Classificação da vaga: 35-3031.00 - Garçons "&amp;"e Garçonetes. A classificação e a descrição da vaga/setor incluem informações gerais sobre o cargo, de acordo com o ONET/OES e o Sistema de Classificação Industrial da América do Norte. Consulte as Funções e a Ordem de Serviço para obter mais informações."&amp;" Requisitos da vaga Experiência necessária: Sim Meses de experiência necessários: 3 Número de horas por semana: 35 Horário de trabalho (início/término): 6h às 22h")</f>
        <v>Receber pedidos, servir comidas e bebidas aos clientes. Limpar e arrumar as mesas. Receber pagamentos e entregar recibos. Manter todos os postos de trabalho abastecidos e realizar todos os demais serviços relacionados ao atendimento. (42) vagas disponíveis. Período: 01/10/2026 a 31/05/2027. Necessário 3 meses de experiência. Turnos rotativos. Dias de trabalho: segunda a domingo. Horário de trabalho: 6h às 22h. Salário: US$ 18,71 a US$ 23/hora, com base no desempenho; US$ 28,07 a US$ 34,50/hora para horas extras. Pagamento quinzenal. 35 horas semanais. Alojamento opcional por US$ 150/semana, com depósito de US$ 350 (US$ 250 reembolsáveis ​​após a assinatura do contrato e vistoria do imóvel; US$ 100 não reembolsáveis). Uniformes parciais e refeições durante o turno fornecidos. Local de trabalho: 4650 Wycliffe Country Club Blvd, Wellington, FL 33449. Trabalho temporário em tempo integral. O salário será calculado com base em uma única semana de trabalho. Poderá ser feito até 10 horas extras, quando disponíveis. Todos os descontos exigidos por lei serão efetuados no contracheque do trabalhador. O empregador fornecerá ao trabalhador, sem custos, todas as ferramentas, materiais e equipamentos necessários para a execução do trabalho. O trabalhador receberá ou será reembolsado pelas despesas de transporte e alimentação (incluindo o custo razoável de hospedagem, quando necessário, até US$ 110 por noite, mediante apresentação de recibos) no valor de US$ 16,78 por dia durante o deslocamento, até um máximo de US$ 68,00 por dia, mediante apresentação de recibos, desde o local de origem do trabalhador, seja nos EUA ou no exterior, até o local de trabalho, caso o trabalhador complete 50% do período de trabalho abrangido pela ordem de serviço, em conformidade com o 20 CFR 655.20(j)(1)(i), mediante inclusão no contracheque da semana correspondente. O empregador fornecerá ou pagará o custo do transporte de retorno e da subsistência diária do trabalhador, do local de trabalho até o local de onde o trabalhador partiu para trabalhar para o empregador, independentemente de empregos intermediários, caso o trabalhador complete o período de emprego certificado ou seja demitido do emprego por qualquer motivo pelo empregador antes do término do período, de acordo com o § 655.20(j)(1)(ii); os trabalhadores com visto H-2B serão reembolsados ​​na primeira semana de trabalho por todos os vistos, processamento de vistos, travessia de fronteira e outras taxas relacionadas, incluindo aquelas exigidas pelo governo (exceto taxas de passaporte). O empregador fornecerá aos trabalhadores todas as ferramentas, suprimentos e equipamentos necessários para o desempenho do trabalho, sem custo para o trabalhador, de acordo com o 20 CFR 655.20(k). Os candidatos qualificados podem enviar o currículo para Sarah Staley, no endereço 4650 Wycliffe Country Club Blvd, Wellington, FL 33449, por e-mail para hr@wycliffecc.com ou visitar o centro de empregos local em 3400 Belvedere Road, West Palm Beach, FL 33406. *Seu depósito de segurança será reembolsado após a conclusão do contrato e a inspeção da moradia. Se um trabalhador abandonar o emprego sem a permissão do empregador ou abandonar a moradia antes do término do prazo de inscrição por qualquer motivo, exceto rescisão por parte do empregador, o trabalhador perderá todos os depósitos de moradia, dias de folga remunerada, férias e bônus. Após a rescisão ou demissão, o trabalhador deverá desocupar a moradia imediatamente, a menos que haja acordo com o empregador.* Classificação da vaga: 35-3031.00 - Garçons e Garçonetes. A classificação e a descrição da vaga/setor incluem informações gerais sobre o cargo, de acordo com o ONET/OES e o Sistema de Classificação Industrial da América do Norte. Consulte as Funções e a Ordem de Serviço para obter mais informações. Requisitos da vaga Experiência necessária: Sim Meses de experiência necessários: 3 Número de horas por semana: 35 Horário de trabalho (início/término): 6h às 22h</v>
      </c>
    </row>
    <row r="1849" ht="20.25" customHeight="1">
      <c r="A1849" s="8" t="s">
        <v>8254</v>
      </c>
      <c r="B1849" s="8" t="s">
        <v>8246</v>
      </c>
      <c r="C1849" s="8" t="s">
        <v>197</v>
      </c>
      <c r="D1849" s="8" t="s">
        <v>71</v>
      </c>
      <c r="E1849" s="9" t="s">
        <v>19</v>
      </c>
      <c r="F1849" s="9" t="s">
        <v>20</v>
      </c>
      <c r="G1849" s="9" t="s">
        <v>524</v>
      </c>
      <c r="H1849" s="8" t="s">
        <v>8247</v>
      </c>
      <c r="I1849" s="8" t="s">
        <v>8248</v>
      </c>
      <c r="J1849" s="9">
        <v>19.0</v>
      </c>
      <c r="K1849" s="9">
        <v>16.0</v>
      </c>
      <c r="L1849" s="8" t="s">
        <v>387</v>
      </c>
      <c r="M1849" s="8" t="s">
        <v>8255</v>
      </c>
      <c r="N1849" s="7" t="str">
        <f>IFERROR(__xludf.DUMMYFUNCTION("GOOGLETRANSLATE(L1849, ""en"", ""pt"")"),"Ordem de serviço não disponível")</f>
        <v>Ordem de serviço não disponível</v>
      </c>
      <c r="O1849" s="7" t="str">
        <f>IFERROR(__xludf.DUMMYFUNCTION("IF(M1849="""","""",GOOGLETRANSLATE(M1849,""en"",""pt""))"),"Preparar, cozinhar, refogar, grelhar e fritar itens como frutos do mar, carnes, aves, legumes, massas e sopas. Manter as áreas da cozinha limpas e higienizadas. Armazenar todos os produtos em locais adequados e realizar todos os demais serviços relacionad"&amp;"os à cozinha. (16) vagas disponíveis. Período: 01/10/2026 a 31/05/2027. Necessário 3 meses de experiência. Turnos rotativos. Dias de trabalho: segunda a domingo. Horário de trabalho: 6h às 22h. Salário: US$ 19 a US$ 24 por hora, com base no desempenho; ho"&amp;"ras extras: US$ 28,50 a US$ 36 por hora. Pagamento quinzenal. 35 horas semanais. Alojamento opcional por US$ 150 por semana, com depósito de US$ 350 (US$ 250 reembolsáveis ​​após a conclusão do contrato e inspeção do alojamento / US$ 100 não reembolsáveis"&amp;"). Uniformes parciais e refeições durante o turno fornecidos. Local de trabalho: 4650 Wycliffe Country Club Blvd, Wellington, FL 33449. Trabalho temporário em tempo integral. Uma única semana de trabalho será utilizada para calcular os salários. O trabalh"&amp;"ador poderá receber até 10 horas extras, quando disponíveis. Todas as deduções exigidas por lei serão feitas no contracheque do trabalhador. O empregador fornecerá ao trabalhador, sem custos, todas as ferramentas, suprimentos e equipamentos necessários pa"&amp;"ra a execução do trabalho. O trabalhador receberá ou será reembolsado pelas despesas de transporte e subsistência (incluindo o custo razoável de hospedagem, quando necessário, até US$ 110 por noite, mediante apresentação de recibos) à taxa de US$ 16,78 po"&amp;"r dia durante o deslocamento, até um máximo de US$ 68,00 por dia, mediante apresentação de recibos, desde o local de origem do trabalhador, seja nos EUA ou no exterior, até o local de trabalho, caso o trabalhador complete 50% do período de trabalho cobert"&amp;"o pela ordem de serviço, em conformidade com 20 CFR 655.20(j)(1)(i), mediante inclusão no contracheque da semana correspondente. O empregador fornecerá ou pagará o custo do transporte de retorno e da subsistência diária do trabalhador, do local de trabalh"&amp;"o até o local de onde o trabalhador partiu para trabalhar para o empregador, independentemente de empregos intermediários, caso o trabalhador complete o período de emprego certificado ou seja demitido do emprego por qualquer motivo pelo empregador antes d"&amp;"o término do período, de acordo com o § 655.20(j)(1)(ii); os trabalhadores com visto H-2B serão reembolsados ​​na primeira semana de trabalho por todos os vistos, processamento de vistos, travessia de fronteira e outras taxas relacionadas, incluindo aquel"&amp;"as exigidas pelo governo (exceto taxas de passaporte). O empregador fornecerá aos trabalhadores todas as ferramentas, suprimentos e equipamentos necessários para o desempenho do trabalho, sem custo para o trabalhador, de acordo com o 20 CFR 655.20(k). Os "&amp;"candidatos qualificados podem enviar o currículo para Sarah Staley, no endereço 4650 Wycliffe Country Club Blvd, Wellington, FL 33449, por e-mail para hr@wycliffecc.com ou visitar o centro de empregos local em 3400 Belvedere Road, West Palm Beach, FL 3340"&amp;"6. *Seu depósito de segurança será reembolsado após a conclusão do contrato e a inspeção da moradia. Se um trabalhador abandonar o emprego sem a permissão do empregador ou abandonar a moradia antes do término do prazo de inscrição por qualquer motivo, exc"&amp;"eto rescisão por parte do empregador, o trabalhador perderá todos os depósitos de moradia, dias de folga remunerada, férias e bônus. Após a rescisão ou demissão, o trabalhador deverá desocupar a moradia imediatamente, a menos que haja acordo com o emprega"&amp;"dor.* Classificação do Cargo: 35-2014.00 - Cozinheiros, Restaurante. A classificação e a descrição do cargo/setor incluem informações gerais sobre a posição, de acordo com o ONET/OES e o Sistema de Classificação Industrial da América do Norte. Consulte as"&amp;" Funções e a Ordem de Serviço para obter mais informações. Requisitos da vaga Experiência necessária: Sim Meses de experiência necessários: 3 Número de horas por semana: 35 Horário de trabalho (início/término): 6h às 22h")</f>
        <v>Preparar, cozinhar, refogar, grelhar e fritar itens como frutos do mar, carnes, aves, legumes, massas e sopas. Manter as áreas da cozinha limpas e higienizadas. Armazenar todos os produtos em locais adequados e realizar todos os demais serviços relacionados à cozinha. (16) vagas disponíveis. Período: 01/10/2026 a 31/05/2027. Necessário 3 meses de experiência. Turnos rotativos. Dias de trabalho: segunda a domingo. Horário de trabalho: 6h às 22h. Salário: US$ 19 a US$ 24 por hora, com base no desempenho; horas extras: US$ 28,50 a US$ 36 por hora. Pagamento quinzenal. 35 horas semanais. Alojamento opcional por US$ 150 por semana, com depósito de US$ 350 (US$ 250 reembolsáveis ​​após a conclusão do contrato e inspeção do alojamento / US$ 100 não reembolsáveis). Uniformes parciais e refeições durante o turno fornecidos. Local de trabalho: 4650 Wycliffe Country Club Blvd, Wellington, FL 33449. Trabalho temporário em tempo integral. Uma única semana de trabalho será utilizada para calcular os salários. O trabalhador poderá receber até 10 horas extras, quando disponíveis. Todas as deduções exigidas por lei serão feitas no contracheque do trabalhador. O empregador fornecerá ao trabalhador, sem custos, todas as ferramentas, suprimentos e equipamentos necessários para a execução do trabalho. O trabalhador receberá ou será reembolsado pelas despesas de transporte e subsistência (incluindo o custo razoável de hospedagem, quando necessário, até US$ 110 por noite, mediante apresentação de recibos) à taxa de US$ 16,78 por dia durante o deslocamento, até um máximo de US$ 68,00 por dia, mediante apresentação de recibos, desde o local de origem do trabalhador, seja nos EUA ou no exterior, até o local de trabalho, caso o trabalhador complete 50% do período de trabalho coberto pela ordem de serviço, em conformidade com 20 CFR 655.20(j)(1)(i), mediante inclusão no contracheque da semana correspondente. O empregador fornecerá ou pagará o custo do transporte de retorno e da subsistência diária do trabalhador, do local de trabalho até o local de onde o trabalhador partiu para trabalhar para o empregador, independentemente de empregos intermediários, caso o trabalhador complete o período de emprego certificado ou seja demitido do emprego por qualquer motivo pelo empregador antes do término do período, de acordo com o § 655.20(j)(1)(ii); os trabalhadores com visto H-2B serão reembolsados ​​na primeira semana de trabalho por todos os vistos, processamento de vistos, travessia de fronteira e outras taxas relacionadas, incluindo aquelas exigidas pelo governo (exceto taxas de passaporte). O empregador fornecerá aos trabalhadores todas as ferramentas, suprimentos e equipamentos necessários para o desempenho do trabalho, sem custo para o trabalhador, de acordo com o 20 CFR 655.20(k). Os candidatos qualificados podem enviar o currículo para Sarah Staley, no endereço 4650 Wycliffe Country Club Blvd, Wellington, FL 33449, por e-mail para hr@wycliffecc.com ou visitar o centro de empregos local em 3400 Belvedere Road, West Palm Beach, FL 33406. *Seu depósito de segurança será reembolsado após a conclusão do contrato e a inspeção da moradia. Se um trabalhador abandonar o emprego sem a permissão do empregador ou abandonar a moradia antes do término do prazo de inscrição por qualquer motivo, exceto rescisão por parte do empregador, o trabalhador perderá todos os depósitos de moradia, dias de folga remunerada, férias e bônus. Após a rescisão ou demissão, o trabalhador deverá desocupar a moradia imediatamente, a menos que haja acordo com o empregador.* Classificação do Cargo: 35-2014.00 - Cozinheiros, Restaurante. A classificação e a descrição do cargo/setor incluem informações gerais sobre a posição, de acordo com o ONET/OES e o Sistema de Classificação Industrial da América do Norte. Consulte as Funções e a Ordem de Serviço para obter mais informações. Requisitos da vaga Experiência necessária: Sim Meses de experiência necessários: 3 Número de horas por semana: 35 Horário de trabalho (início/término): 6h às 22h</v>
      </c>
    </row>
    <row r="1850" ht="20.25" customHeight="1">
      <c r="A1850" s="3" t="s">
        <v>8256</v>
      </c>
      <c r="B1850" s="3" t="s">
        <v>8257</v>
      </c>
      <c r="C1850" s="3" t="s">
        <v>4247</v>
      </c>
      <c r="D1850" s="3" t="s">
        <v>71</v>
      </c>
      <c r="E1850" s="4" t="s">
        <v>44</v>
      </c>
      <c r="F1850" s="4" t="s">
        <v>20</v>
      </c>
      <c r="G1850" s="4" t="s">
        <v>1412</v>
      </c>
      <c r="H1850" s="3" t="s">
        <v>8258</v>
      </c>
      <c r="I1850" s="3" t="s">
        <v>8259</v>
      </c>
      <c r="J1850" s="4">
        <v>25.04</v>
      </c>
      <c r="K1850" s="4">
        <v>7.0</v>
      </c>
      <c r="L1850" s="3" t="s">
        <v>4250</v>
      </c>
      <c r="M1850" s="3" t="s">
        <v>8260</v>
      </c>
      <c r="N1850" s="7" t="str">
        <f>IFERROR(__xludf.DUMMYFUNCTION("GOOGLETRANSLATE(L1850, ""en"", ""pt"")"),"49-9098: Ajudantes — Trabalhos de instalação, manutenção e reparo")</f>
        <v>49-9098: Ajudantes — Trabalhos de instalação, manutenção e reparo</v>
      </c>
      <c r="O1850" s="7" t="str">
        <f>IFERROR(__xludf.DUMMYFUNCTION("IF(M1850="""","""",GOOGLETRANSLATE(M1850,""en"",""pt""))"),"***2ª resposta à RFI*** Tarefas executadas em veículos: Limpeza. Ferramentas utilizadas: Pode-se utilizar vassoura, pano e sabão. Tarefas executadas em máquinas industriais. Para esclarecer, as máquinas industriais referem-se a barracas/reboques de alimen"&amp;"tação e equipamentos relacionados que possam estar presentes na barraca, como máquinas de bebidas ou pizza. Substituição de peças defeituosas ou desgastadas, como lâmpadas, interruptores, correias e mangueiras. Lixamento, raspagem e limpeza de superfícies"&amp;" e estruturas para manter a aparência e prevenir ferrugem ou deterioração. Ferramentas utilizadas: Pode-se utilizar as seguintes ferramentas, equipamentos e materiais ao executar as tarefas atribuídas: Chaves de boca, jogos de soquetes e catracas, chaves "&amp;"de fenda, alicates, martelos, alavancas, trena, chaves ajustáveis, lixa, lápis e luvas. Serão utilizadas escadas, aspiradores de pó e equipamentos e suprimentos de limpeza, como esponjas, panos e sabão. Tarefas executadas em equipamentos elétricos e eletr"&amp;"ônicos. Para esclarecer, os equipamentos elétricos e eletrônicos nos quais será realizado o trabalho incluem quaisquer sistemas de som que sejam parte integrante do reboque de alimentação. As tarefas incluem a limpeza de poeira e detritos que possam ter s"&amp;"e acumulado no sistema, a substituição de lâmpadas e a colocação de abraçadeiras ou fixadores similares na fiação. Ferramentas: Podem ser utilizadas as seguintes ferramentas, equipamentos e materiais para a execução das tarefas: chaves, conjuntos de soque"&amp;"tes e catracas, chaves de fenda, alicates, martelos, alavancas, trena, chaves ajustáveis, lixa, latas de ar comprimido, lápis e luvas. Serão utilizadas escadas, aspiradores de pó e equipamentos e materiais de limpeza, como esponjas, panos e sabão. ***1ª r"&amp;"esposta à RFI*** Tarefas específicas e ferramentas utilizadas para a execução dessas tarefas: Os trabalhadores auxiliarão na montagem, inspeção e desmontagem para reparo e reforma de brinquedos de parques de diversões, trailers de alimentação e equipament"&amp;"os relacionados. Substituirão peças defeituosas ou desgastadas, como lâmpadas, interruptores, correias e mangueiras. Lixarão, rasparão e limparão superfícies e estruturas para manter a aparência e evitar ferrugem ou deterioração. Verificarão e substituirã"&amp;"o lâmpadas, soquetes, fusíveis e luminárias conforme necessário. Limpar e manter as áreas de trabalho. Os trabalhadores podem usar as seguintes ferramentas, equipamentos e materiais ao executar as tarefas atribuídas: chaves, conjuntos de soquetes e catrac"&amp;"as, chaves de fenda, alicates, martelos, alavancas, trena, chaves ajustáveis, lixa, lápis e luvas. Eles usarão escadas, aspiradores de pó e equipamentos e suprimentos de limpeza, como esponjas, panos e sabão. Nenhum trabalho será realizado em veículos, má"&amp;"quinas industriais ou equipamentos elétricos e eletrônicos. Nenhum trabalho será realizado em motores a diesel. ***Original*** Auxiliar os trabalhadores de instalação, manutenção e reparo na manutenção, substituição de peças e reparo de veículos, máquinas"&amp;" industriais e equipamentos elétricos e eletrônicos. Executar tarefas como fornecer ferramentas, materiais e suprimentos para outros trabalhadores; limpar a área de trabalho, máquinas e ferramentas; e segurar materiais ou ferramentas para outros trabalhad"&amp;"ores. Classificação do Cargo: 49-9043.00 - Trabalhadores de Manutenção de Máquinas. A classificação e descrição do cargo/setor inclui informações gerais sobre a posição da ONET/OES e do Sistema de Classificação Industrial da América do Norte. Consulte as "&amp;"Funções do Cargo e a Ordem de Serviço para obter mais informações. Requisitos da vaga Experiência necessária: Não Requisitos especiais: Testes aleatórios de drogas e verificação de antecedentes criminais após a contratação poderão ser exigidos, sem custo "&amp;"para o trabalhador. A vaga exige que o candidato seja qualificado, esteja pronto, disposto, apto e disponível para desempenhar as funções durante todo o período de emprego no local de trabalho designado; para firmar e cumprir o contrato de trabalho; e par"&amp;"a seguir as normas da empresa. Número de horas por semana: 35 Horário de trabalho (início/término): 8h às 16h")</f>
        <v>***2ª resposta à RFI*** Tarefas executadas em veículos: Limpeza. Ferramentas utilizadas: Pode-se utilizar vassoura, pano e sabão. Tarefas executadas em máquinas industriais. Para esclarecer, as máquinas industriais referem-se a barracas/reboques de alimentação e equipamentos relacionados que possam estar presentes na barraca, como máquinas de bebidas ou pizza. Substituição de peças defeituosas ou desgastadas, como lâmpadas, interruptores, correias e mangueiras. Lixamento, raspagem e limpeza de superfícies e estruturas para manter a aparência e prevenir ferrugem ou deterioração. Ferramentas utilizadas: Pode-se utilizar as seguintes ferramentas, equipamentos e materiais ao executar as tarefas atribuídas: Chaves de boca, jogos de soquetes e catracas, chaves de fenda, alicates, martelos, alavancas, trena, chaves ajustáveis, lixa, lápis e luvas. Serão utilizadas escadas, aspiradores de pó e equipamentos e suprimentos de limpeza, como esponjas, panos e sabão. Tarefas executadas em equipamentos elétricos e eletrônicos. Para esclarecer, os equipamentos elétricos e eletrônicos nos quais será realizado o trabalho incluem quaisquer sistemas de som que sejam parte integrante do reboque de alimentação. As tarefas incluem a limpeza de poeira e detritos que possam ter se acumulado no sistema, a substituição de lâmpadas e a colocação de abraçadeiras ou fixadores similares na fiação. Ferramentas: Podem ser utilizadas as seguintes ferramentas, equipamentos e materiais para a execução das tarefas: chaves, conjuntos de soquetes e catracas, chaves de fenda, alicates, martelos, alavancas, trena, chaves ajustáveis, lixa, latas de ar comprimido, lápis e luvas. Serão utilizadas escadas, aspiradores de pó e equipamentos e materiais de limpeza, como esponjas, panos e sabão. ***1ª resposta à RFI*** Tarefas específicas e ferramentas utilizadas para a execução dessas tarefas: Os trabalhadores auxiliarão na montagem, inspeção e desmontagem para reparo e reforma de brinquedos de parques de diversões, trailers de alimentação e equipamentos relacionados. Substituirão peças defeituosas ou desgastadas, como lâmpadas, interruptores, correias e mangueiras. Lixarão, rasparão e limparão superfícies e estruturas para manter a aparência e evitar ferrugem ou deterioração. Verificarão e substituirão lâmpadas, soquetes, fusíveis e luminárias conforme necessário. Limpar e manter as áreas de trabalho. Os trabalhadores podem usar as seguintes ferramentas, equipamentos e materiais ao executar as tarefas atribuídas: chaves, conjuntos de soquetes e catracas, chaves de fenda, alicates, martelos, alavancas, trena, chaves ajustáveis, lixa, lápis e luvas. Eles usarão escadas, aspiradores de pó e equipamentos e suprimentos de limpeza, como esponjas, panos e sabão. Nenhum trabalho será realizado em veículos, máquinas industriais ou equipamentos elétricos e eletrônicos. Nenhum trabalho será realizado em motores a diesel. ***Original*** Auxiliar os trabalhadores de instalação, manutenção e reparo na manutenção, substituição de peças e reparo de veículos, máquinas industriais e equipamentos elétricos e eletrônicos. Executar tarefas como fornecer ferramentas, materiais e suprimentos para outros trabalhadores; limpar a área de trabalho, máquinas e ferramentas; e segurar materiais ou ferramentas para outros trabalhadores. Classificação do Cargo: 49-9043.00 - Trabalhadores de Manutenção de Máquinas. A classificação e descrição do cargo/setor inclui informações gerais sobre a posição da ONET/OES e do Sistema de Classificação Industrial da América do Norte. Consulte as Funções do Cargo e a Ordem de Serviço para obter mais informações. Requisitos da vaga Experiência necessária: Não Requisitos especiais: Testes aleatórios de drogas e verificação de antecedentes criminais após a contratação poderão ser exigidos, sem custo para o trabalhador. A vaga exige que o candidato seja qualificado, esteja pronto, disposto, apto e disponível para desempenhar as funções durante todo o período de emprego no local de trabalho designado; para firmar e cumprir o contrato de trabalho; e para seguir as normas da empresa. Número de horas por semana: 35 Horário de trabalho (início/término): 8h às 16h</v>
      </c>
    </row>
    <row r="1851" ht="20.25" customHeight="1">
      <c r="A1851" s="8" t="s">
        <v>8261</v>
      </c>
      <c r="B1851" s="8" t="s">
        <v>8262</v>
      </c>
      <c r="C1851" s="8" t="s">
        <v>8263</v>
      </c>
      <c r="D1851" s="8" t="s">
        <v>71</v>
      </c>
      <c r="E1851" s="9" t="s">
        <v>19</v>
      </c>
      <c r="F1851" s="9" t="s">
        <v>20</v>
      </c>
      <c r="G1851" s="9" t="s">
        <v>80</v>
      </c>
      <c r="H1851" s="8" t="s">
        <v>8264</v>
      </c>
      <c r="I1851" s="8" t="s">
        <v>8265</v>
      </c>
      <c r="J1851" s="9">
        <v>20.13</v>
      </c>
      <c r="K1851" s="9">
        <v>10.0</v>
      </c>
      <c r="L1851" s="8" t="s">
        <v>1206</v>
      </c>
      <c r="M1851" s="8" t="s">
        <v>8266</v>
      </c>
      <c r="N1851" s="7" t="str">
        <f>IFERROR(__xludf.DUMMYFUNCTION("GOOGLETRANSLATE(L1851, ""en"", ""pt"")"),"Servidor")</f>
        <v>Servidor</v>
      </c>
      <c r="O1851" s="7" t="str">
        <f>IFERROR(__xludf.DUMMYFUNCTION("IF(M1851="""","""",GOOGLETRANSLATE(M1851,""en"",""pt""))"),"Os garçons serão responsáveis ​​por anotar os pedidos de comida e bebida no salão e bar, inserindo-os com precisão no sistema de ponto de venda (após a conclusão bem-sucedida de todos os treinamentos e testes), servir pão à mesa, levar comida e bebidas, a"&amp;"gilizar o serviço, preparar café/chá e servir vinho, preparar e fechar o restaurante para o serviço, manter todas as áreas de trabalho limpas e higienizadas antes, durante e após o serviço, reabastecer os pontos de atendimento, mover e arrumar as mesas, p"&amp;"assar a roupa de mesa, limpar, marcar e arrumar as mesas, e polir talheres, copos, pratos e bandejas de latão. Os funcionários deverão seguir os procedimentos de serviço dos Restaurantes Butcher. Classificação da vaga: 35-3031.00 - Garçons e Garçonetes. A"&amp;" classificação e descrição da vaga/setor inclui informações gerais sobre o cargo, de acordo com o ONET/OES e o Sistema de Classificação Industrial da América do Norte. Consulte as Funções e a Ordem de Serviço para obter mais informações. Requisitos da vag"&amp;"a: Experiência necessária: Sim. Meses de experiência necessários: 6. Requisitos especiais: Os dias e horários de trabalho podem variar. Trabalho em feriados, fins de semana e noites, conforme necessário. O empregador reserva-se o direito de aumentar o sal"&amp;"ário, a remuneração ou o bônus de qualquer funcionário com base em suas habilidades, tempo de serviço, desempenho ou experiência. Os funcionários devem ter pelo menos 18 anos de idade. O requerente considerará para emprego qualquer candidato que possua pe"&amp;"lo menos seis (6) meses de experiência em um ambiente de alta gastronomia ou de grande movimento em um restaurante sofisticado, resort ou clube privado. O candidato deverá se submeter à verificação de antecedentes e ao exame toxicológico pré-admissional, "&amp;"às custas do empregador. O candidato também deverá concluir o treinamento e a avaliação remunerados no local de trabalho, bem como seguir os procedimentos detalhados de atendimento do Butcher Private. Observe que, embora haja materiais disponíveis online "&amp;"para treinamento, a revisão desses materiais não é obrigatória fora do horário de trabalho, pois o treinamento é oferecido no local de trabalho. Os aumentos na remuneração horária além do salário mínimo garantido estão diretamente relacionados à Política "&amp;"de Avanço por Pontos do requerente, na qual os pontos são determinados pela comunicação correta, habilidade e conhecimento. Uma série de dezesseis (16) extensos testes práticos e escritos, realizados em inglês, avaliará o conhecimento do produto e do serv"&amp;"iço, bem como a velocidade de atendimento. Esses testes estão disponíveis para serem realizados durante todo o período de seu emprego. Isenção de Horas Extras: ***** continuação de F.b.9. Cargo com gorjetas e salário garantido: US$ 20,13 por hora, pago qu"&amp;"inzenalmente. Se os garçons forem remunerados por meio de taxas de serviço, o Empregador classificou este cargo como isento dos requisitos de horas extras da Lei de Normas Justas de Trabalho (FLSA) sob sua Seção 207(i). Isso significa que os garçons, conf"&amp;"orme esta solicitação, não têm direito a remuneração de horas extras por cada hora trabalhada acima de 40 horas em uma semana de trabalho, desde que: (1) a remuneração normal exceda uma vez e meia o salário mínimo federal por cada hora trabalhada em uma s"&amp;"emana de trabalho em que horas extras sejam trabalhadas; e (2) durante um período representativo de três meses, pelo menos metade do total dos ganhos consista em taxas de serviço. Esta isenção permanecerá em vigor enquanto os garçons continuarem a trabalh"&amp;"ar no cargo e continuarem a ser remunerados por meio de taxas de serviço. Caso qualquer um dos requisitos acima não seja atendido, o Empregador pagará horas extras por todas as horas trabalhadas além de quarenta (40) em uma semana de trabalho, à taxa de U"&amp;"S$ 30,20 por hora. O Empregador fornecerá a cada funcionário um (1) casaco de uniforme sem custo para o funcionário. Os funcionários devem se apresentar ao trabalho usando sapatos pretos limpos e em bom estado, calças pretas, meias pretas e uma camiseta b"&amp;"ranca lisa. Esses itens são considerados vestuário padrão para o dia a dia e devem ser fornecidos pelo funcionário, sendo esperado que estejam 100% em conformidade com a Política de Uniforme e Apresentação Pessoal da Empresa. Os funcionários devem falar i"&amp;"nglês em nível conversacional. Número de horas por semana: 40. Horário de trabalho (início/término): 10h00 - 23h59.")</f>
        <v>Os garçons serão responsáveis ​​por anotar os pedidos de comida e bebida no salão e bar, inserindo-os com precisão no sistema de ponto de venda (após a conclusão bem-sucedida de todos os treinamentos e testes), servir pão à mesa, levar comida e bebidas, agilizar o serviço, preparar café/chá e servir vinho, preparar e fechar o restaurante para o serviço, manter todas as áreas de trabalho limpas e higienizadas antes, durante e após o serviço, reabastecer os pontos de atendimento, mover e arrumar as mesas, passar a roupa de mesa, limpar, marcar e arrumar as mesas, e polir talheres, copos, pratos e bandejas de latão. Os funcionários deverão seguir os procedimentos de serviço dos Restaurantes Butcher. Classificação da vaga: 35-3031.00 - Garçons e Garçonetes. A classificação e descrição da vaga/setor inclui informações gerais sobre o cargo, de acordo com o ONET/OES e o Sistema de Classificação Industrial da América do Norte. Consulte as Funções e a Ordem de Serviço para obter mais informações. Requisitos da vaga: Experiência necessária: Sim. Meses de experiência necessários: 6. Requisitos especiais: Os dias e horários de trabalho podem variar. Trabalho em feriados, fins de semana e noites, conforme necessário. O empregador reserva-se o direito de aumentar o salário, a remuneração ou o bônus de qualquer funcionário com base em suas habilidades, tempo de serviço, desempenho ou experiência. Os funcionários devem ter pelo menos 18 anos de idade. O requerente considerará para emprego qualquer candidato que possua pelo menos seis (6) meses de experiência em um ambiente de alta gastronomia ou de grande movimento em um restaurante sofisticado, resort ou clube privado. O candidato deverá se submeter à verificação de antecedentes e ao exame toxicológico pré-admissional, às custas do empregador. O candidato também deverá concluir o treinamento e a avaliação remunerados no local de trabalho, bem como seguir os procedimentos detalhados de atendimento do Butcher Private. Observe que, embora haja materiais disponíveis online para treinamento, a revisão desses materiais não é obrigatória fora do horário de trabalho, pois o treinamento é oferecido no local de trabalho. Os aumentos na remuneração horária além do salário mínimo garantido estão diretamente relacionados à Política de Avanço por Pontos do requerente, na qual os pontos são determinados pela comunicação correta, habilidade e conhecimento. Uma série de dezesseis (16) extensos testes práticos e escritos, realizados em inglês, avaliará o conhecimento do produto e do serviço, bem como a velocidade de atendimento. Esses testes estão disponíveis para serem realizados durante todo o período de seu emprego. Isenção de Horas Extras: ***** continuação de F.b.9. Cargo com gorjetas e salário garantido: US$ 20,13 por hora, pago quinzenalmente. Se os garçons forem remunerados por meio de taxas de serviço, o Empregador classificou este cargo como isento dos requisitos de horas extras da Lei de Normas Justas de Trabalho (FLSA) sob sua Seção 207(i). Isso significa que os garçons, conforme esta solicitação, não têm direito a remuneração de horas extras por cada hora trabalhada acima de 40 horas em uma semana de trabalho, desde que: (1) a remuneração normal exceda uma vez e meia o salário mínimo federal por cada hora trabalhada em uma semana de trabalho em que horas extras sejam trabalhadas; e (2) durante um período representativo de três meses, pelo menos metade do total dos ganhos consista em taxas de serviço. Esta isenção permanecerá em vigor enquanto os garçons continuarem a trabalhar no cargo e continuarem a ser remunerados por meio de taxas de serviço. Caso qualquer um dos requisitos acima não seja atendido, o Empregador pagará horas extras por todas as horas trabalhadas além de quarenta (40) em uma semana de trabalho, à taxa de US$ 30,20 por hora. O Empregador fornecerá a cada funcionário um (1) casaco de uniforme sem custo para o funcionário. Os funcionários devem se apresentar ao trabalho usando sapatos pretos limpos e em bom estado, calças pretas, meias pretas e uma camiseta branca lisa. Esses itens são considerados vestuário padrão para o dia a dia e devem ser fornecidos pelo funcionário, sendo esperado que estejam 100% em conformidade com a Política de Uniforme e Apresentação Pessoal da Empresa. Os funcionários devem falar inglês em nível conversacional. Número de horas por semana: 40. Horário de trabalho (início/término): 10h00 - 23h59.</v>
      </c>
    </row>
    <row r="1852" ht="20.25" customHeight="1">
      <c r="A1852" s="3" t="s">
        <v>8267</v>
      </c>
      <c r="B1852" s="3" t="s">
        <v>8262</v>
      </c>
      <c r="C1852" s="3" t="s">
        <v>8263</v>
      </c>
      <c r="D1852" s="3" t="s">
        <v>71</v>
      </c>
      <c r="E1852" s="4" t="s">
        <v>19</v>
      </c>
      <c r="F1852" s="4" t="s">
        <v>20</v>
      </c>
      <c r="G1852" s="4" t="s">
        <v>80</v>
      </c>
      <c r="H1852" s="3" t="s">
        <v>8264</v>
      </c>
      <c r="I1852" s="3" t="s">
        <v>8265</v>
      </c>
      <c r="J1852" s="4">
        <v>38.89</v>
      </c>
      <c r="K1852" s="4">
        <v>3.0</v>
      </c>
      <c r="L1852" s="3" t="s">
        <v>8268</v>
      </c>
      <c r="M1852" s="3" t="s">
        <v>8269</v>
      </c>
      <c r="N1852" s="7" t="str">
        <f>IFERROR(__xludf.DUMMYFUNCTION("GOOGLETRANSLATE(L1852, ""en"", ""pt"")"),"Gerentes de Restaurante")</f>
        <v>Gerentes de Restaurante</v>
      </c>
      <c r="O1852" s="7" t="str">
        <f>IFERROR(__xludf.DUMMYFUNCTION("IF(M1852="""","""",GOOGLETRANSLATE(M1852,""en"",""pt""))"),"Os Gerentes de Restaurante serão responsáveis ​​por garantir que a empresa esteja em conformidade com as agências governamentais em relação à higiene e ao manuseio de alimentos e bebidas, incluindo manter todos os registros necessários com precisão, inves"&amp;"tigar, resolver e aprimorar processos e Procedimentos Operacionais Padrão (POP) em caso de reclamações sobre a qualidade dos alimentos ou do serviço, realizar inventários de alimentos e equipamentos, e manter registros detalhados de inventário em planilha"&amp;"s Craftable e manuais, monitorar os métodos de preparo dos alimentos, o tamanho das porções, a decoração e a apresentação dos pratos para garantir que sejam preparados e apresentados de maneira adequada, comprar, agendar e receber entregas de alimentos e "&amp;"bebidas, verificar o conteúdo das entregas para confirmar a qualidade e a quantidade dos produtos, conduzir reuniões e atividades de supervisão (como a criação de escalas de trabalho), contratar e entrevistar funcionários, observar e avaliar os funcionári"&amp;"os e os procedimentos de trabalho para garantir os padrões de qualidade e serviço, e colaborar com outros funcionários do restaurante no planejamento do cardápio, organização do serviço, planejamento de eventos e detalhes relacionados, abrir e/ou fechar t"&amp;"odo o restaurante, incluindo a verificação das tarefas auxiliares de abertura e/ou fechamento, verificação de uniformes, elaboração de relatórios de abertura e fechamento e documentação de quaisquer violações dos POP da empresa, executar todas as funções "&amp;"no salão durante o serviço, incluindo Maçom, chefe de estação, todas as funções no bar, expedição e capacidade de receber reservas quando necessário. Classificação do Cargo: 11-9051.00 - Gerentes de Serviços de Alimentação. A classificação e descrição do "&amp;"cargo/setor inclui informações gerais sobre a posição, de acordo com o ONET/OES e o Sistema de Classificação Industrial da América do Norte. Consulte as Funções e a Ordem de Serviço para obter mais informações. Requisitos do Cargo Experiência Necessária: "&amp;"Sim Meses de Experiência Necessários: 12 Requisitos Especiais: Os dias e horários de trabalho podem variar. Trabalho em feriados, fins de semana e noites, conforme necessário. O empregador oferece a oportunidade de até 15 horas extras por semana, porém is"&amp;"so não é garantido. O empregador reserva-se o direito de aumentar o salário, a remuneração ou o bônus de qualquer funcionário com base em suas habilidades, tempo de serviço, desempenho ou experiência. Os funcionários devem ter pelo menos 18 anos de idade."&amp;" O Requerente considerará para emprego qualquer candidato que possua pelo menos doze (12) meses de experiência em um ambiente de alta gastronomia em um restaurante sofisticado ou de grande movimento, resort ou clube privado. O candidato deverá se submeter"&amp;" à verificação de antecedentes e ao exame toxicológico pré-admissional, custeados pelo empregador. O candidato também deverá concluir o treinamento remunerado em serviço e os testes, além de seguir os procedimentos detalhados de atendimento da Butcher Pri"&amp;"vate. Observe que, embora o material de treinamento esteja disponível online, a revisão desse material fora do horário de trabalho não é obrigatória, pois o treinamento em serviço é oferecido. Uma série de dezesseis (16) testes práticos e escritos abrange"&amp;"ntes, realizados em inglês, avaliará o conhecimento sobre os produtos e serviços, bem como a velocidade de atendimento. Esses testes poderão ser realizados durante todo o período de emprego. O candidato deverá cumprir a política de uniforme e apresentação"&amp;" pessoal da empresa. É necessário que os funcionários falem inglês em nível conversacional. Número de horas por semana: 40. Horário de trabalho (início/término): 10h00 - 23h59.")</f>
        <v>Os Gerentes de Restaurante serão responsáveis ​​por garantir que a empresa esteja em conformidade com as agências governamentais em relação à higiene e ao manuseio de alimentos e bebidas, incluindo manter todos os registros necessários com precisão, investigar, resolver e aprimorar processos e Procedimentos Operacionais Padrão (POP) em caso de reclamações sobre a qualidade dos alimentos ou do serviço, realizar inventários de alimentos e equipamentos, e manter registros detalhados de inventário em planilhas Craftable e manuais, monitorar os métodos de preparo dos alimentos, o tamanho das porções, a decoração e a apresentação dos pratos para garantir que sejam preparados e apresentados de maneira adequada, comprar, agendar e receber entregas de alimentos e bebidas, verificar o conteúdo das entregas para confirmar a qualidade e a quantidade dos produtos, conduzir reuniões e atividades de supervisão (como a criação de escalas de trabalho), contratar e entrevistar funcionários, observar e avaliar os funcionários e os procedimentos de trabalho para garantir os padrões de qualidade e serviço, e colaborar com outros funcionários do restaurante no planejamento do cardápio, organização do serviço, planejamento de eventos e detalhes relacionados, abrir e/ou fechar todo o restaurante, incluindo a verificação das tarefas auxiliares de abertura e/ou fechamento, verificação de uniformes, elaboração de relatórios de abertura e fechamento e documentação de quaisquer violações dos POP da empresa, executar todas as funções no salão durante o serviço, incluindo Maçom, chefe de estação, todas as funções no bar, expedição e capacidade de receber reservas quando necessário. Classificação do Cargo: 11-9051.00 - Gerentes de Serviços de Alimentação. A classificação e descrição do cargo/setor inclui informações gerais sobre a posição, de acordo com o ONET/OES e o Sistema de Classificação Industrial da América do Norte. Consulte as Funções e a Ordem de Serviço para obter mais informações. Requisitos do Cargo Experiência Necessária: Sim Meses de Experiência Necessários: 12 Requisitos Especiais: Os dias e horários de trabalho podem variar. Trabalho em feriados, fins de semana e noites, conforme necessário. O empregador oferece a oportunidade de até 15 horas extras por semana, porém isso não é garantido. O empregador reserva-se o direito de aumentar o salário, a remuneração ou o bônus de qualquer funcionário com base em suas habilidades, tempo de serviço, desempenho ou experiência. Os funcionários devem ter pelo menos 18 anos de idade. O Requerente considerará para emprego qualquer candidato que possua pelo menos doze (12) meses de experiência em um ambiente de alta gastronomia em um restaurante sofisticado ou de grande movimento, resort ou clube privado. O candidato deverá se submeter à verificação de antecedentes e ao exame toxicológico pré-admissional, custeados pelo empregador. O candidato também deverá concluir o treinamento remunerado em serviço e os testes, além de seguir os procedimentos detalhados de atendimento da Butcher Private. Observe que, embora o material de treinamento esteja disponível online, a revisão desse material fora do horário de trabalho não é obrigatória, pois o treinamento em serviço é oferecido. Uma série de dezesseis (16) testes práticos e escritos abrangentes, realizados em inglês, avaliará o conhecimento sobre os produtos e serviços, bem como a velocidade de atendimento. Esses testes poderão ser realizados durante todo o período de emprego. O candidato deverá cumprir a política de uniforme e apresentação pessoal da empresa. É necessário que os funcionários falem inglês em nível conversacional. Número de horas por semana: 40. Horário de trabalho (início/término): 10h00 - 23h59.</v>
      </c>
    </row>
    <row r="1853" ht="20.25" customHeight="1">
      <c r="A1853" s="8" t="s">
        <v>8270</v>
      </c>
      <c r="B1853" s="8" t="s">
        <v>8262</v>
      </c>
      <c r="C1853" s="8" t="s">
        <v>8263</v>
      </c>
      <c r="D1853" s="8" t="s">
        <v>71</v>
      </c>
      <c r="E1853" s="9" t="s">
        <v>44</v>
      </c>
      <c r="F1853" s="9" t="s">
        <v>20</v>
      </c>
      <c r="G1853" s="9" t="s">
        <v>80</v>
      </c>
      <c r="H1853" s="8" t="s">
        <v>8264</v>
      </c>
      <c r="I1853" s="8" t="s">
        <v>8265</v>
      </c>
      <c r="J1853" s="9">
        <v>19.88</v>
      </c>
      <c r="K1853" s="9">
        <v>10.0</v>
      </c>
      <c r="L1853" s="8" t="s">
        <v>387</v>
      </c>
      <c r="M1853" s="8" t="s">
        <v>8271</v>
      </c>
      <c r="N1853" s="7" t="str">
        <f>IFERROR(__xludf.DUMMYFUNCTION("GOOGLETRANSLATE(L1853, ""en"", ""pt"")"),"Ordem de serviço não disponível")</f>
        <v>Ordem de serviço não disponível</v>
      </c>
      <c r="O1853" s="7" t="str">
        <f>IFERROR(__xludf.DUMMYFUNCTION("IF(M1853="""","""",GOOGLETRANSLATE(M1853,""en"",""pt""))"),"Os cozinheiros serão responsáveis ​​por cozinhar, assar, grelhar, refogar e gratinar frutos do mar, carnes, aves e vegetais, manter a área da cozinha limpa e higienizada, receber e armazenar todos os ingredientes diariamente, preparar todos os ingrediente"&amp;"s crus, preparar molhos, desossar e escamar peixes inteiros. Os cozinheiros também serão responsáveis ​​pela preparação da vitrine de gelo do bar de frutos do mar crus, apresentação do caviar e empratamento de pratos quentes e frios. Classificação do Carg"&amp;"o: 35-2014.00 - Cozinheiros, Restaurante. A classificação e descrição do cargo/setor incluem informações gerais sobre a posição, de acordo com o ONET/OES e o Sistema de Classificação Industrial da América do Norte. Consulte as Funções e a Ordem de Serviço"&amp;" para obter mais informações. Requisitos do Cargo: Experiência Necessária: Sim. Meses de Experiência Necessários: 12. Requisitos Especiais: Os dias e turnos podem variar. Trabalho em feriados, fins de semana e noites, conforme necessário. O empregador ofe"&amp;"rece a oportunidade de até 15 horas extras por semana, porém isso não é garantido. O empregador reserva-se o direito de aumentar o salário, a remuneração ou o bônus de qualquer funcionário com base em suas habilidades, tempo de serviço, desempenho ou expe"&amp;"riência. Os funcionários devem ter no mínimo 18 anos de idade. O empregador considerará para emprego qualquer candidato que possua doze (12) meses de experiência culinária em um ambiente de alta gastronomia ou de grande movimento, em um restaurante sofist"&amp;"icado, resort ou clube privado. O candidato deverá se submeter à verificação de antecedentes e ao exame toxicológico pré-admissional, às custas do empregador. O candidato também deverá concluir o treinamento remunerado em serviço. Observe que, embora o ma"&amp;"terial de treinamento esteja disponível online, a revisão desse material não é obrigatória fora do horário de trabalho, pois o treinamento em serviço é oferecido. O empregador fornecerá a cada funcionário um (1) dólmã e um (1) chapéu de chef, sem custo pa"&amp;"ra o funcionário. Os funcionários devem comparecer ao trabalho usando sapatos pretos limpos e em bom estado, calça preta, meias pretas e camiseta branca lisa. Esses itens são considerados vestuário padrão do dia a dia e devem ser fornecidos pelo funcionár"&amp;"io, que deverá estar 100% em conformidade com a Política de Uniforme e Apresentação Pessoal da Empresa. Os funcionários devem falar inglês em nível conversacional. Número de horas por semana: 40. Horário de trabalho (início/término): 10h00 - 23h59.")</f>
        <v>Os cozinheiros serão responsáveis ​​por cozinhar, assar, grelhar, refogar e gratinar frutos do mar, carnes, aves e vegetais, manter a área da cozinha limpa e higienizada, receber e armazenar todos os ingredientes diariamente, preparar todos os ingredientes crus, preparar molhos, desossar e escamar peixes inteiros. Os cozinheiros também serão responsáveis ​​pela preparação da vitrine de gelo do bar de frutos do mar crus, apresentação do caviar e empratamento de pratos quentes e frios. Classificação do Cargo: 35-2014.00 - Cozinheiros, Restaurante. A classificação e descrição do cargo/setor incluem informações gerais sobre a posição, de acordo com o ONET/OES e o Sistema de Classificação Industrial da América do Norte. Consulte as Funções e a Ordem de Serviço para obter mais informações. Requisitos do Cargo: Experiência Necessária: Sim. Meses de Experiência Necessários: 12. Requisitos Especiais: Os dias e turnos podem variar. Trabalho em feriados, fins de semana e noites, conforme necessário. O empregador oferece a oportunidade de até 15 horas extras por semana, porém isso não é garantido. O empregador reserva-se o direito de aumentar o salário, a remuneração ou o bônus de qualquer funcionário com base em suas habilidades, tempo de serviço, desempenho ou experiência. Os funcionários devem ter no mínimo 18 anos de idade. O empregador considerará para emprego qualquer candidato que possua doze (12) meses de experiência culinária em um ambiente de alta gastronomia ou de grande movimento, em um restaurante sofisticado, resort ou clube privado. O candidato deverá se submeter à verificação de antecedentes e ao exame toxicológico pré-admissional, às custas do empregador. O candidato também deverá concluir o treinamento remunerado em serviço. Observe que, embora o material de treinamento esteja disponível online, a revisão desse material não é obrigatória fora do horário de trabalho, pois o treinamento em serviço é oferecido. O empregador fornecerá a cada funcionário um (1) dólmã e um (1) chapéu de chef, sem custo para o funcionário. Os funcionários devem comparecer ao trabalho usando sapatos pretos limpos e em bom estado, calça preta, meias pretas e camiseta branca lisa. Esses itens são considerados vestuário padrão do dia a dia e devem ser fornecidos pelo funcionário, que deverá estar 100% em conformidade com a Política de Uniforme e Apresentação Pessoal da Empresa. Os funcionários devem falar inglês em nível conversacional. Número de horas por semana: 40. Horário de trabalho (início/término): 10h00 - 23h59.</v>
      </c>
    </row>
    <row r="1854" ht="20.25" customHeight="1">
      <c r="A1854" s="3" t="s">
        <v>8272</v>
      </c>
      <c r="B1854" s="3" t="s">
        <v>8273</v>
      </c>
      <c r="C1854" s="3" t="s">
        <v>8263</v>
      </c>
      <c r="D1854" s="3" t="s">
        <v>71</v>
      </c>
      <c r="E1854" s="4" t="s">
        <v>19</v>
      </c>
      <c r="F1854" s="4" t="s">
        <v>20</v>
      </c>
      <c r="G1854" s="4" t="s">
        <v>80</v>
      </c>
      <c r="H1854" s="3" t="s">
        <v>8264</v>
      </c>
      <c r="I1854" s="3" t="s">
        <v>8265</v>
      </c>
      <c r="J1854" s="4">
        <v>37.53</v>
      </c>
      <c r="K1854" s="4">
        <v>3.0</v>
      </c>
      <c r="L1854" s="3" t="s">
        <v>4577</v>
      </c>
      <c r="M1854" s="3" t="s">
        <v>8274</v>
      </c>
      <c r="N1854" s="7" t="str">
        <f>IFERROR(__xludf.DUMMYFUNCTION("GOOGLETRANSLATE(L1854, ""en"", ""pt"")"),"Subchefe")</f>
        <v>Subchefe</v>
      </c>
      <c r="O1854" s="7" t="str">
        <f>IFERROR(__xludf.DUMMYFUNCTION("IF(M1854="""","""",GOOGLETRANSLATE(M1854,""en"",""pt""))"),"Os Subchefes são responsáveis ​​por monitorar as práticas de higiene e segurança alimentar para garantir que todos os funcionários sigam os rigorosos padrões da empresa e as regulamentações governamentais; verificar diariamente a qualidade dos produtos al"&amp;"imentícios crus e cozidos para garantir que os mais altos padrões sejam atendidos; determinar os cronogramas de produção e as necessidades de pessoal para garantir a entrega pontual dos serviços e o custo ideal da mão de obra; encomendar e receber produto"&amp;"s e utensílios de cozinha; receber e verificar a quantidade e a qualidade de todos os produtos recebidos, incluindo produtos secos; definir níveis de estoque precisos e ajustá-los de acordo com o volume de negócios; realizar inventários diários, semanais "&amp;"e mensais; treinar novos funcionários; executar todas as estações da cozinha com perfeição durante o serviço, bem como o preparo de molhos e proteínas; e auxiliar o Chef Executivo na contratação, entrevista, supervisão e coordenação das atividades dos coz"&amp;"inheiros ou outros funcionários envolvidos no preparo de alimentos; organizar e receber os produtos; abrir e/ou fechar todo o restaurante, incluindo a verificação das tarefas auxiliares de abertura e/ou fechamento, a verificação dos uniformes, a elaboraçã"&amp;"o de relatórios de abertura e fechamento e a documentação de quaisquer violações dos procedimentos operacionais padrão da empresa. Classificação da Função: 35-1011.00 - Chefs e Cozinheiros Chefes. A classificação e descrição da função/setor inclui informa"&amp;"ções gerais sobre o cargo, de acordo com o ONET/OES e o Sistema de Classificação Industrial da América do Norte. Consulte as Funções e a Ordem de Serviço para obter mais informações. Requisitos da Função: Experiência Necessária: Sim. Meses de Experiência "&amp;"Necessários: 36. Requisitos Especiais: Os dias e horários de trabalho podem variar. Trabalho em feriados, fins de semana e noites, conforme necessário. O empregador oferece a oportunidade de até 15 horas extras por semana, porém isso não é garantido. O em"&amp;"pregador reserva-se o direito de aumentar o salário, a remuneração ou o bônus de qualquer funcionário com base em suas habilidades, tempo de serviço, desempenho ou experiência. Os funcionários devem ter pelo menos 18 anos de idade. O Requerente considerar"&amp;"á para emprego qualquer candidato que possua pelo menos trinta e seis (36) meses de experiência culinária em um ambiente de alta gastronomia, em um restaurante sofisticado ou de grande movimento, resort ou clube privado. O candidato deverá se submeter à v"&amp;"erificação de antecedentes e ao exame toxicológico pré-admissional, custeados pelo empregador. O candidato também deverá concluir o treinamento remunerado em serviço. Observe que, embora o material de treinamento esteja disponível online, a revisão desse "&amp;"material fora do horário de trabalho não é obrigatória, pois o treinamento em serviço é oferecido. O empregador fornecerá a cada funcionário um (1) dólmã de chef e um (1) chapéu para Subchefe e Cozinheiro, sem custo para o funcionário. Os funcionários dev"&amp;"em se apresentar ao trabalho usando sapatos pretos limpos e em bom estado, calça preta, meias pretas e camiseta branca lisa. Esses itens são considerados vestuário padrão do dia a dia e devem ser fornecidos pelo funcionário, que deverá estar 100% em confo"&amp;"rmidade com a Política de Uniforme e Apresentação Pessoal da Empresa. Os funcionários devem falar inglês em nível conversacional. Número de horas por semana: 40. Horário de trabalho (início/término): 10h00 - 23h59.")</f>
        <v>Os Subchefes são responsáveis ​​por monitorar as práticas de higiene e segurança alimentar para garantir que todos os funcionários sigam os rigorosos padrões da empresa e as regulamentações governamentais; verificar diariamente a qualidade dos produtos alimentícios crus e cozidos para garantir que os mais altos padrões sejam atendidos; determinar os cronogramas de produção e as necessidades de pessoal para garantir a entrega pontual dos serviços e o custo ideal da mão de obra; encomendar e receber produtos e utensílios de cozinha; receber e verificar a quantidade e a qualidade de todos os produtos recebidos, incluindo produtos secos; definir níveis de estoque precisos e ajustá-los de acordo com o volume de negócios; realizar inventários diários, semanais e mensais; treinar novos funcionários; executar todas as estações da cozinha com perfeição durante o serviço, bem como o preparo de molhos e proteínas; e auxiliar o Chef Executivo na contratação, entrevista, supervisão e coordenação das atividades dos cozinheiros ou outros funcionários envolvidos no preparo de alimentos; organizar e receber os produtos; abrir e/ou fechar todo o restaurante, incluindo a verificação das tarefas auxiliares de abertura e/ou fechamento, a verificação dos uniformes, a elaboração de relatórios de abertura e fechamento e a documentação de quaisquer violações dos procedimentos operacionais padrão da empresa. Classificação da Função: 35-1011.00 - Chefs e Cozinheiros Chefes. A classificação e descrição da função/setor inclui informações gerais sobre o cargo, de acordo com o ONET/OES e o Sistema de Classificação Industrial da América do Norte. Consulte as Funções e a Ordem de Serviço para obter mais informações. Requisitos da Função: Experiência Necessária: Sim. Meses de Experiência Necessários: 36. Requisitos Especiais: Os dias e horários de trabalho podem variar. Trabalho em feriados, fins de semana e noites, conforme necessário. O empregador oferece a oportunidade de até 15 horas extras por semana, porém isso não é garantido. O empregador reserva-se o direito de aumentar o salário, a remuneração ou o bônus de qualquer funcionário com base em suas habilidades, tempo de serviço, desempenho ou experiência. Os funcionários devem ter pelo menos 18 anos de idade. O Requerente considerará para emprego qualquer candidato que possua pelo menos trinta e seis (36) meses de experiência culinária em um ambiente de alta gastronomia, em um restaurante sofisticado ou de grande movimento, resort ou clube privado. O candidato deverá se submeter à verificação de antecedentes e ao exame toxicológico pré-admissional, custeados pelo empregador. O candidato também deverá concluir o treinamento remunerado em serviço. Observe que, embora o material de treinamento esteja disponível online, a revisão desse material fora do horário de trabalho não é obrigatória, pois o treinamento em serviço é oferecido. O empregador fornecerá a cada funcionário um (1) dólmã de chef e um (1) chapéu para Subchefe e Cozinheiro, sem custo para o funcionário. Os funcionários devem se apresentar ao trabalho usando sapatos pretos limpos e em bom estado, calça preta, meias pretas e camiseta branca lisa. Esses itens são considerados vestuário padrão do dia a dia e devem ser fornecidos pelo funcionário, que deverá estar 100% em conformidade com a Política de Uniforme e Apresentação Pessoal da Empresa. Os funcionários devem falar inglês em nível conversacional. Número de horas por semana: 40. Horário de trabalho (início/término): 10h00 - 23h59.</v>
      </c>
    </row>
    <row r="1855" ht="20.25" customHeight="1">
      <c r="A1855" s="8" t="s">
        <v>8275</v>
      </c>
      <c r="B1855" s="8" t="s">
        <v>8273</v>
      </c>
      <c r="C1855" s="8" t="s">
        <v>8263</v>
      </c>
      <c r="D1855" s="8" t="s">
        <v>71</v>
      </c>
      <c r="E1855" s="9" t="s">
        <v>44</v>
      </c>
      <c r="F1855" s="9" t="s">
        <v>20</v>
      </c>
      <c r="G1855" s="9" t="s">
        <v>72</v>
      </c>
      <c r="H1855" s="8" t="s">
        <v>8264</v>
      </c>
      <c r="I1855" s="8" t="s">
        <v>8265</v>
      </c>
      <c r="J1855" s="9">
        <v>21.48</v>
      </c>
      <c r="K1855" s="9">
        <v>2.0</v>
      </c>
      <c r="L1855" s="8" t="s">
        <v>1684</v>
      </c>
      <c r="M1855" s="8" t="s">
        <v>8276</v>
      </c>
      <c r="N1855" s="7" t="str">
        <f>IFERROR(__xludf.DUMMYFUNCTION("GOOGLETRANSLATE(L1855, ""en"", ""pt"")"),"Barman")</f>
        <v>Barman</v>
      </c>
      <c r="O1855" s="7" t="str">
        <f>IFERROR(__xludf.DUMMYFUNCTION("IF(M1855="""","""",GOOGLETRANSLATE(M1855,""en"",""pt""))"),"Os bartenders preparam e servem bebidas alcoólicas e não alcoólicas artesanais, oferecendo um atendimento excepcional aos clientes em um ambiente sofisticado e dinâmico. Suas responsabilidades incluem preparar e servir bebidas alcoólicas e não alcoólicas "&amp;"(misturar ingredientes, como bebidas destiladas, refrigerantes, água, açúcar e bitters, para preparar coquetéis e outras bebidas) de acordo com as receitas estabelecidas e os padrões de alta gastronomia. Interagem com os clientes, anotam os pedidos de beb"&amp;"idas e oferecem recomendações com base nas preferências, possuem pleno conhecimento do cardápio de bebidas, incluindo vinhos, destilados e coquetéis, garantem a apresentação adequada de todas as bebidas servidas, verificam a identidade dos clientes para g"&amp;"arantir o cumprimento das leis de serviço de bebidas alcoólicas, mantêm a limpeza e a organização da área do bar (limpam copos, utensílios e equipamentos), incluindo a lavagem de copos e a reposição de suprimentos, monitoram os níveis de estoque e auxilia"&amp;"m no abastecimento e reposição de itens do bar, processam os pagamentos dos clientes com precisão, incluindo transações em dinheiro e cartão de crédito, coordenam-se com os garçons e a equipe da cozinha para garantir um serviço rápido e eficiente, cumprem"&amp;" todas as normas de saúde, segurança e higiene, limpam copos, utensílios e equipamentos do bar, recebem o pagamento das bebidas servidas e conferem o caixa. Fatiar e retirar caroços de frutas para decorar bebidas. Classificação da vaga: 35-3011.00 - Barte"&amp;"nders. A classificação e descrição da vaga/setor inclui informações gerais sobre o cargo, de acordo com o ONET/OES e o Sistema de Classificação Industrial da América do Norte. Consulte as Funções e a Ordem de Serviço para obter mais informações. Requisito"&amp;"s da vaga: Experiência exigida: Sim. Meses de experiência exigidos: 6. Requisitos especiais: Os dias e horários de trabalho podem variar. Trabalho em feriados, fins de semana e noites, conforme necessário. O empregador reserva-se o direito de aumentar o s"&amp;"alário, a remuneração ou o bônus de qualquer funcionário com base em suas habilidades, tempo de serviço, desempenho ou experiência. Aumentos na remuneração horária além da remuneração mínima garantida estão diretamente relacionados à Política de Avanço po"&amp;"r Pontos do Requerente, na qual os pontos são determinados pela comunicação correta, habilidade e conhecimento. Uma série de dezesseis (16) testes práticos e escritos abrangentes, realizados em inglês, avaliará o conhecimento do produto e do serviço, bem "&amp;"como a velocidade de atendimento. Esses testes podem ser realizados durante o período de emprego. Os funcionários devem ter pelo menos 18 anos de idade. O empregador considerará para emprego qualquer candidato que possua pelo menos seis (6) meses de exper"&amp;"iência em um ambiente de alta gastronomia ou de grande movimento em um restaurante sofisticado, resort ou clube privado. O candidato deve se submeter à verificação de antecedentes e ao exame toxicológico pré-admissional, às custas do empregador. O candida"&amp;"to também deverá concluir o treinamento e a avaliação remunerados no local de trabalho, bem como seguir os passos detalhados de serviço do Butcher Private. Observe que, embora o material de treinamento esteja disponível online, a revisão desse material nã"&amp;"o é obrigatória fora do horário de trabalho, pois o treinamento é oferecido no local de trabalho. Os aumentos na taxa horária além da taxa mínima garantida estão diretamente relacionados à Política de Avanço por Pontos do Requerente, na qual os pontos são"&amp;" determinados pela comunicação correta, habilidade e conhecimento. Uma série de dezesseis (16) extensos testes práticos e escritos, realizados em inglês, avaliará o conhecimento do produto e do serviço, bem como a velocidade de atendimento. Esses testes p"&amp;"odem ser realizados ao longo do período de emprego. Isenção de Horas Extras: ***** continuação de F.b.9. Cargo com gorjetas e salário garantido: US$ 21,48 por hora, pago quinzenalmente. Caso os bartenders sejam remunerados por meio de taxas de serviço, o "&amp;"empregador classificou este cargo como isento das exigências de horas extras da Lei de Normas Justas de Trabalho (FLSA, na sigla em inglês), conforme a Seção 207(i) da legislação trabalhista. Isso significa que os bartenders, de acordo com esta solicitaçã"&amp;"o, não têm direito a receber horas extras por cada hora trabalhada além de 40 horas semanais, desde que: (1) o salário normal seja superior a 75% do salário mínimo federal por hora trabalhada em uma semana em que haja horas extras; e (2) durante um períod"&amp;"o representativo de três meses, pelo menos metade da remuneração total seja composta por taxas de serviço. Essa isenção permanecerá em vigor enquanto os bartenders continuarem a exercer a função e a ser remunerados por meio de taxas de serviço. Caso qualq"&amp;"uer um dos requisitos acima não seja atendido, o Empregador pagará horas extras por todas as horas trabalhadas além de quarenta (40) em uma semana de trabalho, à taxa de $32,22 por hora. O Empregador fornecerá a cada funcionário um (1) casaco de uniforme "&amp;"sem custo para o funcionário. Os funcionários devem se apresentar ao trabalho usando sapatos pretos limpos e em bom estado, calças pretas, meias pretas e uma camiseta branca lisa. Esses itens são considerados vestuário padrão para o dia a dia e devem ser "&amp;"fornecidos pelo funcionário, sendo esperado que estejam 100% em conformidade com a Política de Uniforme e Apresentação Pessoal da Empresa. Os funcionários devem falar inglês em nível conversacional. Número de horas por semana: 40. Horário de trabalho (iní"&amp;"cio/término): 10h00 - 23h59.")</f>
        <v>Os bartenders preparam e servem bebidas alcoólicas e não alcoólicas artesanais, oferecendo um atendimento excepcional aos clientes em um ambiente sofisticado e dinâmico. Suas responsabilidades incluem preparar e servir bebidas alcoólicas e não alcoólicas (misturar ingredientes, como bebidas destiladas, refrigerantes, água, açúcar e bitters, para preparar coquetéis e outras bebidas) de acordo com as receitas estabelecidas e os padrões de alta gastronomia. Interagem com os clientes, anotam os pedidos de bebidas e oferecem recomendações com base nas preferências, possuem pleno conhecimento do cardápio de bebidas, incluindo vinhos, destilados e coquetéis, garantem a apresentação adequada de todas as bebidas servidas, verificam a identidade dos clientes para garantir o cumprimento das leis de serviço de bebidas alcoólicas, mantêm a limpeza e a organização da área do bar (limpam copos, utensílios e equipamentos), incluindo a lavagem de copos e a reposição de suprimentos, monitoram os níveis de estoque e auxiliam no abastecimento e reposição de itens do bar, processam os pagamentos dos clientes com precisão, incluindo transações em dinheiro e cartão de crédito, coordenam-se com os garçons e a equipe da cozinha para garantir um serviço rápido e eficiente, cumprem todas as normas de saúde, segurança e higiene, limpam copos, utensílios e equipamentos do bar, recebem o pagamento das bebidas servidas e conferem o caixa. Fatiar e retirar caroços de frutas para decorar bebidas. Classificação da vaga: 35-3011.00 - Bartenders. A classificação e descrição da vaga/setor inclui informações gerais sobre o cargo, de acordo com o ONET/OES e o Sistema de Classificação Industrial da América do Norte. Consulte as Funções e a Ordem de Serviço para obter mais informações. Requisitos da vaga: Experiência exigida: Sim. Meses de experiência exigidos: 6. Requisitos especiais: Os dias e horários de trabalho podem variar. Trabalho em feriados, fins de semana e noites, conforme necessário. O empregador reserva-se o direito de aumentar o salário, a remuneração ou o bônus de qualquer funcionário com base em suas habilidades, tempo de serviço, desempenho ou experiência. Aumentos na remuneração horária além da remuneração mínima garantida estão diretamente relacionados à Política de Avanço por Pontos do Requerente, na qual os pontos são determinados pela comunicação correta, habilidade e conhecimento. Uma série de dezesseis (16) testes práticos e escritos abrangentes, realizados em inglês, avaliará o conhecimento do produto e do serviço, bem como a velocidade de atendimento. Esses testes podem ser realizados durante o período de emprego. Os funcionários devem ter pelo menos 18 anos de idade. O empregador considerará para emprego qualquer candidato que possua pelo menos seis (6) meses de experiência em um ambiente de alta gastronomia ou de grande movimento em um restaurante sofisticado, resort ou clube privado. O candidato deve se submeter à verificação de antecedentes e ao exame toxicológico pré-admissional, às custas do empregador. O candidato também deverá concluir o treinamento e a avaliação remunerados no local de trabalho, bem como seguir os passos detalhados de serviço do Butcher Private. Observe que, embora o material de treinamento esteja disponível online, a revisão desse material não é obrigatória fora do horário de trabalho, pois o treinamento é oferecido no local de trabalho. Os aumentos na taxa horária além da taxa mínima garantida estão diretamente relacionados à Política de Avanço por Pontos do Requerente, na qual os pontos são determinados pela comunicação correta, habilidade e conhecimento. Uma série de dezesseis (16) extensos testes práticos e escritos, realizados em inglês, avaliará o conhecimento do produto e do serviço, bem como a velocidade de atendimento. Esses testes podem ser realizados ao longo do período de emprego. Isenção de Horas Extras: ***** continuação de F.b.9. Cargo com gorjetas e salário garantido: US$ 21,48 por hora, pago quinzenalmente. Caso os bartenders sejam remunerados por meio de taxas de serviço, o empregador classificou este cargo como isento das exigências de horas extras da Lei de Normas Justas de Trabalho (FLSA, na sigla em inglês), conforme a Seção 207(i) da legislação trabalhista. Isso significa que os bartenders, de acordo com esta solicitação, não têm direito a receber horas extras por cada hora trabalhada além de 40 horas semanais, desde que: (1) o salário normal seja superior a 75% do salário mínimo federal por hora trabalhada em uma semana em que haja horas extras; e (2) durante um período representativo de três meses, pelo menos metade da remuneração total seja composta por taxas de serviço. Essa isenção permanecerá em vigor enquanto os bartenders continuarem a exercer a função e a ser remunerados por meio de taxas de serviço. Caso qualquer um dos requisitos acima não seja atendido, o Empregador pagará horas extras por todas as horas trabalhadas além de quarenta (40) em uma semana de trabalho, à taxa de $32,22 por hora. O Empregador fornecerá a cada funcionário um (1) casaco de uniforme sem custo para o funcionário. Os funcionários devem se apresentar ao trabalho usando sapatos pretos limpos e em bom estado, calças pretas, meias pretas e uma camiseta branca lisa. Esses itens são considerados vestuário padrão para o dia a dia e devem ser fornecidos pelo funcionário, sendo esperado que estejam 100% em conformidade com a Política de Uniforme e Apresentação Pessoal da Empresa. Os funcionários devem falar inglês em nível conversacional. Número de horas por semana: 40. Horário de trabalho (início/término): 10h00 - 23h59.</v>
      </c>
    </row>
    <row r="1856" ht="20.25" customHeight="1">
      <c r="A1856" s="3" t="s">
        <v>8277</v>
      </c>
      <c r="B1856" s="3" t="s">
        <v>8273</v>
      </c>
      <c r="C1856" s="3" t="s">
        <v>8263</v>
      </c>
      <c r="D1856" s="3" t="s">
        <v>71</v>
      </c>
      <c r="E1856" s="4" t="s">
        <v>44</v>
      </c>
      <c r="F1856" s="4" t="s">
        <v>20</v>
      </c>
      <c r="G1856" s="4" t="s">
        <v>80</v>
      </c>
      <c r="H1856" s="3" t="s">
        <v>8264</v>
      </c>
      <c r="I1856" s="3" t="s">
        <v>8265</v>
      </c>
      <c r="J1856" s="4">
        <v>16.35</v>
      </c>
      <c r="K1856" s="4">
        <v>5.0</v>
      </c>
      <c r="L1856" s="3" t="s">
        <v>1690</v>
      </c>
      <c r="M1856" s="3" t="s">
        <v>8278</v>
      </c>
      <c r="N1856" s="7" t="str">
        <f>IFERROR(__xludf.DUMMYFUNCTION("GOOGLETRANSLATE(L1856, ""en"", ""pt"")"),"Atendente de Sala de Jantar")</f>
        <v>Atendente de Sala de Jantar</v>
      </c>
      <c r="O1856" s="7" t="str">
        <f>IFERROR(__xludf.DUMMYFUNCTION("IF(M1856="""","""",GOOGLETRANSLATE(M1856,""en"",""pt""))"),"Os Auxiliares de Salão serão responsáveis ​​por polir copos, talheres e pratos, polir latão e cobre, montar e desmontar o restaurante (movendo mesas e cadeiras), limpar o salão, o bar e o pátio, verificar e manter os banheiros durante o serviço, cortar e "&amp;"servir pão, levar comida e bebidas, ajudar a preparar e servir bebidas simples, não elaboradas, de acordo com as receitas da empresa durante o serviço, operar e limpar a estação de café, reabastecer e manter a estação de café, receber, manter, passar e do"&amp;"brar roupas de mesa, recepcionar e acomodar os clientes, arrumar as mesas, encher jarras de água e marcar bandejas, receber e reabastecer produtos secos e vinhos, manter e organizar os depósitos e níveis de estoque, e seguir os Procedimentos Operacionais "&amp;"Padrão (POP) de Serviço dos Restaurantes Butcher. Classificação do Cargo: 35-9011.00 - Auxiliares de Salão e Cafeteria e Auxiliares de Bar. A classificação e descrição do cargo/setor inclui informações gerais sobre a posição, de acordo com o ONET/OES e o "&amp;"Sistema de Classificação Industrial da América do Norte. Consulte as Funções e a Ordem de Serviço para obter mais informações. Requisitos da Vaga Experiência Necessária: Sim Meses de Experiência Necessários: 3 Requisitos Especiais: Os dias e turnos de tra"&amp;"balho podem variar. Trabalho em feriados, fins de semana e noites, conforme necessário. O empregador reserva-se o direito de aumentar o salário, a remuneração ou o bônus de qualquer funcionário com base em suas habilidades, tempo de serviço, desempenho ou"&amp;" experiência. Os funcionários devem ter pelo menos 18 anos de idade. O Requerente considerará para emprego qualquer candidato que possua pelo menos três (3) meses de experiência em um ambiente de alta gastronomia ou de grande movimento em um restaurante s"&amp;"ofisticado, resort ou clube privado. O candidato deverá se submeter à verificação de antecedentes e ao exame toxicológico pré-admissional, às custas do empregador. O candidato também deverá concluir o treinamento e a avaliação remunerados no local de trab"&amp;"alho, bem como seguir os procedimentos detalhados de serviço do Butcher Private. Observe que, embora haja materiais de treinamento disponíveis online, a revisão desses materiais não é obrigatória fora do horário de trabalho, pois o treinamento é oferecido"&amp;" no local de trabalho. Aumentos na taxa horária além da taxa mínima garantida estão diretamente correlacionados à Política de Avanço por Pontos do Requerente, onde os pontos são determinados pela comunicação correta, habilidade e conhecimento. Uma série d"&amp;"e dezesseis (16) extensos testes práticos e escritos, realizados em inglês, avaliará o conhecimento do produto e do serviço, bem como a velocidade do atendimento. Esses testes podem ser realizados durante todo o período de emprego. Isenção de Horas Extras"&amp;"***** continuação de F.b.9. Cargo com gorjetas e salário garantido: US$ 16,35 por hora, pago quinzenalmente. Se os funcionários do Serviço de Refeitório forem remunerados por meio de taxas de serviço, o Empregador classificou este cargo como isento dos re"&amp;"quisitos de horas extras da Lei de Normas Justas de Trabalho (FLSA) sob sua Seção 207(i). Isso significa que os funcionários de atendimento no refeitório, conforme este pedido, não têm direito a pagamento de horas extras por cada hora trabalhada além de 4"&amp;"0 horas em uma semana de trabalho, desde que: (1) a remuneração normal exceda uma vez e meia o salário mínimo federal por cada hora trabalhada em uma semana de trabalho em que sejam realizadas horas extras; e (2) durante um período representativo de três "&amp;"meses, pelo menos metade da remuneração total seja composta por taxas de serviço. Essa isenção permanecerá em vigor enquanto os funcionários de atendimento no refeitório continuarem a trabalhar na função e continuarem a ser remunerados por meio de taxas d"&amp;"e serviço. Se qualquer um dos requisitos acima não for atendido, o empregador pagará horas extras por todas as horas trabalhadas além de quarenta (40) horas em uma semana de trabalho, à taxa de US$ 24,53 por hora. O empregador fornecerá a cada funcionário"&amp;" um (1) casaco de uniforme sem custo para o funcionário. Os funcionários devem se apresentar ao trabalho usando sapatos pretos limpos e em bom estado, calças pretas, meias pretas e uma camiseta branca lisa. Esses itens são considerados vestuário padrão do"&amp;" dia a dia e devem ser fornecidos pelo funcionário, que deverá estar 100% em conformidade com a Política de Uniforme e Apresentação Pessoal da Empresa. Os funcionários devem falar inglês em nível conversacional. Número de horas por semana: 40. Horário de "&amp;"trabalho (início/término): 10h00 - 23h59.")</f>
        <v>Os Auxiliares de Salão serão responsáveis ​​por polir copos, talheres e pratos, polir latão e cobre, montar e desmontar o restaurante (movendo mesas e cadeiras), limpar o salão, o bar e o pátio, verificar e manter os banheiros durante o serviço, cortar e servir pão, levar comida e bebidas, ajudar a preparar e servir bebidas simples, não elaboradas, de acordo com as receitas da empresa durante o serviço, operar e limpar a estação de café, reabastecer e manter a estação de café, receber, manter, passar e dobrar roupas de mesa, recepcionar e acomodar os clientes, arrumar as mesas, encher jarras de água e marcar bandejas, receber e reabastecer produtos secos e vinhos, manter e organizar os depósitos e níveis de estoque, e seguir os Procedimentos Operacionais Padrão (POP) de Serviço dos Restaurantes Butcher. Classificação do Cargo: 35-9011.00 - Auxiliares de Salão e Cafeteria e Auxiliares de Bar. A classificação e descrição do cargo/setor inclui informações gerais sobre a posição, de acordo com o ONET/OES e o Sistema de Classificação Industrial da América do Norte. Consulte as Funções e a Ordem de Serviço para obter mais informações. Requisitos da Vaga Experiência Necessária: Sim Meses de Experiência Necessários: 3 Requisitos Especiais: Os dias e turnos de trabalho podem variar. Trabalho em feriados, fins de semana e noites, conforme necessário. O empregador reserva-se o direito de aumentar o salário, a remuneração ou o bônus de qualquer funcionário com base em suas habilidades, tempo de serviço, desempenho ou experiência. Os funcionários devem ter pelo menos 18 anos de idade. O Requerente considerará para emprego qualquer candidato que possua pelo menos três (3) meses de experiência em um ambiente de alta gastronomia ou de grande movimento em um restaurante sofisticado, resort ou clube privado. O candidato deverá se submeter à verificação de antecedentes e ao exame toxicológico pré-admissional, às custas do empregador. O candidato também deverá concluir o treinamento e a avaliação remunerados no local de trabalho, bem como seguir os procedimentos detalhados de serviço do Butcher Private. Observe que, embora haja materiais de treinamento disponíveis online, a revisão desses materiais não é obrigatória fora do horário de trabalho, pois o treinamento é oferecido no local de trabalho. Aumentos na taxa horária além da taxa mínima garantida estão diretamente correlacionados à Política de Avanço por Pontos do Requerente, onde os pontos são determinados pela comunicação correta, habilidade e conhecimento. Uma série de dezesseis (16) extensos testes práticos e escritos, realizados em inglês, avaliará o conhecimento do produto e do serviço, bem como a velocidade do atendimento. Esses testes podem ser realizados durante todo o período de emprego. Isenção de Horas Extras***** continuação de F.b.9. Cargo com gorjetas e salário garantido: US$ 16,35 por hora, pago quinzenalmente. Se os funcionários do Serviço de Refeitório forem remunerados por meio de taxas de serviço, o Empregador classificou este cargo como isento dos requisitos de horas extras da Lei de Normas Justas de Trabalho (FLSA) sob sua Seção 207(i). Isso significa que os funcionários de atendimento no refeitório, conforme este pedido, não têm direito a pagamento de horas extras por cada hora trabalhada além de 40 horas em uma semana de trabalho, desde que: (1) a remuneração normal exceda uma vez e meia o salário mínimo federal por cada hora trabalhada em uma semana de trabalho em que sejam realizadas horas extras; e (2) durante um período representativo de três meses, pelo menos metade da remuneração total seja composta por taxas de serviço. Essa isenção permanecerá em vigor enquanto os funcionários de atendimento no refeitório continuarem a trabalhar na função e continuarem a ser remunerados por meio de taxas de serviço. Se qualquer um dos requisitos acima não for atendido, o empregador pagará horas extras por todas as horas trabalhadas além de quarenta (40) horas em uma semana de trabalho, à taxa de US$ 24,53 por hora. O empregador fornecerá a cada funcionário um (1) casaco de uniforme sem custo para o funcionário. Os funcionários devem se apresentar ao trabalho usando sapatos pretos limpos e em bom estado, calças pretas, meias pretas e uma camiseta branca lisa. Esses itens são considerados vestuário padrão do dia a dia e devem ser fornecidos pelo funcionário, que deverá estar 100% em conformidade com a Política de Uniforme e Apresentação Pessoal da Empresa. Os funcionários devem falar inglês em nível conversacional. Número de horas por semana: 40. Horário de trabalho (início/término): 10h00 - 23h59.</v>
      </c>
    </row>
    <row r="1857" ht="20.25" customHeight="1">
      <c r="A1857" s="8" t="s">
        <v>8279</v>
      </c>
      <c r="B1857" s="8" t="s">
        <v>8280</v>
      </c>
      <c r="C1857" s="8"/>
      <c r="D1857" s="8" t="s">
        <v>102</v>
      </c>
      <c r="E1857" s="9" t="s">
        <v>44</v>
      </c>
      <c r="F1857" s="9" t="s">
        <v>20</v>
      </c>
      <c r="G1857" s="9" t="s">
        <v>1191</v>
      </c>
      <c r="H1857" s="8" t="s">
        <v>8281</v>
      </c>
      <c r="I1857" s="8" t="s">
        <v>8282</v>
      </c>
      <c r="J1857" s="9">
        <v>17.79</v>
      </c>
      <c r="K1857" s="9">
        <v>18.0</v>
      </c>
      <c r="L1857" s="8" t="s">
        <v>8283</v>
      </c>
      <c r="M1857" s="8" t="s">
        <v>8284</v>
      </c>
      <c r="N1857" s="7" t="str">
        <f>IFERROR(__xludf.DUMMYFUNCTION("GOOGLETRANSLATE(L1857, ""en"", ""pt"")"),"Trabalhador braçal, paisagista")</f>
        <v>Trabalhador braçal, paisagista</v>
      </c>
      <c r="O1857" s="7" t="str">
        <f>IFERROR(__xludf.DUMMYFUNCTION("IF(M1857="""","""",GOOGLETRANSLATE(M1857,""en"",""pt""))"),"Sob supervisão direta. Treinamento no local de trabalho fornecido. Os trabalhadores irão cortar, aparar, cortar as bordas, varrer gramados e realizar a limpeza, soprando, rastelando ou varrendo restos de grama e folhas de gramados e áreas pavimentadas. Re"&amp;"colher galhos e detritos em gramados, áreas ajardinadas e pavimentadas ao redor das propriedades. Regar, podar, aparar e cortar todos os tipos de plantas, incluindo, entre outras, arbustos, pequenas árvores (somente ao nível do solo) e flores. Cavar grama"&amp;" para transplantar ou para fazer canteiros. Arrancar ervas daninhas de canteiros e frestas em áreas pavimentadas. Transportar, aplicar e empilhar cobertura morta, terra, pedras, seixos, composto, fertilizante e outros produtos hortícolas para uso em, sobr"&amp;"e e ao redor de gramados e áreas ou canteiros ajardinados. Cavar buracos para plantar ou transplantar flores, ou para remover arbustos, árvores e várias outras plantas e ervas daninhas. Pode auxiliar na limpeza, manutenção e manuseio de ferramentas, veícu"&amp;"los e equipamentos comumente usados ​​em trabalhos de jardinagem e paisagismo. Classificação da Função: 37-3011.00 - Trabalhadores de Paisagismo e Manutenção de Áreas Verdes. A classificação e descrição da função/setor inclui informações gerais sobre o ca"&amp;"rgo, de acordo com o ONET/OES e o Sistema de Classificação Industrial da América do Norte (NAICS). Consulte as Funções e a Ordem de Serviço para obter mais informações. Requisitos da Função Experiência Necessária: Não. Requisitos Especiais: Nível inicial "&amp;"- Não é necessária experiência. A função exige que o candidato seja qualificado, esteja pronto, disposto, apto e disponível para desempenhar suas funções durante todo o período de emprego, em todos os locais de trabalho designados, e para seguir as normas"&amp;" da empresa. Número de Horas por Semana: 45. Horário de Trabalho (Início/Término): 7h às 16h.")</f>
        <v>Sob supervisão direta. Treinamento no local de trabalho fornecido. Os trabalhadores irão cortar, aparar, cortar as bordas, varrer gramados e realizar a limpeza, soprando, rastelando ou varrendo restos de grama e folhas de gramados e áreas pavimentadas. Recolher galhos e detritos em gramados, áreas ajardinadas e pavimentadas ao redor das propriedades. Regar, podar, aparar e cortar todos os tipos de plantas, incluindo, entre outras, arbustos, pequenas árvores (somente ao nível do solo) e flores. Cavar grama para transplantar ou para fazer canteiros. Arrancar ervas daninhas de canteiros e frestas em áreas pavimentadas. Transportar, aplicar e empilhar cobertura morta, terra, pedras, seixos, composto, fertilizante e outros produtos hortícolas para uso em, sobre e ao redor de gramados e áreas ou canteiros ajardinados. Cavar buracos para plantar ou transplantar flores, ou para remover arbustos, árvores e várias outras plantas e ervas daninhas. Pode auxiliar na limpeza, manutenção e manuseio de ferramentas, veículos e equipamentos comumente usados ​​em trabalhos de jardinagem e paisagismo. Classificação da Função: 37-3011.00 - Trabalhadores de Paisagismo e Manutenção de Áreas Verdes. A classificação e descrição da função/setor inclui informações gerais sobre o cargo, de acordo com o ONET/OES e o Sistema de Classificação Industrial da América do Norte (NAICS). Consulte as Funções e a Ordem de Serviço para obter mais informações. Requisitos da Função Experiência Necessária: Não. Requisitos Especiais: Nível inicial - Não é necessária experiência. A função exige que o candidato seja qualificado, esteja pronto, disposto, apto e disponível para desempenhar suas funções durante todo o período de emprego, em todos os locais de trabalho designados, e para seguir as normas da empresa. Número de Horas por Semana: 45. Horário de Trabalho (Início/Término): 7h às 16h.</v>
      </c>
    </row>
    <row r="1858" ht="20.25" customHeight="1">
      <c r="A1858" s="3" t="s">
        <v>8285</v>
      </c>
      <c r="B1858" s="3" t="s">
        <v>7886</v>
      </c>
      <c r="C1858" s="3"/>
      <c r="D1858" s="3" t="s">
        <v>795</v>
      </c>
      <c r="E1858" s="4" t="s">
        <v>19</v>
      </c>
      <c r="F1858" s="4" t="s">
        <v>20</v>
      </c>
      <c r="G1858" s="4" t="s">
        <v>118</v>
      </c>
      <c r="H1858" s="3" t="s">
        <v>8086</v>
      </c>
      <c r="I1858" s="3" t="s">
        <v>7888</v>
      </c>
      <c r="J1858" s="4">
        <v>13.93</v>
      </c>
      <c r="K1858" s="4">
        <v>6.0</v>
      </c>
      <c r="L1858" s="3" t="s">
        <v>8286</v>
      </c>
      <c r="M1858" s="3" t="s">
        <v>8287</v>
      </c>
      <c r="N1858" s="7" t="str">
        <f>IFERROR(__xludf.DUMMYFUNCTION("GOOGLETRANSLATE(L1858, ""en"", ""pt"")"),"Garçons e garçonetes")</f>
        <v>Garçons e garçonetes</v>
      </c>
      <c r="O1858" s="7" t="str">
        <f>IFERROR(__xludf.DUMMYFUNCTION("IF(M1858="""","""",GOOGLETRANSLATE(M1858,""en"",""pt""))"),"Receber e acomodar os clientes na área de refeições; Apresentar os cardápios e responder a perguntas básicas sobre os itens do menu; Anotar os pedidos de comida e bebida e inseri-los no sistema de ponto de venda (PDV); Servir os pratos e bebidas preparado"&amp;"s, incluindo frutos do mar, pratos com arroz e macarrão, e bebidas, levando as bandejas da cozinha até as mesas dos clientes; Verificar as mesas durante as refeições e repor água, chá e refrigerantes conforme necessário; Embalar pedidos para viagem quando"&amp;" solicitado; Retirar pratos, tigelas, talheres e copos usados ​​das mesas; Limpar e preparar as mesas com talheres, condimentos e guardanapos limpos para o próximo cliente; Processar pagamentos através do sistema de PDV e emitir recibos; Seguir os procedi"&amp;"mentos de limpeza, segurança alimentar e higiene do restaurante. Classificação da vaga: 35-3031.00 - Garçons e Garçonetes. A classificação e descrição da vaga/setor inclui informações gerais sobre o cargo, de acordo com o ONET/OES e o Sistema de Classific"&amp;"ação Industrial da América do Norte. Consulte as Funções e a Ordem de Serviço para obter mais informações. Requisitos da vaga: Experiência exigida: Não. Requisitos especiais: Não há exigência de escolaridade ou experiência mínima. O empregador fornecerá t"&amp;"reinamento no local de trabalho. É necessário ser capaz de desempenhar as funções do cargo. Número de horas por semana: 40. Horário de trabalho (início/término): 12h00 - 20h30.")</f>
        <v>Receber e acomodar os clientes na área de refeições; Apresentar os cardápios e responder a perguntas básicas sobre os itens do menu; Anotar os pedidos de comida e bebida e inseri-los no sistema de ponto de venda (PDV); Servir os pratos e bebidas preparados, incluindo frutos do mar, pratos com arroz e macarrão, e bebidas, levando as bandejas da cozinha até as mesas dos clientes; Verificar as mesas durante as refeições e repor água, chá e refrigerantes conforme necessário; Embalar pedidos para viagem quando solicitado; Retirar pratos, tigelas, talheres e copos usados ​​das mesas; Limpar e preparar as mesas com talheres, condimentos e guardanapos limpos para o próximo cliente; Processar pagamentos através do sistema de PDV e emitir recibos; Seguir os procedimentos de limpeza, segurança alimentar e higiene do restaurante. Classificação da vaga: 35-3031.00 - Garçons e Garçonetes. A classificação e descrição da vaga/setor inclui informações gerais sobre o cargo, de acordo com o ONET/OES e o Sistema de Classificação Industrial da América do Norte. Consulte as Funções e a Ordem de Serviço para obter mais informações. Requisitos da vaga: Experiência exigida: Não. Requisitos especiais: Não há exigência de escolaridade ou experiência mínima. O empregador fornecerá treinamento no local de trabalho. É necessário ser capaz de desempenhar as funções do cargo. Número de horas por semana: 40. Horário de trabalho (início/término): 12h00 - 20h30.</v>
      </c>
    </row>
    <row r="1859" ht="20.25" customHeight="1">
      <c r="A1859" s="8" t="s">
        <v>8288</v>
      </c>
      <c r="B1859" s="8" t="s">
        <v>7678</v>
      </c>
      <c r="C1859" s="8" t="s">
        <v>7651</v>
      </c>
      <c r="D1859" s="8" t="s">
        <v>278</v>
      </c>
      <c r="E1859" s="9" t="s">
        <v>19</v>
      </c>
      <c r="F1859" s="9" t="s">
        <v>20</v>
      </c>
      <c r="G1859" s="9" t="s">
        <v>404</v>
      </c>
      <c r="H1859" s="8" t="s">
        <v>7679</v>
      </c>
      <c r="I1859" s="8" t="s">
        <v>7680</v>
      </c>
      <c r="J1859" s="9">
        <v>27.51</v>
      </c>
      <c r="K1859" s="9">
        <v>20.0</v>
      </c>
      <c r="L1859" s="8" t="s">
        <v>8289</v>
      </c>
      <c r="M1859" s="8" t="s">
        <v>8290</v>
      </c>
      <c r="N1859" s="7" t="str">
        <f>IFERROR(__xludf.DUMMYFUNCTION("GOOGLETRANSLATE(L1859, ""en"", ""pt"")"),"Operadores de Equipamentos")</f>
        <v>Operadores de Equipamentos</v>
      </c>
      <c r="O1859" s="7" t="str">
        <f>IFERROR(__xludf.DUMMYFUNCTION("IF(M1859="""","""",GOOGLETRANSLATE(M1859,""en"",""pt""))"),"O Operador de Equipamentos realiza trabalhos em canteiros de obras operando equipamentos pesados ​​e leves, como minicarregadeiras, miniescavadeiras, retroescavadeiras, pás carregadeiras, valeteiras, empilhadeiras, compactadores e máquinas similares para "&amp;"auxiliar em escavações, nivelamento, abertura de valas, movimentação de materiais, preparação do terreno, instalação de utilidades e suporte geral à construção. As funções incluem movimentar terra, cascalho, entulho e materiais, cavar valas, nivelar terre"&amp;"nos, carregar e descarregar materiais, realizar inspeções e manutenções básicas de equipamentos e seguir todas as especificações do projeto e normas de segurança. Os trabalhadores também podem auxiliar em tarefas gerais de trabalho braçal, como limpeza do"&amp;" local e movimentação de materiais quando os equipamentos não estiverem em uso. A função exige trabalho ao ar livre em diversas condições climáticas e o cumprimento de todas as normas de segurança federais, estaduais e locais. Classificação da Função: 47-"&amp;"2073.00 - Operadores de Máquinas e Outros Equipamentos de Construção. A classificação e descrição da função/setor inclui informações gerais sobre a posição, de acordo com o ONET/OES e o Sistema de Classificação Industrial da América do Norte (NAICS). Cons"&amp;"ulte as Funções e a Ordem de Serviço para obter mais informações. Requisitos da vaga Experiência necessária: Sim Meses de experiência necessários: 3 Requisitos especiais: Deve ser capaz de levantar e carregar 34 kg por 68 metros. Deve ser capaz de lidar c"&amp;"om temperaturas extremas. Número de horas por semana: 40 Horário de trabalho (início/término): 8h às 17h")</f>
        <v>O Operador de Equipamentos realiza trabalhos em canteiros de obras operando equipamentos pesados ​​e leves, como minicarregadeiras, miniescavadeiras, retroescavadeiras, pás carregadeiras, valeteiras, empilhadeiras, compactadores e máquinas similares para auxiliar em escavações, nivelamento, abertura de valas, movimentação de materiais, preparação do terreno, instalação de utilidades e suporte geral à construção. As funções incluem movimentar terra, cascalho, entulho e materiais, cavar valas, nivelar terrenos, carregar e descarregar materiais, realizar inspeções e manutenções básicas de equipamentos e seguir todas as especificações do projeto e normas de segurança. Os trabalhadores também podem auxiliar em tarefas gerais de trabalho braçal, como limpeza do local e movimentação de materiais quando os equipamentos não estiverem em uso. A função exige trabalho ao ar livre em diversas condições climáticas e o cumprimento de todas as normas de segurança federais, estaduais e locais. Classificação da Função: 47-2073.00 - Operadores de Máquinas e Outros Equipamentos de Construção. A classificação e descrição da função/setor inclui informações gerais sobre a posição, de acordo com o ONET/OES e o Sistema de Classificação Industrial da América do Norte (NAICS). Consulte as Funções e a Ordem de Serviço para obter mais informações. Requisitos da vaga Experiência necessária: Sim Meses de experiência necessários: 3 Requisitos especiais: Deve ser capaz de levantar e carregar 34 kg por 68 metros. Deve ser capaz de lidar com temperaturas extremas. Número de horas por semana: 40 Horário de trabalho (início/término): 8h às 17h</v>
      </c>
    </row>
    <row r="1860" ht="20.25" customHeight="1">
      <c r="A1860" s="3" t="s">
        <v>8291</v>
      </c>
      <c r="B1860" s="3" t="s">
        <v>7678</v>
      </c>
      <c r="C1860" s="3" t="s">
        <v>7651</v>
      </c>
      <c r="D1860" s="3" t="s">
        <v>278</v>
      </c>
      <c r="E1860" s="4" t="s">
        <v>44</v>
      </c>
      <c r="F1860" s="4" t="s">
        <v>20</v>
      </c>
      <c r="G1860" s="4" t="s">
        <v>404</v>
      </c>
      <c r="H1860" s="3" t="s">
        <v>7679</v>
      </c>
      <c r="I1860" s="3" t="s">
        <v>7680</v>
      </c>
      <c r="J1860" s="4">
        <v>22.45</v>
      </c>
      <c r="K1860" s="4">
        <v>15.0</v>
      </c>
      <c r="L1860" s="3" t="s">
        <v>7681</v>
      </c>
      <c r="M1860" s="3" t="s">
        <v>8292</v>
      </c>
      <c r="N1860" s="7" t="str">
        <f>IFERROR(__xludf.DUMMYFUNCTION("GOOGLETRANSLATE(L1860, ""en"", ""pt"")"),"Limpadores de neve")</f>
        <v>Limpadores de neve</v>
      </c>
      <c r="O1860" s="7" t="str">
        <f>IFERROR(__xludf.DUMMYFUNCTION("IF(M1860="""","""",GOOGLETRANSLATE(M1860,""en"",""pt""))"),"A remoção de neve e gelo é realizada diariamente por motivos de segurança e para garantir o acesso ao local da obra. Envolve principalmente trabalho manual menos especializado, incluindo o uso de pás, varrição ou sopradores de neve para remover o excesso "&amp;"de neve do canteiro de obras. A maioria das áreas onde o trabalho está sendo realizado precisa ser limpa manualmente, pois equipamentos maiores não têm espaço, são muito pesados ​​ou muito grandes e potentes, podendo danificar a construção em andamento. E"&amp;"m raras ocasiões, trabalhadores mais qualificados podem usar caminhões com lâminas de neve e/ou minicarregadeiras para áreas maiores e/ou áreas de entrada e saída do canteiro de obras. Os trabalhadores responsáveis ​​pela remoção de neve precisam armazena"&amp;"r, manter e colocar correntes nos pneus dos caminhões e minicarregadeiras quando as condições estiverem escorregadias devido à neve e ao gelo. Abrigos de neve são usados ​​em canteiros de obras de concreto para manter a temperatura elevada, permitindo que"&amp;" o concreto endureça adequadamente quando as temperaturas externas estiverem baixas. Os abrigos de neve são erguidos pelos trabalhadores da remoção de neve sob a supervisão dos encarregados, usando materiais básicos como madeira de 5 x 10 cm ou 10 x 10 cm"&amp;", que são fixadas temporariamente e cobertas com plástico reforçado ou lona. Uma vez cobertos, aquecedores a diesel bombearão ar quente através de mangueiras para dentro dos abrigos, tempo suficiente para que o concreto endureça adequadamente. Os abrigos "&amp;"de neve são erguidos seguindo um padrão básico e repetitivo, e a madeira é preservada e reutilizada sempre que possível. Os trabalhadores da limpeza de neve também cobrirão o concreto com mangueiras de água, cobertores pesados ​​e lonas para mantê-lo aque"&amp;"cido e evitar danos causados ​​pelo acúmulo de neve, gelo e umidade. Da mesma forma, os trabalhadores da limpeza de neve removerão as mangueiras, cobertores e lonas quando o concreto estiver completamente seco. Regularmente, os trabalhadores precisarão re"&amp;"mover manualmente a neve das lonas e cobertores com pás e vassouras antes de retirá-los quando a neve se acumular sobre eles. Todos os materiais usados ​​para remover a neve e manter o canteiro de obras e o concreto limpos e aquecidos são de responsabilid"&amp;"ade dos trabalhadores. Portanto, todos os aquecedores, correntes, cobertores, lonas, pás, vassouras, sopradores de neve, plástico reforçado, lona, ​​madeira, mangueiras, bombas e os abrigos de armazenamento devem ser mantidos, limpos e organizados pelos t"&amp;"rabalhadores da limpeza de neve. A limpeza geral do local é de responsabilidade dos trabalhadores de limpeza de neve durante os meses de neve e clima frio. Classificação da vaga: 47-2061.00 - Auxiliares de Construção. A classificação e descrição da vaga/s"&amp;"etor incluem informações gerais sobre o cargo, de acordo com o ONET/OES e o Sistema de Classificação Industrial da América do Norte (NAICS). Consulte as Funções e a Ordem de Serviço para obter mais informações. Requisitos da vaga: Experiência necessária: "&amp;"Sim. Meses de experiência necessários: 3. Requisitos especiais: Capacidade de levantar e carregar até 23 kg. Permanecer em pé por longos períodos, caminhar em superfícies escorregadias e se locomover por grandes áreas. Flexionar-se, abaixar-se, ajoelhar-s"&amp;"e, empurrar e puxar equipamentos pesados ​​com frequência. Subir escadas, destreza manual para manusear ferramentas e operar máquinas. Resistência física por longos períodos em diversas condições climáticas, incluindo ambientes frios e úmidos. Número de h"&amp;"oras por semana: 40. Horário de trabalho (início/término): 8h às 17h.")</f>
        <v>A remoção de neve e gelo é realizada diariamente por motivos de segurança e para garantir o acesso ao local da obra. Envolve principalmente trabalho manual menos especializado, incluindo o uso de pás, varrição ou sopradores de neve para remover o excesso de neve do canteiro de obras. A maioria das áreas onde o trabalho está sendo realizado precisa ser limpa manualmente, pois equipamentos maiores não têm espaço, são muito pesados ​​ou muito grandes e potentes, podendo danificar a construção em andamento. Em raras ocasiões, trabalhadores mais qualificados podem usar caminhões com lâminas de neve e/ou minicarregadeiras para áreas maiores e/ou áreas de entrada e saída do canteiro de obras. Os trabalhadores responsáveis ​​pela remoção de neve precisam armazenar, manter e colocar correntes nos pneus dos caminhões e minicarregadeiras quando as condições estiverem escorregadias devido à neve e ao gelo. Abrigos de neve são usados ​​em canteiros de obras de concreto para manter a temperatura elevada, permitindo que o concreto endureça adequadamente quando as temperaturas externas estiverem baixas. Os abrigos de neve são erguidos pelos trabalhadores da remoção de neve sob a supervisão dos encarregados, usando materiais básicos como madeira de 5 x 10 cm ou 10 x 10 cm, que são fixadas temporariamente e cobertas com plástico reforçado ou lona. Uma vez cobertos, aquecedores a diesel bombearão ar quente através de mangueiras para dentro dos abrigos, tempo suficiente para que o concreto endureça adequadamente. Os abrigos de neve são erguidos seguindo um padrão básico e repetitivo, e a madeira é preservada e reutilizada sempre que possível. Os trabalhadores da limpeza de neve também cobrirão o concreto com mangueiras de água, cobertores pesados ​​e lonas para mantê-lo aquecido e evitar danos causados ​​pelo acúmulo de neve, gelo e umidade. Da mesma forma, os trabalhadores da limpeza de neve removerão as mangueiras, cobertores e lonas quando o concreto estiver completamente seco. Regularmente, os trabalhadores precisarão remover manualmente a neve das lonas e cobertores com pás e vassouras antes de retirá-los quando a neve se acumular sobre eles. Todos os materiais usados ​​para remover a neve e manter o canteiro de obras e o concreto limpos e aquecidos são de responsabilidade dos trabalhadores. Portanto, todos os aquecedores, correntes, cobertores, lonas, pás, vassouras, sopradores de neve, plástico reforçado, lona, ​​madeira, mangueiras, bombas e os abrigos de armazenamento devem ser mantidos, limpos e organizados pelos trabalhadores da limpeza de neve. A limpeza geral do local é de responsabilidade dos trabalhadores de limpeza de neve durante os meses de neve e clima frio. Classificação da vaga: 47-2061.00 - Auxiliares de Construção. A classificação e descrição da vaga/setor incluem informações gerais sobre o cargo, de acordo com o ONET/OES e o Sistema de Classificação Industrial da América do Norte (NAICS). Consulte as Funções e a Ordem de Serviço para obter mais informações. Requisitos da vaga: Experiência necessária: Sim. Meses de experiência necessários: 3. Requisitos especiais: Capacidade de levantar e carregar até 23 kg. Permanecer em pé por longos períodos, caminhar em superfícies escorregadias e se locomover por grandes áreas. Flexionar-se, abaixar-se, ajoelhar-se, empurrar e puxar equipamentos pesados ​​com frequência. Subir escadas, destreza manual para manusear ferramentas e operar máquinas. Resistência física por longos períodos em diversas condições climáticas, incluindo ambientes frios e úmidos. Número de horas por semana: 40. Horário de trabalho (início/término): 8h às 17h.</v>
      </c>
    </row>
    <row r="1861" ht="20.25" customHeight="1">
      <c r="A1861" s="8" t="s">
        <v>8293</v>
      </c>
      <c r="B1861" s="8" t="s">
        <v>8294</v>
      </c>
      <c r="C1861" s="8" t="s">
        <v>6228</v>
      </c>
      <c r="D1861" s="8" t="s">
        <v>833</v>
      </c>
      <c r="E1861" s="9" t="s">
        <v>19</v>
      </c>
      <c r="F1861" s="9" t="s">
        <v>20</v>
      </c>
      <c r="G1861" s="9" t="s">
        <v>146</v>
      </c>
      <c r="H1861" s="8" t="s">
        <v>8295</v>
      </c>
      <c r="I1861" s="8" t="s">
        <v>8296</v>
      </c>
      <c r="J1861" s="9">
        <v>20.31</v>
      </c>
      <c r="K1861" s="9">
        <v>14.0</v>
      </c>
      <c r="L1861" s="8" t="s">
        <v>262</v>
      </c>
      <c r="M1861" s="8" t="s">
        <v>8297</v>
      </c>
      <c r="N1861" s="7" t="str">
        <f>IFERROR(__xludf.DUMMYFUNCTION("GOOGLETRANSLATE(L1861, ""en"", ""pt"")"),"Operário da construção civil")</f>
        <v>Operário da construção civil</v>
      </c>
      <c r="O1861" s="7" t="str">
        <f>IFERROR(__xludf.DUMMYFUNCTION("IF(M1861="""","""",GOOGLETRANSLATE(M1861,""en"",""pt""))"),"Como operários da construção civil, os trabalhadores executarão tarefas que envolvem trabalho físico em canteiros de obras. Operarão ferramentas manuais e elétricas de todos os tipos: martelos pneumáticos, compactadores de solo, betoneiras, pequenos guind"&amp;"astes mecânicos, equipamentos de topografia e medição, e uma variedade de outros equipamentos e instrumentos. Os trabalhadores operarão equipamentos pesados, como motoniveladoras, compactadores de solo, tratores de esteira, retroescavadeiras, minicarregad"&amp;"eiras e pás carregadeiras. O trabalhador descarregará materiais, organizará madeira, chapas de metal e revestimentos, treliças e outros componentes para a construção de estruturas. Os trabalhadores construirão e erguerão paredes e treliças, levantarão cha"&amp;"pas de metal e revestimentos para telhados e paredes, instalarão portas e farão o acabamento das estruturas. Os trabalhadores limparão e prepararão os locais, instalarão escoras para sustentar as laterais das escavações, montarão andaimes e limparão entul"&amp;"hos, detritos e outros resíduos. Os trabalhadores também lubrificarão, limparão ou consertarão máquinas, equipamentos ou ferramentas. Utilizar ferramentas manuais e elétricas, incluindo pás, martelos, estiletes, furadeiras, serras, compressores de ar, fer"&amp;"ramentas pneumáticas, compactadores, betoneiras, níveis a laser, trenas e pequenos guindastes mecânicos. As ferramentas serão utilizadas para medir e marcar projetos, preparar fundações, misturar e aplicar concreto, compactar o solo, cortar e instalar mat"&amp;"eriais, levantar e posicionar materiais e auxiliar na montagem de componentes estruturais. Os guindastes levantarão painéis de telhado, revestimentos, treliças, portas, janelas, madeira e outros materiais. Os níveis a laser e as ferramentas de medição est"&amp;"abelecerão elevações, verificarão nivelamentos e medirão as dimensões da construção. Executar trabalhos braçais e auxiliar profissionais qualificados da construção civil na construção, reparo e reforma de estruturas comerciais, industriais e residenciais."&amp;" As tarefas incluem limpeza e preparação de canteiros de obras; carga, descarga e distribuição de materiais; auxílio em escavações, nivelamento, abertura de valas e reaterro; montagem e desmontagem de estruturas temporárias; e execução de trabalhos gerais"&amp;" de construção civil, conforme designado. Auxiliar na operação de equipamentos de construção próprios ou alugados pela empresa, utilizados para preparação do terreno, nivelamento, escavação, abertura de valas, aterro e movimentação de materiais. Os equipa"&amp;"mentos podem incluir tratores de esteira Caterpillar D6 (24.948 kg, 225 HP) usados ​​para nivelar e terraplenagem; escavadeiras Caterpillar 324DL (22.688 kg, 220 HP) usadas para escavar fundações e valas; escavadeiras Caterpillar 330 (27.216 kg, 250 HP) u"&amp;"sadas para escavar e carregar caminhões; escavadeiras Caterpillar 349EL (54.433 kg, 400 HP) usadas para escavar, movimentar e carregar solo; e minicarregadeiras Caterpillar 279D e 299D3 (3.175-3.629 kg, 80-100 HP) usadas para nivelar, terraplenagem e movi"&amp;"mentação de materiais. Descarregar, organizar e distribuir materiais de construção, incluindo madeira serrada, produtos de madeira engenheirada, treliças, painéis de cobertura metálica, painéis de revestimento metálico, portas, janelas, isolamento, fixado"&amp;"res e formas de concreto. Auxiliar na construção de paredes, medindo, posicionando, fixando e escorando componentes da estrutura; erguendo e fixando treliças de telhado; instalando painéis de cobertura e revestimento; instalando portas e ferragens; e apli"&amp;"cando selantes e massa de calafetar. Remover entulhos e resíduos de construção usando pás, ancinhos, vassouras, carrinhos de mão, caçambas e minicarregadeiras. Manter as áreas de trabalho seguras e limpas, removendo riscos, organizando materiais, limpando"&amp;" superfícies de trabalho e realizando a limpeza geral do local usando ferramentas básicas de limpeza. Limpar, lubrificar e realizar pequenos reparos em máquinas e equipamentos, incluindo minicarregadeiras, compactadores, retroescavadeiras, escavadeiras, t"&amp;"ratores de esteira, betoneiras, compressores de ar, guindastes mecânicos, ferramentas pneumáticas, ferramentas elétricas e ferramentas manuais. Limpar e reparar máquinas, removendo sujeira, lama, resíduos de concreto e detritos; Lubrificação de peças móve"&amp;"is; verificação de níveis de fluidos; aperto de parafusos e conexões; substituição de filtros, mangueiras, correias e outros itens de desgaste; e auxílio em pequenos reparos utilizando chaves, jogos de soquetes, chaves de fenda, pistolas de graxa, equipam"&amp;"entos de limpeza, lubrificantes e peças de reposição. Classificação da função: 47-2073.00 - Operadores de Máquinas e Outros Operadores de Equipamentos de Construção. A classificação e descrição da função/setor inclui informações gerais sobre o cargo, de a"&amp;"cordo com o ONET/OES e o Sistema de Classificação Industrial da América do Norte (NAICS). Consulte as Funções e a Ordem de Serviço para obter mais informações. Requisitos da vaga: Experiência exigida: Sim. Meses de experiência exigidos: 1. Requisitos espe"&amp;"ciais: Os trabalhadores devem ser capazes de levantar e carregar 34 kg e devem seguir as normas de segurança em um ambiente de produção. Os trabalhadores estarão sujeitos a testes de drogas mediante suspeita razoável, pagos pelo empregador e aplicados igu"&amp;"almente a todos os trabalhadores, americanos e estrangeiros/H-2B. Número de horas por semana: 40. Horário de trabalho (início/término): 7h30. - 18h30")</f>
        <v>Como operários da construção civil, os trabalhadores executarão tarefas que envolvem trabalho físico em canteiros de obras. Operarão ferramentas manuais e elétricas de todos os tipos: martelos pneumáticos, compactadores de solo, betoneiras, pequenos guindastes mecânicos, equipamentos de topografia e medição, e uma variedade de outros equipamentos e instrumentos. Os trabalhadores operarão equipamentos pesados, como motoniveladoras, compactadores de solo, tratores de esteira, retroescavadeiras, minicarregadeiras e pás carregadeiras. O trabalhador descarregará materiais, organizará madeira, chapas de metal e revestimentos, treliças e outros componentes para a construção de estruturas. Os trabalhadores construirão e erguerão paredes e treliças, levantarão chapas de metal e revestimentos para telhados e paredes, instalarão portas e farão o acabamento das estruturas. Os trabalhadores limparão e prepararão os locais, instalarão escoras para sustentar as laterais das escavações, montarão andaimes e limparão entulhos, detritos e outros resíduos. Os trabalhadores também lubrificarão, limparão ou consertarão máquinas, equipamentos ou ferramentas. Utilizar ferramentas manuais e elétricas, incluindo pás, martelos, estiletes, furadeiras, serras, compressores de ar, ferramentas pneumáticas, compactadores, betoneiras, níveis a laser, trenas e pequenos guindastes mecânicos. As ferramentas serão utilizadas para medir e marcar projetos, preparar fundações, misturar e aplicar concreto, compactar o solo, cortar e instalar materiais, levantar e posicionar materiais e auxiliar na montagem de componentes estruturais. Os guindastes levantarão painéis de telhado, revestimentos, treliças, portas, janelas, madeira e outros materiais. Os níveis a laser e as ferramentas de medição estabelecerão elevações, verificarão nivelamentos e medirão as dimensões da construção. Executar trabalhos braçais e auxiliar profissionais qualificados da construção civil na construção, reparo e reforma de estruturas comerciais, industriais e residenciais. As tarefas incluem limpeza e preparação de canteiros de obras; carga, descarga e distribuição de materiais; auxílio em escavações, nivelamento, abertura de valas e reaterro; montagem e desmontagem de estruturas temporárias; e execução de trabalhos gerais de construção civil, conforme designado. Auxiliar na operação de equipamentos de construção próprios ou alugados pela empresa, utilizados para preparação do terreno, nivelamento, escavação, abertura de valas, aterro e movimentação de materiais. Os equipamentos podem incluir tratores de esteira Caterpillar D6 (24.948 kg, 225 HP) usados ​​para nivelar e terraplenagem; escavadeiras Caterpillar 324DL (22.688 kg, 220 HP) usadas para escavar fundações e valas; escavadeiras Caterpillar 330 (27.216 kg, 250 HP) usadas para escavar e carregar caminhões; escavadeiras Caterpillar 349EL (54.433 kg, 400 HP) usadas para escavar, movimentar e carregar solo; e minicarregadeiras Caterpillar 279D e 299D3 (3.175-3.629 kg, 80-100 HP) usadas para nivelar, terraplenagem e movimentação de materiais. Descarregar, organizar e distribuir materiais de construção, incluindo madeira serrada, produtos de madeira engenheirada, treliças, painéis de cobertura metálica, painéis de revestimento metálico, portas, janelas, isolamento, fixadores e formas de concreto. Auxiliar na construção de paredes, medindo, posicionando, fixando e escorando componentes da estrutura; erguendo e fixando treliças de telhado; instalando painéis de cobertura e revestimento; instalando portas e ferragens; e aplicando selantes e massa de calafetar. Remover entulhos e resíduos de construção usando pás, ancinhos, vassouras, carrinhos de mão, caçambas e minicarregadeiras. Manter as áreas de trabalho seguras e limpas, removendo riscos, organizando materiais, limpando superfícies de trabalho e realizando a limpeza geral do local usando ferramentas básicas de limpeza. Limpar, lubrificar e realizar pequenos reparos em máquinas e equipamentos, incluindo minicarregadeiras, compactadores, retroescavadeiras, escavadeiras, tratores de esteira, betoneiras, compressores de ar, guindastes mecânicos, ferramentas pneumáticas, ferramentas elétricas e ferramentas manuais. Limpar e reparar máquinas, removendo sujeira, lama, resíduos de concreto e detritos; Lubrificação de peças móveis; verificação de níveis de fluidos; aperto de parafusos e conexões; substituição de filtros, mangueiras, correias e outros itens de desgaste; e auxílio em pequenos reparos utilizando chaves, jogos de soquetes, chaves de fenda, pistolas de graxa, equipamentos de limpeza, lubrificantes e peças de reposição. Classificação da função: 47-2073.00 - Operadores de Máquinas e Outros Operadores de Equipamentos de Construção. A classificação e descrição da função/setor inclui informações gerais sobre o cargo, de acordo com o ONET/OES e o Sistema de Classificação Industrial da América do Norte (NAICS). Consulte as Funções e a Ordem de Serviço para obter mais informações. Requisitos da vaga: Experiência exigida: Sim. Meses de experiência exigidos: 1. Requisitos especiais: Os trabalhadores devem ser capazes de levantar e carregar 34 kg e devem seguir as normas de segurança em um ambiente de produção. Os trabalhadores estarão sujeitos a testes de drogas mediante suspeita razoável, pagos pelo empregador e aplicados igualmente a todos os trabalhadores, americanos e estrangeiros/H-2B. Número de horas por semana: 40. Horário de trabalho (início/término): 7h30. - 18h30</v>
      </c>
    </row>
    <row r="1862" ht="20.25" customHeight="1">
      <c r="A1862" s="3" t="s">
        <v>8298</v>
      </c>
      <c r="B1862" s="3" t="s">
        <v>8299</v>
      </c>
      <c r="C1862" s="3" t="s">
        <v>8300</v>
      </c>
      <c r="D1862" s="3" t="s">
        <v>71</v>
      </c>
      <c r="E1862" s="4" t="s">
        <v>19</v>
      </c>
      <c r="F1862" s="4" t="s">
        <v>20</v>
      </c>
      <c r="G1862" s="4" t="s">
        <v>8301</v>
      </c>
      <c r="H1862" s="3" t="s">
        <v>8302</v>
      </c>
      <c r="I1862" s="3" t="s">
        <v>8303</v>
      </c>
      <c r="J1862" s="4">
        <v>16.65</v>
      </c>
      <c r="K1862" s="4">
        <v>1.0</v>
      </c>
      <c r="L1862" s="3" t="s">
        <v>8304</v>
      </c>
      <c r="M1862" s="3" t="s">
        <v>8305</v>
      </c>
      <c r="N1862" s="7" t="str">
        <f>IFERROR(__xludf.DUMMYFUNCTION("GOOGLETRANSLATE(L1862, ""en"", ""pt"")"),"Cuidador de crianças")</f>
        <v>Cuidador de crianças</v>
      </c>
      <c r="O1862" s="7" t="str">
        <f>IFERROR(__xludf.DUMMYFUNCTION("IF(M1862="""","""",GOOGLETRANSLATE(M1862,""en"",""pt""))"),"• Manter um ambiente seguro. • Observar e monitorar as atividades lúdicas das crianças. • Comunicar-se com os pais das crianças sobre as atividades diárias, comportamentos e questões relacionadas. • Apoiar o desenvolvimento emocional e social das crianças"&amp;", incentivando a compreensão dos outros e uma autoimagem positiva. • Vestir as crianças e trocar fraldas. • Manter registros individuais de cada criança, incluindo observações diárias e informações sobre atividades, refeições servidas e medicamentos admin"&amp;"istrados. • Identificar sinais de problemas emocionais ou de desenvolvimento nas crianças e comunicá-los aos pais ou responsáveis. • Instruir as crianças sobre saúde e hábitos pessoais, como alimentação, descanso e higiene. • Ler para as crianças e ensiná"&amp;"-las pintura, desenho, artesanato e canções simples. • Organizar e participar de atividades recreativas e passeios adequados à idade. • Desempenhar funções gerais de pessoal, como supervisão, treinamento e elaboração de escalas. • Acompanhar as crianças d"&amp;"e e para a escola, em passeios e consultas médicas. • Prestar cuidados a crianças com deficiências físicas, de desenvolvimento ou de saúde mental. Classificação da Função: 39-9011.01 - Babás. A classificação e descrição da função/setor inclui informações "&amp;"gerais sobre o cargo, de acordo com o ONET/OES e o Sistema de Classificação Industrial da América do Norte (NAICS). Consulte as Funções e a Ordem de Serviço para obter mais informações. Requisitos da Função: Experiência Necessária: Sim. Meses de Experiênc"&amp;"ia Necessários: 6. Requisitos Especiais: Necessário ter disponibilidade para trabalhar aos sábados e domingos, quando necessário. Não possuir antecedentes criminais. Número de Horas por Semana: 40. Horário de Trabalho (Início/Término): 8h às 16h.")</f>
        <v>• Manter um ambiente seguro. • Observar e monitorar as atividades lúdicas das crianças. • Comunicar-se com os pais das crianças sobre as atividades diárias, comportamentos e questões relacionadas. • Apoiar o desenvolvimento emocional e social das crianças, incentivando a compreensão dos outros e uma autoimagem positiva. • Vestir as crianças e trocar fraldas. • Manter registros individuais de cada criança, incluindo observações diárias e informações sobre atividades, refeições servidas e medicamentos administrados. • Identificar sinais de problemas emocionais ou de desenvolvimento nas crianças e comunicá-los aos pais ou responsáveis. • Instruir as crianças sobre saúde e hábitos pessoais, como alimentação, descanso e higiene. • Ler para as crianças e ensiná-las pintura, desenho, artesanato e canções simples. • Organizar e participar de atividades recreativas e passeios adequados à idade. • Desempenhar funções gerais de pessoal, como supervisão, treinamento e elaboração de escalas. • Acompanhar as crianças de e para a escola, em passeios e consultas médicas. • Prestar cuidados a crianças com deficiências físicas, de desenvolvimento ou de saúde mental. Classificação da Função: 39-9011.01 - Babás. A classificação e descrição da função/setor inclui informações gerais sobre o cargo, de acordo com o ONET/OES e o Sistema de Classificação Industrial da América do Norte (NAICS). Consulte as Funções e a Ordem de Serviço para obter mais informações. Requisitos da Função: Experiência Necessária: Sim. Meses de Experiência Necessários: 6. Requisitos Especiais: Necessário ter disponibilidade para trabalhar aos sábados e domingos, quando necessário. Não possuir antecedentes criminais. Número de Horas por Semana: 40. Horário de Trabalho (Início/Término): 8h às 16h.</v>
      </c>
    </row>
    <row r="1863" ht="20.25" customHeight="1">
      <c r="A1863" s="8" t="s">
        <v>8306</v>
      </c>
      <c r="B1863" s="8" t="s">
        <v>8307</v>
      </c>
      <c r="C1863" s="8" t="s">
        <v>3588</v>
      </c>
      <c r="D1863" s="8" t="s">
        <v>71</v>
      </c>
      <c r="E1863" s="9" t="s">
        <v>19</v>
      </c>
      <c r="F1863" s="9" t="s">
        <v>20</v>
      </c>
      <c r="G1863" s="9" t="s">
        <v>345</v>
      </c>
      <c r="H1863" s="8" t="s">
        <v>8308</v>
      </c>
      <c r="I1863" s="8" t="s">
        <v>8309</v>
      </c>
      <c r="J1863" s="9">
        <v>16.81</v>
      </c>
      <c r="K1863" s="9">
        <v>12.0</v>
      </c>
      <c r="L1863" s="8" t="s">
        <v>3615</v>
      </c>
      <c r="M1863" s="8" t="s">
        <v>8310</v>
      </c>
      <c r="N1863" s="7" t="str">
        <f>IFERROR(__xludf.DUMMYFUNCTION("GOOGLETRANSLATE(L1863, ""en"", ""pt"")"),"Empregada doméstica")</f>
        <v>Empregada doméstica</v>
      </c>
      <c r="O1863" s="7" t="str">
        <f>IFERROR(__xludf.DUMMYFUNCTION("IF(M1863="""","""",GOOGLETRANSLATE(M1863,""en"",""pt""))"),"Limpeza de quartos, incluindo banheiro, sala de estar e cozinhas compactas (troca de roupa de cama, limpeza de pias, banheiras, pisos e paredes, e aspiração de pó). Classificação da vaga: 37-2012.00 - Empregadas Domésticas e Auxiliares de Limpeza. A class"&amp;"ificação e descrição da vaga/setor incluem informações gerais sobre o cargo, de acordo com o ONET/OES e o Sistema de Classificação Industrial da América do Norte (NAICS). Consulte as Funções e a Ordem de Serviço para obter mais informações. Requisitos da "&amp;"vaga: Experiência exigida: Não. Requisitos especiais: Capacidade de levantar até 23 kg. Número de horas por semana: 40. Horário de trabalho (início/término): 8h às 17h.")</f>
        <v>Limpeza de quartos, incluindo banheiro, sala de estar e cozinhas compactas (troca de roupa de cama, limpeza de pias, banheiras, pisos e paredes, e aspiração de pó). Classificação da vaga: 37-2012.00 - Empregadas Domésticas e Auxiliares de Limpeza. A classificação e descrição da vaga/setor incluem informações gerais sobre o cargo, de acordo com o ONET/OES e o Sistema de Classificação Industrial da América do Norte (NAICS). Consulte as Funções e a Ordem de Serviço para obter mais informações. Requisitos da vaga: Experiência exigida: Não. Requisitos especiais: Capacidade de levantar até 23 kg. Número de horas por semana: 40. Horário de trabalho (início/término): 8h às 17h.</v>
      </c>
    </row>
    <row r="1864" ht="20.25" customHeight="1">
      <c r="A1864" s="3" t="s">
        <v>8311</v>
      </c>
      <c r="B1864" s="3" t="s">
        <v>8312</v>
      </c>
      <c r="C1864" s="3" t="s">
        <v>8313</v>
      </c>
      <c r="D1864" s="3" t="s">
        <v>71</v>
      </c>
      <c r="E1864" s="4" t="s">
        <v>19</v>
      </c>
      <c r="F1864" s="4" t="s">
        <v>20</v>
      </c>
      <c r="G1864" s="4" t="s">
        <v>345</v>
      </c>
      <c r="H1864" s="3" t="s">
        <v>8314</v>
      </c>
      <c r="I1864" s="3" t="s">
        <v>8315</v>
      </c>
      <c r="J1864" s="4">
        <v>19.4</v>
      </c>
      <c r="K1864" s="4">
        <v>3.0</v>
      </c>
      <c r="L1864" s="3" t="s">
        <v>387</v>
      </c>
      <c r="M1864" s="3" t="s">
        <v>8316</v>
      </c>
      <c r="N1864" s="7" t="str">
        <f>IFERROR(__xludf.DUMMYFUNCTION("GOOGLETRANSLATE(L1864, ""en"", ""pt"")"),"Ordem de serviço não disponível")</f>
        <v>Ordem de serviço não disponível</v>
      </c>
      <c r="O1864" s="7" t="str">
        <f>IFERROR(__xludf.DUMMYFUNCTION("IF(M1864="""","""",GOOGLETRANSLATE(M1864,""en"",""pt""))"),"O Grassy Key Resort Group, LLC (nome fantasia: Grassy Flats Resort &amp; Beach Club) busca cozinheiros para preparar e cozinhar alimentos de acordo com receitas estabelecidas, controle de porções e padrões de qualidade do resort. As funções incluem preparar c"&amp;"arnes, frutos do mar, vegetais, molhos e outros itens do cardápio; operar equipamentos de cozinha padrão, como grelhas, fritadeiras, fornos e processadores de alimentos; manter a limpeza e a higienização da cozinha e das áreas de preparo de alimentos; arm"&amp;"azenar e manusear adequadamente os produtos alimentícios em conformidade com as normas de saúde e segurança; auxiliar no inventário e na rotação de estoque; e trabalhar em colaboração com a equipe da cozinha para garantir o preparo e o serviço de alimento"&amp;"s em tempo hábil em um ambiente de resort dinâmico. Classificação da vaga: 35-2014.00 - Cozinheiros, Restaurante. A classificação e a descrição da vaga/setor incluem informações gerais sobre o cargo, de acordo com o ONET/OES e o Sistema de Classificação I"&amp;"ndustrial da América do Norte. Consulte as funções e a ordem de serviço para obter mais informações. Requisitos da vaga: Experiência necessária: Não. Número de horas por semana: 40. Horário de trabalho (início/término): 14h. - 22:00")</f>
        <v>O Grassy Key Resort Group, LLC (nome fantasia: Grassy Flats Resort &amp; Beach Club) busca cozinheiros para preparar e cozinhar alimentos de acordo com receitas estabelecidas, controle de porções e padrões de qualidade do resort. As funções incluem preparar carnes, frutos do mar, vegetais, molhos e outros itens do cardápio; operar equipamentos de cozinha padrão, como grelhas, fritadeiras, fornos e processadores de alimentos; manter a limpeza e a higienização da cozinha e das áreas de preparo de alimentos; armazenar e manusear adequadamente os produtos alimentícios em conformidade com as normas de saúde e segurança; auxiliar no inventário e na rotação de estoque; e trabalhar em colaboração com a equipe da cozinha para garantir o preparo e o serviço de alimentos em tempo hábil em um ambiente de resort dinâmico. Classificação da vaga: 35-2014.00 - Cozinheiros, Restaurante. A classificação e a descrição da vaga/setor incluem informações gerais sobre o cargo, de acordo com o ONET/OES e o Sistema de Classificação Industrial da América do Norte. Consulte as funções e a ordem de serviço para obter mais informações. Requisitos da vaga: Experiência necessária: Não. Número de horas por semana: 40. Horário de trabalho (início/término): 14h. - 22:00</v>
      </c>
    </row>
    <row r="1865" ht="20.25" customHeight="1">
      <c r="A1865" s="8" t="s">
        <v>8317</v>
      </c>
      <c r="B1865" s="8" t="s">
        <v>8318</v>
      </c>
      <c r="C1865" s="8" t="s">
        <v>8319</v>
      </c>
      <c r="D1865" s="8" t="s">
        <v>18</v>
      </c>
      <c r="E1865" s="9" t="s">
        <v>19</v>
      </c>
      <c r="F1865" s="9" t="s">
        <v>20</v>
      </c>
      <c r="G1865" s="9" t="s">
        <v>80</v>
      </c>
      <c r="H1865" s="8" t="s">
        <v>8320</v>
      </c>
      <c r="I1865" s="8" t="s">
        <v>8321</v>
      </c>
      <c r="J1865" s="9">
        <v>16.82</v>
      </c>
      <c r="K1865" s="9">
        <v>40.0</v>
      </c>
      <c r="L1865" s="8" t="s">
        <v>8322</v>
      </c>
      <c r="M1865" s="8" t="s">
        <v>8323</v>
      </c>
      <c r="N1865" s="7" t="str">
        <f>IFERROR(__xludf.DUMMYFUNCTION("GOOGLETRANSLATE(L1865, ""en"", ""pt"")"),"Trabalhadores de paisagismo e manutenção de jardins")</f>
        <v>Trabalhadores de paisagismo e manutenção de jardins</v>
      </c>
      <c r="O1865" s="7" t="str">
        <f>IFERROR(__xludf.DUMMYFUNCTION("IF(M1865="""","""",GOOGLETRANSLATE(M1865,""en"",""pt""))"),"Realizar a manutenção ou jardinagem de propriedades utilizando ferramentas manuais ou elétricas. Os trabalhadores geralmente executam uma variedade de tarefas manuais, como colocação de grama, corte de grama, poda, plantio, rega, escavação, rastelagem, in"&amp;"stalação e reparo de sistemas de irrigação. Podem operar ferramentas elétricas e equipamentos de jardinagem, como cortadores de grama manuais, porém a maior parte do trabalho é realizada com ferramentas manuais, como pás, ancinhos e tesouras de poda. Todo"&amp;" o trabalho é realizado ao ar livre, em todos os tipos de condições climáticas. Os trabalhadores podem ser solicitados a se submeter a testes aleatórios de drogas e álcool, sem custo para o trabalhador. A recusa em cumprir a solicitação ou um resultado po"&amp;"sitivo no teste pode resultar em demissão imediata. Um resultado negativo pode ser exigido após a contratação e antes do início do trabalho. Deve ser capaz de levantar e carregar 34 kg (75 lbs). Deve ser capaz de levantar 34 kg (75 lbs) até a altura dos o"&amp;"mbros. Requer-se um mínimo de 3 meses de experiência comprovada como Trabalhador de Paisagismo e Manutenção de Áreas Verdes I. Classificação da Função: 37-3011.00 - Trabalhadores de Paisagismo e Manutenção de Áreas Verdes. A classificação e descrição da f"&amp;"unção/setor incluem informações gerais sobre o cargo, de acordo com o ONET/OES e o Sistema de Classificação Industrial da América do Norte (NAICS). Consulte as Funções e a Ordem de Serviço para obter mais informações. Requisitos da Função Experiência Nece"&amp;"ssária: Sim Meses de Experiência Necessários: 3 Requisitos Especiais: TODO O TRABALHO É REALIZADO AO AR LIVRE, EM TODOS OS TIPOS DE CONDIÇÕES CLIMÁTICAS. OS TRABALHADORES PODEM SER SOLICITADOS A SE SUBMETER A TESTES ALEATÓRIOS DE DROGAS E ÁLCOOL, SEM CUST"&amp;"O PARA O TRABALHADOR. A RECUSA EM CUMPRIR A SOLICITAÇÃO OU UM RESULTADO POSITIVO PODE RESULTAR EM DEMISSÃO IMEDIATA. UM RESULTADO NEGATIVO PODE SER EXIGIDO APÓS A CONTRATAÇÃO E ANTES DO INÍCIO DO TRABALHO. DEVE SER CAPAZ DE LEVANTAR E CARREGAR 34 KG. DEVE"&amp;" SER CAPAZ DE LEVANTAR 34 KG ATÉ A ALTURA DOS OMBROS. REQUER NO MÍNIMO 3 MESES DE EXPERIÊNCIA COMPROVADA COMO TRABALHADOR DE PAISAGISMO E MANUTENÇÃO DE ÁREAS VERDES. I. Número de horas por semana: 42. Horário de trabalho (início/término): 8h às 16h.")</f>
        <v>Realizar a manutenção ou jardinagem de propriedades utilizando ferramentas manuais ou elétricas. Os trabalhadores geralmente executam uma variedade de tarefas manuais, como colocação de grama, corte de grama, poda, plantio, rega, escavação, rastelagem, instalação e reparo de sistemas de irrigação. Podem operar ferramentas elétricas e equipamentos de jardinagem, como cortadores de grama manuais, porém a maior parte do trabalho é realizada com ferramentas manuais, como pás, ancinhos e tesouras de poda. Todo o trabalho é realizado ao ar livre, em todos os tipos de condições climáticas. Os trabalhadores podem ser solicitados a se submeter a testes aleatórios de drogas e álcool, sem custo para o trabalhador. A recusa em cumprir a solicitação ou um resultado positivo no teste pode resultar em demissão imediata. Um resultado negativo pode ser exigido após a contratação e antes do início do trabalho. Deve ser capaz de levantar e carregar 34 kg (75 lbs). Deve ser capaz de levantar 34 kg (75 lbs) até a altura dos ombros. Requer-se um mínimo de 3 meses de experiência comprovada como Trabalhador de Paisagismo e Manutenção de Áreas Verdes I. Classificação da Função: 37-3011.00 - Trabalhadores de Paisagismo e Manutenção de Áreas Verdes. A classificação e descrição da função/setor incluem informações gerais sobre o cargo, de acordo com o ONET/OES e o Sistema de Classificação Industrial da América do Norte (NAICS). Consulte as Funções e a Ordem de Serviço para obter mais informações. Requisitos da Função Experiência Necessária: Sim Meses de Experiência Necessários: 3 Requisitos Especiais: TODO O TRABALHO É REALIZADO AO AR LIVRE, EM TODOS OS TIPOS DE CONDIÇÕES CLIMÁTICAS. OS TRABALHADORES PODEM SER SOLICITADOS A SE SUBMETER A TESTES ALEATÓRIOS DE DROGAS E ÁLCOOL, SEM CUSTO PARA O TRABALHADOR. A RECUSA EM CUMPRIR A SOLICITAÇÃO OU UM RESULTADO POSITIVO PODE RESULTAR EM DEMISSÃO IMEDIATA. UM RESULTADO NEGATIVO PODE SER EXIGIDO APÓS A CONTRATAÇÃO E ANTES DO INÍCIO DO TRABALHO. DEVE SER CAPAZ DE LEVANTAR E CARREGAR 34 KG. DEVE SER CAPAZ DE LEVANTAR 34 KG ATÉ A ALTURA DOS OMBROS. REQUER NO MÍNIMO 3 MESES DE EXPERIÊNCIA COMPROVADA COMO TRABALHADOR DE PAISAGISMO E MANUTENÇÃO DE ÁREAS VERDES. I. Número de horas por semana: 42. Horário de trabalho (início/término): 8h às 16h.</v>
      </c>
    </row>
    <row r="1866" ht="20.25" customHeight="1">
      <c r="A1866" s="3" t="s">
        <v>8324</v>
      </c>
      <c r="B1866" s="3" t="s">
        <v>8318</v>
      </c>
      <c r="C1866" s="3" t="s">
        <v>8319</v>
      </c>
      <c r="D1866" s="3" t="s">
        <v>18</v>
      </c>
      <c r="E1866" s="4" t="s">
        <v>44</v>
      </c>
      <c r="F1866" s="4" t="s">
        <v>20</v>
      </c>
      <c r="G1866" s="4" t="s">
        <v>80</v>
      </c>
      <c r="H1866" s="3" t="s">
        <v>8320</v>
      </c>
      <c r="I1866" s="3" t="s">
        <v>8321</v>
      </c>
      <c r="J1866" s="4">
        <v>18.42</v>
      </c>
      <c r="K1866" s="4">
        <v>40.0</v>
      </c>
      <c r="L1866" s="3" t="s">
        <v>8322</v>
      </c>
      <c r="M1866" s="3" t="s">
        <v>8323</v>
      </c>
      <c r="N1866" s="7" t="str">
        <f>IFERROR(__xludf.DUMMYFUNCTION("GOOGLETRANSLATE(L1866, ""en"", ""pt"")"),"Trabalhadores de paisagismo e manutenção de jardins")</f>
        <v>Trabalhadores de paisagismo e manutenção de jardins</v>
      </c>
      <c r="O1866" s="7" t="str">
        <f>IFERROR(__xludf.DUMMYFUNCTION("IF(M1866="""","""",GOOGLETRANSLATE(M1866,""en"",""pt""))"),"Realizar a manutenção ou jardinagem de propriedades utilizando ferramentas manuais ou elétricas. Os trabalhadores geralmente executam uma variedade de tarefas manuais, como colocação de grama, corte de grama, poda, plantio, rega, escavação, rastelagem, in"&amp;"stalação e reparo de sistemas de irrigação. Podem operar ferramentas elétricas e equipamentos de jardinagem, como cortadores de grama manuais, porém a maior parte do trabalho é realizada com ferramentas manuais, como pás, ancinhos e tesouras de poda. Todo"&amp;" o trabalho é realizado ao ar livre, em todos os tipos de condições climáticas. Os trabalhadores podem ser solicitados a se submeter a testes aleatórios de drogas e álcool, sem custo para o trabalhador. A recusa em cumprir a solicitação ou um resultado po"&amp;"sitivo no teste pode resultar em demissão imediata. Um resultado negativo pode ser exigido após a contratação e antes do início do trabalho. Deve ser capaz de levantar e carregar 34 kg (75 lbs). Deve ser capaz de levantar 34 kg (75 lbs) até a altura dos o"&amp;"mbros. Requer-se um mínimo de 3 meses de experiência comprovada como Trabalhador de Paisagismo e Manutenção de Áreas Verdes I. Classificação da Função: 37-3011.00 - Trabalhadores de Paisagismo e Manutenção de Áreas Verdes. A classificação e descrição da f"&amp;"unção/setor incluem informações gerais sobre o cargo, de acordo com o ONET/OES e o Sistema de Classificação Industrial da América do Norte (NAICS). Consulte as Funções e a Ordem de Serviço para obter mais informações. Requisitos da Função Experiência Nece"&amp;"ssária: Sim Meses de Experiência Necessários: 3 Requisitos Especiais: TODO O TRABALHO É REALIZADO AO AR LIVRE, EM TODOS OS TIPOS DE CONDIÇÕES CLIMÁTICAS. OS TRABALHADORES PODEM SER SOLICITADOS A SE SUBMETER A TESTES ALEATÓRIOS DE DROGAS E ÁLCOOL, SEM CUST"&amp;"O PARA O TRABALHADOR. A RECUSA EM CUMPRIR A SOLICITAÇÃO OU UM RESULTADO POSITIVO PODE RESULTAR EM DEMISSÃO IMEDIATA. UM RESULTADO NEGATIVO PODE SER EXIGIDO APÓS A CONTRATAÇÃO E ANTES DO INÍCIO DO TRABALHO. DEVE SER CAPAZ DE LEVANTAR E CARREGAR 34 KG. DEVE"&amp;" SER CAPAZ DE LEVANTAR 34 KG ATÉ A ALTURA DOS OMBROS. REQUER NO MÍNIMO 3 MESES DE EXPERIÊNCIA COMPROVADA COMO TRABALHADOR DE PAISAGISMO E MANUTENÇÃO DE ÁREAS VERDES. I. Número de horas por semana: 42. Horário de trabalho (início/término): 8h às 16h.")</f>
        <v>Realizar a manutenção ou jardinagem de propriedades utilizando ferramentas manuais ou elétricas. Os trabalhadores geralmente executam uma variedade de tarefas manuais, como colocação de grama, corte de grama, poda, plantio, rega, escavação, rastelagem, instalação e reparo de sistemas de irrigação. Podem operar ferramentas elétricas e equipamentos de jardinagem, como cortadores de grama manuais, porém a maior parte do trabalho é realizada com ferramentas manuais, como pás, ancinhos e tesouras de poda. Todo o trabalho é realizado ao ar livre, em todos os tipos de condições climáticas. Os trabalhadores podem ser solicitados a se submeter a testes aleatórios de drogas e álcool, sem custo para o trabalhador. A recusa em cumprir a solicitação ou um resultado positivo no teste pode resultar em demissão imediata. Um resultado negativo pode ser exigido após a contratação e antes do início do trabalho. Deve ser capaz de levantar e carregar 34 kg (75 lbs). Deve ser capaz de levantar 34 kg (75 lbs) até a altura dos ombros. Requer-se um mínimo de 3 meses de experiência comprovada como Trabalhador de Paisagismo e Manutenção de Áreas Verdes I. Classificação da Função: 37-3011.00 - Trabalhadores de Paisagismo e Manutenção de Áreas Verdes. A classificação e descrição da função/setor incluem informações gerais sobre o cargo, de acordo com o ONET/OES e o Sistema de Classificação Industrial da América do Norte (NAICS). Consulte as Funções e a Ordem de Serviço para obter mais informações. Requisitos da Função Experiência Necessária: Sim Meses de Experiência Necessários: 3 Requisitos Especiais: TODO O TRABALHO É REALIZADO AO AR LIVRE, EM TODOS OS TIPOS DE CONDIÇÕES CLIMÁTICAS. OS TRABALHADORES PODEM SER SOLICITADOS A SE SUBMETER A TESTES ALEATÓRIOS DE DROGAS E ÁLCOOL, SEM CUSTO PARA O TRABALHADOR. A RECUSA EM CUMPRIR A SOLICITAÇÃO OU UM RESULTADO POSITIVO PODE RESULTAR EM DEMISSÃO IMEDIATA. UM RESULTADO NEGATIVO PODE SER EXIGIDO APÓS A CONTRATAÇÃO E ANTES DO INÍCIO DO TRABALHO. DEVE SER CAPAZ DE LEVANTAR E CARREGAR 34 KG. DEVE SER CAPAZ DE LEVANTAR 34 KG ATÉ A ALTURA DOS OMBROS. REQUER NO MÍNIMO 3 MESES DE EXPERIÊNCIA COMPROVADA COMO TRABALHADOR DE PAISAGISMO E MANUTENÇÃO DE ÁREAS VERDES. I. Número de horas por semana: 42. Horário de trabalho (início/término): 8h às 16h.</v>
      </c>
    </row>
    <row r="1867" ht="20.25" customHeight="1">
      <c r="A1867" s="8" t="s">
        <v>8325</v>
      </c>
      <c r="B1867" s="8" t="s">
        <v>8326</v>
      </c>
      <c r="C1867" s="8" t="s">
        <v>8313</v>
      </c>
      <c r="D1867" s="8" t="s">
        <v>71</v>
      </c>
      <c r="E1867" s="9" t="s">
        <v>44</v>
      </c>
      <c r="F1867" s="9" t="s">
        <v>20</v>
      </c>
      <c r="G1867" s="9" t="s">
        <v>345</v>
      </c>
      <c r="H1867" s="8" t="s">
        <v>8314</v>
      </c>
      <c r="I1867" s="8" t="s">
        <v>8315</v>
      </c>
      <c r="J1867" s="9">
        <v>18.6</v>
      </c>
      <c r="K1867" s="9">
        <v>6.0</v>
      </c>
      <c r="L1867" s="8" t="s">
        <v>1684</v>
      </c>
      <c r="M1867" s="8" t="s">
        <v>8327</v>
      </c>
      <c r="N1867" s="7" t="str">
        <f>IFERROR(__xludf.DUMMYFUNCTION("GOOGLETRANSLATE(L1867, ""en"", ""pt"")"),"Barman")</f>
        <v>Barman</v>
      </c>
      <c r="O1867" s="7" t="str">
        <f>IFERROR(__xludf.DUMMYFUNCTION("IF(M1867="""","""",GOOGLETRANSLATE(M1867,""en"",""pt""))"),"O Grassy Key Resort Group, LLC (nome fantasia: Grassy Flats Resort &amp; Beach Club) busca Bartenders para preparar e servir bebidas alcoólicas e não alcoólicas aos hóspedes do resort em um ambiente de hospitalidade dinâmico. As funções incluem anotar pedidos"&amp;" de bebidas; servir bebidas aos clientes; receber o pagamento pelas bebidas servidas; conferir o caixa; verificar a identidade do cliente para comprovar a idade legal para a compra e o consumo de bebidas alcoólicas; limpar copos, utensílios, equipamentos "&amp;"de bar, balcões, áreas de trabalho e mesas; abastecer e repor os suprimentos e o estoque do bar; manter a limpeza e a organização das áreas de serviço; e responder prontamente às solicitações e preocupações dos hóspedes. Classificação da vaga: 35-3011.00 "&amp;"- Bartenders. A classificação e a descrição da vaga/setor incluem informações gerais sobre o cargo, de acordo com o ONET/OES e o Sistema de Classificação Industrial da América do Norte. Consulte as Funções e a Ordem de Serviço para obter mais informações."&amp;" Requisitos da vaga: Experiência necessária: Não. Número de horas por semana: 40. Horário de trabalho (início/término): 14h. - 22:00")</f>
        <v>O Grassy Key Resort Group, LLC (nome fantasia: Grassy Flats Resort &amp; Beach Club) busca Bartenders para preparar e servir bebidas alcoólicas e não alcoólicas aos hóspedes do resort em um ambiente de hospitalidade dinâmico. As funções incluem anotar pedidos de bebidas; servir bebidas aos clientes; receber o pagamento pelas bebidas servidas; conferir o caixa; verificar a identidade do cliente para comprovar a idade legal para a compra e o consumo de bebidas alcoólicas; limpar copos, utensílios, equipamentos de bar, balcões, áreas de trabalho e mesas; abastecer e repor os suprimentos e o estoque do bar; manter a limpeza e a organização das áreas de serviço; e responder prontamente às solicitações e preocupações dos hóspedes. Classificação da vaga: 35-3011.00 - Bartenders. A classificação e a descrição da vaga/setor incluem informações gerais sobre o cargo, de acordo com o ONET/OES e o Sistema de Classificação Industrial da América do Norte. Consulte as Funções e a Ordem de Serviço para obter mais informações. Requisitos da vaga: Experiência necessária: Não. Número de horas por semana: 40. Horário de trabalho (início/término): 14h. - 22:00</v>
      </c>
    </row>
    <row r="1868" ht="20.25" customHeight="1">
      <c r="A1868" s="3" t="s">
        <v>8328</v>
      </c>
      <c r="B1868" s="3" t="s">
        <v>8329</v>
      </c>
      <c r="C1868" s="3" t="s">
        <v>6228</v>
      </c>
      <c r="D1868" s="3" t="s">
        <v>64</v>
      </c>
      <c r="E1868" s="4" t="s">
        <v>19</v>
      </c>
      <c r="F1868" s="4" t="s">
        <v>20</v>
      </c>
      <c r="G1868" s="4" t="s">
        <v>65</v>
      </c>
      <c r="H1868" s="3" t="s">
        <v>8330</v>
      </c>
      <c r="I1868" s="3" t="s">
        <v>8331</v>
      </c>
      <c r="J1868" s="4">
        <v>20.0</v>
      </c>
      <c r="K1868" s="4">
        <v>6.0</v>
      </c>
      <c r="L1868" s="3" t="s">
        <v>8332</v>
      </c>
      <c r="M1868" s="3" t="s">
        <v>8333</v>
      </c>
      <c r="N1868" s="7" t="str">
        <f>IFERROR(__xludf.DUMMYFUNCTION("GOOGLETRANSLATE(L1868, ""en"", ""pt"")"),"Auxiliar de Assentador de Tubulações")</f>
        <v>Auxiliar de Assentador de Tubulações</v>
      </c>
      <c r="O1868" s="7" t="str">
        <f>IFERROR(__xludf.DUMMYFUNCTION("IF(M1868="""","""",GOOGLETRANSLATE(M1868,""en"",""pt""))"),"Como ajudante de encanador, o trabalhador auxiliará o encarregado na instalação de tubulações de esgoto, água ou drenagem pluvial, utilizando pequenas ferramentas manuais como martelos, tesouras, cortadores e dobradores, etc. Cavará valas ou trincheiras p"&amp;"ara a instalação de tubos usando picaretas, pás e enxadas. Realizará escavações manuais, corte e colagem de tubos, cobertura de tubulações de água, limpeza de equipamentos e ferramentas como pás e enxadas. Limpará ou preparará os canteiros de obras para e"&amp;"liminar possíveis riscos. Realizará a manutenção do gramado, podando e aparando árvores, arbustos e/ou sebes. Planejará o plantio de árvores, folhagens e arbustos. Manterá a aparência do gramado, cortando e aparando as bordas. Cuidará de árvores e arbusto"&amp;"s e manterá os canteiros de flores. Será responsável por atividades de paisagismo, incluindo a instalação de canteiros de flores e a preparação de áreas existentes com folhagens e materiais de paisagismo. Os trabalhadores também realizarão tarefas de prep"&amp;"aração para o inverno, como a poda de plantas, a fim de preparar adequadamente o gramado ou a paisagem para o clima de inverno e o novo crescimento na primavera. Manutenção de sistemas de irrigação, incluindo a preparação dos sistemas para o inverno antes"&amp;" da queda das temperaturas. Classificação da vaga: 47-3015.00 - Ajudantes - Encanadores, Instaladores de Tubulações, Montadores de Tubulações e Instaladores de Sistemas de Vapor. A classificação e descrição da vaga/setor incluem informações gerais sobre o"&amp;" cargo, de acordo com o ONET/OES e o Sistema de Classificação Industrial da América do Norte (NAICS). Consulte as Funções e a Ordem de Serviço para obter mais informações. Requisitos da vaga: Experiência exigida: Não. Requisitos especiais: Os trabalhadore"&amp;"s devem ser capazes de trabalhar em condições climáticas externas, levantar e carregar até 23 kg e saber usar ferramentas de jardinagem, ferramentas manuais e/ou equipamentos de corte de grama, como cortadores de grama, tratores, aparadores elétricos, cor"&amp;"tadores de grama ou serras de poda. Cada candidato (tanto trabalhadores americanos quanto com visto H-2B) deve preencher o formulário de emprego online padrão do empregador como parte do processo de contratação. O formulário é exigido de todos os candidat"&amp;"os e não impõe requisitos adicionais ou diferentes aos trabalhadores americanos. Os trabalhadores serão submetidos a testes de drogas mediante suspeita razoável, pagos pelo empregador e aplicados igualmente a todos os trabalhadores, sejam eles americanos "&amp;"ou estrangeiros/com visto H-2B. Os trabalhadores também serão submetidos a verificação de antecedentes criminais, paga pelo empregador e aplicada igualmente a todos os trabalhadores, sejam eles americanos ou estrangeiros/com visto H-2B. Número de horas po"&amp;"r semana: 40. Horário de trabalho (início/término): 7h às 17h.")</f>
        <v>Como ajudante de encanador, o trabalhador auxiliará o encarregado na instalação de tubulações de esgoto, água ou drenagem pluvial, utilizando pequenas ferramentas manuais como martelos, tesouras, cortadores e dobradores, etc. Cavará valas ou trincheiras para a instalação de tubos usando picaretas, pás e enxadas. Realizará escavações manuais, corte e colagem de tubos, cobertura de tubulações de água, limpeza de equipamentos e ferramentas como pás e enxadas. Limpará ou preparará os canteiros de obras para eliminar possíveis riscos. Realizará a manutenção do gramado, podando e aparando árvores, arbustos e/ou sebes. Planejará o plantio de árvores, folhagens e arbustos. Manterá a aparência do gramado, cortando e aparando as bordas. Cuidará de árvores e arbustos e manterá os canteiros de flores. Será responsável por atividades de paisagismo, incluindo a instalação de canteiros de flores e a preparação de áreas existentes com folhagens e materiais de paisagismo. Os trabalhadores também realizarão tarefas de preparação para o inverno, como a poda de plantas, a fim de preparar adequadamente o gramado ou a paisagem para o clima de inverno e o novo crescimento na primavera. Manutenção de sistemas de irrigação, incluindo a preparação dos sistemas para o inverno antes da queda das temperaturas. Classificação da vaga: 47-3015.00 - Ajudantes - Encanadores, Instaladores de Tubulações, Montadores de Tubulações e Instaladores de Sistemas de Vapor. A classificação e descrição da vaga/setor incluem informações gerais sobre o cargo, de acordo com o ONET/OES e o Sistema de Classificação Industrial da América do Norte (NAICS). Consulte as Funções e a Ordem de Serviço para obter mais informações. Requisitos da vaga: Experiência exigida: Não. Requisitos especiais: Os trabalhadores devem ser capazes de trabalhar em condições climáticas externas, levantar e carregar até 23 kg e saber usar ferramentas de jardinagem, ferramentas manuais e/ou equipamentos de corte de grama, como cortadores de grama, tratores, aparadores elétricos, cortadores de grama ou serras de poda. Cada candidato (tanto trabalhadores americanos quanto com visto H-2B) deve preencher o formulário de emprego online padrão do empregador como parte do processo de contratação. O formulário é exigido de todos os candidatos e não impõe requisitos adicionais ou diferentes aos trabalhadores americanos. Os trabalhadores serão submetidos a testes de drogas mediante suspeita razoável, pagos pelo empregador e aplicados igualmente a todos os trabalhadores, sejam eles americanos ou estrangeiros/com visto H-2B. Os trabalhadores também serão submetidos a verificação de antecedentes criminais, paga pelo empregador e aplicada igualmente a todos os trabalhadores, sejam eles americanos ou estrangeiros/com visto H-2B. Número de horas por semana: 40. Horário de trabalho (início/término): 7h às 17h.</v>
      </c>
    </row>
    <row r="1869" ht="20.25" customHeight="1">
      <c r="A1869" s="8" t="s">
        <v>8334</v>
      </c>
      <c r="B1869" s="8" t="s">
        <v>8335</v>
      </c>
      <c r="C1869" s="8" t="s">
        <v>8336</v>
      </c>
      <c r="D1869" s="8" t="s">
        <v>28</v>
      </c>
      <c r="E1869" s="9" t="s">
        <v>19</v>
      </c>
      <c r="F1869" s="9" t="s">
        <v>20</v>
      </c>
      <c r="G1869" s="9" t="s">
        <v>29</v>
      </c>
      <c r="H1869" s="8" t="s">
        <v>8337</v>
      </c>
      <c r="I1869" s="8" t="s">
        <v>8338</v>
      </c>
      <c r="J1869" s="9">
        <v>36.59</v>
      </c>
      <c r="K1869" s="9">
        <v>5.0</v>
      </c>
      <c r="L1869" s="8" t="s">
        <v>8339</v>
      </c>
      <c r="M1869" s="8" t="s">
        <v>8340</v>
      </c>
      <c r="N1869" s="7" t="str">
        <f>IFERROR(__xludf.DUMMYFUNCTION("GOOGLETRANSLATE(L1869, ""en"", ""pt"")"),"Marinheiro de convés para pesca de atum em barco de pesca comercial de linha longa.")</f>
        <v>Marinheiro de convés para pesca de atum em barco de pesca comercial de linha longa.</v>
      </c>
      <c r="O1869" s="7" t="str">
        <f>IFERROR(__xludf.DUMMYFUNCTION("IF(M1869="""","""",GOOGLETRANSLATE(M1869,""en"",""pt""))"),"Vaga temporária de tempo integral para marinheiro de convés em barco de pesca comercial de linha longa, de 01/10/2026 a 01/07/2027. O trabalho será realizado em alto mar, por até 10 dias a bordo de embarcações de pesca comercial, em toda a Zona Econômica "&amp;"Exclusiva do Golfo do México, dependendo da quantidade de captura e/ou expansão das áreas de pesca. As funções incluem carregar suprimentos, iscas e equipamentos de pesca, montar e reparar equipamentos, armar e recolher linhas longas, limpar e eviscerar p"&amp;"eixes, pescar no gelo e organizar o porão do barco. Também inclui vigiar o leme, cortar iscas e anzóis, limpar e lavar o convés, descarregar a pesca no cais e auxiliar o capitão quando necessário. O horário de trabalho normal é das 18h às 6h. As condições"&amp;" de trabalho podem incluir calor e/ou frio excessivos, dias chuvosos e clima frio no convés, espaços confinados, privação de sono e fadiga. Os trabalhadores devem carregar e levantar repetidamente uma média de 34 kg de pescado para dentro e para fora do p"&amp;"orão do barco, além de serem habilidosos com linhas de pesca de palangre e redes de arrasto. O empregador fornecerá equipamentos de segurança, ferramentas, suprimentos e equipamentos necessários para o desempenho das funções atribuídas. Alimentação e aloj"&amp;"amento são fornecidos gratuitamente aos trabalhadores enquanto estiverem no mar. Os trabalhadores vivem e dormem no barco durante as operações de pesca. Os trabalhadores têm a liberdade de optar por sair e procurar opções de alimentação e alojamento de su"&amp;"a escolha entre as viagens. Classificação da função: 45-3031.00 - Trabalhadores de Pesca e Caça. A classificação e descrição da função/setor inclui informações gerais sobre o cargo, de acordo com o ONET/OES e o Sistema de Classificação Industrial da Améri"&amp;"ca do Norte. Consulte as Funções e a Ordem de Serviço para obter mais informações. Requisitos da função: Experiência necessária: Sim. Meses de experiência necessários: 1. Requisitos especiais: O marinheiro carregará suprimentos, equipamentos de pesca, isc"&amp;"as e anzóis, montará e reparará conjuntos de equipamentos e puxará a linha de pesca de palangre. Limpar e eviscerar peixes, pescar no gelo em barcos, vigiar o leme, cortar iscas e anzóis, limpar e esfregar o convés, descarregar a pesca no cais e auxiliar "&amp;"o capitão conforme necessário. Número de horas por semana: 40. Horário de trabalho (início/término): 18h00 - 6h00.")</f>
        <v>Vaga temporária de tempo integral para marinheiro de convés em barco de pesca comercial de linha longa, de 01/10/2026 a 01/07/2027. O trabalho será realizado em alto mar, por até 10 dias a bordo de embarcações de pesca comercial, em toda a Zona Econômica Exclusiva do Golfo do México, dependendo da quantidade de captura e/ou expansão das áreas de pesca. As funções incluem carregar suprimentos, iscas e equipamentos de pesca, montar e reparar equipamentos, armar e recolher linhas longas, limpar e eviscerar peixes, pescar no gelo e organizar o porão do barco. Também inclui vigiar o leme, cortar iscas e anzóis, limpar e lavar o convés, descarregar a pesca no cais e auxiliar o capitão quando necessário. O horário de trabalho normal é das 18h às 6h. As condições de trabalho podem incluir calor e/ou frio excessivos, dias chuvosos e clima frio no convés, espaços confinados, privação de sono e fadiga. Os trabalhadores devem carregar e levantar repetidamente uma média de 34 kg de pescado para dentro e para fora do porão do barco, além de serem habilidosos com linhas de pesca de palangre e redes de arrasto. O empregador fornecerá equipamentos de segurança, ferramentas, suprimentos e equipamentos necessários para o desempenho das funções atribuídas. Alimentação e alojamento são fornecidos gratuitamente aos trabalhadores enquanto estiverem no mar. Os trabalhadores vivem e dormem no barco durante as operações de pesca. Os trabalhadores têm a liberdade de optar por sair e procurar opções de alimentação e alojamento de sua escolha entre as viagens. Classificação da função: 45-3031.00 - Trabalhadores de Pesca e Caça. A classificação e descrição da função/setor inclui informações gerais sobre o cargo, de acordo com o ONET/OES e o Sistema de Classificação Industrial da América do Norte. Consulte as Funções e a Ordem de Serviço para obter mais informações. Requisitos da função: Experiência necessária: Sim. Meses de experiência necessários: 1. Requisitos especiais: O marinheiro carregará suprimentos, equipamentos de pesca, iscas e anzóis, montará e reparará conjuntos de equipamentos e puxará a linha de pesca de palangre. Limpar e eviscerar peixes, pescar no gelo em barcos, vigiar o leme, cortar iscas e anzóis, limpar e esfregar o convés, descarregar a pesca no cais e auxiliar o capitão conforme necessário. Número de horas por semana: 40. Horário de trabalho (início/término): 18h00 - 6h00.</v>
      </c>
    </row>
    <row r="1870" ht="20.25" customHeight="1">
      <c r="A1870" s="3" t="s">
        <v>8341</v>
      </c>
      <c r="B1870" s="3" t="s">
        <v>7483</v>
      </c>
      <c r="C1870" s="3"/>
      <c r="D1870" s="3" t="s">
        <v>71</v>
      </c>
      <c r="E1870" s="4" t="s">
        <v>44</v>
      </c>
      <c r="F1870" s="4" t="s">
        <v>20</v>
      </c>
      <c r="G1870" s="4" t="s">
        <v>2339</v>
      </c>
      <c r="H1870" s="3" t="s">
        <v>7484</v>
      </c>
      <c r="I1870" s="3" t="s">
        <v>7485</v>
      </c>
      <c r="J1870" s="4">
        <v>21.45</v>
      </c>
      <c r="K1870" s="4">
        <v>36.0</v>
      </c>
      <c r="L1870" s="3" t="s">
        <v>3409</v>
      </c>
      <c r="M1870" s="3" t="s">
        <v>8342</v>
      </c>
      <c r="N1870" s="7" t="str">
        <f>IFERROR(__xludf.DUMMYFUNCTION("GOOGLETRANSLATE(L1870, ""en"", ""pt"")"),"Manutenção")</f>
        <v>Manutenção</v>
      </c>
      <c r="O1870" s="7" t="str">
        <f>IFERROR(__xludf.DUMMYFUNCTION("IF(M1870="""","""",GOOGLETRANSLATE(M1870,""en"",""pt""))"),"***2ª resposta à RFI*** As tarefas serão baseadas nas instruções do supervisor de manutenção, que identificará problemas por meio de inspeções em todos os quartos e áreas comuns do resort. A equipe de manutenção (H2B) realizará os reparos necessários, com"&amp;"o: substituição de móveis (manutenção), incluindo a troca (reparo) de mesas e camas, utilizando ferramentas simples como chaves de fenda, ferramentas elétricas e outras ferramentas manuais para a instalação de parafusos e porcas. Também serão realizados r"&amp;"eparos e substituições de peças hidráulicas, utilizando ferramentas simples como chaves de fenda e ferramentas elétricas manuais para a instalação de parafusos e porcas. As tarefas de encanamento incluem desentupir pequenos canos em vasos sanitários, pias"&amp;" e chuveiros dos quartos, utilizando desentupidores manuais ou sondas. A substituição de arruelas de torneiras, chuveiros e válvulas de descarga defeituosas também será realizada. Os funcionários da manutenção identificarão e apertarão juntas de canos sol"&amp;"tas. Além disso, serão feitos pequenos trabalhos de pintura em áreas do hotel, utilizando pincéis e esponjas para aplicar tinta. Isso inclui identificar, a partir das instruções, manchas, arranhões ou amassados ​​em paredes de gesso, raspar tinta velha co"&amp;"m raspadores e limpar as paredes para prepará-las para a nova pintura. Também inclui a aplicação de tinta nova usando pincéis, rolos ou pulverizadores. A equipe de manutenção (H2B) aproveitará a baixa temporada para substituir e reparar todos os itens que"&amp;"brados simples ou realizar melhorias em áreas que necessitem de manutenção, conforme avaliação do técnico de manutenção supervisor. ***1ª resposta à RFI*** A equipe de manutenção (H2B) dará continuidade aos reparos, por exemplo: substituição (manutenção) "&amp;"de móveis, como a substituição (revisão) de mesas e camas de quarto, utilizando ferramentas simples como chaves de fenda, ferramentas elétricas e outras ferramentas de manutenção para a instalação de parafusos e porcas em móveis de hotel; substituição e r"&amp;"eparos hidráulicos utilizando ferramentas simples de manutenção, incluindo chaves de fenda e ferramentas elétricas portáteis para parafusos e porcas em instalações hidráulicas de hotel; além de pequenos trabalhos de pintura em áreas do hotel, utilizando p"&amp;"incéis e esponjas para aplicar a tinta. ***Original*** As funções serão baseadas nas instruções do supervisor de Técnicos de Manutenção, que identificará problemas por meio de inspeções em todos os quartos de hóspedes e áreas comuns das propriedades do re"&amp;"sort. A equipe de manutenção (H2B) realizará os reparos necessários, como: substituição de móveis, pequenos reparos hidráulicos e pequenos trabalhos de pintura. A equipe de manutenção (H2B) aproveitará a baixa temporada para substituir e reparar todos os "&amp;"itens quebrados simples ou cuidar de áreas que necessitem de revitalização e manutenção, conforme avaliação do supervisor de Técnicos de Manutenção. Classificação da Função: 49-9071.00 - Trabalhadores de Manutenção e Reparos, Geral. A classificação e desc"&amp;"rição da função/setor inclui informações gerais sobre o cargo, de acordo com o ONET/OES e o Sistema de Classificação Industrial da América do Norte. Consulte as Funções e a Ordem de Serviço para obter mais informações. Requisitos da Função Experiência Nec"&amp;"essária: Sim Meses de Experiência Necessária: 6 Requisitos Especiais: Cada candidato deve ter pelo menos 6 meses de experiência como trabalhador de manutenção ou em funções similares de faz-tudo. Número de Horas por Semana: 37 Horário de Trabalho (Início/"&amp;"Término): 8h30 - 16h30")</f>
        <v>***2ª resposta à RFI*** As tarefas serão baseadas nas instruções do supervisor de manutenção, que identificará problemas por meio de inspeções em todos os quartos e áreas comuns do resort. A equipe de manutenção (H2B) realizará os reparos necessários, como: substituição de móveis (manutenção), incluindo a troca (reparo) de mesas e camas, utilizando ferramentas simples como chaves de fenda, ferramentas elétricas e outras ferramentas manuais para a instalação de parafusos e porcas. Também serão realizados reparos e substituições de peças hidráulicas, utilizando ferramentas simples como chaves de fenda e ferramentas elétricas manuais para a instalação de parafusos e porcas. As tarefas de encanamento incluem desentupir pequenos canos em vasos sanitários, pias e chuveiros dos quartos, utilizando desentupidores manuais ou sondas. A substituição de arruelas de torneiras, chuveiros e válvulas de descarga defeituosas também será realizada. Os funcionários da manutenção identificarão e apertarão juntas de canos soltas. Além disso, serão feitos pequenos trabalhos de pintura em áreas do hotel, utilizando pincéis e esponjas para aplicar tinta. Isso inclui identificar, a partir das instruções, manchas, arranhões ou amassados ​​em paredes de gesso, raspar tinta velha com raspadores e limpar as paredes para prepará-las para a nova pintura. Também inclui a aplicação de tinta nova usando pincéis, rolos ou pulverizadores. A equipe de manutenção (H2B) aproveitará a baixa temporada para substituir e reparar todos os itens quebrados simples ou realizar melhorias em áreas que necessitem de manutenção, conforme avaliação do técnico de manutenção supervisor. ***1ª resposta à RFI*** A equipe de manutenção (H2B) dará continuidade aos reparos, por exemplo: substituição (manutenção) de móveis, como a substituição (revisão) de mesas e camas de quarto, utilizando ferramentas simples como chaves de fenda, ferramentas elétricas e outras ferramentas de manutenção para a instalação de parafusos e porcas em móveis de hotel; substituição e reparos hidráulicos utilizando ferramentas simples de manutenção, incluindo chaves de fenda e ferramentas elétricas portáteis para parafusos e porcas em instalações hidráulicas de hotel; além de pequenos trabalhos de pintura em áreas do hotel, utilizando pincéis e esponjas para aplicar a tinta. ***Original*** As funções serão baseadas nas instruções do supervisor de Técnicos de Manutenção, que identificará problemas por meio de inspeções em todos os quartos de hóspedes e áreas comuns das propriedades do resort. A equipe de manutenção (H2B) realizará os reparos necessários, como: substituição de móveis, pequenos reparos hidráulicos e pequenos trabalhos de pintura. A equipe de manutenção (H2B) aproveitará a baixa temporada para substituir e reparar todos os itens quebrados simples ou cuidar de áreas que necessitem de revitalização e manutenção, conforme avaliação do supervisor de Técnicos de Manutenção. Classificação da Função: 49-9071.00 - Trabalhadores de Manutenção e Reparos, Geral. A classificação e descrição da função/setor inclui informações gerais sobre o cargo, de acordo com o ONET/OES e o Sistema de Classificação Industrial da América do Norte. Consulte as Funções e a Ordem de Serviço para obter mais informações. Requisitos da Função Experiência Necessária: Sim Meses de Experiência Necessária: 6 Requisitos Especiais: Cada candidato deve ter pelo menos 6 meses de experiência como trabalhador de manutenção ou em funções similares de faz-tudo. Número de Horas por Semana: 37 Horário de Trabalho (Início/Término): 8h30 - 16h30</v>
      </c>
    </row>
    <row r="1871" ht="20.25" customHeight="1">
      <c r="A1871" s="8" t="s">
        <v>8343</v>
      </c>
      <c r="B1871" s="8" t="s">
        <v>8344</v>
      </c>
      <c r="C1871" s="8" t="s">
        <v>4247</v>
      </c>
      <c r="D1871" s="8" t="s">
        <v>249</v>
      </c>
      <c r="E1871" s="9" t="s">
        <v>44</v>
      </c>
      <c r="F1871" s="9" t="s">
        <v>20</v>
      </c>
      <c r="G1871" s="9" t="s">
        <v>118</v>
      </c>
      <c r="H1871" s="8" t="s">
        <v>8345</v>
      </c>
      <c r="I1871" s="8" t="s">
        <v>8346</v>
      </c>
      <c r="J1871" s="9">
        <v>23.85</v>
      </c>
      <c r="K1871" s="9">
        <v>12.0</v>
      </c>
      <c r="L1871" s="8" t="s">
        <v>4250</v>
      </c>
      <c r="M1871" s="8" t="s">
        <v>8347</v>
      </c>
      <c r="N1871" s="7" t="str">
        <f>IFERROR(__xludf.DUMMYFUNCTION("GOOGLETRANSLATE(L1871, ""en"", ""pt"")"),"49-9098: Ajudantes — Trabalhos de instalação, manutenção e reparo")</f>
        <v>49-9098: Ajudantes — Trabalhos de instalação, manutenção e reparo</v>
      </c>
      <c r="O1871" s="7" t="str">
        <f>IFERROR(__xludf.DUMMYFUNCTION("IF(M1871="""","""",GOOGLETRANSLATE(M1871,""en"",""pt""))"),"***2ª resposta à RFI*** Tarefas executadas em veículos: Limpeza. Ferramentas utilizadas: Pode-se usar vassoura, pano e sabão. Tarefas executadas em máquinas industriais. Para esclarecer, as máquinas industriais incluem brinquedos de parques de diversões, "&amp;"trailers de venda de alimentos e equipamentos relacionados. Substituição de peças defeituosas ou desgastadas, como lâmpadas, interruptores, correias e mangueiras. Lixar, raspar e limpar superfícies e estruturas para manter a aparência e evitar ferrugem ou"&amp;" deterioração. Ferramentas utilizadas: Pode-se usar as seguintes ferramentas, equipamentos e materiais ao executar as tarefas atribuídas: Chaves de boca, jogos de soquetes e catracas, chaves de fenda, alicates, martelos, alavancas, trena, chaves ajustávei"&amp;"s, lixa, lápis e luvas. Serão utilizadas escadas, aspiradores de pó e equipamentos e suprimentos de limpeza, como esponjas, panos e sabão. Tarefas executadas em equipamentos elétricos e eletrônicos. Para esclarecer, os equipamentos elétricos e eletrônicos"&amp;" nos quais será trabalhado incluem os sistemas de som e as caixas de controle presentes nos brinquedos de parques de diversões. As tarefas incluem a limpeza de poeira e detritos que possam ter se acumulado no sistema, a substituição de lâmpadas e a coloca"&amp;"ção de abraçadeiras ou fixadores similares na fiação. Ferramentas: Podem ser utilizadas as seguintes ferramentas, equipamentos e materiais para a execução das tarefas: chaves, conjuntos de soquetes e catracas, chaves de fenda, alicates, martelos, alavanca"&amp;"s, trena, chaves ajustáveis, lixa, latas de ar comprimido, lápis e luvas. Serão utilizadas escadas, aspiradores de pó e equipamentos e materiais de limpeza, como esponjas, panos e sabão. ***1ª resposta à RFI*** Tarefas específicas e ferramentas utilizadas"&amp;" para a execução dessas tarefas: Os trabalhadores auxiliarão na instalação, montagem e desmontagem de brinquedos de parques de diversões, trailers de alimentação e equipamentos relacionados. Substituirão peças defeituosas ou desgastadas, como lâmpadas, in"&amp;"terruptores, correias e mangueiras. Lixarão, rasparão e limparão trailers, superfícies e estruturas metálicas para manter a aparência e evitar ferrugem ou deterioração. Verificarão e substituirão lâmpadas, soquetes, fusíveis e luminárias conforme necessár"&amp;"io. Limparão e manterão as áreas de trabalho. Os trabalhadores podem utilizar as seguintes ferramentas, equipamentos e materiais ao desempenharem suas funções: chaves, conjuntos de soquetes e catracas, chaves de fenda, alicates, martelos, alavancas, trena"&amp;"s e chaves ajustáveis. Utilizarão escadas, aspiradores de pó e equipamentos e materiais de limpeza, como esponjas, panos e sabão. Não serão realizados serviços em veículos, máquinas industriais ou equipamentos elétricos e eletrônicos, apenas em brinquedos"&amp;" de parques de diversões, trailers de alimentação e equipamentos relacionados. Não serão realizados trabalhos em motores a diesel. ***Original*** Auxiliar os trabalhadores de instalação, manutenção e reparo na manutenção, substituição de peças e reparo de"&amp;" veículos, máquinas industriais e equipamentos elétricos e eletrônicos. Executar tarefas como fornecer ferramentas, materiais e suprimentos a outros trabalhadores; limpar a área de trabalho, máquinas e ferramentas; e segurar materiais ou ferramentas para "&amp;"outros trabalhadores. Classificação da função: 49-9071.00 - Trabalhadores de Manutenção e Reparo, Geral. A classificação e descrição da função/indústria inclui informações gerais sobre o cargo, de acordo com o ONET/OES e o Sistema de Classificação Industr"&amp;"ial da América do Norte. Consulte as Funções e a Ordem de Serviço para obter mais informações. Requisitos da vaga Experiência necessária: Não Requisitos especiais: Testes aleatórios de drogas e verificação de antecedentes criminais após a contratação pode"&amp;"rão ser exigidos, sem custo para o trabalhador. A vaga exige que o candidato seja qualificado, esteja pronto, disposto, apto e disponível para desempenhar as funções durante todo o período de emprego no local de trabalho designado; para firmar e cumprir o"&amp;" contrato de trabalho; e para seguir as normas da empresa. Número de horas por semana: 35 Horário de trabalho (início/término): 8h às 16h")</f>
        <v>***2ª resposta à RFI*** Tarefas executadas em veículos: Limpeza. Ferramentas utilizadas: Pode-se usar vassoura, pano e sabão. Tarefas executadas em máquinas industriais. Para esclarecer, as máquinas industriais incluem brinquedos de parques de diversões, trailers de venda de alimentos e equipamentos relacionados. Substituição de peças defeituosas ou desgastadas, como lâmpadas, interruptores, correias e mangueiras. Lixar, raspar e limpar superfícies e estruturas para manter a aparência e evitar ferrugem ou deterioração. Ferramentas utilizadas: Pode-se usar as seguintes ferramentas, equipamentos e materiais ao executar as tarefas atribuídas: Chaves de boca, jogos de soquetes e catracas, chaves de fenda, alicates, martelos, alavancas, trena, chaves ajustáveis, lixa, lápis e luvas. Serão utilizadas escadas, aspiradores de pó e equipamentos e suprimentos de limpeza, como esponjas, panos e sabão. Tarefas executadas em equipamentos elétricos e eletrônicos. Para esclarecer, os equipamentos elétricos e eletrônicos nos quais será trabalhado incluem os sistemas de som e as caixas de controle presentes nos brinquedos de parques de diversões. As tarefas incluem a limpeza de poeira e detritos que possam ter se acumulado no sistema, a substituição de lâmpadas e a colocação de abraçadeiras ou fixadores similares na fiação. Ferramentas: Podem ser utilizadas as seguintes ferramentas, equipamentos e materiais para a execução das tarefas: chaves, conjuntos de soquetes e catracas, chaves de fenda, alicates, martelos, alavancas, trena, chaves ajustáveis, lixa, latas de ar comprimido, lápis e luvas. Serão utilizadas escadas, aspiradores de pó e equipamentos e materiais de limpeza, como esponjas, panos e sabão. ***1ª resposta à RFI*** Tarefas específicas e ferramentas utilizadas para a execução dessas tarefas: Os trabalhadores auxiliarão na instalação, montagem e desmontagem de brinquedos de parques de diversões, trailers de alimentação e equipamentos relacionados. Substituirão peças defeituosas ou desgastadas, como lâmpadas, interruptores, correias e mangueiras. Lixarão, rasparão e limparão trailers, superfícies e estruturas metálicas para manter a aparência e evitar ferrugem ou deterioração. Verificarão e substituirão lâmpadas, soquetes, fusíveis e luminárias conforme necessário. Limparão e manterão as áreas de trabalho. Os trabalhadores podem utilizar as seguintes ferramentas, equipamentos e materiais ao desempenharem suas funções: chaves, conjuntos de soquetes e catracas, chaves de fenda, alicates, martelos, alavancas, trenas e chaves ajustáveis. Utilizarão escadas, aspiradores de pó e equipamentos e materiais de limpeza, como esponjas, panos e sabão. Não serão realizados serviços em veículos, máquinas industriais ou equipamentos elétricos e eletrônicos, apenas em brinquedos de parques de diversões, trailers de alimentação e equipamentos relacionados. Não serão realizados trabalhos em motores a diesel. ***Original*** Auxiliar os trabalhadores de instalação, manutenção e reparo na manutenção, substituição de peças e reparo de veículos, máquinas industriais e equipamentos elétricos e eletrônicos. Executar tarefas como fornecer ferramentas, materiais e suprimentos a outros trabalhadores; limpar a área de trabalho, máquinas e ferramentas; e segurar materiais ou ferramentas para outros trabalhadores. Classificação da função: 49-9071.00 - Trabalhadores de Manutenção e Reparo, Geral. A classificação e descrição da função/indústria inclui informações gerais sobre o cargo, de acordo com o ONET/OES e o Sistema de Classificação Industrial da América do Norte. Consulte as Funções e a Ordem de Serviço para obter mais informações. Requisitos da vaga Experiência necessária: Não Requisitos especiais: Testes aleatórios de drogas e verificação de antecedentes criminais após a contratação poderão ser exigidos, sem custo para o trabalhador. A vaga exige que o candidato seja qualificado, esteja pronto, disposto, apto e disponível para desempenhar as funções durante todo o período de emprego no local de trabalho designado; para firmar e cumprir o contrato de trabalho; e para seguir as normas da empresa. Número de horas por semana: 35 Horário de trabalho (início/término): 8h às 16h</v>
      </c>
    </row>
    <row r="1872" ht="20.25" customHeight="1">
      <c r="A1872" s="3" t="s">
        <v>8348</v>
      </c>
      <c r="B1872" s="3" t="s">
        <v>8349</v>
      </c>
      <c r="C1872" s="3" t="s">
        <v>6906</v>
      </c>
      <c r="D1872" s="3" t="s">
        <v>663</v>
      </c>
      <c r="E1872" s="4" t="s">
        <v>44</v>
      </c>
      <c r="F1872" s="4" t="s">
        <v>20</v>
      </c>
      <c r="G1872" s="4" t="s">
        <v>3670</v>
      </c>
      <c r="H1872" s="3" t="s">
        <v>8350</v>
      </c>
      <c r="I1872" s="3" t="s">
        <v>8351</v>
      </c>
      <c r="J1872" s="4">
        <v>29.61</v>
      </c>
      <c r="K1872" s="4">
        <v>7.0</v>
      </c>
      <c r="L1872" s="3" t="s">
        <v>262</v>
      </c>
      <c r="M1872" s="3" t="s">
        <v>8352</v>
      </c>
      <c r="N1872" s="7" t="str">
        <f>IFERROR(__xludf.DUMMYFUNCTION("GOOGLETRANSLATE(L1872, ""en"", ""pt"")"),"Operário da construção civil")</f>
        <v>Operário da construção civil</v>
      </c>
      <c r="O1872" s="7" t="str">
        <f>IFERROR(__xludf.DUMMYFUNCTION("IF(M1872="""","""",GOOGLETRANSLATE(M1872,""en"",""pt""))"),"***Resposta à Solicitação de Informações*** Os trabalhadores realizarão trabalhos braçais e auxiliarão os trabalhadores mais experientes nas seguintes tarefas: (1) criar e escorar formas de concreto de até 76 cm (30"") utilizando madeira nova e reciclada "&amp;"de 5x10 cm (2x4""), 5x15 cm (2x6"") e compensado de 10x20 cm (4x8"") e/ou 10x40 cm (4x16""), utilizando ferramentas motorizadas como pregadores pneumáticos Milwaukee, martelos pneumáticos Husky, compactadores de solo Stark e serras de esquadria DeWalt; (2"&amp;") escavar e abrir valas utilizando uma escavadeira manual C30X Ditch Witch 2022 de 31 HP com peso aproximado de 1000 kg (2200 lbs) e/ou uma minicarregadeira Bobcat 2020 de 66 HP com peso aproximado de 3400 kg (7500 lbs); (3) utilizar ferramentas não motor"&amp;"izadas como pás, ancinhos, martelos, serras e carrinhos de mão para limpar e preparar os locais, remover entulhos e detritos e, se necessário, neve e gelo. ***Original*** ATRIBUIÇÕES: os trabalhadores realizarão tarefas de trabalho braçal e Auxiliar traba"&amp;"lhadores mais experientes na limpeza e preparação de canteiros de obras, remoção de entulho, detritos e outros resíduos, construção de formas de concreto, aterro de escavações de até 76 cm (30 polegadas) e, se necessário, remoção de gelo e neve. Ferrament"&amp;"as utilizadas sob supervisão: pás, ancinhos, martelos, serras, carrinhos de mão e máquinas motorizadas, incluindo tratores de esteira, escavadeiras de valas e minicarregadeiras. Classificação da função: 47-2031.00 - Carpinteiros. A classificação e descriç"&amp;"ão da função/setor inclui informações gerais sobre o cargo, de acordo com o ONET/OES e o Sistema de Classificação Industrial da América do Norte (NAICS). Consulte as Funções e a Ordem de Serviço para obter mais informações. Requisitos da vaga: Experiência"&amp;" necessária: Não. Requisitos especiais: Capacidade de levantar até 34 kg (75 libras) e permanecer em pé ou curvado durante todo ou a maior parte do turno de trabalho. Número de horas por semana: 40. Horário de trabalho (início/término): 7h às 16h30.")</f>
        <v>***Resposta à Solicitação de Informações*** Os trabalhadores realizarão trabalhos braçais e auxiliarão os trabalhadores mais experientes nas seguintes tarefas: (1) criar e escorar formas de concreto de até 76 cm (30") utilizando madeira nova e reciclada de 5x10 cm (2x4"), 5x15 cm (2x6") e compensado de 10x20 cm (4x8") e/ou 10x40 cm (4x16"), utilizando ferramentas motorizadas como pregadores pneumáticos Milwaukee, martelos pneumáticos Husky, compactadores de solo Stark e serras de esquadria DeWalt; (2) escavar e abrir valas utilizando uma escavadeira manual C30X Ditch Witch 2022 de 31 HP com peso aproximado de 1000 kg (2200 lbs) e/ou uma minicarregadeira Bobcat 2020 de 66 HP com peso aproximado de 3400 kg (7500 lbs); (3) utilizar ferramentas não motorizadas como pás, ancinhos, martelos, serras e carrinhos de mão para limpar e preparar os locais, remover entulhos e detritos e, se necessário, neve e gelo. ***Original*** ATRIBUIÇÕES: os trabalhadores realizarão tarefas de trabalho braçal e Auxiliar trabalhadores mais experientes na limpeza e preparação de canteiros de obras, remoção de entulho, detritos e outros resíduos, construção de formas de concreto, aterro de escavações de até 76 cm (30 polegadas) e, se necessário, remoção de gelo e neve. Ferramentas utilizadas sob supervisão: pás, ancinhos, martelos, serras, carrinhos de mão e máquinas motorizadas, incluindo tratores de esteira, escavadeiras de valas e minicarregadeiras. Classificação da função: 47-2031.00 - Carpinteiros. A classificação e descrição da função/setor inclui informações gerais sobre o cargo, de acordo com o ONET/OES e o Sistema de Classificação Industrial da América do Norte (NAICS). Consulte as Funções e a Ordem de Serviço para obter mais informações. Requisitos da vaga: Experiência necessária: Não. Requisitos especiais: Capacidade de levantar até 34 kg (75 libras) e permanecer em pé ou curvado durante todo ou a maior parte do turno de trabalho. Número de horas por semana: 40. Horário de trabalho (início/término): 7h às 16h30.</v>
      </c>
    </row>
    <row r="1873" ht="20.25" customHeight="1">
      <c r="A1873" s="8" t="s">
        <v>8353</v>
      </c>
      <c r="B1873" s="8" t="s">
        <v>7977</v>
      </c>
      <c r="C1873" s="8" t="s">
        <v>6921</v>
      </c>
      <c r="D1873" s="8" t="s">
        <v>71</v>
      </c>
      <c r="E1873" s="9" t="s">
        <v>19</v>
      </c>
      <c r="F1873" s="9" t="s">
        <v>20</v>
      </c>
      <c r="G1873" s="9" t="s">
        <v>80</v>
      </c>
      <c r="H1873" s="8" t="s">
        <v>7978</v>
      </c>
      <c r="I1873" s="8" t="s">
        <v>7979</v>
      </c>
      <c r="J1873" s="9">
        <v>16.09</v>
      </c>
      <c r="K1873" s="9">
        <v>3.0</v>
      </c>
      <c r="L1873" s="8" t="s">
        <v>354</v>
      </c>
      <c r="M1873" s="8" t="s">
        <v>8354</v>
      </c>
      <c r="N1873" s="7" t="str">
        <f>IFERROR(__xludf.DUMMYFUNCTION("GOOGLETRANSLATE(L1873, ""en"", ""pt"")"),"Governanta")</f>
        <v>Governanta</v>
      </c>
      <c r="O1873" s="7" t="str">
        <f>IFERROR(__xludf.DUMMYFUNCTION("IF(M1873="""","""",GOOGLETRANSLATE(M1873,""en"",""pt""))"),"Camareiras/Camareiros responsáveis ​​pela limpeza e manutenção de todos os quartos, suítes e áreas comuns internas das propriedades Cabbage Key e Tarpon Lodge, incluindo alojamentos para funcionários. As funções incluem, entre outras: aspirar pisos, tirar"&amp;" o pó, lavar e repor roupas de cama e toalhas, desinfetar banheiros e lavar janelas. Classificação da vaga: 37-2012.00 - Camareiras/Camareiros. A classificação e descrição da vaga/setor inclui informações gerais sobre o cargo, de acordo com o ONET/OES e o"&amp;" Sistema de Classificação Industrial da América do Norte (NAICS). Consulte a Descrição das Funções e a Ordem de Serviço para obter mais informações. Requisitos da vaga: Experiência necessária: Sim. Meses de experiência necessários: 3. Requisitos especiais"&amp;": Capacidade de falar e ler inglês, levantar e carregar 18 kg e ficar em pé ou caminhando por 8 horas por dia. O candidato deve passar por uma verificação de antecedentes pré-emprego. Treinamento no local de trabalho fornecido. Treinamento oferecido. Dias"&amp;" e turnos: Segunda a domingo; turnos disponíveis 7 dias por semana. Horário de trabalho: das 10h às 18h; das 8h às 16h; das 16h às 00h. Os horários dos turnos podem variar de acordo com a época do ano, a disponibilidade de luz e a necessidade. Salário por"&amp;" hora: de US$ 16,09 a US$ 20,00, com base no mérito e na experiência anterior na empresa. Possibilidade de horas extras: horas extras podem estar disponíveis com pagamento de US$ 24,14 a US$ 30,00 por hora. Bônus ocasionais para eventos em grupo podem ser"&amp;" concedidos, a critério do gerente do departamento. Benefícios: Tarpon Lodge: 20% de desconto em alimentos e bebidas; 25% na loja de presentes. Cabbage Key: 25% de desconto em compras de alimentos, bebidas e na loja de presentes. Número de horas por seman"&amp;"a: 35. Horário de trabalho (início/término): 8h às 16h.")</f>
        <v>Camareiras/Camareiros responsáveis ​​pela limpeza e manutenção de todos os quartos, suítes e áreas comuns internas das propriedades Cabbage Key e Tarpon Lodge, incluindo alojamentos para funcionários. As funções incluem, entre outras: aspirar pisos, tirar o pó, lavar e repor roupas de cama e toalhas, desinfetar banheiros e lavar janelas. Classificação da vaga: 37-2012.00 - Camareiras/Camareiros. A classificação e descrição da vaga/setor inclui informações gerais sobre o cargo, de acordo com o ONET/OES e o Sistema de Classificação Industrial da América do Norte (NAICS). Consulte a Descrição das Funções e a Ordem de Serviço para obter mais informações. Requisitos da vaga: Experiência necessária: Sim. Meses de experiência necessários: 3. Requisitos especiais: Capacidade de falar e ler inglês, levantar e carregar 18 kg e ficar em pé ou caminhando por 8 horas por dia. O candidato deve passar por uma verificação de antecedentes pré-emprego. Treinamento no local de trabalho fornecido. Treinamento oferecido. Dias e turnos: Segunda a domingo; turnos disponíveis 7 dias por semana. Horário de trabalho: das 10h às 18h; das 8h às 16h; das 16h às 00h. Os horários dos turnos podem variar de acordo com a época do ano, a disponibilidade de luz e a necessidade. Salário por hora: de US$ 16,09 a US$ 20,00, com base no mérito e na experiência anterior na empresa. Possibilidade de horas extras: horas extras podem estar disponíveis com pagamento de US$ 24,14 a US$ 30,00 por hora. Bônus ocasionais para eventos em grupo podem ser concedidos, a critério do gerente do departamento. Benefícios: Tarpon Lodge: 20% de desconto em alimentos e bebidas; 25% na loja de presentes. Cabbage Key: 25% de desconto em compras de alimentos, bebidas e na loja de presentes. Número de horas por semana: 35. Horário de trabalho (início/término): 8h às 16h.</v>
      </c>
    </row>
    <row r="1874" ht="20.25" customHeight="1">
      <c r="A1874" s="3" t="s">
        <v>8355</v>
      </c>
      <c r="B1874" s="3" t="s">
        <v>7977</v>
      </c>
      <c r="C1874" s="3" t="s">
        <v>6921</v>
      </c>
      <c r="D1874" s="3" t="s">
        <v>71</v>
      </c>
      <c r="E1874" s="4" t="s">
        <v>19</v>
      </c>
      <c r="F1874" s="4" t="s">
        <v>20</v>
      </c>
      <c r="G1874" s="4" t="s">
        <v>80</v>
      </c>
      <c r="H1874" s="3" t="s">
        <v>7978</v>
      </c>
      <c r="I1874" s="3" t="s">
        <v>7979</v>
      </c>
      <c r="J1874" s="4">
        <v>17.88</v>
      </c>
      <c r="K1874" s="4">
        <v>12.0</v>
      </c>
      <c r="L1874" s="3" t="s">
        <v>586</v>
      </c>
      <c r="M1874" s="3" t="s">
        <v>8356</v>
      </c>
      <c r="N1874" s="7" t="str">
        <f>IFERROR(__xludf.DUMMYFUNCTION("GOOGLETRANSLATE(L1874, ""en"", ""pt"")"),"Cozinheiro de linha")</f>
        <v>Cozinheiro de linha</v>
      </c>
      <c r="O1874" s="7" t="str">
        <f>IFERROR(__xludf.DUMMYFUNCTION("IF(M1874="""","""",GOOGLETRANSLATE(M1874,""en"",""pt""))"),"Cozinheiros de linha responsáveis ​​pelo preparo, tempero e cozimento de sopas, carnes, legumes, sobremesas e outros itens alimentícios em um restaurante. Os cozinheiros de linha se reportam diretamente ao chef executivo do Cabbage Key e do Tarpon Lodge. "&amp;"Classificação da vaga: 35-2014.00 - Cozinheiros, Restaurante. A classificação e descrição da vaga/setor incluem informações gerais sobre o cargo, de acordo com o ONET/OES e o Sistema de Classificação Industrial da América do Norte (NAICS). Consulte as Fun"&amp;"ções e a Ordem de Serviço para obter mais informações. Requisitos da vaga: Experiência necessária: Sim. Meses de experiência necessários: 12. Requisitos especiais: Capacidade de falar e ler inglês. O candidato deve passar por uma verificação de antecedent"&amp;"es pré-emprego. Treinamento no local de trabalho fornecido. Treinamento oferecido. Dias e turnos: Segunda a domingo; turnos disponíveis 7 dias por semana. Horário de trabalho: 10h às 18h; 8h às 16h. Das 16h às 00h, o horário de trabalho pode variar de aco"&amp;"rdo com a época do ano, a disponibilidade de luz e a necessidade. Salário por hora: de US$ 17,88 a US$ 27,00, com base no mérito e na experiência anterior na empresa. Possibilidade de horas extras: Horas extras podem estar disponíveis com pagamento de US$"&amp;" 26,82 a US$ 40,50 por hora. Bônus ocasionais para eventos em grupo podem ser concedidos, a critério do gerente do departamento. Benefícios: Tarpon Lodge: 20% de desconto em alimentos e bebidas; 25% na loja de presentes. Cabbage Key: 25% de desconto em co"&amp;"mpras de alimentos, bebidas e na loja de presentes. Número de horas por semana: 35. Horário de trabalho (início/término): 8h às 16h.")</f>
        <v>Cozinheiros de linha responsáveis ​​pelo preparo, tempero e cozimento de sopas, carnes, legumes, sobremesas e outros itens alimentícios em um restaurante. Os cozinheiros de linha se reportam diretamente ao chef executivo do Cabbage Key e do Tarpon Lodge. Classificação da vaga: 35-2014.00 - Cozinheiros, Restaurante. A classificação e descrição da vaga/setor incluem informações gerais sobre o cargo, de acordo com o ONET/OES e o Sistema de Classificação Industrial da América do Norte (NAICS). Consulte as Funções e a Ordem de Serviço para obter mais informações. Requisitos da vaga: Experiência necessária: Sim. Meses de experiência necessários: 12. Requisitos especiais: Capacidade de falar e ler inglês. O candidato deve passar por uma verificação de antecedentes pré-emprego. Treinamento no local de trabalho fornecido. Treinamento oferecido. Dias e turnos: Segunda a domingo; turnos disponíveis 7 dias por semana. Horário de trabalho: 10h às 18h; 8h às 16h. Das 16h às 00h, o horário de trabalho pode variar de acordo com a época do ano, a disponibilidade de luz e a necessidade. Salário por hora: de US$ 17,88 a US$ 27,00, com base no mérito e na experiência anterior na empresa. Possibilidade de horas extras: Horas extras podem estar disponíveis com pagamento de US$ 26,82 a US$ 40,50 por hora. Bônus ocasionais para eventos em grupo podem ser concedidos, a critério do gerente do departamento. Benefícios: Tarpon Lodge: 20% de desconto em alimentos e bebidas; 25% na loja de presentes. Cabbage Key: 25% de desconto em compras de alimentos, bebidas e na loja de presentes. Número de horas por semana: 35. Horário de trabalho (início/término): 8h às 16h.</v>
      </c>
    </row>
    <row r="1875" ht="20.25" customHeight="1">
      <c r="A1875" s="8" t="s">
        <v>8357</v>
      </c>
      <c r="B1875" s="8" t="s">
        <v>7977</v>
      </c>
      <c r="C1875" s="8" t="s">
        <v>6921</v>
      </c>
      <c r="D1875" s="8" t="s">
        <v>71</v>
      </c>
      <c r="E1875" s="9" t="s">
        <v>44</v>
      </c>
      <c r="F1875" s="9" t="s">
        <v>20</v>
      </c>
      <c r="G1875" s="9" t="s">
        <v>80</v>
      </c>
      <c r="H1875" s="8" t="s">
        <v>7978</v>
      </c>
      <c r="I1875" s="8" t="s">
        <v>7979</v>
      </c>
      <c r="J1875" s="9">
        <v>16.92</v>
      </c>
      <c r="K1875" s="9">
        <v>2.0</v>
      </c>
      <c r="L1875" s="8" t="s">
        <v>8358</v>
      </c>
      <c r="M1875" s="8" t="s">
        <v>8359</v>
      </c>
      <c r="N1875" s="7" t="str">
        <f>IFERROR(__xludf.DUMMYFUNCTION("GOOGLETRANSLATE(L1875, ""en"", ""pt"")"),"Atendente de loja")</f>
        <v>Atendente de loja</v>
      </c>
      <c r="O1875" s="7" t="str">
        <f>IFERROR(__xludf.DUMMYFUNCTION("IF(M1875="""","""",GOOGLETRANSLATE(M1875,""en"",""pt""))"),"Auxiliar os clientes com compras, respondendo a perguntas, processando pagamentos e mantendo um ambiente de loja limpo e organizado, além de promover vendas e garantir uma experiência positiva para o cliente. Classificação da vaga: 41-2031.00 - Vendedor(a"&amp;") de Loja. A classificação e descrição da vaga/setor incluem informações gerais sobre o cargo, de acordo com o ONET/OES e o Sistema de Classificação Industrial da América do Norte (NAICS). Consulte as Funções e a Ordem de Serviço para obter mais informaçõ"&amp;"es. Requisitos da vaga: Experiência necessária: Sim. Meses de experiência necessários: 12. Requisitos especiais: Capacidade de falar e ler inglês. O(A) candidato(a) deve passar por uma verificação de antecedentes pré-emprego. Treinamento no local de traba"&amp;"lho oferecido. Treinamento será fornecido. Dias e turnos: Segunda a domingo; turnos disponíveis 7 dias por semana. Horário de trabalho: 10h às 18h; 8h às 16h; 16h às 00h. Os horários dos turnos podem variar de acordo com a época do ano, a luz do dia e a n"&amp;"ecessidade. Salário por hora: US$ 16,92 a US$ 22,00, com base no mérito e na experiência anterior na empresa. Possibilidade de horas extras: Horas extras podem estar disponíveis com pagamento de US$ 25,38 a US$ 33,00 por hora. Bônus ocasionais para evento"&amp;"s em grupo podem ser concedidos, conforme considerado apropriado pelo gerente do departamento. Benefícios: Tarpon Lodge: 20% de desconto em alimentos e bebidas; 25% na loja de presentes. Cabbage Key: 25% de desconto em compras de alimentos, bebidas e na l"&amp;"oja de presentes. Número de horas por semana: 35. Horário de trabalho (início/término): 8h às 16h.")</f>
        <v>Auxiliar os clientes com compras, respondendo a perguntas, processando pagamentos e mantendo um ambiente de loja limpo e organizado, além de promover vendas e garantir uma experiência positiva para o cliente. Classificação da vaga: 41-2031.00 - Vendedor(a) de Loja. A classificação e descrição da vaga/setor incluem informações gerais sobre o cargo, de acordo com o ONET/OES e o Sistema de Classificação Industrial da América do Norte (NAICS). Consulte as Funções e a Ordem de Serviço para obter mais informações. Requisitos da vaga: Experiência necessária: Sim. Meses de experiência necessários: 12. Requisitos especiais: Capacidade de falar e ler inglês. O(A) candidato(a) deve passar por uma verificação de antecedentes pré-emprego. Treinamento no local de trabalho oferecido. Treinamento será fornecido. Dias e turnos: Segunda a domingo; turnos disponíveis 7 dias por semana. Horário de trabalho: 10h às 18h; 8h às 16h; 16h às 00h. Os horários dos turnos podem variar de acordo com a época do ano, a luz do dia e a necessidade. Salário por hora: US$ 16,92 a US$ 22,00, com base no mérito e na experiência anterior na empresa. Possibilidade de horas extras: Horas extras podem estar disponíveis com pagamento de US$ 25,38 a US$ 33,00 por hora. Bônus ocasionais para eventos em grupo podem ser concedidos, conforme considerado apropriado pelo gerente do departamento. Benefícios: Tarpon Lodge: 20% de desconto em alimentos e bebidas; 25% na loja de presentes. Cabbage Key: 25% de desconto em compras de alimentos, bebidas e na loja de presentes. Número de horas por semana: 35. Horário de trabalho (início/término): 8h às 16h.</v>
      </c>
    </row>
    <row r="1876" ht="20.25" customHeight="1">
      <c r="A1876" s="3" t="s">
        <v>8360</v>
      </c>
      <c r="B1876" s="3" t="s">
        <v>8361</v>
      </c>
      <c r="C1876" s="3" t="s">
        <v>8362</v>
      </c>
      <c r="D1876" s="3" t="s">
        <v>64</v>
      </c>
      <c r="E1876" s="4" t="s">
        <v>19</v>
      </c>
      <c r="F1876" s="4" t="s">
        <v>20</v>
      </c>
      <c r="G1876" s="4" t="s">
        <v>377</v>
      </c>
      <c r="H1876" s="3" t="s">
        <v>7704</v>
      </c>
      <c r="I1876" s="3" t="s">
        <v>8363</v>
      </c>
      <c r="J1876" s="4">
        <v>16.76</v>
      </c>
      <c r="K1876" s="4">
        <v>15.0</v>
      </c>
      <c r="L1876" s="3" t="s">
        <v>8364</v>
      </c>
      <c r="M1876" s="3" t="s">
        <v>8365</v>
      </c>
      <c r="N1876" s="7" t="str">
        <f>IFERROR(__xludf.DUMMYFUNCTION("GOOGLETRANSLATE(L1876, ""en"", ""pt"")"),"Auxiliares de Instalação, Manutenção e Reparo")</f>
        <v>Auxiliares de Instalação, Manutenção e Reparo</v>
      </c>
      <c r="O1876" s="7" t="str">
        <f>IFERROR(__xludf.DUMMYFUNCTION("IF(M1876="""","""",GOOGLETRANSLATE(M1876,""en"",""pt""))"),"Auxiliar os trabalhadores na montagem ou reparo de equipamentos de campos petrolíferos utilizando ferramentas manuais e elétricas. Auxiliar os trabalhadores na instalação e soldagem de tubulações, perfuração de furos no solo para preparação da construção."&amp;" Limpar a área de trabalho e os equipamentos, e auxiliar na manutenção da área ao redor do campo petrolífero. Classificação da Função: 49-9098.00 - Auxiliares - Trabalhadores de Instalação, Manutenção e Reparo. A classificação e descrição da função/setor "&amp;"inclui informações gerais sobre o cargo, de acordo com o ONET/OES e o Sistema de Classificação Industrial da América do Norte (NAICS). Consulte as Funções e a Ordem de Serviço para obter mais informações. Requisitos da Função: Experiência Necessária: Não."&amp;" Requisitos Especiais: ""1 hora de intervalo para almoço"". Número de Horas por Semana: 40. Horário de Trabalho (Início/Término): 8h às 17h.")</f>
        <v>Auxiliar os trabalhadores na montagem ou reparo de equipamentos de campos petrolíferos utilizando ferramentas manuais e elétricas. Auxiliar os trabalhadores na instalação e soldagem de tubulações, perfuração de furos no solo para preparação da construção. Limpar a área de trabalho e os equipamentos, e auxiliar na manutenção da área ao redor do campo petrolífero. Classificação da Função: 49-9098.00 - Auxiliares - Trabalhadores de Instalação, Manutenção e Reparo. A classificação e descrição da função/setor inclui informações gerais sobre o cargo, de acordo com o ONET/OES e o Sistema de Classificação Industrial da América do Norte (NAICS). Consulte as Funções e a Ordem de Serviço para obter mais informações. Requisitos da Função: Experiência Necessária: Não. Requisitos Especiais: "1 hora de intervalo para almoço". Número de Horas por Semana: 40. Horário de Trabalho (Início/Término): 8h às 17h.</v>
      </c>
    </row>
    <row r="1877" ht="20.25" customHeight="1">
      <c r="A1877" s="8" t="s">
        <v>8366</v>
      </c>
      <c r="B1877" s="8" t="s">
        <v>8367</v>
      </c>
      <c r="C1877" s="8" t="s">
        <v>7431</v>
      </c>
      <c r="D1877" s="8" t="s">
        <v>71</v>
      </c>
      <c r="E1877" s="9" t="s">
        <v>19</v>
      </c>
      <c r="F1877" s="9" t="s">
        <v>20</v>
      </c>
      <c r="G1877" s="9" t="s">
        <v>8368</v>
      </c>
      <c r="H1877" s="8" t="s">
        <v>8369</v>
      </c>
      <c r="I1877" s="8" t="s">
        <v>8370</v>
      </c>
      <c r="J1877" s="9">
        <v>17.0</v>
      </c>
      <c r="K1877" s="9">
        <v>1.0</v>
      </c>
      <c r="L1877" s="8" t="s">
        <v>387</v>
      </c>
      <c r="M1877" s="8" t="s">
        <v>8371</v>
      </c>
      <c r="N1877" s="7" t="str">
        <f>IFERROR(__xludf.DUMMYFUNCTION("GOOGLETRANSLATE(L1877, ""en"", ""pt"")"),"Ordem de serviço não disponível")</f>
        <v>Ordem de serviço não disponível</v>
      </c>
      <c r="O1877" s="7" t="str">
        <f>IFERROR(__xludf.DUMMYFUNCTION("IF(M1877="""","""",GOOGLETRANSLATE(M1877,""en"",""pt""))"),"Preparar, servir e alimentar as crianças com lanches e refeições nutricionalmente balanceadas. Vestir as crianças ou ajudá-las a se vestir. Envolver as crianças em atividades apropriadas para a idade, como leitura, esportes, artes e artesanato e brincadei"&amp;"ras ao ar livre, para promover seu desenvolvimento físico e intelectual. Colaborar com os pais para implementar programas de disciplina que incentivem comportamentos desejáveis. Ajudar com a lição de casa e tarefas escolares para apoiar o aprendizado. Ins"&amp;"truir e auxiliar as crianças no desenvolvimento de hábitos pessoais saudáveis, como alimentação e higiene pessoal. Servir de modelo para comportamentos sociais apropriados e promover a empatia para apoiar o desenvolvimento de habilidades interpessoais e d"&amp;"e comunicação. Supervisionar tarefas domésticas apropriadas para a idade e reforçar positivamente os comportamentos desejados para construir autocontrole, autoconfiança e senso de responsabilidade. Remover possíveis perigos e estabelecer limites e regras "&amp;"domésticas apropriadas para garantir um ambiente seguro. Prestar primeiros socorros quando necessário. Observar o comportamento das crianças em busca de sinais de doença ou irregularidades, aferir a temperatura e administrar medicamentos conforme as instr"&amp;"uções para apoiar sua saúde e bem-estar. Realizar tarefas domésticas e de limpeza relacionadas aos cuidados com as crianças. Incentivar o bom comportamento ao brincar com os animais de estimação da casa e envolver as crianças em atividades relacionadas ao"&amp;"s animais. Transportar crianças para atividades, passeios sociais e consultas médicas. Fazer compras de supermercado, roupas e outros itens necessários para os cuidados das crianças. Todas as tarefas serão realizadas em um ambiente doméstico privado, com "&amp;"recados e passeios dentro da mesma Área Estatística Metropolitana do local de trabalho ou em uma distância que permita o deslocamento diário regular. Os medicamentos administrados se limitam a medicamentos pediátricos de venda livre e medicamentos orais e"&amp;" tópicos prescritos por médicos, na forma de líquidos, comprimidos, pílulas e cremes ou pomadas tópicas. O(A) profissional mede as doses líquidas; auxilia a criança a tomar o medicamento por via oral; aplica medicamentos tópicos na pele; registra e inform"&amp;"a as doses aos pais; e armazena o medicamento com segurança, de acordo com as instruções dos pais ou do médico quanto ao tipo, forma, dosagem e horário do medicamento. O(A) profissional não seleciona medicamentos, determina dosagens ou administra injeções"&amp;". Classificação da função: 39-9011.01 - Babás. A classificação e descrição da função/setor inclui informações gerais sobre o cargo, provenientes do ONET/OES e do Sistema de Classificação Industrial da América do Norte. Consulte a Descrição das Funções e a"&amp;" Ordem de Serviço para obter mais informações. Requisitos da Vaga Experiência Necessária: Sim Meses de Experiência Necessários: 12 Requisitos Especiais: Não é necessário escolaridade. Mínimo de 12 meses de experiência como babá ou cuidador(a) de crianças."&amp;" Deve ser capaz de levantar e carregar peso suficiente para movimentar equipamentos e materiais necessários para a execução das tarefas designadas. Capacidade de permanecer em pé durante todo o turno. Capacidade de praticar esportes e atividades físicas c"&amp;"om crianças. Utilização de eletrodomésticos, máquinas de lavar roupa e o veículo da casa. Possuir carteira de habilitação da Flórida ou estar apto(a) a obtê-la. 40 horas semanais, 6 dias por semana. A escala de trabalho pode variar e incluir noites, fins "&amp;"de semana ou feriados, conforme necessário. O empregador se baseará nas declarações e observações do(a) próprio(a) funcionário(a) para avaliar se ele(a) atende aos requisitos de capacidade física, incluindo levantamento de peso, permanência em pé e outros"&amp;" requisitos descritos neste documento. Número de Horas por Semana: 40 Horário de Trabalho (Início/Término): 9h às 16h")</f>
        <v>Preparar, servir e alimentar as crianças com lanches e refeições nutricionalmente balanceadas. Vestir as crianças ou ajudá-las a se vestir. Envolver as crianças em atividades apropriadas para a idade, como leitura, esportes, artes e artesanato e brincadeiras ao ar livre, para promover seu desenvolvimento físico e intelectual. Colaborar com os pais para implementar programas de disciplina que incentivem comportamentos desejáveis. Ajudar com a lição de casa e tarefas escolares para apoiar o aprendizado. Instruir e auxiliar as crianças no desenvolvimento de hábitos pessoais saudáveis, como alimentação e higiene pessoal. Servir de modelo para comportamentos sociais apropriados e promover a empatia para apoiar o desenvolvimento de habilidades interpessoais e de comunicação. Supervisionar tarefas domésticas apropriadas para a idade e reforçar positivamente os comportamentos desejados para construir autocontrole, autoconfiança e senso de responsabilidade. Remover possíveis perigos e estabelecer limites e regras domésticas apropriadas para garantir um ambiente seguro. Prestar primeiros socorros quando necessário. Observar o comportamento das crianças em busca de sinais de doença ou irregularidades, aferir a temperatura e administrar medicamentos conforme as instruções para apoiar sua saúde e bem-estar. Realizar tarefas domésticas e de limpeza relacionadas aos cuidados com as crianças. Incentivar o bom comportamento ao brincar com os animais de estimação da casa e envolver as crianças em atividades relacionadas aos animais. Transportar crianças para atividades, passeios sociais e consultas médicas. Fazer compras de supermercado, roupas e outros itens necessários para os cuidados das crianças. Todas as tarefas serão realizadas em um ambiente doméstico privado, com recados e passeios dentro da mesma Área Estatística Metropolitana do local de trabalho ou em uma distância que permita o deslocamento diário regular. Os medicamentos administrados se limitam a medicamentos pediátricos de venda livre e medicamentos orais e tópicos prescritos por médicos, na forma de líquidos, comprimidos, pílulas e cremes ou pomadas tópicas. O(A) profissional mede as doses líquidas; auxilia a criança a tomar o medicamento por via oral; aplica medicamentos tópicos na pele; registra e informa as doses aos pais; e armazena o medicamento com segurança, de acordo com as instruções dos pais ou do médico quanto ao tipo, forma, dosagem e horário do medicamento. O(A) profissional não seleciona medicamentos, determina dosagens ou administra injeções. Classificação da função: 39-9011.01 - Babás. A classificação e descrição da função/setor inclui informações gerais sobre o cargo, provenientes do ONET/OES e do Sistema de Classificação Industrial da América do Norte. Consulte a Descrição das Funções e a Ordem de Serviço para obter mais informações. Requisitos da Vaga Experiência Necessária: Sim Meses de Experiência Necessários: 12 Requisitos Especiais: Não é necessário escolaridade. Mínimo de 12 meses de experiência como babá ou cuidador(a) de crianças. Deve ser capaz de levantar e carregar peso suficiente para movimentar equipamentos e materiais necessários para a execução das tarefas designadas. Capacidade de permanecer em pé durante todo o turno. Capacidade de praticar esportes e atividades físicas com crianças. Utilização de eletrodomésticos, máquinas de lavar roupa e o veículo da casa. Possuir carteira de habilitação da Flórida ou estar apto(a) a obtê-la. 40 horas semanais, 6 dias por semana. A escala de trabalho pode variar e incluir noites, fins de semana ou feriados, conforme necessário. O empregador se baseará nas declarações e observações do(a) próprio(a) funcionário(a) para avaliar se ele(a) atende aos requisitos de capacidade física, incluindo levantamento de peso, permanência em pé e outros requisitos descritos neste documento. Número de Horas por Semana: 40 Horário de Trabalho (Início/Término): 9h às 16h</v>
      </c>
    </row>
    <row r="1878" ht="20.25" customHeight="1">
      <c r="A1878" s="3" t="s">
        <v>8372</v>
      </c>
      <c r="B1878" s="3" t="s">
        <v>8373</v>
      </c>
      <c r="C1878" s="3" t="s">
        <v>7260</v>
      </c>
      <c r="D1878" s="3" t="s">
        <v>249</v>
      </c>
      <c r="E1878" s="4" t="s">
        <v>19</v>
      </c>
      <c r="F1878" s="4" t="s">
        <v>20</v>
      </c>
      <c r="G1878" s="4" t="s">
        <v>56</v>
      </c>
      <c r="H1878" s="3" t="s">
        <v>8374</v>
      </c>
      <c r="I1878" s="3" t="s">
        <v>8375</v>
      </c>
      <c r="J1878" s="4">
        <v>18.91</v>
      </c>
      <c r="K1878" s="4">
        <v>9.0</v>
      </c>
      <c r="L1878" s="3" t="s">
        <v>59</v>
      </c>
      <c r="M1878" s="3" t="s">
        <v>7206</v>
      </c>
      <c r="N1878" s="7" t="str">
        <f>IFERROR(__xludf.DUMMYFUNCTION("GOOGLETRANSLATE(L1878, ""en"", ""pt"")"),"Trabalhador de paisagismo")</f>
        <v>Trabalhador de paisagismo</v>
      </c>
      <c r="O1878" s="7" t="str">
        <f>IFERROR(__xludf.DUMMYFUNCTION("IF(M1878="""","""",GOOGLETRANSLATE(M1878,""en"",""pt""))"),"Cortar, aparar, regar e aparar a grama. Recolher folhas secas, arrancar e picar ervas daninhas; transportar terra vegetal e cobertura morta. Limpar o local. Classificação da função: 37-3011.00 - Trabalhadores de Paisagismo e Manutenção de Jardins. A class"&amp;"ificação e descrição da função/setor inclui informações gerais sobre o cargo, de acordo com o ONET/OES e o Sistema de Classificação Industrial da América do Norte. Consulte as Funções e a Ordem de Serviço para obter mais informações. Requisitos da função:"&amp;" Experiência necessária: Não. Requisitos especiais: Capacidade de levantar/carregar 23 kg quando necessário. Número de horas por semana: 40. Horário de trabalho (início/término): 8h às 17h.")</f>
        <v>Cortar, aparar, regar e aparar a grama. Recolher folhas secas, arrancar e picar ervas daninhas; transportar terra vegetal e cobertura morta. Limpar o local. Classificação da função: 37-3011.00 - Trabalhadores de Paisagismo e Manutenção de Jardins. A classificação e descrição da função/setor inclui informações gerais sobre o cargo, de acordo com o ONET/OES e o Sistema de Classificação Industrial da América do Norte. Consulte as Funções e a Ordem de Serviço para obter mais informações. Requisitos da função: Experiência necessária: Não. Requisitos especiais: Capacidade de levantar/carregar 23 kg quando necessário. Número de horas por semana: 40. Horário de trabalho (início/término): 8h às 17h.</v>
      </c>
    </row>
    <row r="1879" ht="20.25" customHeight="1">
      <c r="A1879" s="8" t="s">
        <v>8376</v>
      </c>
      <c r="B1879" s="8" t="s">
        <v>8377</v>
      </c>
      <c r="C1879" s="8" t="s">
        <v>6228</v>
      </c>
      <c r="D1879" s="8" t="s">
        <v>126</v>
      </c>
      <c r="E1879" s="9" t="s">
        <v>44</v>
      </c>
      <c r="F1879" s="9" t="s">
        <v>20</v>
      </c>
      <c r="G1879" s="9" t="s">
        <v>198</v>
      </c>
      <c r="H1879" s="8" t="s">
        <v>8378</v>
      </c>
      <c r="I1879" s="8" t="s">
        <v>8379</v>
      </c>
      <c r="J1879" s="9">
        <v>27.03</v>
      </c>
      <c r="K1879" s="9">
        <v>8.0</v>
      </c>
      <c r="L1879" s="8" t="s">
        <v>8380</v>
      </c>
      <c r="M1879" s="8" t="s">
        <v>8381</v>
      </c>
      <c r="N1879" s="7" t="str">
        <f>IFERROR(__xludf.DUMMYFUNCTION("GOOGLETRANSLATE(L1879, ""en"", ""pt"")"),"Técnico de Manutenção de Rodovias")</f>
        <v>Técnico de Manutenção de Rodovias</v>
      </c>
      <c r="O1879" s="7" t="str">
        <f>IFERROR(__xludf.DUMMYFUNCTION("IF(M1879="""","""",GOOGLETRANSLATE(M1879,""en"",""pt""))"),"Os técnicos de manutenção de rodovias realizarão serviços de manutenção de vias e faixas de domínio ao longo de rodovias, vias marginais e áreas públicas, visando manter corredores de transporte seguros, funcionais e bem conservados em áreas municipais e "&amp;"rurais. Trata-se de uma função prática, focada na preservação da segurança, acessibilidade e funcionalidade da infraestrutura rodoviária estadual e municipal, bem como dos ativos à beira da estrada. As principais responsabilidades incluem cortar grama, ap"&amp;"arar e podar a vegetação, limpar arbustos, remover vegetação invasora e realizar o controle da vegetação ao longo das rodovias e faixas de domínio, para manter a visibilidade, as condições seguras da via e o acesso desimpedido à infraestrutura rodoviária,"&amp;" como defensas metálicas, sinalização, iluminação e estruturas de drenagem. Os trabalhadores podem realizar roçadas com roçadeira e limpeza de arbustos ao longo de rodovias e vias marginais como parte da manutenção rotineira das faixas de domínio. Também "&amp;"podem transportar e espalhar materiais como cascalho, argila e asfalto para reparar acostamentos e preencher erosão, além de realizar pequenos remendos de asfalto utilizando compactadores pneumáticos ou outras ferramentas manuais. Durante o inverno, os Té"&amp;"cnicos de Manutenção Rodoviária realizam atividades de remoção de neve e gelo para manter as condições de tráfego seguras em rodovias, acostamentos, calçadas e outras áreas designadas. As funções incluem operar sopradores de neve, remover neve com pá, lim"&amp;"par o acúmulo de gelo e aplicar sal ou areia para melhorar a tração e garantir condições seguras. Os trabalhadores também organizam, monitoram e repõem os estoques de materiais de degelo e podem auxiliar na instalação ou reparo de barreiras de neve. Além "&amp;"disso, podem carregar e descarregar materiais e equipamentos conforme necessário e auxiliar nas operações de manutenção de rodovias, incluindo limpeza de vegetação, remoção de detritos e conservação da faixa de domínio ao longo de rodovias e vias marginai"&amp;"s. Os Técnicos de Manutenção Rodoviária operam uma variedade de ferramentas manuais e elétricas, incluindo pás, ancinhos, serras de poda, motosserras, aparadores de cerca viva, serras de poda de galhos, cortadores de grama e roçadeiras. Também operam equi"&amp;"pamentos motorizados de manutenção, como cortadores de grama comerciais, sopradores, veículos de dois eixos, tratores e outros equipamentos usados ​​para manutenção de rodovias e acostamentos. Os trabalhadores podem operar equipamentos utilizados para var"&amp;"rição de superfícies pavimentadas e devem realizar manutenção preventiva em veículos e equipamentos pesados, monitorar bueiros e galerias pluviais e manter os equipamentos conforme necessário. As funções também incluem cavar, compactar, remover lixo e det"&amp;"ritos das áreas de trabalho designadas e manter as áreas acostadas de acordo com as especificações do projeto, incluindo a limpeza das áreas acostadas quando necessário. Os trabalhadores realizarão tarefas de manutenção de rodovias, como remendar paviment"&amp;"os erodidos e auxiliar na instalação ou reparo de infraestrutura acostada, incluindo guarda-corpos, acostamentos, bermas, iluminação, sinalização horizontal e sinais de alerta, carregando e descarregando materiais e ferramentas, cavando, organizando mater"&amp;"iais e limpando as áreas de trabalho. A manutenção regular dos sistemas de drenagem é necessária, incluindo a limpeza de bueiros, valas, bocas de lobo e bocas de lobo para evitar obstruções e garantir o fluxo adequado de água. Outras responsabilidades pod"&amp;"em incluir a colocação de cones de segurança ou sinalização ao redor das áreas de trabalho e a sinalização para motoristas quando necessário, a fim de garantir condições de trabalho seguras. Os trabalhadores podem realizar manutenção preventiva de rotina "&amp;"em ferramentas, equipamentos e veículos de trabalho, além de auxiliar na distribuição de cascalho ou materiais similares utilizados em atividades de manutenção de rodovias e acostamentos. Classificação da Função: 47-4051.00 - Trabalhadores de Manutenção R"&amp;"odoviária. A classificação e descrição da função/setor incluem informações gerais sobre o cargo, de acordo com o ONET/OES e o Sistema de Classificação Industrial da América do Norte (NAICS). Consulte as Funções e a Ordem de Serviço para obter mais informa"&amp;"ções. Requisitos da Função: Experiência Necessária: Sim. Meses de Experiência Necessários: 3. Requisitos Especiais: 3 meses de experiência em trabalho braçal ao ar livre, como manutenção de rodovias, paisagismo, jardinagem ou construção civil em geral. Os"&amp;" trabalhadores devem ter capacidade física para trabalhar ao ar livre em diversas condições climáticas e em turnos flexíveis. A função exige o uso seguro e eficaz de ferramentas, máquinas e veículos, além de atenção aos detalhes e capacidade de trabalhar "&amp;"em equipe. Número de Horas por Semana: 40. Horário de Trabalho (Início/Término): 7h30 às 16h.")</f>
        <v>Os técnicos de manutenção de rodovias realizarão serviços de manutenção de vias e faixas de domínio ao longo de rodovias, vias marginais e áreas públicas, visando manter corredores de transporte seguros, funcionais e bem conservados em áreas municipais e rurais. Trata-se de uma função prática, focada na preservação da segurança, acessibilidade e funcionalidade da infraestrutura rodoviária estadual e municipal, bem como dos ativos à beira da estrada. As principais responsabilidades incluem cortar grama, aparar e podar a vegetação, limpar arbustos, remover vegetação invasora e realizar o controle da vegetação ao longo das rodovias e faixas de domínio, para manter a visibilidade, as condições seguras da via e o acesso desimpedido à infraestrutura rodoviária, como defensas metálicas, sinalização, iluminação e estruturas de drenagem. Os trabalhadores podem realizar roçadas com roçadeira e limpeza de arbustos ao longo de rodovias e vias marginais como parte da manutenção rotineira das faixas de domínio. Também podem transportar e espalhar materiais como cascalho, argila e asfalto para reparar acostamentos e preencher erosão, além de realizar pequenos remendos de asfalto utilizando compactadores pneumáticos ou outras ferramentas manuais. Durante o inverno, os Técnicos de Manutenção Rodoviária realizam atividades de remoção de neve e gelo para manter as condições de tráfego seguras em rodovias, acostamentos, calçadas e outras áreas designadas. As funções incluem operar sopradores de neve, remover neve com pá, limpar o acúmulo de gelo e aplicar sal ou areia para melhorar a tração e garantir condições seguras. Os trabalhadores também organizam, monitoram e repõem os estoques de materiais de degelo e podem auxiliar na instalação ou reparo de barreiras de neve. Além disso, podem carregar e descarregar materiais e equipamentos conforme necessário e auxiliar nas operações de manutenção de rodovias, incluindo limpeza de vegetação, remoção de detritos e conservação da faixa de domínio ao longo de rodovias e vias marginais. Os Técnicos de Manutenção Rodoviária operam uma variedade de ferramentas manuais e elétricas, incluindo pás, ancinhos, serras de poda, motosserras, aparadores de cerca viva, serras de poda de galhos, cortadores de grama e roçadeiras. Também operam equipamentos motorizados de manutenção, como cortadores de grama comerciais, sopradores, veículos de dois eixos, tratores e outros equipamentos usados ​​para manutenção de rodovias e acostamentos. Os trabalhadores podem operar equipamentos utilizados para varrição de superfícies pavimentadas e devem realizar manutenção preventiva em veículos e equipamentos pesados, monitorar bueiros e galerias pluviais e manter os equipamentos conforme necessário. As funções também incluem cavar, compactar, remover lixo e detritos das áreas de trabalho designadas e manter as áreas acostadas de acordo com as especificações do projeto, incluindo a limpeza das áreas acostadas quando necessário. Os trabalhadores realizarão tarefas de manutenção de rodovias, como remendar pavimentos erodidos e auxiliar na instalação ou reparo de infraestrutura acostada, incluindo guarda-corpos, acostamentos, bermas, iluminação, sinalização horizontal e sinais de alerta, carregando e descarregando materiais e ferramentas, cavando, organizando materiais e limpando as áreas de trabalho. A manutenção regular dos sistemas de drenagem é necessária, incluindo a limpeza de bueiros, valas, bocas de lobo e bocas de lobo para evitar obstruções e garantir o fluxo adequado de água. Outras responsabilidades podem incluir a colocação de cones de segurança ou sinalização ao redor das áreas de trabalho e a sinalização para motoristas quando necessário, a fim de garantir condições de trabalho seguras. Os trabalhadores podem realizar manutenção preventiva de rotina em ferramentas, equipamentos e veículos de trabalho, além de auxiliar na distribuição de cascalho ou materiais similares utilizados em atividades de manutenção de rodovias e acostamentos. Classificação da Função: 47-4051.00 - Trabalhadores de Manutenção Rodoviária. A classificação e descrição da função/setor incluem informações gerais sobre o cargo, de acordo com o ONET/OES e o Sistema de Classificação Industrial da América do Norte (NAICS). Consulte as Funções e a Ordem de Serviço para obter mais informações. Requisitos da Função: Experiência Necessária: Sim. Meses de Experiência Necessários: 3. Requisitos Especiais: 3 meses de experiência em trabalho braçal ao ar livre, como manutenção de rodovias, paisagismo, jardinagem ou construção civil em geral. Os trabalhadores devem ter capacidade física para trabalhar ao ar livre em diversas condições climáticas e em turnos flexíveis. A função exige o uso seguro e eficaz de ferramentas, máquinas e veículos, além de atenção aos detalhes e capacidade de trabalhar em equipe. Número de Horas por Semana: 40. Horário de Trabalho (Início/Término): 7h30 às 16h.</v>
      </c>
    </row>
    <row r="1880" ht="20.25" customHeight="1">
      <c r="A1880" s="3" t="s">
        <v>8382</v>
      </c>
      <c r="B1880" s="3" t="s">
        <v>8184</v>
      </c>
      <c r="C1880" s="3" t="s">
        <v>6228</v>
      </c>
      <c r="D1880" s="3" t="s">
        <v>602</v>
      </c>
      <c r="E1880" s="4" t="s">
        <v>19</v>
      </c>
      <c r="F1880" s="4" t="s">
        <v>20</v>
      </c>
      <c r="G1880" s="4" t="s">
        <v>307</v>
      </c>
      <c r="H1880" s="3" t="s">
        <v>8185</v>
      </c>
      <c r="I1880" s="3" t="s">
        <v>8186</v>
      </c>
      <c r="J1880" s="4">
        <v>27.65</v>
      </c>
      <c r="K1880" s="4">
        <v>25.0</v>
      </c>
      <c r="L1880" s="3" t="s">
        <v>6563</v>
      </c>
      <c r="M1880" s="3" t="s">
        <v>8187</v>
      </c>
      <c r="N1880" s="7" t="str">
        <f>IFERROR(__xludf.DUMMYFUNCTION("GOOGLETRANSLATE(L1880, ""en"", ""pt"")"),"Acabador de concreto")</f>
        <v>Acabador de concreto</v>
      </c>
      <c r="O1880" s="7" t="str">
        <f>IFERROR(__xludf.DUMMYFUNCTION("IF(M1880="""","""",GOOGLETRANSLATE(M1880,""en"",""pt""))"),"Os trabalhadores prepararão o canteiro de obras onde o concreto será despejado, assentando e alinhando as fôrmas que o conterão. Espalharão, nivelarão e alisarão o concreto usando grelhas, pás e ferramentas manuais. Desmontarão as fôrmas de concreto e lim"&amp;"parão o canteiro de obras. Prepararão as fôrmas para serem transportadas do canteiro de obras para o próximo local de trabalho. Classificação da função: 47-2051.00 - Pedreiros e Acabadores de Concreto. A classificação e descrição da função/setor incluem i"&amp;"nformações gerais sobre o cargo, de acordo com o ONET/OES e o Sistema de Classificação Industrial da América do Norte (NAICS). Consulte as Funções e a Ordem de Serviço para obter mais informações. Requisitos da função: Experiência necessária: Não. Requisi"&amp;"tos especiais: O trabalhador deve ser capaz de trabalhar em condições externas, levantar sacos pesados ​​de concreto de até 34 kg (75 lbs), passar em um teste antidrogas pré-admissional e em testes antidrogas aleatórios durante a contratação. O trabalhado"&amp;"r deve ser capaz de permanecer em pé por longos períodos e trabalhar de forma eficiente com as mãos, utilizando diversas ferramentas. Os trabalhadores estarão sujeitos a testes de drogas mediante suspeita razoável, pagos pelo empregador e aplicados igualm"&amp;"ente a todos os trabalhadores, americanos e estrangeiros/H-2B. Número de horas por semana: 40. Horário de trabalho (início/término): 6h às 16h.")</f>
        <v>Os trabalhadores prepararão o canteiro de obras onde o concreto será despejado, assentando e alinhando as fôrmas que o conterão. Espalharão, nivelarão e alisarão o concreto usando grelhas, pás e ferramentas manuais. Desmontarão as fôrmas de concreto e limparão o canteiro de obras. Prepararão as fôrmas para serem transportadas do canteiro de obras para o próximo local de trabalho. Classificação da função: 47-2051.00 - Pedreiros e Acabadores de Concreto. A classificação e descrição da função/setor incluem informações gerais sobre o cargo, de acordo com o ONET/OES e o Sistema de Classificação Industrial da América do Norte (NAICS). Consulte as Funções e a Ordem de Serviço para obter mais informações. Requisitos da função: Experiência necessária: Não. Requisitos especiais: O trabalhador deve ser capaz de trabalhar em condições externas, levantar sacos pesados ​​de concreto de até 34 kg (75 lbs), passar em um teste antidrogas pré-admissional e em testes antidrogas aleatórios durante a contratação. O trabalhador deve ser capaz de permanecer em pé por longos períodos e trabalhar de forma eficiente com as mãos, utilizando diversas ferramentas. Os trabalhadores estarão sujeitos a testes de drogas mediante suspeita razoável, pagos pelo empregador e aplicados igualmente a todos os trabalhadores, americanos e estrangeiros/H-2B. Número de horas por semana: 40. Horário de trabalho (início/término): 6h às 16h.</v>
      </c>
    </row>
    <row r="1881" ht="20.25" customHeight="1">
      <c r="A1881" s="8" t="s">
        <v>8383</v>
      </c>
      <c r="B1881" s="8" t="s">
        <v>8184</v>
      </c>
      <c r="C1881" s="8" t="s">
        <v>6228</v>
      </c>
      <c r="D1881" s="8" t="s">
        <v>602</v>
      </c>
      <c r="E1881" s="9" t="s">
        <v>19</v>
      </c>
      <c r="F1881" s="9" t="s">
        <v>20</v>
      </c>
      <c r="G1881" s="9" t="s">
        <v>307</v>
      </c>
      <c r="H1881" s="8" t="s">
        <v>8185</v>
      </c>
      <c r="I1881" s="8" t="s">
        <v>8186</v>
      </c>
      <c r="J1881" s="9">
        <v>27.65</v>
      </c>
      <c r="K1881" s="9">
        <v>5.0</v>
      </c>
      <c r="L1881" s="8" t="s">
        <v>8384</v>
      </c>
      <c r="M1881" s="8" t="s">
        <v>8385</v>
      </c>
      <c r="N1881" s="7" t="str">
        <f>IFERROR(__xludf.DUMMYFUNCTION("GOOGLETRANSLATE(L1881, ""en"", ""pt"")"),"Auxiliar de Ofícios da Construção Civil")</f>
        <v>Auxiliar de Ofícios da Construção Civil</v>
      </c>
      <c r="O1881" s="7" t="str">
        <f>IFERROR(__xludf.DUMMYFUNCTION("IF(M1881="""","""",GOOGLETRANSLATE(M1881,""en"",""pt""))"),"Utilizando grelhas, pás e ferramentas manuais, o trabalhador auxiliará o encarregado e a equipe na execução de algumas das seguintes tarefas: reparos em concreto, lixamento e polimento, preenchimento e selagem de juntas, estabilização de juntas, limpeza e"&amp;" lavagem de pisos, planos de manutenção de concreto das instalações, densificadores e selantes líquidos, remoção completa e substituição de lajes, projetos de adaptação, corte e perfuração de concreto com serra. O trabalhador também deverá movimentar mate"&amp;"riais e ferramentas conforme as instruções do encarregado. Além disso, ajudará o encarregado e a equipe a manter o canteiro de obras e a oficina limpos e seguros. O trabalhador auxiliará na execução de reparos em concreto, identificando superfícies rachad"&amp;"as, lascadas ou deterioradas; removendo o material danificado com martelos de cinzelamento, esmerilhadeiras e escarificadores; limpando as áreas reparadas; e auxiliando na aplicação de argamassas de reparo, epóxis e compostos cimentícios para reparos, uti"&amp;"lizando colheres de pedreiro e desempenadeiras. Os trabalhadores auxiliarão no desbaste e polimento de superfícies de concreto, utilizando lixadeiras de piso manuais equipadas com ferramentas diamantadas para aplainar, nivelar e refinar o concreto. A gran"&amp;"ulometria é progressivamente aumentada, da mais grossa para a mais fina. Os trabalhadores aplicam endurecedores entre as passagens e utilizam aspiradores de pó e água para controle de poeira. Auxiliarão também no preenchimento e selagem de juntas, limpand"&amp;"o, fresando e preparando juntas de controle e expansão com serras e fresadoras, e na aplicação de selantes de poliureia, poliuretano ou epóxi com pistolas de calafetagem para evitar a infiltração de detritos incompressíveis. Além disso, auxiliarão na esta"&amp;"bilização de juntas, preparando juntas e fissuras deterioradas para tratamento e auxiliando na injeção de resinas epóxi ou poliuretano de baixa viscosidade, utilizando injetores, bombas e lixadeiras, para restaurar a transferência de carga. Também auxilia"&amp;"rão na limpeza e lavagem de pisos com lavadoras automáticas, varredoras de piso e lavadoras de alta pressão para remover sujeira, revestimentos e contaminantes das superfícies de concreto antes do tratamento. Agentes de limpeza e desengordurantes serão ap"&amp;"licados manualmente ou por meio de sistemas de dosagem automatizados. Os trabalhadores auxiliarão nos planos de manutenção do concreto das instalações, ajudando na inspeção de pisos de concreto e documentando as condições da superfície, como fissuras, fal"&amp;"has nas juntas e desgaste do revestimento, além da aplicação de densificadores líquidos e selantes. Isso inclui a aplicação de densificadores de silicato de lítio, sódio ou potássio no concreto usando pulverizadores de bomba ou aplicadores de microfibra. "&amp;"Após a cura, selantes penetrantes ou de superfície serão aplicados para proteger contra umidade, produtos químicos e abrasão. Para remoção completa e substituição de lajes, os trabalhadores auxiliarão a equipe no uso de serras de concreto, marteletes pneu"&amp;"máticos e minicarregadeiras para demolir e remover lajes deterioradas. Os trabalhadores ajudarão a nivelar a sub-base, montar as formas, colocar e vibrar o concreto fresco e dar acabamento às superfícies com réguas de nivelamento, desempenadeiras e colher"&amp;"es de pedreiro. Os trabalhadores auxiliarão em projetos de adaptação e melhorias relacionadas ao concreto durante a construção de espaços para inquilinos ou instalações, incluindo cortes com serra para valas de utilidades, reparo de aberturas, lixamento d"&amp;"e transições e aplicação de tratamentos de superfície para combinar com os pisos existentes. Os trabalhadores usarão serras, lixadeiras, desempenadeiras e equipamentos de mistura. Os trabalhadores auxiliarão no corte e perfuração de concreto com serras de"&amp;" concreto manuais e elétricas com lâminas diamantadas para cortar juntas de controle, juntas de dilatação e valas de utilidades. Os trabalhadores auxiliarão na operação de máquinas de perfuração com brocas diamantadas para criar aberturas para instalações"&amp;" hidráulicas, elétricas e mecânicas, realizando os reparos necessários. Os trabalhadores auxiliarão na movimentação de materiais e ferramentas, carregando, descarregando e transportando equipamentos, materiais e entulhos. Os materiais manuseados incluem s"&amp;"acos de concreto, tambores de selante e ferramentas diamantadas. Os trabalhadores usarão carrinhos de mão, paleteiras e empilhadeiras. Os trabalhadores também auxiliarão na instalação de barreiras de segurança no local de trabalho, mantendo a área de trab"&amp;"alho limpa e organizada. Classificação da Função: 47-2051.00 - Pedreiros e Acabadores de Concreto. A classificação e descrição da função/setor inclui informações gerais sobre o cargo, de acordo com o ONET/OES e o Sistema de Classificação Industrial da Amé"&amp;"rica do Norte (NAICS). Consulte as Funções e a Ordem de Serviço para obter mais informações. Requisitos da Função: Experiência Necessária: Não. Requisitos Especiais: O candidato deve ser capaz de trabalhar em condições externas, levantar sacos pesados ​​d"&amp;"e concreto de até 34 kg, ser aprovado no exame toxicológico pré-admissional, ser aprovado em exames toxicológicos aleatórios durante a contratação, ser capaz de permanecer em pé por longos períodos e ser capaz de trabalhar com eficiência utilizando divers"&amp;"as ferramentas manuais. Todos os candidatos (tanto americanos quanto estrangeiros/com visto H-2B) devem preencher o formulário de emprego online padrão do empregador como parte do processo seletivo. O preenchimento do formulário é obrigatório para todos o"&amp;"s candidatos e não impõe requisitos adicionais ou diferentes para trabalhadores americanos. Os trabalhadores estarão sujeitos a exames toxicológicos mediante suspeita razoável, pagos pelo empregador e aplicados igualmente a todos os trabalhadores, america"&amp;"nos e estrangeiros/com visto H-2B. Número de horas por semana: 40 Horário de trabalho (início/término): 6h00 - 16h00")</f>
        <v>Utilizando grelhas, pás e ferramentas manuais, o trabalhador auxiliará o encarregado e a equipe na execução de algumas das seguintes tarefas: reparos em concreto, lixamento e polimento, preenchimento e selagem de juntas, estabilização de juntas, limpeza e lavagem de pisos, planos de manutenção de concreto das instalações, densificadores e selantes líquidos, remoção completa e substituição de lajes, projetos de adaptação, corte e perfuração de concreto com serra. O trabalhador também deverá movimentar materiais e ferramentas conforme as instruções do encarregado. Além disso, ajudará o encarregado e a equipe a manter o canteiro de obras e a oficina limpos e seguros. O trabalhador auxiliará na execução de reparos em concreto, identificando superfícies rachadas, lascadas ou deterioradas; removendo o material danificado com martelos de cinzelamento, esmerilhadeiras e escarificadores; limpando as áreas reparadas; e auxiliando na aplicação de argamassas de reparo, epóxis e compostos cimentícios para reparos, utilizando colheres de pedreiro e desempenadeiras. Os trabalhadores auxiliarão no desbaste e polimento de superfícies de concreto, utilizando lixadeiras de piso manuais equipadas com ferramentas diamantadas para aplainar, nivelar e refinar o concreto. A granulometria é progressivamente aumentada, da mais grossa para a mais fina. Os trabalhadores aplicam endurecedores entre as passagens e utilizam aspiradores de pó e água para controle de poeira. Auxiliarão também no preenchimento e selagem de juntas, limpando, fresando e preparando juntas de controle e expansão com serras e fresadoras, e na aplicação de selantes de poliureia, poliuretano ou epóxi com pistolas de calafetagem para evitar a infiltração de detritos incompressíveis. Além disso, auxiliarão na estabilização de juntas, preparando juntas e fissuras deterioradas para tratamento e auxiliando na injeção de resinas epóxi ou poliuretano de baixa viscosidade, utilizando injetores, bombas e lixadeiras, para restaurar a transferência de carga. Também auxiliarão na limpeza e lavagem de pisos com lavadoras automáticas, varredoras de piso e lavadoras de alta pressão para remover sujeira, revestimentos e contaminantes das superfícies de concreto antes do tratamento. Agentes de limpeza e desengordurantes serão aplicados manualmente ou por meio de sistemas de dosagem automatizados. Os trabalhadores auxiliarão nos planos de manutenção do concreto das instalações, ajudando na inspeção de pisos de concreto e documentando as condições da superfície, como fissuras, falhas nas juntas e desgaste do revestimento, além da aplicação de densificadores líquidos e selantes. Isso inclui a aplicação de densificadores de silicato de lítio, sódio ou potássio no concreto usando pulverizadores de bomba ou aplicadores de microfibra. Após a cura, selantes penetrantes ou de superfície serão aplicados para proteger contra umidade, produtos químicos e abrasão. Para remoção completa e substituição de lajes, os trabalhadores auxiliarão a equipe no uso de serras de concreto, marteletes pneumáticos e minicarregadeiras para demolir e remover lajes deterioradas. Os trabalhadores ajudarão a nivelar a sub-base, montar as formas, colocar e vibrar o concreto fresco e dar acabamento às superfícies com réguas de nivelamento, desempenadeiras e colheres de pedreiro. Os trabalhadores auxiliarão em projetos de adaptação e melhorias relacionadas ao concreto durante a construção de espaços para inquilinos ou instalações, incluindo cortes com serra para valas de utilidades, reparo de aberturas, lixamento de transições e aplicação de tratamentos de superfície para combinar com os pisos existentes. Os trabalhadores usarão serras, lixadeiras, desempenadeiras e equipamentos de mistura. Os trabalhadores auxiliarão no corte e perfuração de concreto com serras de concreto manuais e elétricas com lâminas diamantadas para cortar juntas de controle, juntas de dilatação e valas de utilidades. Os trabalhadores auxiliarão na operação de máquinas de perfuração com brocas diamantadas para criar aberturas para instalações hidráulicas, elétricas e mecânicas, realizando os reparos necessários. Os trabalhadores auxiliarão na movimentação de materiais e ferramentas, carregando, descarregando e transportando equipamentos, materiais e entulhos. Os materiais manuseados incluem sacos de concreto, tambores de selante e ferramentas diamantadas. Os trabalhadores usarão carrinhos de mão, paleteiras e empilhadeiras. Os trabalhadores também auxiliarão na instalação de barreiras de segurança no local de trabalho, mantendo a área de trabalho limpa e organizada. Classificação da Função: 47-2051.00 - Pedreiros e Acabadores de Concreto. A classificação e descrição da função/setor inclui informações gerais sobre o cargo, de acordo com o ONET/OES e o Sistema de Classificação Industrial da América do Norte (NAICS). Consulte as Funções e a Ordem de Serviço para obter mais informações. Requisitos da Função: Experiência Necessária: Não. Requisitos Especiais: O candidato deve ser capaz de trabalhar em condições externas, levantar sacos pesados ​​de concreto de até 34 kg, ser aprovado no exame toxicológico pré-admissional, ser aprovado em exames toxicológicos aleatórios durante a contratação, ser capaz de permanecer em pé por longos períodos e ser capaz de trabalhar com eficiência utilizando diversas ferramentas manuais. Todos os candidatos (tanto americanos quanto estrangeiros/com visto H-2B) devem preencher o formulário de emprego online padrão do empregador como parte do processo seletivo. O preenchimento do formulário é obrigatório para todos os candidatos e não impõe requisitos adicionais ou diferentes para trabalhadores americanos. Os trabalhadores estarão sujeitos a exames toxicológicos mediante suspeita razoável, pagos pelo empregador e aplicados igualmente a todos os trabalhadores, americanos e estrangeiros/com visto H-2B. Número de horas por semana: 40 Horário de trabalho (início/término): 6h00 - 16h00</v>
      </c>
    </row>
    <row r="1882" ht="20.25" customHeight="1">
      <c r="A1882" s="15" t="s">
        <v>8386</v>
      </c>
      <c r="B1882" s="15" t="s">
        <v>8387</v>
      </c>
      <c r="C1882" s="15" t="s">
        <v>444</v>
      </c>
      <c r="D1882" s="15" t="s">
        <v>28</v>
      </c>
      <c r="E1882" s="16" t="s">
        <v>19</v>
      </c>
      <c r="F1882" s="16" t="s">
        <v>20</v>
      </c>
      <c r="G1882" s="16" t="s">
        <v>524</v>
      </c>
      <c r="H1882" s="17" t="s">
        <v>8388</v>
      </c>
      <c r="I1882" s="15" t="s">
        <v>446</v>
      </c>
      <c r="J1882" s="16">
        <v>25.79</v>
      </c>
      <c r="K1882" s="16">
        <v>15.0</v>
      </c>
      <c r="L1882" s="15" t="s">
        <v>447</v>
      </c>
      <c r="M1882" s="15" t="s">
        <v>8389</v>
      </c>
      <c r="N1882" s="7" t="str">
        <f>IFERROR(__xludf.DUMMYFUNCTION("GOOGLETRANSLATE(L1882, ""en"", ""pt"")"),"Marinheiro de convés de barco de ostras")</f>
        <v>Marinheiro de convés de barco de ostras</v>
      </c>
      <c r="O1882" s="7" t="str">
        <f>IFERROR(__xludf.DUMMYFUNCTION("IF(M1882="""","""",GOOGLETRANSLATE(M1882,""en"",""pt""))"),"Executar trabalhos manuais associados à colheita comercial de ostras e operações de aquicultura. Colher ostras em águas públicas e em áreas arrendadas privadas, utilizando ferramentas manuais e equipamentos. Selecionar ostras para atender aos requisitos l"&amp;"egais de tamanho; classificar e selecionar ostras por tamanho e qualidade; limpar ostras, removendo lama, conchas e organismos marinhos; e transplantar ostras para áreas de arrendamento designadas ou locais de desova para promover o crescimento e a produç"&amp;"ão. Carregar, descarregar e manusear materiais e equipamentos, incluindo sacos de ostras, cestos, gaiolas, dragas e outros equipamentos. Empilhar, mover e armazenar o produto colhido e os suprimentos. Manusear cabos e auxiliar na atracação, ancoragem e ta"&amp;"refas relacionadas à navegação, conforme instruções. Lavar conveses, porões e equipamentos para manter condições de trabalho sanitárias e seguras. Realizar a manutenção de áreas de cultivo de ostras arrendadas privadas, incluindo a instalação e colocação "&amp;"de postes ou marcadores de cana, a colocação e distribuição de substrato (como conchas de ostras ou concreto triturado) para promover a fixação de ostras, o reposicionamento de materiais e o auxílio nas operações de desova. Realizar inspeções de rotina na"&amp;"s áreas de concessão para monitorar o crescimento, a condição e os fatores ambientais das ostras, e relatar quaisquer problemas. Executar manutenção e conservação rotineiras e eventuais de embarcações, docas e equipamentos, incluindo limpeza, raspagem, pi"&amp;"ntura e substituição de tubulações ou materiais desgastados. Executar tarefas simples e não mecânicas para manter as áreas de trabalho, ferramentas e equipamentos em boas condições de funcionamento. Seguir todos os procedimentos de segurança aplicáveis ​​"&amp;"e as regulamentações federais e estaduais relacionadas às operações de colheita de ostras. Manter um ambiente de trabalho limpo, seguro e organizado. O trabalho é realizado ao ar livre, em condições climáticas variáveis, e pode exigir longos períodos em p"&amp;"é, agachado, levantando e carregando cargas pesadas. Salário: O salário base é de US$ 25,79/hora. Um adicional de hora extra, no valor de US$ 38,69/hora, será pago quando exigido por lei federal, estadual ou local, incluindo hora e meia após 40 horas sema"&amp;"nais de trabalho. O empregador poderá oferecer aumentos/bônus aos funcionários temporários contratados sob esta ordem de serviço, a seu exclusivo critério, com base em fatores individuais como desempenho, habilidades e tempo de serviço. Os salários serão "&amp;"calculados com base em uma semana de trabalho. Os funcionários receberão pagamento quinzenalmente. Horário: Os turnos podem variar, mas um dia de trabalho típico é das 7h às 15h, de segunda a sexta-feira. Poderá ser necessário trabalhar em horários estend"&amp;"idos e fins de semana, conforme a necessidade. A carga horária esperada é de aproximadamente 35 horas semanais. O empregador poderá oferecer mais horas do que o especificado, dependendo das necessidades da empresa e de outras condições. Treinamento no loc"&amp;"al de trabalho está disponível. O empregador fornecerá transporte diário de ida e volta ao local de trabalho, sem custo para o trabalhador. O uso do transporte é voluntário. O empregador fornece transporte diário entre os locais de trabalho. Classificação"&amp;" do Cargo: 45-3031.00 - Trabalhadores de Pesca e Caça. A classificação e descrição do cargo/setor incluem informações gerais sobre a posição, de acordo com o ONET/OES e o Sistema de Classificação Industrial da América do Norte. Consulte as Funções e a Ord"&amp;"em de Serviço para obter mais informações. Requisitos da Vaga Experiência Necessária: Não Requisitos Especiais: O trabalhador não pode ter alergia a frutos do mar; a exposição a ostras e mariscos é constante e pode ser fatal para pessoas alérgicas. O trab"&amp;"alhador deve ser capaz de trabalhar em ambientes úmidos, frios e marítimos e não pode ter problemas de saúde que possam ser agravados pela exposição prolongada a frutos do mar, água salgada ou movimento de embarcações. O empregador fornecerá transporte di"&amp;"ário de ida e volta ao local de trabalho sem custo para o trabalhador. O uso do transporte é voluntário. O empregador fornece transporte diário entre os locais de trabalho. Número de Horas por Semana: 35 Horário de Trabalho (Início/Término): 7h00 - 15h00")</f>
        <v>Executar trabalhos manuais associados à colheita comercial de ostras e operações de aquicultura. Colher ostras em águas públicas e em áreas arrendadas privadas, utilizando ferramentas manuais e equipamentos. Selecionar ostras para atender aos requisitos legais de tamanho; classificar e selecionar ostras por tamanho e qualidade; limpar ostras, removendo lama, conchas e organismos marinhos; e transplantar ostras para áreas de arrendamento designadas ou locais de desova para promover o crescimento e a produção. Carregar, descarregar e manusear materiais e equipamentos, incluindo sacos de ostras, cestos, gaiolas, dragas e outros equipamentos. Empilhar, mover e armazenar o produto colhido e os suprimentos. Manusear cabos e auxiliar na atracação, ancoragem e tarefas relacionadas à navegação, conforme instruções. Lavar conveses, porões e equipamentos para manter condições de trabalho sanitárias e seguras. Realizar a manutenção de áreas de cultivo de ostras arrendadas privadas, incluindo a instalação e colocação de postes ou marcadores de cana, a colocação e distribuição de substrato (como conchas de ostras ou concreto triturado) para promover a fixação de ostras, o reposicionamento de materiais e o auxílio nas operações de desova. Realizar inspeções de rotina nas áreas de concessão para monitorar o crescimento, a condição e os fatores ambientais das ostras, e relatar quaisquer problemas. Executar manutenção e conservação rotineiras e eventuais de embarcações, docas e equipamentos, incluindo limpeza, raspagem, pintura e substituição de tubulações ou materiais desgastados. Executar tarefas simples e não mecânicas para manter as áreas de trabalho, ferramentas e equipamentos em boas condições de funcionamento. Seguir todos os procedimentos de segurança aplicáveis ​​e as regulamentações federais e estaduais relacionadas às operações de colheita de ostras. Manter um ambiente de trabalho limpo, seguro e organizado. O trabalho é realizado ao ar livre, em condições climáticas variáveis, e pode exigir longos períodos em pé, agachado, levantando e carregando cargas pesadas. Salário: O salário base é de US$ 25,79/hora. Um adicional de hora extra, no valor de US$ 38,69/hora, será pago quando exigido por lei federal, estadual ou local, incluindo hora e meia após 40 horas semanais de trabalho. O empregador poderá oferecer aumentos/bônus aos funcionários temporários contratados sob esta ordem de serviço, a seu exclusivo critério, com base em fatores individuais como desempenho, habilidades e tempo de serviço. Os salários serão calculados com base em uma semana de trabalho. Os funcionários receberão pagamento quinzenalmente. Horário: Os turnos podem variar, mas um dia de trabalho típico é das 7h às 15h, de segunda a sexta-feira. Poderá ser necessário trabalhar em horários estendidos e fins de semana, conforme a necessidade. A carga horária esperada é de aproximadamente 35 horas semanais. O empregador poderá oferecer mais horas do que o especificado, dependendo das necessidades da empresa e de outras condições. Treinamento no local de trabalho está disponível. O empregador fornecerá transporte diário de ida e volta ao local de trabalho, sem custo para o trabalhador. O uso do transporte é voluntário. O empregador fornece transporte diário entre os locais de trabalho. Classificação do Cargo: 45-3031.00 - Trabalhadores de Pesca e Caça. A classificação e descrição do cargo/setor incluem informações gerais sobre a posição, de acordo com o ONET/OES e o Sistema de Classificação Industrial da América do Norte. Consulte as Funções e a Ordem de Serviço para obter mais informações. Requisitos da Vaga Experiência Necessária: Não Requisitos Especiais: O trabalhador não pode ter alergia a frutos do mar; a exposição a ostras e mariscos é constante e pode ser fatal para pessoas alérgicas. O trabalhador deve ser capaz de trabalhar em ambientes úmidos, frios e marítimos e não pode ter problemas de saúde que possam ser agravados pela exposição prolongada a frutos do mar, água salgada ou movimento de embarcações. O empregador fornecerá transporte diário de ida e volta ao local de trabalho sem custo para o trabalhador. O uso do transporte é voluntário. O empregador fornece transporte diário entre os locais de trabalho. Número de Horas por Semana: 35 Horário de Trabalho (Início/Término): 7h00 - 15h00</v>
      </c>
    </row>
    <row r="1883" ht="20.25" customHeight="1">
      <c r="A1883" s="8" t="s">
        <v>8390</v>
      </c>
      <c r="B1883" s="8" t="s">
        <v>8391</v>
      </c>
      <c r="C1883" s="8" t="s">
        <v>8263</v>
      </c>
      <c r="D1883" s="8" t="s">
        <v>71</v>
      </c>
      <c r="E1883" s="9" t="s">
        <v>19</v>
      </c>
      <c r="F1883" s="9" t="s">
        <v>20</v>
      </c>
      <c r="G1883" s="9" t="s">
        <v>80</v>
      </c>
      <c r="H1883" s="8" t="s">
        <v>8392</v>
      </c>
      <c r="I1883" s="8" t="s">
        <v>8393</v>
      </c>
      <c r="J1883" s="9">
        <v>16.35</v>
      </c>
      <c r="K1883" s="9">
        <v>18.0</v>
      </c>
      <c r="L1883" s="8" t="s">
        <v>1690</v>
      </c>
      <c r="M1883" s="8" t="s">
        <v>8394</v>
      </c>
      <c r="N1883" s="7" t="str">
        <f>IFERROR(__xludf.DUMMYFUNCTION("GOOGLETRANSLATE(L1883, ""en"", ""pt"")"),"Atendente de Sala de Jantar")</f>
        <v>Atendente de Sala de Jantar</v>
      </c>
      <c r="O1883" s="7" t="str">
        <f>IFERROR(__xludf.DUMMYFUNCTION("IF(M1883="""","""",GOOGLETRANSLATE(M1883,""en"",""pt""))"),"Os Auxiliares de Salão serão responsáveis ​​por polir copos, talheres e pratos, polir latão e cobre, montar e desmontar o restaurante (movendo mesas e cadeiras), limpar o salão, o bar e o pátio, verificar e manter os banheiros durante o serviço, cortar e "&amp;"servir pão, levar comida e bebidas, ajudar a preparar e servir bebidas simples, não elaboradas, de acordo com as receitas da empresa durante o serviço, operar e limpar a estação de café, reabastecer e manter a estação de café, receber, manter, passar e do"&amp;"brar roupas de mesa, recepcionar e acomodar os clientes, arrumar as mesas, encher jarras de água e marcar as bandejas, receber e reabastecer produtos secos e vinhos, manter e organizar os depósitos e os níveis de estoque, e seguir os Procedimentos Operaci"&amp;"onais Padrão (POP) de Serviço dos Restaurantes Sails. Classificação do Cargo: 35-9011.00 - Auxiliares de Salão e Cafeteria e Auxiliares de Bar. A classificação e descrição do cargo/setor inclui informações gerais sobre a posição, de acordo com o ONET/OES "&amp;"e o Sistema de Classificação Industrial da América do Norte. Consulte as Funções e a Ordem de Serviço para obter mais informações. Requisitos da Vaga Experiência Necessária: Sim Meses de Experiência Necessários: 3 Requisitos Especiais: Os dias e turnos de"&amp;" trabalho podem variar. Trabalho em feriados, fins de semana e noites, conforme necessário. O empregador reserva-se o direito de aumentar o salário, a remuneração ou o bônus de qualquer funcionário com base em suas habilidades, tempo de serviço, desempenh"&amp;"o ou experiência. Os funcionários devem ter pelo menos 18 anos de idade. O empregador considerará para emprego qualquer candidato que possua pelo menos três (3) meses de experiência em um ambiente de alta gastronomia ou de grande movimento em um restauran"&amp;"te sofisticado, resort ou clube privado. O candidato deverá se submeter à verificação de antecedentes e ao exame toxicológico pré-admissional, às custas do empregador. O candidato também deverá concluir o treinamento e a avaliação remunerados no local de "&amp;"trabalho, bem como seguir os procedimentos detalhados de atendimento do Sails Restaurants. Observe que, embora haja materiais de treinamento disponíveis online, a revisão desses materiais não é obrigatória fora do horário de trabalho, pois o treinamento é"&amp;" oferecido no local de trabalho. Aumentos na taxa horária além da taxa mínima garantida estão diretamente correlacionados à Política de Avanço por Pontos do Requerente, onde os pontos são determinados pela comunicação correta, habilidade e conhecimento. U"&amp;"ma série de dezesseis (16) extensos testes práticos e escritos, realizados em inglês, avaliará o conhecimento do produto e do serviço, bem como a velocidade do atendimento. Esses testes podem ser realizados durante todo o período de emprego. Isenção de Ho"&amp;"ras Extras ***** continuação de F.b.9. Cargo com gorjetas e salário garantido: US$ 16,35 por hora, pago quinzenalmente. Se os funcionários do Serviço de Refeitório forem remunerados por meio de taxas de serviço, o Empregador classificou este cargo como is"&amp;"ento dos requisitos de horas extras da Lei de Normas Justas de Trabalho (FLSA) sob sua Seção 207(i). Isso significa que os funcionários de atendimento no refeitório, conforme este pedido, não têm direito a pagamento de horas extras por cada hora trabalhad"&amp;"a além de 40 horas em uma semana de trabalho, desde que: (1) a remuneração normal exceda uma vez e meia o salário mínimo federal por cada hora trabalhada em uma semana de trabalho em que sejam realizadas horas extras; e (2) durante um período representati"&amp;"vo de três meses, pelo menos metade da remuneração total seja composta por taxas de serviço. Essa isenção permanecerá em vigor enquanto os funcionários de atendimento no refeitório continuarem a trabalhar na função e continuarem a ser remunerados por meio"&amp;" de taxas de serviço. Se qualquer um dos requisitos acima não for atendido, o empregador pagará horas extras por todas as horas trabalhadas além de quarenta (40) horas em uma semana de trabalho, à taxa de US$ 24,53 por hora. O empregador fornecerá a cada "&amp;"funcionário um (1) casaco de uniforme sem custo para o funcionário. Os funcionários devem se apresentar ao trabalho usando sapatos pretos limpos e em bom estado, calças pretas, meias pretas e uma camiseta branca lisa. Esses itens são considerados vestuári"&amp;"o padrão do dia a dia e devem ser fornecidos pelo funcionário, que deverá estar 100% em conformidade com a Política de Uniforme e Apresentação Pessoal da Empresa. Os funcionários devem falar inglês em nível conversacional. Número de horas por semana: 40. "&amp;"Horário de trabalho (início/término): 9h00 - 23h59.")</f>
        <v>Os Auxiliares de Salão serão responsáveis ​​por polir copos, talheres e pratos, polir latão e cobre, montar e desmontar o restaurante (movendo mesas e cadeiras), limpar o salão, o bar e o pátio, verificar e manter os banheiros durante o serviço, cortar e servir pão, levar comida e bebidas, ajudar a preparar e servir bebidas simples, não elaboradas, de acordo com as receitas da empresa durante o serviço, operar e limpar a estação de café, reabastecer e manter a estação de café, receber, manter, passar e dobrar roupas de mesa, recepcionar e acomodar os clientes, arrumar as mesas, encher jarras de água e marcar as bandejas, receber e reabastecer produtos secos e vinhos, manter e organizar os depósitos e os níveis de estoque, e seguir os Procedimentos Operacionais Padrão (POP) de Serviço dos Restaurantes Sails. Classificação do Cargo: 35-9011.00 - Auxiliares de Salão e Cafeteria e Auxiliares de Bar. A classificação e descrição do cargo/setor inclui informações gerais sobre a posição, de acordo com o ONET/OES e o Sistema de Classificação Industrial da América do Norte. Consulte as Funções e a Ordem de Serviço para obter mais informações. Requisitos da Vaga Experiência Necessária: Sim Meses de Experiência Necessários: 3 Requisitos Especiais: Os dias e turnos de trabalho podem variar. Trabalho em feriados, fins de semana e noites, conforme necessário. O empregador reserva-se o direito de aumentar o salário, a remuneração ou o bônus de qualquer funcionário com base em suas habilidades, tempo de serviço, desempenho ou experiência. Os funcionários devem ter pelo menos 18 anos de idade. O empregador considerará para emprego qualquer candidato que possua pelo menos três (3) meses de experiência em um ambiente de alta gastronomia ou de grande movimento em um restaurante sofisticado, resort ou clube privado. O candidato deverá se submeter à verificação de antecedentes e ao exame toxicológico pré-admissional, às custas do empregador. O candidato também deverá concluir o treinamento e a avaliação remunerados no local de trabalho, bem como seguir os procedimentos detalhados de atendimento do Sails Restaurants. Observe que, embora haja materiais de treinamento disponíveis online, a revisão desses materiais não é obrigatória fora do horário de trabalho, pois o treinamento é oferecido no local de trabalho. Aumentos na taxa horária além da taxa mínima garantida estão diretamente correlacionados à Política de Avanço por Pontos do Requerente, onde os pontos são determinados pela comunicação correta, habilidade e conhecimento. Uma série de dezesseis (16) extensos testes práticos e escritos, realizados em inglês, avaliará o conhecimento do produto e do serviço, bem como a velocidade do atendimento. Esses testes podem ser realizados durante todo o período de emprego. Isenção de Horas Extras ***** continuação de F.b.9. Cargo com gorjetas e salário garantido: US$ 16,35 por hora, pago quinzenalmente. Se os funcionários do Serviço de Refeitório forem remunerados por meio de taxas de serviço, o Empregador classificou este cargo como isento dos requisitos de horas extras da Lei de Normas Justas de Trabalho (FLSA) sob sua Seção 207(i). Isso significa que os funcionários de atendimento no refeitório, conforme este pedido, não têm direito a pagamento de horas extras por cada hora trabalhada além de 40 horas em uma semana de trabalho, desde que: (1) a remuneração normal exceda uma vez e meia o salário mínimo federal por cada hora trabalhada em uma semana de trabalho em que sejam realizadas horas extras; e (2) durante um período representativo de três meses, pelo menos metade da remuneração total seja composta por taxas de serviço. Essa isenção permanecerá em vigor enquanto os funcionários de atendimento no refeitório continuarem a trabalhar na função e continuarem a ser remunerados por meio de taxas de serviço. Se qualquer um dos requisitos acima não for atendido, o empregador pagará horas extras por todas as horas trabalhadas além de quarenta (40) horas em uma semana de trabalho, à taxa de US$ 24,53 por hora. O empregador fornecerá a cada funcionário um (1) casaco de uniforme sem custo para o funcionário. Os funcionários devem se apresentar ao trabalho usando sapatos pretos limpos e em bom estado, calças pretas, meias pretas e uma camiseta branca lisa. Esses itens são considerados vestuário padrão do dia a dia e devem ser fornecidos pelo funcionário, que deverá estar 100% em conformidade com a Política de Uniforme e Apresentação Pessoal da Empresa. Os funcionários devem falar inglês em nível conversacional. Número de horas por semana: 40. Horário de trabalho (início/término): 9h00 - 23h59.</v>
      </c>
    </row>
    <row r="1884" ht="20.25" customHeight="1">
      <c r="A1884" s="3" t="s">
        <v>8395</v>
      </c>
      <c r="B1884" s="3" t="s">
        <v>8391</v>
      </c>
      <c r="C1884" s="3" t="s">
        <v>8263</v>
      </c>
      <c r="D1884" s="3" t="s">
        <v>71</v>
      </c>
      <c r="E1884" s="4" t="s">
        <v>19</v>
      </c>
      <c r="F1884" s="4" t="s">
        <v>20</v>
      </c>
      <c r="G1884" s="4" t="s">
        <v>80</v>
      </c>
      <c r="H1884" s="3" t="s">
        <v>8392</v>
      </c>
      <c r="I1884" s="3" t="s">
        <v>8393</v>
      </c>
      <c r="J1884" s="4">
        <v>19.88</v>
      </c>
      <c r="K1884" s="4">
        <v>15.0</v>
      </c>
      <c r="L1884" s="3" t="s">
        <v>387</v>
      </c>
      <c r="M1884" s="3" t="s">
        <v>8396</v>
      </c>
      <c r="N1884" s="7" t="str">
        <f>IFERROR(__xludf.DUMMYFUNCTION("GOOGLETRANSLATE(L1884, ""en"", ""pt"")"),"Ordem de serviço não disponível")</f>
        <v>Ordem de serviço não disponível</v>
      </c>
      <c r="O1884" s="7" t="str">
        <f>IFERROR(__xludf.DUMMYFUNCTION("IF(M1884="""","""",GOOGLETRANSLATE(M1884,""en"",""pt""))"),"Os cozinheiros serão responsáveis ​​por cozinhar, assar, grelhar, refogar e gratinar frutos do mar, carnes, aves e vegetais, manter a área da cozinha limpa e higienizada, receber e armazenar todos os ingredientes diariamente, preparar todos os ingrediente"&amp;"s crus, preparar molhos, desossar e escamar peixes inteiros. Os cozinheiros também serão responsáveis ​​pela preparação da vitrine de gelo do bar de frutos do mar crus, apresentação do caviar e empratamento de pratos quentes e frios. Classificação do Carg"&amp;"o: 35-2014.00 - Cozinheiros, Restaurante. A classificação e descrição do cargo/setor incluem informações gerais sobre a posição, de acordo com o ONET/OES e o Sistema de Classificação Industrial da América do Norte. Consulte as Funções e a Ordem de Serviço"&amp;" para obter mais informações. Requisitos do Cargo: Experiência Necessária: Sim. Meses de Experiência Necessários: 12. Requisitos Especiais: Os dias e turnos podem variar. Trabalho em feriados, fins de semana e noites, conforme necessário. O empregador ofe"&amp;"rece a oportunidade de até 15 horas extras por semana, porém isso não é garantido. O empregador reserva-se o direito de aumentar o salário, a remuneração ou o bônus de qualquer funcionário com base em suas habilidades, tempo de serviço, desempenho ou expe"&amp;"riência. Os funcionários devem ter no mínimo 18 anos de idade. O empregador considerará para emprego qualquer candidato que possua doze (12) meses de experiência culinária em um ambiente de alta gastronomia ou de grande movimento, em um restaurante sofist"&amp;"icado, resort ou clube privado. O candidato deverá se submeter à verificação de antecedentes e ao exame toxicológico pré-admissional, às custas do empregador. O candidato também deverá concluir o treinamento remunerado em serviço. Observe que, embora o ma"&amp;"terial de treinamento esteja disponível online, a revisão desse material não é obrigatória fora do horário de trabalho, pois o treinamento em serviço é oferecido. O empregador fornecerá a cada funcionário um (1) dólmã e um (1) chapéu de chef, sem custo pa"&amp;"ra o funcionário. Os funcionários devem comparecer ao trabalho usando sapatos pretos limpos e em bom estado, calça preta, meias pretas e camiseta branca lisa. Esses itens são considerados vestuário padrão do dia a dia e devem ser fornecidos pelo funcionár"&amp;"io, que deverá estar 100% em conformidade com a Política de Uniforme e Apresentação Pessoal da Empresa. Os funcionários devem falar inglês em nível conversacional. Número de horas por semana: 40. Horário de trabalho (início/término): 9h00 - 23h59.")</f>
        <v>Os cozinheiros serão responsáveis ​​por cozinhar, assar, grelhar, refogar e gratinar frutos do mar, carnes, aves e vegetais, manter a área da cozinha limpa e higienizada, receber e armazenar todos os ingredientes diariamente, preparar todos os ingredientes crus, preparar molhos, desossar e escamar peixes inteiros. Os cozinheiros também serão responsáveis ​​pela preparação da vitrine de gelo do bar de frutos do mar crus, apresentação do caviar e empratamento de pratos quentes e frios. Classificação do Cargo: 35-2014.00 - Cozinheiros, Restaurante. A classificação e descrição do cargo/setor incluem informações gerais sobre a posição, de acordo com o ONET/OES e o Sistema de Classificação Industrial da América do Norte. Consulte as Funções e a Ordem de Serviço para obter mais informações. Requisitos do Cargo: Experiência Necessária: Sim. Meses de Experiência Necessários: 12. Requisitos Especiais: Os dias e turnos podem variar. Trabalho em feriados, fins de semana e noites, conforme necessário. O empregador oferece a oportunidade de até 15 horas extras por semana, porém isso não é garantido. O empregador reserva-se o direito de aumentar o salário, a remuneração ou o bônus de qualquer funcionário com base em suas habilidades, tempo de serviço, desempenho ou experiência. Os funcionários devem ter no mínimo 18 anos de idade. O empregador considerará para emprego qualquer candidato que possua doze (12) meses de experiência culinária em um ambiente de alta gastronomia ou de grande movimento, em um restaurante sofisticado, resort ou clube privado. O candidato deverá se submeter à verificação de antecedentes e ao exame toxicológico pré-admissional, às custas do empregador. O candidato também deverá concluir o treinamento remunerado em serviço. Observe que, embora o material de treinamento esteja disponível online, a revisão desse material não é obrigatória fora do horário de trabalho, pois o treinamento em serviço é oferecido. O empregador fornecerá a cada funcionário um (1) dólmã e um (1) chapéu de chef, sem custo para o funcionário. Os funcionários devem comparecer ao trabalho usando sapatos pretos limpos e em bom estado, calça preta, meias pretas e camiseta branca lisa. Esses itens são considerados vestuário padrão do dia a dia e devem ser fornecidos pelo funcionário, que deverá estar 100% em conformidade com a Política de Uniforme e Apresentação Pessoal da Empresa. Os funcionários devem falar inglês em nível conversacional. Número de horas por semana: 40. Horário de trabalho (início/término): 9h00 - 23h59.</v>
      </c>
    </row>
    <row r="1885" ht="20.25" customHeight="1">
      <c r="A1885" s="8" t="s">
        <v>8397</v>
      </c>
      <c r="B1885" s="8" t="s">
        <v>8391</v>
      </c>
      <c r="C1885" s="8" t="s">
        <v>8263</v>
      </c>
      <c r="D1885" s="8" t="s">
        <v>71</v>
      </c>
      <c r="E1885" s="9" t="s">
        <v>19</v>
      </c>
      <c r="F1885" s="9" t="s">
        <v>20</v>
      </c>
      <c r="G1885" s="9" t="s">
        <v>72</v>
      </c>
      <c r="H1885" s="8" t="s">
        <v>8392</v>
      </c>
      <c r="I1885" s="8" t="s">
        <v>8393</v>
      </c>
      <c r="J1885" s="9">
        <v>21.48</v>
      </c>
      <c r="K1885" s="9">
        <v>6.0</v>
      </c>
      <c r="L1885" s="8" t="s">
        <v>1684</v>
      </c>
      <c r="M1885" s="8" t="s">
        <v>8398</v>
      </c>
      <c r="N1885" s="7" t="str">
        <f>IFERROR(__xludf.DUMMYFUNCTION("GOOGLETRANSLATE(L1885, ""en"", ""pt"")"),"Barman")</f>
        <v>Barman</v>
      </c>
      <c r="O1885" s="7" t="str">
        <f>IFERROR(__xludf.DUMMYFUNCTION("IF(M1885="""","""",GOOGLETRANSLATE(M1885,""en"",""pt""))"),"Será responsável por receber pedidos de comida e bebida no salão e bar e inseri-los com precisão no sistema de ponto de venda (após a conclusão bem-sucedida de todos os treinamentos e testes), recepcionar e acomodar os clientes, servir pão na mesa, levar "&amp;"comida e bebidas, encher jarras de água, preparar café/chá e servir vinho, misturar e servir bebidas alcoólicas e não alcoólicas de acordo com as receitas da empresa durante o serviço, criar e desenvolver receitas de bebidas e guarnições, preparar e fecha"&amp;"r todo o restaurante, manter todas as áreas de trabalho limpas e higienizadas antes, durante e após o serviço, realizar limpeza profunda, reabastecer e manter o bar e a estação de café, incluindo pisos, mover e arrumar mesas, limpar, marcar e reorganizar "&amp;"o bar e as mesas, polir talheres, copos, pratos e bandejas de latão, lavar copos e equipamentos de bar, receber e reabastecer produtos secos, vinho, cerveja e bebidas alcoólicas, manter e organizar os depósitos e os níveis de estoque, atualizar as preferê"&amp;"ncias de comida e bebida dos clientes na plataforma digital, conferir o caixa, fatiar, espremer e retirar caroços de frutas para guarnição de bebidas. Também será responsável por seguir os procedimentos de serviço do Sails Restaurants. Classificação da Fu"&amp;"nção: 35-3011.00 - Bartenders. A classificação e descrição da função/setor inclui informações gerais sobre o cargo, de acordo com o ONET/OES e o Sistema de Classificação Industrial da América do Norte. Consulte as Funções e a Ordem de Serviço para obter m"&amp;"ais informações. Requisitos da Função: Experiência Necessária: Sim. Meses de Experiência Necessários: 6. Requisitos Especiais: Os dias e turnos de trabalho podem variar. Trabalho em feriados, fins de semana e noites, conforme necessário. O empregador rese"&amp;"rva-se o direito de aumentar o salário, a remuneração ou o bônus de qualquer funcionário com base em suas habilidades, tempo de serviço, desempenho ou experiência. Os funcionários devem ter pelo menos 18 anos de idade. O contratante considerará para empre"&amp;"go qualquer candidato que possua pelo menos seis (6) meses de experiência culinária em um ambiente de alta gastronomia ou de grande movimento, em um restaurante sofisticado, resort ou clube privado. O candidato deverá se submeter à verificação de antecede"&amp;"ntes e ao exame toxicológico pré-admissional, às custas do empregador. O candidato também deverá concluir o treinamento e a avaliação remunerados no local de trabalho, bem como seguir os procedimentos detalhados de serviço dos Restaurantes Sails. Observe "&amp;"que, embora haja materiais de treinamento disponíveis online, a revisão desses materiais não é obrigatória fora do horário de trabalho, pois o treinamento é oferecido no local de trabalho. Os aumentos na taxa horária além da taxa mínima garantida estão di"&amp;"retamente relacionados à Política de Avanço por Pontos do Requerente, na qual os pontos são determinados pela comunicação correta, habilidade e conhecimento. Uma série de dezesseis (16) testes práticos e escritos abrangentes, realizados em inglês, avaliar"&amp;"á o conhecimento do produto e do serviço, bem como a velocidade de atendimento. Esses testes podem ser realizados durante todo o período de emprego. Isenção de Horas Extras: ***** continuação de F.b.9. Cargo com gorjetas e salário garantido: US$ 21,48 por"&amp;" hora, pago quinzenalmente. Se os funcionários do bar forem remunerados por meio de taxas de serviço, o Empregador classificou este cargo como isento dos requisitos de horas extras da Lei de Normas Justas de Trabalho (FLSA) sob sua Seção 207(i). Isso sign"&amp;"ifica que os bartenders, conforme este pedido, não têm direito a pagamento de horas extras por cada hora trabalhada além de 40 horas semanais, desde que: (1) o salário normal seja superior a uma vez e meia o salário mínimo federal por cada hora trabalhada"&amp;" em uma semana em que sejam realizadas horas extras; e (2) durante um período representativo de três meses, pelo menos metade da remuneração total seja proveniente de taxas de serviço. Essa isenção permanecerá em vigor enquanto os bartenders continuarem a"&amp;" exercer a função e a receber remuneração por meio de taxas de serviço. Caso algum dos requisitos acima não seja atendido, o empregador pagará horas extras por todas as horas trabalhadas além de quarenta (40) horas semanais, à taxa de US$ 32,22 por hora. "&amp;"O empregador fornecerá a cada funcionário um (1) casaco de uniforme sem custo. Os funcionários devem comparecer ao trabalho usando sapatos pretos limpos e em bom estado, calça preta, meias pretas e camiseta branca lisa. Esses itens são considerados vestuá"&amp;"rio padrão do dia a dia e devem ser fornecidos pelo funcionário, que deverá estar 100% em conformidade com a Política de Uniforme e Apresentação Pessoal da Empresa. Os funcionários devem falar inglês em nível conversacional. Número de horas por semana: 40"&amp;". Horário de trabalho (início/término): 9h00 - 23h59.")</f>
        <v>Será responsável por receber pedidos de comida e bebida no salão e bar e inseri-los com precisão no sistema de ponto de venda (após a conclusão bem-sucedida de todos os treinamentos e testes), recepcionar e acomodar os clientes, servir pão na mesa, levar comida e bebidas, encher jarras de água, preparar café/chá e servir vinho, misturar e servir bebidas alcoólicas e não alcoólicas de acordo com as receitas da empresa durante o serviço, criar e desenvolver receitas de bebidas e guarnições, preparar e fechar todo o restaurante, manter todas as áreas de trabalho limpas e higienizadas antes, durante e após o serviço, realizar limpeza profunda, reabastecer e manter o bar e a estação de café, incluindo pisos, mover e arrumar mesas, limpar, marcar e reorganizar o bar e as mesas, polir talheres, copos, pratos e bandejas de latão, lavar copos e equipamentos de bar, receber e reabastecer produtos secos, vinho, cerveja e bebidas alcoólicas, manter e organizar os depósitos e os níveis de estoque, atualizar as preferências de comida e bebida dos clientes na plataforma digital, conferir o caixa, fatiar, espremer e retirar caroços de frutas para guarnição de bebidas. Também será responsável por seguir os procedimentos de serviço do Sails Restaurants. Classificação da Função: 35-3011.00 - Bartenders. A classificação e descrição da função/setor inclui informações gerais sobre o cargo, de acordo com o ONET/OES e o Sistema de Classificação Industrial da América do Norte. Consulte as Funções e a Ordem de Serviço para obter mais informações. Requisitos da Função: Experiência Necessária: Sim. Meses de Experiência Necessários: 6. Requisitos Especiais: Os dias e turnos de trabalho podem variar. Trabalho em feriados, fins de semana e noites, conforme necessário. O empregador reserva-se o direito de aumentar o salário, a remuneração ou o bônus de qualquer funcionário com base em suas habilidades, tempo de serviço, desempenho ou experiência. Os funcionários devem ter pelo menos 18 anos de idade. O contratante considerará para emprego qualquer candidato que possua pelo menos seis (6) meses de experiência culinária em um ambiente de alta gastronomia ou de grande movimento, em um restaurante sofisticado, resort ou clube privado. O candidato deverá se submeter à verificação de antecedentes e ao exame toxicológico pré-admissional, às custas do empregador. O candidato também deverá concluir o treinamento e a avaliação remunerados no local de trabalho, bem como seguir os procedimentos detalhados de serviço dos Restaurantes Sails. Observe que, embora haja materiais de treinamento disponíveis online, a revisão desses materiais não é obrigatória fora do horário de trabalho, pois o treinamento é oferecido no local de trabalho. Os aumentos na taxa horária além da taxa mínima garantida estão diretamente relacionados à Política de Avanço por Pontos do Requerente, na qual os pontos são determinados pela comunicação correta, habilidade e conhecimento. Uma série de dezesseis (16) testes práticos e escritos abrangentes, realizados em inglês, avaliará o conhecimento do produto e do serviço, bem como a velocidade de atendimento. Esses testes podem ser realizados durante todo o período de emprego. Isenção de Horas Extras: ***** continuação de F.b.9. Cargo com gorjetas e salário garantido: US$ 21,48 por hora, pago quinzenalmente. Se os funcionários do bar forem remunerados por meio de taxas de serviço, o Empregador classificou este cargo como isento dos requisitos de horas extras da Lei de Normas Justas de Trabalho (FLSA) sob sua Seção 207(i). Isso significa que os bartenders, conforme este pedido, não têm direito a pagamento de horas extras por cada hora trabalhada além de 40 horas semanais, desde que: (1) o salário normal seja superior a uma vez e meia o salário mínimo federal por cada hora trabalhada em uma semana em que sejam realizadas horas extras; e (2) durante um período representativo de três meses, pelo menos metade da remuneração total seja proveniente de taxas de serviço. Essa isenção permanecerá em vigor enquanto os bartenders continuarem a exercer a função e a receber remuneração por meio de taxas de serviço. Caso algum dos requisitos acima não seja atendido, o empregador pagará horas extras por todas as horas trabalhadas além de quarenta (40) horas semanais, à taxa de US$ 32,22 por hora. O empregador fornecerá a cada funcionário um (1) casaco de uniforme sem custo. Os funcionários devem comparecer ao trabalho usando sapatos pretos limpos e em bom estado, calça preta, meias pretas e camiseta branca lisa. Esses itens são considerados vestuário padrão do dia a dia e devem ser fornecidos pelo funcionário, que deverá estar 100% em conformidade com a Política de Uniforme e Apresentação Pessoal da Empresa. Os funcionários devem falar inglês em nível conversacional. Número de horas por semana: 40. Horário de trabalho (início/término): 9h00 - 23h59.</v>
      </c>
    </row>
    <row r="1886" ht="20.25" customHeight="1">
      <c r="A1886" s="3" t="s">
        <v>8399</v>
      </c>
      <c r="B1886" s="3" t="s">
        <v>8391</v>
      </c>
      <c r="C1886" s="3" t="s">
        <v>8263</v>
      </c>
      <c r="D1886" s="3" t="s">
        <v>71</v>
      </c>
      <c r="E1886" s="4" t="s">
        <v>44</v>
      </c>
      <c r="F1886" s="4" t="s">
        <v>20</v>
      </c>
      <c r="G1886" s="4" t="s">
        <v>80</v>
      </c>
      <c r="H1886" s="3" t="s">
        <v>8392</v>
      </c>
      <c r="I1886" s="3" t="s">
        <v>8393</v>
      </c>
      <c r="J1886" s="4">
        <v>37.53</v>
      </c>
      <c r="K1886" s="4">
        <v>4.0</v>
      </c>
      <c r="L1886" s="3" t="s">
        <v>4577</v>
      </c>
      <c r="M1886" s="3" t="s">
        <v>8400</v>
      </c>
      <c r="N1886" s="7" t="str">
        <f>IFERROR(__xludf.DUMMYFUNCTION("GOOGLETRANSLATE(L1886, ""en"", ""pt"")"),"Subchefe")</f>
        <v>Subchefe</v>
      </c>
      <c r="O1886" s="7" t="str">
        <f>IFERROR(__xludf.DUMMYFUNCTION("IF(M1886="""","""",GOOGLETRANSLATE(M1886,""en"",""pt""))"),"Os Subchefes são responsáveis ​​por monitorar as práticas de higiene e segurança alimentar para garantir que todos os funcionários sigam os rigorosos padrões da empresa e as regulamentações governamentais; verificar diariamente a qualidade dos produtos al"&amp;"imentícios crus e cozidos para garantir que os mais altos padrões sejam atendidos; determinar os cronogramas de produção e as necessidades de pessoal para garantir a entrega pontual dos serviços e o custo ideal da mão de obra; encomendar e receber produto"&amp;"s e utensílios de cozinha; receber e verificar a quantidade e a qualidade de todos os produtos recebidos, incluindo produtos secos; definir níveis de estoque precisos e ajustá-los de acordo com o volume de negócios; realizar inventários diários, semanais "&amp;"e mensais; treinar novos funcionários; executar todas as estações da cozinha com perfeição durante o serviço, bem como o preparo de molhos e proteínas; e auxiliar o Chef Executivo na contratação, entrevista, supervisão e coordenação das atividades dos coz"&amp;"inheiros ou outros funcionários envolvidos no preparo de alimentos; organizar e receber os produtos; abrir e/ou fechar todo o restaurante, incluindo a verificação das tarefas auxiliares de abertura e/ou fechamento, a verificação dos uniformes, a elaboraçã"&amp;"o de relatórios de abertura e fechamento e a documentação de quaisquer violações dos procedimentos operacionais padrão da empresa. Classificação da Função: 35-1011.00 - Chefs e Cozinheiros Chefes. A classificação e descrição da função/setor inclui informa"&amp;"ções gerais sobre o cargo, de acordo com o ONET/OES e o Sistema de Classificação Industrial da América do Norte. Consulte as Funções e a Ordem de Serviço para obter mais informações. Requisitos da Função: Experiência Necessária: Sim. Meses de Experiência "&amp;"Necessários: 36. Requisitos Especiais: Os dias e horários de trabalho podem variar. Trabalho em feriados, fins de semana e noites, conforme necessário. O empregador oferece a oportunidade de até 15 horas extras por semana, porém isso não é garantido. O em"&amp;"pregador reserva-se o direito de aumentar o salário, a remuneração ou o bônus de qualquer funcionário com base em suas habilidades, tempo de serviço, desempenho ou experiência. Os funcionários devem ter pelo menos 18 anos de idade. O Requerente considerar"&amp;"á para emprego qualquer candidato que possua pelo menos trinta e seis (36) meses de experiência culinária em um ambiente de alta gastronomia, em um restaurante sofisticado ou de grande movimento, resort ou clube privado. O candidato deverá se submeter à v"&amp;"erificação de antecedentes e ao exame toxicológico pré-admissional, custeados pelo empregador. O candidato também deverá concluir o treinamento remunerado em serviço. Observe que, embora o material de treinamento esteja disponível online, a revisão desse "&amp;"material fora do horário de trabalho não é obrigatória, pois o treinamento em serviço é oferecido. O empregador fornecerá a cada funcionário um (1) dólmã de chef e um (1) chapéu para Subchefe e Cozinheiro, sem custo para o funcionário. Os funcionários dev"&amp;"em se apresentar ao trabalho usando sapatos pretos limpos e em bom estado, calça preta, meias pretas e camiseta branca lisa. Esses itens são considerados vestuário padrão do dia a dia e devem ser fornecidos pelo funcionário, que deverá estar 100% em confo"&amp;"rmidade com a Política de Uniforme e Apresentação Pessoal da Empresa. Os funcionários devem falar inglês em nível conversacional. Número de horas por semana: 40. Horário de trabalho (início/término): 9h00 - 23h59.")</f>
        <v>Os Subchefes são responsáveis ​​por monitorar as práticas de higiene e segurança alimentar para garantir que todos os funcionários sigam os rigorosos padrões da empresa e as regulamentações governamentais; verificar diariamente a qualidade dos produtos alimentícios crus e cozidos para garantir que os mais altos padrões sejam atendidos; determinar os cronogramas de produção e as necessidades de pessoal para garantir a entrega pontual dos serviços e o custo ideal da mão de obra; encomendar e receber produtos e utensílios de cozinha; receber e verificar a quantidade e a qualidade de todos os produtos recebidos, incluindo produtos secos; definir níveis de estoque precisos e ajustá-los de acordo com o volume de negócios; realizar inventários diários, semanais e mensais; treinar novos funcionários; executar todas as estações da cozinha com perfeição durante o serviço, bem como o preparo de molhos e proteínas; e auxiliar o Chef Executivo na contratação, entrevista, supervisão e coordenação das atividades dos cozinheiros ou outros funcionários envolvidos no preparo de alimentos; organizar e receber os produtos; abrir e/ou fechar todo o restaurante, incluindo a verificação das tarefas auxiliares de abertura e/ou fechamento, a verificação dos uniformes, a elaboração de relatórios de abertura e fechamento e a documentação de quaisquer violações dos procedimentos operacionais padrão da empresa. Classificação da Função: 35-1011.00 - Chefs e Cozinheiros Chefes. A classificação e descrição da função/setor inclui informações gerais sobre o cargo, de acordo com o ONET/OES e o Sistema de Classificação Industrial da América do Norte. Consulte as Funções e a Ordem de Serviço para obter mais informações. Requisitos da Função: Experiência Necessária: Sim. Meses de Experiência Necessários: 36. Requisitos Especiais: Os dias e horários de trabalho podem variar. Trabalho em feriados, fins de semana e noites, conforme necessário. O empregador oferece a oportunidade de até 15 horas extras por semana, porém isso não é garantido. O empregador reserva-se o direito de aumentar o salário, a remuneração ou o bônus de qualquer funcionário com base em suas habilidades, tempo de serviço, desempenho ou experiência. Os funcionários devem ter pelo menos 18 anos de idade. O Requerente considerará para emprego qualquer candidato que possua pelo menos trinta e seis (36) meses de experiência culinária em um ambiente de alta gastronomia, em um restaurante sofisticado ou de grande movimento, resort ou clube privado. O candidato deverá se submeter à verificação de antecedentes e ao exame toxicológico pré-admissional, custeados pelo empregador. O candidato também deverá concluir o treinamento remunerado em serviço. Observe que, embora o material de treinamento esteja disponível online, a revisão desse material fora do horário de trabalho não é obrigatória, pois o treinamento em serviço é oferecido. O empregador fornecerá a cada funcionário um (1) dólmã de chef e um (1) chapéu para Subchefe e Cozinheiro, sem custo para o funcionário. Os funcionários devem se apresentar ao trabalho usando sapatos pretos limpos e em bom estado, calça preta, meias pretas e camiseta branca lisa. Esses itens são considerados vestuário padrão do dia a dia e devem ser fornecidos pelo funcionário, que deverá estar 100% em conformidade com a Política de Uniforme e Apresentação Pessoal da Empresa. Os funcionários devem falar inglês em nível conversacional. Número de horas por semana: 40. Horário de trabalho (início/término): 9h00 - 23h59.</v>
      </c>
    </row>
    <row r="1887" ht="20.25" customHeight="1">
      <c r="A1887" s="8" t="s">
        <v>8401</v>
      </c>
      <c r="B1887" s="8" t="s">
        <v>8391</v>
      </c>
      <c r="C1887" s="8" t="s">
        <v>8263</v>
      </c>
      <c r="D1887" s="8" t="s">
        <v>71</v>
      </c>
      <c r="E1887" s="9" t="s">
        <v>44</v>
      </c>
      <c r="F1887" s="9" t="s">
        <v>20</v>
      </c>
      <c r="G1887" s="9" t="s">
        <v>80</v>
      </c>
      <c r="H1887" s="8" t="s">
        <v>8392</v>
      </c>
      <c r="I1887" s="8" t="s">
        <v>8393</v>
      </c>
      <c r="J1887" s="9">
        <v>38.89</v>
      </c>
      <c r="K1887" s="9">
        <v>3.0</v>
      </c>
      <c r="L1887" s="8" t="s">
        <v>8402</v>
      </c>
      <c r="M1887" s="8" t="s">
        <v>8403</v>
      </c>
      <c r="N1887" s="7" t="str">
        <f>IFERROR(__xludf.DUMMYFUNCTION("GOOGLETRANSLATE(L1887, ""en"", ""pt"")"),"Gerente de Restaurante")</f>
        <v>Gerente de Restaurante</v>
      </c>
      <c r="O1887" s="7" t="str">
        <f>IFERROR(__xludf.DUMMYFUNCTION("IF(M1887="""","""",GOOGLETRANSLATE(M1887,""en"",""pt""))"),"Os Gerentes de Restaurante serão responsáveis ​​por garantir que a empresa esteja em conformidade com as agências governamentais em relação à higiene e ao manuseio de alimentos e bebidas, incluindo manter todos os registros necessários com precisão, inves"&amp;"tigar, resolver e aprimorar processos e Procedimentos Operacionais Padrão (POP) em caso de reclamações sobre a qualidade dos alimentos ou do serviço, realizar inventários de alimentos e equipamentos, e manter registros detalhados de inventário em planilha"&amp;"s Craftable e manuais, monitorar os métodos de preparo dos alimentos, o tamanho das porções, a decoração e a apresentação dos pratos para garantir que sejam preparados e apresentados de maneira adequada, comprar, agendar e receber entregas de alimentos e "&amp;"bebidas, verificar o conteúdo das entregas para confirmar a qualidade e a quantidade dos produtos, conduzir reuniões e atividades de supervisão (como a criação de escalas de trabalho), contratar e entrevistar funcionários, observar e avaliar os funcionári"&amp;"os e os procedimentos de trabalho para garantir os padrões de qualidade e serviço, e colaborar com outros funcionários do restaurante no planejamento do cardápio, organização do serviço, planejamento de eventos e detalhes relacionados, abrir e/ou fechar t"&amp;"odo o restaurante, incluindo a verificação das tarefas auxiliares de abertura e/ou fechamento, verificação de uniformes, elaboração de relatórios de abertura e fechamento e documentação de quaisquer violações dos POP da empresa, executar todas as funções "&amp;"no salão durante o serviço, incluindo Maître d', chefe de estação, todas as funções no bar, expedição e capacidade de fazer reservas quando necessário. Classificação do Cargo: 11-9051.00 - Gerentes de Serviços de Alimentação. A classificação e descrição d"&amp;"o cargo/setor inclui informações gerais sobre a posição, de acordo com o ONET/OES e o Sistema de Classificação Industrial da América do Norte. Consulte as Funções e a Ordem de Serviço para obter mais informações. Requisitos do Cargo Experiência Necessária"&amp;": Sim Meses de Experiência Necessários: 12 Requisitos Especiais: Os dias e horários de trabalho podem variar. Trabalho em feriados, fins de semana e noites, conforme necessário. O empregador oferece a oportunidade de até 15 horas extras por semana, porém "&amp;"isso não é garantido. O empregador reserva-se o direito de aumentar o salário, a remuneração ou o bônus de qualquer funcionário com base em suas habilidades, tempo de serviço, desempenho ou experiência. Os funcionários devem ter pelo menos 18 anos de idad"&amp;"e. O Requerente considerará para emprego qualquer candidato que possua pelo menos doze (12) meses de experiência em um ambiente de alta gastronomia em um restaurante sofisticado ou de grande movimento, resort ou clube privado. O candidato deverá se submet"&amp;"er à verificação de antecedentes e ao exame toxicológico pré-admissional, custeados pelo empregador. O candidato também deverá concluir o treinamento remunerado em serviço e os testes, além de seguir os procedimentos detalhados de atendimento do Sails Res"&amp;"taurants. Observe que, embora o material de treinamento esteja disponível online, a revisão desse material fora do horário de trabalho não é obrigatória, pois o treinamento em serviço é oferecido. Uma série de dezesseis (16) testes práticos e escritos abr"&amp;"angentes, realizados em inglês, avaliará o conhecimento sobre os produtos e serviços, bem como a velocidade de atendimento. Esses testes poderão ser realizados durante todo o período de emprego. O candidato deverá cumprir a política de uniforme e apresent"&amp;"ação pessoal da empresa. É necessário que os funcionários falem inglês em nível conversacional. Número de horas por semana: 40. Horário de trabalho (início/término): 9h00 - 23h59.")</f>
        <v>Os Gerentes de Restaurante serão responsáveis ​​por garantir que a empresa esteja em conformidade com as agências governamentais em relação à higiene e ao manuseio de alimentos e bebidas, incluindo manter todos os registros necessários com precisão, investigar, resolver e aprimorar processos e Procedimentos Operacionais Padrão (POP) em caso de reclamações sobre a qualidade dos alimentos ou do serviço, realizar inventários de alimentos e equipamentos, e manter registros detalhados de inventário em planilhas Craftable e manuais, monitorar os métodos de preparo dos alimentos, o tamanho das porções, a decoração e a apresentação dos pratos para garantir que sejam preparados e apresentados de maneira adequada, comprar, agendar e receber entregas de alimentos e bebidas, verificar o conteúdo das entregas para confirmar a qualidade e a quantidade dos produtos, conduzir reuniões e atividades de supervisão (como a criação de escalas de trabalho), contratar e entrevistar funcionários, observar e avaliar os funcionários e os procedimentos de trabalho para garantir os padrões de qualidade e serviço, e colaborar com outros funcionários do restaurante no planejamento do cardápio, organização do serviço, planejamento de eventos e detalhes relacionados, abrir e/ou fechar todo o restaurante, incluindo a verificação das tarefas auxiliares de abertura e/ou fechamento, verificação de uniformes, elaboração de relatórios de abertura e fechamento e documentação de quaisquer violações dos POP da empresa, executar todas as funções no salão durante o serviço, incluindo Maître d', chefe de estação, todas as funções no bar, expedição e capacidade de fazer reservas quando necessário. Classificação do Cargo: 11-9051.00 - Gerentes de Serviços de Alimentação. A classificação e descrição do cargo/setor inclui informações gerais sobre a posição, de acordo com o ONET/OES e o Sistema de Classificação Industrial da América do Norte. Consulte as Funções e a Ordem de Serviço para obter mais informações. Requisitos do Cargo Experiência Necessária: Sim Meses de Experiência Necessários: 12 Requisitos Especiais: Os dias e horários de trabalho podem variar. Trabalho em feriados, fins de semana e noites, conforme necessário. O empregador oferece a oportunidade de até 15 horas extras por semana, porém isso não é garantido. O empregador reserva-se o direito de aumentar o salário, a remuneração ou o bônus de qualquer funcionário com base em suas habilidades, tempo de serviço, desempenho ou experiência. Os funcionários devem ter pelo menos 18 anos de idade. O Requerente considerará para emprego qualquer candidato que possua pelo menos doze (12) meses de experiência em um ambiente de alta gastronomia em um restaurante sofisticado ou de grande movimento, resort ou clube privado. O candidato deverá se submeter à verificação de antecedentes e ao exame toxicológico pré-admissional, custeados pelo empregador. O candidato também deverá concluir o treinamento remunerado em serviço e os testes, além de seguir os procedimentos detalhados de atendimento do Sails Restaurants. Observe que, embora o material de treinamento esteja disponível online, a revisão desse material fora do horário de trabalho não é obrigatória, pois o treinamento em serviço é oferecido. Uma série de dezesseis (16) testes práticos e escritos abrangentes, realizados em inglês, avaliará o conhecimento sobre os produtos e serviços, bem como a velocidade de atendimento. Esses testes poderão ser realizados durante todo o período de emprego. O candidato deverá cumprir a política de uniforme e apresentação pessoal da empresa. É necessário que os funcionários falem inglês em nível conversacional. Número de horas por semana: 40. Horário de trabalho (início/término): 9h00 - 23h59.</v>
      </c>
    </row>
    <row r="1888" ht="20.25" customHeight="1">
      <c r="A1888" s="3" t="s">
        <v>8404</v>
      </c>
      <c r="B1888" s="3" t="s">
        <v>8405</v>
      </c>
      <c r="C1888" s="3" t="s">
        <v>8263</v>
      </c>
      <c r="D1888" s="3" t="s">
        <v>71</v>
      </c>
      <c r="E1888" s="4" t="s">
        <v>19</v>
      </c>
      <c r="F1888" s="4" t="s">
        <v>20</v>
      </c>
      <c r="G1888" s="4" t="s">
        <v>80</v>
      </c>
      <c r="H1888" s="3" t="s">
        <v>8392</v>
      </c>
      <c r="I1888" s="3" t="s">
        <v>8393</v>
      </c>
      <c r="J1888" s="4">
        <v>20.13</v>
      </c>
      <c r="K1888" s="4">
        <v>25.0</v>
      </c>
      <c r="L1888" s="3" t="s">
        <v>1206</v>
      </c>
      <c r="M1888" s="3" t="s">
        <v>8406</v>
      </c>
      <c r="N1888" s="7" t="str">
        <f>IFERROR(__xludf.DUMMYFUNCTION("GOOGLETRANSLATE(L1888, ""en"", ""pt"")"),"Servidor")</f>
        <v>Servidor</v>
      </c>
      <c r="O1888" s="7" t="str">
        <f>IFERROR(__xludf.DUMMYFUNCTION("IF(M1888="""","""",GOOGLETRANSLATE(M1888,""en"",""pt""))"),"Os garçons serão responsáveis ​​por anotar os pedidos de comida e bebida no salão e bar e inseri-los com precisão no sistema de ponto de venda (após a conclusão bem-sucedida de todo o treinamento e testes), servir pão à mesa, levar comida e bebidas, agili"&amp;"zar o serviço, preparar café/chá e servir vinho, preparar e fechar o restaurante para o serviço, manter todas as áreas de trabalho limpas e higienizadas antes, durante e após o serviço, reabastecer os pontos de venda, mover e arrumar as mesas, passar roup"&amp;"as de mesa, limpar, marcar e arrumar as mesas e polir talheres, copos, pratos e bandejas de latão. Os funcionários serão responsáveis ​​por seguir os procedimentos de serviço do Sails Restaurants. Classificação do Cargo: 35-3031.00 - Garçons e Garçonetes."&amp;" A classificação e descrição do cargo/setor inclui informações gerais sobre a posição, de acordo com o ONET/OES e o Sistema de Classificação Industrial da América do Norte. Consulte as Funções e a Ordem de Serviço para obter mais informações. Requisitos d"&amp;"o Cargo: Experiência Necessária: Sim. Meses de Experiência Necessários: 6. Requisitos Especiais: Os dias e horários de trabalho podem variar. Trabalho em feriados, fins de semana e noites, conforme necessário. O empregador reserva-se o direito de aumentar"&amp;" o salário, a remuneração ou o bônus de qualquer funcionário com base em suas habilidades, tempo de serviço, desempenho ou experiência. Os funcionários devem ter pelo menos 18 anos de idade. O requerente considerará para emprego qualquer candidato que pos"&amp;"sua pelo menos seis (6) meses de experiência culinária em um ambiente de alta gastronomia ou de grande movimento, em um restaurante sofisticado, resort ou clube privado. O candidato deverá se submeter à verificação de antecedentes e ao exame toxicológico "&amp;"pré-admissional, às custas do empregador. O candidato também deverá concluir o treinamento e a avaliação remunerados no local de trabalho, bem como seguir os procedimentos detalhados de atendimento dos Restaurantes Sails. Observe que, embora haja materiai"&amp;"s disponíveis online para treinamento, a revisão desses materiais não é obrigatória fora do horário de trabalho, pois o treinamento é oferecido no local de trabalho. Os aumentos na remuneração horária além do salário mínimo garantido estão diretamente rel"&amp;"acionados à Política de Avanço por Pontos do requerente, na qual os pontos são determinados pela comunicação correta, habilidade e conhecimento. Uma série de dezesseis (16) extensos testes práticos e escritos, realizados em inglês, avaliará o conhecimento"&amp;" do produto e do serviço, bem como a velocidade de atendimento. Esses testes estão disponíveis para serem realizados durante todo o período de seu emprego. Isenção de Horas Extras: ***** continuação de F.b.9. Cargo com gorjetas e salário garantido: US$ 20"&amp;",13 por hora, pago quinzenalmente. Se os garçons forem remunerados por meio de taxas de serviço, o Empregador classificou este cargo como isento dos requisitos de horas extras da Lei de Normas Justas de Trabalho (FLSA) sob sua Seção 207(i). Isso significa"&amp;" que os garçons, conforme esta solicitação, não têm direito a remuneração de horas extras por cada hora trabalhada acima de 40 horas em uma semana de trabalho, desde que: (1) a remuneração normal exceda uma vez e meia o salário mínimo federal por cada hor"&amp;"a trabalhada em uma semana de trabalho em que horas extras sejam trabalhadas; e (2) durante um período representativo de três meses, pelo menos metade dos ganhos totais consista em taxas de serviço. Esta isenção permanecerá em vigor enquanto os garçons co"&amp;"ntinuarem a trabalhar no cargo e continuarem a ser remunerados por meio de taxas de serviço. Caso qualquer um dos requisitos acima não seja atendido, o Empregador pagará horas extras por todas as horas trabalhadas além de quarenta (40) em uma semana de tr"&amp;"abalho, à taxa de US$ 30,20 por hora. O Empregador fornecerá a cada funcionário um (1) casaco de uniforme sem custo para o funcionário. Os funcionários devem se apresentar ao trabalho usando sapatos pretos limpos e em bom estado, calças pretas, meias pret"&amp;"as e uma camiseta branca lisa. Esses itens são considerados vestuário padrão para o dia a dia e devem ser fornecidos pelo funcionário, sendo esperado que estejam 100% em conformidade com a Política de Uniforme e Apresentação Pessoal da Empresa. Os funcion"&amp;"ários devem falar inglês em nível conversacional. Número de horas por semana: 40. Horário de trabalho (início/término): 9h00 - 23h59.")</f>
        <v>Os garçons serão responsáveis ​​por anotar os pedidos de comida e bebida no salão e bar e inseri-los com precisão no sistema de ponto de venda (após a conclusão bem-sucedida de todo o treinamento e testes), servir pão à mesa, levar comida e bebidas, agilizar o serviço, preparar café/chá e servir vinho, preparar e fechar o restaurante para o serviço, manter todas as áreas de trabalho limpas e higienizadas antes, durante e após o serviço, reabastecer os pontos de venda, mover e arrumar as mesas, passar roupas de mesa, limpar, marcar e arrumar as mesas e polir talheres, copos, pratos e bandejas de latão. Os funcionários serão responsáveis ​​por seguir os procedimentos de serviço do Sails Restaurants. Classificação do Cargo: 35-3031.00 - Garçons e Garçonetes. A classificação e descrição do cargo/setor inclui informações gerais sobre a posição, de acordo com o ONET/OES e o Sistema de Classificação Industrial da América do Norte. Consulte as Funções e a Ordem de Serviço para obter mais informações. Requisitos do Cargo: Experiência Necessária: Sim. Meses de Experiência Necessários: 6. Requisitos Especiais: Os dias e horários de trabalho podem variar. Trabalho em feriados, fins de semana e noites, conforme necessário. O empregador reserva-se o direito de aumentar o salário, a remuneração ou o bônus de qualquer funcionário com base em suas habilidades, tempo de serviço, desempenho ou experiência. Os funcionários devem ter pelo menos 18 anos de idade. O requerente considerará para emprego qualquer candidato que possua pelo menos seis (6) meses de experiência culinária em um ambiente de alta gastronomia ou de grande movimento, em um restaurante sofisticado, resort ou clube privado. O candidato deverá se submeter à verificação de antecedentes e ao exame toxicológico pré-admissional, às custas do empregador. O candidato também deverá concluir o treinamento e a avaliação remunerados no local de trabalho, bem como seguir os procedimentos detalhados de atendimento dos Restaurantes Sails. Observe que, embora haja materiais disponíveis online para treinamento, a revisão desses materiais não é obrigatória fora do horário de trabalho, pois o treinamento é oferecido no local de trabalho. Os aumentos na remuneração horária além do salário mínimo garantido estão diretamente relacionados à Política de Avanço por Pontos do requerente, na qual os pontos são determinados pela comunicação correta, habilidade e conhecimento. Uma série de dezesseis (16) extensos testes práticos e escritos, realizados em inglês, avaliará o conhecimento do produto e do serviço, bem como a velocidade de atendimento. Esses testes estão disponíveis para serem realizados durante todo o período de seu emprego. Isenção de Horas Extras: ***** continuação de F.b.9. Cargo com gorjetas e salário garantido: US$ 20,13 por hora, pago quinzenalmente. Se os garçons forem remunerados por meio de taxas de serviço, o Empregador classificou este cargo como isento dos requisitos de horas extras da Lei de Normas Justas de Trabalho (FLSA) sob sua Seção 207(i). Isso significa que os garçons, conforme esta solicitação, não têm direito a remuneração de horas extras por cada hora trabalhada acima de 40 horas em uma semana de trabalho, desde que: (1) a remuneração normal exceda uma vez e meia o salário mínimo federal por cada hora trabalhada em uma semana de trabalho em que horas extras sejam trabalhadas; e (2) durante um período representativo de três meses, pelo menos metade dos ganhos totais consista em taxas de serviço. Esta isenção permanecerá em vigor enquanto os garçons continuarem a trabalhar no cargo e continuarem a ser remunerados por meio de taxas de serviço. Caso qualquer um dos requisitos acima não seja atendido, o Empregador pagará horas extras por todas as horas trabalhadas além de quarenta (40) em uma semana de trabalho, à taxa de US$ 30,20 por hora. O Empregador fornecerá a cada funcionário um (1) casaco de uniforme sem custo para o funcionário. Os funcionários devem se apresentar ao trabalho usando sapatos pretos limpos e em bom estado, calças pretas, meias pretas e uma camiseta branca lisa. Esses itens são considerados vestuário padrão para o dia a dia e devem ser fornecidos pelo funcionário, sendo esperado que estejam 100% em conformidade com a Política de Uniforme e Apresentação Pessoal da Empresa. Os funcionários devem falar inglês em nível conversacional. Número de horas por semana: 40. Horário de trabalho (início/término): 9h00 - 23h59.</v>
      </c>
    </row>
    <row r="1889" ht="20.25" customHeight="1">
      <c r="A1889" s="8" t="s">
        <v>8407</v>
      </c>
      <c r="B1889" s="8" t="s">
        <v>8408</v>
      </c>
      <c r="C1889" s="8" t="s">
        <v>6228</v>
      </c>
      <c r="D1889" s="8" t="s">
        <v>64</v>
      </c>
      <c r="E1889" s="9" t="s">
        <v>44</v>
      </c>
      <c r="F1889" s="9" t="s">
        <v>20</v>
      </c>
      <c r="G1889" s="9" t="s">
        <v>377</v>
      </c>
      <c r="H1889" s="8" t="s">
        <v>8409</v>
      </c>
      <c r="I1889" s="8" t="s">
        <v>8410</v>
      </c>
      <c r="J1889" s="9">
        <v>16.81</v>
      </c>
      <c r="K1889" s="9">
        <v>6.0</v>
      </c>
      <c r="L1889" s="8" t="s">
        <v>8411</v>
      </c>
      <c r="M1889" s="8" t="s">
        <v>8412</v>
      </c>
      <c r="N1889" s="7" t="str">
        <f>IFERROR(__xludf.DUMMYFUNCTION("GOOGLETRANSLATE(L1889, ""en"", ""pt"")"),"Atendente de refeitório")</f>
        <v>Atendente de refeitório</v>
      </c>
      <c r="O1889" s="7" t="str">
        <f>IFERROR(__xludf.DUMMYFUNCTION("IF(M1889="""","""",GOOGLETRANSLATE(M1889,""en"",""pt""))"),"Auxiliar no serviço de alimentos e bebidas em salas de degustação, trailers, bares e espaços de degustação ao ar livre. Montar e desmontar equipamentos da vinícola, como guarda-sóis, aquecedores e refrigeradores, para eventos e aulas de degustação. Limpar"&amp;" mesas; remover pratos sujos; trocar toalhas de mesa sujas; transportar toalhas de mesa sujas para a lavanderia ou áreas de lavagem; arrumar mesas para novos clientes; repor talheres, copos e pratos; abastecer o bar de serviço com alimentos; e servir iten"&amp;"s como bebidas e condimentos aos clientes. Preparar charcutaria para eventos de degustação. Manter os itens em estoque organizados, com a devida rotação e claramente etiquetados, além de manter o estoque da área de vendas. Limpar os espaços de refeição, c"&amp;"onforme necessário. Classificação da vaga: 53-7062.00 - Operários e Movimentadores de Carga, Estoque e Materiais. A classificação e descrição da vaga/setor incluem informações gerais sobre o cargo, de acordo com o ONET/OES e o Sistema de Classificação Ind"&amp;"ustrial da América do Norte. Consulte as Funções e a Ordem de Serviço para obter mais informações. Requisitos da vaga Experiência necessária: Não Requisitos especiais: Os candidatos devem ter 21 anos de idade ou mais, ser capazes de levantar e carregar at"&amp;"é 34 kg e ter disponibilidade para trabalhar 5 dias por semana, incluindo fins de semana e feriados, conforme necessário. Número de horas por semana: 35 Horário de trabalho (início/término): 10h às 19h")</f>
        <v>Auxiliar no serviço de alimentos e bebidas em salas de degustação, trailers, bares e espaços de degustação ao ar livre. Montar e desmontar equipamentos da vinícola, como guarda-sóis, aquecedores e refrigeradores, para eventos e aulas de degustação. Limpar mesas; remover pratos sujos; trocar toalhas de mesa sujas; transportar toalhas de mesa sujas para a lavanderia ou áreas de lavagem; arrumar mesas para novos clientes; repor talheres, copos e pratos; abastecer o bar de serviço com alimentos; e servir itens como bebidas e condimentos aos clientes. Preparar charcutaria para eventos de degustação. Manter os itens em estoque organizados, com a devida rotação e claramente etiquetados, além de manter o estoque da área de vendas. Limpar os espaços de refeição, conforme necessário. Classificação da vaga: 53-7062.00 - Operários e Movimentadores de Carga, Estoque e Materiais. A classificação e descrição da vaga/setor incluem informações gerais sobre o cargo, de acordo com o ONET/OES e o Sistema de Classificação Industrial da América do Norte. Consulte as Funções e a Ordem de Serviço para obter mais informações. Requisitos da vaga Experiência necessária: Não Requisitos especiais: Os candidatos devem ter 21 anos de idade ou mais, ser capazes de levantar e carregar até 34 kg e ter disponibilidade para trabalhar 5 dias por semana, incluindo fins de semana e feriados, conforme necessário. Número de horas por semana: 35 Horário de trabalho (início/término): 10h às 19h</v>
      </c>
    </row>
    <row r="1890" ht="20.25" customHeight="1">
      <c r="A1890" s="3" t="s">
        <v>8413</v>
      </c>
      <c r="B1890" s="3" t="s">
        <v>8414</v>
      </c>
      <c r="C1890" s="3" t="s">
        <v>8415</v>
      </c>
      <c r="D1890" s="3" t="s">
        <v>140</v>
      </c>
      <c r="E1890" s="4" t="s">
        <v>19</v>
      </c>
      <c r="F1890" s="4" t="s">
        <v>20</v>
      </c>
      <c r="G1890" s="4" t="s">
        <v>80</v>
      </c>
      <c r="H1890" s="3" t="s">
        <v>8416</v>
      </c>
      <c r="I1890" s="3" t="s">
        <v>8417</v>
      </c>
      <c r="J1890" s="4">
        <v>29.54</v>
      </c>
      <c r="K1890" s="4">
        <v>1.0</v>
      </c>
      <c r="L1890" s="3" t="s">
        <v>8418</v>
      </c>
      <c r="M1890" s="3" t="s">
        <v>8419</v>
      </c>
      <c r="N1890" s="7" t="str">
        <f>IFERROR(__xludf.DUMMYFUNCTION("GOOGLETRANSLATE(L1890, ""en"", ""pt"")"),"Técnico de Máquinas de Fabricação")</f>
        <v>Técnico de Máquinas de Fabricação</v>
      </c>
      <c r="O1890" s="7" t="str">
        <f>IFERROR(__xludf.DUMMYFUNCTION("IF(M1890="""","""",GOOGLETRANSLATE(M1890,""en"",""pt""))"),"1) Realizar manutenção, inspecionar equipamentos de fabricação automatizados, diagnosticar problemas elétricos e mecânicos, reparar falhas de equipamentos e minimizar o tempo de inatividade da produção. (40% do tempo) 2) Instalar, testar, configurar e aju"&amp;"star máquinas de produção, incluindo equipamentos de soldagem, dosagem, montagem e triagem usados ​​na fabricação de painéis solares. (30% do tempo) 3) Monitorar o desempenho dos equipamentos, auxiliar em atualizações de equipamentos e melhorias de proces"&amp;"sos, melhorar a eficiência operacional e a qualidade do produto. (20% do tempo) 4) Manter registros de manutenção e documentação técnica, seguir os procedimentos de segurança do trabalho e coordenar com as equipes de produção e técnicas. (10% do tempo) Cl"&amp;"assificação da vaga: 49-9041.00 - Mecânico de Máquinas Industriais A classificação e descrição da vaga/indústria incluem informações gerais sobre o cargo, de acordo com o ONET/OES e o Sistema de Classificação Industrial da América do Norte. Consulte as Fu"&amp;"nções e a Ordem de Serviço para obter mais informações. Requisitos da vaga Experiência necessária: Sim Meses de experiência necessários: 18 Número de horas por semana: 40 Horário de trabalho (início/término): 9h às 17h")</f>
        <v>1) Realizar manutenção, inspecionar equipamentos de fabricação automatizados, diagnosticar problemas elétricos e mecânicos, reparar falhas de equipamentos e minimizar o tempo de inatividade da produção. (40% do tempo) 2) Instalar, testar, configurar e ajustar máquinas de produção, incluindo equipamentos de soldagem, dosagem, montagem e triagem usados ​​na fabricação de painéis solares. (30% do tempo) 3) Monitorar o desempenho dos equipamentos, auxiliar em atualizações de equipamentos e melhorias de processos, melhorar a eficiência operacional e a qualidade do produto. (20% do tempo) 4) Manter registros de manutenção e documentação técnica, seguir os procedimentos de segurança do trabalho e coordenar com as equipes de produção e técnicas. (10% do tempo) Classificação da vaga: 49-9041.00 - Mecânico de Máquinas Industriais A classificação e descrição da vaga/indústria incluem informações gerais sobre o cargo, de acordo com o ONET/OES e o Sistema de Classificação Industrial da América do Norte. Consulte as Funções e a Ordem de Serviço para obter mais informações. Requisitos da vaga Experiência necessária: Sim Meses de experiência necessários: 18 Número de horas por semana: 40 Horário de trabalho (início/término): 9h às 17h</v>
      </c>
    </row>
    <row r="1891" ht="20.25" customHeight="1">
      <c r="A1891" s="8" t="s">
        <v>8420</v>
      </c>
      <c r="B1891" s="8" t="s">
        <v>8421</v>
      </c>
      <c r="C1891" s="8" t="s">
        <v>54</v>
      </c>
      <c r="D1891" s="8" t="s">
        <v>79</v>
      </c>
      <c r="E1891" s="9" t="s">
        <v>19</v>
      </c>
      <c r="F1891" s="9" t="s">
        <v>20</v>
      </c>
      <c r="G1891" s="9" t="s">
        <v>56</v>
      </c>
      <c r="H1891" s="8" t="s">
        <v>8422</v>
      </c>
      <c r="I1891" s="8" t="s">
        <v>8423</v>
      </c>
      <c r="J1891" s="9">
        <v>17.68</v>
      </c>
      <c r="K1891" s="9">
        <v>89.0</v>
      </c>
      <c r="L1891" s="8" t="s">
        <v>83</v>
      </c>
      <c r="M1891" s="8" t="s">
        <v>8424</v>
      </c>
      <c r="N1891" s="7" t="str">
        <f>IFERROR(__xludf.DUMMYFUNCTION("GOOGLETRANSLATE(L1891, ""en"", ""pt"")"),"Trabalhador Florestal")</f>
        <v>Trabalhador Florestal</v>
      </c>
      <c r="O1891" s="7" t="str">
        <f>IFERROR(__xludf.DUMMYFUNCTION("IF(M1891="""","""",GOOGLETRANSLATE(M1891,""en"",""pt""))"),"As funções podem incluir: Cultivo e transporte de mudas, triagem de mudas de árvores, descarte de mudas abaixo do padrão, de acordo com tabelas padrão ou instruções verbais. Plantio: Mudas/árvores, pulverização ou injeção de inseticidas na vegetação para "&amp;"matar insetos ou proteger contra doenças, ou herbicidas para reduzir a vegetação concorrente ou estimular o crescimento. Poda de árvores ou outras vegetações; corte de árvores ou toras. Empilhamento, trituração ou poda e dispersão dos resíduos gerados. Ma"&amp;"nutenção dos equipamentos utilizados no campo. Sob a supervisão de técnicos florestais: auxiliar na limpeza/descarte de vegetação rasteira, empilhamento e abertura de aceiros/faixas de contenção de incêndio. Possibilidade de condução ocasional e outras at"&amp;"ividades relacionadas a Trabalhador Florestal, conforme SOC/OES 45-4011 (onetonline.org). Horário padrão/esperado: Segunda a sexta, das 6h às 14h30. Oferecemos mais de 40 horas semanais, sem incluir almoço e/ou intervalos. Possibilidade de trabalho em fin"&amp;"s de semana e feriados. Os horários de início e término, a carga horária oferecida e/ou a possibilidade de horas extras podem variar, pois dependem de fatores como necessidades do projeto/cronograma/serviço, condições climáticas e tempo de deslocamento en"&amp;"tre os locais de trabalho (se aplicável). Horas extras são possíveis, mas não obrigatórias nem garantidas. A critério exclusivo do empregador: aumentos salariais e/ou bônus podem ser concedidos com base em fatores individuais, como desempenho ou habilidad"&amp;"es (não garantidos). Moradia compartilhada opcional disponível sem custo para o trabalhador. Classificação da vaga: 45-4011.00 - Trabalhadores Florestais e de Conservação. A classificação e a descrição da vaga/setor incluem informações gerais sobre o carg"&amp;"o, de acordo com o ONET/OES e o Sistema de Classificação Industrial da América do Norte. Consulte as Funções e a Ordem de Serviço para obter mais informações. Requisitos da vaga: Experiência necessária: Sim. Meses de experiência necessários: 3. Requisitos"&amp;" especiais: ***É NECESSÁRIO TER 3 MESES DE EXPERIÊNCIA COM ROÇADEIRA/MOTOSSERRA.*** A Summitt Forests Inc. é uma Empregadora de Oportunidades Iguais (EOE, incluindo pessoas com deficiência e veteranos). Condenações por crimes graves relacionados a fraude,"&amp;" roubo ou violência não são permitidas para esta vaga. Somos uma empresa contratada pelo governo federal (EOE, incluindo pessoas com deficiência e veteranos); todos os candidatos/funcionários devem seguir todas as leis, regulamentos, requisitos e normas t"&amp;"emporárias de emergência vigentes (incluindo OSHA). Botas de segurança são obrigatórias e serão fornecidas pelo empregador mediante reembolso: cada funcionário tem direito a um (1) par de botas de segurança por ano civil; o funcionário pode comprar botas "&amp;"de sua escolha e a Summitt Forests Inc. reembolsará até US$ 350,00 anualmente (a partir da data da compra) mediante apresentação de um recibo comprobável. É necessário ter 18 anos devido a viagens. É necessário comprovar autorização legal para trabalhar n"&amp;"os Estados Unidos. Ambiente de trabalho livre de drogas, álcool e tabaco. É necessário caminhar bastante (até 24 km/dia), além de se abaixar e se curvar carregando uma mochila (até 23 kg) em terrenos acidentados (fora de trilhas). Todos os candidatos deve"&amp;"m ser capazes, estar dispostos e qualificados para executar o trabalho descrito e devem estar disponíveis durante todo o período especificado e trabalhar em todas as áreas do emprego pretendido. A critério do empregador/custo: O trabalhador poderá ser sub"&amp;"metido a testes aleatórios de drogas/álcool durante o emprego: teste positivo/recusa em cumprir o teste = demissão. Possível verificação de antecedentes após a contratação, às custas do empregador. O trabalho é realizado ao ar livre, exposto às intempérie"&amp;"s; o candidato deve ser capaz de realizar trabalho fisicamente extenuante por longas horas, ocasionalmente em calor ou frio extremos. As condições climáticas são variáveis; a carga horária pode sofrer alterações (+/-), podendo haver períodos de inatividad"&amp;"e e/ou horas extras. Número de horas por semana: 40. Horário de trabalho (início/término): 6h00 - 14h30.")</f>
        <v>As funções podem incluir: Cultivo e transporte de mudas, triagem de mudas de árvores, descarte de mudas abaixo do padrão, de acordo com tabelas padrão ou instruções verbais. Plantio: Mudas/árvores, pulverização ou injeção de inseticidas na vegetação para matar insetos ou proteger contra doenças, ou herbicidas para reduzir a vegetação concorrente ou estimular o crescimento. Poda de árvores ou outras vegetações; corte de árvores ou toras. Empilhamento, trituração ou poda e dispersão dos resíduos gerados. Manutenção dos equipamentos utilizados no campo. Sob a supervisão de técnicos florestais: auxiliar na limpeza/descarte de vegetação rasteira, empilhamento e abertura de aceiros/faixas de contenção de incêndio. Possibilidade de condução ocasional e outras atividades relacionadas a Trabalhador Florestal, conforme SOC/OES 45-4011 (onetonline.org). Horário padrão/esperado: Segunda a sexta, das 6h às 14h30. Oferecemos mais de 40 horas semanais, sem incluir almoço e/ou intervalos. Possibilidade de trabalho em fins de semana e feriados. Os horários de início e término, a carga horária oferecida e/ou a possibilidade de horas extras podem variar, pois dependem de fatores como necessidades do projeto/cronograma/serviço, condições climáticas e tempo de deslocamento entre os locais de trabalho (se aplicável). Horas extras são possíveis, mas não obrigatórias nem garantidas. A critério exclusivo do empregador: aumentos salariais e/ou bônus podem ser concedidos com base em fatores individuais, como desempenho ou habilidades (não garantidos). Moradia compartilhada opcional disponível sem custo para o trabalhador. Classificação da vaga: 45-4011.00 - Trabalhadores Florestais e de Conservação. A classificação e a descrição da vaga/setor incluem informações gerais sobre o cargo, de acordo com o ONET/OES e o Sistema de Classificação Industrial da América do Norte. Consulte as Funções e a Ordem de Serviço para obter mais informações. Requisitos da vaga: Experiência necessária: Sim. Meses de experiência necessários: 3. Requisitos especiais: ***É NECESSÁRIO TER 3 MESES DE EXPERIÊNCIA COM ROÇADEIRA/MOTOSSERRA.*** A Summitt Forests Inc. é uma Empregadora de Oportunidades Iguais (EOE, incluindo pessoas com deficiência e veteranos). Condenações por crimes graves relacionados a fraude, roubo ou violência não são permitidas para esta vaga. Somos uma empresa contratada pelo governo federal (EOE, incluindo pessoas com deficiência e veteranos); todos os candidatos/funcionários devem seguir todas as leis, regulamentos, requisitos e normas temporárias de emergência vigentes (incluindo OSHA). Botas de segurança são obrigatórias e serão fornecidas pelo empregador mediante reembolso: cada funcionário tem direito a um (1) par de botas de segurança por ano civil; o funcionário pode comprar botas de sua escolha e a Summitt Forests Inc. reembolsará até US$ 350,00 anualmente (a partir da data da compra) mediante apresentação de um recibo comprobável. É necessário ter 18 anos devido a viagens. É necessário comprovar autorização legal para trabalhar nos Estados Unidos. Ambiente de trabalho livre de drogas, álcool e tabaco. É necessário caminhar bastante (até 24 km/dia), além de se abaixar e se curvar carregando uma mochila (até 23 kg) em terrenos acidentados (fora de trilhas). Todos os candidatos devem ser capazes, estar dispostos e qualificados para executar o trabalho descrito e devem estar disponíveis durante todo o período especificado e trabalhar em todas as áreas do emprego pretendido. A critério do empregador/custo: O trabalhador poderá ser submetido a testes aleatórios de drogas/álcool durante o emprego: teste positivo/recusa em cumprir o teste = demissão. Possível verificação de antecedentes após a contratação, às custas do empregador. O trabalho é realizado ao ar livre, exposto às intempéries; o candidato deve ser capaz de realizar trabalho fisicamente extenuante por longas horas, ocasionalmente em calor ou frio extremos. As condições climáticas são variáveis; a carga horária pode sofrer alterações (+/-), podendo haver períodos de inatividade e/ou horas extras. Número de horas por semana: 40. Horário de trabalho (início/término): 6h00 - 14h30.</v>
      </c>
    </row>
    <row r="1892" ht="20.25" customHeight="1">
      <c r="A1892" s="3" t="s">
        <v>8425</v>
      </c>
      <c r="B1892" s="3" t="s">
        <v>8426</v>
      </c>
      <c r="C1892" s="3" t="s">
        <v>6228</v>
      </c>
      <c r="D1892" s="3" t="s">
        <v>126</v>
      </c>
      <c r="E1892" s="4" t="s">
        <v>44</v>
      </c>
      <c r="F1892" s="4" t="s">
        <v>20</v>
      </c>
      <c r="G1892" s="4" t="s">
        <v>146</v>
      </c>
      <c r="H1892" s="3" t="s">
        <v>8427</v>
      </c>
      <c r="I1892" s="3" t="s">
        <v>8428</v>
      </c>
      <c r="J1892" s="4">
        <v>18.0</v>
      </c>
      <c r="K1892" s="4">
        <v>10.0</v>
      </c>
      <c r="L1892" s="3" t="s">
        <v>8429</v>
      </c>
      <c r="M1892" s="3" t="s">
        <v>8430</v>
      </c>
      <c r="N1892" s="7" t="str">
        <f>IFERROR(__xludf.DUMMYFUNCTION("GOOGLETRANSLATE(L1892, ""en"", ""pt"")"),"Cortadores e aparadores de pedra")</f>
        <v>Cortadores e aparadores de pedra</v>
      </c>
      <c r="O1892" s="7" t="str">
        <f>IFERROR(__xludf.DUMMYFUNCTION("IF(M1892="""","""",GOOGLETRANSLATE(M1892,""en"",""pt""))"),"***Resposta à Solicitação de Informações (RFI)*** Após a conclusão do processo de corte e acabamento, os funcionários carregam os paletes preparados com produtos de pedra natural acabados em caminhões de entrega usando uma empilhadeira com garfos padrão p"&amp;"ara paletes, como etapa final no fluxo de trabalho de produção. Os materiais manuseados incluem produtos de pedra natural brutos e acabados, embalados em paletes de madeira para envio. ***Original F.a.2*** Cortar, moldar e aparar produtos de pedra brutos "&amp;"e acabados usando ferramentas manuais e elétricas. Ler ordens de serviço e usar ferramentas de medição para determinar dimensões e locais de corte. Classificar materiais por tamanho, tipo ou condição. Manter e afiar ferramentas. Levantar e transportar mat"&amp;"eriais, empilhar e preparar produtos para envio, incluindo o carregamento de paletes em caminhões. Classificação do Cargo: 53-7051.00 - Operadores de Empilhadeiras e Tratores Industriais. A classificação e descrição do cargo/setor inclui informações gerai"&amp;"s sobre a posição, conforme o ONET/OES e o Sistema de Classificação Industrial da América do Norte (NAICS). Consulte as Funções e a Ordem de Serviço para obter mais informações. Requisitos da vaga Experiência necessária: Não Requisitos especiais: Nenhum N"&amp;"úmero de horas por semana: 40 Horário de trabalho (início/término): 7h00 - 15h30")</f>
        <v>***Resposta à Solicitação de Informações (RFI)*** Após a conclusão do processo de corte e acabamento, os funcionários carregam os paletes preparados com produtos de pedra natural acabados em caminhões de entrega usando uma empilhadeira com garfos padrão para paletes, como etapa final no fluxo de trabalho de produção. Os materiais manuseados incluem produtos de pedra natural brutos e acabados, embalados em paletes de madeira para envio. ***Original F.a.2*** Cortar, moldar e aparar produtos de pedra brutos e acabados usando ferramentas manuais e elétricas. Ler ordens de serviço e usar ferramentas de medição para determinar dimensões e locais de corte. Classificar materiais por tamanho, tipo ou condição. Manter e afiar ferramentas. Levantar e transportar materiais, empilhar e preparar produtos para envio, incluindo o carregamento de paletes em caminhões. Classificação do Cargo: 53-7051.00 - Operadores de Empilhadeiras e Tratores Industriais. A classificação e descrição do cargo/setor inclui informações gerais sobre a posição, conforme o ONET/OES e o Sistema de Classificação Industrial da América do Norte (NAICS). Consulte as Funções e a Ordem de Serviço para obter mais informações. Requisitos da vaga Experiência necessária: Não Requisitos especiais: Nenhum Número de horas por semana: 40 Horário de trabalho (início/término): 7h00 - 15h30</v>
      </c>
    </row>
    <row r="1893" ht="20.25" customHeight="1">
      <c r="A1893" s="8" t="s">
        <v>8431</v>
      </c>
      <c r="B1893" s="8" t="s">
        <v>8432</v>
      </c>
      <c r="C1893" s="8" t="s">
        <v>6276</v>
      </c>
      <c r="D1893" s="8" t="s">
        <v>71</v>
      </c>
      <c r="E1893" s="9" t="s">
        <v>19</v>
      </c>
      <c r="F1893" s="9" t="s">
        <v>20</v>
      </c>
      <c r="G1893" s="9" t="s">
        <v>377</v>
      </c>
      <c r="H1893" s="8" t="s">
        <v>8433</v>
      </c>
      <c r="I1893" s="8" t="s">
        <v>8434</v>
      </c>
      <c r="J1893" s="9">
        <v>17.88</v>
      </c>
      <c r="K1893" s="9">
        <v>8.0</v>
      </c>
      <c r="L1893" s="8" t="s">
        <v>3729</v>
      </c>
      <c r="M1893" s="8" t="s">
        <v>8435</v>
      </c>
      <c r="N1893" s="7" t="str">
        <f>IFERROR(__xludf.DUMMYFUNCTION("GOOGLETRANSLATE(L1893, ""en"", ""pt"")"),"Equipe de Cozinha")</f>
        <v>Equipe de Cozinha</v>
      </c>
      <c r="O1893" s="7" t="str">
        <f>IFERROR(__xludf.DUMMYFUNCTION("IF(M1893="""","""",GOOGLETRANSLATE(M1893,""en"",""pt""))"),"***Resposta à Solicitação de Informações*** Sob a supervisão do Chef, a equipe da cozinha preparará batatas fritas, filés de frango e asas de frango pré-embalados ou pré-cozidos, utilizando fritadeira ou forno. Também prepararão saladas de acordo com as r"&amp;"eceitas. Essas tarefas são realizadas em um restaurante de frutos do mar com serviço completo. ***Atribuições Originais*** Esta função na equipe da cozinha inclui tarefas de limpeza e preparação de alimentos. As tarefas de limpeza incluem limpar todas as "&amp;"prateleiras, paredes e pisos de maneira aceitável para o supervisor; recolher os utensílios de cozinha usados ​​de todas as áreas e colocá-los na máquina de lavar louça. Alguns itens precisarão ser lavados à mão. Os pratos e equipamentos deverão ser armaz"&amp;"enados adequadamente. Isso será muito importante para manter a organização durante os horários de pico, a fim de garantir que haja pratos suficientes o tempo todo. Os funcionários também serão responsáveis ​​por relatar quaisquer problemas com os equipame"&amp;"ntos, como problemas técnicos/de desempenho, e remover o lixo regularmente. Todos os funcionários devem guardar as entregas. As tarefas de preparação de alimentos que serão desempenhadas incluem: organizar e abastecer as estações de preparo com todos os s"&amp;"uprimentos necessários, preparar os alimentos para o serviço, cozinhar os itens do cardápio em colaboração com o restante da equipe da cozinha, manter um ambiente higienizado e organizado, seguir todos os procedimentos padrão para receitas e apresentação,"&amp;" bem como realizar as tarefas de abertura e fechamento do restaurante. O funcionário deve ser capaz de seguir instruções e auxiliar em diversas tarefas. É necessário ter conhecimento básico de inglês. Disponibilidade para trabalhar nos fins de semana e à "&amp;"noite é obrigatória. Classificação da vaga: 35-2014.00 - Cozinheiros, Restaurante. A classificação e descrição da vaga/setor incluem informações gerais sobre o cargo, de acordo com o ONET/OES e o Sistema de Classificação Industrial da América do Norte (NA"&amp;"ICS). Consulte as Funções e a Ordem de Serviço para obter mais informações. Requisitos da vaga: Experiência exigida: Não. Requisitos especiais: O funcionário deve ser capaz de seguir instruções e auxiliar em diversas tarefas. É necessário ter conhecimento"&amp;" básico de inglês. Disponibilidade para trabalhar nos fins de semana e à noite é obrigatória. Os funcionários trabalharão de segunda a domingo, em média, 40 horas por semana. É necessário ter disponibilidade para trabalhar em qualquer turno de 8 horas ent"&amp;"re as 9h e as 22h, em qualquer dia da semana. As folgas são rotativas e os turnos variam. É necessário trabalhar em feriados. Número de horas por semana: 40. Horário de trabalho (início/término): 9h às 22h.")</f>
        <v>***Resposta à Solicitação de Informações*** Sob a supervisão do Chef, a equipe da cozinha preparará batatas fritas, filés de frango e asas de frango pré-embalados ou pré-cozidos, utilizando fritadeira ou forno. Também prepararão saladas de acordo com as receitas. Essas tarefas são realizadas em um restaurante de frutos do mar com serviço completo. ***Atribuições Originais*** Esta função na equipe da cozinha inclui tarefas de limpeza e preparação de alimentos. As tarefas de limpeza incluem limpar todas as prateleiras, paredes e pisos de maneira aceitável para o supervisor; recolher os utensílios de cozinha usados ​​de todas as áreas e colocá-los na máquina de lavar louça. Alguns itens precisarão ser lavados à mão. Os pratos e equipamentos deverão ser armazenados adequadamente. Isso será muito importante para manter a organização durante os horários de pico, a fim de garantir que haja pratos suficientes o tempo todo. Os funcionários também serão responsáveis ​​por relatar quaisquer problemas com os equipamentos, como problemas técnicos/de desempenho, e remover o lixo regularmente. Todos os funcionários devem guardar as entregas. As tarefas de preparação de alimentos que serão desempenhadas incluem: organizar e abastecer as estações de preparo com todos os suprimentos necessários, preparar os alimentos para o serviço, cozinhar os itens do cardápio em colaboração com o restante da equipe da cozinha, manter um ambiente higienizado e organizado, seguir todos os procedimentos padrão para receitas e apresentação, bem como realizar as tarefas de abertura e fechamento do restaurante. O funcionário deve ser capaz de seguir instruções e auxiliar em diversas tarefas. É necessário ter conhecimento básico de inglês. Disponibilidade para trabalhar nos fins de semana e à noite é obrigatória. Classificação da vaga: 35-2014.00 - Cozinheiros, Restaurante. A classificação e descrição da vaga/setor incluem informações gerais sobre o cargo, de acordo com o ONET/OES e o Sistema de Classificação Industrial da América do Norte (NAICS). Consulte as Funções e a Ordem de Serviço para obter mais informações. Requisitos da vaga: Experiência exigida: Não. Requisitos especiais: O funcionário deve ser capaz de seguir instruções e auxiliar em diversas tarefas. É necessário ter conhecimento básico de inglês. Disponibilidade para trabalhar nos fins de semana e à noite é obrigatória. Os funcionários trabalharão de segunda a domingo, em média, 40 horas por semana. É necessário ter disponibilidade para trabalhar em qualquer turno de 8 horas entre as 9h e as 22h, em qualquer dia da semana. As folgas são rotativas e os turnos variam. É necessário trabalhar em feriados. Número de horas por semana: 40. Horário de trabalho (início/término): 9h às 22h.</v>
      </c>
    </row>
    <row r="1894" ht="20.25" customHeight="1">
      <c r="A1894" s="3" t="s">
        <v>8436</v>
      </c>
      <c r="B1894" s="3" t="s">
        <v>8437</v>
      </c>
      <c r="C1894" s="3" t="s">
        <v>8362</v>
      </c>
      <c r="D1894" s="3" t="s">
        <v>64</v>
      </c>
      <c r="E1894" s="4" t="s">
        <v>44</v>
      </c>
      <c r="F1894" s="4" t="s">
        <v>20</v>
      </c>
      <c r="G1894" s="4" t="s">
        <v>377</v>
      </c>
      <c r="H1894" s="3" t="s">
        <v>7704</v>
      </c>
      <c r="I1894" s="3" t="s">
        <v>8438</v>
      </c>
      <c r="J1894" s="4">
        <v>19.73</v>
      </c>
      <c r="K1894" s="4">
        <v>10.0</v>
      </c>
      <c r="L1894" s="3" t="s">
        <v>8439</v>
      </c>
      <c r="M1894" s="3" t="s">
        <v>8440</v>
      </c>
      <c r="N1894" s="7" t="str">
        <f>IFERROR(__xludf.DUMMYFUNCTION("GOOGLETRANSLATE(L1894, ""en"", ""pt"")"),"Montador de cercas")</f>
        <v>Montador de cercas</v>
      </c>
      <c r="O1894" s="7" t="str">
        <f>IFERROR(__xludf.DUMMYFUNCTION("IF(M1894="""","""",GOOGLETRANSLATE(M1894,""en"",""pt""))"),"IRÁ MONTAR E REPARAR CERCAS E PORTÕES DE METAL E MADEIRA AO REDOR DE RODOVIAS, ESTABELECIMENTOS INDUSTRIAIS E RESIDENCIAIS, UTILIZANDO FERRAMENTAS ELÉTRICAS MANUAIS. Classificação da Função: 47-4031.00 - Montadores de Cercas. A classificação e descrição d"&amp;"a função/setor incluem informações gerais sobre o cargo, de acordo com o ONET/OES e o Sistema de Classificação Industrial da América do Norte. Consulte as Funções e a Ordem de Serviço para obter mais informações. Requisitos da Função: Experiência Necessár"&amp;"ia: Não. Requisitos Especiais: ""1 hora de intervalo para almoço"". Número de Horas por Semana: 40. Horário de Trabalho (Início/Término): 8h00 - 17h00.")</f>
        <v>IRÁ MONTAR E REPARAR CERCAS E PORTÕES DE METAL E MADEIRA AO REDOR DE RODOVIAS, ESTABELECIMENTOS INDUSTRIAIS E RESIDENCIAIS, UTILIZANDO FERRAMENTAS ELÉTRICAS MANUAIS. Classificação da Função: 47-4031.00 - Montadores de Cercas. A classificação e descrição da função/setor incluem informações gerais sobre o cargo, de acordo com o ONET/OES e o Sistema de Classificação Industrial da América do Norte. Consulte as Funções e a Ordem de Serviço para obter mais informações. Requisitos da Função: Experiência Necessária: Não. Requisitos Especiais: "1 hora de intervalo para almoço". Número de Horas por Semana: 40. Horário de Trabalho (Início/Término): 8h00 - 17h00.</v>
      </c>
    </row>
    <row r="1895" ht="20.25" customHeight="1">
      <c r="A1895" s="8" t="s">
        <v>8441</v>
      </c>
      <c r="B1895" s="8" t="s">
        <v>8442</v>
      </c>
      <c r="C1895" s="8" t="s">
        <v>7082</v>
      </c>
      <c r="D1895" s="8" t="s">
        <v>102</v>
      </c>
      <c r="E1895" s="9" t="s">
        <v>19</v>
      </c>
      <c r="F1895" s="9" t="s">
        <v>20</v>
      </c>
      <c r="G1895" s="9" t="s">
        <v>377</v>
      </c>
      <c r="H1895" s="8" t="s">
        <v>8443</v>
      </c>
      <c r="I1895" s="8" t="s">
        <v>8444</v>
      </c>
      <c r="J1895" s="9">
        <v>29.33</v>
      </c>
      <c r="K1895" s="9">
        <v>40.0</v>
      </c>
      <c r="L1895" s="8" t="s">
        <v>8445</v>
      </c>
      <c r="M1895" s="8" t="s">
        <v>8446</v>
      </c>
      <c r="N1895" s="7" t="str">
        <f>IFERROR(__xludf.DUMMYFUNCTION("GOOGLETRANSLATE(L1895, ""en"", ""pt"")"),"Instaladores de drywall")</f>
        <v>Instaladores de drywall</v>
      </c>
      <c r="O1895" s="7" t="str">
        <f>IFERROR(__xludf.DUMMYFUNCTION("IF(M1895="""","""",GOOGLETRANSLATE(M1895,""en"",""pt""))"),"Irá instalar perfis metálicos, drywall, forros acústicos, estuque e EIFS para revestir paredes, tetos, beirais, shafts e divisórias móveis em edifícios residenciais, comerciais e industriais. Classificação da função: 47-2161.00 - Gesseiros e Pedreiros de "&amp;"Estuque. A classificação e descrição da função/setor inclui informações gerais sobre o cargo, de acordo com o ONET/OES e o Sistema de Classificação Industrial da América do Norte (NAICS). Consulte as Funções e a Ordem de Serviço para obter mais informaçõe"&amp;"s. Requisitos da vaga: Experiência necessária: Não. Número de horas por semana: 40. Horário de trabalho (início/término): 8h às 16h.")</f>
        <v>Irá instalar perfis metálicos, drywall, forros acústicos, estuque e EIFS para revestir paredes, tetos, beirais, shafts e divisórias móveis em edifícios residenciais, comerciais e industriais. Classificação da função: 47-2161.00 - Gesseiros e Pedreiros de Estuque. A classificação e descrição da função/setor inclui informações gerais sobre o cargo, de acordo com o ONET/OES e o Sistema de Classificação Industrial da América do Norte (NAICS). Consulte as Funções e a Ordem de Serviço para obter mais informações. Requisitos da vaga: Experiência necessária: Não. Número de horas por semana: 40. Horário de trabalho (início/término): 8h às 16h.</v>
      </c>
    </row>
    <row r="1896" ht="20.25" customHeight="1">
      <c r="A1896" s="3" t="s">
        <v>8447</v>
      </c>
      <c r="B1896" s="3" t="s">
        <v>8234</v>
      </c>
      <c r="C1896" s="3" t="s">
        <v>197</v>
      </c>
      <c r="D1896" s="3" t="s">
        <v>71</v>
      </c>
      <c r="E1896" s="4" t="s">
        <v>19</v>
      </c>
      <c r="F1896" s="4" t="s">
        <v>20</v>
      </c>
      <c r="G1896" s="4" t="s">
        <v>524</v>
      </c>
      <c r="H1896" s="3" t="s">
        <v>8235</v>
      </c>
      <c r="I1896" s="3" t="s">
        <v>8236</v>
      </c>
      <c r="J1896" s="4">
        <v>21.0</v>
      </c>
      <c r="K1896" s="4">
        <v>2.0</v>
      </c>
      <c r="L1896" s="3" t="s">
        <v>387</v>
      </c>
      <c r="M1896" s="3" t="s">
        <v>8448</v>
      </c>
      <c r="N1896" s="7" t="str">
        <f>IFERROR(__xludf.DUMMYFUNCTION("GOOGLETRANSLATE(L1896, ""en"", ""pt"")"),"Ordem de serviço não disponível")</f>
        <v>Ordem de serviço não disponível</v>
      </c>
      <c r="O1896" s="7" t="str">
        <f>IFERROR(__xludf.DUMMYFUNCTION("IF(M1896="""","""",GOOGLETRANSLATE(M1896,""en"",""pt""))"),"Preparar, cozinhar, refogar, grelhar e fritar itens como frutos do mar, carnes, aves, legumes, massas e sopas. Manter as áreas da cozinha limpas e higienizadas. Armazenar todos os produtos em locais adequados. (2) vagas disponíveis. Período: 01/10/2026 a "&amp;"31/05/2027. Necessário 3 meses de experiência. Turnos rotativos. Dias de trabalho: segunda a domingo. Horário de trabalho: 6h às 22h. Salário: US$ 21 a US$ 23 por hora, com base no desempenho. Hora extra: US$ 31,50 a US$ 34,50 por hora. Pagamento quinzena"&amp;"l. 35 horas semanais. Alojamento opcional por US$ 275 a US$ 350 a cada duas semanas, com um depósito reembolsável de US$ 250 após a assinatura do contrato e inspeção do imóvel. Uniformes e refeições durante o turno fornecidos. Local de trabalho: 995 Fish "&amp;"Hook Cove, Bradenton, FL 34212. Trabalho temporário em tempo integral. O salário será calculado com base em uma única semana de trabalho. Poderá ser feito até 10 horas extras, quando disponíveis. Todos os descontos exigidos por lei serão efetuados no cont"&amp;"racheque do trabalhador. O empregador fornecerá ao trabalhador, sem custos, todas as ferramentas, materiais e equipamentos necessários para a execução do trabalho. O trabalhador receberá ou será reembolsado pelas despesas de transporte e alimentação (incl"&amp;"uindo o custo razoável de hospedagem, quando necessário, até US$ 110 por noite, mediante apresentação de recibos) no valor de US$ 16,78 por dia durante o deslocamento, até um máximo de US$ 68,00 por dia, mediante apresentação de recibos, desde o local de "&amp;"origem do trabalhador, seja nos EUA ou no exterior, até o local de trabalho, caso o trabalhador complete 50% do período de trabalho abrangido pela ordem de serviço, em conformidade com o 20 CFR 655.20(j)(1)(i), mediante inclusão no contracheque da semana "&amp;"correspondente. O empregador fornecerá ou pagará o custo do transporte de retorno e da subsistência diária do trabalhador, do local de trabalho até o local de onde o trabalhador partiu para trabalhar para o empregador, independentemente de empregos interm"&amp;"ediários, caso o trabalhador complete o período de emprego certificado ou seja demitido do emprego por qualquer motivo pelo empregador antes do término do período, de acordo com o § 655.20(j)(1)(ii); os trabalhadores com visto H-2B serão reembolsados ​​na"&amp;" primeira semana de trabalho por todos os vistos, processamento de vistos, travessia de fronteira e outras taxas relacionadas, incluindo aquelas exigidas pelo governo (exceto taxas de passaporte). O empregador fornecerá aos trabalhadores todas as ferramen"&amp;"tas, suprimentos e equipamentos necessários para o desempenho do trabalho, sem custo para o trabalhador, de acordo com o 20 CFR 655.20(k). Os candidatos qualificados podem enviar o currículo para Armando Monterroso, no endereço 995 Fish Hook Cove, Bradent"&amp;"on, FL 34212, por e-mail para hr@waterlefefl.com ou visitar o centro de empregos local em 600 8th Ave. West, Suite 100, Palmetto, FL 34221. *Seu depósito de segurança será reembolsado após a conclusão do contrato e a inspeção da moradia. Se um trabalhador"&amp;" abandonar o emprego sem a permissão do empregador ou a moradia antes do término do prazo de inscrição por qualquer motivo, exceto rescisão contratual, perderá todos os depósitos de moradia, dias de folga remunerada, férias e bônus. Após a rescisão ou dem"&amp;"issão, o trabalhador deverá desocupar a moradia imediatamente, a menos que haja acordo com o empregador.* Classificação do Cargo: 35-2014.00 - Cozinheiros, Restaurante. A classificação e descrição do cargo/setor incluem informações gerais sobre a posição,"&amp;" de acordo com o ONET/OES e o Sistema de Classificação Industrial da América do Norte. Consulte as Funções e a Ordem de Serviço para obter mais informações. Requisitos da vaga Experiência necessária: Sim Meses de experiência necessários: 3 Número de horas"&amp;" por semana: 35 Horário de trabalho (início/término): 6h às 22h")</f>
        <v>Preparar, cozinhar, refogar, grelhar e fritar itens como frutos do mar, carnes, aves, legumes, massas e sopas. Manter as áreas da cozinha limpas e higienizadas. Armazenar todos os produtos em locais adequados. (2) vagas disponíveis. Período: 01/10/2026 a 31/05/2027. Necessário 3 meses de experiência. Turnos rotativos. Dias de trabalho: segunda a domingo. Horário de trabalho: 6h às 22h. Salário: US$ 21 a US$ 23 por hora, com base no desempenho. Hora extra: US$ 31,50 a US$ 34,50 por hora. Pagamento quinzenal. 35 horas semanais. Alojamento opcional por US$ 275 a US$ 350 a cada duas semanas, com um depósito reembolsável de US$ 250 após a assinatura do contrato e inspeção do imóvel. Uniformes e refeições durante o turno fornecidos. Local de trabalho: 995 Fish Hook Cove, Bradenton, FL 34212. Trabalho temporário em tempo integral. O salário será calculado com base em uma única semana de trabalho. Poderá ser feito até 10 horas extras, quando disponíveis. Todos os descontos exigidos por lei serão efetuados no contracheque do trabalhador. O empregador fornecerá ao trabalhador, sem custos, todas as ferramentas, materiais e equipamentos necessários para a execução do trabalho. O trabalhador receberá ou será reembolsado pelas despesas de transporte e alimentação (incluindo o custo razoável de hospedagem, quando necessário, até US$ 110 por noite, mediante apresentação de recibos) no valor de US$ 16,78 por dia durante o deslocamento, até um máximo de US$ 68,00 por dia, mediante apresentação de recibos, desde o local de origem do trabalhador, seja nos EUA ou no exterior, até o local de trabalho, caso o trabalhador complete 50% do período de trabalho abrangido pela ordem de serviço, em conformidade com o 20 CFR 655.20(j)(1)(i), mediante inclusão no contracheque da semana correspondente. O empregador fornecerá ou pagará o custo do transporte de retorno e da subsistência diária do trabalhador, do local de trabalho até o local de onde o trabalhador partiu para trabalhar para o empregador, independentemente de empregos intermediários, caso o trabalhador complete o período de emprego certificado ou seja demitido do emprego por qualquer motivo pelo empregador antes do término do período, de acordo com o § 655.20(j)(1)(ii); os trabalhadores com visto H-2B serão reembolsados ​​na primeira semana de trabalho por todos os vistos, processamento de vistos, travessia de fronteira e outras taxas relacionadas, incluindo aquelas exigidas pelo governo (exceto taxas de passaporte). O empregador fornecerá aos trabalhadores todas as ferramentas, suprimentos e equipamentos necessários para o desempenho do trabalho, sem custo para o trabalhador, de acordo com o 20 CFR 655.20(k). Os candidatos qualificados podem enviar o currículo para Armando Monterroso, no endereço 995 Fish Hook Cove, Bradenton, FL 34212, por e-mail para hr@waterlefefl.com ou visitar o centro de empregos local em 600 8th Ave. West, Suite 100, Palmetto, FL 34221. *Seu depósito de segurança será reembolsado após a conclusão do contrato e a inspeção da moradia. Se um trabalhador abandonar o emprego sem a permissão do empregador ou a moradia antes do término do prazo de inscrição por qualquer motivo, exceto rescisão contratual, perderá todos os depósitos de moradia, dias de folga remunerada, férias e bônus. Após a rescisão ou demissão, o trabalhador deverá desocupar a moradia imediatamente, a menos que haja acordo com o empregador.* Classificação do Cargo: 35-2014.00 - Cozinheiros, Restaurante. A classificação e descrição do cargo/setor incluem informações gerais sobre a posição, de acordo com o ONET/OES e o Sistema de Classificação Industrial da América do Norte. Consulte as Funções e a Ordem de Serviço para obter mais informações. Requisitos da vaga Experiência necessária: Sim Meses de experiência necessários: 3 Número de horas por semana: 35 Horário de trabalho (início/término): 6h às 22h</v>
      </c>
    </row>
    <row r="1897" ht="20.25" customHeight="1">
      <c r="A1897" s="8" t="s">
        <v>8449</v>
      </c>
      <c r="B1897" s="8" t="s">
        <v>8450</v>
      </c>
      <c r="C1897" s="8" t="s">
        <v>8451</v>
      </c>
      <c r="D1897" s="8" t="s">
        <v>271</v>
      </c>
      <c r="E1897" s="9" t="s">
        <v>19</v>
      </c>
      <c r="F1897" s="9" t="s">
        <v>20</v>
      </c>
      <c r="G1897" s="9" t="s">
        <v>377</v>
      </c>
      <c r="H1897" s="8" t="s">
        <v>8452</v>
      </c>
      <c r="I1897" s="8" t="s">
        <v>8453</v>
      </c>
      <c r="J1897" s="9">
        <v>25.82</v>
      </c>
      <c r="K1897" s="9">
        <v>6.0</v>
      </c>
      <c r="L1897" s="8" t="s">
        <v>149</v>
      </c>
      <c r="M1897" s="8" t="s">
        <v>8454</v>
      </c>
      <c r="N1897" s="7" t="str">
        <f>IFERROR(__xludf.DUMMYFUNCTION("GOOGLETRANSLATE(L1897, ""en"", ""pt"")"),"Trabalhador de paisagismo")</f>
        <v>Trabalhador de paisagismo</v>
      </c>
      <c r="O1897" s="7" t="str">
        <f>IFERROR(__xludf.DUMMYFUNCTION("IF(M1897="""","""",GOOGLETRANSLATE(M1897,""en"",""pt""))"),"Tarefas gerais de paisagismo e manutenção, incluindo: colocar grama e plantar canteiros com flores da estação; plantar arbustos e árvores; cortar e aparar a grama com cortadores de grama motorizados ou aparadores de borda; podar árvores e arbustos, apenas"&amp;" no chão, usando tesouras de poda, podadores ou motosserras; remover flores murchas semanalmente; instalar, reparar e manter sistemas de irrigação por aspersão e regar gramados, árvores ou plantas conforme necessário; pulverizar ou espalhar fertilizantes,"&amp;" herbicidas ou inseticidas na grama, arbustos ou árvores, usando pulverizadores manuais ou automáticos; instalar pátios e muros de arrimo com pavimentos de concreto usando tijolos, pedras naturais ou blocos de concreto; e limpar e remover detritos do jard"&amp;"im. Classificação da função: 37-3011.00 - Trabalhadores de Paisagismo e Jardinagem. A classificação e descrição da função/setor inclui informações gerais sobre o cargo, de acordo com o ONET/OES e o Sistema de Classificação Industrial da América do Norte. "&amp;"Consulte as Funções e a Ordem de Serviço para obter mais informações. Requisitos da Vaga Experiência Necessária: Sim Meses de Experiência Necessários: 3 Requisitos Especiais: Os candidatos devem ter no mínimo 18 anos para viajar. Apresentar comprovante de"&amp;" autorização legal para trabalhar nos EUA. Todos os candidatos devem ser capazes, dispostos e qualificados para realizar o trabalho descrito e devem estar disponíveis durante todo o período especificado. A função exige levantar/carregar itens de até 23 kg"&amp;". Ambiente de trabalho livre de drogas e álcool. Testes de drogas e álcool serão realizados antes da contratação, às custas do empregador. Número de Horas por Semana: 40 Horário de Trabalho (Início/Término): 7h00 - 15h30")</f>
        <v>Tarefas gerais de paisagismo e manutenção, incluindo: colocar grama e plantar canteiros com flores da estação; plantar arbustos e árvores; cortar e aparar a grama com cortadores de grama motorizados ou aparadores de borda; podar árvores e arbustos, apenas no chão, usando tesouras de poda, podadores ou motosserras; remover flores murchas semanalmente; instalar, reparar e manter sistemas de irrigação por aspersão e regar gramados, árvores ou plantas conforme necessário; pulverizar ou espalhar fertilizantes, herbicidas ou inseticidas na grama, arbustos ou árvores, usando pulverizadores manuais ou automáticos; instalar pátios e muros de arrimo com pavimentos de concreto usando tijolos, pedras naturais ou blocos de concreto; e limpar e remover detritos do jardim. Classificação da função: 37-3011.00 - Trabalhadores de Paisagismo e Jardinagem. A classificação e descrição da função/setor inclui informações gerais sobre o cargo, de acordo com o ONET/OES e o Sistema de Classificação Industrial da América do Norte. Consulte as Funções e a Ordem de Serviço para obter mais informações. Requisitos da Vaga Experiência Necessária: Sim Meses de Experiência Necessários: 3 Requisitos Especiais: Os candidatos devem ter no mínimo 18 anos para viajar. Apresentar comprovante de autorização legal para trabalhar nos EUA. Todos os candidatos devem ser capazes, dispostos e qualificados para realizar o trabalho descrito e devem estar disponíveis durante todo o período especificado. A função exige levantar/carregar itens de até 23 kg. Ambiente de trabalho livre de drogas e álcool. Testes de drogas e álcool serão realizados antes da contratação, às custas do empregador. Número de Horas por Semana: 40 Horário de Trabalho (Início/Término): 7h00 - 15h30</v>
      </c>
    </row>
    <row r="1898" ht="20.25" customHeight="1">
      <c r="A1898" s="3" t="s">
        <v>8455</v>
      </c>
      <c r="B1898" s="3" t="s">
        <v>8456</v>
      </c>
      <c r="C1898" s="3" t="s">
        <v>169</v>
      </c>
      <c r="D1898" s="3" t="s">
        <v>133</v>
      </c>
      <c r="E1898" s="4" t="s">
        <v>19</v>
      </c>
      <c r="F1898" s="4" t="s">
        <v>20</v>
      </c>
      <c r="G1898" s="4" t="s">
        <v>524</v>
      </c>
      <c r="H1898" s="3" t="s">
        <v>8457</v>
      </c>
      <c r="I1898" s="3" t="s">
        <v>8458</v>
      </c>
      <c r="J1898" s="4">
        <v>15.0</v>
      </c>
      <c r="K1898" s="4">
        <v>3.0</v>
      </c>
      <c r="L1898" s="3" t="s">
        <v>4549</v>
      </c>
      <c r="M1898" s="3" t="s">
        <v>8459</v>
      </c>
      <c r="N1898" s="7" t="str">
        <f>IFERROR(__xludf.DUMMYFUNCTION("GOOGLETRANSLATE(L1898, ""en"", ""pt"")"),"Trabalhador de serviços de alimentação")</f>
        <v>Trabalhador de serviços de alimentação</v>
      </c>
      <c r="O1898" s="7" t="str">
        <f>IFERROR(__xludf.DUMMYFUNCTION("IF(M1898="""","""",GOOGLETRANSLATE(M1898,""en"",""pt""))"),"Auxiliar no preparo de alimentos conforme instruções, operando equipamentos de produção de alimentos, como grelhas, chapas e fritadeiras. Preparar alimentos como sanduíches, saladas e molhos de acordo com as especificações do cliente. Organizar as mesas e"&amp;" dobrar guardanapos de acordo com os padrões do restaurante. Limpar e higienizar as mesas. Manter e higienizar as estações de trabalho. Limpar e higienizar pratos, panelas, frigideiras e recipientes, devolvendo-os aos locais apropriados na cozinha. Seguir"&amp;" as normas e regulamentos de segurança e higiene para garantir a qualidade dos alimentos. Classificação da vaga: 35-2015.00 - Cozinheiros(as), Refeições Rápidas. A classificação e descrição da vaga/setor inclui informações gerais sobre o cargo, de acordo "&amp;"com o ONET/OES e o Sistema de Classificação Industrial da América do Norte. Consulte as Funções e a Ordem de Serviço para obter mais informações. Requisitos da vaga: Experiência necessária: Sim. Meses de experiência necessários: 3. Requisitos especiais: D"&amp;"eve ser capaz de levantar/carregar 23 kg, quando necessário. Trabalho aos sábados e domingos, quando necessário. Verificações de antecedentes após a contratação podem ser exigidas para trabalhadores estrangeiros e nacionais, com base nos requisitos do con"&amp;"trato. É necessário possuir ou ser capaz de obter carteira de habilitação americana em até 60 dias após a contratação. Número de horas por semana: 39. Horário de trabalho (início/término): 10h00 às 17h30.")</f>
        <v>Auxiliar no preparo de alimentos conforme instruções, operando equipamentos de produção de alimentos, como grelhas, chapas e fritadeiras. Preparar alimentos como sanduíches, saladas e molhos de acordo com as especificações do cliente. Organizar as mesas e dobrar guardanapos de acordo com os padrões do restaurante. Limpar e higienizar as mesas. Manter e higienizar as estações de trabalho. Limpar e higienizar pratos, panelas, frigideiras e recipientes, devolvendo-os aos locais apropriados na cozinha. Seguir as normas e regulamentos de segurança e higiene para garantir a qualidade dos alimentos. Classificação da vaga: 35-2015.00 - Cozinheiros(as), Refeições Rápidas. A classificação e descrição da vaga/setor inclui informações gerais sobre o cargo, de acordo com o ONET/OES e o Sistema de Classificação Industrial da América do Norte. Consulte as Funções e a Ordem de Serviço para obter mais informações. Requisitos da vaga: Experiência necessária: Sim. Meses de experiência necessários: 3. Requisitos especiais: Deve ser capaz de levantar/carregar 23 kg, quando necessário. Trabalho aos sábados e domingos, quando necessário. Verificações de antecedentes após a contratação podem ser exigidas para trabalhadores estrangeiros e nacionais, com base nos requisitos do contrato. É necessário possuir ou ser capaz de obter carteira de habilitação americana em até 60 dias após a contratação. Número de horas por semana: 39. Horário de trabalho (início/término): 10h00 às 17h30.</v>
      </c>
    </row>
    <row r="1899" ht="20.25" customHeight="1">
      <c r="A1899" s="8" t="s">
        <v>8460</v>
      </c>
      <c r="B1899" s="8" t="s">
        <v>8456</v>
      </c>
      <c r="C1899" s="8" t="s">
        <v>169</v>
      </c>
      <c r="D1899" s="8" t="s">
        <v>133</v>
      </c>
      <c r="E1899" s="9" t="s">
        <v>19</v>
      </c>
      <c r="F1899" s="9" t="s">
        <v>20</v>
      </c>
      <c r="G1899" s="9" t="s">
        <v>524</v>
      </c>
      <c r="H1899" s="8" t="s">
        <v>8457</v>
      </c>
      <c r="I1899" s="8" t="s">
        <v>8458</v>
      </c>
      <c r="J1899" s="9">
        <v>18.35</v>
      </c>
      <c r="K1899" s="9">
        <v>3.0</v>
      </c>
      <c r="L1899" s="8" t="s">
        <v>8461</v>
      </c>
      <c r="M1899" s="8" t="s">
        <v>8462</v>
      </c>
      <c r="N1899" s="7" t="str">
        <f>IFERROR(__xludf.DUMMYFUNCTION("GOOGLETRANSLATE(L1899, ""en"", ""pt"")"),"Trabalhadores do setor de alimentação")</f>
        <v>Trabalhadores do setor de alimentação</v>
      </c>
      <c r="O1899" s="7" t="str">
        <f>IFERROR(__xludf.DUMMYFUNCTION("IF(M1899="""","""",GOOGLETRANSLATE(M1899,""en"",""pt""))"),"Auxiliar no preparo de alimentos conforme instruções, operando equipamentos de produção de alimentos, como grelhas, chapas e fritadeiras. Preparar alimentos como sanduíches, saladas e molhos de acordo com as especificações do cliente. Organizar as mesas e"&amp;" dobrar guardanapos de acordo com os padrões do restaurante. Limpar e higienizar as mesas. Manter e higienizar as estações de trabalho. Limpar e higienizar pratos, panelas, frigideiras e recipientes, devolvendo-os aos locais apropriados na cozinha. Seguir"&amp;" as diretrizes e regulamentos de segurança e higiene para garantir a qualidade dos alimentos. Classificação do Cargo: 35-2012.00 - Cozinheiros, Instituição e Refeitório. A classificação e descrição do cargo/setor inclui informações gerais sobre a posição,"&amp;" de acordo com o ONET/OES e o Sistema de Classificação Industrial da América do Norte. Consulte as Funções e a Ordem de Serviço para obter mais informações. Requisitos do Cargo Experiência Necessária: Sim Meses de Experiência Necessários: 3 Requisitos Esp"&amp;"eciais: Deve ser capaz de levantar/carregar 11 kg, quando necessário. Deve ter disponibilidade para trabalhar em dois turnos. A semana de trabalho padrão é de 4 dias. Trabalho às sextas, sábados e domingos, quando necessário. Testes toxicológicos são obri"&amp;"gatórios para funcionários estrangeiros e nacionais após a contratação, em caso de suspeita de uso, e após acidentes. Verificação de antecedentes criminais também é obrigatória para funcionários estrangeiros e nacionais após a contratação. Número de horas"&amp;" semanais: 39. Horário de trabalho (início/término): 10h30 às 17h30.")</f>
        <v>Auxiliar no preparo de alimentos conforme instruções, operando equipamentos de produção de alimentos, como grelhas, chapas e fritadeiras. Preparar alimentos como sanduíches, saladas e molhos de acordo com as especificações do cliente. Organizar as mesas e dobrar guardanapos de acordo com os padrões do restaurante. Limpar e higienizar as mesas. Manter e higienizar as estações de trabalho. Limpar e higienizar pratos, panelas, frigideiras e recipientes, devolvendo-os aos locais apropriados na cozinha. Seguir as diretrizes e regulamentos de segurança e higiene para garantir a qualidade dos alimentos. Classificação do Cargo: 35-2012.00 - Cozinheiros, Instituição e Refeitório. A classificação e descrição do cargo/setor inclui informações gerais sobre a posição, de acordo com o ONET/OES e o Sistema de Classificação Industrial da América do Norte. Consulte as Funções e a Ordem de Serviço para obter mais informações. Requisitos do Cargo Experiência Necessária: Sim Meses de Experiência Necessários: 3 Requisitos Especiais: Deve ser capaz de levantar/carregar 11 kg, quando necessário. Deve ter disponibilidade para trabalhar em dois turnos. A semana de trabalho padrão é de 4 dias. Trabalho às sextas, sábados e domingos, quando necessário. Testes toxicológicos são obrigatórios para funcionários estrangeiros e nacionais após a contratação, em caso de suspeita de uso, e após acidentes. Verificação de antecedentes criminais também é obrigatória para funcionários estrangeiros e nacionais após a contratação. Número de horas semanais: 39. Horário de trabalho (início/término): 10h30 às 17h30.</v>
      </c>
    </row>
    <row r="1900" ht="20.25" customHeight="1">
      <c r="A1900" s="3" t="s">
        <v>8463</v>
      </c>
      <c r="B1900" s="3" t="s">
        <v>8464</v>
      </c>
      <c r="C1900" s="3" t="s">
        <v>8465</v>
      </c>
      <c r="D1900" s="3" t="s">
        <v>126</v>
      </c>
      <c r="E1900" s="4" t="s">
        <v>19</v>
      </c>
      <c r="F1900" s="4" t="s">
        <v>20</v>
      </c>
      <c r="G1900" s="4" t="s">
        <v>524</v>
      </c>
      <c r="H1900" s="3" t="s">
        <v>8466</v>
      </c>
      <c r="I1900" s="3" t="s">
        <v>8467</v>
      </c>
      <c r="J1900" s="4">
        <v>23.78</v>
      </c>
      <c r="K1900" s="4">
        <v>40.0</v>
      </c>
      <c r="L1900" s="3" t="s">
        <v>8468</v>
      </c>
      <c r="M1900" s="3" t="s">
        <v>8469</v>
      </c>
      <c r="N1900" s="7" t="str">
        <f>IFERROR(__xludf.DUMMYFUNCTION("GOOGLETRANSLATE(L1900, ""en"", ""pt"")"),"Trabalhador de manutenção de jardins")</f>
        <v>Trabalhador de manutenção de jardins</v>
      </c>
      <c r="O1900" s="7" t="str">
        <f>IFERROR(__xludf.DUMMYFUNCTION("IF(M1900="""","""",GOOGLETRANSLATE(M1900,""en"",""pt""))"),"Manter e cuidar das áreas externas e comuns durante os meses de inverno para garantir que permaneçam limpas, seguras e acessíveis. As tarefas incluem remover neve e gelo de calçadas, entradas de veículos e áreas designadas; aplicar sal ou materiais de deg"&amp;"elo; limpar detritos; e monitorar as condições do local em busca de riscos à segurança. Realizar a limpeza de inverno, como a remoção de galhos caídos e a manutenção geral da propriedade. Auxiliar na manutenção básica de ferramentas e equipamentos utiliza"&amp;"dos para atividades de jardinagem. Utilizar ferramentas manuais e equipamentos básicos para concluir as tarefas atribuídas. Manter as áreas de trabalho limpas, organizadas e seguras. Classificação da vaga: 37-3011.00 - Trabalhadores de Paisagismo e Jardin"&amp;"agem. A classificação e descrição da vaga/setor incluem informações gerais sobre o cargo, de acordo com o ONET/OES e o Sistema de Classificação Industrial da América do Norte. Consulte as Funções e a Ordem de Serviço para obter mais informações. Requisito"&amp;"s da vaga: Experiência necessária: Sim. Meses de experiência necessários: 3. Requisitos especiais: 3 meses de experiência ou experiência relacionada. Número de horas por semana: 40 Horário de trabalho (início/término): 7h00 - 16h00")</f>
        <v>Manter e cuidar das áreas externas e comuns durante os meses de inverno para garantir que permaneçam limpas, seguras e acessíveis. As tarefas incluem remover neve e gelo de calçadas, entradas de veículos e áreas designadas; aplicar sal ou materiais de degelo; limpar detritos; e monitorar as condições do local em busca de riscos à segurança. Realizar a limpeza de inverno, como a remoção de galhos caídos e a manutenção geral da propriedade. Auxiliar na manutenção básica de ferramentas e equipamentos utilizados para atividades de jardinagem. Utilizar ferramentas manuais e equipamentos básicos para concluir as tarefas atribuídas. Manter as áreas de trabalho limpas, organizadas e seguras. Classificação da vaga: 37-3011.00 - Trabalhadores de Paisagismo e Jardinagem. A classificação e descrição da vaga/setor incluem informações gerais sobre o cargo, de acordo com o ONET/OES e o Sistema de Classificação Industrial da América do Norte. Consulte as Funções e a Ordem de Serviço para obter mais informações. Requisitos da vaga: Experiência necessária: Sim. Meses de experiência necessários: 3. Requisitos especiais: 3 meses de experiência ou experiência relacionada. Número de horas por semana: 40 Horário de trabalho (início/término): 7h00 - 16h00</v>
      </c>
    </row>
    <row r="1901" ht="20.25" customHeight="1">
      <c r="A1901" s="8" t="s">
        <v>8470</v>
      </c>
      <c r="B1901" s="8" t="s">
        <v>8471</v>
      </c>
      <c r="C1901" s="8"/>
      <c r="D1901" s="8" t="s">
        <v>28</v>
      </c>
      <c r="E1901" s="9" t="s">
        <v>44</v>
      </c>
      <c r="F1901" s="9" t="s">
        <v>20</v>
      </c>
      <c r="G1901" s="9" t="s">
        <v>198</v>
      </c>
      <c r="H1901" s="8" t="s">
        <v>8472</v>
      </c>
      <c r="I1901" s="8" t="s">
        <v>8473</v>
      </c>
      <c r="J1901" s="9">
        <v>12.46</v>
      </c>
      <c r="K1901" s="9">
        <v>37.0</v>
      </c>
      <c r="L1901" s="8" t="s">
        <v>8474</v>
      </c>
      <c r="M1901" s="8" t="s">
        <v>8475</v>
      </c>
      <c r="N1901" s="7" t="str">
        <f>IFERROR(__xludf.DUMMYFUNCTION("GOOGLETRANSLATE(L1901, ""en"", ""pt"")"),"Empregadas domésticas e serviços de limpeza")</f>
        <v>Empregadas domésticas e serviços de limpeza</v>
      </c>
      <c r="O1901" s="7" t="str">
        <f>IFERROR(__xludf.DUMMYFUNCTION("IF(M1901="""","""",GOOGLETRANSLATE(M1901,""en"",""pt""))"),"As camareiras e governantas serão responsáveis ​​pela limpeza de hotéis e quartos de hóspedes, incluindo arrumar as camas, repor a roupa de cama, limpar os quartos e corredores, e disponibilizar toalhas e artigos de higiene pessoal diariamente. Classifica"&amp;"ção da vaga: 37-2012.00 - Camareiras e Governantas. A classificação e descrição da vaga/setor inclui informações gerais sobre o cargo, de acordo com o ONET/OES e o Sistema de Classificação Industrial da América do Norte. Consulte as Funções e a Ordem de S"&amp;"erviço para obter mais informações. Requisitos da vaga: Experiência necessária: Não. Número de horas por semana: 36. Horário de trabalho (início/término): 8h30 às 17h.")</f>
        <v>As camareiras e governantas serão responsáveis ​​pela limpeza de hotéis e quartos de hóspedes, incluindo arrumar as camas, repor a roupa de cama, limpar os quartos e corredores, e disponibilizar toalhas e artigos de higiene pessoal diariamente. Classificação da vaga: 37-2012.00 - Camareiras e Governantas. A classificação e descrição da vaga/setor inclui informações gerais sobre o cargo, de acordo com o ONET/OES e o Sistema de Classificação Industrial da América do Norte. Consulte as Funções e a Ordem de Serviço para obter mais informações. Requisitos da vaga: Experiência necessária: Não. Número de horas por semana: 36. Horário de trabalho (início/término): 8h30 às 17h.</v>
      </c>
    </row>
    <row r="1902" ht="20.25" customHeight="1">
      <c r="A1902" s="3" t="s">
        <v>8476</v>
      </c>
      <c r="B1902" s="3" t="s">
        <v>8477</v>
      </c>
      <c r="C1902" s="3" t="s">
        <v>8478</v>
      </c>
      <c r="D1902" s="3" t="s">
        <v>1197</v>
      </c>
      <c r="E1902" s="4" t="s">
        <v>19</v>
      </c>
      <c r="F1902" s="4" t="s">
        <v>20</v>
      </c>
      <c r="G1902" s="4" t="s">
        <v>1700</v>
      </c>
      <c r="H1902" s="3" t="s">
        <v>8479</v>
      </c>
      <c r="I1902" s="3" t="s">
        <v>8480</v>
      </c>
      <c r="J1902" s="4">
        <v>17.35</v>
      </c>
      <c r="K1902" s="4">
        <v>130.0</v>
      </c>
      <c r="L1902" s="3" t="s">
        <v>8481</v>
      </c>
      <c r="M1902" s="3" t="s">
        <v>8482</v>
      </c>
      <c r="N1902" s="7" t="str">
        <f>IFERROR(__xludf.DUMMYFUNCTION("GOOGLETRANSLATE(L1902, ""en"", ""pt"")"),"Designers de Coroas de Flores")</f>
        <v>Designers de Coroas de Flores</v>
      </c>
      <c r="O1902" s="7" t="str">
        <f>IFERROR(__xludf.DUMMYFUNCTION("IF(M1902="""","""",GOOGLETRANSLATE(M1902,""en"",""pt""))"),"- Em pé junto à mesa/estação de trabalho, pegue um punhado de abeto-bálsamo com as mãos, monte um buquê do tamanho da palma da mão e prenda-o a um anel de metal manualmente. - Apare a folhagem e monte coroas usando tesouras de poda manuais. Classificação "&amp;"da Função: 27-1023.00 - Designers Florais. A classificação e descrição da função/setor inclui informações gerais sobre o cargo, de acordo com o ONET/OES e o Sistema de Classificação Industrial da América do Norte. Consulte as Funções e a Ordem de Serviço "&amp;"para obter mais informações. Requisitos da Função Experiência Necessária: Não. Requisitos Especiais: - Deve demonstrar destreza manual. - Deve demonstrar atenção aos detalhes. - Deve estar disposto e apto a tolerar temperaturas frias. - Deve ter disponibi"&amp;"lidade durante todo o período do contrato. - Poderá ser realizado teste antidrogas pós-contratação, pago pelo empregador. Requisitos e Disposições Especiais: - O empregador poderá oferecer um bônus ou aumento salarial, dependendo da experiência e do mérit"&amp;"o. - O empregador oferece moradia opcional para funcionários que não residem a uma distância razoável do local de trabalho principal. - Remuneração por peça de US$ 0,75, com uma produção mínima de 24 guirlandas por hora. - O empregador pagará o maior valo"&amp;"r entre o salário vigente e a remuneração por peça durante todo o período de emprego. Número de horas por semana: 40. Horário de trabalho (início/término): 7h às 16h.")</f>
        <v>- Em pé junto à mesa/estação de trabalho, pegue um punhado de abeto-bálsamo com as mãos, monte um buquê do tamanho da palma da mão e prenda-o a um anel de metal manualmente. - Apare a folhagem e monte coroas usando tesouras de poda manuais. Classificação da Função: 27-1023.00 - Designers Florais. A classificação e descrição da função/setor inclui informações gerais sobre o cargo, de acordo com o ONET/OES e o Sistema de Classificação Industrial da América do Norte. Consulte as Funções e a Ordem de Serviço para obter mais informações. Requisitos da Função Experiência Necessária: Não. Requisitos Especiais: - Deve demonstrar destreza manual. - Deve demonstrar atenção aos detalhes. - Deve estar disposto e apto a tolerar temperaturas frias. - Deve ter disponibilidade durante todo o período do contrato. - Poderá ser realizado teste antidrogas pós-contratação, pago pelo empregador. Requisitos e Disposições Especiais: - O empregador poderá oferecer um bônus ou aumento salarial, dependendo da experiência e do mérito. - O empregador oferece moradia opcional para funcionários que não residem a uma distância razoável do local de trabalho principal. - Remuneração por peça de US$ 0,75, com uma produção mínima de 24 guirlandas por hora. - O empregador pagará o maior valor entre o salário vigente e a remuneração por peça durante todo o período de emprego. Número de horas por semana: 40. Horário de trabalho (início/término): 7h às 16h.</v>
      </c>
    </row>
    <row r="1903" ht="20.25" customHeight="1">
      <c r="A1903" s="8" t="s">
        <v>8483</v>
      </c>
      <c r="B1903" s="8" t="s">
        <v>8484</v>
      </c>
      <c r="C1903" s="8" t="s">
        <v>8478</v>
      </c>
      <c r="D1903" s="8" t="s">
        <v>64</v>
      </c>
      <c r="E1903" s="9" t="s">
        <v>19</v>
      </c>
      <c r="F1903" s="9" t="s">
        <v>20</v>
      </c>
      <c r="G1903" s="9" t="s">
        <v>806</v>
      </c>
      <c r="H1903" s="8" t="s">
        <v>8485</v>
      </c>
      <c r="I1903" s="8" t="s">
        <v>8486</v>
      </c>
      <c r="J1903" s="9">
        <v>11.2</v>
      </c>
      <c r="K1903" s="9">
        <v>62.0</v>
      </c>
      <c r="L1903" s="8" t="s">
        <v>8487</v>
      </c>
      <c r="M1903" s="8" t="s">
        <v>8488</v>
      </c>
      <c r="N1903" s="7" t="str">
        <f>IFERROR(__xludf.DUMMYFUNCTION("GOOGLETRANSLATE(L1903, ""en"", ""pt"")"),"Atendentes do Carnaval")</f>
        <v>Atendentes do Carnaval</v>
      </c>
      <c r="O1903" s="7" t="str">
        <f>IFERROR(__xludf.DUMMYFUNCTION("IF(M1903="""","""",GOOGLETRANSLATE(M1903,""en"",""pt""))"),"- Desempenhar diversas funções em um parque de diversões itinerante, auxiliando os clientes e prestando assistência nas concessões de jogos. - Fornecer informações sobre as instalações, regras e atrações. - Direcionar os clientes aos brinquedos, jogos ou "&amp;"atrações. - Monitorar as atividades dos clientes e relatar problemas de segurança aos supervisores. - Anunciar ou descrever as atrações aos clientes para incentivar a participação nos jogos. - Auxiliar os clientes nas barracas de diversão, entregando prêm"&amp;"ios e explicando as regras dos jogos. Classificação da vaga: 39-3091.00 - Atendentes de Diversão e Recreação. A classificação e descrição da vaga/setor incluem informações gerais sobre o cargo, de acordo com o ONET/OES e o Sistema de Classificação Industr"&amp;"ial da América do Norte. Consulte as Funções e a Ordem de Serviço para obter mais informações. Requisitos da vaga Experiência necessária: Não Requisitos especiais: - Disponibilidade para viajar a cada 2-3 dias. - Caso a hospedagem seja fornecida pelo empr"&amp;"egador, disponibilidade para dormir em beliches de trailers com espaço reduzido para 4,6 m² por pessoa e instalações mínimas para cozinhar. - Disponibilidade para todo o período do contrato. - Deve ser capaz de levantar pelo menos 23 kg e realizar trabalh"&amp;"o físico. - Poderá ser submetido a teste antidrogas pós-contratação, pago pelo empregador. Requisitos e Disposições Especiais: - Horário variável (dias da semana e turnos). - Horas extras poderão ser oferecidas. Poderá ser necessário trabalhar nos fins de"&amp;" semana. - O itinerário começa no Condado de Fort Bend, Texas. - O trabalho será realizado em diversos locais (consulte a lista de todos os condados incluídos no itinerário para referência). - Viagens diárias ou semanais periódicas. - O itinerário está su"&amp;"jeito a alterações dependendo do clima e de fatores externos. - O salário por hora depende da localização. Consulte o Anexo A para obter detalhes. - Horas extras poderão ser oferecidas além de 40 horas semanais; no entanto, o empregador está isento do pag"&amp;"amento de horas extras federais, de acordo com a Seção 13(a)(3) da FLSA. O empregador cumprirá quaisquer requisitos estaduais ou locais de horas extras, se necessário. - O empregador pagará o maior salário vigente para cada local de trabalho durante todo "&amp;"o período de emprego. - O empregador poderá oferecer aumento ou bônus dependendo da experiência e do mérito. - Transporte diário fornecido para todos os locais de trabalho ao longo do itinerário. - O empregador oferece alojamento móvel opcional aos trabal"&amp;"hadores. - Dedução: Não aplicável. Alojamento e transporte opcionais fornecidos gratuitamente. Número de horas por semana: 40. Horário de trabalho (início/término): 13h00 - 22h00.")</f>
        <v>- Desempenhar diversas funções em um parque de diversões itinerante, auxiliando os clientes e prestando assistência nas concessões de jogos. - Fornecer informações sobre as instalações, regras e atrações. - Direcionar os clientes aos brinquedos, jogos ou atrações. - Monitorar as atividades dos clientes e relatar problemas de segurança aos supervisores. - Anunciar ou descrever as atrações aos clientes para incentivar a participação nos jogos. - Auxiliar os clientes nas barracas de diversão, entregando prêmios e explicando as regras dos jogos. Classificação da vaga: 39-3091.00 - Atendentes de Diversão e Recreação. A classificação e descrição da vaga/setor incluem informações gerais sobre o cargo, de acordo com o ONET/OES e o Sistema de Classificação Industrial da América do Norte. Consulte as Funções e a Ordem de Serviço para obter mais informações. Requisitos da vaga Experiência necessária: Não Requisitos especiais: - Disponibilidade para viajar a cada 2-3 dias. - Caso a hospedagem seja fornecida pelo empregador, disponibilidade para dormir em beliches de trailers com espaço reduzido para 4,6 m² por pessoa e instalações mínimas para cozinhar. - Disponibilidade para todo o período do contrato. - Deve ser capaz de levantar pelo menos 23 kg e realizar trabalho físico. - Poderá ser submetido a teste antidrogas pós-contratação, pago pelo empregador. Requisitos e Disposições Especiais: - Horário variável (dias da semana e turnos). - Horas extras poderão ser oferecidas. Poderá ser necessário trabalhar nos fins de semana. - O itinerário começa no Condado de Fort Bend, Texas. - O trabalho será realizado em diversos locais (consulte a lista de todos os condados incluídos no itinerário para referência). - Viagens diárias ou semanais periódicas. - O itinerário está sujeito a alterações dependendo do clima e de fatores externos. - O salário por hora depende da localização. Consulte o Anexo A para obter detalhes. - Horas extras poderão ser oferecidas além de 40 horas semanais; no entanto, o empregador está isento do pagamento de horas extras federais, de acordo com a Seção 13(a)(3) da FLSA. O empregador cumprirá quaisquer requisitos estaduais ou locais de horas extras, se necessário. - O empregador pagará o maior salário vigente para cada local de trabalho durante todo o período de emprego. - O empregador poderá oferecer aumento ou bônus dependendo da experiência e do mérito. - Transporte diário fornecido para todos os locais de trabalho ao longo do itinerário. - O empregador oferece alojamento móvel opcional aos trabalhadores. - Dedução: Não aplicável. Alojamento e transporte opcionais fornecidos gratuitamente. Número de horas por semana: 40. Horário de trabalho (início/término): 13h00 - 22h00.</v>
      </c>
    </row>
    <row r="1904" ht="20.25" customHeight="1">
      <c r="A1904" s="3" t="s">
        <v>8489</v>
      </c>
      <c r="B1904" s="3" t="s">
        <v>8490</v>
      </c>
      <c r="C1904" s="3" t="s">
        <v>6228</v>
      </c>
      <c r="D1904" s="3" t="s">
        <v>299</v>
      </c>
      <c r="E1904" s="4" t="s">
        <v>19</v>
      </c>
      <c r="F1904" s="4" t="s">
        <v>20</v>
      </c>
      <c r="G1904" s="4" t="s">
        <v>307</v>
      </c>
      <c r="H1904" s="3" t="s">
        <v>8491</v>
      </c>
      <c r="I1904" s="3" t="s">
        <v>8492</v>
      </c>
      <c r="J1904" s="4">
        <v>20.23</v>
      </c>
      <c r="K1904" s="4">
        <v>15.0</v>
      </c>
      <c r="L1904" s="3" t="s">
        <v>8493</v>
      </c>
      <c r="M1904" s="3" t="s">
        <v>8494</v>
      </c>
      <c r="N1904" s="7" t="str">
        <f>IFERROR(__xludf.DUMMYFUNCTION("GOOGLETRANSLATE(L1904, ""en"", ""pt"")"),"Ajudante de Carpinteiro de Inverno")</f>
        <v>Ajudante de Carpinteiro de Inverno</v>
      </c>
      <c r="O1904" s="7" t="str">
        <f>IFERROR(__xludf.DUMMYFUNCTION("IF(M1904="""","""",GOOGLETRANSLATE(M1904,""en"",""pt""))"),"Auxiliar carpinteiros realizando tarefas que exigem menos habilidade, como carregar ferramentas e madeira, fazer cortes simples em madeira, pregar peças de madeira simples, posicionar formas de madeira e limpar o local de trabalho. Durante os meses de inv"&amp;"erno, os trabalhadores também podem auxiliar na remoção de neve e gelo das áreas de trabalho, limpar caminhos para manter o acesso seguro aos locais de trabalho e ajudar a preparar e manter equipamentos e materiais em condições de frio intenso. Classifica"&amp;"ção da vaga: 47-3012.00 - Ajudantes de Carpinteiro. A classificação e descrição da vaga/setor inclui informações gerais sobre o cargo, de acordo com o ONET/OES e o Sistema de Classificação Industrial da América do Norte (NAICS). Consulte as Funções e a Or"&amp;"dem de Serviço para obter mais informações. Requisitos da vaga: Experiência necessária: Sim. Meses de experiência necessários: 3. Requisitos especiais: Deve ser capaz de levantar e carregar 34 kg por 69 metros. Deve ser capaz de passar por um exame toxico"&amp;"lógico pré-admissional. Deve ser capaz de lidar com temperaturas extremas. Número de horas por semana: 40. Horário de trabalho (início/término): 7h. - 16:00")</f>
        <v>Auxiliar carpinteiros realizando tarefas que exigem menos habilidade, como carregar ferramentas e madeira, fazer cortes simples em madeira, pregar peças de madeira simples, posicionar formas de madeira e limpar o local de trabalho. Durante os meses de inverno, os trabalhadores também podem auxiliar na remoção de neve e gelo das áreas de trabalho, limpar caminhos para manter o acesso seguro aos locais de trabalho e ajudar a preparar e manter equipamentos e materiais em condições de frio intenso. Classificação da vaga: 47-3012.00 - Ajudantes de Carpinteiro. A classificação e descrição da vaga/setor inclui informações gerais sobre o cargo, de acordo com o ONET/OES e o Sistema de Classificação Industrial da América do Norte (NAICS). Consulte as Funções e a Ordem de Serviço para obter mais informações. Requisitos da vaga: Experiência necessária: Sim. Meses de experiência necessários: 3. Requisitos especiais: Deve ser capaz de levantar e carregar 34 kg por 69 metros. Deve ser capaz de passar por um exame toxicológico pré-admissional. Deve ser capaz de lidar com temperaturas extremas. Número de horas por semana: 40. Horário de trabalho (início/término): 7h. - 16:00</v>
      </c>
    </row>
    <row r="1905" ht="20.25" customHeight="1">
      <c r="A1905" s="8" t="s">
        <v>8495</v>
      </c>
      <c r="B1905" s="8" t="s">
        <v>8496</v>
      </c>
      <c r="C1905" s="8" t="s">
        <v>8478</v>
      </c>
      <c r="D1905" s="8" t="s">
        <v>28</v>
      </c>
      <c r="E1905" s="9" t="s">
        <v>19</v>
      </c>
      <c r="F1905" s="9" t="s">
        <v>20</v>
      </c>
      <c r="G1905" s="9" t="s">
        <v>1829</v>
      </c>
      <c r="H1905" s="8" t="s">
        <v>8497</v>
      </c>
      <c r="I1905" s="8" t="s">
        <v>8498</v>
      </c>
      <c r="J1905" s="9">
        <v>17.17</v>
      </c>
      <c r="K1905" s="9">
        <v>35.0</v>
      </c>
      <c r="L1905" s="8" t="s">
        <v>8499</v>
      </c>
      <c r="M1905" s="8" t="s">
        <v>8500</v>
      </c>
      <c r="N1905" s="7" t="str">
        <f>IFERROR(__xludf.DUMMYFUNCTION("GOOGLETRANSLATE(L1905, ""en"", ""pt"")"),"Auxiliar de paisagismo decorativo")</f>
        <v>Auxiliar de paisagismo decorativo</v>
      </c>
      <c r="O1905" s="7" t="str">
        <f>IFERROR(__xludf.DUMMYFUNCTION("IF(M1905="""","""",GOOGLETRANSLATE(M1905,""en"",""pt""))"),"Pode incluir, mas não se limita a: - Recolher e remover lixo. - Utilizar ferramentas manuais, como pás, ancinhos, serras de poda, serras elétricas, aparadores de sebes ou arbustos, ou machados. - Operar veículos ou equipamentos motorizados, como cortadore"&amp;"s de relva, tratores, veículos de dois eixos, sopradores de neve, motosserras, máquinas de cortar relva elétricas, cortadores de relva ou serras de poda. - Regar relvados, árvores ou plantas, utilizando sistemas de irrigação portáteis, mangueiras ou regad"&amp;"ores. - Podar ou aparar árvores, arbustos ou sebes, utilizando tesouras de poda, podadores ou motosserras. - Cuidar de relvados já estabelecidos, aplicando cobertura morta, aerando, capinando, removendo tocos, retirando palha morta ou aparando ou delimita"&amp;"ndo canteiros de flores, caminhos ou muros. - Seguir projetos paisagísticos planejados para determinar onde colocar relva, semear relva ou plantar flores ou folhagem. - Aparar ou colher flores e limpar canteiros de flores. - Fixar fios de árvores plantada"&amp;"s a estacas de suporte. - Plantar sementes, bulbos, folhagens, plantas com flores, grama, forrações, árvores ou arbustos e aplicar cobertura morta para proteção, utilizando ferramentas de jardinagem. - Cortar ou aparar a grama, utilizando cortadores de gr"&amp;"ama ou aparadores de borda. - Recolher, cobrir com cobertura morta e compostar folhas. - Decorar jardins com pedras ou plantas. - Ajustar o consumo de água de irrigação para evitar desperdício, utilizando um botão giratório manual operado por bateria. - M"&amp;"anter/reparar sistemas de irrigação feitos de tubos de plástico, utilizando ferramentas manuais como martelo e chave inglesa, preparar os sistemas para o inverno no final do outono e ligá-los na primavera, programando manualmente o botão giratório. Classi"&amp;"ficação do Cargo: 37-3011.00 - Trabalhadores de Paisagismo e Manutenção de Jardins. A classificação e descrição do cargo/setor inclui informações gerais sobre a posição, de acordo com o ONET/OES e o Sistema de Classificação Industrial da América do Norte."&amp;" Consulte as Funções e a Ordem de Serviço para obter mais informações. Requisitos do Cargo Experiência Necessária: Não. Requisitos Especiais: - Deve estar disposto e apto a tolerar temperaturas muito quentes ou muito frias. - Deve estar disposto e apto a "&amp;"tolerar ruídos altos. - Deve ter disponibilidade para todo o período do contrato. - Deve ser capaz de levantar pelo menos 23 kg e realizar trabalho físico. - Poderá ser submetido a teste antidrogas pós-contratação, pago pelo empregador. Requisitos e Dispo"&amp;"sições Especiais: - A escala de trabalho varia (dias da semana e turnos). Horas extras poderão ser oferecidas. Poderá ser necessário trabalhar nos fins de semana. - A disponibilidade de horas irá flutuar e diminuir após a segunda semana de dezembro, aumen"&amp;"tando novamente em 1º de janeiro. - Todos os locais de trabalho estão a uma distância razoável de carro do local de trabalho principal. O empregador pagará o maior salário vigente para todos os locais de trabalho durante todo o período de emprego. - O emp"&amp;"regador poderá oferecer um bônus dependendo da experiência e do mérito. - O empregador oferece transporte até o local de trabalho principal para os trabalhadores que residem a uma distância razoável do trabalho. - O transporte diário é fornecido entre o l"&amp;"ocal de trabalho principal e todos os locais de trabalho. - O empregador poderá fornecer moradia opcional para os trabalhadores que não residem a uma distância razoável do local de trabalho principal. -Descontos: O empregador poderá fornecer moradia no va"&amp;"lor de US$ 400/mês, se disponível. Número de horas por semana: 40. Horário de trabalho (início/término): 6h às 18h.")</f>
        <v>Pode incluir, mas não se limita a: - Recolher e remover lixo. - Utilizar ferramentas manuais, como pás, ancinhos, serras de poda, serras elétricas, aparadores de sebes ou arbustos, ou machados. - Operar veículos ou equipamentos motorizados, como cortadores de relva, tratores, veículos de dois eixos, sopradores de neve, motosserras, máquinas de cortar relva elétricas, cortadores de relva ou serras de poda. - Regar relvados, árvores ou plantas, utilizando sistemas de irrigação portáteis, mangueiras ou regadores. - Podar ou aparar árvores, arbustos ou sebes, utilizando tesouras de poda, podadores ou motosserras. - Cuidar de relvados já estabelecidos, aplicando cobertura morta, aerando, capinando, removendo tocos, retirando palha morta ou aparando ou delimitando canteiros de flores, caminhos ou muros. - Seguir projetos paisagísticos planejados para determinar onde colocar relva, semear relva ou plantar flores ou folhagem. - Aparar ou colher flores e limpar canteiros de flores. - Fixar fios de árvores plantadas a estacas de suporte. - Plantar sementes, bulbos, folhagens, plantas com flores, grama, forrações, árvores ou arbustos e aplicar cobertura morta para proteção, utilizando ferramentas de jardinagem. - Cortar ou aparar a grama, utilizando cortadores de grama ou aparadores de borda. - Recolher, cobrir com cobertura morta e compostar folhas. - Decorar jardins com pedras ou plantas. - Ajustar o consumo de água de irrigação para evitar desperdício, utilizando um botão giratório manual operado por bateria. - Manter/reparar sistemas de irrigação feitos de tubos de plástico, utilizando ferramentas manuais como martelo e chave inglesa, preparar os sistemas para o inverno no final do outono e ligá-los na primavera, programando manualmente o botão giratório. Classificação do Cargo: 37-3011.00 - Trabalhadores de Paisagismo e Manutenção de Jardins. A classificação e descrição do cargo/setor inclui informações gerais sobre a posição, de acordo com o ONET/OES e o Sistema de Classificação Industrial da América do Norte. Consulte as Funções e a Ordem de Serviço para obter mais informações. Requisitos do Cargo Experiência Necessária: Não. Requisitos Especiais: - Deve estar disposto e apto a tolerar temperaturas muito quentes ou muito frias. - Deve estar disposto e apto a tolerar ruídos altos. - Deve ter disponibilidade para todo o período do contrato. - Deve ser capaz de levantar pelo menos 23 kg e realizar trabalho físico. - Poderá ser submetido a teste antidrogas pós-contratação, pago pelo empregador. Requisitos e Disposições Especiais: - A escala de trabalho varia (dias da semana e turnos). Horas extras poderão ser oferecidas. Poderá ser necessário trabalhar nos fins de semana. - A disponibilidade de horas irá flutuar e diminuir após a segunda semana de dezembro, aumentando novamente em 1º de janeiro. - Todos os locais de trabalho estão a uma distância razoável de carro do local de trabalho principal. O empregador pagará o maior salário vigente para todos os locais de trabalho durante todo o período de emprego. - O empregador poderá oferecer um bônus dependendo da experiência e do mérito. - O empregador oferece transporte até o local de trabalho principal para os trabalhadores que residem a uma distância razoável do trabalho. - O transporte diário é fornecido entre o local de trabalho principal e todos os locais de trabalho. - O empregador poderá fornecer moradia opcional para os trabalhadores que não residem a uma distância razoável do local de trabalho principal. -Descontos: O empregador poderá fornecer moradia no valor de US$ 400/mês, se disponível. Número de horas por semana: 40. Horário de trabalho (início/término): 6h às 18h.</v>
      </c>
    </row>
    <row r="1906" ht="20.25" customHeight="1">
      <c r="A1906" s="3" t="s">
        <v>8501</v>
      </c>
      <c r="B1906" s="3" t="s">
        <v>8502</v>
      </c>
      <c r="C1906" s="3" t="s">
        <v>6228</v>
      </c>
      <c r="D1906" s="3" t="s">
        <v>602</v>
      </c>
      <c r="E1906" s="4" t="s">
        <v>19</v>
      </c>
      <c r="F1906" s="4" t="s">
        <v>20</v>
      </c>
      <c r="G1906" s="4" t="s">
        <v>506</v>
      </c>
      <c r="H1906" s="3" t="s">
        <v>8503</v>
      </c>
      <c r="I1906" s="3" t="s">
        <v>8504</v>
      </c>
      <c r="J1906" s="4">
        <v>24.17</v>
      </c>
      <c r="K1906" s="4">
        <v>6.0</v>
      </c>
      <c r="L1906" s="3" t="s">
        <v>8505</v>
      </c>
      <c r="M1906" s="3" t="s">
        <v>8506</v>
      </c>
      <c r="N1906" s="7" t="str">
        <f>IFERROR(__xludf.DUMMYFUNCTION("GOOGLETRANSLATE(L1906, ""en"", ""pt"")"),"Operário da equipe de pavimentação")</f>
        <v>Operário da equipe de pavimentação</v>
      </c>
      <c r="O1906" s="7" t="str">
        <f>IFERROR(__xludf.DUMMYFUNCTION("IF(M1906="""","""",GOOGLETRANSLATE(M1906,""en"",""pt""))"),"***Resposta à Solicitação de Informações*** O trabalhador auxiliará a equipe de pavimentação asfáltica na aplicação de asfalto quente em ruas, estacionamentos, entradas de garagem e outras superfícies pavimentadas. As funções específicas incluem o transpo"&amp;"rte de asfalto quente dos caminhões de entrega até a área de trabalho utilizando carrinhos de mão; o espalhamento e nivelamento do asfalto com pás, ancinhos e espátulas; o auxílio aos membros da equipe na manutenção da profundidade e nivelamento adequados"&amp;" do asfalto; o auxílio na compactação do asfalto operando compactadores manuais e auxiliando os membros da equipe na operação de compactadores de placa; a limpeza do excesso de material das áreas de trabalho; e o auxílio aos membros da equipe nas operaçõe"&amp;"s gerais de pavimentação. O trabalhador utilizará ferramentas manuais e equipamentos, incluindo pás, carrinhos de mão, ancinhos, espátulas e compactadores manuais. Os materiais utilizados incluem asfalto quente e materiais de pavimentação relacionados. **"&amp;"*Funções Originais*** O Auxiliar de Pavimentação será o principal responsável por espalhar asfalto com pá e ancinho, além de realizar trabalhos gerais relacionados à construção asfáltica. As funções específicas incluem: Cumprimento das normas de segurança"&amp;" e trabalho seguro. Auxiliar a equipe de pavimentação asfáltica na aplicação de asfalto quente de acordo com as especificações exigidas pelo trabalho. Aderir aos padrões de qualidade. Auxiliar na manutenção e limpeza diárias de rotina. Necessário ser capa"&amp;"z de levantar e carregar cargas pesadas, subir e descer escadas e realizar tarefas braçais. Classificação da vaga: 47-2061.00 - Auxiliares de Construção. A classificação e descrição da vaga/setor incluem informações gerais sobre o cargo, de acordo com o O"&amp;"NET/OES e o Sistema de Classificação Industrial da América do Norte (NAICS). Consulte as Funções e a Ordem de Serviço para obter mais informações. Requisitos da vaga: Experiência necessária: Não. Requisitos especiais: Necessário ser capaz de levantar e ca"&amp;"rregar cargas pesadas, subir e descer escadas e realizar tarefas braçais. Número de horas por semana: 40. Horário de trabalho (início/término): 6h30 às 17h.")</f>
        <v>***Resposta à Solicitação de Informações*** O trabalhador auxiliará a equipe de pavimentação asfáltica na aplicação de asfalto quente em ruas, estacionamentos, entradas de garagem e outras superfícies pavimentadas. As funções específicas incluem o transporte de asfalto quente dos caminhões de entrega até a área de trabalho utilizando carrinhos de mão; o espalhamento e nivelamento do asfalto com pás, ancinhos e espátulas; o auxílio aos membros da equipe na manutenção da profundidade e nivelamento adequados do asfalto; o auxílio na compactação do asfalto operando compactadores manuais e auxiliando os membros da equipe na operação de compactadores de placa; a limpeza do excesso de material das áreas de trabalho; e o auxílio aos membros da equipe nas operações gerais de pavimentação. O trabalhador utilizará ferramentas manuais e equipamentos, incluindo pás, carrinhos de mão, ancinhos, espátulas e compactadores manuais. Os materiais utilizados incluem asfalto quente e materiais de pavimentação relacionados. ***Funções Originais*** O Auxiliar de Pavimentação será o principal responsável por espalhar asfalto com pá e ancinho, além de realizar trabalhos gerais relacionados à construção asfáltica. As funções específicas incluem: Cumprimento das normas de segurança e trabalho seguro. Auxiliar a equipe de pavimentação asfáltica na aplicação de asfalto quente de acordo com as especificações exigidas pelo trabalho. Aderir aos padrões de qualidade. Auxiliar na manutenção e limpeza diárias de rotina. Necessário ser capaz de levantar e carregar cargas pesadas, subir e descer escadas e realizar tarefas braçais. Classificação da vaga: 47-2061.00 - Auxiliares de Construção. A classificação e descrição da vaga/setor incluem informações gerais sobre o cargo, de acordo com o ONET/OES e o Sistema de Classificação Industrial da América do Norte (NAICS). Consulte as Funções e a Ordem de Serviço para obter mais informações. Requisitos da vaga: Experiência necessária: Não. Requisitos especiais: Necessário ser capaz de levantar e carregar cargas pesadas, subir e descer escadas e realizar tarefas braçais. Número de horas por semana: 40. Horário de trabalho (início/término): 6h30 às 17h.</v>
      </c>
    </row>
    <row r="1907" ht="20.25" customHeight="1">
      <c r="A1907" s="8" t="s">
        <v>8507</v>
      </c>
      <c r="B1907" s="8" t="s">
        <v>8508</v>
      </c>
      <c r="C1907" s="8" t="s">
        <v>8465</v>
      </c>
      <c r="D1907" s="8" t="s">
        <v>126</v>
      </c>
      <c r="E1907" s="9" t="s">
        <v>19</v>
      </c>
      <c r="F1907" s="9" t="s">
        <v>20</v>
      </c>
      <c r="G1907" s="9" t="s">
        <v>384</v>
      </c>
      <c r="H1907" s="8" t="s">
        <v>8509</v>
      </c>
      <c r="I1907" s="8" t="s">
        <v>8510</v>
      </c>
      <c r="J1907" s="9">
        <v>23.57</v>
      </c>
      <c r="K1907" s="9">
        <v>48.0</v>
      </c>
      <c r="L1907" s="8" t="s">
        <v>121</v>
      </c>
      <c r="M1907" s="8" t="s">
        <v>8511</v>
      </c>
      <c r="N1907" s="7" t="str">
        <f>IFERROR(__xludf.DUMMYFUNCTION("GOOGLETRANSLATE(L1907, ""en"", ""pt"")"),"Trabalhador braçal")</f>
        <v>Trabalhador braçal</v>
      </c>
      <c r="O1907" s="7" t="str">
        <f>IFERROR(__xludf.DUMMYFUNCTION("IF(M1907="""","""",GOOGLETRANSLATE(M1907,""en"",""pt""))"),"***Resposta à Solicitação de Informações*** Detalhes adicionais sobre o auxílio a profissionais qualificados: Os trabalhadores auxiliarão profissionais qualificados na limpeza e organização de ferramentas, equipamentos, materiais e áreas de trabalho; no c"&amp;"arregamento, descarregamento, transporte e movimentação de materiais de construção, como madeira, compensado, fôrmas de concreto, tubos, conexões, fixadores, paletes e outros suprimentos de construção; na instalação e remoção de barreiras temporárias, sin"&amp;"alização e materiais de proteção do local; no auxílio à preparação do local, removendo detritos, eliminando riscos, organizando materiais e mantendo o acesso seguro às áreas de trabalho; e no apoio às equipes de construção com tarefas básicas de trabalho "&amp;"braçal, como segurar, posicionar e organizar materiais e ferramentas. Os trabalhadores utilizarão ferramentas manuais e elétricas básicas, incluindo pás, ancinhos, vassouras, carrinhos de mão, carrinhos de transporte, plataformas rolantes, martelos, trena"&amp;"s, estiletes, furadeiras e ferramentas similares para executar as tarefas designadas. Os trabalhadores poderão auxiliar no carregamento e descarregamento de materiais e na limpeza geral e remoção de detritos para manter os locais de trabalho seguros e org"&amp;"anizados. Todas as tarefas são executadas sob supervisão direta e são relacionadas ao trabalho braçal, não exigindo habilidades especializadas, certificação ou licença. ***Atribuições Originais*** Executar tarefas gerais de trabalho braçal em canteiros de"&amp;" obras durante o inverno para dar suporte a projetos em andamento. As atribuições incluem preparação e limpeza do local, remoção de entulhos, carga e descarga de materiais e auxílio a profissionais especializados, conforme necessário. Realizar a remoção d"&amp;"e neve e gelo para manter áreas de trabalho seguras e acessíveis, incluindo a limpeza de calçadas, zonas de trabalho e caminhos para equipamentos. Utilizar ferramentas manuais e elétricas para auxiliar em tarefas básicas de construção, demolição e movimen"&amp;"tação de materiais. Seguir todos os protocolos de segurança relacionados a condições climáticas frias, incluindo o manuseio adequado de equipamentos e materiais em temperaturas congelantes. Manter o local de trabalho limpo, organizado e seguro em todos os"&amp;" momentos. Classificação da Função: 47-2061.00 - Auxiliares de Construção Civil. A classificação e descrição da função/setor incluem informações gerais sobre o cargo, conforme ONET/OES e o Sistema de Classificação Industrial da América do Norte (NAICS). C"&amp;"onsulte as Atribuições e a Ordem de Serviço para obter mais informações. Requisitos da Função Experiência Necessária: Sim Meses de Experiência Necessária: 3 Requisitos Especiais: 3 meses de experiência ou equivalente. Número de horas por semana: 40 Horári"&amp;"o de trabalho (início/término): 7h00 - 16h00")</f>
        <v>***Resposta à Solicitação de Informações*** Detalhes adicionais sobre o auxílio a profissionais qualificados: Os trabalhadores auxiliarão profissionais qualificados na limpeza e organização de ferramentas, equipamentos, materiais e áreas de trabalho; no carregamento, descarregamento, transporte e movimentação de materiais de construção, como madeira, compensado, fôrmas de concreto, tubos, conexões, fixadores, paletes e outros suprimentos de construção; na instalação e remoção de barreiras temporárias, sinalização e materiais de proteção do local; no auxílio à preparação do local, removendo detritos, eliminando riscos, organizando materiais e mantendo o acesso seguro às áreas de trabalho; e no apoio às equipes de construção com tarefas básicas de trabalho braçal, como segurar, posicionar e organizar materiais e ferramentas. Os trabalhadores utilizarão ferramentas manuais e elétricas básicas, incluindo pás, ancinhos, vassouras, carrinhos de mão, carrinhos de transporte, plataformas rolantes, martelos, trenas, estiletes, furadeiras e ferramentas similares para executar as tarefas designadas. Os trabalhadores poderão auxiliar no carregamento e descarregamento de materiais e na limpeza geral e remoção de detritos para manter os locais de trabalho seguros e organizados. Todas as tarefas são executadas sob supervisão direta e são relacionadas ao trabalho braçal, não exigindo habilidades especializadas, certificação ou licença. ***Atribuições Originais*** Executar tarefas gerais de trabalho braçal em canteiros de obras durante o inverno para dar suporte a projetos em andamento. As atribuições incluem preparação e limpeza do local, remoção de entulhos, carga e descarga de materiais e auxílio a profissionais especializados, conforme necessário. Realizar a remoção de neve e gelo para manter áreas de trabalho seguras e acessíveis, incluindo a limpeza de calçadas, zonas de trabalho e caminhos para equipamentos. Utilizar ferramentas manuais e elétricas para auxiliar em tarefas básicas de construção, demolição e movimentação de materiais. Seguir todos os protocolos de segurança relacionados a condições climáticas frias, incluindo o manuseio adequado de equipamentos e materiais em temperaturas congelantes. Manter o local de trabalho limpo, organizado e seguro em todos os momentos. Classificação da Função: 47-2061.00 - Auxiliares de Construção Civil. A classificação e descrição da função/setor incluem informações gerais sobre o cargo, conforme ONET/OES e o Sistema de Classificação Industrial da América do Norte (NAICS). Consulte as Atribuições e a Ordem de Serviço para obter mais informações. Requisitos da Função Experiência Necessária: Sim Meses de Experiência Necessária: 3 Requisitos Especiais: 3 meses de experiência ou equivalente. Número de horas por semana: 40 Horário de trabalho (início/término): 7h00 - 16h00</v>
      </c>
    </row>
    <row r="1908" ht="20.25" customHeight="1">
      <c r="A1908" s="3" t="s">
        <v>8512</v>
      </c>
      <c r="B1908" s="3" t="s">
        <v>8513</v>
      </c>
      <c r="C1908" s="3" t="s">
        <v>8478</v>
      </c>
      <c r="D1908" s="3" t="s">
        <v>1051</v>
      </c>
      <c r="E1908" s="4" t="s">
        <v>19</v>
      </c>
      <c r="F1908" s="4" t="s">
        <v>20</v>
      </c>
      <c r="G1908" s="4" t="s">
        <v>65</v>
      </c>
      <c r="H1908" s="3" t="s">
        <v>8514</v>
      </c>
      <c r="I1908" s="3" t="s">
        <v>8515</v>
      </c>
      <c r="J1908" s="4">
        <v>18.61</v>
      </c>
      <c r="K1908" s="4">
        <v>10.0</v>
      </c>
      <c r="L1908" s="3" t="s">
        <v>8516</v>
      </c>
      <c r="M1908" s="3" t="s">
        <v>8517</v>
      </c>
      <c r="N1908" s="7" t="str">
        <f>IFERROR(__xludf.DUMMYFUNCTION("GOOGLETRANSLATE(L1908, ""en"", ""pt"")"),"Designers de Coroas de Natal")</f>
        <v>Designers de Coroas de Natal</v>
      </c>
      <c r="O1908" s="7" t="str">
        <f>IFERROR(__xludf.DUMMYFUNCTION("IF(M1908="""","""",GOOGLETRANSLATE(M1908,""en"",""pt""))"),"***Resposta à Solicitação de Informações*** Os funcionários irão embalar e precificar arranjos florais para venda, utilizando materiais de proteção. Eles irão fixar etiquetas de preço em cada arranjo. As ferramentas e materiais utilizados podem incluir te"&amp;"souras, dispensadores de fita adesiva, etiquetadoras de preço, etiquetas e papel de embrulho. Os funcionários irão remover folhagens e arames das caixas para a confecção de arranjos florais. Eles irão inspecionar os produtos para garantir a qualidade e or"&amp;"ganizá-los em áreas de armazenamento ou exposição designadas. As ferramentas e equipamentos utilizados podem incluir estiletes ou tesouras de poda, luvas de trabalho e óculos de segurança. Os materiais manuseados podem incluir caixas de papelão e materiai"&amp;"s de embalagem. Os funcionários irão limpar e manter seus postos de trabalho para garantir um ambiente seguro e organizado. As tarefas podem incluir varrer restos de plantas e descartá-los no lixo. As ferramentas e equipamentos utilizados podem incluir va"&amp;"ssouras, pás de lixo, baldes e sacos de lixo. ***Original F.a.2*** Pode incluir, entre outras atividades: - Regar plantas, cortar, condicionar e limpar flores e folhagens para armazenamento. - Aparar materiais e arranjar buquês, coroas e outros itens, uti"&amp;"lizando tesouras de poda, modeladores, arame, alfinetes, fita floral, espuma floral e outros materiais. - Embalar e precificar os arranjos finalizados. - Desembalar o estoque conforme chega à loja. - Realizar tarefas gerais de limpeza na loja para garanti"&amp;"r que ela esteja limpa e organizada. Classificação da vaga: 27-1023.00 - Designers Florais. A classificação e descrição da vaga/setor inclui informações gerais sobre o cargo, de acordo com o ONET/OES e o Sistema de Classificação Industrial da América do N"&amp;"orte. Consulte as Funções e a Ordem de Serviço para obter mais informações. Requisitos da vaga Experiência necessária: Não. Requisitos especiais: - Deve demonstrar destreza manual. - Deve demonstrar atenção aos detalhes. - Deve estar disposto e apto a tol"&amp;"erar temperaturas muito altas ou muito baixas. - Deve ter disponibilidade durante todo o período do contrato. - Pode ser necessário realizar teste antidrogas após a contratação, pago pelo empregador. - Necessário demonstrar destreza manual. Requisitos e D"&amp;"isposições Especiais: - Horário variável (dias da semana e turnos). Horas extras podem ser oferecidas. Pode ser necessário trabalhar nos fins de semana. - Todos os locais de trabalho estão a uma distância que permite deslocamento de carro até o local de t"&amp;"rabalho principal. - O empregador pode oferecer um bônus dependendo da experiência e do mérito. - O empregador não fornece transporte da residência dos trabalhadores até o local de trabalho principal. - A empresa não oferece moradia. O empregador auxiliar"&amp;"á os trabalhadores, caso haja interesse, na busca de opções de moradia, que serão pagas pelos trabalhadores. - Desconto: N/A Número de Horas por Semana: 40 Horário de Trabalho (Início/Término): 8h00 - 16h30")</f>
        <v>***Resposta à Solicitação de Informações*** Os funcionários irão embalar e precificar arranjos florais para venda, utilizando materiais de proteção. Eles irão fixar etiquetas de preço em cada arranjo. As ferramentas e materiais utilizados podem incluir tesouras, dispensadores de fita adesiva, etiquetadoras de preço, etiquetas e papel de embrulho. Os funcionários irão remover folhagens e arames das caixas para a confecção de arranjos florais. Eles irão inspecionar os produtos para garantir a qualidade e organizá-los em áreas de armazenamento ou exposição designadas. As ferramentas e equipamentos utilizados podem incluir estiletes ou tesouras de poda, luvas de trabalho e óculos de segurança. Os materiais manuseados podem incluir caixas de papelão e materiais de embalagem. Os funcionários irão limpar e manter seus postos de trabalho para garantir um ambiente seguro e organizado. As tarefas podem incluir varrer restos de plantas e descartá-los no lixo. As ferramentas e equipamentos utilizados podem incluir vassouras, pás de lixo, baldes e sacos de lixo. ***Original F.a.2*** Pode incluir, entre outras atividades: - Regar plantas, cortar, condicionar e limpar flores e folhagens para armazenamento. - Aparar materiais e arranjar buquês, coroas e outros itens, utilizando tesouras de poda, modeladores, arame, alfinetes, fita floral, espuma floral e outros materiais. - Embalar e precificar os arranjos finalizados. - Desembalar o estoque conforme chega à loja. - Realizar tarefas gerais de limpeza na loja para garantir que ela esteja limpa e organizada. Classificação da vaga: 27-1023.00 - Designers Florais. A classificação e descrição da vaga/setor inclui informações gerais sobre o cargo, de acordo com o ONET/OES e o Sistema de Classificação Industrial da América do Norte. Consulte as Funções e a Ordem de Serviço para obter mais informações. Requisitos da vaga Experiência necessária: Não. Requisitos especiais: - Deve demonstrar destreza manual. - Deve demonstrar atenção aos detalhes. - Deve estar disposto e apto a tolerar temperaturas muito altas ou muito baixas. - Deve ter disponibilidade durante todo o período do contrato. - Pode ser necessário realizar teste antidrogas após a contratação, pago pelo empregador. - Necessário demonstrar destreza manual. Requisitos e Disposições Especiais: - Horário variável (dias da semana e turnos). Horas extras podem ser oferecidas. Pode ser necessário trabalhar nos fins de semana. - Todos os locais de trabalho estão a uma distância que permite deslocamento de carro até o local de trabalho principal. - O empregador pode oferecer um bônus dependendo da experiência e do mérito. - O empregador não fornece transporte da residência dos trabalhadores até o local de trabalho principal. - A empresa não oferece moradia. O empregador auxiliará os trabalhadores, caso haja interesse, na busca de opções de moradia, que serão pagas pelos trabalhadores. - Desconto: N/A Número de Horas por Semana: 40 Horário de Trabalho (Início/Término): 8h00 - 16h30</v>
      </c>
    </row>
    <row r="1909" ht="20.25" customHeight="1">
      <c r="A1909" s="8" t="s">
        <v>8518</v>
      </c>
      <c r="B1909" s="8" t="s">
        <v>8519</v>
      </c>
      <c r="C1909" s="8" t="s">
        <v>8478</v>
      </c>
      <c r="D1909" s="8" t="s">
        <v>64</v>
      </c>
      <c r="E1909" s="9" t="s">
        <v>19</v>
      </c>
      <c r="F1909" s="9" t="s">
        <v>20</v>
      </c>
      <c r="G1909" s="9" t="s">
        <v>80</v>
      </c>
      <c r="H1909" s="8" t="s">
        <v>8520</v>
      </c>
      <c r="I1909" s="8" t="s">
        <v>8521</v>
      </c>
      <c r="J1909" s="9">
        <v>9.84</v>
      </c>
      <c r="K1909" s="9">
        <v>75.0</v>
      </c>
      <c r="L1909" s="8" t="s">
        <v>8487</v>
      </c>
      <c r="M1909" s="8" t="s">
        <v>8522</v>
      </c>
      <c r="N1909" s="7" t="str">
        <f>IFERROR(__xludf.DUMMYFUNCTION("GOOGLETRANSLATE(L1909, ""en"", ""pt"")"),"Atendentes do Carnaval")</f>
        <v>Atendentes do Carnaval</v>
      </c>
      <c r="O1909" s="7" t="str">
        <f>IFERROR(__xludf.DUMMYFUNCTION("IF(M1909="""","""",GOOGLETRANSLATE(M1909,""en"",""pt""))"),"Resposta à Solicitação de Informações (RFI) • Auxiliar na montagem e desmontagem de equipamentos leves de diversão, placas, barreiras e áreas de fila para clientes, utilizando ferramentas manuais básicas e seguindo os procedimentos estabelecidos. • Orient"&amp;"ar os clientes no uso seguro de brinquedos, atrações, jogos e instalações recreativas do parque de diversões. • Coletar ingressos, pulseiras, taxas ou entradas e fornecer informações aos clientes. • Auxiliar os clientes na entrada, saída e utilização de b"&amp;"rinquedos, atrações e equipamentos recreativos. • Operar brinquedos, jogos e atrações do parque de diversões de acordo com os procedimentos estabelecidos. • Organizar e repor suprimentos, ingressos e itens de concessão para os clientes. • Vender e servir "&amp;"lanches, bebidas e refrescos pré-embalados aos clientes. • Manter a limpeza dos brinquedos, atrações, áreas de concessão, áreas de assentos para clientes e arredores, descartando o lixo da estação de trabalho e limpando as superfícies sujas com um pano e "&amp;"produto de limpeza. As funções originais de F.a.2 podem incluir, entre outras: - Montar e desmontar brinquedos, cercas e sinalização manualmente ou com ferramentas manuais; - Conectar as peças corretamente, equilibrar e espaçar os equipamentos adequadamen"&amp;"te, trabalhando em equipe ou individualmente, operando brinquedos mecânicos típicos de parques de diversões; - Apertar cintos de segurança e inspecionar os equipamentos para garantir o funcionamento adequado; - Vender ingressos e cobrar taxas dos clientes"&amp;"; - Monitorar as atividades para garantir o cumprimento das regras e procedimentos de segurança ou providenciar a remoção de clientes indisciplinados; - Atender nas barracas de diversão dos parques de diversões, realizando tarefas como conduzir jogos, fot"&amp;"ografar os clientes ou entregar prêmios; - Registrar detalhes de público, vendas, recibos, reservas ou atividades de reparo; - Manter o inventário de equipamentos, armazenando e recuperando itens e montando e desmontando equipamentos conforme necessário; "&amp;"- Fornecer informações sobre as instalações, opções de entretenimento e regras e regulamentos; - Manter-se informado sobre os procedimentos de fechamento e evacuação de emergência; - Direcionar os clientes aos brinquedos, assentos ou atrações. - Atender n"&amp;"as concessões de alimentos e jogos, vendendo e servindo bebidas e preparando/servindo principalmente alimentos prontos. - Limpar/higienizar a área de trabalho e as áreas de assentos dos clientes. - Preparar alimentos prontos, como limonada, churros, água "&amp;"fresca, sorvete e cachorro-quente, seguindo métodos específicos que geralmente exigem pouco tempo de preparo. - Operar equipamentos de reaquecimento, como micro-ondas ou panelas elétricas, para reaquecer alimentos quentes prontos. - Usar máquinas de refri"&amp;"gerante para servir bebidas prontas ou milk-shakes. Classificação do Cargo: 39-3091.00 - Atendentes de Diversão e Recreação. A classificação e descrição do cargo/setor incluem informações gerais sobre a posição, de acordo com o ONET/OES e o Sistema de Cla"&amp;"ssificação Industrial da América do Norte. Consulte as Funções e a Ordem de Serviço para obter mais informações. Requisitos do Cargo Experiência Necessária: Não. Requisitos Especiais: - Disponibilidade para viajar a cada 2-3 dias. - Caso fique hospedado e"&amp;"m alojamento fornecido pelo empregador, o candidato deve estar disposto e apto a tolerar dormir em beliches de trailers com espaço reduzido para 4,6 metros quadrados por pessoa e instalações mínimas para cozinhar. - Deve ter disponibilidade durante todo o"&amp;" período do contrato. - Deve ser capaz de levantar pelo menos 23 kg e realizar trabalho físico. - Poderá ser submetido a teste antidrogas pós-contratação, pago pelo empregador. Requisitos e Disposições Especiais: - Horário variável (dias da semana e turno"&amp;"s). Horas extras poderão ser oferecidas. Poderá ser necessário trabalhar nos fins de semana. - O itinerário começa no condado de Harris. - O trabalho será realizado em diversos locais (consulte a lista de todos os condados incluídos no itinerário para ref"&amp;"erência). - Viagens diárias ou semanais periódicas. - O itinerário está sujeito a alterações dependendo do clima e de fatores externos. - O salário por hora depende da localização. Consulte o Anexo A para obter detalhes. - O empregador pagará o maior salá"&amp;"rio vigente para cada local de trabalho durante todo o período de emprego. - O empregador poderá oferecer um bônus dependendo da experiência e do mérito. - O empregador oferece transporte até o local de trabalho principal para funcionários que residem em "&amp;"uma área com deslocamento razoável. - O transporte diário é fornecido para todos os locais de trabalho a partir do local de trabalho principal. - O empregador oferece acomodação opcional para funcionários que não residem em uma área com deslocamento razoá"&amp;"vel até o local de trabalho principal. - Acomodação e transporte opcionais são fornecidos gratuitamente. Número de horas por semana: 40. Horário de trabalho (início/término): 13h00 - 22h00.")</f>
        <v>Resposta à Solicitação de Informações (RFI) • Auxiliar na montagem e desmontagem de equipamentos leves de diversão, placas, barreiras e áreas de fila para clientes, utilizando ferramentas manuais básicas e seguindo os procedimentos estabelecidos. • Orientar os clientes no uso seguro de brinquedos, atrações, jogos e instalações recreativas do parque de diversões. • Coletar ingressos, pulseiras, taxas ou entradas e fornecer informações aos clientes. • Auxiliar os clientes na entrada, saída e utilização de brinquedos, atrações e equipamentos recreativos. • Operar brinquedos, jogos e atrações do parque de diversões de acordo com os procedimentos estabelecidos. • Organizar e repor suprimentos, ingressos e itens de concessão para os clientes. • Vender e servir lanches, bebidas e refrescos pré-embalados aos clientes. • Manter a limpeza dos brinquedos, atrações, áreas de concessão, áreas de assentos para clientes e arredores, descartando o lixo da estação de trabalho e limpando as superfícies sujas com um pano e produto de limpeza. As funções originais de F.a.2 podem incluir, entre outras: - Montar e desmontar brinquedos, cercas e sinalização manualmente ou com ferramentas manuais; - Conectar as peças corretamente, equilibrar e espaçar os equipamentos adequadamente, trabalhando em equipe ou individualmente, operando brinquedos mecânicos típicos de parques de diversões; - Apertar cintos de segurança e inspecionar os equipamentos para garantir o funcionamento adequado; - Vender ingressos e cobrar taxas dos clientes; - Monitorar as atividades para garantir o cumprimento das regras e procedimentos de segurança ou providenciar a remoção de clientes indisciplinados; - Atender nas barracas de diversão dos parques de diversões, realizando tarefas como conduzir jogos, fotografar os clientes ou entregar prêmios; - Registrar detalhes de público, vendas, recibos, reservas ou atividades de reparo; - Manter o inventário de equipamentos, armazenando e recuperando itens e montando e desmontando equipamentos conforme necessário; - Fornecer informações sobre as instalações, opções de entretenimento e regras e regulamentos; - Manter-se informado sobre os procedimentos de fechamento e evacuação de emergência; - Direcionar os clientes aos brinquedos, assentos ou atrações. - Atender nas concessões de alimentos e jogos, vendendo e servindo bebidas e preparando/servindo principalmente alimentos prontos. - Limpar/higienizar a área de trabalho e as áreas de assentos dos clientes. - Preparar alimentos prontos, como limonada, churros, água fresca, sorvete e cachorro-quente, seguindo métodos específicos que geralmente exigem pouco tempo de preparo. - Operar equipamentos de reaquecimento, como micro-ondas ou panelas elétricas, para reaquecer alimentos quentes prontos. - Usar máquinas de refrigerante para servir bebidas prontas ou milk-shakes. Classificação do Cargo: 39-3091.00 - Atendentes de Diversão e Recreação. A classificação e descrição do cargo/setor incluem informações gerais sobre a posição, de acordo com o ONET/OES e o Sistema de Classificação Industrial da América do Norte. Consulte as Funções e a Ordem de Serviço para obter mais informações. Requisitos do Cargo Experiência Necessária: Não. Requisitos Especiais: - Disponibilidade para viajar a cada 2-3 dias. - Caso fique hospedado em alojamento fornecido pelo empregador, o candidato deve estar disposto e apto a tolerar dormir em beliches de trailers com espaço reduzido para 4,6 metros quadrados por pessoa e instalações mínimas para cozinhar. - Deve ter disponibilidade durante todo o período do contrato. - Deve ser capaz de levantar pelo menos 23 kg e realizar trabalho físico. - Poderá ser submetido a teste antidrogas pós-contratação, pago pelo empregador. Requisitos e Disposições Especiais: - Horário variável (dias da semana e turnos). Horas extras poderão ser oferecidas. Poderá ser necessário trabalhar nos fins de semana. - O itinerário começa no condado de Harris. - O trabalho será realizado em diversos locais (consulte a lista de todos os condados incluídos no itinerário para referência). - Viagens diárias ou semanais periódicas. - O itinerário está sujeito a alterações dependendo do clima e de fatores externos. - O salário por hora depende da localização. Consulte o Anexo A para obter detalhes. - O empregador pagará o maior salário vigente para cada local de trabalho durante todo o período de emprego. - O empregador poderá oferecer um bônus dependendo da experiência e do mérito. - O empregador oferece transporte até o local de trabalho principal para funcionários que residem em uma área com deslocamento razoável. - O transporte diário é fornecido para todos os locais de trabalho a partir do local de trabalho principal. - O empregador oferece acomodação opcional para funcionários que não residem em uma área com deslocamento razoável até o local de trabalho principal. - Acomodação e transporte opcionais são fornecidos gratuitamente. Número de horas por semana: 40. Horário de trabalho (início/término): 13h00 - 22h00.</v>
      </c>
    </row>
    <row r="1910" ht="20.25" customHeight="1">
      <c r="A1910" s="3" t="s">
        <v>8523</v>
      </c>
      <c r="B1910" s="3" t="s">
        <v>8524</v>
      </c>
      <c r="C1910" s="3" t="s">
        <v>8478</v>
      </c>
      <c r="D1910" s="3" t="s">
        <v>79</v>
      </c>
      <c r="E1910" s="4" t="s">
        <v>19</v>
      </c>
      <c r="F1910" s="4" t="s">
        <v>20</v>
      </c>
      <c r="G1910" s="4" t="s">
        <v>94</v>
      </c>
      <c r="H1910" s="3" t="s">
        <v>8525</v>
      </c>
      <c r="I1910" s="3" t="s">
        <v>8526</v>
      </c>
      <c r="J1910" s="4">
        <v>21.04</v>
      </c>
      <c r="K1910" s="4">
        <v>20.0</v>
      </c>
      <c r="L1910" s="3" t="s">
        <v>8527</v>
      </c>
      <c r="M1910" s="3" t="s">
        <v>8528</v>
      </c>
      <c r="N1910" s="7" t="str">
        <f>IFERROR(__xludf.DUMMYFUNCTION("GOOGLETRANSLATE(L1910, ""en"", ""pt"")"),"Decorador de Natal")</f>
        <v>Decorador de Natal</v>
      </c>
      <c r="O1910" s="7" t="str">
        <f>IFERROR(__xludf.DUMMYFUNCTION("IF(M1910="""","""",GOOGLETRANSLATE(M1910,""en"",""pt""))"),"***Resposta à Solicitação de Informações*** As tarefas de poda de árvores são realizadas no solo e não incluem tarefas na copa das árvores ou acima do solo. ***Original F.a.2*** Podem incluir, mas não se limitam a: - Recolher e remover lixo. - Usar ferram"&amp;"entas manuais, como pás, ancinhos, serras de poda, serras, aparadores de cerca viva ou arbustos, ou machados. - Podar ou aparar árvores, arbustos ou cercas vivas, usando tesouras de poda, podadores ou motosserras. - Seguir projetos paisagísticos planejado"&amp;"s para determinar onde colocar grama, semear grama ou plantar flores ou folhagens. - Aparar ou colher flores e limpar canteiros de flores. - Fixar arames de árvores plantadas a estacas de suporte. - Plantar sementes, bulbos, folhagens, plantas com flores,"&amp;" grama, plantas rasteiras, árvores ou arbustos e aplicar cobertura morta para proteção, usando ferramentas de jardinagem. - Cortar ou aparar gramados, usando cortadores de grama motorizados ou aparadores de borda. - Rastelar, cobrir com cobertura morta e "&amp;"compostar folhas. - Decorar jardins com pedras ou plantas. Classificação da Função: 37-3011.00 - Trabalhadores de Paisagismo e Manutenção de Jardins. A classificação e descrição da função/setor inclui informações gerais sobre o cargo, de acordo com o ONET"&amp;"/OES e o Sistema de Classificação Industrial da América do Norte (NAICS). Consulte as Funções e a Ordem de Serviço para obter mais informações. Requisitos da Função Experiência Necessária: Não. Requisitos Especiais: - Deve estar disposto e apto a tolerar "&amp;"temperaturas muito altas ou muito baixas. - Deve estar disposto e apto a tolerar ruídos altos. - Deve ter disponibilidade durante todo o período do contrato. - Deve ser capaz de levantar pelo menos 23 kg e realizar trabalho físico. - Poderá ser submetido "&amp;"a teste toxicológico pós-contratação, pago pelo empregador. Requisitos e Disposições Especiais: - A escala de trabalho varia (dias da semana e turnos). Horas extras poderão ser oferecidas. Poderá ser necessário trabalhar nos fins de semana. - A disponibil"&amp;"idade de horas irá flutuar e diminuir após a segunda semana de dezembro, aumentando novamente em 1º de janeiro. - Todos os locais de trabalho estão a uma distância que permite deslocamento de carro a partir do local de trabalho principal. O empregador pag"&amp;"ará o maior salário vigente em todos os locais de trabalho durante todo o período de emprego. - O empregador poderá oferecer um bônus dependendo da experiência e do mérito. - O empregador oferece transporte até o local de trabalho principal para os trabal"&amp;"hadores que residem a uma distância razoável do trabalho. - O transporte diário é fornecido para todos os locais de trabalho a partir do local de trabalho principal. - O empregador poderá fornecer moradia opcional para os trabalhadores que não residem a u"&amp;"ma distância razoável do local de trabalho principal. - Descontos: O empregador poderá fornecer moradia no valor de US$ 400/mês, se disponível. Número de horas por semana: 40. Horário de trabalho (início/término): 8h às 17h.")</f>
        <v>***Resposta à Solicitação de Informações*** As tarefas de poda de árvores são realizadas no solo e não incluem tarefas na copa das árvores ou acima do solo. ***Original F.a.2*** Podem incluir, mas não se limitam a: - Recolher e remover lixo. - Usar ferramentas manuais, como pás, ancinhos, serras de poda, serras, aparadores de cerca viva ou arbustos, ou machados. - Podar ou aparar árvores, arbustos ou cercas vivas, usando tesouras de poda, podadores ou motosserras. - Seguir projetos paisagísticos planejados para determinar onde colocar grama, semear grama ou plantar flores ou folhagens. - Aparar ou colher flores e limpar canteiros de flores. - Fixar arames de árvores plantadas a estacas de suporte. - Plantar sementes, bulbos, folhagens, plantas com flores, grama, plantas rasteiras, árvores ou arbustos e aplicar cobertura morta para proteção, usando ferramentas de jardinagem. - Cortar ou aparar gramados, usando cortadores de grama motorizados ou aparadores de borda. - Rastelar, cobrir com cobertura morta e compostar folhas. - Decorar jardins com pedras ou plantas. Classificação da Função: 37-3011.00 - Trabalhadores de Paisagismo e Manutenção de Jardins. A classificação e descrição da função/setor inclui informações gerais sobre o cargo, de acordo com o ONET/OES e o Sistema de Classificação Industrial da América do Norte (NAICS). Consulte as Funções e a Ordem de Serviço para obter mais informações. Requisitos da Função Experiência Necessária: Não. Requisitos Especiais: - Deve estar disposto e apto a tolerar temperaturas muito altas ou muito baixas. - Deve estar disposto e apto a tolerar ruídos altos. - Deve ter disponibilidade durante todo o período do contrato. - Deve ser capaz de levantar pelo menos 23 kg e realizar trabalho físico. - Poderá ser submetido a teste toxicológico pós-contratação, pago pelo empregador. Requisitos e Disposições Especiais: - A escala de trabalho varia (dias da semana e turnos). Horas extras poderão ser oferecidas. Poderá ser necessário trabalhar nos fins de semana. - A disponibilidade de horas irá flutuar e diminuir após a segunda semana de dezembro, aumentando novamente em 1º de janeiro. - Todos os locais de trabalho estão a uma distância que permite deslocamento de carro a partir do local de trabalho principal. O empregador pagará o maior salário vigente em todos os locais de trabalho durante todo o período de emprego. - O empregador poderá oferecer um bônus dependendo da experiência e do mérito. - O empregador oferece transporte até o local de trabalho principal para os trabalhadores que residem a uma distância razoável do trabalho. - O transporte diário é fornecido para todos os locais de trabalho a partir do local de trabalho principal. - O empregador poderá fornecer moradia opcional para os trabalhadores que não residem a uma distância razoável do local de trabalho principal. - Descontos: O empregador poderá fornecer moradia no valor de US$ 400/mês, se disponível. Número de horas por semana: 40. Horário de trabalho (início/término): 8h às 17h.</v>
      </c>
    </row>
    <row r="1911" ht="20.25" customHeight="1">
      <c r="A1911" s="8" t="s">
        <v>8529</v>
      </c>
      <c r="B1911" s="8" t="s">
        <v>8530</v>
      </c>
      <c r="C1911" s="8" t="s">
        <v>7431</v>
      </c>
      <c r="D1911" s="8" t="s">
        <v>71</v>
      </c>
      <c r="E1911" s="9" t="s">
        <v>19</v>
      </c>
      <c r="F1911" s="9" t="s">
        <v>20</v>
      </c>
      <c r="G1911" s="9" t="s">
        <v>7174</v>
      </c>
      <c r="H1911" s="8" t="s">
        <v>8531</v>
      </c>
      <c r="I1911" s="8" t="s">
        <v>8532</v>
      </c>
      <c r="J1911" s="9">
        <v>33.61</v>
      </c>
      <c r="K1911" s="9">
        <v>3.0</v>
      </c>
      <c r="L1911" s="8" t="s">
        <v>8533</v>
      </c>
      <c r="M1911" s="8" t="s">
        <v>8534</v>
      </c>
      <c r="N1911" s="7" t="str">
        <f>IFERROR(__xludf.DUMMYFUNCTION("GOOGLETRANSLATE(L1911, ""en"", ""pt"")"),"Especialista em Treinamento e Desenvolvimento de Vendas")</f>
        <v>Especialista em Treinamento e Desenvolvimento de Vendas</v>
      </c>
      <c r="O1911" s="7" t="str">
        <f>IFERROR(__xludf.DUMMYFUNCTION("IF(M1911="""","""",GOOGLETRANSLATE(M1911,""en"",""pt""))"),"Projetar e implementar programas de treinamento e desenvolvimento relacionados ao trabalho para aprimorar o desempenho individual e organizacional em operações de marketing digital e vendas, utilizando ferramentas com inteligência artificial (IA), sistema"&amp;"s de automação de CRM e processos de prospecção baseados em fluxo de trabalho. Ministrar treinamentos utilizando técnicas instrucionais como demonstrações, simulações, dramatizações, discussões em grupo ou palestras. Treinar representantes em procedimento"&amp;"s de comunicação outbound, execução de fluxos de trabalho, uso de CRM e operação de campanhas com IA e sequências de nutrição automatizadas. Coordenar cronogramas de treinamento e manter a documentação das atividades de treinamento, progresso dos particip"&amp;"antes e adesão aos procedimentos do sistema. Desenvolver, obter, organizar e atualizar materiais de treinamento, guias de fluxo de trabalho, procedimentos operacionais padrão (POPs), conteúdo instrucional, apostilas e materiais visuais para dar suporte a "&amp;"sistemas de vendas com IA e processos de comunicação automatizados. Projetar, planejar e estruturar programas de treinamento para fluxos de trabalho de prospecção padronizados, etapas de qualificação de leads, processos de comunicação automatizados e uso "&amp;"consistente de ferramentas de marketing digital e baseadas em IA pelos representantes. Monitorar, avaliar e registrar as atividades de treinamento e a eficácia do programa, revisando métricas de prospecção, adesão ao fluxo de trabalho e precisão no envio "&amp;"de dados. Avaliar as necessidades de treinamento continuamente, analisando dados de desempenho de vendas, padrões de comportamento do cliente, resultados de prospecção, feedback operacional e consultando gerentes ou representantes. Realizar avaliações con"&amp;"tínuas do desempenho dos trainees para identificar áreas que necessitam de instrução adicional ou reforço de procedimentos. Fornecer treinamento e feedback para aprimorar a execução dos fluxos de trabalho de marketing, processos de qualificação de leads e"&amp;" técnicas de engajamento do cliente pelos representantes. Recomendar atualizações nos currículos de treinamento, fluxos de trabalho de prospecção e métodos de instrução com base em dados de desempenho e feedback dos participantes. Classificação da vaga: 1"&amp;"3-1151.00 - Especialistas em Treinamento e Desenvolvimento. A classificação e descrição da vaga/setor incluem informações gerais sobre o cargo, de acordo com o ONET/OES e o Sistema de Classificação Industrial da América do Norte (NAICS). Consulte as Funçõ"&amp;"es e a Ordem de Serviço para obter mais informações. Requisitos da vaga: Experiência necessária: Sim. Meses de experiência necessários: 24. Requisitos especiais: Mínimo de 24 meses de experiência em operações de vendas utilizando ferramentas com IA e/ou s"&amp;"istemas de automação de CRM ou área relacionada. 40 horas semanais, 5 dias por semana. Utilização de softwares, incluindo Microsoft Office ou Google Workspace, sistemas de gestão de relacionamento com o cliente (CRM) e ferramentas com inteligência artific"&amp;"ial. Número de horas semanais: 40. Horário de trabalho (início/término): 9h às 18h.")</f>
        <v>Projetar e implementar programas de treinamento e desenvolvimento relacionados ao trabalho para aprimorar o desempenho individual e organizacional em operações de marketing digital e vendas, utilizando ferramentas com inteligência artificial (IA), sistemas de automação de CRM e processos de prospecção baseados em fluxo de trabalho. Ministrar treinamentos utilizando técnicas instrucionais como demonstrações, simulações, dramatizações, discussões em grupo ou palestras. Treinar representantes em procedimentos de comunicação outbound, execução de fluxos de trabalho, uso de CRM e operação de campanhas com IA e sequências de nutrição automatizadas. Coordenar cronogramas de treinamento e manter a documentação das atividades de treinamento, progresso dos participantes e adesão aos procedimentos do sistema. Desenvolver, obter, organizar e atualizar materiais de treinamento, guias de fluxo de trabalho, procedimentos operacionais padrão (POPs), conteúdo instrucional, apostilas e materiais visuais para dar suporte a sistemas de vendas com IA e processos de comunicação automatizados. Projetar, planejar e estruturar programas de treinamento para fluxos de trabalho de prospecção padronizados, etapas de qualificação de leads, processos de comunicação automatizados e uso consistente de ferramentas de marketing digital e baseadas em IA pelos representantes. Monitorar, avaliar e registrar as atividades de treinamento e a eficácia do programa, revisando métricas de prospecção, adesão ao fluxo de trabalho e precisão no envio de dados. Avaliar as necessidades de treinamento continuamente, analisando dados de desempenho de vendas, padrões de comportamento do cliente, resultados de prospecção, feedback operacional e consultando gerentes ou representantes. Realizar avaliações contínuas do desempenho dos trainees para identificar áreas que necessitam de instrução adicional ou reforço de procedimentos. Fornecer treinamento e feedback para aprimorar a execução dos fluxos de trabalho de marketing, processos de qualificação de leads e técnicas de engajamento do cliente pelos representantes. Recomendar atualizações nos currículos de treinamento, fluxos de trabalho de prospecção e métodos de instrução com base em dados de desempenho e feedback dos participantes. Classificação da vaga: 13-1151.00 - Especialistas em Treinamento e Desenvolvimento. A classificação e descrição da vaga/setor incluem informações gerais sobre o cargo, de acordo com o ONET/OES e o Sistema de Classificação Industrial da América do Norte (NAICS). Consulte as Funções e a Ordem de Serviço para obter mais informações. Requisitos da vaga: Experiência necessária: Sim. Meses de experiência necessários: 24. Requisitos especiais: Mínimo de 24 meses de experiência em operações de vendas utilizando ferramentas com IA e/ou sistemas de automação de CRM ou área relacionada. 40 horas semanais, 5 dias por semana. Utilização de softwares, incluindo Microsoft Office ou Google Workspace, sistemas de gestão de relacionamento com o cliente (CRM) e ferramentas com inteligência artificial. Número de horas semanais: 40. Horário de trabalho (início/término): 9h às 18h.</v>
      </c>
    </row>
    <row r="1912" ht="20.25" customHeight="1">
      <c r="A1912" s="3" t="s">
        <v>8535</v>
      </c>
      <c r="B1912" s="3" t="s">
        <v>8536</v>
      </c>
      <c r="C1912" s="3" t="s">
        <v>8537</v>
      </c>
      <c r="D1912" s="3" t="s">
        <v>64</v>
      </c>
      <c r="E1912" s="4" t="s">
        <v>19</v>
      </c>
      <c r="F1912" s="4" t="s">
        <v>20</v>
      </c>
      <c r="G1912" s="4" t="s">
        <v>1829</v>
      </c>
      <c r="H1912" s="3" t="s">
        <v>8538</v>
      </c>
      <c r="I1912" s="3" t="s">
        <v>8539</v>
      </c>
      <c r="J1912" s="4">
        <v>22.3</v>
      </c>
      <c r="K1912" s="4">
        <v>20.0</v>
      </c>
      <c r="L1912" s="3" t="s">
        <v>2394</v>
      </c>
      <c r="M1912" s="3" t="s">
        <v>8540</v>
      </c>
      <c r="N1912" s="7" t="str">
        <f>IFERROR(__xludf.DUMMYFUNCTION("GOOGLETRANSLATE(L1912, ""en"", ""pt"")"),"Trabalhador de Iluminação Natalina")</f>
        <v>Trabalhador de Iluminação Natalina</v>
      </c>
      <c r="O1912" s="7" t="str">
        <f>IFERROR(__xludf.DUMMYFUNCTION("IF(M1912="""","""",GOOGLETRANSLATE(M1912,""en"",""pt""))"),"A vaga oferecida é para um trabalhador experiente em iluminação natalina com no mínimo três meses de experiência na área, que consiste em organizar e preparar o estoque de materiais de decoração natalina, instalar e/ou remover materiais dos locais de trab"&amp;"alho, carregar e descarregar materiais e prepará-los para armazenamento. Será necessário carregar e descarregar materiais e equipamentos, levantando até 23 kg (50 libras). O transporte opcional de ida e volta para os locais de trabalho na região será forn"&amp;"ecido pelo empregador, a partir de um ponto de coleta centralizado em San Antonio, TX. Classificação da vaga: 49-9099.00 - Trabalhadores de Instalação, Manutenção e Reparo, Outros. A classificação e descrição da vaga/setor inclui informações gerais sobre "&amp;"o cargo, de acordo com o ONET/OES e o Sistema de Classificação Industrial da América do Norte (NAICS). Consulte as Funções e a Ordem de Serviço para obter mais informações. Requisitos da vaga: Experiência necessária: Sim. Meses de experiência necessários:"&amp;" 3. Requisitos especiais: 3 meses de experiência anterior. Necessário levantar até 23 kg (50 libras). Horas extras conforme necessário. Gostaríamos de esclarecer as informações do Item F.a.5. Durante a semana de trabalho, que vai de domingo a sábado, os f"&amp;"uncionários têm uma jornada de 40 horas semanais e recebem horas extras conforme necessário. O formulário F.a.5 não permite inserir essa escala de trabalho. Se inserirmos 8 horas por dia, o sistema mostrará 56 horas semanais, o que não reflete com precisã"&amp;"o a jornada de trabalho real. Número de horas por semana: 40. Horário de trabalho (início/término): 8h às 17h.")</f>
        <v>A vaga oferecida é para um trabalhador experiente em iluminação natalina com no mínimo três meses de experiência na área, que consiste em organizar e preparar o estoque de materiais de decoração natalina, instalar e/ou remover materiais dos locais de trabalho, carregar e descarregar materiais e prepará-los para armazenamento. Será necessário carregar e descarregar materiais e equipamentos, levantando até 23 kg (50 libras). O transporte opcional de ida e volta para os locais de trabalho na região será fornecido pelo empregador, a partir de um ponto de coleta centralizado em San Antonio, TX. Classificação da vaga: 49-9099.00 - Trabalhadores de Instalação, Manutenção e Reparo, Outros. A classificação e descrição da vaga/setor inclui informações gerais sobre o cargo, de acordo com o ONET/OES e o Sistema de Classificação Industrial da América do Norte (NAICS). Consulte as Funções e a Ordem de Serviço para obter mais informações. Requisitos da vaga: Experiência necessária: Sim. Meses de experiência necessários: 3. Requisitos especiais: 3 meses de experiência anterior. Necessário levantar até 23 kg (50 libras). Horas extras conforme necessário. Gostaríamos de esclarecer as informações do Item F.a.5. Durante a semana de trabalho, que vai de domingo a sábado, os funcionários têm uma jornada de 40 horas semanais e recebem horas extras conforme necessário. O formulário F.a.5 não permite inserir essa escala de trabalho. Se inserirmos 8 horas por dia, o sistema mostrará 56 horas semanais, o que não reflete com precisão a jornada de trabalho real. Número de horas por semana: 40. Horário de trabalho (início/término): 8h às 17h.</v>
      </c>
    </row>
    <row r="1913" ht="20.25" customHeight="1">
      <c r="A1913" s="8" t="s">
        <v>8541</v>
      </c>
      <c r="B1913" s="8" t="s">
        <v>8542</v>
      </c>
      <c r="C1913" s="8" t="s">
        <v>7431</v>
      </c>
      <c r="D1913" s="8" t="s">
        <v>71</v>
      </c>
      <c r="E1913" s="9" t="s">
        <v>19</v>
      </c>
      <c r="F1913" s="9" t="s">
        <v>20</v>
      </c>
      <c r="G1913" s="9" t="s">
        <v>7174</v>
      </c>
      <c r="H1913" s="8" t="s">
        <v>8543</v>
      </c>
      <c r="I1913" s="8" t="s">
        <v>8544</v>
      </c>
      <c r="J1913" s="9">
        <v>34.36</v>
      </c>
      <c r="K1913" s="9">
        <v>1.0</v>
      </c>
      <c r="L1913" s="8" t="s">
        <v>8545</v>
      </c>
      <c r="M1913" s="8" t="s">
        <v>8546</v>
      </c>
      <c r="N1913" s="7" t="str">
        <f>IFERROR(__xludf.DUMMYFUNCTION("GOOGLETRANSLATE(L1913, ""en"", ""pt"")"),"Auxiliar Administrativo")</f>
        <v>Auxiliar Administrativo</v>
      </c>
      <c r="O1913" s="7" t="str">
        <f>IFERROR(__xludf.DUMMYFUNCTION("IF(M1913="""","""",GOOGLETRANSLATE(M1913,""en"",""pt""))"),"Prestar apoio administrativo e logístico ao diretor de uma entidade privada de gestão patrimonial, supervisionando projetos administrativos complexos e com prazos definidos. Gerenciar e coordenar agendas, compromissos e comunicações com assessores jurídic"&amp;"os, consultores financeiros, parceiros institucionais e profissionais terceirizados envolvidos na criação de uma fundação beneficente. Preparar, organizar e manter correspondências, relatórios, materiais de reuniões e registros relacionados às atividades "&amp;"de formação da fundação e parcerias institucionais. Compilar, indexar e organizar registros e documentação jurídica, financeira e pessoal necessários para a elaboração de um manual abrangente de instruções para administração patrimonial. Coordenar e agend"&amp;"ar compromissos com avaliadores, casas de leilão e especialistas terceirizados envolvidos na alienação de bens do espólio, e preparar e manter a documentação e os registros de apoio relacionados à organização e transferência de bens para os herdeiros. Aco"&amp;"mpanhar os marcos, prazos e itens de ação de projetos administrativos simultâneos e preparar resumos de progresso para revisão do diretor. Coordenar reuniões e comunicações com instituições financeiras, representantes legais, instituições médicas e outros"&amp;" contatos institucionais em relação às atividades de desenvolvimento da fundação e administração patrimonial. Manter registros e arquivos confidenciais relacionados à administração de patrimônio, formação de fundações, alienação de ativos e parcerias inst"&amp;"itucionais de forma organizada e acessível. Classificação da vaga: 43-6011.00 - Secretárias Executivas e Assistentes Administrativos Executivos. A classificação e descrição da vaga/setor incluem informações gerais sobre o cargo, de acordo com o ONET/OES e"&amp;" o Sistema de Classificação Industrial da América do Norte. Consulte as Funções e a Ordem de Serviço para obter mais informações. Requisitos da vaga: Experiência exigida: Sim. Meses de experiência exigidos: 24. Requisitos especiais: Fluência em inglês. 24"&amp;" meses de experiência em suporte administrativo, logístico, pessoal ou executivo, preferencialmente em residência particular ou ambiente de hotelaria. Uso de equipamentos de escritório, incluindo computadores, impressoras, scanners e sistemas telefônicos."&amp;" Capacidade de levantar e carregar pesos suficientes para movimentar arquivos, caixas e materiais necessários para a conclusão das tarefas atribuídas. Capacidade de permanecer ativo e em movimento durante todo o turno. 40 horas semanais, 5 dias por semana"&amp;". A escala de trabalho pode variar e incluir noites, fins de semana ou feriados, conforme necessário. Elegibilidade para carteira de habilitação da Flórida. O empregador se baseará nas declarações e observações do próprio trabalhador para avaliar se ele a"&amp;"tende aos requisitos de capacidade física e elegibilidade aqui descritos. Número de horas por semana: 40. Horário de trabalho (início/término): 9h às 18h.")</f>
        <v>Prestar apoio administrativo e logístico ao diretor de uma entidade privada de gestão patrimonial, supervisionando projetos administrativos complexos e com prazos definidos. Gerenciar e coordenar agendas, compromissos e comunicações com assessores jurídicos, consultores financeiros, parceiros institucionais e profissionais terceirizados envolvidos na criação de uma fundação beneficente. Preparar, organizar e manter correspondências, relatórios, materiais de reuniões e registros relacionados às atividades de formação da fundação e parcerias institucionais. Compilar, indexar e organizar registros e documentação jurídica, financeira e pessoal necessários para a elaboração de um manual abrangente de instruções para administração patrimonial. Coordenar e agendar compromissos com avaliadores, casas de leilão e especialistas terceirizados envolvidos na alienação de bens do espólio, e preparar e manter a documentação e os registros de apoio relacionados à organização e transferência de bens para os herdeiros. Acompanhar os marcos, prazos e itens de ação de projetos administrativos simultâneos e preparar resumos de progresso para revisão do diretor. Coordenar reuniões e comunicações com instituições financeiras, representantes legais, instituições médicas e outros contatos institucionais em relação às atividades de desenvolvimento da fundação e administração patrimonial. Manter registros e arquivos confidenciais relacionados à administração de patrimônio, formação de fundações, alienação de ativos e parcerias institucionais de forma organizada e acessível. Classificação da vaga: 43-6011.00 - Secretárias Executivas e Assistentes Administrativos Executivos. A classificação e descrição da vaga/setor incluem informações gerais sobre o cargo, de acordo com o ONET/OES e o Sistema de Classificação Industrial da América do Norte. Consulte as Funções e a Ordem de Serviço para obter mais informações. Requisitos da vaga: Experiência exigida: Sim. Meses de experiência exigidos: 24. Requisitos especiais: Fluência em inglês. 24 meses de experiência em suporte administrativo, logístico, pessoal ou executivo, preferencialmente em residência particular ou ambiente de hotelaria. Uso de equipamentos de escritório, incluindo computadores, impressoras, scanners e sistemas telefônicos. Capacidade de levantar e carregar pesos suficientes para movimentar arquivos, caixas e materiais necessários para a conclusão das tarefas atribuídas. Capacidade de permanecer ativo e em movimento durante todo o turno. 40 horas semanais, 5 dias por semana. A escala de trabalho pode variar e incluir noites, fins de semana ou feriados, conforme necessário. Elegibilidade para carteira de habilitação da Flórida. O empregador se baseará nas declarações e observações do próprio trabalhador para avaliar se ele atende aos requisitos de capacidade física e elegibilidade aqui descritos. Número de horas por semana: 40. Horário de trabalho (início/término): 9h às 18h.</v>
      </c>
    </row>
    <row r="1914" ht="20.25" customHeight="1">
      <c r="A1914" s="3" t="s">
        <v>8547</v>
      </c>
      <c r="B1914" s="3" t="s">
        <v>8548</v>
      </c>
      <c r="C1914" s="3" t="s">
        <v>6276</v>
      </c>
      <c r="D1914" s="3" t="s">
        <v>596</v>
      </c>
      <c r="E1914" s="4" t="s">
        <v>44</v>
      </c>
      <c r="F1914" s="4" t="s">
        <v>20</v>
      </c>
      <c r="G1914" s="4" t="s">
        <v>155</v>
      </c>
      <c r="H1914" s="3" t="s">
        <v>8549</v>
      </c>
      <c r="I1914" s="3" t="s">
        <v>8550</v>
      </c>
      <c r="J1914" s="4">
        <v>18.25</v>
      </c>
      <c r="K1914" s="4">
        <v>10.0</v>
      </c>
      <c r="L1914" s="3" t="s">
        <v>3021</v>
      </c>
      <c r="M1914" s="3" t="s">
        <v>8551</v>
      </c>
      <c r="N1914" s="7" t="str">
        <f>IFERROR(__xludf.DUMMYFUNCTION("GOOGLETRANSLATE(L1914, ""en"", ""pt"")"),"Empacotador")</f>
        <v>Empacotador</v>
      </c>
      <c r="O1914" s="7" t="str">
        <f>IFERROR(__xludf.DUMMYFUNCTION("IF(M1914="""","""",GOOGLETRANSLATE(M1914,""en"",""pt""))"),"Responsabilidades: Garantir o cumprimento de todas as normas e regulamentações federais, estaduais e da empresa referentes à frescura e qualidade dos produtos, segurança alimentar, pesos e medidas, segurança do armazém, refrigeração e higiene; Garantir a "&amp;"precisão no tamanho e na qualidade das embalagens de frutas. Inspecionar cada fruta para que possa ser embalada, destinada à produção de sidra ou descartada; manter um alto padrão de limpeza na área de embalagem e áreas adjacentes. Inspecionar os produtos"&amp;" embalados para verificar a conformidade com as especificações e a qualidade exigidas pelos clientes. Monitorar e recomendar melhorias nos processos para aumentar a eficiência da linha de embalagem. Embalar produtos em caixas, embalagens de papelão, engra"&amp;"dados ou outros recipientes; reembalar itens a granel em unidades menores para envio ou venda no varejo; Pesar e etiquetar as embalagens com precisão ao longo do dia; Limpar cada estação e área de embalagem ao final de cada dia e preencher todos os regist"&amp;"ros de segurança alimentar necessários. O funcionário deve ser capaz de ficar em pé por longos períodos e levantar até 23 kg. Utilizar ferramentas de embalagem, como balanças, seladoras, aplicadores de fita adesiva e etiquetadoras. Disponibilidade para tr"&amp;"abalhar nos fins de semana é necessária. Classificação da Função: 53-7064.00 - Embaladores e Empacotadores Manuais. A classificação e descrição da função/setor inclui informações gerais sobre o cargo, de acordo com o ONET/OES e o Sistema de Classificação "&amp;"Industrial da América do Norte (NAICS). Consulte as Funções e a Ordem de Serviço para obter mais informações. Requisitos da Função Experiência Necessária: Não. Requisitos Especiais: O funcionário deve ser capaz de ficar em pé por longos períodos e levanta"&amp;"r até 23 kg. Disponibilidade para trabalhar nos fins de semana é obrigatória. Os funcionários trabalharão de segunda a sexta-feira, em média 40 horas semanais. É necessário ter disponibilidade para trabalhar em qualquer turno de 8 horas, das 7h às 16h30. "&amp;"Este trabalho exige movimentação constante, flexão, levantamento e empurrar frequentes; o candidato deve ser flexível, capaz de se comunicar em inglês e ter espírito de equipe. Número de Horas por Semana: 40. Horário de Trabalho (Início/Término): 7h às 16"&amp;"h30.")</f>
        <v>Responsabilidades: Garantir o cumprimento de todas as normas e regulamentações federais, estaduais e da empresa referentes à frescura e qualidade dos produtos, segurança alimentar, pesos e medidas, segurança do armazém, refrigeração e higiene; Garantir a precisão no tamanho e na qualidade das embalagens de frutas. Inspecionar cada fruta para que possa ser embalada, destinada à produção de sidra ou descartada; manter um alto padrão de limpeza na área de embalagem e áreas adjacentes. Inspecionar os produtos embalados para verificar a conformidade com as especificações e a qualidade exigidas pelos clientes. Monitorar e recomendar melhorias nos processos para aumentar a eficiência da linha de embalagem. Embalar produtos em caixas, embalagens de papelão, engradados ou outros recipientes; reembalar itens a granel em unidades menores para envio ou venda no varejo; Pesar e etiquetar as embalagens com precisão ao longo do dia; Limpar cada estação e área de embalagem ao final de cada dia e preencher todos os registros de segurança alimentar necessários. O funcionário deve ser capaz de ficar em pé por longos períodos e levantar até 23 kg. Utilizar ferramentas de embalagem, como balanças, seladoras, aplicadores de fita adesiva e etiquetadoras. Disponibilidade para trabalhar nos fins de semana é necessária. Classificação da Função: 53-7064.00 - Embaladores e Empacotadores Manuais. A classificação e descrição da função/setor inclui informações gerais sobre o cargo, de acordo com o ONET/OES e o Sistema de Classificação Industrial da América do Norte (NAICS). Consulte as Funções e a Ordem de Serviço para obter mais informações. Requisitos da Função Experiência Necessária: Não. Requisitos Especiais: O funcionário deve ser capaz de ficar em pé por longos períodos e levantar até 23 kg. Disponibilidade para trabalhar nos fins de semana é obrigatória. Os funcionários trabalharão de segunda a sexta-feira, em média 40 horas semanais. É necessário ter disponibilidade para trabalhar em qualquer turno de 8 horas, das 7h às 16h30. Este trabalho exige movimentação constante, flexão, levantamento e empurrar frequentes; o candidato deve ser flexível, capaz de se comunicar em inglês e ter espírito de equipe. Número de Horas por Semana: 40. Horário de Trabalho (Início/Término): 7h às 16h30.</v>
      </c>
    </row>
    <row r="1915" ht="20.25" customHeight="1">
      <c r="A1915" s="8" t="s">
        <v>8552</v>
      </c>
      <c r="B1915" s="8" t="s">
        <v>8553</v>
      </c>
      <c r="C1915" s="8" t="s">
        <v>8478</v>
      </c>
      <c r="D1915" s="8" t="s">
        <v>28</v>
      </c>
      <c r="E1915" s="9" t="s">
        <v>19</v>
      </c>
      <c r="F1915" s="9" t="s">
        <v>20</v>
      </c>
      <c r="G1915" s="9" t="s">
        <v>8554</v>
      </c>
      <c r="H1915" s="8" t="s">
        <v>8555</v>
      </c>
      <c r="I1915" s="8" t="s">
        <v>8556</v>
      </c>
      <c r="J1915" s="9">
        <v>15.56</v>
      </c>
      <c r="K1915" s="9">
        <v>18.0</v>
      </c>
      <c r="L1915" s="8" t="s">
        <v>1709</v>
      </c>
      <c r="M1915" s="8" t="s">
        <v>8557</v>
      </c>
      <c r="N1915" s="7" t="str">
        <f>IFERROR(__xludf.DUMMYFUNCTION("GOOGLETRANSLATE(L1915, ""en"", ""pt"")"),"Trabalhadores")</f>
        <v>Trabalhadores</v>
      </c>
      <c r="O1915" s="7" t="str">
        <f>IFERROR(__xludf.DUMMYFUNCTION("IF(M1915="""","""",GOOGLETRANSLATE(M1915,""en"",""pt""))"),"Pode incluir, mas não se limita a: - Recolher e remover lixo. - Utilizar ferramentas manuais, como pás, ancinhos, serras de poda, serras elétricas, aparadores de sebes ou arbustos, ou machados. - Operar veículos ou equipamentos motorizados, como cortadore"&amp;"s de relva, tratores, sopradores de neve, motosserras, máquinas de cortar relva elétricas, cortadores de relva ou serras de poda. - Regar relvados, árvores ou plantas, utilizando sistemas de irrigação portáteis, mangueiras ou regadores. - Podar ou aparar "&amp;"árvores, arbustos ou sebes, utilizando tesouras de poda, podadores ou motosserras. - Cuidar de relvados já estabelecidos, aplicando cobertura morta, aerando, capinando, removendo tocos, retirando palha morta ou aparando ou delimitando canteiros de flores,"&amp;" caminhos ou muros. - Seguir projetos paisagísticos planejados para determinar onde colocar relva, semear relva ou plantar flores ou folhagem. - Aparar ou colher flores e limpar canteiros de flores. - Fixar fios de árvores plantadas a estacas de suporte. "&amp;"- Plantar sementes, bulbos, folhagens, plantas com flores, grama, forrações, árvores ou arbustos e aplicar cobertura morta para proteção, utilizando ferramentas de jardinagem. - Cortar ou aparar a grama, utilizando cortadores de grama motorizados ou apara"&amp;"dores de borda. - Recolher, cobrir com cobertura morta e compostar folhas. Classificação da Função: 37-3011.00 - Trabalhadores de Paisagismo e Manutenção de Jardins. A classificação e descrição da função/setor inclui informações gerais sobre o cargo, de a"&amp;"cordo com o ONET/OES e o Sistema de Classificação Industrial da América do Norte. Consulte as Funções e a Ordem de Serviço para obter mais informações. Requisitos da Função Experiência Necessária: Não. Requisitos Especiais: - Deve estar disposto e apto a "&amp;"tolerar temperaturas muito altas ou muito baixas. - Deve estar disposto e apto a tolerar ruídos altos. - Deve ser capaz de caminhar longas distâncias carregando 23 kg nas costas durante todo o dia e ser capaz de realizar trabalho físico. - Deve ter dispon"&amp;"ibilidade durante todo o período do contrato. - Deve estar disposto e apto a viajar a cada 2-3 dias, seguindo um itinerário. - Poderá ser realizado teste antidrogas pós-contratação, pago pelo empregador. Requisitos e Disposições Especiais: - Horário variá"&amp;"vel (dias da semana e turnos). Horas extras poderão ser oferecidas. Poderá ser necessário trabalhar aos fins de semana. - Todos os locais de trabalho estão a uma distância que permita deslocamento de carro a partir do local de trabalho principal. - O empr"&amp;"egador pagará o maior salário vigente para todos os locais de trabalho durante todo o período de emprego. - O empregador poderá oferecer aumento ou bônus dependendo da experiência e mérito. - O empregador oferece transporte até o local de trabalho princip"&amp;"al para os funcionários que residem na região, dentro de uma distância razoável do trabalho. - Transporte diário é fornecido entre o local de trabalho principal e todos os locais de trabalho. - O empregador oferece assistência para ajudar os funcionários "&amp;"que não residem a uma distância razoável do local de trabalho principal a encontrarem moradia própria. Número de horas por semana: 40 Horário de trabalho (início/término): 7h00 - 16h00")</f>
        <v>Pode incluir, mas não se limita a: - Recolher e remover lixo. - Utilizar ferramentas manuais, como pás, ancinhos, serras de poda, serras elétricas, aparadores de sebes ou arbustos, ou machados. - Operar veículos ou equipamentos motorizados, como cortadores de relva, tratores, sopradores de neve, motosserras, máquinas de cortar relva elétricas, cortadores de relva ou serras de poda. - Regar relvados, árvores ou plantas, utilizando sistemas de irrigação portáteis, mangueiras ou regadores. - Podar ou aparar árvores, arbustos ou sebes, utilizando tesouras de poda, podadores ou motosserras. - Cuidar de relvados já estabelecidos, aplicando cobertura morta, aerando, capinando, removendo tocos, retirando palha morta ou aparando ou delimitando canteiros de flores, caminhos ou muros. - Seguir projetos paisagísticos planejados para determinar onde colocar relva, semear relva ou plantar flores ou folhagem. - Aparar ou colher flores e limpar canteiros de flores. - Fixar fios de árvores plantadas a estacas de suporte. - Plantar sementes, bulbos, folhagens, plantas com flores, grama, forrações, árvores ou arbustos e aplicar cobertura morta para proteção, utilizando ferramentas de jardinagem. - Cortar ou aparar a grama, utilizando cortadores de grama motorizados ou aparadores de borda. - Recolher, cobrir com cobertura morta e compostar folhas. Classificação da Função: 37-3011.00 - Trabalhadores de Paisagismo e Manutenção de Jardins. A classificação e descrição da função/setor inclui informações gerais sobre o cargo, de acordo com o ONET/OES e o Sistema de Classificação Industrial da América do Norte. Consulte as Funções e a Ordem de Serviço para obter mais informações. Requisitos da Função Experiência Necessária: Não. Requisitos Especiais: - Deve estar disposto e apto a tolerar temperaturas muito altas ou muito baixas. - Deve estar disposto e apto a tolerar ruídos altos. - Deve ser capaz de caminhar longas distâncias carregando 23 kg nas costas durante todo o dia e ser capaz de realizar trabalho físico. - Deve ter disponibilidade durante todo o período do contrato. - Deve estar disposto e apto a viajar a cada 2-3 dias, seguindo um itinerário. - Poderá ser realizado teste antidrogas pós-contratação, pago pelo empregador. Requisitos e Disposições Especiais: - Horário variável (dias da semana e turnos). Horas extras poderão ser oferecidas. Poderá ser necessário trabalhar aos fins de semana. - Todos os locais de trabalho estão a uma distância que permita deslocamento de carro a partir do local de trabalho principal. - O empregador pagará o maior salário vigente para todos os locais de trabalho durante todo o período de emprego. - O empregador poderá oferecer aumento ou bônus dependendo da experiência e mérito. - O empregador oferece transporte até o local de trabalho principal para os funcionários que residem na região, dentro de uma distância razoável do trabalho. - Transporte diário é fornecido entre o local de trabalho principal e todos os locais de trabalho. - O empregador oferece assistência para ajudar os funcionários que não residem a uma distância razoável do local de trabalho principal a encontrarem moradia própria. Número de horas por semana: 40 Horário de trabalho (início/término): 7h00 - 16h00</v>
      </c>
    </row>
    <row r="1916" ht="20.25" customHeight="1">
      <c r="A1916" s="3" t="s">
        <v>8558</v>
      </c>
      <c r="B1916" s="3" t="s">
        <v>8559</v>
      </c>
      <c r="C1916" s="3" t="s">
        <v>8560</v>
      </c>
      <c r="D1916" s="3" t="s">
        <v>102</v>
      </c>
      <c r="E1916" s="4" t="s">
        <v>44</v>
      </c>
      <c r="F1916" s="4" t="s">
        <v>20</v>
      </c>
      <c r="G1916" s="4" t="s">
        <v>155</v>
      </c>
      <c r="H1916" s="3" t="s">
        <v>8561</v>
      </c>
      <c r="I1916" s="3" t="s">
        <v>8562</v>
      </c>
      <c r="J1916" s="4">
        <v>13.8</v>
      </c>
      <c r="K1916" s="4">
        <v>56.0</v>
      </c>
      <c r="L1916" s="3" t="s">
        <v>8563</v>
      </c>
      <c r="M1916" s="3" t="s">
        <v>8564</v>
      </c>
      <c r="N1916" s="7" t="str">
        <f>IFERROR(__xludf.DUMMYFUNCTION("GOOGLETRANSLATE(L1916, ""en"", ""pt"")"),"Auxiliar de Limpeza para o Setor Hoteleiro e Comercial")</f>
        <v>Auxiliar de Limpeza para o Setor Hoteleiro e Comercial</v>
      </c>
      <c r="O1916" s="7" t="str">
        <f>IFERROR(__xludf.DUMMYFUNCTION("IF(M1916="""","""",GOOGLETRANSLATE(M1916,""en"",""pt""))"),"As funções incluem varrer, passar pano, aspirar, tirar o pó, higienizar e desinfetar. Limpar janelas, saídas de ar no teto e móveis. Remover o lixo do local para uma lixeira ou área de descarte. Trocar a roupa de cama e lavar roupas. Outras tarefas confor"&amp;"me designadas. Classificação do Cargo: 37-2012.00 - Empregadas Domésticas e Auxiliares de Limpeza. A classificação e descrição do cargo/setor inclui informações gerais sobre a posição, de acordo com o ONET/OES e o Sistema de Classificação Industrial da Am"&amp;"érica do Norte. Consulte as Funções e a Ordem de Serviço para obter mais informações. Requisitos do Cargo Experiência Necessária: Não. Requisitos Especiais: Nenhum exigido. Número de Horas por Semana: 35. Horário de Trabalho (Início/Término): 9h às 16h.")</f>
        <v>As funções incluem varrer, passar pano, aspirar, tirar o pó, higienizar e desinfetar. Limpar janelas, saídas de ar no teto e móveis. Remover o lixo do local para uma lixeira ou área de descarte. Trocar a roupa de cama e lavar roupas. Outras tarefas conforme designadas. Classificação do Cargo: 37-2012.00 - Empregadas Domésticas e Auxiliares de Limpeza. A classificação e descrição do cargo/setor inclui informações gerais sobre a posição, de acordo com o ONET/OES e o Sistema de Classificação Industrial da América do Norte. Consulte as Funções e a Ordem de Serviço para obter mais informações. Requisitos do Cargo Experiência Necessária: Não. Requisitos Especiais: Nenhum exigido. Número de Horas por Semana: 35. Horário de Trabalho (Início/Término): 9h às 16h.</v>
      </c>
    </row>
    <row r="1917" ht="20.25" customHeight="1">
      <c r="A1917" s="8" t="s">
        <v>8565</v>
      </c>
      <c r="B1917" s="8" t="s">
        <v>7977</v>
      </c>
      <c r="C1917" s="8" t="s">
        <v>6921</v>
      </c>
      <c r="D1917" s="8" t="s">
        <v>71</v>
      </c>
      <c r="E1917" s="9" t="s">
        <v>44</v>
      </c>
      <c r="F1917" s="9" t="s">
        <v>20</v>
      </c>
      <c r="G1917" s="9" t="s">
        <v>80</v>
      </c>
      <c r="H1917" s="8" t="s">
        <v>7978</v>
      </c>
      <c r="I1917" s="8" t="s">
        <v>7979</v>
      </c>
      <c r="J1917" s="9">
        <v>18.95</v>
      </c>
      <c r="K1917" s="9">
        <v>12.0</v>
      </c>
      <c r="L1917" s="8" t="s">
        <v>8566</v>
      </c>
      <c r="M1917" s="8" t="s">
        <v>8567</v>
      </c>
      <c r="N1917" s="7" t="str">
        <f>IFERROR(__xludf.DUMMYFUNCTION("GOOGLETRANSLATE(L1917, ""en"", ""pt"")"),"Servidor/host")</f>
        <v>Servidor/host</v>
      </c>
      <c r="O1917" s="7" t="str">
        <f>IFERROR(__xludf.DUMMYFUNCTION("IF(M1917="""","""",GOOGLETRANSLATE(M1917,""en"",""pt""))"),"Garçons/Recepcionistas responsáveis ​​por recepcionar os clientes, preparar as áreas de refeição, anotar e registrar pedidos, transportar bandejas e pratos, servir alimentos e bebidas, limpar e retirar os pratos e talheres das mesas. Os garçons/recepcioni"&amp;"stas também serão responsáveis ​​por acomodar os clientes nas mesas ou no lounge, ajudar a garantir que os pontos de venda de alimentos e bebidas estejam limpos e organizados, além de auxiliar no atendimento e resolução de reclamações de clientes, quando "&amp;"necessário. Reportar-se-ão diretamente ao gerente de alimentos e bebidas do Cabbage Key e do Tarpon Lodge. Classificação da vaga: 35-3031.00 - Garçons e Garçonetes. A classificação e descrição da vaga/setor incluem informações gerais sobre o cargo, de aco"&amp;"rdo com o ONET/OES e o Sistema de Classificação Industrial da América do Norte. Consulte as Funções e a Ordem de Serviço para obter mais informações. Requisitos da vaga: Experiência necessária: Sim. Meses de experiência necessários: 12. Requisitos especia"&amp;"is: Capacidade de falar e ler inglês. O candidato deve passar por uma verificação de antecedentes pré-emprego. Treinamento no local de trabalho fornecido. Treinamento oferecido. Dias e turnos: Segunda a domingo. Turnos disponíveis 7 dias por semana. Horár"&amp;"io de trabalho: das 10h às 18h; das 8h às 16h; das 16h às 00h. Os horários dos turnos podem variar de acordo com a época do ano, a disponibilidade de luz e a necessidade. Salário por hora: Cargo com gorjetas, com salário mínimo garantido de US$ 18,95 por "&amp;"hora. Possibilidade de horas extras: Horas extras podem estar disponíveis, com salário mínimo garantido de US$ 28,43 por hora. Bônus ocasionais para eventos em grupo podem ser concedidos, a critério do gerente do departamento. Benefícios: Tarpon Lodge: 20"&amp;"% de desconto em alimentos e bebidas; 25% na loja de presentes. Cabbage Key: 25% de desconto em compras de alimentos, bebidas e na loja de presentes. Número de horas por semana: 35. Horário de trabalho (início/término): 8h às 16h.")</f>
        <v>Garçons/Recepcionistas responsáveis ​​por recepcionar os clientes, preparar as áreas de refeição, anotar e registrar pedidos, transportar bandejas e pratos, servir alimentos e bebidas, limpar e retirar os pratos e talheres das mesas. Os garçons/recepcionistas também serão responsáveis ​​por acomodar os clientes nas mesas ou no lounge, ajudar a garantir que os pontos de venda de alimentos e bebidas estejam limpos e organizados, além de auxiliar no atendimento e resolução de reclamações de clientes, quando necessário. Reportar-se-ão diretamente ao gerente de alimentos e bebidas do Cabbage Key e do Tarpon Lodge. Classificação da vaga: 35-3031.00 - Garçons e Garçonetes. A classificação e descrição da vaga/setor incluem informações gerais sobre o cargo, de acordo com o ONET/OES e o Sistema de Classificação Industrial da América do Norte. Consulte as Funções e a Ordem de Serviço para obter mais informações. Requisitos da vaga: Experiência necessária: Sim. Meses de experiência necessários: 12. Requisitos especiais: Capacidade de falar e ler inglês. O candidato deve passar por uma verificação de antecedentes pré-emprego. Treinamento no local de trabalho fornecido. Treinamento oferecido. Dias e turnos: Segunda a domingo. Turnos disponíveis 7 dias por semana. Horário de trabalho: das 10h às 18h; das 8h às 16h; das 16h às 00h. Os horários dos turnos podem variar de acordo com a época do ano, a disponibilidade de luz e a necessidade. Salário por hora: Cargo com gorjetas, com salário mínimo garantido de US$ 18,95 por hora. Possibilidade de horas extras: Horas extras podem estar disponíveis, com salário mínimo garantido de US$ 28,43 por hora. Bônus ocasionais para eventos em grupo podem ser concedidos, a critério do gerente do departamento. Benefícios: Tarpon Lodge: 20% de desconto em alimentos e bebidas; 25% na loja de presentes. Cabbage Key: 25% de desconto em compras de alimentos, bebidas e na loja de presentes. Número de horas por semana: 35. Horário de trabalho (início/término): 8h às 16h.</v>
      </c>
    </row>
    <row r="1918" ht="20.25" customHeight="1">
      <c r="A1918" s="3" t="s">
        <v>8568</v>
      </c>
      <c r="B1918" s="3" t="s">
        <v>8010</v>
      </c>
      <c r="C1918" s="3" t="s">
        <v>8011</v>
      </c>
      <c r="D1918" s="3" t="s">
        <v>71</v>
      </c>
      <c r="E1918" s="4" t="s">
        <v>44</v>
      </c>
      <c r="F1918" s="4" t="s">
        <v>20</v>
      </c>
      <c r="G1918" s="4" t="s">
        <v>155</v>
      </c>
      <c r="H1918" s="3" t="s">
        <v>8012</v>
      </c>
      <c r="I1918" s="3" t="s">
        <v>8013</v>
      </c>
      <c r="J1918" s="4">
        <v>29.28</v>
      </c>
      <c r="K1918" s="4">
        <v>3.0</v>
      </c>
      <c r="L1918" s="3" t="s">
        <v>387</v>
      </c>
      <c r="M1918" s="3" t="s">
        <v>8569</v>
      </c>
      <c r="N1918" s="7" t="str">
        <f>IFERROR(__xludf.DUMMYFUNCTION("GOOGLETRANSLATE(L1918, ""en"", ""pt"")"),"Ordem de serviço não disponível")</f>
        <v>Ordem de serviço não disponível</v>
      </c>
      <c r="O1918" s="7" t="str">
        <f>IFERROR(__xludf.DUMMYFUNCTION("IF(M1918="""","""",GOOGLETRANSLATE(M1918,""en"",""pt""))"),"- Monitorar as práticas de higiene para garantir que os funcionários sigam os padrões e regulamentos. - Verificar a qualidade dos produtos alimentícios crus ou cozidos para garantir que os padrões sejam atendidos. - Verificar a quantidade e a qualidade do"&amp;"s produtos recebidos. - Supervisionar ou coordenar as atividades dos cozinheiros envolvidos na preparação de alimentos. - Determinar como os alimentos devem ser apresentados e criar decorações para os pratos. - Analisar receitas para atribuir preços aos i"&amp;"tens do cardápio, com base nos custos de alimentos, mão de obra e despesas gerais. - Instruir os cozinheiros na preparação, cozimento, decoração ou apresentação dos alimentos. - Preparar e cozinhar alimentos de todos os tipos. - Encomendar ou requisitar a"&amp;"limentos ou outros suprimentos necessários para garantir a operação eficiente. - Coordenar o planejamento, o orçamento ou as compras para as operações de alimentação. - Inspecionar suprimentos, equipamentos ou áreas de trabalho para garantir a conformidad"&amp;"e com os padrões estabelecidos. - Estimar as quantidades e os custos dos suprimentos necessários, como alimentos e ingredientes. - Planejar, dirigir ou supervisionar as atividades de preparação ou cozimento de alimentos. - Providenciar a compra ou o conse"&amp;"rto de equipamentos. - Demonstrar novas técnicas ou equipamentos de cozinha para a equipe. Classificação da Função: 35-1011.00 - Chefs e Cozinheiros Chefes. A classificação e descrição da função/setor inclui informações gerais sobre o cargo, de acordo com"&amp;" o ONET/OES e o Sistema de Classificação Industrial da América do Norte (NAICS). Consulte as Funções e a Ordem de Serviço para obter mais informações. Requisitos da Função Experiência Necessária: Sim Meses de Experiência Necessários: 24 Requisitos Especia"&amp;"is: Em relação aos dias e horários de trabalho previstos por semana, haverá turnos disponíveis para cada funcionário. O horário de funcionamento do empregador é de domingo a sábado, das 11h às 21h. Os funcionários têm garantia de 40 horas semanais, 5 dias"&amp;" por semana, 8 horas por dia, dentro do horário de funcionamento; quaisquer horas trabalhadas além das 40 horas semanais serão pagas como horas extras. Número de Horas por Semana: 56 Horário de Trabalho (Início/Término): 11h às 21h.")</f>
        <v>- Monitorar as práticas de higiene para garantir que os funcionários sigam os padrões e regulamentos. - Verificar a qualidade dos produtos alimentícios crus ou cozidos para garantir que os padrões sejam atendidos. - Verificar a quantidade e a qualidade dos produtos recebidos. - Supervisionar ou coordenar as atividades dos cozinheiros envolvidos na preparação de alimentos. - Determinar como os alimentos devem ser apresentados e criar decorações para os pratos. - Analisar receitas para atribuir preços aos itens do cardápio, com base nos custos de alimentos, mão de obra e despesas gerais. - Instruir os cozinheiros na preparação, cozimento, decoração ou apresentação dos alimentos. - Preparar e cozinhar alimentos de todos os tipos. - Encomendar ou requisitar alimentos ou outros suprimentos necessários para garantir a operação eficiente. - Coordenar o planejamento, o orçamento ou as compras para as operações de alimentação. - Inspecionar suprimentos, equipamentos ou áreas de trabalho para garantir a conformidade com os padrões estabelecidos. - Estimar as quantidades e os custos dos suprimentos necessários, como alimentos e ingredientes. - Planejar, dirigir ou supervisionar as atividades de preparação ou cozimento de alimentos. - Providenciar a compra ou o conserto de equipamentos. - Demonstrar novas técnicas ou equipamentos de cozinha para a equipe. Classificação da Função: 35-1011.00 - Chefs e Cozinheiros Chefes. A classificação e descrição da função/setor inclui informações gerais sobre o cargo, de acordo com o ONET/OES e o Sistema de Classificação Industrial da América do Norte (NAICS). Consulte as Funções e a Ordem de Serviço para obter mais informações. Requisitos da Função Experiência Necessária: Sim Meses de Experiência Necessários: 24 Requisitos Especiais: Em relação aos dias e horários de trabalho previstos por semana, haverá turnos disponíveis para cada funcionário. O horário de funcionamento do empregador é de domingo a sábado, das 11h às 21h. Os funcionários têm garantia de 40 horas semanais, 5 dias por semana, 8 horas por dia, dentro do horário de funcionamento; quaisquer horas trabalhadas além das 40 horas semanais serão pagas como horas extras. Número de Horas por Semana: 56 Horário de Trabalho (Início/Término): 11h às 21h.</v>
      </c>
    </row>
    <row r="1919" ht="20.25" customHeight="1">
      <c r="A1919" s="8" t="s">
        <v>8570</v>
      </c>
      <c r="B1919" s="8" t="s">
        <v>8571</v>
      </c>
      <c r="C1919" s="8" t="s">
        <v>8478</v>
      </c>
      <c r="D1919" s="8" t="s">
        <v>1051</v>
      </c>
      <c r="E1919" s="9" t="s">
        <v>19</v>
      </c>
      <c r="F1919" s="9" t="s">
        <v>20</v>
      </c>
      <c r="G1919" s="9" t="s">
        <v>236</v>
      </c>
      <c r="H1919" s="8" t="s">
        <v>8572</v>
      </c>
      <c r="I1919" s="8" t="s">
        <v>8573</v>
      </c>
      <c r="J1919" s="9">
        <v>18.61</v>
      </c>
      <c r="K1919" s="9">
        <v>48.0</v>
      </c>
      <c r="L1919" s="8" t="s">
        <v>8574</v>
      </c>
      <c r="M1919" s="8" t="s">
        <v>8575</v>
      </c>
      <c r="N1919" s="7" t="str">
        <f>IFERROR(__xludf.DUMMYFUNCTION("GOOGLETRANSLATE(L1919, ""en"", ""pt"")"),"Designers florais")</f>
        <v>Designers florais</v>
      </c>
      <c r="O1919" s="7" t="str">
        <f>IFERROR(__xludf.DUMMYFUNCTION("IF(M1919="""","""",GOOGLETRANSLATE(M1919,""en"",""pt""))"),"***Resposta à Solicitação de Informações*** Os funcionários limpam restos de plantas e galhos cortados dos buquês e coroas em que estão trabalhando para manter a mesa e a estação de trabalho limpas. ***F.a.2 Original*** - Regar as plantas e cortar, condic"&amp;"ionar e limpar flores e folhagens para armazenamento. - Aparar o material e arranjar buquês, coroas e outros itens, usando tesouras de poda, modeladores, arame, alfinetes, fita floral, espuma e outros materiais. - Embalar e precificar os arranjos finaliza"&amp;"dos. - Realizar tarefas gerais de limpeza na loja para garantir que o local esteja limpo e organizado. Classificação do Cargo: 27-1023.00 - Designers Florais. A classificação e a descrição do cargo/setor incluem informações gerais sobre a posição, de acor"&amp;"do com o ONET/OES e o Sistema de Classificação Industrial da América do Norte. Consulte as Funções e a Ordem de Serviço para obter mais informações. Requisitos do Cargo Experiência Necessária: Sim Meses de Experiência Necessários: 3 Requisitos Especiais: "&amp;"- Deve demonstrar destreza manual - Deve demonstrar atenção aos detalhes - Deve estar disposto e apto a tolerar temperaturas muito quentes ou muito frias. - Disponibilidade para trabalhar durante todo o período do contrato. - Possibilidade de realização d"&amp;"e teste antidrogas pós-contratação, pago pelo empregador. - Capacidade de levantar até 23 kg. Requisitos e Condições Especiais: - Horário variável (dias da semana e turnos). Horas extras podem ser oferecidas. Trabalho aos fins de semana pode ser necessári"&amp;"o. - O empregador pode oferecer aumento salarial ou bônus, dependendo da experiência e do mérito. - Necessário atingir as metas mínimas de produção: 10 coroas por hora, 17 arranjos florais por hora, 33 buquês por hora. - Bônus disponíveis para quem excede"&amp;"r as metas mínimas de produção. - Disposição para trabalhar em equipe e bom relacionamento interpessoal com os demais funcionários. - Possibilidade de horas extras, mas não garantidas. - Transporte diário não é fornecido, mas o empregador auxiliará na obt"&amp;"enção de transporte até o local de trabalho, se necessário. - O empregador oferece moradia opcional para funcionários que não residem em uma distância razoável do local de trabalho principal. - Descontos: Moradia opcional disponível por US$ 150 por funcio"&amp;"nário por semana. Número de horas por semana: 40 Horário de trabalho (início/término): 7h30 - 15h30")</f>
        <v>***Resposta à Solicitação de Informações*** Os funcionários limpam restos de plantas e galhos cortados dos buquês e coroas em que estão trabalhando para manter a mesa e a estação de trabalho limpas. ***F.a.2 Original*** - Regar as plantas e cortar, condicionar e limpar flores e folhagens para armazenamento. - Aparar o material e arranjar buquês, coroas e outros itens, usando tesouras de poda, modeladores, arame, alfinetes, fita floral, espuma e outros materiais. - Embalar e precificar os arranjos finalizados. - Realizar tarefas gerais de limpeza na loja para garantir que o local esteja limpo e organizado. Classificação do Cargo: 27-1023.00 - Designers Florais. A classificação e a descrição do cargo/setor incluem informações gerais sobre a posição, de acordo com o ONET/OES e o Sistema de Classificação Industrial da América do Norte. Consulte as Funções e a Ordem de Serviço para obter mais informações. Requisitos do Cargo Experiência Necessária: Sim Meses de Experiência Necessários: 3 Requisitos Especiais: - Deve demonstrar destreza manual - Deve demonstrar atenção aos detalhes - Deve estar disposto e apto a tolerar temperaturas muito quentes ou muito frias. - Disponibilidade para trabalhar durante todo o período do contrato. - Possibilidade de realização de teste antidrogas pós-contratação, pago pelo empregador. - Capacidade de levantar até 23 kg. Requisitos e Condições Especiais: - Horário variável (dias da semana e turnos). Horas extras podem ser oferecidas. Trabalho aos fins de semana pode ser necessário. - O empregador pode oferecer aumento salarial ou bônus, dependendo da experiência e do mérito. - Necessário atingir as metas mínimas de produção: 10 coroas por hora, 17 arranjos florais por hora, 33 buquês por hora. - Bônus disponíveis para quem exceder as metas mínimas de produção. - Disposição para trabalhar em equipe e bom relacionamento interpessoal com os demais funcionários. - Possibilidade de horas extras, mas não garantidas. - Transporte diário não é fornecido, mas o empregador auxiliará na obtenção de transporte até o local de trabalho, se necessário. - O empregador oferece moradia opcional para funcionários que não residem em uma distância razoável do local de trabalho principal. - Descontos: Moradia opcional disponível por US$ 150 por funcionário por semana. Número de horas por semana: 40 Horário de trabalho (início/término): 7h30 - 15h30</v>
      </c>
    </row>
    <row r="1920" ht="20.25" customHeight="1">
      <c r="A1920" s="3" t="s">
        <v>8576</v>
      </c>
      <c r="B1920" s="3" t="s">
        <v>8577</v>
      </c>
      <c r="C1920" s="3" t="s">
        <v>8578</v>
      </c>
      <c r="D1920" s="3" t="s">
        <v>71</v>
      </c>
      <c r="E1920" s="4" t="s">
        <v>19</v>
      </c>
      <c r="F1920" s="4" t="s">
        <v>20</v>
      </c>
      <c r="G1920" s="4" t="s">
        <v>377</v>
      </c>
      <c r="H1920" s="3" t="s">
        <v>8579</v>
      </c>
      <c r="I1920" s="3" t="s">
        <v>8580</v>
      </c>
      <c r="J1920" s="4">
        <v>17.5</v>
      </c>
      <c r="K1920" s="4">
        <v>2.0</v>
      </c>
      <c r="L1920" s="3" t="s">
        <v>8581</v>
      </c>
      <c r="M1920" s="3" t="s">
        <v>8582</v>
      </c>
      <c r="N1920" s="7" t="str">
        <f>IFERROR(__xludf.DUMMYFUNCTION("GOOGLETRANSLATE(L1920, ""en"", ""pt"")"),"Cozinheiro de wok")</f>
        <v>Cozinheiro de wok</v>
      </c>
      <c r="O1920" s="7" t="str">
        <f>IFERROR(__xludf.DUMMYFUNCTION("IF(M1920="""","""",GOOGLETRANSLATE(M1920,""en"",""pt""))"),"Prepara os alimentos de acordo com as especificações antes e durante o horário de funcionamento. Prepara, tempera e cozinha/refoga em woks industriais todos os tipos de sopas, carnes, legumes, peixes, aves e outros alimentos para consumo. Mede e porciona "&amp;"corretamente todos os alimentos. Cumpre todas as normas de tamanho de porção, padrões de qualidade, regras do departamento, políticas e procedimentos. Utiliza os equipamentos de cozinha para preparar os alimentos, tais como: facas, fatiadores, batedores, "&amp;"panelas, frigideiras, aquecedores, vaporizadores, grelhas, fornos, etc. Garante o frescor dos alimentos e ingredientes, verificando a qualidade, controlando os itens novos e antigos e fazendo o rodízio do estoque. Executa as tarefas de abertura, fechament"&amp;"o e outras atividades conforme instruído e de acordo com as diretrizes adequadas. Mantém a estação de trabalho, refrigeradores e equipamentos limpos, organizados, higienizados e com estoque suficiente. Segue e cumpre todos os códigos de saúde e regulament"&amp;"os sanitários. Realiza o inventário de fim de dia e outras tarefas de abertura/fechamento de acordo com as listas de verificação e procedimentos da empresa. Classificação da Função: 35-2014.00 - Cozinheiros(as), Restaurante. A classificação e descrição da"&amp;" função/setor inclui informações gerais sobre o cargo, de acordo com o ONET/OES e o Sistema de Classificação Industrial da América do Norte (NAICS). Consulte as Funções e a Ordem de Serviço para obter mais informações. Requisitos da Função: Experiência Ne"&amp;"cessária: Não. Requisitos Especiais: 12 meses de experiência profissional anterior em cozinha, que exija o uso de wok (frigideira em formato de tigela). Número de Horas por Semana: 36. Horário de Trabalho (Início/Término): 17h00 - 23h00.")</f>
        <v>Prepara os alimentos de acordo com as especificações antes e durante o horário de funcionamento. Prepara, tempera e cozinha/refoga em woks industriais todos os tipos de sopas, carnes, legumes, peixes, aves e outros alimentos para consumo. Mede e porciona corretamente todos os alimentos. Cumpre todas as normas de tamanho de porção, padrões de qualidade, regras do departamento, políticas e procedimentos. Utiliza os equipamentos de cozinha para preparar os alimentos, tais como: facas, fatiadores, batedores, panelas, frigideiras, aquecedores, vaporizadores, grelhas, fornos, etc. Garante o frescor dos alimentos e ingredientes, verificando a qualidade, controlando os itens novos e antigos e fazendo o rodízio do estoque. Executa as tarefas de abertura, fechamento e outras atividades conforme instruído e de acordo com as diretrizes adequadas. Mantém a estação de trabalho, refrigeradores e equipamentos limpos, organizados, higienizados e com estoque suficiente. Segue e cumpre todos os códigos de saúde e regulamentos sanitários. Realiza o inventário de fim de dia e outras tarefas de abertura/fechamento de acordo com as listas de verificação e procedimentos da empresa. Classificação da Função: 35-2014.00 - Cozinheiros(as), Restaurante. A classificação e descrição da função/setor inclui informações gerais sobre o cargo, de acordo com o ONET/OES e o Sistema de Classificação Industrial da América do Norte (NAICS). Consulte as Funções e a Ordem de Serviço para obter mais informações. Requisitos da Função: Experiência Necessária: Não. Requisitos Especiais: 12 meses de experiência profissional anterior em cozinha, que exija o uso de wok (frigideira em formato de tigela). Número de Horas por Semana: 36. Horário de Trabalho (Início/Término): 17h00 - 23h00.</v>
      </c>
    </row>
    <row r="1921" ht="20.25" customHeight="1">
      <c r="A1921" s="8" t="s">
        <v>8583</v>
      </c>
      <c r="B1921" s="8" t="s">
        <v>8377</v>
      </c>
      <c r="C1921" s="8" t="s">
        <v>6228</v>
      </c>
      <c r="D1921" s="8" t="s">
        <v>71</v>
      </c>
      <c r="E1921" s="9" t="s">
        <v>44</v>
      </c>
      <c r="F1921" s="9" t="s">
        <v>20</v>
      </c>
      <c r="G1921" s="9" t="s">
        <v>2339</v>
      </c>
      <c r="H1921" s="8" t="s">
        <v>8378</v>
      </c>
      <c r="I1921" s="8" t="s">
        <v>8584</v>
      </c>
      <c r="J1921" s="9">
        <v>21.43</v>
      </c>
      <c r="K1921" s="9">
        <v>10.0</v>
      </c>
      <c r="L1921" s="8" t="s">
        <v>8380</v>
      </c>
      <c r="M1921" s="8" t="s">
        <v>8585</v>
      </c>
      <c r="N1921" s="7" t="str">
        <f>IFERROR(__xludf.DUMMYFUNCTION("GOOGLETRANSLATE(L1921, ""en"", ""pt"")"),"Técnico de Manutenção de Rodovias")</f>
        <v>Técnico de Manutenção de Rodovias</v>
      </c>
      <c r="O1921" s="7" t="str">
        <f>IFERROR(__xludf.DUMMYFUNCTION("IF(M1921="""","""",GOOGLETRANSLATE(M1921,""en"",""pt""))"),"Os Técnicos de Manutenção da Roy Jorgensen Associates, Inc. realizarão uma variedade de tarefas envolvendo a manutenção, o reparo e a melhoria de rodovias, vias, sistemas de drenagem e faixas de domínio associadas, a fim de garantir condições de tráfego s"&amp;"eguras e eficientes. Esta é uma função prática focada na preservação da segurança, funcionalidade e visibilidade das rodovias estaduais e municipais. As principais responsabilidades incluem a realização de manutenção rotineira de vias e faixas de domínio,"&amp;" como remoção de detritos, coleta de lixo e desobstrução para manter condições de tráfego seguras. Os trabalhadores realizarão pequenos reparos em estradas, incluindo o remendo de buracos, o selamento de rachaduras, o transporte e a distribuição de materi"&amp;"ais como cascalho, argila e asfalto para reparar acostamentos e preencher erosão, e a aplicação de remendos de asfalto usando compactadores pneumáticos. As funções também incluem a instalação, o reparo e a substituição de dispositivos de controle de tráfe"&amp;"go, como placas, refletores e delineadores; o auxílio na pintura de faixas e marcações de pavimento; e a instalação de zonas de controle de tráfego usando cones, barricadas e sinalização, incluindo o direcionamento de motoristas quando necessário. Os técn"&amp;"icos são responsáveis ​​por manter a drenagem adequada das vias, limpando e conservando valas, bueiros, bocas de lobo, bacias de captação e bocas de lobo para evitar obstruções e garantir o fluxo adequado de água. Outras atribuições incluem a realização d"&amp;"e manutenção básica de estruturas, limpeza e pequenos reparos, conforme necessário. Os trabalhadores auxiliarão no carregamento, descarregamento, transporte e organização de materiais, ferramentas e equipamentos, bem como no inventário de equipamentos e s"&amp;"uprimentos. Como parte da manutenção da visibilidade segura das vias e das condições da faixa de domínio, os trabalhadores controlarão a vegetação e o crescimento excessivo adjacentes às vias e áreas de acesso público. Isso inclui cortar a grama, aparar e"&amp;" delimitar gramados, limpar arbustos, remover vegetação invasora e podar árvores, arbustos e outras plantas que possam obstruir a visibilidade ou invadir a infraestrutura viária. As tarefas também incluem capinar, podar, aplicar cobertura morta, plantar, "&amp;"regar e manter áreas ajardinadas, conforme necessário para a conservação da faixa de domínio. Os trabalhadores irão cavar, compactar e aparar a vegetação excessiva e poderão auxiliar na distribuição de terra, cobertura vegetal, cascalho ou materiais simil"&amp;"ares para dar suporte às atividades de manutenção. Os técnicos operarão uma variedade de ferramentas manuais e elétricas, incluindo pás, ancinhos, serras de poda, motosserras, aparadores de cerca viva, serras de poda de galhos, cortadores de grama, roçade"&amp;"iras, cortadores de grama comerciais, sopradores, tesouras elétricas, veículos de dois eixos e tratores usados ​​na manutenção de rodovias e faixas de domínio. Os trabalhadores poderão realizar manutenção preventiva de rotina em ferramentas, equipamentos "&amp;"e veículos de trabalho, incluindo monitoramento, manutenção e calibração de equipamentos. Outras responsabilidades incluem a remoção de lixo e detritos das áreas de trabalho designadas, incluindo a limpeza de acampamentos de moradores de rua; a remoção de"&amp;" pichações; o cumprimento de todos os procedimentos de segurança e protocolos de controle de tráfego, incluindo o uso de equipamentos de proteção individual; e o auxílio em atividades de resposta a emergências, como a desobstrução de vias após tempestades"&amp;", acidentes ou outros incidentes. Espera-se que os trabalhadores realizem manutenção preventiva em veículos e equipamentos e concluam outras tarefas relacionadas à manutenção de rodovias, conforme designado. Classificação da Função: 47-4051.00 - Trabalhad"&amp;"ores de Manutenção Rodoviária. A classificação e descrição da função/setor inclui informações gerais sobre o cargo, de acordo com o ONET/OES e o Sistema de Classificação Industrial da América do Norte (NAICS). Consulte as Funções e a Ordem de Serviço para"&amp;" obter mais informações. Requisitos da Função Experiência Necessária: Sim Meses de Experiência Necessários: 3 Requisitos Especiais: Os trabalhadores devem ser fisicamente capazes de trabalhar ao ar livre em diversas condições climáticas e em turnos flexív"&amp;"eis. A função exige o uso seguro e eficaz de ferramentas, máquinas e veículos, além de muita atenção aos detalhes e capacidade de trabalhar em equipe. Número de Horas por Semana: 40 Horário de Trabalho (Início/Término): 7h30 - 16h00")</f>
        <v>Os Técnicos de Manutenção da Roy Jorgensen Associates, Inc. realizarão uma variedade de tarefas envolvendo a manutenção, o reparo e a melhoria de rodovias, vias, sistemas de drenagem e faixas de domínio associadas, a fim de garantir condições de tráfego seguras e eficientes. Esta é uma função prática focada na preservação da segurança, funcionalidade e visibilidade das rodovias estaduais e municipais. As principais responsabilidades incluem a realização de manutenção rotineira de vias e faixas de domínio, como remoção de detritos, coleta de lixo e desobstrução para manter condições de tráfego seguras. Os trabalhadores realizarão pequenos reparos em estradas, incluindo o remendo de buracos, o selamento de rachaduras, o transporte e a distribuição de materiais como cascalho, argila e asfalto para reparar acostamentos e preencher erosão, e a aplicação de remendos de asfalto usando compactadores pneumáticos. As funções também incluem a instalação, o reparo e a substituição de dispositivos de controle de tráfego, como placas, refletores e delineadores; o auxílio na pintura de faixas e marcações de pavimento; e a instalação de zonas de controle de tráfego usando cones, barricadas e sinalização, incluindo o direcionamento de motoristas quando necessário. Os técnicos são responsáveis ​​por manter a drenagem adequada das vias, limpando e conservando valas, bueiros, bocas de lobo, bacias de captação e bocas de lobo para evitar obstruções e garantir o fluxo adequado de água. Outras atribuições incluem a realização de manutenção básica de estruturas, limpeza e pequenos reparos, conforme necessário. Os trabalhadores auxiliarão no carregamento, descarregamento, transporte e organização de materiais, ferramentas e equipamentos, bem como no inventário de equipamentos e suprimentos. Como parte da manutenção da visibilidade segura das vias e das condições da faixa de domínio, os trabalhadores controlarão a vegetação e o crescimento excessivo adjacentes às vias e áreas de acesso público. Isso inclui cortar a grama, aparar e delimitar gramados, limpar arbustos, remover vegetação invasora e podar árvores, arbustos e outras plantas que possam obstruir a visibilidade ou invadir a infraestrutura viária. As tarefas também incluem capinar, podar, aplicar cobertura morta, plantar, regar e manter áreas ajardinadas, conforme necessário para a conservação da faixa de domínio. Os trabalhadores irão cavar, compactar e aparar a vegetação excessiva e poderão auxiliar na distribuição de terra, cobertura vegetal, cascalho ou materiais similares para dar suporte às atividades de manutenção. Os técnicos operarão uma variedade de ferramentas manuais e elétricas, incluindo pás, ancinhos, serras de poda, motosserras, aparadores de cerca viva, serras de poda de galhos, cortadores de grama, roçadeiras, cortadores de grama comerciais, sopradores, tesouras elétricas, veículos de dois eixos e tratores usados ​​na manutenção de rodovias e faixas de domínio. Os trabalhadores poderão realizar manutenção preventiva de rotina em ferramentas, equipamentos e veículos de trabalho, incluindo monitoramento, manutenção e calibração de equipamentos. Outras responsabilidades incluem a remoção de lixo e detritos das áreas de trabalho designadas, incluindo a limpeza de acampamentos de moradores de rua; a remoção de pichações; o cumprimento de todos os procedimentos de segurança e protocolos de controle de tráfego, incluindo o uso de equipamentos de proteção individual; e o auxílio em atividades de resposta a emergências, como a desobstrução de vias após tempestades, acidentes ou outros incidentes. Espera-se que os trabalhadores realizem manutenção preventiva em veículos e equipamentos e concluam outras tarefas relacionadas à manutenção de rodovias, conforme designado. Classificação da Função: 47-4051.00 - Trabalhadores de Manutenção Rodoviária. A classificação e descrição da função/setor inclui informações gerais sobre o cargo, de acordo com o ONET/OES e o Sistema de Classificação Industrial da América do Norte (NAICS). Consulte as Funções e a Ordem de Serviço para obter mais informações. Requisitos da Função Experiência Necessária: Sim Meses de Experiência Necessários: 3 Requisitos Especiais: Os trabalhadores devem ser fisicamente capazes de trabalhar ao ar livre em diversas condições climáticas e em turnos flexíveis. A função exige o uso seguro e eficaz de ferramentas, máquinas e veículos, além de muita atenção aos detalhes e capacidade de trabalhar em equipe. Número de Horas por Semana: 40 Horário de Trabalho (Início/Término): 7h30 - 16h00</v>
      </c>
    </row>
    <row r="1922" ht="20.25" customHeight="1">
      <c r="A1922" s="3" t="s">
        <v>8586</v>
      </c>
      <c r="B1922" s="3" t="s">
        <v>8587</v>
      </c>
      <c r="C1922" s="3" t="s">
        <v>8588</v>
      </c>
      <c r="D1922" s="3" t="s">
        <v>126</v>
      </c>
      <c r="E1922" s="4" t="s">
        <v>19</v>
      </c>
      <c r="F1922" s="4" t="s">
        <v>20</v>
      </c>
      <c r="G1922" s="4" t="s">
        <v>198</v>
      </c>
      <c r="H1922" s="3" t="s">
        <v>8589</v>
      </c>
      <c r="I1922" s="3" t="s">
        <v>8590</v>
      </c>
      <c r="J1922" s="4">
        <v>4.22</v>
      </c>
      <c r="K1922" s="4">
        <v>4.0</v>
      </c>
      <c r="L1922" s="3" t="s">
        <v>8591</v>
      </c>
      <c r="M1922" s="3" t="s">
        <v>8592</v>
      </c>
      <c r="N1922" s="7" t="str">
        <f>IFERROR(__xludf.DUMMYFUNCTION("GOOGLETRANSLATE(L1922, ""en"", ""pt"")"),"Treinador de esqui alpino")</f>
        <v>Treinador de esqui alpino</v>
      </c>
      <c r="O1922" s="7" t="str">
        <f>IFERROR(__xludf.DUMMYFUNCTION("IF(M1922="""","""",GOOGLETRANSLATE(M1922,""en"",""pt""))"),"Trabalhar em estreita colaboração com o Diretor do Programa Alpino, os Treinadores Principais e a equipe para promover o alinhamento, a participação ideal e o melhor desempenho. Auxiliar no planejamento e implementação da programação na neve. Os programas"&amp;" da SSCV são baseados em um modelo de desenvolvimento de longo prazo para o aluno-atleta, que consiste nos seguintes domínios: desenvolvimento do aluno-atleta, condicionamento físico e nutrição, aspectos técnicos e táticos, mentais e sociais, incluindo ap"&amp;"oio e equilíbrio acadêmico-atlético, equipamentos e competição. PROGRAMA ALPINO: Atuar como treinador em tempo integral na montanha para o programa alpino. Auxiliar no desenvolvimento e implementação de uma programação abrangente e adequada à idade dos at"&amp;"letas alpinos com os quais você trabalha. Responsável por auxiliar em todos os aspectos do treinamento alpino, competição e viagens, conforme orientação do Treinador Principal. PREPARAÇÃO FÍSICA: Trabalhar com o Gerente de Preparação Física, bem como com "&amp;"o Treinador Principal, para ministrar a programação aos atletas e supervisionar as atividades. COMPETIÇÕES E LOCAIS DE COMPETIÇÃO ALPINA: Trabalhar com o Treinador Principal para coordenar os cronogramas de competição e viagens. EQUIPAMENTOS: Auxiliar na "&amp;"manutenção do controle de estoque de equipamentos relacionados ao programa alpino e aos eventos. Auxiliar no planejamento da compra de novos equipamentos, quando necessário. Auxiliar no reparo e manutenção dos equipamentos, quando necessário. ADMINISTRATI"&amp;"VO: Auxiliar na administração de aspectos do Programa, incluindo, entre outros, viagens, orçamentos de viagens e fichas informativas, atuação como Capitão da Equipe em competições, manutenção e protocolos de veículos e relatórios de despesas, conforme ori"&amp;"entação do Treinador Principal. COMUNICAÇÃO, COMUNIDADE E CLUBE: Desenvolver e manter estruturas de comunicação consistentes, profissionais, educativas e de apoio com a equipe, pais e a comunidade em relação ao programa de esqui alpino. Trabalhar em estre"&amp;"ita colaboração com outros membros da equipe administrativa, conforme necessário. LOCAL DE TREINAMENTO: Será necessário trabalhar com a equipe de Operações do SSCV para garantir a correta instalação dos padrões de segurança, incluindo redes de proteção A,"&amp;" B e C, e outros acolchoamentos, conforme necessário. Viajar e treinar a equipe em competições de esqui (competições com duração de 3 a 4 dias) na região, aproximadamente 3 a 4 vezes por mês, e internacionalmente, aproximadamente uma vez durante a tempora"&amp;"da. Hospedagem e transporte serão fornecidos durante as viagens para treinamento/prática no resort de esqui Copper Mountain e para competições de esqui com os atletas. Poderá desempenhar outras funções de acordo com o regulamento 27-2022, Treinadores e Ob"&amp;"servadores. F.a.5a-F.a.6b: 35+ horas/semana. Sábados e domingos, das 8h às 16h; terças a sextas, das 8h às 13h. O horário (incluindo os dias de trabalho) pode variar. Poderá trabalhar mais horas do que o garantido. F.b.8a: Os trabalhadores receberão, no m"&amp;"ínimo, o salário listado. O empregador poderá pagar salários mais altos aos trabalhadores com base na antiguidade na empresa, experiência ou nível de habilidade. F.b.8: US$ 35.877,14 por 8,5 meses F.c.1: Os instrutores temporários de esqui alpino H-2B des"&amp;"empenharão suas funções nos seguintes locais: 598 Vail Valley Drive, Vail, CO 81657; Copper Mountain Ski Resort, Summit County, CO; Minturn Fitness Center, 1000 Maloit Park Rd, Minturn, CO 81645. Classificação da vaga: 27-2022.00 - Instrutores e Observado"&amp;"res. A classificação e descrição da vaga/setor incluem informações gerais sobre o cargo, de acordo com o ONET/OES e o Sistema de Classificação Industrial da América do Norte. Consulte as Funções e a Ordem de Serviço para obter mais informações. Requisitos"&amp;" da vaga: Experiência exigida: Sim. Meses de experiência exigidos: 12. Requisitos especiais: Deve ser um instrutor de esqui certificado, equivalente ao Nível 100 da United States Ski and Snowboard (USSS) ou ao Nível 1 da Professional Ski Instructors of Am"&amp;"erica. É necessário possuir 1 ano de experiência como treinador ou instrutor de esqui, ou 4 anos de experiência competindo em alto nível em esqui alpino. Não será oferecido treinamento no local de trabalho. É necessário estar registrado na USSS (United St"&amp;"ates Ski Society) e atender a todos os seus requisitos de certificação, incluindo as verificações de antecedentes exigidas pela USSS para treinadores de esqui, antes do início do trabalho. Testes de drogas/álcool podem ser necessários durante o emprego. N"&amp;"úmero de horas por semana: 35. Horário de trabalho (início/término): 8h às 16h.")</f>
        <v>Trabalhar em estreita colaboração com o Diretor do Programa Alpino, os Treinadores Principais e a equipe para promover o alinhamento, a participação ideal e o melhor desempenho. Auxiliar no planejamento e implementação da programação na neve. Os programas da SSCV são baseados em um modelo de desenvolvimento de longo prazo para o aluno-atleta, que consiste nos seguintes domínios: desenvolvimento do aluno-atleta, condicionamento físico e nutrição, aspectos técnicos e táticos, mentais e sociais, incluindo apoio e equilíbrio acadêmico-atlético, equipamentos e competição. PROGRAMA ALPINO: Atuar como treinador em tempo integral na montanha para o programa alpino. Auxiliar no desenvolvimento e implementação de uma programação abrangente e adequada à idade dos atletas alpinos com os quais você trabalha. Responsável por auxiliar em todos os aspectos do treinamento alpino, competição e viagens, conforme orientação do Treinador Principal. PREPARAÇÃO FÍSICA: Trabalhar com o Gerente de Preparação Física, bem como com o Treinador Principal, para ministrar a programação aos atletas e supervisionar as atividades. COMPETIÇÕES E LOCAIS DE COMPETIÇÃO ALPINA: Trabalhar com o Treinador Principal para coordenar os cronogramas de competição e viagens. EQUIPAMENTOS: Auxiliar na manutenção do controle de estoque de equipamentos relacionados ao programa alpino e aos eventos. Auxiliar no planejamento da compra de novos equipamentos, quando necessário. Auxiliar no reparo e manutenção dos equipamentos, quando necessário. ADMINISTRATIVO: Auxiliar na administração de aspectos do Programa, incluindo, entre outros, viagens, orçamentos de viagens e fichas informativas, atuação como Capitão da Equipe em competições, manutenção e protocolos de veículos e relatórios de despesas, conforme orientação do Treinador Principal. COMUNICAÇÃO, COMUNIDADE E CLUBE: Desenvolver e manter estruturas de comunicação consistentes, profissionais, educativas e de apoio com a equipe, pais e a comunidade em relação ao programa de esqui alpino. Trabalhar em estreita colaboração com outros membros da equipe administrativa, conforme necessário. LOCAL DE TREINAMENTO: Será necessário trabalhar com a equipe de Operações do SSCV para garantir a correta instalação dos padrões de segurança, incluindo redes de proteção A, B e C, e outros acolchoamentos, conforme necessário. Viajar e treinar a equipe em competições de esqui (competições com duração de 3 a 4 dias) na região, aproximadamente 3 a 4 vezes por mês, e internacionalmente, aproximadamente uma vez durante a temporada. Hospedagem e transporte serão fornecidos durante as viagens para treinamento/prática no resort de esqui Copper Mountain e para competições de esqui com os atletas. Poderá desempenhar outras funções de acordo com o regulamento 27-2022, Treinadores e Observadores. F.a.5a-F.a.6b: 35+ horas/semana. Sábados e domingos, das 8h às 16h; terças a sextas, das 8h às 13h. O horário (incluindo os dias de trabalho) pode variar. Poderá trabalhar mais horas do que o garantido. F.b.8a: Os trabalhadores receberão, no mínimo, o salário listado. O empregador poderá pagar salários mais altos aos trabalhadores com base na antiguidade na empresa, experiência ou nível de habilidade. F.b.8: US$ 35.877,14 por 8,5 meses F.c.1: Os instrutores temporários de esqui alpino H-2B desempenharão suas funções nos seguintes locais: 598 Vail Valley Drive, Vail, CO 81657; Copper Mountain Ski Resort, Summit County, CO; Minturn Fitness Center, 1000 Maloit Park Rd, Minturn, CO 81645. Classificação da vaga: 27-2022.00 - Instrutores e Observadores. A classificação e descrição da vaga/setor incluem informações gerais sobre o cargo, de acordo com o ONET/OES e o Sistema de Classificação Industrial da América do Norte. Consulte as Funções e a Ordem de Serviço para obter mais informações. Requisitos da vaga: Experiência exigida: Sim. Meses de experiência exigidos: 12. Requisitos especiais: Deve ser um instrutor de esqui certificado, equivalente ao Nível 100 da United States Ski and Snowboard (USSS) ou ao Nível 1 da Professional Ski Instructors of America. É necessário possuir 1 ano de experiência como treinador ou instrutor de esqui, ou 4 anos de experiência competindo em alto nível em esqui alpino. Não será oferecido treinamento no local de trabalho. É necessário estar registrado na USSS (United States Ski Society) e atender a todos os seus requisitos de certificação, incluindo as verificações de antecedentes exigidas pela USSS para treinadores de esqui, antes do início do trabalho. Testes de drogas/álcool podem ser necessários durante o emprego. Número de horas por semana: 35. Horário de trabalho (início/término): 8h às 16h.</v>
      </c>
    </row>
    <row r="1923" ht="20.25" customHeight="1">
      <c r="A1923" s="8" t="s">
        <v>8593</v>
      </c>
      <c r="B1923" s="8" t="s">
        <v>8594</v>
      </c>
      <c r="C1923" s="8" t="s">
        <v>8595</v>
      </c>
      <c r="D1923" s="8" t="s">
        <v>126</v>
      </c>
      <c r="E1923" s="9" t="s">
        <v>19</v>
      </c>
      <c r="F1923" s="9" t="s">
        <v>20</v>
      </c>
      <c r="G1923" s="9" t="s">
        <v>345</v>
      </c>
      <c r="H1923" s="8" t="s">
        <v>8596</v>
      </c>
      <c r="I1923" s="8" t="s">
        <v>8597</v>
      </c>
      <c r="J1923" s="9">
        <v>24.01</v>
      </c>
      <c r="K1923" s="9">
        <v>10.0</v>
      </c>
      <c r="L1923" s="8" t="s">
        <v>5398</v>
      </c>
      <c r="M1923" s="8" t="s">
        <v>8598</v>
      </c>
      <c r="N1923" s="7" t="str">
        <f>IFERROR(__xludf.DUMMYFUNCTION("GOOGLETRANSLATE(L1923, ""en"", ""pt"")"),"Equipe de Apoio de Alimentos e Bebidas")</f>
        <v>Equipe de Apoio de Alimentos e Bebidas</v>
      </c>
      <c r="O1923" s="7" t="str">
        <f>IFERROR(__xludf.DUMMYFUNCTION("IF(M1923="""","""",GOOGLETRANSLATE(M1923,""en"",""pt""))"),"***Resposta à Solicitação de Informações*** Utilizando bandejas, suportes para bandejas, escorredores de pratos e copos, porta-talheres, panos ou luvas resistentes ao calor para pratos quentes, toalhas de mesa e materiais básicos de limpeza, a equipe de a"&amp;"poio de Alimentos e Bebidas recolhe pratos, copos, talheres e travessas limpos da área de lavagem ou do depósito. Prepara e organiza as bandejas com pratos, talheres, condimentos e guardanapos para o serviço seguinte. Transporta itens de comida quente e f"&amp;"ria da área de distribuição da cozinha para os balcões de serviço ou salões de eventos. Devolve pratos, bandejas e talheres usados ​​das áreas de serviço para a área de lavagem de forma rápida e discreta. Repõe os talheres, copos, pratos e toalhas de mesa"&amp;" nos balcões de serviço durante todo o período de serviço. Utilizando panos de microfibra, panos de polimento, panos de limpeza, produtos de limpeza próprios para contato com alimentos, limpadores de vidro e aço inoxidável, esfregões, baldes, vassouras, p"&amp;"ás de lixo, escovas pequenas e aspiradores de pó, a equipe de apoio de Alimentos e Bebidas irá limpar, higienizar e polir balcões de bar, balcões de buffet, estações de serviço, estações de café/chá, paredes, prateleiras, cadeiras, mesas, banquetas, balcõ"&amp;"es de recepção e pisos localizados nos salões principais do restaurante, áreas de bar/lounge, buffet e estação de serviço, salas de jantar privativas e salões de banquetes. Remover migalhas e manchas de mesas e cadeiras após o serviço. Lavar pisos duros e"&amp;" limpar imediatamente qualquer líquido derramado nas áreas listadas acima. ***Original*** Sob a supervisão direta do Supervisor de Alimentos e Bebidas, a equipe de apoio de Alimentos e Bebidas deverá: 1. Transportar alimentos, pratos, bandejas ou talheres"&amp;" das cozinhas ou departamentos de suprimentos para os clientes ou estações de serviço. Realizar tarefas de servir, limpar ou repor produtos nos salões de jantar, para facilitar o atendimento ao cliente. Abastecer armários ou áreas de serviço com condiment"&amp;"os e reabastecer recipientes de condimentos. Sirva água gelada, café, pães ou manteiga aos clientes. Raspe e empilhe os pratos sujos e leve-os, juntamente com outros utensílios de mesa, para a cozinha para lavagem. Limpe mesas ou cadeiras com panos úmidos"&amp;" ou troque as toalhas de mesa sujas. Arrume as mesas com toalhas de mesa limpas, condimentos ou outros suprimentos. Limpe alimentos ou bebidas derramados ou pratos quebrados e remova garrafas vazias e lixo. Mantenha um estoque adequado de itens, como toal"&amp;"has de mesa limpas, talheres, copos, pratos ou bandejas. Conheça os itens do cardápio, os pratos do dia e as promoções. Sirva comida aos clientes quando os garçons ou garçonetes precisarem de ajuda. Anote os pedidos de comida e bebida com precisão e entre"&amp;"gue-os em tempo hábil. Limpe e lustre balcões, prateleiras, paredes, móveis ou equipamentos nas áreas de serviço de alimentação ou outras áreas do restaurante e passe aspirador de pó ou esfregão no chão. Reponha os suprimentos de alimentos ou equipamentos"&amp;" nos balcões de serviço ou buffets. Lave copos ou outros utensílios de servir nos bares. Leve as toalhas de mesa para a lavanderia ou da lavanderia para a cozinha. Decore os alimentos e posicione-os nas mesas para que fiquem visíveis e acessíveis. Corte e"&amp;" retire os caroços das frutas usadas para decorar as bebidas. Auxiliar os garçons e garçonetes, a equipe da cozinha e a recepção conforme necessário. Comunicar-se de forma eficaz com a equipe da cozinha e do bar para garantir a precisão dos pedidos. Segui"&amp;"r todas as normas de segurança, higiene e saúde. 2. Ser capaz de alcançar objetos acima da cabeça e trabalhar em diversas posições, incluindo, entre outras, ficar em pé, curvar-se e caminhar por até 8 horas. 3. Ser capaz de levantar, empurrar, puxar e car"&amp;"regar até 23 kg. Classificação da vaga: 35-3031.00 - Garçons e Garçonetes. A classificação e a descrição da vaga/setor incluem informações gerais sobre o cargo, de acordo com o ONET/OES e o Sistema de Classificação Industrial da América do Norte. Consulte"&amp;" as Funções e a Ordem de Serviço para obter mais informações. Requisitos da vaga: Experiência necessária: Não. Requisitos especiais: Exame toxicológico e verificação de antecedentes criminais na contratação. Condições de trabalho: US$ 24,01/hora. Mínimo d"&amp;"e 35 horas semanais. De segunda a sexta. Das 15h às 23h (horário variável: os funcionários trabalharão 5 dias por semana, de domingo a sábado, em turnos de 7 horas, entre 7h e 15h ou entre 15h e 23h). Folgas a serem definidas (de acordo com a preferência "&amp;"do funcionário/necessidade do empregador). A semana de trabalho é utilizada para o cálculo do salário. Pagamento quinzenal. Horas extras podem estar disponíveis, mas não são garantidas, a US$ 36,02/hora. Número de horas por semana: 35. Horário de trabalho"&amp;" (início/término): 15h às 23h.")</f>
        <v>***Resposta à Solicitação de Informações*** Utilizando bandejas, suportes para bandejas, escorredores de pratos e copos, porta-talheres, panos ou luvas resistentes ao calor para pratos quentes, toalhas de mesa e materiais básicos de limpeza, a equipe de apoio de Alimentos e Bebidas recolhe pratos, copos, talheres e travessas limpos da área de lavagem ou do depósito. Prepara e organiza as bandejas com pratos, talheres, condimentos e guardanapos para o serviço seguinte. Transporta itens de comida quente e fria da área de distribuição da cozinha para os balcões de serviço ou salões de eventos. Devolve pratos, bandejas e talheres usados ​​das áreas de serviço para a área de lavagem de forma rápida e discreta. Repõe os talheres, copos, pratos e toalhas de mesa nos balcões de serviço durante todo o período de serviço. Utilizando panos de microfibra, panos de polimento, panos de limpeza, produtos de limpeza próprios para contato com alimentos, limpadores de vidro e aço inoxidável, esfregões, baldes, vassouras, pás de lixo, escovas pequenas e aspiradores de pó, a equipe de apoio de Alimentos e Bebidas irá limpar, higienizar e polir balcões de bar, balcões de buffet, estações de serviço, estações de café/chá, paredes, prateleiras, cadeiras, mesas, banquetas, balcões de recepção e pisos localizados nos salões principais do restaurante, áreas de bar/lounge, buffet e estação de serviço, salas de jantar privativas e salões de banquetes. Remover migalhas e manchas de mesas e cadeiras após o serviço. Lavar pisos duros e limpar imediatamente qualquer líquido derramado nas áreas listadas acima. ***Original*** Sob a supervisão direta do Supervisor de Alimentos e Bebidas, a equipe de apoio de Alimentos e Bebidas deverá: 1. Transportar alimentos, pratos, bandejas ou talheres das cozinhas ou departamentos de suprimentos para os clientes ou estações de serviço. Realizar tarefas de servir, limpar ou repor produtos nos salões de jantar, para facilitar o atendimento ao cliente. Abastecer armários ou áreas de serviço com condimentos e reabastecer recipientes de condimentos. Sirva água gelada, café, pães ou manteiga aos clientes. Raspe e empilhe os pratos sujos e leve-os, juntamente com outros utensílios de mesa, para a cozinha para lavagem. Limpe mesas ou cadeiras com panos úmidos ou troque as toalhas de mesa sujas. Arrume as mesas com toalhas de mesa limpas, condimentos ou outros suprimentos. Limpe alimentos ou bebidas derramados ou pratos quebrados e remova garrafas vazias e lixo. Mantenha um estoque adequado de itens, como toalhas de mesa limpas, talheres, copos, pratos ou bandejas. Conheça os itens do cardápio, os pratos do dia e as promoções. Sirva comida aos clientes quando os garçons ou garçonetes precisarem de ajuda. Anote os pedidos de comida e bebida com precisão e entregue-os em tempo hábil. Limpe e lustre balcões, prateleiras, paredes, móveis ou equipamentos nas áreas de serviço de alimentação ou outras áreas do restaurante e passe aspirador de pó ou esfregão no chão. Reponha os suprimentos de alimentos ou equipamentos nos balcões de serviço ou buffets. Lave copos ou outros utensílios de servir nos bares. Leve as toalhas de mesa para a lavanderia ou da lavanderia para a cozinha. Decore os alimentos e posicione-os nas mesas para que fiquem visíveis e acessíveis. Corte e retire os caroços das frutas usadas para decorar as bebidas. Auxiliar os garçons e garçonetes, a equipe da cozinha e a recepção conforme necessário. Comunicar-se de forma eficaz com a equipe da cozinha e do bar para garantir a precisão dos pedidos. Seguir todas as normas de segurança, higiene e saúde. 2. Ser capaz de alcançar objetos acima da cabeça e trabalhar em diversas posições, incluindo, entre outras, ficar em pé, curvar-se e caminhar por até 8 horas. 3. Ser capaz de levantar, empurrar, puxar e carregar até 23 kg. Classificação da vaga: 35-3031.00 - Garçons e Garçonetes. A classificação e a descrição da vaga/setor incluem informações gerais sobre o cargo, de acordo com o ONET/OES e o Sistema de Classificação Industrial da América do Norte. Consulte as Funções e a Ordem de Serviço para obter mais informações. Requisitos da vaga: Experiência necessária: Não. Requisitos especiais: Exame toxicológico e verificação de antecedentes criminais na contratação. Condições de trabalho: US$ 24,01/hora. Mínimo de 35 horas semanais. De segunda a sexta. Das 15h às 23h (horário variável: os funcionários trabalharão 5 dias por semana, de domingo a sábado, em turnos de 7 horas, entre 7h e 15h ou entre 15h e 23h). Folgas a serem definidas (de acordo com a preferência do funcionário/necessidade do empregador). A semana de trabalho é utilizada para o cálculo do salário. Pagamento quinzenal. Horas extras podem estar disponíveis, mas não são garantidas, a US$ 36,02/hora. Número de horas por semana: 35. Horário de trabalho (início/término): 15h às 23h.</v>
      </c>
    </row>
    <row r="1924" ht="20.25" customHeight="1">
      <c r="A1924" s="3" t="s">
        <v>8599</v>
      </c>
      <c r="B1924" s="3" t="s">
        <v>8594</v>
      </c>
      <c r="C1924" s="3" t="s">
        <v>8595</v>
      </c>
      <c r="D1924" s="3" t="s">
        <v>126</v>
      </c>
      <c r="E1924" s="4" t="s">
        <v>19</v>
      </c>
      <c r="F1924" s="4" t="s">
        <v>20</v>
      </c>
      <c r="G1924" s="4" t="s">
        <v>345</v>
      </c>
      <c r="H1924" s="3" t="s">
        <v>8596</v>
      </c>
      <c r="I1924" s="3" t="s">
        <v>8597</v>
      </c>
      <c r="J1924" s="4">
        <v>19.81</v>
      </c>
      <c r="K1924" s="4">
        <v>25.0</v>
      </c>
      <c r="L1924" s="3" t="s">
        <v>354</v>
      </c>
      <c r="M1924" s="3" t="s">
        <v>8600</v>
      </c>
      <c r="N1924" s="7" t="str">
        <f>IFERROR(__xludf.DUMMYFUNCTION("GOOGLETRANSLATE(L1924, ""en"", ""pt"")"),"Governanta")</f>
        <v>Governanta</v>
      </c>
      <c r="O1924" s="7" t="str">
        <f>IFERROR(__xludf.DUMMYFUNCTION("IF(M1924="""","""",GOOGLETRANSLATE(M1924,""en"",""pt""))"),"Sob a supervisão direta do(a) Supervisor(a) de Limpeza, o(a) Camareiro(a) será responsável por limpar quartos, corredores, saguões, salas de estar, banheiros, elevadores, escadas, vestiários e outras áreas de trabalho, garantindo o cumprimento das normas "&amp;"de higiene. Deverá remover lixo, roupas de cama sujas e itens do serviço de quarto dos quartos e áreas comuns. Fará as camas, limpará os banheiros e trocará as roupas de cama sujas por limpas. Transportará roupas de cama, toalhas, artigos de higiene pesso"&amp;"al e produtos de limpeza utilizando carrinhos com rodas. Desinfetará equipamentos e suprimentos utilizando germicidas ou esterilizadores a vapor. Limpará, polirá e removerá manchas de paredes e móveis. Limpará e polirá móveis e equipamentos. Esvaziará lix"&amp;"eiras e transportará outros lixos e resíduos para as áreas de descarte. Verificará se todos os eletrodomésticos estão presentes nos quartos e em perfeito funcionamento. Organizará os itens da mesa, móveis e eletrodomésticos de acordo com o layout estabele"&amp;"cido. Observará as precauções necessárias para proteger os bens do hotel e dos hóspedes e reportará danos, furtos e objetos encontrados aos supervisores. Reporá suprimentos, como copos, roupas de cama, materiais de escrita e itens de banheiro. Limpar tape"&amp;"tes, carpetes, móveis estofados e cortinas, utilizando aspiradores de pó e lavadoras de carpetes. Manter as áreas de armazenamento e carrinhos bem abastecidos, limpos e organizados. Lavar janelas, paredes, tetos e acabamentos em madeira, encerando e polin"&amp;"do conforme necessário. Varrer, esfregar, encerar ou polir pisos, utilizando vassouras, esfregões ou máquinas elétricas de limpeza e enceramento. Pendurar cortinas e tirar o pó das persianas. Separar, contar e etiquetar roupas de cama limpas e guardá-las "&amp;"em armários. Preparar salas para reuniões e organizar decorações, equipamentos de mídia e móveis para eventos sociais ou corporativos. Remover detritos de calçadas, garagens e outras áreas. 1. Deve ser capaz de alcançar objetos acima da cabeça e trabalhar"&amp;" em diversas posições, incluindo, entre outras, ficar em pé por longos períodos. 2. Deve ser capaz de levantar, empurrar, puxar e carregar no mínimo 11 kg e ter capacidade para carregar até 23 kg. 3. Não há requisitos mínimos ou experiência. 4. Exame toxi"&amp;"cológico e verificação de antecedentes criminais na contratação. Classificação da Função: 37-2012.00 - Empregadas Domésticas e Auxiliares de Limpeza. A classificação e descrição da função/setor inclui informações gerais sobre o cargo, de acordo com o ONET"&amp;"/OES e o Sistema de Classificação Industrial da América do Norte (NAICS). Consulte as Funções e a Ordem de Serviço para obter mais informações. Requisitos da Função: Experiência Necessária: Não. Requisitos Especiais: Exame toxicológico e verificação de an"&amp;"tecedentes criminais na contratação. Condições de Trabalho: $19,81/hora. Mínimo de 35 horas semanais. Segunda a sexta, das 15h às 23h (o horário pode variar: os funcionários trabalharão 5 dias por semana, de domingo a sábado, em turnos de 7 horas, entre 7"&amp;"h e 15h ou entre 15h30 e 23h30). Folgas a serem definidas (de acordo com a preferência do funcionário/necessidade do empregador). A remuneração é calculada com base em uma única semana de trabalho. Pagamento quinzenal. Horas extras podem estar disponíveis"&amp;", mas não são garantidas, com remuneração de $29,72/hora. Número de horas por semana: 35 Horário de trabalho (início/término): 7h00 - 15h00")</f>
        <v>Sob a supervisão direta do(a) Supervisor(a) de Limpeza, o(a) Camareiro(a) será responsável por limpar quartos, corredores, saguões, salas de estar, banheiros, elevadores, escadas, vestiários e outras áreas de trabalho, garantindo o cumprimento das normas de higiene. Deverá remover lixo, roupas de cama sujas e itens do serviço de quarto dos quartos e áreas comuns. Fará as camas, limpará os banheiros e trocará as roupas de cama sujas por limpas. Transportará roupas de cama, toalhas, artigos de higiene pessoal e produtos de limpeza utilizando carrinhos com rodas. Desinfetará equipamentos e suprimentos utilizando germicidas ou esterilizadores a vapor. Limpará, polirá e removerá manchas de paredes e móveis. Limpará e polirá móveis e equipamentos. Esvaziará lixeiras e transportará outros lixos e resíduos para as áreas de descarte. Verificará se todos os eletrodomésticos estão presentes nos quartos e em perfeito funcionamento. Organizará os itens da mesa, móveis e eletrodomésticos de acordo com o layout estabelecido. Observará as precauções necessárias para proteger os bens do hotel e dos hóspedes e reportará danos, furtos e objetos encontrados aos supervisores. Reporá suprimentos, como copos, roupas de cama, materiais de escrita e itens de banheiro. Limpar tapetes, carpetes, móveis estofados e cortinas, utilizando aspiradores de pó e lavadoras de carpetes. Manter as áreas de armazenamento e carrinhos bem abastecidos, limpos e organizados. Lavar janelas, paredes, tetos e acabamentos em madeira, encerando e polindo conforme necessário. Varrer, esfregar, encerar ou polir pisos, utilizando vassouras, esfregões ou máquinas elétricas de limpeza e enceramento. Pendurar cortinas e tirar o pó das persianas. Separar, contar e etiquetar roupas de cama limpas e guardá-las em armários. Preparar salas para reuniões e organizar decorações, equipamentos de mídia e móveis para eventos sociais ou corporativos. Remover detritos de calçadas, garagens e outras áreas. 1. Deve ser capaz de alcançar objetos acima da cabeça e trabalhar em diversas posições, incluindo, entre outras, ficar em pé por longos períodos. 2. Deve ser capaz de levantar, empurrar, puxar e carregar no mínimo 11 kg e ter capacidade para carregar até 23 kg. 3. Não há requisitos mínimos ou experiência. 4. Exame toxicológico e verificação de antecedentes criminais na contratação. Classificação da Função: 37-2012.00 - Empregadas Domésticas e Auxiliares de Limpeza. A classificação e descrição da função/setor inclui informações gerais sobre o cargo, de acordo com o ONET/OES e o Sistema de Classificação Industrial da América do Norte (NAICS). Consulte as Funções e a Ordem de Serviço para obter mais informações. Requisitos da Função: Experiência Necessária: Não. Requisitos Especiais: Exame toxicológico e verificação de antecedentes criminais na contratação. Condições de Trabalho: $19,81/hora. Mínimo de 35 horas semanais. Segunda a sexta, das 15h às 23h (o horário pode variar: os funcionários trabalharão 5 dias por semana, de domingo a sábado, em turnos de 7 horas, entre 7h e 15h ou entre 15h30 e 23h30). Folgas a serem definidas (de acordo com a preferência do funcionário/necessidade do empregador). A remuneração é calculada com base em uma única semana de trabalho. Pagamento quinzenal. Horas extras podem estar disponíveis, mas não são garantidas, com remuneração de $29,72/hora. Número de horas por semana: 35 Horário de trabalho (início/término): 7h00 - 15h00</v>
      </c>
    </row>
    <row r="1925" ht="20.25" customHeight="1">
      <c r="A1925" s="8" t="s">
        <v>8601</v>
      </c>
      <c r="B1925" s="8" t="s">
        <v>8602</v>
      </c>
      <c r="C1925" s="8" t="s">
        <v>8595</v>
      </c>
      <c r="D1925" s="8" t="s">
        <v>126</v>
      </c>
      <c r="E1925" s="9" t="s">
        <v>19</v>
      </c>
      <c r="F1925" s="9" t="s">
        <v>20</v>
      </c>
      <c r="G1925" s="9" t="s">
        <v>345</v>
      </c>
      <c r="H1925" s="8" t="s">
        <v>8596</v>
      </c>
      <c r="I1925" s="8" t="s">
        <v>8597</v>
      </c>
      <c r="J1925" s="9">
        <v>20.53</v>
      </c>
      <c r="K1925" s="9">
        <v>7.0</v>
      </c>
      <c r="L1925" s="8" t="s">
        <v>527</v>
      </c>
      <c r="M1925" s="8" t="s">
        <v>8603</v>
      </c>
      <c r="N1925" s="7" t="str">
        <f>IFERROR(__xludf.DUMMYFUNCTION("GOOGLETRANSLATE(L1925, ""en"", ""pt"")"),"máquina de lavar louça")</f>
        <v>máquina de lavar louça</v>
      </c>
      <c r="O1925" s="7" t="str">
        <f>IFERROR(__xludf.DUMMYFUNCTION("IF(M1925="""","""",GOOGLETRANSLATE(M1925,""en"",""pt""))"),"Funções: Sob a supervisão direta do Supervisor de Cozinha, o Auxiliar de Cozinha (Lava-louças) lavará pratos, copos, talheres, panelas e frigideiras, utilizando máquinas de lavar louça ou manualmente. Removerá restos de comida dos pratos. Operará diversos"&amp;" tipos de máquinas de lavar louça e escorredores. Verificará e monitorará a clareza e a capacidade de sanitização da água de lavagem. Guardará pratos, utensílios e equipamentos de cozinha limpos nas áreas de armazenamento. Separará e removerá o lixo, colo"&amp;"cando-o nas áreas de coleta designadas. Varrerá, passará pano e esfregará o chão. Manterá as áreas de trabalho da cozinha, equipamentos e utensílios limpos e organizados. Limpará as lixeiras com água ou vapor. Receberá e armazenará suprimentos. Abastecerá"&amp;" os suprimentos, como alimentos e utensílios, em estações de serviço, armários e geladeiras. Transferirá suprimentos ou equipamentos entre o armazenamento e as áreas de trabalho. Limpará ou preparará diversos alimentos para cozinhar e servir: Utilizando t"&amp;"ábuas de corte, facas de chef, descascadores de legumes, raladores e recipientes de armazenamento, o Auxiliar de Cozinha (Lava-louças) em nossa organização realiza uma quantidade mínima de preparação de alimentos, incluindo lavar e descascar legumes e fru"&amp;"tas, cortes básicos, picar e aparar sob supervisão. e porcionar e organizar os ingredientes para os cozinheiros. O auxiliar de cozinha garante que as mesas de preparo, tábuas de corte e facas estejam limpas e higienizadas. 1. Deve ser capaz de alcançar ob"&amp;"jetos acima da cabeça e trabalhar em diversas posições, incluindo, entre outras, ficar em pé por longos períodos. 2. Deve ser capaz de levantar no mínimo 13,6 kg. 3. Não há requisitos mínimos ou experiência. 4. Exame toxicológico e verificação de antecede"&amp;"ntes criminais na contratação. Classificação do Cargo: 35-2021.00 - Auxiliares de Cozinha. A classificação e descrição do cargo/setor incluem informações gerais sobre a posição, de acordo com o ONET/OES e o Sistema de Classificação Industrial da América d"&amp;"o Norte. Consulte as Funções e a Ordem de Serviço para obter mais informações. Requisitos do Cargo Experiência Necessária: Não. Requisitos Especiais: Exame toxicológico e verificação de antecedentes criminais na contratação. Condições de Trabalho: US$ 20,"&amp;"53/hora. Mínimo de 35 horas semanais. De segunda a sexta. Das 7h às 15h (horário variável: os funcionários trabalharão 5 dias por semana, de domingo a sábado, em turnos de 7 horas entre as 7h e as 15h. Folgas a serem definidas (de acordo com a preferência"&amp;" do funcionário/necessidade do empregador). A semana de trabalho é utilizada para o cálculo do salário. Pagamento quinzenal. Horas extras podem estar disponíveis, mas não são garantidas, a US$ 30,80/hora. Número de horas por semana: 35. Horário de trabalh"&amp;"o (início/término): 7h às 15h).")</f>
        <v>Funções: Sob a supervisão direta do Supervisor de Cozinha, o Auxiliar de Cozinha (Lava-louças) lavará pratos, copos, talheres, panelas e frigideiras, utilizando máquinas de lavar louça ou manualmente. Removerá restos de comida dos pratos. Operará diversos tipos de máquinas de lavar louça e escorredores. Verificará e monitorará a clareza e a capacidade de sanitização da água de lavagem. Guardará pratos, utensílios e equipamentos de cozinha limpos nas áreas de armazenamento. Separará e removerá o lixo, colocando-o nas áreas de coleta designadas. Varrerá, passará pano e esfregará o chão. Manterá as áreas de trabalho da cozinha, equipamentos e utensílios limpos e organizados. Limpará as lixeiras com água ou vapor. Receberá e armazenará suprimentos. Abastecerá os suprimentos, como alimentos e utensílios, em estações de serviço, armários e geladeiras. Transferirá suprimentos ou equipamentos entre o armazenamento e as áreas de trabalho. Limpará ou preparará diversos alimentos para cozinhar e servir: Utilizando tábuas de corte, facas de chef, descascadores de legumes, raladores e recipientes de armazenamento, o Auxiliar de Cozinha (Lava-louças) em nossa organização realiza uma quantidade mínima de preparação de alimentos, incluindo lavar e descascar legumes e frutas, cortes básicos, picar e aparar sob supervisão. e porcionar e organizar os ingredientes para os cozinheiros. O auxiliar de cozinha garante que as mesas de preparo, tábuas de corte e facas estejam limpas e higienizadas. 1. Deve ser capaz de alcançar objetos acima da cabeça e trabalhar em diversas posições, incluindo, entre outras, ficar em pé por longos períodos. 2. Deve ser capaz de levantar no mínimo 13,6 kg. 3. Não há requisitos mínimos ou experiência. 4. Exame toxicológico e verificação de antecedentes criminais na contratação. Classificação do Cargo: 35-2021.00 - Auxiliares de Cozinha. A classificação e descrição do cargo/setor incluem informações gerais sobre a posição, de acordo com o ONET/OES e o Sistema de Classificação Industrial da América do Norte. Consulte as Funções e a Ordem de Serviço para obter mais informações. Requisitos do Cargo Experiência Necessária: Não. Requisitos Especiais: Exame toxicológico e verificação de antecedentes criminais na contratação. Condições de Trabalho: US$ 20,53/hora. Mínimo de 35 horas semanais. De segunda a sexta. Das 7h às 15h (horário variável: os funcionários trabalharão 5 dias por semana, de domingo a sábado, em turnos de 7 horas entre as 7h e as 15h. Folgas a serem definidas (de acordo com a preferência do funcionário/necessidade do empregador). A semana de trabalho é utilizada para o cálculo do salário. Pagamento quinzenal. Horas extras podem estar disponíveis, mas não são garantidas, a US$ 30,80/hora. Número de horas por semana: 35. Horário de trabalho (início/término): 7h às 15h).</v>
      </c>
    </row>
    <row r="1926" ht="20.25" customHeight="1">
      <c r="A1926" s="3" t="s">
        <v>8604</v>
      </c>
      <c r="B1926" s="3" t="s">
        <v>8605</v>
      </c>
      <c r="C1926" s="3" t="s">
        <v>4247</v>
      </c>
      <c r="D1926" s="3" t="s">
        <v>344</v>
      </c>
      <c r="E1926" s="4" t="s">
        <v>19</v>
      </c>
      <c r="F1926" s="4" t="s">
        <v>20</v>
      </c>
      <c r="G1926" s="4" t="s">
        <v>80</v>
      </c>
      <c r="H1926" s="3" t="s">
        <v>8606</v>
      </c>
      <c r="I1926" s="3" t="s">
        <v>8607</v>
      </c>
      <c r="J1926" s="4">
        <v>10.63</v>
      </c>
      <c r="K1926" s="4">
        <v>44.0</v>
      </c>
      <c r="L1926" s="3" t="s">
        <v>5664</v>
      </c>
      <c r="M1926" s="3" t="s">
        <v>8608</v>
      </c>
      <c r="N1926" s="7" t="str">
        <f>IFERROR(__xludf.DUMMYFUNCTION("GOOGLETRANSLATE(L1926, ""en"", ""pt"")"),"Atendente de Diversão e Recreação – Parque de Diversões Itinerante")</f>
        <v>Atendente de Diversão e Recreação – Parque de Diversões Itinerante</v>
      </c>
      <c r="O1926" s="7" t="str">
        <f>IFERROR(__xludf.DUMMYFUNCTION("IF(M1926="""","""",GOOGLETRANSLATE(M1926,""en"",""pt""))"),"Executar diversas tarefas em um parque de diversões itinerante, montando, desmontando e operando equipamentos (brinquedos, jogos e/ou barracas de comida). Pode vender ingressos e cobrar taxas dos clientes; fornecer informações sobre as instalações, regras"&amp;" e regulamentos; direcionar os clientes aos brinquedos, assentos ou atrações; monitorar as atividades para garantir o cumprimento das regras e procedimentos de segurança; auxiliar os clientes na entrada ou saída dos brinquedos; limpar brinquedos, barracas"&amp;", instalações ou terrenos; inspecionar equipamentos para detectar desgaste e danos e realizar pequenos reparos, ajustes ou tarefas de manutenção, como lubrificação de peças; fixar dispositivos de segurança para os clientes ou fornecer instruções sobre com"&amp;"o fixá-los; anunciar ou descrever as atrações do parque de diversões para atrair clientes para jogos e/ou outras formas de entretenimento; e vender e servir bebidas e lanches aos clientes. Classificação da função: 39-3091.00 - Atendentes de Parques de Div"&amp;"ersões e Recreação. A classificação e descrição da função/setor inclui informações gerais sobre o cargo, de acordo com o ONET/OES e o Sistema de Classificação Industrial da América do Norte. Consulte as Funções e a Ordem de Serviço para obter mais informa"&amp;"ções. Requisitos da vaga Experiência exigida: Não Requisitos especiais: Testes aleatórios de drogas e verificação de antecedentes criminais após a contratação poderão ser exigidos, sem custo para o trabalhador. A vaga exige que o candidato seja qualificad"&amp;"o, esteja pronto, disposto, apto e disponível para desempenhar as funções durante todo o período de emprego nos locais de trabalho designados; e para seguir as normas da empresa. Número de horas por semana: 40 Horário de trabalho (início/término): 13h às "&amp;"22h")</f>
        <v>Executar diversas tarefas em um parque de diversões itinerante, montando, desmontando e operando equipamentos (brinquedos, jogos e/ou barracas de comida). Pode vender ingressos e cobrar taxas dos clientes; fornecer informações sobre as instalações, regras e regulamentos; direcionar os clientes aos brinquedos, assentos ou atrações; monitorar as atividades para garantir o cumprimento das regras e procedimentos de segurança; auxiliar os clientes na entrada ou saída dos brinquedos; limpar brinquedos, barracas, instalações ou terrenos; inspecionar equipamentos para detectar desgaste e danos e realizar pequenos reparos, ajustes ou tarefas de manutenção, como lubrificação de peças; fixar dispositivos de segurança para os clientes ou fornecer instruções sobre como fixá-los; anunciar ou descrever as atrações do parque de diversões para atrair clientes para jogos e/ou outras formas de entretenimento; e vender e servir bebidas e lanches aos clientes. Classificação da função: 39-3091.00 - Atendentes de Parques de Diversões e Recreação. A classificação e descrição da função/setor inclui informações gerais sobre o cargo, de acordo com o ONET/OES e o Sistema de Classificação Industrial da América do Norte. Consulte as Funções e a Ordem de Serviço para obter mais informações. Requisitos da vaga Experiência exigida: Não Requisitos especiais: Testes aleatórios de drogas e verificação de antecedentes criminais após a contratação poderão ser exigidos, sem custo para o trabalhador. A vaga exige que o candidato seja qualificado, esteja pronto, disposto, apto e disponível para desempenhar as funções durante todo o período de emprego nos locais de trabalho designados; e para seguir as normas da empresa. Número de horas por semana: 40 Horário de trabalho (início/término): 13h às 22h</v>
      </c>
    </row>
    <row r="1927" ht="20.25" customHeight="1">
      <c r="A1927" s="8" t="s">
        <v>8609</v>
      </c>
      <c r="B1927" s="8" t="s">
        <v>8610</v>
      </c>
      <c r="C1927" s="8" t="s">
        <v>8478</v>
      </c>
      <c r="D1927" s="8" t="s">
        <v>71</v>
      </c>
      <c r="E1927" s="9" t="s">
        <v>19</v>
      </c>
      <c r="F1927" s="9" t="s">
        <v>20</v>
      </c>
      <c r="G1927" s="9" t="s">
        <v>524</v>
      </c>
      <c r="H1927" s="8" t="s">
        <v>8611</v>
      </c>
      <c r="I1927" s="8" t="s">
        <v>8612</v>
      </c>
      <c r="J1927" s="9">
        <v>15.26</v>
      </c>
      <c r="K1927" s="9">
        <v>15.0</v>
      </c>
      <c r="L1927" s="8" t="s">
        <v>8613</v>
      </c>
      <c r="M1927" s="8" t="s">
        <v>8614</v>
      </c>
      <c r="N1927" s="7" t="str">
        <f>IFERROR(__xludf.DUMMYFUNCTION("GOOGLETRANSLATE(L1927, ""en"", ""pt"")"),"Trabalhador braçal de palha de pinheiro")</f>
        <v>Trabalhador braçal de palha de pinheiro</v>
      </c>
      <c r="O1927" s="7" t="str">
        <f>IFERROR(__xludf.DUMMYFUNCTION("IF(M1927="""","""",GOOGLETRANSLATE(M1927,""en"",""pt""))"),"Trabalho manual de recolhimento, enfardamento, espalhamento e carregamento de palha de pinheiro em tratores, exclusivamente em fazendas. Utilização de ferramentas manuais como forcado e ancinhos. Quaisquer tarefas associadas ao Código SOC 45-2092. Classif"&amp;"icação da Função: 45-2092.00 - Trabalhadores Rurais e Operários, Cultivo, Viveiro e Estufa. A classificação e descrição da função/setor inclui informações gerais sobre o cargo, de acordo com o ONET/OES e o Sistema de Classificação Industrial da América do"&amp;" Norte. Consulte as Funções e a Ordem de Serviço para obter mais informações. Requisitos da Função Experiência Necessária: Não Requisitos Especiais: - Deve estar disposto e apto a tolerar temperaturas muito altas ou muito baixas. - Deve estar disposto e a"&amp;"pto a tolerar ruídos altos. - Deve ser capaz de caminhar longas distâncias ao longo do dia e realizar trabalho físico. - Deve ter disponibilidade durante todo o período do contrato. - Poderá ser realizado teste antidrogas pós-contratação, pago pelo empreg"&amp;"ador. Requisitos e Disposições Especiais: - Todos os locais de trabalho estão a uma distância que permite deslocamento de carro a partir do local de trabalho principal. - O empregador pagará o maior salário vigente em todos os locais de trabalho durante t"&amp;"odo o período de emprego. - O empregador poderá oferecer um bônus dependendo da experiência e do mérito. - O empregador poderá pagar por peça produzida a aproximadamente US$ 0,85 por rolo. - Os trabalhadores trabalharão em apenas um local por dia e, porta"&amp;"nto, o transporte diário não é necessário/fornecido. - O empregador não fornece alojamento. Número de horas por semana: 40. Horário de trabalho (início/término): 8h às 17h.")</f>
        <v>Trabalho manual de recolhimento, enfardamento, espalhamento e carregamento de palha de pinheiro em tratores, exclusivamente em fazendas. Utilização de ferramentas manuais como forcado e ancinhos. Quaisquer tarefas associadas ao Código SOC 45-2092. Classificação da Função: 45-2092.00 - Trabalhadores Rurais e Operários, Cultivo, Viveiro e Estufa. A classificação e descrição da função/setor inclui informações gerais sobre o cargo, de acordo com o ONET/OES e o Sistema de Classificação Industrial da América do Norte. Consulte as Funções e a Ordem de Serviço para obter mais informações. Requisitos da Função Experiência Necessária: Não Requisitos Especiais: - Deve estar disposto e apto a tolerar temperaturas muito altas ou muito baixas. - Deve estar disposto e apto a tolerar ruídos altos. - Deve ser capaz de caminhar longas distâncias ao longo do dia e realizar trabalho físico. - Deve ter disponibilidade durante todo o período do contrato. - Poderá ser realizado teste antidrogas pós-contratação, pago pelo empregador. Requisitos e Disposições Especiais: - Todos os locais de trabalho estão a uma distância que permite deslocamento de carro a partir do local de trabalho principal. - O empregador pagará o maior salário vigente em todos os locais de trabalho durante todo o período de emprego. - O empregador poderá oferecer um bônus dependendo da experiência e do mérito. - O empregador poderá pagar por peça produzida a aproximadamente US$ 0,85 por rolo. - Os trabalhadores trabalharão em apenas um local por dia e, portanto, o transporte diário não é necessário/fornecido. - O empregador não fornece alojamento. Número de horas por semana: 40. Horário de trabalho (início/término): 8h às 17h.</v>
      </c>
    </row>
    <row r="1928" ht="20.25" customHeight="1">
      <c r="A1928" s="3" t="s">
        <v>8615</v>
      </c>
      <c r="B1928" s="3" t="s">
        <v>8616</v>
      </c>
      <c r="C1928" s="3" t="s">
        <v>8478</v>
      </c>
      <c r="D1928" s="3" t="s">
        <v>64</v>
      </c>
      <c r="E1928" s="4" t="s">
        <v>19</v>
      </c>
      <c r="F1928" s="4" t="s">
        <v>20</v>
      </c>
      <c r="G1928" s="4" t="s">
        <v>56</v>
      </c>
      <c r="H1928" s="3" t="s">
        <v>8617</v>
      </c>
      <c r="I1928" s="3" t="s">
        <v>8618</v>
      </c>
      <c r="J1928" s="4">
        <v>12.58</v>
      </c>
      <c r="K1928" s="4">
        <v>50.0</v>
      </c>
      <c r="L1928" s="3" t="s">
        <v>6320</v>
      </c>
      <c r="M1928" s="3" t="s">
        <v>8619</v>
      </c>
      <c r="N1928" s="7" t="str">
        <f>IFERROR(__xludf.DUMMYFUNCTION("GOOGLETRANSLATE(L1928, ""en"", ""pt"")"),"Atendente de Parque de Diversões e Recreação")</f>
        <v>Atendente de Parque de Diversões e Recreação</v>
      </c>
      <c r="O1928" s="7" t="str">
        <f>IFERROR(__xludf.DUMMYFUNCTION("IF(M1928="""","""",GOOGLETRANSLATE(M1928,""en"",""pt""))"),"- Desempenhar diversas funções em um parque de diversões itinerante, auxiliando os clientes e prestando assistência nas concessões de jogos. - Fornecer informações sobre as instalações, regras e atrações. - Direcionar os clientes aos brinquedos, jogos ou "&amp;"atrações. - Monitorar as atividades dos clientes e relatar problemas de segurança aos supervisores. - Anunciar ou descrever as atrações aos clientes para incentivar a participação nos jogos. - Auxiliar os clientes nas barracas de diversão, entregando prêm"&amp;"ios e explicando as regras dos jogos. Classificação da vaga: 39-3091.00 - Atendentes de Diversão e Recreação. A classificação e descrição da vaga/setor incluem informações gerais sobre o cargo, de acordo com o ONET/OES e o Sistema de Classificação Industr"&amp;"ial da América do Norte. Consulte as Funções e a Ordem de Serviço para obter mais informações. Requisitos da vaga Experiência necessária: Não Requisitos especiais: - Disponibilidade para viajar a cada 2-3 dias. - Caso a hospedagem seja fornecida pelo empr"&amp;"egador, disponibilidade para dormir em beliches de trailers com espaço reduzido para 4,6 m² por pessoa e instalações mínimas para cozinhar. - Disponibilidade para todo o período do contrato. - Deve ser capaz de levantar pelo menos 23 kg e realizar trabalh"&amp;"o físico. - Poderá ser realizado teste antidrogas pós-contratação, pago pelo empregador. Requisitos e Disposições Especiais: - Horário variável (dias da semana e turnos). Horas extras poderão ser oferecidas. Poderá ser necessário trabalhar nos fins de sem"&amp;"ana. - O itinerário começa no condado de Harris. - O trabalho será realizado em diversos locais (consulte a lista de todos os condados incluídos no itinerário para referência). - Viagens diárias ou semanais periódicas. O itinerário está sujeito a alteraçõ"&amp;"es dependendo das condições climáticas e de fatores externos. - Todas as datas de início e término no Anexo A refletem as datas de início e término da inscrição para proporcionar flexibilidade ao empregador em relação ao itinerário. - O salário por hora d"&amp;"epende da localização. Consulte o Anexo A para obter detalhes. - Horas extras poderão ser oferecidas além de 40 horas semanais; no entanto, o empregador está isento do pagamento de horas extras federais, de acordo com a Seção 13(a)(3) da FLSA. O empregado"&amp;"r cumprirá quaisquer requisitos estaduais ou locais relativos a horas extras, se necessário. - O empregador pagará o maior salário vigente em cada local de trabalho durante todo o período de emprego. - O empregador poderá oferecer um bônus dependendo da e"&amp;"xperiência e do mérito. - O transporte diário para todos os locais de trabalho a partir do local de trabalho principal é fornecido. - O empregador oferece moradia opcional aos trabalhadores. - Dedução: N/A - Moradia e transporte opcionais fornecidos gratu"&amp;"itamente. Número de horas por semana: 40. Horário de trabalho (início/término): 13h00 - 22h00.")</f>
        <v>- Desempenhar diversas funções em um parque de diversões itinerante, auxiliando os clientes e prestando assistência nas concessões de jogos. - Fornecer informações sobre as instalações, regras e atrações. - Direcionar os clientes aos brinquedos, jogos ou atrações. - Monitorar as atividades dos clientes e relatar problemas de segurança aos supervisores. - Anunciar ou descrever as atrações aos clientes para incentivar a participação nos jogos. - Auxiliar os clientes nas barracas de diversão, entregando prêmios e explicando as regras dos jogos. Classificação da vaga: 39-3091.00 - Atendentes de Diversão e Recreação. A classificação e descrição da vaga/setor incluem informações gerais sobre o cargo, de acordo com o ONET/OES e o Sistema de Classificação Industrial da América do Norte. Consulte as Funções e a Ordem de Serviço para obter mais informações. Requisitos da vaga Experiência necessária: Não Requisitos especiais: - Disponibilidade para viajar a cada 2-3 dias. - Caso a hospedagem seja fornecida pelo empregador, disponibilidade para dormir em beliches de trailers com espaço reduzido para 4,6 m² por pessoa e instalações mínimas para cozinhar. - Disponibilidade para todo o período do contrato. - Deve ser capaz de levantar pelo menos 23 kg e realizar trabalho físico. - Poderá ser realizado teste antidrogas pós-contratação, pago pelo empregador. Requisitos e Disposições Especiais: - Horário variável (dias da semana e turnos). Horas extras poderão ser oferecidas. Poderá ser necessário trabalhar nos fins de semana. - O itinerário começa no condado de Harris. - O trabalho será realizado em diversos locais (consulte a lista de todos os condados incluídos no itinerário para referência). - Viagens diárias ou semanais periódicas. O itinerário está sujeito a alterações dependendo das condições climáticas e de fatores externos. - Todas as datas de início e término no Anexo A refletem as datas de início e término da inscrição para proporcionar flexibilidade ao empregador em relação ao itinerário. - O salário por hora depende da localização. Consulte o Anexo A para obter detalhes. - Horas extras poderão ser oferecidas além de 40 horas semanais; no entanto, o empregador está isento do pagamento de horas extras federais, de acordo com a Seção 13(a)(3) da FLSA. O empregador cumprirá quaisquer requisitos estaduais ou locais relativos a horas extras, se necessário. - O empregador pagará o maior salário vigente em cada local de trabalho durante todo o período de emprego. - O empregador poderá oferecer um bônus dependendo da experiência e do mérito. - O transporte diário para todos os locais de trabalho a partir do local de trabalho principal é fornecido. - O empregador oferece moradia opcional aos trabalhadores. - Dedução: N/A - Moradia e transporte opcionais fornecidos gratuitamente. Número de horas por semana: 40. Horário de trabalho (início/término): 13h00 - 22h00.</v>
      </c>
    </row>
    <row r="1929" ht="20.25" customHeight="1">
      <c r="A1929" s="8" t="s">
        <v>8620</v>
      </c>
      <c r="B1929" s="8" t="s">
        <v>8621</v>
      </c>
      <c r="C1929" s="8" t="s">
        <v>8478</v>
      </c>
      <c r="D1929" s="8" t="s">
        <v>249</v>
      </c>
      <c r="E1929" s="9" t="s">
        <v>19</v>
      </c>
      <c r="F1929" s="9" t="s">
        <v>20</v>
      </c>
      <c r="G1929" s="9" t="s">
        <v>285</v>
      </c>
      <c r="H1929" s="8" t="s">
        <v>8622</v>
      </c>
      <c r="I1929" s="8" t="s">
        <v>8623</v>
      </c>
      <c r="J1929" s="9">
        <v>21.18</v>
      </c>
      <c r="K1929" s="9">
        <v>6.0</v>
      </c>
      <c r="L1929" s="8" t="s">
        <v>8624</v>
      </c>
      <c r="M1929" s="8" t="s">
        <v>8625</v>
      </c>
      <c r="N1929" s="7" t="str">
        <f>IFERROR(__xludf.DUMMYFUNCTION("GOOGLETRANSLATE(L1929, ""en"", ""pt"")"),"Representante de Serviço de Entrega")</f>
        <v>Representante de Serviço de Entrega</v>
      </c>
      <c r="O1929" s="7" t="str">
        <f>IFERROR(__xludf.DUMMYFUNCTION("IF(M1929="""","""",GOOGLETRANSLATE(M1929,""en"",""pt""))"),"***Resposta à Solicitação de Informações*** Os funcionários manuseiam itens e suprimentos para locação de eventos, incluindo pratos, copos, toalhas de mesa, cadeiras e mesas portáteis e equipamentos portáteis para serviço de alimentação. Eles são responsá"&amp;"veis ​​pelos pedidos de locação dos clientes, pela colocação, organização e posterior remoção e recarregamento dos itens alugados nos locais dos eventos. Os funcionários preparam os itens para entrega aos clientes, incluindo pratos, copos, toalhas de mesa"&amp;", seções portáteis de pista de dança e cadeiras e mesas portáteis. Esses mesmos funcionários também colocam os itens alugados nos veículos de entrega e os removem no depósito da empresa. Os funcionários utilizam equipamentos manuais, incluindo carrinhos d"&amp;"e mão de duas rodas, carrinhos de móveis de quatro rodas, carrinhos utilitários planos e carrinhos com rodas similares para movimentar os itens alugados. Esta função não se aplica às nossas operações. Os funcionários não manuseiam bicos industriais, siste"&amp;"mas de esteiras transportadoras, materiais a granel, caixas ou recipientes similares associados a operações de frete, fabricação ou distribuição em armazém. A expressão ""Direct spouts"" (direto em bicos) é um erro de digitação e deveria ser ""Entregar fr"&amp;"etes"", manuseando, colocando, removendo e devolvendo manualmente os itens e suprimentos temporários alugados para eventos no local do cliente. Os funcionários podem transportar e posicionar manualmente os itens de aluguel para eventos nos locais dos even"&amp;"tos dos clientes, onde carrinhos ou plataformas com rodas não podem ser usados. Os funcionários não operam equipamentos motorizados nos locais dos eventos dos clientes. Os funcionários não usarão empilhadeiras. Esta responsabilidade envolve a limpeza, ree"&amp;"mbalagem, organização e devolução dos itens de aluguel para eventos aos seus locais de armazenamento designados após o uso pelo cliente, para que os itens permaneçam protegidos e disponíveis para aluguéis futuros. Os funcionários não realizam reparos mecâ"&amp;"nicos, manutenção ou reparos em equipamentos ou máquinas. ***Original F.a.2*** Pode incluir, entre outras atividades: - Mover itens de aluguel para eventos (carga) ou outros materiais de e para locais de armazenamento ou eventos. - Separar a carga antes d"&amp;"o carregamento e descarregamento. - Anexar etiquetas de identificação aos contêineres ou marcá-los com informações de identificação. - Ler ordens de serviço ou receber instruções verbais para determinar as tarefas de trabalho ou as necessidades de materia"&amp;"is ou equipamentos. - Registrar o número de unidades manuseadas ou movidas, usando planilhas de produção diárias ou ordens de serviço. - Instalar dispositivos de proteção, como escoras, acolchoamento ou cintas, para evitar deslocamento ou danos aos itens "&amp;"transportados. - Direcionar bicos e posicionar recipientes, como caixas, carrinhos ou contêineres, para que possam ser carregados. - Fixar cintas, ganchos ou outros dispositivos para levantar e guiar cargas. - Manter as áreas de armazenamento de equipamen"&amp;"tos para garantir a proteção do estoque. Classificação da Função: 53-7062.00 - Operários e Movimentadores de Carga, Estoque e Materiais. A classificação e descrição da função/setor inclui informações gerais sobre o cargo, de acordo com o ONET/OES e o Sist"&amp;"ema de Classificação Industrial da América do Norte (NAICS). Consulte as Funções e a Ordem de Serviço para obter mais informações. Requisitos da Função Experiência Necessária: Sim Meses de Experiência Necessários: 12 Requisitos Especiais: - Deve estar dis"&amp;"posto e apto a tolerar temperaturas muito altas ou muito baixas. - Deve ter disponibilidade durante todo o período do contrato. - Deve ser capaz de levantar pelo menos 45 kg (100 libras) com a ajuda de duas pessoas e realizar trabalho físico. - Pode ser n"&amp;"ecessário realizar teste antidrogas após a contratação, pago pelo empregador. Requisitos e Disposições Especiais: - A escala de trabalho varia (dias da semana e turnos). Horas extras podem ser oferecidas. Poderá ser necessário trabalhar aos fins de semana"&amp;". A equipe poderá ser dividida entre turnos de fim de semana e diurnos. - Todos os locais de trabalho estão a uma distância que permite deslocamento de carro a partir do local de trabalho principal. - O empregador pagará o maior salário vigente em todos o"&amp;"s locais de trabalho durante todo o período de emprego. - O empregador poderá oferecer um bônus dependendo da experiência e do mérito. - O transporte diário para todos os locais de trabalho a partir do local de trabalho principal é fornecido. - O empregad"&amp;"or oferece alojamento opcional para os trabalhadores que não residem a uma distância que permita deslocamento razoável até o local de trabalho principal. O custo do alojamento é de US$ 350 por mês. Número de horas por semana: 45. Horário de trabalho (iníc"&amp;"io/término): 7h30 - 16h.")</f>
        <v>***Resposta à Solicitação de Informações*** Os funcionários manuseiam itens e suprimentos para locação de eventos, incluindo pratos, copos, toalhas de mesa, cadeiras e mesas portáteis e equipamentos portáteis para serviço de alimentação. Eles são responsáveis ​​pelos pedidos de locação dos clientes, pela colocação, organização e posterior remoção e recarregamento dos itens alugados nos locais dos eventos. Os funcionários preparam os itens para entrega aos clientes, incluindo pratos, copos, toalhas de mesa, seções portáteis de pista de dança e cadeiras e mesas portáteis. Esses mesmos funcionários também colocam os itens alugados nos veículos de entrega e os removem no depósito da empresa. Os funcionários utilizam equipamentos manuais, incluindo carrinhos de mão de duas rodas, carrinhos de móveis de quatro rodas, carrinhos utilitários planos e carrinhos com rodas similares para movimentar os itens alugados. Esta função não se aplica às nossas operações. Os funcionários não manuseiam bicos industriais, sistemas de esteiras transportadoras, materiais a granel, caixas ou recipientes similares associados a operações de frete, fabricação ou distribuição em armazém. A expressão "Direct spouts" (direto em bicos) é um erro de digitação e deveria ser "Entregar fretes", manuseando, colocando, removendo e devolvendo manualmente os itens e suprimentos temporários alugados para eventos no local do cliente. Os funcionários podem transportar e posicionar manualmente os itens de aluguel para eventos nos locais dos eventos dos clientes, onde carrinhos ou plataformas com rodas não podem ser usados. Os funcionários não operam equipamentos motorizados nos locais dos eventos dos clientes. Os funcionários não usarão empilhadeiras. Esta responsabilidade envolve a limpeza, reembalagem, organização e devolução dos itens de aluguel para eventos aos seus locais de armazenamento designados após o uso pelo cliente, para que os itens permaneçam protegidos e disponíveis para aluguéis futuros. Os funcionários não realizam reparos mecânicos, manutenção ou reparos em equipamentos ou máquinas. ***Original F.a.2*** Pode incluir, entre outras atividades: - Mover itens de aluguel para eventos (carga) ou outros materiais de e para locais de armazenamento ou eventos. - Separar a carga antes do carregamento e descarregamento. - Anexar etiquetas de identificação aos contêineres ou marcá-los com informações de identificação. - Ler ordens de serviço ou receber instruções verbais para determinar as tarefas de trabalho ou as necessidades de materiais ou equipamentos. - Registrar o número de unidades manuseadas ou movidas, usando planilhas de produção diárias ou ordens de serviço. - Instalar dispositivos de proteção, como escoras, acolchoamento ou cintas, para evitar deslocamento ou danos aos itens transportados. - Direcionar bicos e posicionar recipientes, como caixas, carrinhos ou contêineres, para que possam ser carregados. - Fixar cintas, ganchos ou outros dispositivos para levantar e guiar cargas. - Manter as áreas de armazenamento de equipamentos para garantir a proteção do estoque. Classificação da Função: 53-7062.00 - Operários e Movimentadores de Carga, Estoque e Materiais. A classificação e descrição da função/setor inclui informações gerais sobre o cargo, de acordo com o ONET/OES e o Sistema de Classificação Industrial da América do Norte (NAICS). Consulte as Funções e a Ordem de Serviço para obter mais informações. Requisitos da Função Experiência Necessária: Sim Meses de Experiência Necessários: 12 Requisitos Especiais: - Deve estar disposto e apto a tolerar temperaturas muito altas ou muito baixas. - Deve ter disponibilidade durante todo o período do contrato. - Deve ser capaz de levantar pelo menos 45 kg (100 libras) com a ajuda de duas pessoas e realizar trabalho físico. - Pode ser necessário realizar teste antidrogas após a contratação, pago pelo empregador. Requisitos e Disposições Especiais: - A escala de trabalho varia (dias da semana e turnos). Horas extras podem ser oferecidas. Poderá ser necessário trabalhar aos fins de semana. A equipe poderá ser dividida entre turnos de fim de semana e diurnos. - Todos os locais de trabalho estão a uma distância que permite deslocamento de carro a partir do local de trabalho principal. - O empregador pagará o maior salário vigente em todos os locais de trabalho durante todo o período de emprego. - O empregador poderá oferecer um bônus dependendo da experiência e do mérito. - O transporte diário para todos os locais de trabalho a partir do local de trabalho principal é fornecido. - O empregador oferece alojamento opcional para os trabalhadores que não residem a uma distância que permita deslocamento razoável até o local de trabalho principal. O custo do alojamento é de US$ 350 por mês. Número de horas por semana: 45. Horário de trabalho (início/término): 7h30 - 16h.</v>
      </c>
    </row>
    <row r="1930" ht="20.25" customHeight="1">
      <c r="A1930" s="3" t="s">
        <v>8626</v>
      </c>
      <c r="B1930" s="3" t="s">
        <v>8627</v>
      </c>
      <c r="C1930" s="3" t="s">
        <v>8628</v>
      </c>
      <c r="D1930" s="3" t="s">
        <v>28</v>
      </c>
      <c r="E1930" s="4" t="s">
        <v>19</v>
      </c>
      <c r="F1930" s="4" t="s">
        <v>20</v>
      </c>
      <c r="G1930" s="4" t="s">
        <v>524</v>
      </c>
      <c r="H1930" s="3" t="s">
        <v>8629</v>
      </c>
      <c r="I1930" s="3" t="s">
        <v>8630</v>
      </c>
      <c r="J1930" s="4">
        <v>25.0</v>
      </c>
      <c r="K1930" s="4">
        <v>1.0</v>
      </c>
      <c r="L1930" s="3" t="s">
        <v>8631</v>
      </c>
      <c r="M1930" s="3" t="s">
        <v>8632</v>
      </c>
      <c r="N1930" s="7" t="str">
        <f>IFERROR(__xludf.DUMMYFUNCTION("GOOGLETRANSLATE(L1930, ""en"", ""pt"")"),"Guia turístico que fala espanhol")</f>
        <v>Guia turístico que fala espanhol</v>
      </c>
      <c r="O1930" s="7" t="str">
        <f>IFERROR(__xludf.DUMMYFUNCTION("IF(M1930="""","""",GOOGLETRANSLATE(M1930,""en"",""pt""))"),"1. Conduzir visitas guiadas a pé para turistas de língua espanhola em áreas históricas e culturais designadas de Nova Orleans, utilizando roteiros estabelecidos e procedimentos aprovados. 2. Auxiliar visitantes de língua espanhola, oferecendo suporte ling"&amp;"uístico, atendimento ao cliente e orientação durante atividades turísticas programadas e visitas a pé. 3. Fornecer informações históricas, culturais, arquitetônicas e turísticas sobre pontos turísticos, tradições, bairros, festivais e atrações locais de N"&amp;"ova Orleans. 4. Acompanhar e guiar grupos de turistas por roteiros predeterminados, garantindo o cumprimento dos procedimentos operacionais e de segurança estabelecidos pela empresa. 5. Contribuir para uma experiência positiva do cliente durante as visita"&amp;"s programadas, respondendo a perguntas dos visitantes, auxiliando na coordenação da visita e mantendo padrões profissionais de atendimento ao cliente. 6. Auxiliar nas operações turísticas e atividades de atendimento ao cliente durante períodos de alta dem"&amp;"anda turística recorrentes, incluindo o Mardi Gras, o Festival de Jazz, as temporadas de férias, o aumento do turismo de cruzeiros e outros eventos turísticos sazonais em Nova Orleans. Classificação da Função: 27-3091.00 - Intérpretes e Tradutores. A clas"&amp;"sificação e descrição da função/setor inclui informações gerais sobre o cargo, de acordo com o ONET/OES e o Sistema de Classificação Industrial da América do Norte. Consulte as Funções e a Ordem de Serviço para obter mais informações. Requisitos da Função"&amp;": Experiência Necessária: Não. Requisitos Especiais: O cargo exige a capacidade de obter e manter a licença de guia turístico aplicável em Nova Orleans para conduzir atividades turísticas guiadas na cidade. Fluência em espanhol e inglês. Número de Horas p"&amp;"or Semana: 40. Horário de Trabalho (Início/Término): 9h às 17h.")</f>
        <v>1. Conduzir visitas guiadas a pé para turistas de língua espanhola em áreas históricas e culturais designadas de Nova Orleans, utilizando roteiros estabelecidos e procedimentos aprovados. 2. Auxiliar visitantes de língua espanhola, oferecendo suporte linguístico, atendimento ao cliente e orientação durante atividades turísticas programadas e visitas a pé. 3. Fornecer informações históricas, culturais, arquitetônicas e turísticas sobre pontos turísticos, tradições, bairros, festivais e atrações locais de Nova Orleans. 4. Acompanhar e guiar grupos de turistas por roteiros predeterminados, garantindo o cumprimento dos procedimentos operacionais e de segurança estabelecidos pela empresa. 5. Contribuir para uma experiência positiva do cliente durante as visitas programadas, respondendo a perguntas dos visitantes, auxiliando na coordenação da visita e mantendo padrões profissionais de atendimento ao cliente. 6. Auxiliar nas operações turísticas e atividades de atendimento ao cliente durante períodos de alta demanda turística recorrentes, incluindo o Mardi Gras, o Festival de Jazz, as temporadas de férias, o aumento do turismo de cruzeiros e outros eventos turísticos sazonais em Nova Orleans. Classificação da Função: 27-3091.00 - Intérpretes e Tradutores. A classificação e descrição da função/setor inclui informações gerais sobre o cargo, de acordo com o ONET/OES e o Sistema de Classificação Industrial da América do Norte. Consulte as Funções e a Ordem de Serviço para obter mais informações. Requisitos da Função: Experiência Necessária: Não. Requisitos Especiais: O cargo exige a capacidade de obter e manter a licença de guia turístico aplicável em Nova Orleans para conduzir atividades turísticas guiadas na cidade. Fluência em espanhol e inglês. Número de Horas por Semana: 40. Horário de Trabalho (Início/Término): 9h às 17h.</v>
      </c>
    </row>
    <row r="1931" ht="20.25" customHeight="1">
      <c r="A1931" s="8" t="s">
        <v>8633</v>
      </c>
      <c r="B1931" s="8" t="s">
        <v>8634</v>
      </c>
      <c r="C1931" s="8" t="s">
        <v>7431</v>
      </c>
      <c r="D1931" s="8" t="s">
        <v>71</v>
      </c>
      <c r="E1931" s="9" t="s">
        <v>19</v>
      </c>
      <c r="F1931" s="9" t="s">
        <v>20</v>
      </c>
      <c r="G1931" s="9" t="s">
        <v>7174</v>
      </c>
      <c r="H1931" s="8" t="s">
        <v>8635</v>
      </c>
      <c r="I1931" s="8" t="s">
        <v>8636</v>
      </c>
      <c r="J1931" s="9">
        <v>36.84</v>
      </c>
      <c r="K1931" s="9">
        <v>1.0</v>
      </c>
      <c r="L1931" s="8" t="s">
        <v>8637</v>
      </c>
      <c r="M1931" s="8" t="s">
        <v>8638</v>
      </c>
      <c r="N1931" s="7" t="str">
        <f>IFERROR(__xludf.DUMMYFUNCTION("GOOGLETRANSLATE(L1931, ""en"", ""pt"")"),"Especialista em Desenvolvimento")</f>
        <v>Especialista em Desenvolvimento</v>
      </c>
      <c r="O1931" s="7" t="str">
        <f>IFERROR(__xludf.DUMMYFUNCTION("IF(M1931="""","""",GOOGLETRANSLATE(M1931,""en"",""pt""))"),"Avaliar as necessidades de treinamento operacional da empresa em todos os departamentos e níveis hierárquicos. Desenvolver e elaborar programas de treinamento, procedimentos operacionais padrão e materiais didáticos abrangendo o recebimento de casos, o ge"&amp;"renciamento de casos, a comunicação com o cliente, os procedimentos de faturamento e os fluxos de trabalho de coordenação com contratados. Ministrar treinamentos para advogados, paralegais, assistentes jurídicos e equipe administrativa. Avaliar a eficácia"&amp;" dos treinamentos e revisar os materiais com base no feedback dos participantes e nos resultados operacionais. Compilar todos os materiais de treinamento e procedimentos operacionais em um manual de operações permanente da empresa para uso interno contínu"&amp;"o. Coordenar com os líderes de departamento para identificar lacunas de conhecimento e alinhar o conteúdo do treinamento aos padrões operacionais da empresa. Manter registros das atividades de treinamento, participação e conclusão em todos os níveis hierá"&amp;"rquicos. Preparar a equipe existente para manter e operar todos os sistemas de forma independente após a conclusão do projeto. Classificação da vaga: 13-1151.00 - Especialistas em Treinamento e Desenvolvimento. A classificação e descrição da vaga/setor in"&amp;"cluem informações gerais sobre o cargo, de acordo com o ONET/OES e o Sistema de Classificação Industrial da América do Norte. Consulte as atribuições e a descrição da vaga para obter mais informações. Requisitos da Vaga Experiência Necessária: Sim Meses d"&amp;"e Experiência Necessários: 24 Requisitos Especiais: Bacharelado em Recursos Humanos, Direito ou área correlata. Mínimo de 24 meses de experiência em treinamento, desenvolvimento ou função similar. Capacidade de levantar e carregar pesos suficientes para m"&amp;"ovimentar materiais necessários à execução das tarefas designadas. Inglês em nível intermediário. Utilização de equipamentos de escritório, incluindo computadores, softwares de apresentação, sistemas de gestão de aprendizagem e plataformas de gerenciament"&amp;"o de documentos. 40 horas semanais, 5 dias por semana, das 9h às 18h. O horário típico é de segunda a sexta-feira. O horário pode variar e incluir noites, fins de semana ou feriados, conforme necessário. O empregador se baseará nas declarações e observaçõ"&amp;"es do próprio funcionário para avaliar se ele atende aos requisitos de capacidade física aqui descritos. Número de Horas por Semana: 40 Horário de Trabalho (Início/Término): 9h às 18h")</f>
        <v>Avaliar as necessidades de treinamento operacional da empresa em todos os departamentos e níveis hierárquicos. Desenvolver e elaborar programas de treinamento, procedimentos operacionais padrão e materiais didáticos abrangendo o recebimento de casos, o gerenciamento de casos, a comunicação com o cliente, os procedimentos de faturamento e os fluxos de trabalho de coordenação com contratados. Ministrar treinamentos para advogados, paralegais, assistentes jurídicos e equipe administrativa. Avaliar a eficácia dos treinamentos e revisar os materiais com base no feedback dos participantes e nos resultados operacionais. Compilar todos os materiais de treinamento e procedimentos operacionais em um manual de operações permanente da empresa para uso interno contínuo. Coordenar com os líderes de departamento para identificar lacunas de conhecimento e alinhar o conteúdo do treinamento aos padrões operacionais da empresa. Manter registros das atividades de treinamento, participação e conclusão em todos os níveis hierárquicos. Preparar a equipe existente para manter e operar todos os sistemas de forma independente após a conclusão do projeto. Classificação da vaga: 13-1151.00 - Especialistas em Treinamento e Desenvolvimento. A classificação e descrição da vaga/setor incluem informações gerais sobre o cargo, de acordo com o ONET/OES e o Sistema de Classificação Industrial da América do Norte. Consulte as atribuições e a descrição da vaga para obter mais informações. Requisitos da Vaga Experiência Necessária: Sim Meses de Experiência Necessários: 24 Requisitos Especiais: Bacharelado em Recursos Humanos, Direito ou área correlata. Mínimo de 24 meses de experiência em treinamento, desenvolvimento ou função similar. Capacidade de levantar e carregar pesos suficientes para movimentar materiais necessários à execução das tarefas designadas. Inglês em nível intermediário. Utilização de equipamentos de escritório, incluindo computadores, softwares de apresentação, sistemas de gestão de aprendizagem e plataformas de gerenciamento de documentos. 40 horas semanais, 5 dias por semana, das 9h às 18h. O horário típico é de segunda a sexta-feira. O horário pode variar e incluir noites, fins de semana ou feriados, conforme necessário. O empregador se baseará nas declarações e observações do próprio funcionário para avaliar se ele atende aos requisitos de capacidade física aqui descritos. Número de Horas por Semana: 40 Horário de Trabalho (Início/Término): 9h às 18h</v>
      </c>
    </row>
    <row r="1932" ht="20.25" customHeight="1">
      <c r="A1932" s="3" t="s">
        <v>8639</v>
      </c>
      <c r="B1932" s="3" t="s">
        <v>8640</v>
      </c>
      <c r="C1932" s="3" t="s">
        <v>8641</v>
      </c>
      <c r="D1932" s="3" t="s">
        <v>28</v>
      </c>
      <c r="E1932" s="4" t="s">
        <v>19</v>
      </c>
      <c r="F1932" s="4" t="s">
        <v>20</v>
      </c>
      <c r="G1932" s="4" t="s">
        <v>72</v>
      </c>
      <c r="H1932" s="3" t="s">
        <v>8642</v>
      </c>
      <c r="I1932" s="3" t="s">
        <v>8643</v>
      </c>
      <c r="J1932" s="4">
        <v>16.22</v>
      </c>
      <c r="K1932" s="4">
        <v>4.0</v>
      </c>
      <c r="L1932" s="3" t="s">
        <v>406</v>
      </c>
      <c r="M1932" s="3" t="s">
        <v>8644</v>
      </c>
      <c r="N1932" s="7" t="str">
        <f>IFERROR(__xludf.DUMMYFUNCTION("GOOGLETRANSLATE(L1932, ""en"", ""pt"")"),"Trabalhador")</f>
        <v>Trabalhador</v>
      </c>
      <c r="O1932" s="7" t="str">
        <f>IFERROR(__xludf.DUMMYFUNCTION("IF(M1932="""","""",GOOGLETRANSLATE(M1932,""en"",""pt""))"),"**RFI** O funcionário utilizará principalmente as mãos para movimentar cargas, estoques ou outros materiais de e para áreas de armazenamento ou produção, veículos de entrega ou contêineres. Ocasionalmente, poderá utilizar um transpalete ou empilhadeira pa"&amp;"ra movimentar uma quantidade maior de estoque/materiais. **Original** Manter as áreas de armazenamento de produtos para garantir a proteção do estoque; revisar ordens de serviço ou receber instruções verbais; movimentar cargas, estoques ou outros materiai"&amp;"s de e para áreas de armazenamento ou produção, veículos de entrega ou contêineres, manualmente ou utilizando caminhões, tratores ou outros equipamentos; separar os produtos antes do carregamento e descarregamento; cortar/aparar materiais de acordo com os"&amp;" padrões (tela, arame e plástico) com ferramentas manuais, como estilete, faca e alicate para anéis em C; fixar anéis em C/ganchos para montar armadilhas para lagostins e caranguejos, utilizando ferramentas manuais; inspecionar os produtos em busca de dan"&amp;"os; registrar o número de unidades manuseadas ou movimentadas, utilizando planilhas de produção diárias ou ordens de serviço; transportar as ferramentas ou suprimentos necessários do estoque e devolvê-los após o uso; limpar o local de trabalho. Classifica"&amp;"ção da vaga: 53-7065.00 - Estoquistas e Separadores de Pedidos. A classificação e descrição da vaga/setor inclui informações gerais sobre a posição, de acordo com o ONET/OES e o Sistema de Classificação Industrial da América do Norte (NAICS). Consulte as "&amp;"Funções e a Ordem de Serviço para obter mais informações. Requisitos da vaga: Experiência necessária: Não. Requisitos especiais: Capacidade de levantar 18 kg; Movimentos repetitivos; Pode ser submetido a exames toxicológicos aleatórios na admissão, pagos "&amp;"pelo empregador, e/ou a exames toxicológicos pagos pelo empregador caso surjam suspeitas razoáveis ​​durante o emprego. Este é um ambiente de trabalho livre de drogas. Número de horas por semana: 35. Horário de trabalho (início/término): 8h às 16h.")</f>
        <v>**RFI** O funcionário utilizará principalmente as mãos para movimentar cargas, estoques ou outros materiais de e para áreas de armazenamento ou produção, veículos de entrega ou contêineres. Ocasionalmente, poderá utilizar um transpalete ou empilhadeira para movimentar uma quantidade maior de estoque/materiais. **Original** Manter as áreas de armazenamento de produtos para garantir a proteção do estoque; revisar ordens de serviço ou receber instruções verbais; movimentar cargas, estoques ou outros materiais de e para áreas de armazenamento ou produção, veículos de entrega ou contêineres, manualmente ou utilizando caminhões, tratores ou outros equipamentos; separar os produtos antes do carregamento e descarregamento; cortar/aparar materiais de acordo com os padrões (tela, arame e plástico) com ferramentas manuais, como estilete, faca e alicate para anéis em C; fixar anéis em C/ganchos para montar armadilhas para lagostins e caranguejos, utilizando ferramentas manuais; inspecionar os produtos em busca de danos; registrar o número de unidades manuseadas ou movimentadas, utilizando planilhas de produção diárias ou ordens de serviço; transportar as ferramentas ou suprimentos necessários do estoque e devolvê-los após o uso; limpar o local de trabalho. Classificação da vaga: 53-7065.00 - Estoquistas e Separadores de Pedidos. A classificação e descrição da vaga/setor inclui informações gerais sobre a posição, de acordo com o ONET/OES e o Sistema de Classificação Industrial da América do Norte (NAICS). Consulte as Funções e a Ordem de Serviço para obter mais informações. Requisitos da vaga: Experiência necessária: Não. Requisitos especiais: Capacidade de levantar 18 kg; Movimentos repetitivos; Pode ser submetido a exames toxicológicos aleatórios na admissão, pagos pelo empregador, e/ou a exames toxicológicos pagos pelo empregador caso surjam suspeitas razoáveis ​​durante o emprego. Este é um ambiente de trabalho livre de drogas. Número de horas por semana: 35. Horário de trabalho (início/término): 8h às 16h.</v>
      </c>
    </row>
    <row r="1933" ht="20.25" customHeight="1">
      <c r="A1933" s="8" t="s">
        <v>8645</v>
      </c>
      <c r="B1933" s="8" t="s">
        <v>8318</v>
      </c>
      <c r="C1933" s="8" t="s">
        <v>8319</v>
      </c>
      <c r="D1933" s="8" t="s">
        <v>87</v>
      </c>
      <c r="E1933" s="9" t="s">
        <v>19</v>
      </c>
      <c r="F1933" s="9" t="s">
        <v>20</v>
      </c>
      <c r="G1933" s="9" t="s">
        <v>80</v>
      </c>
      <c r="H1933" s="8" t="s">
        <v>8320</v>
      </c>
      <c r="I1933" s="8" t="s">
        <v>8321</v>
      </c>
      <c r="J1933" s="9">
        <v>17.11</v>
      </c>
      <c r="K1933" s="9">
        <v>40.0</v>
      </c>
      <c r="L1933" s="8" t="s">
        <v>8322</v>
      </c>
      <c r="M1933" s="8" t="s">
        <v>8323</v>
      </c>
      <c r="N1933" s="7" t="str">
        <f>IFERROR(__xludf.DUMMYFUNCTION("GOOGLETRANSLATE(L1933, ""en"", ""pt"")"),"Trabalhadores de paisagismo e manutenção de jardins")</f>
        <v>Trabalhadores de paisagismo e manutenção de jardins</v>
      </c>
      <c r="O1933" s="7" t="str">
        <f>IFERROR(__xludf.DUMMYFUNCTION("IF(M1933="""","""",GOOGLETRANSLATE(M1933,""en"",""pt""))"),"Realizar a manutenção ou jardinagem de propriedades utilizando ferramentas manuais ou elétricas. Os trabalhadores geralmente executam uma variedade de tarefas manuais, como colocação de grama, corte de grama, poda, plantio, rega, escavação, rastelagem, in"&amp;"stalação e reparo de sistemas de irrigação. Podem operar ferramentas elétricas e equipamentos de jardinagem, como cortadores de grama manuais, porém a maior parte do trabalho é realizada com ferramentas manuais, como pás, ancinhos e tesouras de poda. Todo"&amp;" o trabalho é realizado ao ar livre, em todos os tipos de condições climáticas. Os trabalhadores podem ser solicitados a se submeter a testes aleatórios de drogas e álcool, sem custo para o trabalhador. A recusa em cumprir a solicitação ou um resultado po"&amp;"sitivo no teste pode resultar em demissão imediata. Um resultado negativo pode ser exigido após a contratação e antes do início do trabalho. Deve ser capaz de levantar e carregar 34 kg (75 lbs). Deve ser capaz de levantar 34 kg (75 lbs) até a altura dos o"&amp;"mbros. Requer-se um mínimo de 3 meses de experiência comprovada como Trabalhador de Paisagismo e Manutenção de Áreas Verdes I. Classificação da Função: 37-3011.00 - Trabalhadores de Paisagismo e Manutenção de Áreas Verdes. A classificação e descrição da f"&amp;"unção/setor incluem informações gerais sobre o cargo, de acordo com o ONET/OES e o Sistema de Classificação Industrial da América do Norte (NAICS). Consulte as Funções e a Ordem de Serviço para obter mais informações. Requisitos da Função Experiência Nece"&amp;"ssária: Sim Meses de Experiência Necessários: 3 Requisitos Especiais: TODO O TRABALHO É REALIZADO AO AR LIVRE, EM TODOS OS TIPOS DE CONDIÇÕES CLIMÁTICAS. OS TRABALHADORES PODEM SER SOLICITADOS A SE SUBMETER A TESTES ALEATÓRIOS DE DROGAS E ÁLCOOL, SEM CUST"&amp;"O PARA O TRABALHADOR. A RECUSA EM CUMPRIR A SOLICITAÇÃO OU UM RESULTADO POSITIVO PODE RESULTAR EM DEMISSÃO IMEDIATA. UM RESULTADO NEGATIVO PODE SER EXIGIDO APÓS A CONTRATAÇÃO E ANTES DO INÍCIO DO TRABALHO. DEVE SER CAPAZ DE LEVANTAR E CARREGAR 34 KG. DEVE"&amp;" SER CAPAZ DE LEVANTAR 34 KG ATÉ A ALTURA DOS OMBROS. REQUER NO MÍNIMO 3 MESES DE EXPERIÊNCIA COMPROVADA COMO TRABALHADOR DE PAISAGISMO E MANUTENÇÃO DE ÁREAS VERDES. I. Número de horas por semana: 42. Horário de trabalho (início/término): 8h às 16h.")</f>
        <v>Realizar a manutenção ou jardinagem de propriedades utilizando ferramentas manuais ou elétricas. Os trabalhadores geralmente executam uma variedade de tarefas manuais, como colocação de grama, corte de grama, poda, plantio, rega, escavação, rastelagem, instalação e reparo de sistemas de irrigação. Podem operar ferramentas elétricas e equipamentos de jardinagem, como cortadores de grama manuais, porém a maior parte do trabalho é realizada com ferramentas manuais, como pás, ancinhos e tesouras de poda. Todo o trabalho é realizado ao ar livre, em todos os tipos de condições climáticas. Os trabalhadores podem ser solicitados a se submeter a testes aleatórios de drogas e álcool, sem custo para o trabalhador. A recusa em cumprir a solicitação ou um resultado positivo no teste pode resultar em demissão imediata. Um resultado negativo pode ser exigido após a contratação e antes do início do trabalho. Deve ser capaz de levantar e carregar 34 kg (75 lbs). Deve ser capaz de levantar 34 kg (75 lbs) até a altura dos ombros. Requer-se um mínimo de 3 meses de experiência comprovada como Trabalhador de Paisagismo e Manutenção de Áreas Verdes I. Classificação da Função: 37-3011.00 - Trabalhadores de Paisagismo e Manutenção de Áreas Verdes. A classificação e descrição da função/setor incluem informações gerais sobre o cargo, de acordo com o ONET/OES e o Sistema de Classificação Industrial da América do Norte (NAICS). Consulte as Funções e a Ordem de Serviço para obter mais informações. Requisitos da Função Experiência Necessária: Sim Meses de Experiência Necessários: 3 Requisitos Especiais: TODO O TRABALHO É REALIZADO AO AR LIVRE, EM TODOS OS TIPOS DE CONDIÇÕES CLIMÁTICAS. OS TRABALHADORES PODEM SER SOLICITADOS A SE SUBMETER A TESTES ALEATÓRIOS DE DROGAS E ÁLCOOL, SEM CUSTO PARA O TRABALHADOR. A RECUSA EM CUMPRIR A SOLICITAÇÃO OU UM RESULTADO POSITIVO PODE RESULTAR EM DEMISSÃO IMEDIATA. UM RESULTADO NEGATIVO PODE SER EXIGIDO APÓS A CONTRATAÇÃO E ANTES DO INÍCIO DO TRABALHO. DEVE SER CAPAZ DE LEVANTAR E CARREGAR 34 KG. DEVE SER CAPAZ DE LEVANTAR 34 KG ATÉ A ALTURA DOS OMBROS. REQUER NO MÍNIMO 3 MESES DE EXPERIÊNCIA COMPROVADA COMO TRABALHADOR DE PAISAGISMO E MANUTENÇÃO DE ÁREAS VERDES. I. Número de horas por semana: 42. Horário de trabalho (início/término): 8h às 16h.</v>
      </c>
    </row>
    <row r="1934" ht="20.25" customHeight="1">
      <c r="A1934" s="3" t="s">
        <v>8646</v>
      </c>
      <c r="B1934" s="3" t="s">
        <v>8647</v>
      </c>
      <c r="C1934" s="3" t="s">
        <v>8465</v>
      </c>
      <c r="D1934" s="3" t="s">
        <v>2494</v>
      </c>
      <c r="E1934" s="4" t="s">
        <v>44</v>
      </c>
      <c r="F1934" s="4" t="s">
        <v>20</v>
      </c>
      <c r="G1934" s="4" t="s">
        <v>384</v>
      </c>
      <c r="H1934" s="3" t="s">
        <v>8648</v>
      </c>
      <c r="I1934" s="3" t="s">
        <v>8649</v>
      </c>
      <c r="J1934" s="4">
        <v>20.43</v>
      </c>
      <c r="K1934" s="4">
        <v>49.0</v>
      </c>
      <c r="L1934" s="3" t="s">
        <v>121</v>
      </c>
      <c r="M1934" s="3" t="s">
        <v>8650</v>
      </c>
      <c r="N1934" s="7" t="str">
        <f>IFERROR(__xludf.DUMMYFUNCTION("GOOGLETRANSLATE(L1934, ""en"", ""pt"")"),"Trabalhador braçal")</f>
        <v>Trabalhador braçal</v>
      </c>
      <c r="O1934" s="7" t="str">
        <f>IFERROR(__xludf.DUMMYFUNCTION("IF(M1934="""","""",GOOGLETRANSLATE(M1934,""en"",""pt""))"),"Executar tarefas gerais de trabalho braçal em canteiros de obras durante o inverno para dar suporte a projetos em andamento. As funções incluem preparação e limpeza do local, remoção de entulhos, carga e descarga de materiais e auxílio a profissionais esp"&amp;"ecializados, conforme necessário. Realizar a remoção de neve e gelo para manter áreas de trabalho seguras e acessíveis, incluindo a limpeza de calçadas, zonas de trabalho e caminhos para equipamentos. Utilizar ferramentas manuais e elétricas para auxiliar"&amp;" em tarefas básicas de construção, demolição e movimentação de materiais. Seguir todos os protocolos de segurança relacionados a condições climáticas frias, incluindo o manuseio adequado de equipamentos e materiais em temperaturas congelantes. Manter o lo"&amp;"cal de trabalho limpo, organizado e seguro em todos os momentos. Classificação da Função: 47-2061.00 - Auxiliares de Construção. A classificação e descrição da função/setor incluem informações gerais sobre o cargo, de acordo com o ONET/OES e o Sistema de "&amp;"Classificação Industrial da América do Norte (NAICS). Consulte as Funções e a Ordem de Serviço para obter mais informações. Requisitos da Função: Experiência Necessária: Sim. Meses de Experiência Necessária: 3. Requisitos Especiais: 3 meses de experiência"&amp;" ou área relacionada. Número de Horas por Semana: 40. Horário de Trabalho (Início/Término): 7h. - 16:00")</f>
        <v>Executar tarefas gerais de trabalho braçal em canteiros de obras durante o inverno para dar suporte a projetos em andamento. As funções incluem preparação e limpeza do local, remoção de entulhos, carga e descarga de materiais e auxílio a profissionais especializados, conforme necessário. Realizar a remoção de neve e gelo para manter áreas de trabalho seguras e acessíveis, incluindo a limpeza de calçadas, zonas de trabalho e caminhos para equipamentos. Utilizar ferramentas manuais e elétricas para auxiliar em tarefas básicas de construção, demolição e movimentação de materiais. Seguir todos os protocolos de segurança relacionados a condições climáticas frias, incluindo o manuseio adequado de equipamentos e materiais em temperaturas congelantes. Manter o local de trabalho limpo, organizado e seguro em todos os momentos. Classificação da Função: 47-2061.00 - Auxiliares de Construção. A classificação e descrição da função/setor incluem informações gerais sobre o cargo, de acordo com o ONET/OES e o Sistema de Classificação Industrial da América do Norte (NAICS). Consulte as Funções e a Ordem de Serviço para obter mais informações. Requisitos da Função: Experiência Necessária: Sim. Meses de Experiência Necessária: 3. Requisitos Especiais: 3 meses de experiência ou área relacionada. Número de Horas por Semana: 40. Horário de Trabalho (Início/Término): 7h. - 16:00</v>
      </c>
    </row>
    <row r="1935" ht="20.25" customHeight="1">
      <c r="A1935" s="8" t="s">
        <v>8651</v>
      </c>
      <c r="B1935" s="8" t="s">
        <v>8652</v>
      </c>
      <c r="C1935" s="8" t="s">
        <v>8478</v>
      </c>
      <c r="D1935" s="8" t="s">
        <v>254</v>
      </c>
      <c r="E1935" s="9" t="s">
        <v>19</v>
      </c>
      <c r="F1935" s="9" t="s">
        <v>20</v>
      </c>
      <c r="G1935" s="9" t="s">
        <v>146</v>
      </c>
      <c r="H1935" s="8" t="s">
        <v>8653</v>
      </c>
      <c r="I1935" s="8" t="s">
        <v>8654</v>
      </c>
      <c r="J1935" s="9">
        <v>17.42</v>
      </c>
      <c r="K1935" s="9">
        <v>6.0</v>
      </c>
      <c r="L1935" s="8" t="s">
        <v>8655</v>
      </c>
      <c r="M1935" s="8" t="s">
        <v>8656</v>
      </c>
      <c r="N1935" s="7" t="str">
        <f>IFERROR(__xludf.DUMMYFUNCTION("GOOGLETRANSLATE(L1935, ""en"", ""pt"")"),"Operador de trator")</f>
        <v>Operador de trator</v>
      </c>
      <c r="O1935" s="7" t="str">
        <f>IFERROR(__xludf.DUMMYFUNCTION("IF(M1935="""","""",GOOGLETRANSLATE(M1935,""en"",""pt""))"),"***Resposta à Solicitação de Informações*** Os trabalhadores podem dirigir tratores John Deere de 2021 e mais novos (5085 E, 5090 E, 5090 E, 6110 R, 6110 M, 6120 M, 6125 M) ***Original F.a.2*** Dirigir um trator com roçadeira e cortar a vegetação nas faix"&amp;"as de domínio estaduais. Roçar a vegetação ao redor da sinalização rodoviária. Classificação do Cargo: 47-4051.00 - Trabalhadores de Manutenção de Rodovias. A classificação e descrição do cargo/setor inclui informações gerais sobre a posição, de acordo co"&amp;"m o ONET/OES e o Sistema de Classificação Industrial da América do Norte. Consulte as Funções e a Ordem de Serviço para obter mais informações. Requisitos do Cargo Experiência Necessária: Sim Meses de Experiência Necessários: 3 Requisitos Especiais: - Dev"&amp;"e estar disposto e apto a tolerar temperaturas muito altas ou muito baixas. - Deve estar disposto e apto a tolerar ruídos altos. - Deve ter disponibilidade durante todo o período do contrato. - Pode ser submetido a teste de drogas pós-contratação, pago pe"&amp;"lo empregador. Requisitos e Condições Especiais: - Horário variável (dias da semana e turnos). Horas extras podem ser oferecidas. Pode ser necessário trabalhar nos fins de semana. - Todos os locais de trabalho estão a uma distância razoável de carro do lo"&amp;"cal de trabalho principal. - O empregador pagará o maior salário vigente para cada local de trabalho durante todo o período de emprego. - O empregador poderá oferecer um bônus dependendo da experiência e do mérito. - Transporte diário é fornecido para tod"&amp;"os os locais de trabalho a partir do local de trabalho principal. - O empregador oferece moradia opcional para os trabalhadores que não residem a uma distância razoável do local de trabalho principal. Número de horas por semana: 40. Horário de trabalho (i"&amp;"nício/término): 6h às 15h.")</f>
        <v>***Resposta à Solicitação de Informações*** Os trabalhadores podem dirigir tratores John Deere de 2021 e mais novos (5085 E, 5090 E, 5090 E, 6110 R, 6110 M, 6120 M, 6125 M) ***Original F.a.2*** Dirigir um trator com roçadeira e cortar a vegetação nas faixas de domínio estaduais. Roçar a vegetação ao redor da sinalização rodoviária. Classificação do Cargo: 47-4051.00 - Trabalhadores de Manutenção de Rodovias. A classificação e descrição do cargo/setor inclui informações gerais sobre a posição, de acordo com o ONET/OES e o Sistema de Classificação Industrial da América do Norte. Consulte as Funções e a Ordem de Serviço para obter mais informações. Requisitos do Cargo Experiência Necessária: Sim Meses de Experiência Necessários: 3 Requisitos Especiais: - Deve estar disposto e apto a tolerar temperaturas muito altas ou muito baixas. - Deve estar disposto e apto a tolerar ruídos altos. - Deve ter disponibilidade durante todo o período do contrato. - Pode ser submetido a teste de drogas pós-contratação, pago pelo empregador. Requisitos e Condições Especiais: - Horário variável (dias da semana e turnos). Horas extras podem ser oferecidas. Pode ser necessário trabalhar nos fins de semana. - Todos os locais de trabalho estão a uma distância razoável de carro do local de trabalho principal. - O empregador pagará o maior salário vigente para cada local de trabalho durante todo o período de emprego. - O empregador poderá oferecer um bônus dependendo da experiência e do mérito. - Transporte diário é fornecido para todos os locais de trabalho a partir do local de trabalho principal. - O empregador oferece moradia opcional para os trabalhadores que não residem a uma distância razoável do local de trabalho principal. Número de horas por semana: 40. Horário de trabalho (início/término): 6h às 15h.</v>
      </c>
    </row>
    <row r="1936" ht="20.25" customHeight="1">
      <c r="A1936" s="3" t="s">
        <v>8657</v>
      </c>
      <c r="B1936" s="3" t="s">
        <v>8658</v>
      </c>
      <c r="C1936" s="3" t="s">
        <v>8588</v>
      </c>
      <c r="D1936" s="3" t="s">
        <v>2494</v>
      </c>
      <c r="E1936" s="4" t="s">
        <v>44</v>
      </c>
      <c r="F1936" s="4" t="s">
        <v>20</v>
      </c>
      <c r="G1936" s="4" t="s">
        <v>345</v>
      </c>
      <c r="H1936" s="3" t="s">
        <v>8659</v>
      </c>
      <c r="I1936" s="3"/>
      <c r="J1936" s="4">
        <v>28.63</v>
      </c>
      <c r="K1936" s="4">
        <v>5.0</v>
      </c>
      <c r="L1936" s="3" t="s">
        <v>8660</v>
      </c>
      <c r="M1936" s="3" t="s">
        <v>8661</v>
      </c>
      <c r="N1936" s="7" t="str">
        <f>IFERROR(__xludf.DUMMYFUNCTION("GOOGLETRANSLATE(L1936, ""en"", ""pt"")"),"Instrutor de esqui alpino e snowboard")</f>
        <v>Instrutor de esqui alpino e snowboard</v>
      </c>
      <c r="O1936" s="7" t="str">
        <f>IFERROR(__xludf.DUMMYFUNCTION("IF(M1936="""","""",GOOGLETRANSLATE(M1936,""en"",""pt""))"),"Auxiliar o treinador principal na gestão, implementação e sucesso do programa de esqui alpino. Poderá trabalhar com atletas de todas as idades, desde menores de 16 anos até pós-graduados. Auxiliar na sugestão, desenvolvimento e implementação de políticas,"&amp;" programas e metas relacionados ao programa de esqui alpino como um todo. Reportar-se diretamente ao treinador principal. Auxiliar o diretor do programa de esqui alpino em eventos. Auxiliar em eventos do clube, conforme necessário. TREINAMENTO, PREPARAÇÃO"&amp;" E ADMINISTRAÇÃO DE ATLETAS: Auxiliar na elaboração, monitoramento e implementação do plano anual individual de esqui para atletas, adequado à sua faixa etária e nível de experiência. Em coordenação com outros treinadores, gerenciar atletas e equipamentos"&amp;", criar o calendário de eventos individual para cada atleta/programa, gerenciar equipamentos de força e condicionamento, supervisionar e coordenar processos de avaliação de atletas consistentes e regulares, incluindo avaliações de habilidades na pista. Pa"&amp;"rticipar de todas as sessões de treinamento na neve e de força e condicionamento. Participar de projetos de treinamento divisionais e regionais, conforme necessário ou solicitado. Auxiliar na organização de campos de treinamento na neve e fora da neve. Au"&amp;"xiliar na coordenação de treinamentos e viagens com outros departamentos/grupos do JHSC, conforme necessário. Comunicar-se efetivamente com o treinador principal, atletas, equipe técnica e pais. Utilizar ferramentas online de revisão/arquivamento de vídeo"&amp;"s (Sprongo, Dropbox, etc.). Reunir-se com atletas, treinadores e pais para apresentações/explicações do programa. Auxiliar no desenvolvimento e gerenciamento de um plano de retenção de atletas. Auxiliar na preparação das pistas para treinamentos de pré-te"&amp;"mporada, treinamentos e competições do JHMR e treinamentos e competições do SK. Participar e conduzir reuniões conforme necessário. Orientar nas áreas de psicologia do esporte, nutrição e seleção, preparação e manutenção de equipamentos. Servir como um mo"&amp;"delo positivo, inspirando, motivando e influenciando positivamente os atletas. VIAGENS: Auxiliar na organização e logística das viagens da equipe. Transportar os atletas do JHSC para competições e projetos. Após cada viagem, orientar os atletas a limpar a"&amp;"dequadamente o interior do veículo (com os atletas) e preencher a ficha de registro do veículo. Reportar todas as despesas (com recibos) ao Diretor do Programa Alpino e ao Diretor de Operações. EQUIPAMENTOS: Auxiliar na manutenção do controle de estoque d"&amp;"e todos os equipamentos relacionados ao programa. Auxiliar na manutenção e reparo de equipamentos, conforme necessário. DESENVOLVIMENTO PROFISSIONAL: Analisar vídeos e publicações técnicas. Participar de cursos/seminários de desenvolvimento profissional p"&amp;"ara aprimorar/atualizar habilidades pessoais. Acompanhar e treinar a equipe em competições regionais de esqui (competições com duração de 3 a 4 dias), aproximadamente uma a três vezes por mês durante a temporada. Hospedagem e transporte serão fornecidos d"&amp;"urante as viagens para competições de esqui com os alunos. Poderá desempenhar outras funções de acordo com o item 27-2022.00, Treinadores e Observadores. F.a.5a-F.a.6b: 40 horas/semana. Turnos de 8 horas entre 9h e 17h. 6 dias por semana, de terça a domin"&amp;"go. F.b.8a: Os trabalhadores receberão, no mínimo, o salário listado. O empregador poderá pagar salários mais altos aos trabalhadores com base no tempo de serviço e no nível de habilidade. F.b.8: $34.731,69 por 7 meses. Classificação do Cargo: 27-2022.00 "&amp;"- Treinadores e Observadores. A classificação e descrição do cargo/setor inclui informações gerais sobre a posição, de acordo com o ONET/OES e o Sistema de Classificação Industrial da América do Norte. Consulte as Funções e a Ordem de Serviço para obter m"&amp;"ais informações. Requisitos do Cargo: Experiência Necessária: Sim. Meses de Experiência Necessários: 24. Requisitos Especiais: 2 anos de experiência como treinador ou instrutor de esqui; Certificado de Treinador de Esqui Nível 100 ou equivalente. Não será"&amp;" oferecido treinamento no local de trabalho. É necessário possuir carteira de habilitação válida ou a capacidade de obtê-la em até 30 dias após o início do trabalho. O candidato deve ser capaz de levantar e carregar até 23 kg com frequência. Deve ser capa"&amp;"z de se locomover e trabalhar em terrenos íngremes e irregulares, semelhantes a montanhas, e em condições climáticas frequentemente adversas. É necessário ter experiência com Microsoft Word, Excel e Google Drive. O candidato deve ser elegível para se torn"&amp;"ar membro da U.S. Ski &amp; Snowboard, o que inclui verificação de antecedentes após a contratação e certificação SafeSport. É imprescindível possuir excelentes habilidades de comunicação, liderança e organização. Número de horas semanais: 40. Horário de trab"&amp;"alho (início/término): 9h às 17h.")</f>
        <v>Auxiliar o treinador principal na gestão, implementação e sucesso do programa de esqui alpino. Poderá trabalhar com atletas de todas as idades, desde menores de 16 anos até pós-graduados. Auxiliar na sugestão, desenvolvimento e implementação de políticas, programas e metas relacionados ao programa de esqui alpino como um todo. Reportar-se diretamente ao treinador principal. Auxiliar o diretor do programa de esqui alpino em eventos. Auxiliar em eventos do clube, conforme necessário. TREINAMENTO, PREPARAÇÃO E ADMINISTRAÇÃO DE ATLETAS: Auxiliar na elaboração, monitoramento e implementação do plano anual individual de esqui para atletas, adequado à sua faixa etária e nível de experiência. Em coordenação com outros treinadores, gerenciar atletas e equipamentos, criar o calendário de eventos individual para cada atleta/programa, gerenciar equipamentos de força e condicionamento, supervisionar e coordenar processos de avaliação de atletas consistentes e regulares, incluindo avaliações de habilidades na pista. Participar de todas as sessões de treinamento na neve e de força e condicionamento. Participar de projetos de treinamento divisionais e regionais, conforme necessário ou solicitado. Auxiliar na organização de campos de treinamento na neve e fora da neve. Auxiliar na coordenação de treinamentos e viagens com outros departamentos/grupos do JHSC, conforme necessário. Comunicar-se efetivamente com o treinador principal, atletas, equipe técnica e pais. Utilizar ferramentas online de revisão/arquivamento de vídeos (Sprongo, Dropbox, etc.). Reunir-se com atletas, treinadores e pais para apresentações/explicações do programa. Auxiliar no desenvolvimento e gerenciamento de um plano de retenção de atletas. Auxiliar na preparação das pistas para treinamentos de pré-temporada, treinamentos e competições do JHMR e treinamentos e competições do SK. Participar e conduzir reuniões conforme necessário. Orientar nas áreas de psicologia do esporte, nutrição e seleção, preparação e manutenção de equipamentos. Servir como um modelo positivo, inspirando, motivando e influenciando positivamente os atletas. VIAGENS: Auxiliar na organização e logística das viagens da equipe. Transportar os atletas do JHSC para competições e projetos. Após cada viagem, orientar os atletas a limpar adequadamente o interior do veículo (com os atletas) e preencher a ficha de registro do veículo. Reportar todas as despesas (com recibos) ao Diretor do Programa Alpino e ao Diretor de Operações. EQUIPAMENTOS: Auxiliar na manutenção do controle de estoque de todos os equipamentos relacionados ao programa. Auxiliar na manutenção e reparo de equipamentos, conforme necessário. DESENVOLVIMENTO PROFISSIONAL: Analisar vídeos e publicações técnicas. Participar de cursos/seminários de desenvolvimento profissional para aprimorar/atualizar habilidades pessoais. Acompanhar e treinar a equipe em competições regionais de esqui (competições com duração de 3 a 4 dias), aproximadamente uma a três vezes por mês durante a temporada. Hospedagem e transporte serão fornecidos durante as viagens para competições de esqui com os alunos. Poderá desempenhar outras funções de acordo com o item 27-2022.00, Treinadores e Observadores. F.a.5a-F.a.6b: 40 horas/semana. Turnos de 8 horas entre 9h e 17h. 6 dias por semana, de terça a domingo. F.b.8a: Os trabalhadores receberão, no mínimo, o salário listado. O empregador poderá pagar salários mais altos aos trabalhadores com base no tempo de serviço e no nível de habilidade. F.b.8: $34.731,69 por 7 meses. Classificação do Cargo: 27-2022.00 - Treinadores e Observadores. A classificação e descrição do cargo/setor inclui informações gerais sobre a posição, de acordo com o ONET/OES e o Sistema de Classificação Industrial da América do Norte. Consulte as Funções e a Ordem de Serviço para obter mais informações. Requisitos do Cargo: Experiência Necessária: Sim. Meses de Experiência Necessários: 24. Requisitos Especiais: 2 anos de experiência como treinador ou instrutor de esqui; Certificado de Treinador de Esqui Nível 100 ou equivalente. Não será oferecido treinamento no local de trabalho. É necessário possuir carteira de habilitação válida ou a capacidade de obtê-la em até 30 dias após o início do trabalho. O candidato deve ser capaz de levantar e carregar até 23 kg com frequência. Deve ser capaz de se locomover e trabalhar em terrenos íngremes e irregulares, semelhantes a montanhas, e em condições climáticas frequentemente adversas. É necessário ter experiência com Microsoft Word, Excel e Google Drive. O candidato deve ser elegível para se tornar membro da U.S. Ski &amp; Snowboard, o que inclui verificação de antecedentes após a contratação e certificação SafeSport. É imprescindível possuir excelentes habilidades de comunicação, liderança e organização. Número de horas semanais: 40. Horário de trabalho (início/término): 9h às 17h.</v>
      </c>
    </row>
    <row r="1937" ht="20.25" customHeight="1">
      <c r="A1937" s="8" t="s">
        <v>8662</v>
      </c>
      <c r="B1937" s="8" t="s">
        <v>8663</v>
      </c>
      <c r="C1937" s="8" t="s">
        <v>8478</v>
      </c>
      <c r="D1937" s="8" t="s">
        <v>64</v>
      </c>
      <c r="E1937" s="9" t="s">
        <v>19</v>
      </c>
      <c r="F1937" s="9" t="s">
        <v>20</v>
      </c>
      <c r="G1937" s="9" t="s">
        <v>94</v>
      </c>
      <c r="H1937" s="8" t="s">
        <v>8664</v>
      </c>
      <c r="I1937" s="8" t="s">
        <v>8665</v>
      </c>
      <c r="J1937" s="9">
        <v>20.95</v>
      </c>
      <c r="K1937" s="9">
        <v>4.0</v>
      </c>
      <c r="L1937" s="8" t="s">
        <v>8666</v>
      </c>
      <c r="M1937" s="8" t="s">
        <v>8667</v>
      </c>
      <c r="N1937" s="7" t="str">
        <f>IFERROR(__xludf.DUMMYFUNCTION("GOOGLETRANSLATE(L1937, ""en"", ""pt"")"),"Açougueiro/esfolador de caça selvagem")</f>
        <v>Açougueiro/esfolador de caça selvagem</v>
      </c>
      <c r="O1937" s="7" t="str">
        <f>IFERROR(__xludf.DUMMYFUNCTION("IF(M1937="""","""",GOOGLETRANSLATE(M1937,""en"",""pt""))"),"Pode incluir, mas não se limita a: - Remover ossos e cortar a carne em cortes padrão para preparação para comercialização. - Cortar as veias jugulares para drenar o sangue e facilitar o abate. - Operar linhas de produção, realizando alguns dos muitos cort"&amp;"es necessários para processar uma carcaça. - Amarrar as patas traseiras dos animais para erguê-los para abate ou esfolamento. - Abrir, eviscerar e aparar as carcaças dos animais abatidos. - Atordoar os animais antes do abate. - Esfolar partes ou animais i"&amp;"nteiros. - Cortar, aparar, esfolar, separar e lavar as vísceras dos animais abatidos para separar as partes comestíveis das vísceras. - Raspar ou chamuscar e depenar as carcaças, e lavá-las em preparação para processamento ou embalagem posterior. - Serrar"&amp;", dividir ou riscar as carcaças em porções menores para facilitar o manuseio. - Aparar a carne da cabeça e cortar ou remover partes da cabeça ou do crânio dos animais. - Moer a carne para fazer hambúrguer e aparas usadas na preparação de linguiças, frios "&amp;"e outros produtos cárneos. - Aparar, limpar ou curtir peles de animais. - Embalar carcaças ou cortes de carne já preparados. Classificação da função: 51-3023.00 - Abatedores e Embaladores de Carne. A classificação e descrição da função/setor inclui inform"&amp;"ações gerais sobre o cargo, de acordo com o ONET/OES e o Sistema de Classificação Industrial da América do Norte. Consulte as Funções e a Ordem de Serviço para obter mais informações. Requisitos da vaga Experiência necessária: Sim Meses de experiência nec"&amp;"essários: 12 Requisitos especiais: - Horário variável (dias da semana e turnos). Horas extras podem ser oferecidas. Pode ser necessário trabalhar nos fins de semana. - O empregador pode oferecer um bônus dependendo da experiência e do mérito, e pode ofere"&amp;"cer pagamento por produção. - O empregador ajudará os funcionários a encontrar moradia ou poderá oferecer moradia a preço de mercado para pessoas de baixa renda. - Transporte diário não é fornecido. Requisitos e disposições especiais: - Horário variável ("&amp;"dias da semana e turnos). Horas extras podem ser oferecidas. Pode ser necessário trabalhar nos fins de semana. - O empregador pode oferecer um bônus dependendo da experiência e do mérito, e pode oferecer pagamento por produção. - O empregador ajudará os f"&amp;"uncionários a encontrar moradia ou poderá oferecer moradia a preço de mercado para famílias de baixa renda. - O transporte diário não é fornecido. Número de horas por semana: 60. Horário de trabalho (início/término): 7h às 20h.")</f>
        <v>Pode incluir, mas não se limita a: - Remover ossos e cortar a carne em cortes padrão para preparação para comercialização. - Cortar as veias jugulares para drenar o sangue e facilitar o abate. - Operar linhas de produção, realizando alguns dos muitos cortes necessários para processar uma carcaça. - Amarrar as patas traseiras dos animais para erguê-los para abate ou esfolamento. - Abrir, eviscerar e aparar as carcaças dos animais abatidos. - Atordoar os animais antes do abate. - Esfolar partes ou animais inteiros. - Cortar, aparar, esfolar, separar e lavar as vísceras dos animais abatidos para separar as partes comestíveis das vísceras. - Raspar ou chamuscar e depenar as carcaças, e lavá-las em preparação para processamento ou embalagem posterior. - Serrar, dividir ou riscar as carcaças em porções menores para facilitar o manuseio. - Aparar a carne da cabeça e cortar ou remover partes da cabeça ou do crânio dos animais. - Moer a carne para fazer hambúrguer e aparas usadas na preparação de linguiças, frios e outros produtos cárneos. - Aparar, limpar ou curtir peles de animais. - Embalar carcaças ou cortes de carne já preparados. Classificação da função: 51-3023.00 - Abatedores e Embaladores de Carne. A classificação e descrição da função/setor inclui informações gerais sobre o cargo, de acordo com o ONET/OES e o Sistema de Classificação Industrial da América do Norte. Consulte as Funções e a Ordem de Serviço para obter mais informações. Requisitos da vaga Experiência necessária: Sim Meses de experiência necessários: 12 Requisitos especiais: - Horário variável (dias da semana e turnos). Horas extras podem ser oferecidas. Pode ser necessário trabalhar nos fins de semana. - O empregador pode oferecer um bônus dependendo da experiência e do mérito, e pode oferecer pagamento por produção. - O empregador ajudará os funcionários a encontrar moradia ou poderá oferecer moradia a preço de mercado para pessoas de baixa renda. - Transporte diário não é fornecido. Requisitos e disposições especiais: - Horário variável (dias da semana e turnos). Horas extras podem ser oferecidas. Pode ser necessário trabalhar nos fins de semana. - O empregador pode oferecer um bônus dependendo da experiência e do mérito, e pode oferecer pagamento por produção. - O empregador ajudará os funcionários a encontrar moradia ou poderá oferecer moradia a preço de mercado para famílias de baixa renda. - O transporte diário não é fornecido. Número de horas por semana: 60. Horário de trabalho (início/término): 7h às 20h.</v>
      </c>
    </row>
    <row r="1938" ht="20.25" customHeight="1">
      <c r="A1938" s="3" t="s">
        <v>8668</v>
      </c>
      <c r="B1938" s="3" t="s">
        <v>8669</v>
      </c>
      <c r="C1938" s="3" t="s">
        <v>8478</v>
      </c>
      <c r="D1938" s="3" t="s">
        <v>254</v>
      </c>
      <c r="E1938" s="4" t="s">
        <v>19</v>
      </c>
      <c r="F1938" s="4" t="s">
        <v>20</v>
      </c>
      <c r="G1938" s="4" t="s">
        <v>8670</v>
      </c>
      <c r="H1938" s="3" t="s">
        <v>8671</v>
      </c>
      <c r="I1938" s="3" t="s">
        <v>8672</v>
      </c>
      <c r="J1938" s="4">
        <v>18.1</v>
      </c>
      <c r="K1938" s="4">
        <v>8.0</v>
      </c>
      <c r="L1938" s="3" t="s">
        <v>59</v>
      </c>
      <c r="M1938" s="3" t="s">
        <v>8673</v>
      </c>
      <c r="N1938" s="7" t="str">
        <f>IFERROR(__xludf.DUMMYFUNCTION("GOOGLETRANSLATE(L1938, ""en"", ""pt"")"),"Trabalhador de paisagismo")</f>
        <v>Trabalhador de paisagismo</v>
      </c>
      <c r="O1938" s="7" t="str">
        <f>IFERROR(__xludf.DUMMYFUNCTION("IF(M1938="""","""",GOOGLETRANSLATE(M1938,""en"",""pt""))"),"Pode incluir, mas não se limita a: - Recolher e remover lixo. - Utilizar ferramentas manuais, como pás, ancinhos, serras de poda, serras, aparadores de sebes ou arbustos, ou machados. - Regar relvados, árvores ou plantas, utilizando sistemas de irrigação "&amp;"portáteis, mangueiras ou regadores. - Podar ou aparar arbustos ou sebes, utilizando tesouras de poda, podadores ou motosserras. - Cuidar de relvados já estabelecidos, aplicando cobertura morta, aerando, capinando, removendo tocos, retirando palha morta ou"&amp;" aparando ou delimitando canteiros de flores, caminhos ou muros. - Seguir projetos paisagísticos para determinar onde colocar relva, semear relva ou plantar flores ou folhagens. - Aparar ou colher flores e limpar canteiros de flores. - Fixar arames de árv"&amp;"ores plantadas a estacas de suporte. - Plantar sementes, bolbos, folhagens, plantas com flores, relva, plantas rasteiras, árvores ou arbustos e aplicar cobertura morta para proteção, utilizando ferramentas de jardinagem. - Cortar ou aparar a grama, utiliz"&amp;"ando cortadores de grama ou aparadores motorizados. - Recolher, triturar e compostar folhas. - Decorar jardins com pedras ou plantas. - Ajustar o consumo de água de irrigação para evitar desperdício, utilizando um controlador manual a bateria. - Realizar "&amp;"manutenção/reparo em sistemas de irrigação com tubos de plástico, utilizando ferramentas manuais como martelo e chave inglesa; preparar os sistemas para o inverno no final do outono e iniciá-los na primavera, programando manualmente o controlador. Classif"&amp;"icação da Função: 37-3011.00 - Trabalhadores de Paisagismo e Jardinagem. A classificação e descrição da função/setor incluem informações gerais sobre o cargo, de acordo com o ONET/OES e o Sistema de Classificação Industrial da América do Norte. Consulte a"&amp;"s Funções e a Ordem de Serviço para obter mais informações. Requisitos da Função Experiência Necessária: Não Requisitos Especiais: - Deve estar disposto e apto a tolerar temperaturas muito altas ou muito baixas. - Deve estar disposto e apto a tolerar ruíd"&amp;"os altos. - Deve ter disponibilidade durante todo o período do contrato. - Deve ser capaz de levantar pelo menos 23 kg e realizar trabalho físico. - Poderá ser submetido a teste antidrogas pós-contratação, pago pelo empregador. - Horário variável (dias da"&amp;" semana e turnos). Horas extras podem ser oferecidas. Pode ser necessário trabalhar nos fins de semana. - Todos os locais de trabalho são acessíveis de carro a partir do local de trabalho principal. - O empregador pagará o maior salário vigente em todos o"&amp;"s locais de trabalho durante todo o período de emprego. - O empregador pode oferecer um bônus dependendo da experiência e do mérito. - O transporte diário é fornecido para todos os locais de trabalho a partir do local de trabalho principal. - O empregador"&amp;" não fornece transporte da residência dos trabalhadores até o local de trabalho principal. - O empregador não fornece moradia. - Descontos: N/A Número de horas por semana: 40 Horário de trabalho (início/término): 7h30 - 17h30")</f>
        <v>Pode incluir, mas não se limita a: - Recolher e remover lixo. - Utilizar ferramentas manuais, como pás, ancinhos, serras de poda, serras, aparadores de sebes ou arbustos, ou machados. - Regar relvados, árvores ou plantas, utilizando sistemas de irrigação portáteis, mangueiras ou regadores. - Podar ou aparar arbustos ou sebes, utilizando tesouras de poda, podadores ou motosserras. - Cuidar de relvados já estabelecidos, aplicando cobertura morta, aerando, capinando, removendo tocos, retirando palha morta ou aparando ou delimitando canteiros de flores, caminhos ou muros. - Seguir projetos paisagísticos para determinar onde colocar relva, semear relva ou plantar flores ou folhagens. - Aparar ou colher flores e limpar canteiros de flores. - Fixar arames de árvores plantadas a estacas de suporte. - Plantar sementes, bolbos, folhagens, plantas com flores, relva, plantas rasteiras, árvores ou arbustos e aplicar cobertura morta para proteção, utilizando ferramentas de jardinagem. - Cortar ou aparar a grama, utilizando cortadores de grama ou aparadores motorizados. - Recolher, triturar e compostar folhas. - Decorar jardins com pedras ou plantas. - Ajustar o consumo de água de irrigação para evitar desperdício, utilizando um controlador manual a bateria. - Realizar manutenção/reparo em sistemas de irrigação com tubos de plástico, utilizando ferramentas manuais como martelo e chave inglesa; preparar os sistemas para o inverno no final do outono e iniciá-los na primavera, programando manualmente o controlador. Classificação da Função: 37-3011.00 - Trabalhadores de Paisagismo e Jardinagem. A classificação e descrição da função/setor incluem informações gerais sobre o cargo, de acordo com o ONET/OES e o Sistema de Classificação Industrial da América do Norte. Consulte as Funções e a Ordem de Serviço para obter mais informações. Requisitos da Função Experiência Necessária: Não Requisitos Especiais: - Deve estar disposto e apto a tolerar temperaturas muito altas ou muito baixas. - Deve estar disposto e apto a tolerar ruídos altos. - Deve ter disponibilidade durante todo o período do contrato. - Deve ser capaz de levantar pelo menos 23 kg e realizar trabalho físico. - Poderá ser submetido a teste antidrogas pós-contratação, pago pelo empregador. - Horário variável (dias da semana e turnos). Horas extras podem ser oferecidas. Pode ser necessário trabalhar nos fins de semana. - Todos os locais de trabalho são acessíveis de carro a partir do local de trabalho principal. - O empregador pagará o maior salário vigente em todos os locais de trabalho durante todo o período de emprego. - O empregador pode oferecer um bônus dependendo da experiência e do mérito. - O transporte diário é fornecido para todos os locais de trabalho a partir do local de trabalho principal. - O empregador não fornece transporte da residência dos trabalhadores até o local de trabalho principal. - O empregador não fornece moradia. - Descontos: N/A Número de horas por semana: 40 Horário de trabalho (início/término): 7h30 - 17h30</v>
      </c>
    </row>
    <row r="1939" ht="20.25" customHeight="1">
      <c r="A1939" s="8" t="s">
        <v>8674</v>
      </c>
      <c r="B1939" s="8" t="s">
        <v>8675</v>
      </c>
      <c r="C1939" s="8" t="s">
        <v>6906</v>
      </c>
      <c r="D1939" s="8" t="s">
        <v>663</v>
      </c>
      <c r="E1939" s="9" t="s">
        <v>19</v>
      </c>
      <c r="F1939" s="9" t="s">
        <v>20</v>
      </c>
      <c r="G1939" s="9" t="s">
        <v>3670</v>
      </c>
      <c r="H1939" s="8" t="s">
        <v>8676</v>
      </c>
      <c r="I1939" s="8" t="s">
        <v>8351</v>
      </c>
      <c r="J1939" s="9">
        <v>22.5</v>
      </c>
      <c r="K1939" s="9">
        <v>10.0</v>
      </c>
      <c r="L1939" s="8" t="s">
        <v>302</v>
      </c>
      <c r="M1939" s="8" t="s">
        <v>8677</v>
      </c>
      <c r="N1939" s="7" t="str">
        <f>IFERROR(__xludf.DUMMYFUNCTION("GOOGLETRANSLATE(L1939, ""en"", ""pt"")"),"Operários da construção civil")</f>
        <v>Operários da construção civil</v>
      </c>
      <c r="O1939" s="7" t="str">
        <f>IFERROR(__xludf.DUMMYFUNCTION("IF(M1939="""","""",GOOGLETRANSLATE(M1939,""en"",""pt""))"),"FUNÇÕES: Os trabalhadores auxiliarão os líderes de equipe sênior na execução de tarefas nos canteiros de obras, incluindo a operação de ferramentas manuais e elétricas de todos os tipos, limpeza e preparação dos canteiros de obras, escavação de valas, esc"&amp;"oramento e aterro de escavações, preparação de formas, preparação dos canteiros de obras em caso de temperaturas abaixo de zero, auxílio a outros trabalhadores, limpeza de entulhos, detritos e outros resíduos. As ferramentas elétricas incluem cavadeiras d"&amp;"e buracos para postes e ferramentas motorizadas, como uma escavadeira de valas e uma minicarregadeira. O empregador fornece todas as ferramentas e o transporte. Classificação da vaga: 47-2061.00 - Auxiliares de Construção. A classificação e a descrição da"&amp;" vaga/setor incluem informações gerais sobre o cargo, de acordo com o ONET/OES e o Sistema de Classificação Industrial da América do Norte (NAICS). Consulte as Funções e a Ordem de Serviço para obter mais informações. Requisitos da vaga: Experiência neces"&amp;"sária: Não. Requisitos especiais: Levantar 23 kg, ficar em pé ou se curvar durante todo ou a maior parte do turno de trabalho. Número de horas por semana: 40. Horário de trabalho (início/término): 7h às 16h30.")</f>
        <v>FUNÇÕES: Os trabalhadores auxiliarão os líderes de equipe sênior na execução de tarefas nos canteiros de obras, incluindo a operação de ferramentas manuais e elétricas de todos os tipos, limpeza e preparação dos canteiros de obras, escavação de valas, escoramento e aterro de escavações, preparação de formas, preparação dos canteiros de obras em caso de temperaturas abaixo de zero, auxílio a outros trabalhadores, limpeza de entulhos, detritos e outros resíduos. As ferramentas elétricas incluem cavadeiras de buracos para postes e ferramentas motorizadas, como uma escavadeira de valas e uma minicarregadeira. O empregador fornece todas as ferramentas e o transporte. Classificação da vaga: 47-2061.00 - Auxiliares de Construção. A classificação e a descrição da vaga/setor incluem informações gerais sobre o cargo, de acordo com o ONET/OES e o Sistema de Classificação Industrial da América do Norte (NAICS). Consulte as Funções e a Ordem de Serviço para obter mais informações. Requisitos da vaga: Experiência necessária: Não. Requisitos especiais: Levantar 23 kg, ficar em pé ou se curvar durante todo ou a maior parte do turno de trabalho. Número de horas por semana: 40. Horário de trabalho (início/término): 7h às 16h30.</v>
      </c>
    </row>
    <row r="1940" ht="20.25" customHeight="1">
      <c r="A1940" s="3" t="s">
        <v>8678</v>
      </c>
      <c r="B1940" s="3" t="s">
        <v>8679</v>
      </c>
      <c r="C1940" s="3" t="s">
        <v>7651</v>
      </c>
      <c r="D1940" s="3" t="s">
        <v>249</v>
      </c>
      <c r="E1940" s="4" t="s">
        <v>19</v>
      </c>
      <c r="F1940" s="4" t="s">
        <v>20</v>
      </c>
      <c r="G1940" s="4" t="s">
        <v>155</v>
      </c>
      <c r="H1940" s="3" t="s">
        <v>8680</v>
      </c>
      <c r="I1940" s="3" t="s">
        <v>8681</v>
      </c>
      <c r="J1940" s="4">
        <v>23.57</v>
      </c>
      <c r="K1940" s="4">
        <v>1.0</v>
      </c>
      <c r="L1940" s="3" t="s">
        <v>6243</v>
      </c>
      <c r="M1940" s="3" t="s">
        <v>8682</v>
      </c>
      <c r="N1940" s="7" t="str">
        <f>IFERROR(__xludf.DUMMYFUNCTION("GOOGLETRANSLATE(L1940, ""en"", ""pt"")"),"Trabalhador de adega")</f>
        <v>Trabalhador de adega</v>
      </c>
      <c r="O1940" s="7" t="str">
        <f>IFERROR(__xludf.DUMMYFUNCTION("IF(M1940="""","""",GOOGLETRANSLATE(M1940,""en"",""pt""))"),"Auxiliar nas operações de transferência, mistura, filtração e engarrafamento de vinhos. Limpar, higienizar e manter tanques, barris, mangueiras, bombas e equipamentos da adega. Monitorar os processos de fermentação e maturação sob supervisão. Carregar e d"&amp;"escarregar materiais, suprimentos e produtos acabados. Movimentar vinho e materiais de produção pelas instalações utilizando carrinhos de mão, paleteiras ou outros equipamentos. Etiquetar, embalar e preparar os produtos para envio. Manter registros precis"&amp;"os das atividades de produção e movimentação de estoque. Seguir todos os procedimentos de segurança, higiene e controle de qualidade. Realizar tarefas gerais de limpeza e organização na adega e nas áreas de produção. Auxiliar nas atividades de colheita e "&amp;"produção sazonal, conforme necessário. Executar outras tarefas relacionadas, conforme designado. Classificação da vaga: 51-9012.00 - Operadores e preparadores de máquinas de separação, filtração, clarificação, precipitação e destilação. A classificação e "&amp;"descrição da vaga/setor inclui informações gerais sobre o cargo, de acordo com o ONET/OES e o Sistema de Classificação Industrial da América do Norte. Consulte as atribuições e a ordem de serviço para obter mais informações. Requisitos da vaga Experiência"&amp;" necessária: Sim Meses de experiência necessários: 3 Requisitos especiais: Deve ser capaz de levantar/carregar 23 kg, quando necessário. Trabalho aos sábados e domingos, quando necessário. Número de horas por semana: 40 Horário de trabalho (início/término"&amp;"): 8h às 16h")</f>
        <v>Auxiliar nas operações de transferência, mistura, filtração e engarrafamento de vinhos. Limpar, higienizar e manter tanques, barris, mangueiras, bombas e equipamentos da adega. Monitorar os processos de fermentação e maturação sob supervisão. Carregar e descarregar materiais, suprimentos e produtos acabados. Movimentar vinho e materiais de produção pelas instalações utilizando carrinhos de mão, paleteiras ou outros equipamentos. Etiquetar, embalar e preparar os produtos para envio. Manter registros precisos das atividades de produção e movimentação de estoque. Seguir todos os procedimentos de segurança, higiene e controle de qualidade. Realizar tarefas gerais de limpeza e organização na adega e nas áreas de produção. Auxiliar nas atividades de colheita e produção sazonal, conforme necessário. Executar outras tarefas relacionadas, conforme designado. Classificação da vaga: 51-9012.00 - Operadores e preparadores de máquinas de separação, filtração, clarificação, precipitação e destilação. A classificação e descrição da vaga/setor inclui informações gerais sobre o cargo, de acordo com o ONET/OES e o Sistema de Classificação Industrial da América do Norte. Consulte as atribuições e a ordem de serviço para obter mais informações. Requisitos da vaga Experiência necessária: Sim Meses de experiência necessários: 3 Requisitos especiais: Deve ser capaz de levantar/carregar 23 kg, quando necessário. Trabalho aos sábados e domingos, quando necessário. Número de horas por semana: 40 Horário de trabalho (início/término): 8h às 16h</v>
      </c>
    </row>
    <row r="1941" ht="20.25" customHeight="1">
      <c r="A1941" s="8" t="s">
        <v>8683</v>
      </c>
      <c r="B1941" s="8" t="s">
        <v>8684</v>
      </c>
      <c r="C1941" s="8" t="s">
        <v>8685</v>
      </c>
      <c r="D1941" s="8" t="s">
        <v>64</v>
      </c>
      <c r="E1941" s="9" t="s">
        <v>44</v>
      </c>
      <c r="F1941" s="9" t="s">
        <v>20</v>
      </c>
      <c r="G1941" s="9" t="s">
        <v>2356</v>
      </c>
      <c r="H1941" s="8" t="s">
        <v>8686</v>
      </c>
      <c r="I1941" s="8" t="s">
        <v>8687</v>
      </c>
      <c r="J1941" s="9">
        <v>13.37</v>
      </c>
      <c r="K1941" s="9">
        <v>6.0</v>
      </c>
      <c r="L1941" s="8" t="s">
        <v>387</v>
      </c>
      <c r="M1941" s="8" t="s">
        <v>8688</v>
      </c>
      <c r="N1941" s="7" t="str">
        <f>IFERROR(__xludf.DUMMYFUNCTION("GOOGLETRANSLATE(L1941, ""en"", ""pt"")"),"Ordem de serviço não disponível")</f>
        <v>Ordem de serviço não disponível</v>
      </c>
      <c r="O1941" s="7" t="str">
        <f>IFERROR(__xludf.DUMMYFUNCTION("IF(M1941="""","""",GOOGLETRANSLATE(M1941,""en"",""pt""))"),"• Verificar a qualidade dos produtos e identificar itens danificados ou vencidos. • Ajustar a temperatura do forno e colocar os itens em fornos quentes para assar. • Combinar os ingredientes medidos em tigelas de misturadores, liquidificadores ou equipame"&amp;"ntos de cozimento. • Colocar a massa em formas, moldes ou assadeiras e assar em fornos de produção ou grelhas. • Ajustar o tempo e a velocidade de misturadores, liquidificadores ou caldeiras a vapor para que os ingredientes sejam misturados ou cozidos de "&amp;"acordo com as instruções. • Medir ou pesar farinha ou outros ingredientes para preparar massas, recheios ou coberturas, usando balanças ou recipientes graduados. • Observar a cor dos produtos assados ​​e ajustar a temperatura do forno, a umidade ou a velo"&amp;"cidade da esteira de acordo. • Verificar a qualidade das matérias-primas para garantir que os padrões e especificações sejam atendidos. • Verificar os equipamentos para garantir que atendam às normas de saúde e segurança e realizar a manutenção ou limpeza"&amp;", conforme necessário. • Adaptar a quantidade de ingredientes à quantidade de itens a serem assados. • Aplicar glacês, coberturas ou outros revestimentos aos produtos assados, usando espátulas ou pincéis. • Decorar produtos de panificação, como bolos ou d"&amp;"oces. • Abrir, sovar, cortar ou moldar a massa para formar pães doces, bases de tortas, tarteletes, biscoitos ou outros produtos. • Direcionar ou coordenar as entregas da padaria. • Encomendar ou receber suprimentos ou equipamentos. • Preparar ou manter r"&amp;"egistros de estoque ou produção. • Operar máquinas de fatiar ou embalar. Classificação do Cargo: 51-3011.00 - Padeiros A classificação e descrição do cargo/setor incluem informações gerais sobre a posição, de acordo com o ONET/OES e o Sistema de Classific"&amp;"ação Industrial da América do Norte. Consulte as Funções e a Ordem de Serviço para obter mais informações. Requisitos do Cargo Experiência Necessária: Sim Meses de Experiência Necessários: 3 Requisitos Especiais: Detalhes sobre o Horário de Trabalho: Dias"&amp;" de trabalho: Domingo a sábado, conforme agendado. Horário de trabalho: 6h às 14h. O empregador oferecerá pelo menos 40 horas de trabalho por semana. Até 16 horas extras podem estar disponíveis por semana, dependendo das necessidades da empresa. Os dias e"&amp;" turnos podem variar de acordo com a demanda de produção. Detalhes sobre a Oferta Salarial/Garantia de Pagamento por Peça: Os trabalhadores serão pagos por peça produzida. O método atual de pagamento por peça do empregador é calculado em 15% do pão produz"&amp;"ido pelo trabalhador. O empregador garante que o total de ganhos de cada trabalhador em cada semana de trabalho será igual ou superior ao salário oferecido de US$ 13,37 por hora, para todas as horas trabalhadas. O empregador manterá registros precisos das"&amp;" horas trabalhadas e dos ganhos por peça. Se, ao final de qualquer semana de trabalho, os ganhos por peça do trabalhador não forem iguais ou superiores ao valor que o trabalhador teria ganho se tivesse recebido US$ 13,37 por hora, para cada hora trabalhad"&amp;"a, o empregador complementará o pagamento do trabalhador no mesmo período de pagamento, de forma que o total de ganhos semanais do trabalhador seja pelo menos igual a US$ 13,37 por hora, para cada hora trabalhada. Número de Horas por Semana: 56. Horário d"&amp;"e Trabalho (Início/Término): 6h00. - 14h00")</f>
        <v>• Verificar a qualidade dos produtos e identificar itens danificados ou vencidos. • Ajustar a temperatura do forno e colocar os itens em fornos quentes para assar. • Combinar os ingredientes medidos em tigelas de misturadores, liquidificadores ou equipamentos de cozimento. • Colocar a massa em formas, moldes ou assadeiras e assar em fornos de produção ou grelhas. • Ajustar o tempo e a velocidade de misturadores, liquidificadores ou caldeiras a vapor para que os ingredientes sejam misturados ou cozidos de acordo com as instruções. • Medir ou pesar farinha ou outros ingredientes para preparar massas, recheios ou coberturas, usando balanças ou recipientes graduados. • Observar a cor dos produtos assados ​​e ajustar a temperatura do forno, a umidade ou a velocidade da esteira de acordo. • Verificar a qualidade das matérias-primas para garantir que os padrões e especificações sejam atendidos. • Verificar os equipamentos para garantir que atendam às normas de saúde e segurança e realizar a manutenção ou limpeza, conforme necessário. • Adaptar a quantidade de ingredientes à quantidade de itens a serem assados. • Aplicar glacês, coberturas ou outros revestimentos aos produtos assados, usando espátulas ou pincéis. • Decorar produtos de panificação, como bolos ou doces. • Abrir, sovar, cortar ou moldar a massa para formar pães doces, bases de tortas, tarteletes, biscoitos ou outros produtos. • Direcionar ou coordenar as entregas da padaria. • Encomendar ou receber suprimentos ou equipamentos. • Preparar ou manter registros de estoque ou produção. • Operar máquinas de fatiar ou embalar. Classificação do Cargo: 51-3011.00 - Padeiros A classificação e descrição do cargo/setor incluem informações gerais sobre a posição, de acordo com o ONET/OES e o Sistema de Classificação Industrial da América do Norte. Consulte as Funções e a Ordem de Serviço para obter mais informações. Requisitos do Cargo Experiência Necessária: Sim Meses de Experiência Necessários: 3 Requisitos Especiais: Detalhes sobre o Horário de Trabalho: Dias de trabalho: Domingo a sábado, conforme agendado. Horário de trabalho: 6h às 14h. O empregador oferecerá pelo menos 40 horas de trabalho por semana. Até 16 horas extras podem estar disponíveis por semana, dependendo das necessidades da empresa. Os dias e turnos podem variar de acordo com a demanda de produção. Detalhes sobre a Oferta Salarial/Garantia de Pagamento por Peça: Os trabalhadores serão pagos por peça produzida. O método atual de pagamento por peça do empregador é calculado em 15% do pão produzido pelo trabalhador. O empregador garante que o total de ganhos de cada trabalhador em cada semana de trabalho será igual ou superior ao salário oferecido de US$ 13,37 por hora, para todas as horas trabalhadas. O empregador manterá registros precisos das horas trabalhadas e dos ganhos por peça. Se, ao final de qualquer semana de trabalho, os ganhos por peça do trabalhador não forem iguais ou superiores ao valor que o trabalhador teria ganho se tivesse recebido US$ 13,37 por hora, para cada hora trabalhada, o empregador complementará o pagamento do trabalhador no mesmo período de pagamento, de forma que o total de ganhos semanais do trabalhador seja pelo menos igual a US$ 13,37 por hora, para cada hora trabalhada. Número de Horas por Semana: 56. Horário de Trabalho (Início/Término): 6h00. - 14h00</v>
      </c>
    </row>
    <row r="1942" ht="20.25" customHeight="1">
      <c r="A1942" s="3" t="s">
        <v>8689</v>
      </c>
      <c r="B1942" s="3" t="s">
        <v>8690</v>
      </c>
      <c r="C1942" s="3" t="s">
        <v>6339</v>
      </c>
      <c r="D1942" s="3" t="s">
        <v>532</v>
      </c>
      <c r="E1942" s="4" t="s">
        <v>19</v>
      </c>
      <c r="F1942" s="4" t="s">
        <v>20</v>
      </c>
      <c r="G1942" s="4" t="s">
        <v>377</v>
      </c>
      <c r="H1942" s="3" t="s">
        <v>8691</v>
      </c>
      <c r="I1942" s="3" t="s">
        <v>8692</v>
      </c>
      <c r="J1942" s="4">
        <v>19.42</v>
      </c>
      <c r="K1942" s="4">
        <v>1.0</v>
      </c>
      <c r="L1942" s="3" t="s">
        <v>3876</v>
      </c>
      <c r="M1942" s="3" t="s">
        <v>8693</v>
      </c>
      <c r="N1942" s="7" t="str">
        <f>IFERROR(__xludf.DUMMYFUNCTION("GOOGLETRANSLATE(L1942, ""en"", ""pt"")"),"tratador de cavalos para exposições equestres")</f>
        <v>tratador de cavalos para exposições equestres</v>
      </c>
      <c r="O1942" s="7" t="str">
        <f>IFERROR(__xludf.DUMMYFUNCTION("IF(M1942="""","""",GOOGLETRANSLATE(M1942,""en"",""pt""))"),"Responsável pelos cuidados gerais de cavalos de exposição, incluindo escovação, banho, alimentação, hidratação, curativos nas patas, manutenção das baias e arreios, inspeção da condição física dos cavalos e colocação dos arreios. Acompanhar os cavalos até"&amp;" e a partir da pista de competição e em exposições equestres na Califórnia. Cuidar de 1 a 5 cavalos por vez. Turno dividido. Classificação da vaga: 39-2021.00 - Cuidadores de Animais. A classificação e descrição da vaga/setor inclui informações gerais sob"&amp;"re o cargo, de acordo com o ONET/OES e o Sistema de Classificação Industrial da América do Norte. Consulte as Funções e a Ordem de Serviço para obter mais informações. Requisitos da vaga: Experiência necessária: Sim. Meses de experiência necessários: 3. R"&amp;"equisitos especiais: Turno dividido obrigatório - 6h às 11h e 14h às 17h. Número de horas por semana: 40. Horário de trabalho (início/término): 6h às 17h.")</f>
        <v>Responsável pelos cuidados gerais de cavalos de exposição, incluindo escovação, banho, alimentação, hidratação, curativos nas patas, manutenção das baias e arreios, inspeção da condição física dos cavalos e colocação dos arreios. Acompanhar os cavalos até e a partir da pista de competição e em exposições equestres na Califórnia. Cuidar de 1 a 5 cavalos por vez. Turno dividido. Classificação da vaga: 39-2021.00 - Cuidadores de Animais. A classificação e descrição da vaga/setor inclui informações gerais sobre o cargo, de acordo com o ONET/OES e o Sistema de Classificação Industrial da América do Norte. Consulte as Funções e a Ordem de Serviço para obter mais informações. Requisitos da vaga: Experiência necessária: Sim. Meses de experiência necessários: 3. Requisitos especiais: Turno dividido obrigatório - 6h às 11h e 14h às 17h. Número de horas por semana: 40. Horário de trabalho (início/término): 6h às 17h.</v>
      </c>
    </row>
    <row r="1943" ht="20.25" customHeight="1">
      <c r="A1943" s="8" t="s">
        <v>8694</v>
      </c>
      <c r="B1943" s="8" t="s">
        <v>8695</v>
      </c>
      <c r="C1943" s="8" t="s">
        <v>8478</v>
      </c>
      <c r="D1943" s="8" t="s">
        <v>254</v>
      </c>
      <c r="E1943" s="9" t="s">
        <v>19</v>
      </c>
      <c r="F1943" s="9" t="s">
        <v>20</v>
      </c>
      <c r="G1943" s="9" t="s">
        <v>229</v>
      </c>
      <c r="H1943" s="8" t="s">
        <v>8696</v>
      </c>
      <c r="I1943" s="8" t="s">
        <v>8697</v>
      </c>
      <c r="J1943" s="9">
        <v>18.54</v>
      </c>
      <c r="K1943" s="9">
        <v>7.0</v>
      </c>
      <c r="L1943" s="8" t="s">
        <v>8698</v>
      </c>
      <c r="M1943" s="8" t="s">
        <v>8699</v>
      </c>
      <c r="N1943" s="7" t="str">
        <f>IFERROR(__xludf.DUMMYFUNCTION("GOOGLETRANSLATE(L1943, ""en"", ""pt"")"),"Corte e poda de grama")</f>
        <v>Corte e poda de grama</v>
      </c>
      <c r="O1943" s="7" t="str">
        <f>IFERROR(__xludf.DUMMYFUNCTION("IF(M1943="""","""",GOOGLETRANSLATE(M1943,""en"",""pt""))"),"Pode incluir, mas não se limita a: - Recolher e remover lixo. - Utilizar ferramentas manuais, como pás, ancinhos, serras de poda, serras, roçadeiras, aparadores de sebes ou arbustos, ou machados. - Podar ou aparar arbustos ou sebes, utilizando tesouras de"&amp;" poda. - Cuidar de gramados e pastagens, capinando, removendo palha, aparando ou delimitando canteiros de flores, caminhos ou muros. - Aparar ou colher flores e ervas daninhas. - Cortar ou delimitar gramados e pastagens, utilizando cortadores de grama ou "&amp;"aparadores motorizados. - Recolher folhas e feno. Classificação da Função: 37-3011.00 - Trabalhadores de Paisagismo e Manutenção de Áreas Verdes. A classificação e descrição da função/indústria inclui informações gerais sobre o cargo, de acordo com o ONET"&amp;"/OES e o Sistema de Classificação Industrial da América do Norte. Consulte as Funções e a Ordem de Serviço para obter mais informações. Requisitos da Vaga Experiência Necessária: Sim Meses de Experiência Necessários: 3 Requisitos Especiais: - Deve estar d"&amp;"isposto e apto a tolerar temperaturas muito altas ou muito baixas. - Deve estar disposto e apto a tolerar ruídos altos. - Deve ter disponibilidade durante todo o período do contrato. - Deve ser capaz de levantar pelo menos 23 kg e realizar trabalho físico"&amp;". - Poderá ser submetido a teste toxicológico pós-contratação, pago pelo empregador. Requisitos e Disposições Especiais: - Horário variável (dias da semana e turnos). Horas extras poderão ser oferecidas. Poderá ser necessário trabalhar nos fins de semana."&amp;" - Todos os locais de trabalho estão a uma distância razoável de carro do local de trabalho principal. - O empregador pagará o maior salário vigente para todos os locais de trabalho durante todo o período de emprego. - O empregador poderá oferecer aumento"&amp;" ou bônus dependendo da experiência e mérito. - Transporte diário é fornecido para todos os locais de trabalho a partir do local de trabalho principal. - O empregador oferece moradia opcional para trabalhadores que não residem a uma distância razoável do "&amp;"local de trabalho principal. Número de horas por semana: 48 Horário de trabalho (início/término): 7h00 - 15h00")</f>
        <v>Pode incluir, mas não se limita a: - Recolher e remover lixo. - Utilizar ferramentas manuais, como pás, ancinhos, serras de poda, serras, roçadeiras, aparadores de sebes ou arbustos, ou machados. - Podar ou aparar arbustos ou sebes, utilizando tesouras de poda. - Cuidar de gramados e pastagens, capinando, removendo palha, aparando ou delimitando canteiros de flores, caminhos ou muros. - Aparar ou colher flores e ervas daninhas. - Cortar ou delimitar gramados e pastagens, utilizando cortadores de grama ou aparadores motorizados. - Recolher folhas e feno. Classificação da Função: 37-3011.00 - Trabalhadores de Paisagismo e Manutenção de Áreas Verdes. A classificação e descrição da função/indústria inclui informações gerais sobre o cargo, de acordo com o ONET/OES e o Sistema de Classificação Industrial da América do Norte. Consulte as Funções e a Ordem de Serviço para obter mais informações. Requisitos da Vaga Experiência Necessária: Sim Meses de Experiência Necessários: 3 Requisitos Especiais: - Deve estar disposto e apto a tolerar temperaturas muito altas ou muito baixas. - Deve estar disposto e apto a tolerar ruídos altos. - Deve ter disponibilidade durante todo o período do contrato. - Deve ser capaz de levantar pelo menos 23 kg e realizar trabalho físico. - Poderá ser submetido a teste toxicológico pós-contratação, pago pelo empregador. Requisitos e Disposições Especiais: - Horário variável (dias da semana e turnos). Horas extras poderão ser oferecidas. Poderá ser necessário trabalhar nos fins de semana. - Todos os locais de trabalho estão a uma distância razoável de carro do local de trabalho principal. - O empregador pagará o maior salário vigente para todos os locais de trabalho durante todo o período de emprego. - O empregador poderá oferecer aumento ou bônus dependendo da experiência e mérito. - Transporte diário é fornecido para todos os locais de trabalho a partir do local de trabalho principal. - O empregador oferece moradia opcional para trabalhadores que não residem a uma distância razoável do local de trabalho principal. Número de horas por semana: 48 Horário de trabalho (início/término): 7h00 - 15h00</v>
      </c>
    </row>
    <row r="1944" ht="20.25" customHeight="1">
      <c r="A1944" s="3" t="s">
        <v>8700</v>
      </c>
      <c r="B1944" s="3" t="s">
        <v>8701</v>
      </c>
      <c r="C1944" s="3" t="s">
        <v>8465</v>
      </c>
      <c r="D1944" s="3" t="s">
        <v>1103</v>
      </c>
      <c r="E1944" s="4" t="s">
        <v>44</v>
      </c>
      <c r="F1944" s="4" t="s">
        <v>20</v>
      </c>
      <c r="G1944" s="4" t="s">
        <v>155</v>
      </c>
      <c r="H1944" s="3" t="s">
        <v>8702</v>
      </c>
      <c r="I1944" s="3" t="s">
        <v>8703</v>
      </c>
      <c r="J1944" s="4">
        <v>20.19</v>
      </c>
      <c r="K1944" s="4">
        <v>38.0</v>
      </c>
      <c r="L1944" s="3" t="s">
        <v>8468</v>
      </c>
      <c r="M1944" s="3" t="s">
        <v>8469</v>
      </c>
      <c r="N1944" s="7" t="str">
        <f>IFERROR(__xludf.DUMMYFUNCTION("GOOGLETRANSLATE(L1944, ""en"", ""pt"")"),"Trabalhador de manutenção de jardins")</f>
        <v>Trabalhador de manutenção de jardins</v>
      </c>
      <c r="O1944" s="7" t="str">
        <f>IFERROR(__xludf.DUMMYFUNCTION("IF(M1944="""","""",GOOGLETRANSLATE(M1944,""en"",""pt""))"),"Manter e cuidar das áreas externas e comuns durante os meses de inverno para garantir que permaneçam limpas, seguras e acessíveis. As tarefas incluem remover neve e gelo de calçadas, entradas de veículos e áreas designadas; aplicar sal ou materiais de deg"&amp;"elo; limpar detritos; e monitorar as condições do local em busca de riscos à segurança. Realizar a limpeza de inverno, como a remoção de galhos caídos e a manutenção geral da propriedade. Auxiliar na manutenção básica de ferramentas e equipamentos utiliza"&amp;"dos para atividades de jardinagem. Utilizar ferramentas manuais e equipamentos básicos para concluir as tarefas atribuídas. Manter as áreas de trabalho limpas, organizadas e seguras. Classificação da vaga: 37-3011.00 - Trabalhadores de Paisagismo e Jardin"&amp;"agem. A classificação e descrição da vaga/setor incluem informações gerais sobre o cargo, de acordo com o ONET/OES e o Sistema de Classificação Industrial da América do Norte. Consulte as Funções e a Ordem de Serviço para obter mais informações. Requisito"&amp;"s da vaga: Experiência necessária: Sim. Meses de experiência necessários: 3. Requisitos especiais: 3 meses de experiência ou experiência relacionada. Número de horas por semana: 40 Horário de trabalho (início/término): 7h00 - 16h00")</f>
        <v>Manter e cuidar das áreas externas e comuns durante os meses de inverno para garantir que permaneçam limpas, seguras e acessíveis. As tarefas incluem remover neve e gelo de calçadas, entradas de veículos e áreas designadas; aplicar sal ou materiais de degelo; limpar detritos; e monitorar as condições do local em busca de riscos à segurança. Realizar a limpeza de inverno, como a remoção de galhos caídos e a manutenção geral da propriedade. Auxiliar na manutenção básica de ferramentas e equipamentos utilizados para atividades de jardinagem. Utilizar ferramentas manuais e equipamentos básicos para concluir as tarefas atribuídas. Manter as áreas de trabalho limpas, organizadas e seguras. Classificação da vaga: 37-3011.00 - Trabalhadores de Paisagismo e Jardinagem. A classificação e descrição da vaga/setor incluem informações gerais sobre o cargo, de acordo com o ONET/OES e o Sistema de Classificação Industrial da América do Norte. Consulte as Funções e a Ordem de Serviço para obter mais informações. Requisitos da vaga: Experiência necessária: Sim. Meses de experiência necessários: 3. Requisitos especiais: 3 meses de experiência ou experiência relacionada. Número de horas por semana: 40 Horário de trabalho (início/término): 7h00 - 16h00</v>
      </c>
    </row>
    <row r="1945" ht="20.25" customHeight="1">
      <c r="A1945" s="8" t="s">
        <v>8704</v>
      </c>
      <c r="B1945" s="8" t="s">
        <v>8705</v>
      </c>
      <c r="C1945" s="8" t="s">
        <v>8706</v>
      </c>
      <c r="D1945" s="8" t="s">
        <v>249</v>
      </c>
      <c r="E1945" s="9" t="s">
        <v>19</v>
      </c>
      <c r="F1945" s="9" t="s">
        <v>20</v>
      </c>
      <c r="G1945" s="9" t="s">
        <v>212</v>
      </c>
      <c r="H1945" s="8" t="s">
        <v>8707</v>
      </c>
      <c r="I1945" s="8" t="s">
        <v>8708</v>
      </c>
      <c r="J1945" s="9">
        <v>24.49</v>
      </c>
      <c r="K1945" s="9">
        <v>9.0</v>
      </c>
      <c r="L1945" s="8" t="s">
        <v>8709</v>
      </c>
      <c r="M1945" s="8" t="s">
        <v>8710</v>
      </c>
      <c r="N1945" s="7" t="str">
        <f>IFERROR(__xludf.DUMMYFUNCTION("GOOGLETRANSLATE(L1945, ""en"", ""pt"")"),"Trabalhador de inverno")</f>
        <v>Trabalhador de inverno</v>
      </c>
      <c r="O1945" s="7" t="str">
        <f>IFERROR(__xludf.DUMMYFUNCTION("IF(M1945="""","""",GOOGLETRANSLATE(M1945,""en"",""pt""))"),"Remoção de neve manual com pá, arado de neve, espalhamento de sal manual e com caminhão, poda de plantas perenes, instalação e remoção de decorações sazonais para clientes residenciais. Manutenção dos equipamentos para garantir o funcionamento adequado. P"&amp;"reparação dos equipamentos de verão para o inverno e para a primavera. Os funcionários realizarão as seguintes tarefas de remoção de neve: removerão a neve manualmente com pás e/ou com um soprador de neve manual; removerão a neve de calçadas, entradas de "&amp;"garagem e passeios em propriedades residenciais e comerciais; e removerão a neve em frente às garagens com pás. Informamos que os funcionários NÃO utilizarão caminhão com arado para remover a neve. A remoção de neve será feita apenas manualmente, com pás "&amp;"e sopradores de neve manuais. Quanto à aplicação de sal, os funcionários o farão manualmente e com o auxílio de um caminhão de sal. Note que o caminhão de sal não possui lâmina de arado e não será utilizado para arar a neve. O sal será aplicado em proprie"&amp;"dades residenciais e comerciais, em calçadas, entradas de garagem e caminhos. Em relação à instalação/remoção de decorações natalinas, os funcionários instalarão luzes sazonais externas, guirlandas, coroas de flores, enfeites e luzes para árvores e decora"&amp;"ções removíveis de jardim, como enfeites de Natal, presépios e animais. Classificação da Função: 49-9099.00 - Trabalhadores de Instalação, Manutenção e Reparo, Outros. A classificação e descrição da função/setor inclui informações gerais sobre o cargo, de"&amp;" acordo com o ONET/OES e o Sistema de Classificação Industrial da América do Norte (NAICS). Consulte as Funções e a Ordem de Serviço para obter mais informações. Requisitos da Função: Experiência Necessária: Não. Requisitos Especiais: Capacidade de levant"&amp;"ar/carregar 23 kg. Exames aleatórios de drogas/álcool e verificação de antecedentes criminais pagos pelo empregador. Número de horas por semana: 40. Horário de trabalho (início/término): 8h às 16h.")</f>
        <v>Remoção de neve manual com pá, arado de neve, espalhamento de sal manual e com caminhão, poda de plantas perenes, instalação e remoção de decorações sazonais para clientes residenciais. Manutenção dos equipamentos para garantir o funcionamento adequado. Preparação dos equipamentos de verão para o inverno e para a primavera. Os funcionários realizarão as seguintes tarefas de remoção de neve: removerão a neve manualmente com pás e/ou com um soprador de neve manual; removerão a neve de calçadas, entradas de garagem e passeios em propriedades residenciais e comerciais; e removerão a neve em frente às garagens com pás. Informamos que os funcionários NÃO utilizarão caminhão com arado para remover a neve. A remoção de neve será feita apenas manualmente, com pás e sopradores de neve manuais. Quanto à aplicação de sal, os funcionários o farão manualmente e com o auxílio de um caminhão de sal. Note que o caminhão de sal não possui lâmina de arado e não será utilizado para arar a neve. O sal será aplicado em propriedades residenciais e comerciais, em calçadas, entradas de garagem e caminhos. Em relação à instalação/remoção de decorações natalinas, os funcionários instalarão luzes sazonais externas, guirlandas, coroas de flores, enfeites e luzes para árvores e decorações removíveis de jardim, como enfeites de Natal, presépios e animais. Classificação da Função: 49-9099.00 - Trabalhadores de Instalação, Manutenção e Reparo, Outros. A classificação e descrição da função/setor inclui informações gerais sobre o cargo, de acordo com o ONET/OES e o Sistema de Classificação Industrial da América do Norte (NAICS). Consulte as Funções e a Ordem de Serviço para obter mais informações. Requisitos da Função: Experiência Necessária: Não. Requisitos Especiais: Capacidade de levantar/carregar 23 kg. Exames aleatórios de drogas/álcool e verificação de antecedentes criminais pagos pelo empregador. Número de horas por semana: 40. Horário de trabalho (início/término): 8h às 16h.</v>
      </c>
    </row>
    <row r="1946" ht="20.25" customHeight="1">
      <c r="A1946" s="3" t="s">
        <v>8711</v>
      </c>
      <c r="B1946" s="3" t="s">
        <v>8712</v>
      </c>
      <c r="C1946" s="3" t="s">
        <v>6228</v>
      </c>
      <c r="D1946" s="3" t="s">
        <v>64</v>
      </c>
      <c r="E1946" s="4" t="s">
        <v>19</v>
      </c>
      <c r="F1946" s="4" t="s">
        <v>20</v>
      </c>
      <c r="G1946" s="4" t="s">
        <v>56</v>
      </c>
      <c r="H1946" s="3" t="s">
        <v>8713</v>
      </c>
      <c r="I1946" s="3" t="s">
        <v>8714</v>
      </c>
      <c r="J1946" s="4">
        <v>17.0</v>
      </c>
      <c r="K1946" s="4">
        <v>8.0</v>
      </c>
      <c r="L1946" s="3" t="s">
        <v>8715</v>
      </c>
      <c r="M1946" s="3" t="s">
        <v>8716</v>
      </c>
      <c r="N1946" s="7" t="str">
        <f>IFERROR(__xludf.DUMMYFUNCTION("GOOGLETRANSLATE(L1946, ""en"", ""pt"")"),"Auxiliares de limpeza")</f>
        <v>Auxiliares de limpeza</v>
      </c>
      <c r="O1946" s="7" t="str">
        <f>IFERROR(__xludf.DUMMYFUNCTION("IF(M1946="""","""",GOOGLETRANSLATE(M1946,""en"",""pt""))"),"A camareira será responsável pela limpeza completa dos quartos de hóspedes, incluindo arrumar as camas, limpar os banheiros, aspirar e tirar o pó. Outras responsabilidades incluem repor e substituir itens usados ​​nos quartos. Comunicar o status da limpez"&amp;"a de cada quarto após a conclusão. Remover bandejas e mesas de serviço de quarto dos quartos. Abastecer o carrinho de suprimentos e garantir que esteja sempre organizado. Verificar todos os equipamentos antes e depois do uso para garantir que estejam em b"&amp;"oas condições de funcionamento. Responder a todos os hóspedes do hotel de forma eficiente e cordial. Classificação da vaga: 37-2012.00 - Camareiras e Auxiliares de Limpeza. A classificação e descrição da vaga/setor incluem informações gerais sobre o cargo"&amp;", de acordo com o ONET/OES e o Sistema de Classificação Industrial da América do Norte. Consulte as Funções e a Ordem de Serviço para obter mais informações. Requisitos da vaga: Experiência necessária: Sim. Meses de experiência necessários: 1. Requisitos "&amp;"especiais: Esta posição exige muita atenção aos detalhes e habilidades de atendimento ao cliente. Capacidade e disposição para ficar em pé por 8 horas seguidas. O(A) funcionário(a) deve ter capacidade e disposição para se abaixar, esticar, alcançar e empu"&amp;"rrar até 9 kg. É necessário ter disponibilidade para trabalhar em horários variados, incluindo fins de semana e feriados, e ser capaz de se comunicar de forma eficaz. Os candidatos devem preencher uma ficha de inscrição para emprego. O horário de trabalho"&amp;" é o seguinte: 35 horas semanais, cinco dias por semana, com turnos de 8 horas, de segunda a sexta-feira: turno de 8 horas entre 8h e 17h (turnos: 8h às 16h30 OU 8h30 às 17h). Sábado e domingo: turnos de 8 horas entre 9h e 18h (turnos: 9h às 17h30 OU 9h30"&amp;" às 18h). Número de horas por semana: 35. Horário de trabalho (início/término): 8h às 18h.")</f>
        <v>A camareira será responsável pela limpeza completa dos quartos de hóspedes, incluindo arrumar as camas, limpar os banheiros, aspirar e tirar o pó. Outras responsabilidades incluem repor e substituir itens usados ​​nos quartos. Comunicar o status da limpeza de cada quarto após a conclusão. Remover bandejas e mesas de serviço de quarto dos quartos. Abastecer o carrinho de suprimentos e garantir que esteja sempre organizado. Verificar todos os equipamentos antes e depois do uso para garantir que estejam em boas condições de funcionamento. Responder a todos os hóspedes do hotel de forma eficiente e cordial. Classificação da vaga: 37-2012.00 - Camareiras e Auxiliares de Limpeza. A classificação e descrição da vaga/setor incluem informações gerais sobre o cargo, de acordo com o ONET/OES e o Sistema de Classificação Industrial da América do Norte. Consulte as Funções e a Ordem de Serviço para obter mais informações. Requisitos da vaga: Experiência necessária: Sim. Meses de experiência necessários: 1. Requisitos especiais: Esta posição exige muita atenção aos detalhes e habilidades de atendimento ao cliente. Capacidade e disposição para ficar em pé por 8 horas seguidas. O(A) funcionário(a) deve ter capacidade e disposição para se abaixar, esticar, alcançar e empurrar até 9 kg. É necessário ter disponibilidade para trabalhar em horários variados, incluindo fins de semana e feriados, e ser capaz de se comunicar de forma eficaz. Os candidatos devem preencher uma ficha de inscrição para emprego. O horário de trabalho é o seguinte: 35 horas semanais, cinco dias por semana, com turnos de 8 horas, de segunda a sexta-feira: turno de 8 horas entre 8h e 17h (turnos: 8h às 16h30 OU 8h30 às 17h). Sábado e domingo: turnos de 8 horas entre 9h e 18h (turnos: 9h às 17h30 OU 9h30 às 18h). Número de horas por semana: 35. Horário de trabalho (início/término): 8h às 18h.</v>
      </c>
    </row>
    <row r="1947" ht="20.25" customHeight="1">
      <c r="A1947" s="8" t="s">
        <v>8717</v>
      </c>
      <c r="B1947" s="8" t="s">
        <v>8718</v>
      </c>
      <c r="C1947" s="8" t="s">
        <v>8478</v>
      </c>
      <c r="D1947" s="8" t="s">
        <v>87</v>
      </c>
      <c r="E1947" s="9" t="s">
        <v>44</v>
      </c>
      <c r="F1947" s="9" t="s">
        <v>20</v>
      </c>
      <c r="G1947" s="9" t="s">
        <v>80</v>
      </c>
      <c r="H1947" s="8" t="s">
        <v>8719</v>
      </c>
      <c r="I1947" s="8" t="s">
        <v>8720</v>
      </c>
      <c r="J1947" s="9">
        <v>14.55</v>
      </c>
      <c r="K1947" s="9">
        <v>150.0</v>
      </c>
      <c r="L1947" s="8" t="s">
        <v>1140</v>
      </c>
      <c r="M1947" s="8" t="s">
        <v>8721</v>
      </c>
      <c r="N1947" s="7" t="str">
        <f>IFERROR(__xludf.DUMMYFUNCTION("GOOGLETRANSLATE(L1947, ""en"", ""pt"")"),"Trabalhadores Florestais")</f>
        <v>Trabalhadores Florestais</v>
      </c>
      <c r="O1947" s="7" t="str">
        <f>IFERROR(__xludf.DUMMYFUNCTION("IF(M1947="""","""",GOOGLETRANSLATE(M1947,""en"",""pt""))"),"Pode incluir, entre outras atividades: - Preparar e plantar árvores e mudas manualmente; - Pulverizar ou injetar inseticidas na vegetação para matar insetos ou protegê-la contra doenças, ou herbicidas para reduzir a competição com outras plantas; - Desbas"&amp;"tar ou espaçar árvores usando motosserras de desbaste; - Identificar árvores doentes ou indesejáveis ​​e removê-las usando motosserras ou serras manuais; - Verificar se o equipamento está funcionando corretamente; - Conversar com outros trabalhadores para"&amp;" discutir assuntos como segurança, altura de corte ou necessidades do trabalho; - Manter registros das árvores examinadas e contadas durante a marcação ou medição. Classificação da Função: 45-4011.00 - Trabalhadores Florestais e de Conservação. A classifi"&amp;"cação e descrição da função/setor inclui informações gerais sobre o cargo, de acordo com o ONET/OES e o Sistema de Classificação Industrial da América do Norte. Consulte as Funções e a Ordem de Serviço para obter mais informações. Requisitos da Função Exp"&amp;"eriência Necessária: Não. Requisitos Especiais: - Ter no mínimo 18 anos de idade (para viagens); - Estar disposto e apto a tolerar temperaturas muito altas ou muito baixas. - Deve estar disposto e apto a tolerar ruídos altos. - Deve ser capaz de caminhar "&amp;"longas distâncias ao longo do dia e realizar trabalho físico. - Deve ser capaz de caminhar consideravelmente (até 24 km/dia). - Deve ser capaz de se abaixar e se curvar carregando uma mochila (até 23 kg) em terrenos acidentados (fora de trilhas). - Deve t"&amp;"er disponibilidade durante todo o período do contrato. - Deve estar disposto e apto a viajar a cada 2-3 dias, seguindo um itinerário. - Poderá ser submetido a teste antidrogas pós-contratação, pago pelo empregador. Requisitos e Disposições Especiais: - Ho"&amp;"rário variável (dias da semana e turnos). Horas extras poderão ser oferecidas. Poderá ser necessário trabalhar nos fins de semana. - O trabalho será realizado em diversos locais (consulte a lista de todos os municípios incluídos no itinerário para referên"&amp;"cia). - Viagens diárias ou semanais periódicas. - O itinerário está sujeito a alterações dependendo das condições climáticas e de fatores externos. - O salário por hora varia de acordo com a localização. Consulte o Anexo A para obter detalhes. - O emprega"&amp;"dor pagará o maior salário vigente em cada local de trabalho durante todo o período de emprego. - O empregador poderá oferecer um bônus dependendo da experiência e do mérito. - O transporte diário para todos os locais de trabalho é fornecido a partir do l"&amp;"ocal de trabalho principal. - O empregador oferece acomodação opcional, gratuita, para os trabalhadores que não residem a uma distância razoável do local de trabalho principal. - Os funcionários deverão viajar a cada 2-3 dias, seguindo um itinerário que a"&amp;"brange AL, DE, FL, GA, IA, IL, IN, KY, MD, ME, MN, MO, MS, NC, OH, PA, SC, TN, TX, VA e WV. O itinerário começa no Condado de Colleton, Carolina do Sul. Número de horas por semana: 35. Horário de trabalho (início/término): 8h00 - 15h30.")</f>
        <v>Pode incluir, entre outras atividades: - Preparar e plantar árvores e mudas manualmente; - Pulverizar ou injetar inseticidas na vegetação para matar insetos ou protegê-la contra doenças, ou herbicidas para reduzir a competição com outras plantas; - Desbastar ou espaçar árvores usando motosserras de desbaste; - Identificar árvores doentes ou indesejáveis ​​e removê-las usando motosserras ou serras manuais; - Verificar se o equipamento está funcionando corretamente; - Conversar com outros trabalhadores para discutir assuntos como segurança, altura de corte ou necessidades do trabalho; - Manter registros das árvores examinadas e contadas durante a marcação ou medição. Classificação da Função: 45-4011.00 - Trabalhadores Florestais e de Conservação. A classificação e descrição da função/setor inclui informações gerais sobre o cargo, de acordo com o ONET/OES e o Sistema de Classificação Industrial da América do Norte. Consulte as Funções e a Ordem de Serviço para obter mais informações. Requisitos da Função Experiência Necessária: Não. Requisitos Especiais: - Ter no mínimo 18 anos de idade (para viagens); - Estar disposto e apto a tolerar temperaturas muito altas ou muito baixas. - Deve estar disposto e apto a tolerar ruídos altos. - Deve ser capaz de caminhar longas distâncias ao longo do dia e realizar trabalho físico. - Deve ser capaz de caminhar consideravelmente (até 24 km/dia). - Deve ser capaz de se abaixar e se curvar carregando uma mochila (até 23 kg) em terrenos acidentados (fora de trilhas). - Deve ter disponibilidade durante todo o período do contrato. - Deve estar disposto e apto a viajar a cada 2-3 dias, seguindo um itinerário. - Poderá ser submetido a teste antidrogas pós-contratação, pago pelo empregador. Requisitos e Disposições Especiais: - Horário variável (dias da semana e turnos). Horas extras poderão ser oferecidas. Poderá ser necessário trabalhar nos fins de semana. - O trabalho será realizado em diversos locais (consulte a lista de todos os municípios incluídos no itinerário para referência). - Viagens diárias ou semanais periódicas. - O itinerário está sujeito a alterações dependendo das condições climáticas e de fatores externos. - O salário por hora varia de acordo com a localização. Consulte o Anexo A para obter detalhes. - O empregador pagará o maior salário vigente em cada local de trabalho durante todo o período de emprego. - O empregador poderá oferecer um bônus dependendo da experiência e do mérito. - O transporte diário para todos os locais de trabalho é fornecido a partir do local de trabalho principal. - O empregador oferece acomodação opcional, gratuita, para os trabalhadores que não residem a uma distância razoável do local de trabalho principal. - Os funcionários deverão viajar a cada 2-3 dias, seguindo um itinerário que abrange AL, DE, FL, GA, IA, IL, IN, KY, MD, ME, MN, MO, MS, NC, OH, PA, SC, TN, TX, VA e WV. O itinerário começa no Condado de Colleton, Carolina do Sul. Número de horas por semana: 35. Horário de trabalho (início/término): 8h00 - 15h30.</v>
      </c>
    </row>
    <row r="1948" ht="20.25" customHeight="1">
      <c r="A1948" s="3" t="s">
        <v>8722</v>
      </c>
      <c r="B1948" s="3" t="s">
        <v>8723</v>
      </c>
      <c r="C1948" s="3" t="s">
        <v>8465</v>
      </c>
      <c r="D1948" s="3" t="s">
        <v>1978</v>
      </c>
      <c r="E1948" s="4" t="s">
        <v>19</v>
      </c>
      <c r="F1948" s="4" t="s">
        <v>20</v>
      </c>
      <c r="G1948" s="4" t="s">
        <v>524</v>
      </c>
      <c r="H1948" s="3" t="s">
        <v>8724</v>
      </c>
      <c r="I1948" s="3" t="s">
        <v>8725</v>
      </c>
      <c r="J1948" s="4">
        <v>19.49</v>
      </c>
      <c r="K1948" s="4">
        <v>37.0</v>
      </c>
      <c r="L1948" s="3" t="s">
        <v>2752</v>
      </c>
      <c r="M1948" s="3" t="s">
        <v>8726</v>
      </c>
      <c r="N1948" s="7" t="str">
        <f>IFERROR(__xludf.DUMMYFUNCTION("GOOGLETRANSLATE(L1948, ""en"", ""pt"")"),"Ajudante de Telhador")</f>
        <v>Ajudante de Telhador</v>
      </c>
      <c r="O1948" s="7" t="str">
        <f>IFERROR(__xludf.DUMMYFUNCTION("IF(M1948="""","""",GOOGLETRANSLATE(M1948,""en"",""pt""))"),"Auxiliar os telhadistas na montagem e desmontagem de escadas, andaimes e outros equipamentos. Auxiliar os telhadistas em tarefas como aplicação de feltro para telhados, faixas de asfalto ou outros materiais. Limpar a área de trabalho e os equipamentos. Pr"&amp;"eparar a área de trabalho, removendo detritos e garantindo um ambiente de trabalho seguro. Classificação da função: 47-2181.00 - Telhadistas. A classificação e descrição da função/setor incluem informações gerais sobre o cargo, de acordo com o ONET/OES e "&amp;"o Sistema de Classificação Industrial da América do Norte (NAICS). Consulte as Funções e a Ordem de Serviço para obter mais informações. Requisitos da vaga: Experiência necessária: Sim. Meses de experiência necessários: 3. Requisitos especiais: 3 meses de"&amp;" experiência ou área relacionada. Número de horas por semana: 40. Horário de trabalho (início/término): 7h às 16h.")</f>
        <v>Auxiliar os telhadistas na montagem e desmontagem de escadas, andaimes e outros equipamentos. Auxiliar os telhadistas em tarefas como aplicação de feltro para telhados, faixas de asfalto ou outros materiais. Limpar a área de trabalho e os equipamentos. Preparar a área de trabalho, removendo detritos e garantindo um ambiente de trabalho seguro. Classificação da função: 47-2181.00 - Telhadistas. A classificação e descrição da função/setor incluem informações gerais sobre o cargo, de acordo com o ONET/OES e o Sistema de Classificação Industrial da América do Norte (NAICS). Consulte as Funções e a Ordem de Serviço para obter mais informações. Requisitos da vaga: Experiência necessária: Sim. Meses de experiência necessários: 3. Requisitos especiais: 3 meses de experiência ou área relacionada. Número de horas por semana: 40. Horário de trabalho (início/término): 7h às 16h.</v>
      </c>
    </row>
    <row r="1949" ht="20.25" customHeight="1">
      <c r="A1949" s="8" t="s">
        <v>8727</v>
      </c>
      <c r="B1949" s="8" t="s">
        <v>8728</v>
      </c>
      <c r="C1949" s="8" t="s">
        <v>8729</v>
      </c>
      <c r="D1949" s="8" t="s">
        <v>71</v>
      </c>
      <c r="E1949" s="9" t="s">
        <v>19</v>
      </c>
      <c r="F1949" s="9" t="s">
        <v>20</v>
      </c>
      <c r="G1949" s="9" t="s">
        <v>7174</v>
      </c>
      <c r="H1949" s="8" t="s">
        <v>8730</v>
      </c>
      <c r="I1949" s="8" t="s">
        <v>8731</v>
      </c>
      <c r="J1949" s="9">
        <v>16.65</v>
      </c>
      <c r="K1949" s="9">
        <v>1.0</v>
      </c>
      <c r="L1949" s="8" t="s">
        <v>387</v>
      </c>
      <c r="M1949" s="8" t="s">
        <v>8732</v>
      </c>
      <c r="N1949" s="7" t="str">
        <f>IFERROR(__xludf.DUMMYFUNCTION("GOOGLETRANSLATE(L1949, ""en"", ""pt"")"),"Ordem de serviço não disponível")</f>
        <v>Ordem de serviço não disponível</v>
      </c>
      <c r="O1949" s="7" t="str">
        <f>IFERROR(__xludf.DUMMYFUNCTION("IF(M1949="""","""",GOOGLETRANSLATE(M1949,""en"",""pt""))"),"Cuidar de crianças em residências particulares e fornecer apoio e conhecimento especializado aos pais para atender às suas necessidades físicas, emocionais, intelectuais e sociais. As responsabilidades incluem planejamento e preparo de refeições, lavagem "&amp;"e cuidados com as roupas, organização de atividades lúdicas e passeios, disciplina, estimulação intelectual, atividades de linguagem e transporte das crianças. Classificação da vaga: 39-9011.01 - Babás. A classificação e descrição da vaga/setor incluem in"&amp;"formações gerais sobre o cargo, de acordo com o ONET/OES e o Sistema de Classificação Industrial da América do Norte. Consulte as Funções e a Ordem de Serviço para obter mais informações. Requisitos da vaga: Experiência necessária: Sim. Meses de experiênc"&amp;"ia necessários: 12. Número de horas por semana: 80. Horário de trabalho (início/término): 6h às 20h.")</f>
        <v>Cuidar de crianças em residências particulares e fornecer apoio e conhecimento especializado aos pais para atender às suas necessidades físicas, emocionais, intelectuais e sociais. As responsabilidades incluem planejamento e preparo de refeições, lavagem e cuidados com as roupas, organização de atividades lúdicas e passeios, disciplina, estimulação intelectual, atividades de linguagem e transporte das crianças. Classificação da vaga: 39-9011.01 - Babás. A classificação e descrição da vaga/setor incluem informações gerais sobre o cargo, de acordo com o ONET/OES e o Sistema de Classificação Industrial da América do Norte. Consulte as Funções e a Ordem de Serviço para obter mais informações. Requisitos da vaga: Experiência necessária: Sim. Meses de experiência necessários: 12. Número de horas por semana: 80. Horário de trabalho (início/término): 6h às 20h.</v>
      </c>
    </row>
    <row r="1950" ht="20.25" customHeight="1">
      <c r="A1950" s="3" t="s">
        <v>8733</v>
      </c>
      <c r="B1950" s="3" t="s">
        <v>8734</v>
      </c>
      <c r="C1950" s="3" t="s">
        <v>8478</v>
      </c>
      <c r="D1950" s="3" t="s">
        <v>1051</v>
      </c>
      <c r="E1950" s="4" t="s">
        <v>19</v>
      </c>
      <c r="F1950" s="4" t="s">
        <v>20</v>
      </c>
      <c r="G1950" s="4" t="s">
        <v>1459</v>
      </c>
      <c r="H1950" s="3" t="s">
        <v>8735</v>
      </c>
      <c r="I1950" s="3" t="s">
        <v>8736</v>
      </c>
      <c r="J1950" s="4">
        <v>18.61</v>
      </c>
      <c r="K1950" s="4">
        <v>30.0</v>
      </c>
      <c r="L1950" s="3" t="s">
        <v>8737</v>
      </c>
      <c r="M1950" s="3" t="s">
        <v>8738</v>
      </c>
      <c r="N1950" s="7" t="str">
        <f>IFERROR(__xludf.DUMMYFUNCTION("GOOGLETRANSLATE(L1950, ""en"", ""pt"")"),"Montagem de Coroa de Flores e Guirlandas")</f>
        <v>Montagem de Coroa de Flores e Guirlandas</v>
      </c>
      <c r="O1950" s="7" t="str">
        <f>IFERROR(__xludf.DUMMYFUNCTION("IF(M1950="""","""",GOOGLETRANSLATE(M1950,""en"",""pt""))"),"***Resposta à Solicitação de Informações (RFI)*** - Retirar folhagens e arames de caixas para fazer arranjos florais - Cortar folhagens e fazer o arranjo final usando arame - Limpar a área de trabalho, varrendo materiais florais soltos e descartando mater"&amp;"iais danificados no lixo. Ferramentas e equipamentos incluem: tesouras de poda e torcedores de arame. Materiais incluem: pinheiro-nobre, pinheiro-douglas, cedro, zimbro, folhagens, pinhas, anéis e arame. ***F.a.2 Original*** Pode incluir, entre outras ati"&amp;"vidades: - Regar plantas, cortar, condicionar e limpar flores e folhagens para armazenamento - Aparar materiais e arranjar buquês, coroas e outros itens, usando tesouras de poda, modeladores, arame, alfinetes, fita floral, espuma floral e outros materiais"&amp;". - Embalar e precificar arranjos finalizados. - Desembalar o estoque conforme chega à loja. - Realizar tarefas gerais de limpeza na loja para garantir que esteja limpa e organizada. Classificação do Cargo: 27-1023.00 - Designers Florais. A classificação "&amp;"e descrição do cargo/setor inclui informações gerais sobre a posição, de acordo com o ONET/OES e o Sistema de Classificação Industrial da América do Norte. Consulte a Descrição das Funções e a Ordem de Serviço para obter mais informações. Requisitos da Va"&amp;"ga Experiência Necessária: Não Requisitos Especiais: - Deve demonstrar destreza manual - Deve demonstrar atenção aos detalhes - Deve estar disposto e apto a tolerar temperaturas muito altas ou muito baixas. - Deve ter disponibilidade durante todo o períod"&amp;"o do contrato. - Poderá ser submetido a teste toxicológico pós-contratação, pago pelo empregador. - Deve atingir a meta de produção de 10 guirlandas por hora. - Deve ser capaz de levantar até 23 kg. Requisitos e Disposições Especiais: - Horário variável ("&amp;"dias da semana e turnos). Horas extras poderão ser oferecidas. Poderá ser necessário trabalhar nos fins de semana. - O empregador poderá oferecer aumento salarial ou bônus, dependendo da experiência e do mérito. - O transporte diário não é fornecido, mas "&amp;"o empregador auxiliará na obtenção de transporte até o local de trabalho, se necessário. - O empregador auxilia os funcionários que não residem em uma distância razoável do local de trabalho principal a encontrarem moradia. - Um possível auxílio-moradia p"&amp;"oderá ser disponibilizado, mediante aprovação da empresa. Número de horas por semana: 40 Horário de trabalho (início/término): 7h00 - 15h30")</f>
        <v>***Resposta à Solicitação de Informações (RFI)*** - Retirar folhagens e arames de caixas para fazer arranjos florais - Cortar folhagens e fazer o arranjo final usando arame - Limpar a área de trabalho, varrendo materiais florais soltos e descartando materiais danificados no lixo. Ferramentas e equipamentos incluem: tesouras de poda e torcedores de arame. Materiais incluem: pinheiro-nobre, pinheiro-douglas, cedro, zimbro, folhagens, pinhas, anéis e arame. ***F.a.2 Original*** Pode incluir, entre outras atividades: - Regar plantas, cortar, condicionar e limpar flores e folhagens para armazenamento - Aparar materiais e arranjar buquês, coroas e outros itens, usando tesouras de poda, modeladores, arame, alfinetes, fita floral, espuma floral e outros materiais. - Embalar e precificar arranjos finalizados. - Desembalar o estoque conforme chega à loja. - Realizar tarefas gerais de limpeza na loja para garantir que esteja limpa e organizada. Classificação do Cargo: 27-1023.00 - Designers Florais. A classificação e descrição do cargo/setor inclui informações gerais sobre a posição, de acordo com o ONET/OES e o Sistema de Classificação Industrial da América do Norte. Consulte a Descrição das Funções e a Ordem de Serviço para obter mais informações. Requisitos da Vaga Experiência Necessária: Não Requisitos Especiais: - Deve demonstrar destreza manual - Deve demonstrar atenção aos detalhes - Deve estar disposto e apto a tolerar temperaturas muito altas ou muito baixas. - Deve ter disponibilidade durante todo o período do contrato. - Poderá ser submetido a teste toxicológico pós-contratação, pago pelo empregador. - Deve atingir a meta de produção de 10 guirlandas por hora. - Deve ser capaz de levantar até 23 kg. Requisitos e Disposições Especiais: - Horário variável (dias da semana e turnos). Horas extras poderão ser oferecidas. Poderá ser necessário trabalhar nos fins de semana. - O empregador poderá oferecer aumento salarial ou bônus, dependendo da experiência e do mérito. - O transporte diário não é fornecido, mas o empregador auxiliará na obtenção de transporte até o local de trabalho, se necessário. - O empregador auxilia os funcionários que não residem em uma distância razoável do local de trabalho principal a encontrarem moradia. - Um possível auxílio-moradia poderá ser disponibilizado, mediante aprovação da empresa. Número de horas por semana: 40 Horário de trabalho (início/término): 7h00 - 15h30</v>
      </c>
    </row>
    <row r="1951" ht="20.25" customHeight="1">
      <c r="A1951" s="8" t="s">
        <v>8739</v>
      </c>
      <c r="B1951" s="8" t="s">
        <v>8740</v>
      </c>
      <c r="C1951" s="8" t="s">
        <v>8478</v>
      </c>
      <c r="D1951" s="8" t="s">
        <v>79</v>
      </c>
      <c r="E1951" s="9" t="s">
        <v>19</v>
      </c>
      <c r="F1951" s="9" t="s">
        <v>20</v>
      </c>
      <c r="G1951" s="9" t="s">
        <v>1340</v>
      </c>
      <c r="H1951" s="8" t="s">
        <v>8741</v>
      </c>
      <c r="I1951" s="8" t="s">
        <v>8742</v>
      </c>
      <c r="J1951" s="9">
        <v>17.4</v>
      </c>
      <c r="K1951" s="9">
        <v>110.0</v>
      </c>
      <c r="L1951" s="8" t="s">
        <v>8574</v>
      </c>
      <c r="M1951" s="8" t="s">
        <v>8743</v>
      </c>
      <c r="N1951" s="7" t="str">
        <f>IFERROR(__xludf.DUMMYFUNCTION("GOOGLETRANSLATE(L1951, ""en"", ""pt"")"),"Designers florais")</f>
        <v>Designers florais</v>
      </c>
      <c r="O1951" s="7" t="str">
        <f>IFERROR(__xludf.DUMMYFUNCTION("IF(M1951="""","""",GOOGLETRANSLATE(M1951,""en"",""pt""))"),"O mesmo se aplica a todas as funções: há de duas (2) a quatro (4) estações por mesa. Os floristas trabalham em pé enquanto confeccionam os arranjos, coroas ou guirlandas. Tesouras de poda são a única ferramenta necessária e são fornecidas pela empresa. Os"&amp;" floristas recebem treinamento prático sobre as técnicas adequadas e o posicionamento correto dos materiais. Todos os materiais são fornecidos ao trabalhador para que não haja atrasos no processo de montagem. Arranjos: o processo de montagem dos arranjos "&amp;"é totalmente manual; nenhuma máquina é utilizada. O trabalhador inicia o processo selecionando alguns ramos de pinheiro pré-cortados e os coloca em um feixe, para serem presos com elásticos, ou em um recipiente com espuma floral. Esta etapa é repetida até"&amp;" que o arranjo esteja completo e a contento do empregador. Em seguida, o trabalhador coloca os arranjos finalizados em uma mesa específica, onde são examinados quanto à qualidade e contados. Guirlandas: o processo de confecção de guirlandas é auxiliado po"&amp;"r uma máquina. O trabalhador inicia o processo selecionando alguns ramos de pinheiro e cedro pré-cortados e os coloca em um arame, que é então enrolado por um arame de calibre menor por uma máquina. Esta etapa é repetida até que o comprimento especificado"&amp;" da guirlanda seja atingido. Assim que o trabalhador completa a guirlanda no comprimento especificado, ela é colocada no chão, onde é examinada quanto à qualidade, comprimento e contagem. Coroas de flores: O processo de confecção de coroas de flores é tot"&amp;"almente manual; nenhuma máquina é utilizada. O trabalhador inicia o processo selecionando alguns ramos de pinheiro pré-cortados e os coloca em um anel de arame. Os anéis de arame têm circunferências diferentes. O trabalhador então enrola os ramos selecion"&amp;"ados no anel de arame usando um arame de calibre menor para fixar os elementos. Classificação da função: 27-1023.00 - Designers Florais. A classificação e descrição da função/indústria inclui informações gerais sobre o cargo, de acordo com o ONET/OES e o "&amp;"Sistema de Classificação Industrial da América do Norte. Consulte as Funções e a Ordem de Serviço para obter mais informações. Requisitos da Vaga Experiência Necessária: Não Requisitos Especiais: - Os funcionários precisam ser capazes de ficar em pé duran"&amp;"te o turno de 8 horas, ter destreza manual para usar as mãos rapidamente e ter atenção aos detalhes de qualidade e aparência para garantir que o produto tenha boa apresentação. - Poderá ser realizado teste antidrogas após a contratação, pago pelo empregad"&amp;"or. Requisitos e Disposições Especiais: - O horário de trabalho varia (dias da semana e turnos). Horas extras podem ser oferecidas. Pode ser necessário trabalhar nos fins de semana. - O empregador pode oferecer um bônus dependendo da experiência e do méri"&amp;"to. - O empregador auxiliará o funcionário na obtenção de transporte de ida e volta do trabalho, se desejado, sendo este pago pelo funcionário. - A empresa não oferece moradia. O empregador auxiliará os funcionários, caso haja interesse, na busca de opçõe"&amp;"s de moradia, que serão pagas pelos funcionários. Número de Horas por Semana: 40 Horário de Trabalho (Início/Término): 8h00 - 16h30")</f>
        <v>O mesmo se aplica a todas as funções: há de duas (2) a quatro (4) estações por mesa. Os floristas trabalham em pé enquanto confeccionam os arranjos, coroas ou guirlandas. Tesouras de poda são a única ferramenta necessária e são fornecidas pela empresa. Os floristas recebem treinamento prático sobre as técnicas adequadas e o posicionamento correto dos materiais. Todos os materiais são fornecidos ao trabalhador para que não haja atrasos no processo de montagem. Arranjos: o processo de montagem dos arranjos é totalmente manual; nenhuma máquina é utilizada. O trabalhador inicia o processo selecionando alguns ramos de pinheiro pré-cortados e os coloca em um feixe, para serem presos com elásticos, ou em um recipiente com espuma floral. Esta etapa é repetida até que o arranjo esteja completo e a contento do empregador. Em seguida, o trabalhador coloca os arranjos finalizados em uma mesa específica, onde são examinados quanto à qualidade e contados. Guirlandas: o processo de confecção de guirlandas é auxiliado por uma máquina. O trabalhador inicia o processo selecionando alguns ramos de pinheiro e cedro pré-cortados e os coloca em um arame, que é então enrolado por um arame de calibre menor por uma máquina. Esta etapa é repetida até que o comprimento especificado da guirlanda seja atingido. Assim que o trabalhador completa a guirlanda no comprimento especificado, ela é colocada no chão, onde é examinada quanto à qualidade, comprimento e contagem. Coroas de flores: O processo de confecção de coroas de flores é totalmente manual; nenhuma máquina é utilizada. O trabalhador inicia o processo selecionando alguns ramos de pinheiro pré-cortados e os coloca em um anel de arame. Os anéis de arame têm circunferências diferentes. O trabalhador então enrola os ramos selecionados no anel de arame usando um arame de calibre menor para fixar os elementos. Classificação da função: 27-1023.00 - Designers Florais. A classificação e descrição da função/indústria inclui informações gerais sobre o cargo, de acordo com o ONET/OES e o Sistema de Classificação Industrial da América do Norte. Consulte as Funções e a Ordem de Serviço para obter mais informações. Requisitos da Vaga Experiência Necessária: Não Requisitos Especiais: - Os funcionários precisam ser capazes de ficar em pé durante o turno de 8 horas, ter destreza manual para usar as mãos rapidamente e ter atenção aos detalhes de qualidade e aparência para garantir que o produto tenha boa apresentação. - Poderá ser realizado teste antidrogas após a contratação, pago pelo empregador. Requisitos e Disposições Especiais: - O horário de trabalho varia (dias da semana e turnos). Horas extras podem ser oferecidas. Pode ser necessário trabalhar nos fins de semana. - O empregador pode oferecer um bônus dependendo da experiência e do mérito. - O empregador auxiliará o funcionário na obtenção de transporte de ida e volta do trabalho, se desejado, sendo este pago pelo funcionário. - A empresa não oferece moradia. O empregador auxiliará os funcionários, caso haja interesse, na busca de opções de moradia, que serão pagas pelos funcionários. Número de Horas por Semana: 40 Horário de Trabalho (Início/Término): 8h00 - 16h30</v>
      </c>
    </row>
    <row r="1952" ht="20.25" customHeight="1">
      <c r="A1952" s="3" t="s">
        <v>8744</v>
      </c>
      <c r="B1952" s="3" t="s">
        <v>8745</v>
      </c>
      <c r="C1952" s="3" t="s">
        <v>8478</v>
      </c>
      <c r="D1952" s="3" t="s">
        <v>79</v>
      </c>
      <c r="E1952" s="4" t="s">
        <v>44</v>
      </c>
      <c r="F1952" s="4" t="s">
        <v>20</v>
      </c>
      <c r="G1952" s="4" t="s">
        <v>1340</v>
      </c>
      <c r="H1952" s="3" t="s">
        <v>8746</v>
      </c>
      <c r="I1952" s="3" t="s">
        <v>8747</v>
      </c>
      <c r="J1952" s="4">
        <v>19.18</v>
      </c>
      <c r="K1952" s="4">
        <v>115.0</v>
      </c>
      <c r="L1952" s="3" t="s">
        <v>8748</v>
      </c>
      <c r="M1952" s="3" t="s">
        <v>8749</v>
      </c>
      <c r="N1952" s="7" t="str">
        <f>IFERROR(__xludf.DUMMYFUNCTION("GOOGLETRANSLATE(L1952, ""en"", ""pt"")"),"Empacotadores e embaladores manuais.")</f>
        <v>Empacotadores e embaladores manuais.</v>
      </c>
      <c r="O1952" s="7" t="str">
        <f>IFERROR(__xludf.DUMMYFUNCTION("IF(M1952="""","""",GOOGLETRANSLATE(M1952,""en"",""pt""))"),"Sob supervisão direta, executar tarefas manuais e repetitivas de embalagem, incluindo: - Medir, pesar, contar, agrupar e preparar materiais vegetais e produtos acabados para embalagem. - Colocar os produtos acabados em caixas. - Selar as caixas usando fer"&amp;"ramentas manuais simples fornecidas pelo empregador, como cintas de arquear e grampeadores. - Manter as áreas de trabalho limpas usando ferramentas manuais, como vassouras e pás. - Permanecer em pé ou caminhar por longos períodos durante o turno de trabal"&amp;"ho. Classificação do Cargo: 53-7064.00 - Embaladores e Empacotadores Manuais. A classificação e descrição do cargo/setor inclui informações gerais sobre a posição, de acordo com o ONET/OES e o Sistema de Classificação Industrial da América do Norte. Consu"&amp;"lte as Funções e a Ordem de Serviço para obter mais informações. Requisitos do Cargo Experiência Necessária: Não. Requisitos Especiais: - Os funcionários precisam ser capazes de ficar em pé durante o turno de 8 horas, ter destreza manual para usar as mãos"&amp;" rapidamente e ter atenção à qualidade e à aparência para que o produto tenha boa apresentação. - Pode ser realizado teste antidrogas pós-contratação, pago pelo empregador. Requisitos e Disposições Especiais: - Horário variável. Horas extras podem ser ofe"&amp;"recidas. - Pode ser necessário trabalhar nos fins de semana. - O empregador pode oferecer um bônus dependendo da experiência e do mérito. - O empregador auxiliará o funcionário a obter transporte de ida e volta do trabalho, se desejado, sendo este pago pe"&amp;"lo funcionário. - A empresa não oferece moradia fornecida. O empregador auxiliará os funcionários, caso haja interesse, a encontrar opções de moradia, que serão pagas pelos funcionários. - Descontos no salário: N/A Número de horas por semana: 40 Horário d"&amp;"e trabalho (início/término): 8h00 - 16h30")</f>
        <v>Sob supervisão direta, executar tarefas manuais e repetitivas de embalagem, incluindo: - Medir, pesar, contar, agrupar e preparar materiais vegetais e produtos acabados para embalagem. - Colocar os produtos acabados em caixas. - Selar as caixas usando ferramentas manuais simples fornecidas pelo empregador, como cintas de arquear e grampeadores. - Manter as áreas de trabalho limpas usando ferramentas manuais, como vassouras e pás. - Permanecer em pé ou caminhar por longos períodos durante o turno de trabalho. Classificação do Cargo: 53-7064.00 - Embaladores e Empacotadores Manuais. A classificação e descrição do cargo/setor inclui informações gerais sobre a posição, de acordo com o ONET/OES e o Sistema de Classificação Industrial da América do Norte. Consulte as Funções e a Ordem de Serviço para obter mais informações. Requisitos do Cargo Experiência Necessária: Não. Requisitos Especiais: - Os funcionários precisam ser capazes de ficar em pé durante o turno de 8 horas, ter destreza manual para usar as mãos rapidamente e ter atenção à qualidade e à aparência para que o produto tenha boa apresentação. - Pode ser realizado teste antidrogas pós-contratação, pago pelo empregador. Requisitos e Disposições Especiais: - Horário variável. Horas extras podem ser oferecidas. - Pode ser necessário trabalhar nos fins de semana. - O empregador pode oferecer um bônus dependendo da experiência e do mérito. - O empregador auxiliará o funcionário a obter transporte de ida e volta do trabalho, se desejado, sendo este pago pelo funcionário. - A empresa não oferece moradia fornecida. O empregador auxiliará os funcionários, caso haja interesse, a encontrar opções de moradia, que serão pagas pelos funcionários. - Descontos no salário: N/A Número de horas por semana: 40 Horário de trabalho (início/término): 8h00 - 16h30</v>
      </c>
    </row>
    <row r="1953" ht="20.25" customHeight="1">
      <c r="A1953" s="8" t="s">
        <v>8750</v>
      </c>
      <c r="B1953" s="8" t="s">
        <v>8751</v>
      </c>
      <c r="C1953" s="8" t="s">
        <v>8465</v>
      </c>
      <c r="D1953" s="8" t="s">
        <v>126</v>
      </c>
      <c r="E1953" s="9" t="s">
        <v>19</v>
      </c>
      <c r="F1953" s="9" t="s">
        <v>20</v>
      </c>
      <c r="G1953" s="9" t="s">
        <v>384</v>
      </c>
      <c r="H1953" s="8" t="s">
        <v>8752</v>
      </c>
      <c r="I1953" s="8" t="s">
        <v>8753</v>
      </c>
      <c r="J1953" s="9">
        <v>20.72</v>
      </c>
      <c r="K1953" s="9">
        <v>41.0</v>
      </c>
      <c r="L1953" s="8" t="s">
        <v>8468</v>
      </c>
      <c r="M1953" s="8" t="s">
        <v>8469</v>
      </c>
      <c r="N1953" s="7" t="str">
        <f>IFERROR(__xludf.DUMMYFUNCTION("GOOGLETRANSLATE(L1953, ""en"", ""pt"")"),"Trabalhador de manutenção de jardins")</f>
        <v>Trabalhador de manutenção de jardins</v>
      </c>
      <c r="O1953" s="7" t="str">
        <f>IFERROR(__xludf.DUMMYFUNCTION("IF(M1953="""","""",GOOGLETRANSLATE(M1953,""en"",""pt""))"),"Manter e cuidar das áreas externas e comuns durante os meses de inverno para garantir que permaneçam limpas, seguras e acessíveis. As tarefas incluem remover neve e gelo de calçadas, entradas de veículos e áreas designadas; aplicar sal ou materiais de deg"&amp;"elo; limpar detritos; e monitorar as condições do local em busca de riscos à segurança. Realizar a limpeza de inverno, como a remoção de galhos caídos e a manutenção geral da propriedade. Auxiliar na manutenção básica de ferramentas e equipamentos utiliza"&amp;"dos para atividades de jardinagem. Utilizar ferramentas manuais e equipamentos básicos para concluir as tarefas atribuídas. Manter as áreas de trabalho limpas, organizadas e seguras. Classificação da vaga: 37-3011.00 - Trabalhadores de Paisagismo e Jardin"&amp;"agem. A classificação e descrição da vaga/setor incluem informações gerais sobre o cargo, de acordo com o ONET/OES e o Sistema de Classificação Industrial da América do Norte. Consulte as Funções e a Ordem de Serviço para obter mais informações. Requisito"&amp;"s da vaga: Experiência necessária: Sim. Meses de experiência necessários: 3. Requisitos especiais: 3 meses de experiência ou experiência relacionada. Número de horas por semana: 40 Horário de trabalho (início/término): 7h00 - 16h00")</f>
        <v>Manter e cuidar das áreas externas e comuns durante os meses de inverno para garantir que permaneçam limpas, seguras e acessíveis. As tarefas incluem remover neve e gelo de calçadas, entradas de veículos e áreas designadas; aplicar sal ou materiais de degelo; limpar detritos; e monitorar as condições do local em busca de riscos à segurança. Realizar a limpeza de inverno, como a remoção de galhos caídos e a manutenção geral da propriedade. Auxiliar na manutenção básica de ferramentas e equipamentos utilizados para atividades de jardinagem. Utilizar ferramentas manuais e equipamentos básicos para concluir as tarefas atribuídas. Manter as áreas de trabalho limpas, organizadas e seguras. Classificação da vaga: 37-3011.00 - Trabalhadores de Paisagismo e Jardinagem. A classificação e descrição da vaga/setor incluem informações gerais sobre o cargo, de acordo com o ONET/OES e o Sistema de Classificação Industrial da América do Norte. Consulte as Funções e a Ordem de Serviço para obter mais informações. Requisitos da vaga: Experiência necessária: Sim. Meses de experiência necessários: 3. Requisitos especiais: 3 meses de experiência ou experiência relacionada. Número de horas por semana: 40 Horário de trabalho (início/término): 7h00 - 16h00</v>
      </c>
    </row>
    <row r="1954" ht="20.25" customHeight="1">
      <c r="A1954" s="3" t="s">
        <v>8754</v>
      </c>
      <c r="B1954" s="3" t="s">
        <v>8755</v>
      </c>
      <c r="C1954" s="3" t="s">
        <v>1000</v>
      </c>
      <c r="D1954" s="3" t="s">
        <v>102</v>
      </c>
      <c r="E1954" s="4" t="s">
        <v>19</v>
      </c>
      <c r="F1954" s="4" t="s">
        <v>20</v>
      </c>
      <c r="G1954" s="4" t="s">
        <v>236</v>
      </c>
      <c r="H1954" s="3" t="s">
        <v>8756</v>
      </c>
      <c r="I1954" s="3" t="s">
        <v>8757</v>
      </c>
      <c r="J1954" s="4">
        <v>17.59</v>
      </c>
      <c r="K1954" s="4">
        <v>9.0</v>
      </c>
      <c r="L1954" s="3" t="s">
        <v>8758</v>
      </c>
      <c r="M1954" s="3" t="s">
        <v>8759</v>
      </c>
      <c r="N1954" s="7" t="str">
        <f>IFERROR(__xludf.DUMMYFUNCTION("GOOGLETRANSLATE(L1954, ""en"", ""pt"")"),"Auxiliares de isolamento")</f>
        <v>Auxiliares de isolamento</v>
      </c>
      <c r="O1954" s="7" t="str">
        <f>IFERROR(__xludf.DUMMYFUNCTION("IF(M1954="""","""",GOOGLETRANSLATE(M1954,""en"",""pt""))"),"Auxiliar na instalação de isolamento de espuma de poliuretano expandido em edifícios residenciais e comerciais, incluindo sótãos, paredes e porões. Preparar os locais de trabalho descarregando e organizando materiais, instalando equipamentos e garantindo "&amp;"que todas as ferramentas estejam prontas para uso. Auxiliar os instaladores principais manuseando mangueiras, escadas, mantas de fibra de vidro e outros equipamentos durante o processo de aplicação. Manter a limpeza da área de trabalho removendo detritos "&amp;"e descartando materiais de isolamento antigos. Seguir os protocolos de segurança, incluindo o uso de equipamentos de proteção individual (EPI), para garantir um ambiente de trabalho seguro. Executar tarefas relacionadas ao armazém, conforme necessário, co"&amp;"mo gerenciamento de estoque e manutenção de equipamentos. Classificação da vaga: 47-3019.00 - Ajudantes, Construção Civil, Outros. A classificação e descrição da vaga/setor incluem informações gerais sobre a posição, de acordo com o ONET/OES e o Sistema d"&amp;"e Classificação Industrial da América do Norte (NAICS). Consulte as Funções e a Ordem de Serviço para obter mais informações. Requisitos da vaga: Experiência necessária: Não. Requisitos especiais: Deve ser capaz de levantar e carregar 34 kg por 68 metros."&amp;" Deve ser capaz de lidar com temperaturas extremas. Trabalho em alguns fins de semana. Irá deslocar-se para locais de trabalho dentro da área de emprego pretendida. Número de horas por semana: 40. Horário de trabalho (início/término): 6h00 - 16h00.")</f>
        <v>Auxiliar na instalação de isolamento de espuma de poliuretano expandido em edifícios residenciais e comerciais, incluindo sótãos, paredes e porões. Preparar os locais de trabalho descarregando e organizando materiais, instalando equipamentos e garantindo que todas as ferramentas estejam prontas para uso. Auxiliar os instaladores principais manuseando mangueiras, escadas, mantas de fibra de vidro e outros equipamentos durante o processo de aplicação. Manter a limpeza da área de trabalho removendo detritos e descartando materiais de isolamento antigos. Seguir os protocolos de segurança, incluindo o uso de equipamentos de proteção individual (EPI), para garantir um ambiente de trabalho seguro. Executar tarefas relacionadas ao armazém, conforme necessário, como gerenciamento de estoque e manutenção de equipamentos. Classificação da vaga: 47-3019.00 - Ajudantes, Construção Civil, Outros. A classificação e descrição da vaga/setor incluem informações gerais sobre a posição, de acordo com o ONET/OES e o Sistema de Classificação Industrial da América do Norte (NAICS). Consulte as Funções e a Ordem de Serviço para obter mais informações. Requisitos da vaga: Experiência necessária: Não. Requisitos especiais: Deve ser capaz de levantar e carregar 34 kg por 68 metros. Deve ser capaz de lidar com temperaturas extremas. Trabalho em alguns fins de semana. Irá deslocar-se para locais de trabalho dentro da área de emprego pretendida. Número de horas por semana: 40. Horário de trabalho (início/término): 6h00 - 16h00.</v>
      </c>
    </row>
    <row r="1955" ht="20.25" customHeight="1">
      <c r="A1955" s="8" t="s">
        <v>8760</v>
      </c>
      <c r="B1955" s="8" t="s">
        <v>8761</v>
      </c>
      <c r="C1955" s="8"/>
      <c r="D1955" s="8" t="s">
        <v>532</v>
      </c>
      <c r="E1955" s="9" t="s">
        <v>44</v>
      </c>
      <c r="F1955" s="9" t="s">
        <v>20</v>
      </c>
      <c r="G1955" s="9" t="s">
        <v>377</v>
      </c>
      <c r="H1955" s="8" t="s">
        <v>8762</v>
      </c>
      <c r="I1955" s="8" t="s">
        <v>8763</v>
      </c>
      <c r="J1955" s="9">
        <v>28.38</v>
      </c>
      <c r="K1955" s="9">
        <v>50.0</v>
      </c>
      <c r="L1955" s="8" t="s">
        <v>8764</v>
      </c>
      <c r="M1955" s="8" t="s">
        <v>8765</v>
      </c>
      <c r="N1955" s="7" t="str">
        <f>IFERROR(__xludf.DUMMYFUNCTION("GOOGLETRANSLATE(L1955, ""en"", ""pt"")"),"Motorista de caminhão pesado e carreta")</f>
        <v>Motorista de caminhão pesado e carreta</v>
      </c>
      <c r="O1955" s="7" t="str">
        <f>IFERROR(__xludf.DUMMYFUNCTION("IF(M1955="""","""",GOOGLETRANSLATE(M1955,""en"",""pt""))"),"Operar caminhões pesados ​​e caminhões-trator para transportar mercadorias por longas distâncias. Realizar inspeções pré-viagem, durante a viagem e pós-viagem do veículo e equipamentos; verificar freios, pneus, luzes e sistemas de segurança. Fixar a carga"&amp;" de acordo com as normas do DOT/FMCSA. Dirigir nas rotas designadas, manter registros e seguir todos os procedimentos de segurança e da empresa. Comunicar-se com a central de despacho para atualizações de rotas e entregas. Auxiliar nas atividades de carga"&amp;" e descarga, conforme necessário. Manter o veículo limpo e em boas condições de funcionamento. Executar tarefas rotineiras e repetitivas, conforme designado. Sem funções de supervisão. Classificação da vaga: 53-3032.00 - Motoristas de Caminhão Pesado e Ca"&amp;"minhão-Trator. A classificação e descrição da vaga/setor incluem informações gerais sobre o cargo, de acordo com o ONET/OES e o Sistema de Classificação Industrial da América do Norte. Consulte as Funções e a Ordem de Serviço para obter mais informações. "&amp;"Requisitos da vaga: Experiência necessária: Sim. Meses de experiência necessários: 6. Requisitos especiais: Carteira Nacional de Habilitação (CNH) categoria A válida ou equivalente, permitida pelas normas da FMCSA. Capacidade de passar no exame médico do "&amp;"DOT. Deve ser capaz de se comunicar em inglês, conforme exigido pelas normas da FMCSA. Número de horas por semana: 40. Horário de trabalho (início/término): 5h às 23h.")</f>
        <v>Operar caminhões pesados ​​e caminhões-trator para transportar mercadorias por longas distâncias. Realizar inspeções pré-viagem, durante a viagem e pós-viagem do veículo e equipamentos; verificar freios, pneus, luzes e sistemas de segurança. Fixar a carga de acordo com as normas do DOT/FMCSA. Dirigir nas rotas designadas, manter registros e seguir todos os procedimentos de segurança e da empresa. Comunicar-se com a central de despacho para atualizações de rotas e entregas. Auxiliar nas atividades de carga e descarga, conforme necessário. Manter o veículo limpo e em boas condições de funcionamento. Executar tarefas rotineiras e repetitivas, conforme designado. Sem funções de supervisão. Classificação da vaga: 53-3032.00 - Motoristas de Caminhão Pesado e Caminhão-Trator. A classificação e descrição da vaga/setor incluem informações gerais sobre o cargo, de acordo com o ONET/OES e o Sistema de Classificação Industrial da América do Norte. Consulte as Funções e a Ordem de Serviço para obter mais informações. Requisitos da vaga: Experiência necessária: Sim. Meses de experiência necessários: 6. Requisitos especiais: Carteira Nacional de Habilitação (CNH) categoria A válida ou equivalente, permitida pelas normas da FMCSA. Capacidade de passar no exame médico do DOT. Deve ser capaz de se comunicar em inglês, conforme exigido pelas normas da FMCSA. Número de horas por semana: 40. Horário de trabalho (início/término): 5h às 23h.</v>
      </c>
    </row>
    <row r="1956" ht="20.25" customHeight="1">
      <c r="A1956" s="3" t="s">
        <v>8766</v>
      </c>
      <c r="B1956" s="3" t="s">
        <v>8767</v>
      </c>
      <c r="C1956" s="3" t="s">
        <v>6228</v>
      </c>
      <c r="D1956" s="3" t="s">
        <v>36</v>
      </c>
      <c r="E1956" s="4" t="s">
        <v>19</v>
      </c>
      <c r="F1956" s="4" t="s">
        <v>20</v>
      </c>
      <c r="G1956" s="4" t="s">
        <v>307</v>
      </c>
      <c r="H1956" s="3" t="s">
        <v>8768</v>
      </c>
      <c r="I1956" s="3"/>
      <c r="J1956" s="4">
        <v>15.0</v>
      </c>
      <c r="K1956" s="4">
        <v>4.0</v>
      </c>
      <c r="L1956" s="3" t="s">
        <v>394</v>
      </c>
      <c r="M1956" s="3" t="s">
        <v>8769</v>
      </c>
      <c r="N1956" s="7" t="str">
        <f>IFERROR(__xludf.DUMMYFUNCTION("GOOGLETRANSLATE(L1956, ""en"", ""pt"")"),"Membro da tripulação")</f>
        <v>Membro da tripulação</v>
      </c>
      <c r="O1956" s="7" t="str">
        <f>IFERROR(__xludf.DUMMYFUNCTION("IF(M1956="""","""",GOOGLETRANSLATE(M1956,""en"",""pt""))"),"***Resposta à Solicitação de Informações*** Receber pedidos dos clientes. No balcão de atendimento ou por meio de um sistema de interfone, os clientes fazem seus pedidos, que são inseridos em um terminal de ponto de venda (PDV) pelo membro da equipe. Ao t"&amp;"rabalhar nessa função, os membros da equipe também aceitam pagamentos em dinheiro e, principalmente, eletrônicos, dão troco quando necessário e fornecem recibos. Preparar alimentos e bebidas. Os membros da equipe preparam os pedidos dos clientes a partir "&amp;"de um cardápio limitado de serviço rápido. O preparo dos alimentos envolve aquecer, cozinhar, montar e embalar itens pré-porcionados e pré-cozidos entregues ao restaurante. As tarefas incluem aquecer hambúrgueres, sanduíches, biscoitos e itens de café da "&amp;"manhã; fritar batatas fritas; montar sanduíches; e preparar bebidas, como café e refrigerantes. Os membros da equipe podem usar equipamentos padrão de fast-food, como grelhas, fritadeiras, bandejas aquecidas, fornos, dispensadores de bebidas e estações de"&amp;" preparo de alimentos. As tarefas de cozimento seguem etapas simples e repetitivas com tempos de cozimento definidos. Não há desenvolvimento de receitas e nenhuma técnica de preparo de alimentos complexa é empregada. Servir os clientes. Após a montagem do"&amp;"s pedidos, um membro da equipe os entregará ao cliente, seja no salão, no balcão de atendimento ou pela janela do drive-thru. Os membros da equipe verificarão o conteúdo do pedido para garantir a precisão e oferecerão um serviço focado no cliente, assegur"&amp;"ando uma experiência superior no restaurante. Manter os padrões de limpeza. Os membros da equipe mantêm os padrões de limpeza em todo o restaurante, incluindo a cozinha, os balcões de atendimento, os salões e os banheiros. As tarefas de limpeza incluem li"&amp;"mpar e higienizar as superfícies de preparação de alimentos, varrer e lavar o chão, lavar utensílios e bandejas, esvaziar o lixo, repor suprimentos e limpar equipamentos. As ferramentas e materiais de limpeza incluem esfregões, vassouras, baldes, panos de"&amp;" limpeza, luvas e soluções de limpeza e higienização aprovadas. Todas as tarefas de limpeza e higienização são realizadas de acordo com os procedimentos estabelecidos pela empresa e os padrões de segurança alimentar. ***Original*** Receber pedidos de clie"&amp;"ntes; aceitar pagamentos; preparar alimentos e bebidas; atender clientes; e manter os padrões de limpeza em um restaurante Hardee's. Solicitamos ao responsável que emita a determinação como SALÁRIO POR HORA, em vez de um valor anualizado. Classificação da"&amp;" vaga: 35-3023.00 - Atendentes de Fast Food e Balcão. A classificação e descrição da vaga/setor inclui informações gerais sobre o cargo, conforme o ONET/OES e o Sistema de Classificação Industrial da América do Norte (NAICS). Consulte as Funções e a Ordem"&amp;" de Serviço para obter mais informações. Requisitos da vaga: Experiência exigida: Não. Requisitos especiais: O horário de trabalho é o seguinte: 35 horas semanais, de segunda a domingo, em turnos rotativos de 8 horas, entre 4h e 23h. Todos os candidatos ("&amp;"tanto americanos quanto estrangeiros/com visto H-2B) devem preencher o formulário de emprego online padrão do empregador como parte do processo seletivo. O preenchimento do formulário é obrigatório para todos os candidatos e não impõe requisitos adicionai"&amp;"s ou diferentes para trabalhadores americanos. Os trabalhadores estarão sujeitos a testes de drogas mediante suspeita razoável, pagos pelo empregador e aplicados igualmente a todos os trabalhadores, americanos e estrangeiros/com visto H-2B. Os trabalhador"&amp;"es estão sujeitos a verificação de antecedentes criminais para fins de emprego, paga pelo empregador e aplicada igualmente a todos os trabalhadores, sejam eles americanos ou estrangeiros/com visto H-2B. Número de horas por semana: 35. Horário de trabalho "&amp;"(início/término): 4h às 23h.")</f>
        <v>***Resposta à Solicitação de Informações*** Receber pedidos dos clientes. No balcão de atendimento ou por meio de um sistema de interfone, os clientes fazem seus pedidos, que são inseridos em um terminal de ponto de venda (PDV) pelo membro da equipe. Ao trabalhar nessa função, os membros da equipe também aceitam pagamentos em dinheiro e, principalmente, eletrônicos, dão troco quando necessário e fornecem recibos. Preparar alimentos e bebidas. Os membros da equipe preparam os pedidos dos clientes a partir de um cardápio limitado de serviço rápido. O preparo dos alimentos envolve aquecer, cozinhar, montar e embalar itens pré-porcionados e pré-cozidos entregues ao restaurante. As tarefas incluem aquecer hambúrgueres, sanduíches, biscoitos e itens de café da manhã; fritar batatas fritas; montar sanduíches; e preparar bebidas, como café e refrigerantes. Os membros da equipe podem usar equipamentos padrão de fast-food, como grelhas, fritadeiras, bandejas aquecidas, fornos, dispensadores de bebidas e estações de preparo de alimentos. As tarefas de cozimento seguem etapas simples e repetitivas com tempos de cozimento definidos. Não há desenvolvimento de receitas e nenhuma técnica de preparo de alimentos complexa é empregada. Servir os clientes. Após a montagem dos pedidos, um membro da equipe os entregará ao cliente, seja no salão, no balcão de atendimento ou pela janela do drive-thru. Os membros da equipe verificarão o conteúdo do pedido para garantir a precisão e oferecerão um serviço focado no cliente, assegurando uma experiência superior no restaurante. Manter os padrões de limpeza. Os membros da equipe mantêm os padrões de limpeza em todo o restaurante, incluindo a cozinha, os balcões de atendimento, os salões e os banheiros. As tarefas de limpeza incluem limpar e higienizar as superfícies de preparação de alimentos, varrer e lavar o chão, lavar utensílios e bandejas, esvaziar o lixo, repor suprimentos e limpar equipamentos. As ferramentas e materiais de limpeza incluem esfregões, vassouras, baldes, panos de limpeza, luvas e soluções de limpeza e higienização aprovadas. Todas as tarefas de limpeza e higienização são realizadas de acordo com os procedimentos estabelecidos pela empresa e os padrões de segurança alimentar. ***Original*** Receber pedidos de clientes; aceitar pagamentos; preparar alimentos e bebidas; atender clientes; e manter os padrões de limpeza em um restaurante Hardee's. Solicitamos ao responsável que emita a determinação como SALÁRIO POR HORA, em vez de um valor anualizado. Classificação da vaga: 35-3023.00 - Atendentes de Fast Food e Balcão. A classificação e descrição da vaga/setor inclui informações gerais sobre o cargo, conforme o ONET/OES e o Sistema de Classificação Industrial da América do Norte (NAICS). Consulte as Funções e a Ordem de Serviço para obter mais informações. Requisitos da vaga: Experiência exigida: Não. Requisitos especiais: O horário de trabalho é o seguinte: 35 horas semanais, de segunda a domingo, em turnos rotativos de 8 horas, entre 4h e 23h. Todos os candidatos (tanto americanos quanto estrangeiros/com visto H-2B) devem preencher o formulário de emprego online padrão do empregador como parte do processo seletivo. O preenchimento do formulário é obrigatório para todos os candidatos e não impõe requisitos adicionais ou diferentes para trabalhadores americanos. Os trabalhadores estarão sujeitos a testes de drogas mediante suspeita razoável, pagos pelo empregador e aplicados igualmente a todos os trabalhadores, americanos e estrangeiros/com visto H-2B. Os trabalhadores estão sujeitos a verificação de antecedentes criminais para fins de emprego, paga pelo empregador e aplicada igualmente a todos os trabalhadores, sejam eles americanos ou estrangeiros/com visto H-2B. Número de horas por semana: 35. Horário de trabalho (início/término): 4h às 23h.</v>
      </c>
    </row>
    <row r="1957" ht="20.25" customHeight="1">
      <c r="A1957" s="8" t="s">
        <v>8770</v>
      </c>
      <c r="B1957" s="8" t="s">
        <v>8767</v>
      </c>
      <c r="C1957" s="8" t="s">
        <v>6228</v>
      </c>
      <c r="D1957" s="8" t="s">
        <v>186</v>
      </c>
      <c r="E1957" s="9" t="s">
        <v>19</v>
      </c>
      <c r="F1957" s="9" t="s">
        <v>20</v>
      </c>
      <c r="G1957" s="9" t="s">
        <v>307</v>
      </c>
      <c r="H1957" s="8" t="s">
        <v>8768</v>
      </c>
      <c r="I1957" s="8"/>
      <c r="J1957" s="9">
        <v>14.0</v>
      </c>
      <c r="K1957" s="9">
        <v>4.0</v>
      </c>
      <c r="L1957" s="8" t="s">
        <v>394</v>
      </c>
      <c r="M1957" s="8" t="s">
        <v>8771</v>
      </c>
      <c r="N1957" s="7" t="str">
        <f>IFERROR(__xludf.DUMMYFUNCTION("GOOGLETRANSLATE(L1957, ""en"", ""pt"")"),"Membro da tripulação")</f>
        <v>Membro da tripulação</v>
      </c>
      <c r="O1957" s="7" t="str">
        <f>IFERROR(__xludf.DUMMYFUNCTION("IF(M1957="""","""",GOOGLETRANSLATE(M1957,""en"",""pt""))"),"***Resposta à Solicitação de Informações*** Receber pedidos dos clientes. No balcão de atendimento ou por meio de um sistema de interfone, os clientes fazem seus pedidos, que são inseridos em um terminal de ponto de venda (PDV) pelo membro da equipe. Ao t"&amp;"rabalhar nessa função, os membros da equipe também aceitam pagamentos em dinheiro e, principalmente, eletrônicos, dão troco quando necessário e fornecem recibos. Preparar alimentos e bebidas. Os membros da equipe preparam os pedidos dos clientes a partir "&amp;"de um cardápio limitado de serviço rápido. O preparo dos alimentos envolve aquecer, cozinhar, montar e embalar itens pré-porcionados e pré-cozidos entregues ao restaurante. As tarefas incluem aquecer hambúrgueres, sanduíches, biscoitos e itens de café da "&amp;"manhã; fritar batatas fritas; montar sanduíches; e preparar bebidas, como café e refrigerantes. Os membros da equipe podem usar equipamentos padrão de fast-food, como grelhas, fritadeiras, bandejas aquecidas, fornos, dispensadores de bebidas e estações de"&amp;" preparo de alimentos. As tarefas de cozimento seguem etapas simples e repetitivas com tempos de cozimento definidos. Não há desenvolvimento de receitas e nenhuma técnica de preparo de alimentos complexa é empregada. Servir os clientes. Após a montagem do"&amp;"s pedidos, um membro da equipe os entregará ao cliente, seja no salão, no balcão de atendimento ou pela janela do drive-thru. Os membros da equipe verificarão o conteúdo do pedido para garantir a precisão e oferecerão um serviço focado no cliente, assegur"&amp;"ando uma experiência superior no restaurante. Manter os padrões de limpeza. Os membros da equipe mantêm os padrões de limpeza em todo o restaurante, incluindo a cozinha, os balcões de atendimento, os salões e os banheiros. As tarefas de limpeza incluem li"&amp;"mpar e higienizar as superfícies de preparação de alimentos, varrer e lavar o chão, lavar utensílios e bandejas, esvaziar o lixo, repor suprimentos e limpar equipamentos. As ferramentas e materiais de limpeza incluem esfregões, vassouras, baldes, panos de"&amp;" limpeza, luvas e soluções de limpeza e higienização aprovadas. Todas as tarefas de limpeza e higienização são realizadas de acordo com os procedimentos estabelecidos pela empresa e os padrões de segurança alimentar. ***Original*** Receber pedidos de clie"&amp;"ntes; aceitar pagamentos; preparar alimentos e bebidas; atender clientes; e manter os padrões de limpeza em um restaurante Hardee's. Solicitamos ao responsável que emita a determinação como SALÁRIO POR HORA, em vez de um valor anualizado. Classificação da"&amp;" vaga: 35-2011.00 - Cozinheiros, Fast Food. A classificação e descrição da vaga/setor incluem informações gerais sobre a posição, de acordo com o ONET/OES e o Sistema de Classificação Industrial da América do Norte (NAICS). Consulte as Funções e a Ordem d"&amp;"e Serviço para obter mais informações. Requisitos da vaga: Experiência exigida: Não. Requisitos especiais: O horário de trabalho é o seguinte: 35 horas semanais, de segunda a domingo, em turnos rotativos de 8 horas, entre 4h e 23h. Todos os candidatos (ta"&amp;"nto americanos quanto estrangeiros/H-2B) devem preencher o formulário de emprego online padrão do empregador como parte do processo seletivo. O preenchimento do formulário é obrigatório para todos os candidatos e não impõe requisitos adicionais ou diferen"&amp;"tes para trabalhadores americanos. Os trabalhadores estarão sujeitos a testes de drogas mediante suspeita razoável, pagos pelo empregador e aplicados igualmente a todos os trabalhadores, americanos e estrangeiros/H-2B. Os trabalhadores estão sujeitos a ve"&amp;"rificação de antecedentes criminais, paga pelo empregador e aplicada igualmente a todos os trabalhadores, americanos e estrangeiros/H-2B. Número de horas por semana: 35 Horário de trabalho (início/término): 4h00 - 23h00")</f>
        <v>***Resposta à Solicitação de Informações*** Receber pedidos dos clientes. No balcão de atendimento ou por meio de um sistema de interfone, os clientes fazem seus pedidos, que são inseridos em um terminal de ponto de venda (PDV) pelo membro da equipe. Ao trabalhar nessa função, os membros da equipe também aceitam pagamentos em dinheiro e, principalmente, eletrônicos, dão troco quando necessário e fornecem recibos. Preparar alimentos e bebidas. Os membros da equipe preparam os pedidos dos clientes a partir de um cardápio limitado de serviço rápido. O preparo dos alimentos envolve aquecer, cozinhar, montar e embalar itens pré-porcionados e pré-cozidos entregues ao restaurante. As tarefas incluem aquecer hambúrgueres, sanduíches, biscoitos e itens de café da manhã; fritar batatas fritas; montar sanduíches; e preparar bebidas, como café e refrigerantes. Os membros da equipe podem usar equipamentos padrão de fast-food, como grelhas, fritadeiras, bandejas aquecidas, fornos, dispensadores de bebidas e estações de preparo de alimentos. As tarefas de cozimento seguem etapas simples e repetitivas com tempos de cozimento definidos. Não há desenvolvimento de receitas e nenhuma técnica de preparo de alimentos complexa é empregada. Servir os clientes. Após a montagem dos pedidos, um membro da equipe os entregará ao cliente, seja no salão, no balcão de atendimento ou pela janela do drive-thru. Os membros da equipe verificarão o conteúdo do pedido para garantir a precisão e oferecerão um serviço focado no cliente, assegurando uma experiência superior no restaurante. Manter os padrões de limpeza. Os membros da equipe mantêm os padrões de limpeza em todo o restaurante, incluindo a cozinha, os balcões de atendimento, os salões e os banheiros. As tarefas de limpeza incluem limpar e higienizar as superfícies de preparação de alimentos, varrer e lavar o chão, lavar utensílios e bandejas, esvaziar o lixo, repor suprimentos e limpar equipamentos. As ferramentas e materiais de limpeza incluem esfregões, vassouras, baldes, panos de limpeza, luvas e soluções de limpeza e higienização aprovadas. Todas as tarefas de limpeza e higienização são realizadas de acordo com os procedimentos estabelecidos pela empresa e os padrões de segurança alimentar. ***Original*** Receber pedidos de clientes; aceitar pagamentos; preparar alimentos e bebidas; atender clientes; e manter os padrões de limpeza em um restaurante Hardee's. Solicitamos ao responsável que emita a determinação como SALÁRIO POR HORA, em vez de um valor anualizado. Classificação da vaga: 35-2011.00 - Cozinheiros, Fast Food. A classificação e descrição da vaga/setor incluem informações gerais sobre a posição, de acordo com o ONET/OES e o Sistema de Classificação Industrial da América do Norte (NAICS). Consulte as Funções e a Ordem de Serviço para obter mais informações. Requisitos da vaga: Experiência exigida: Não. Requisitos especiais: O horário de trabalho é o seguinte: 35 horas semanais, de segunda a domingo, em turnos rotativos de 8 horas, entre 4h e 23h. Todos os candidatos (tanto americanos quanto estrangeiros/H-2B) devem preencher o formulário de emprego online padrão do empregador como parte do processo seletivo. O preenchimento do formulário é obrigatório para todos os candidatos e não impõe requisitos adicionais ou diferentes para trabalhadores americanos. Os trabalhadores estarão sujeitos a testes de drogas mediante suspeita razoável, pagos pelo empregador e aplicados igualmente a todos os trabalhadores, americanos e estrangeiros/H-2B. Os trabalhadores estão sujeitos a verificação de antecedentes criminais, paga pelo empregador e aplicada igualmente a todos os trabalhadores, americanos e estrangeiros/H-2B. Número de horas por semana: 35 Horário de trabalho (início/término): 4h00 - 23h00</v>
      </c>
    </row>
    <row r="1958" ht="20.25" customHeight="1">
      <c r="A1958" s="3" t="s">
        <v>8772</v>
      </c>
      <c r="B1958" s="3" t="s">
        <v>8773</v>
      </c>
      <c r="C1958" s="3" t="s">
        <v>4247</v>
      </c>
      <c r="D1958" s="3" t="s">
        <v>532</v>
      </c>
      <c r="E1958" s="4" t="s">
        <v>19</v>
      </c>
      <c r="F1958" s="4" t="s">
        <v>20</v>
      </c>
      <c r="G1958" s="4" t="s">
        <v>4371</v>
      </c>
      <c r="H1958" s="3" t="s">
        <v>8774</v>
      </c>
      <c r="I1958" s="3" t="s">
        <v>8775</v>
      </c>
      <c r="J1958" s="4">
        <v>21.12</v>
      </c>
      <c r="K1958" s="4">
        <v>5.0</v>
      </c>
      <c r="L1958" s="3" t="s">
        <v>4250</v>
      </c>
      <c r="M1958" s="3" t="s">
        <v>4251</v>
      </c>
      <c r="N1958" s="7" t="str">
        <f>IFERROR(__xludf.DUMMYFUNCTION("GOOGLETRANSLATE(L1958, ""en"", ""pt"")"),"49-9098: Ajudantes — Trabalhos de instalação, manutenção e reparo")</f>
        <v>49-9098: Ajudantes — Trabalhos de instalação, manutenção e reparo</v>
      </c>
      <c r="O1958" s="7" t="str">
        <f>IFERROR(__xludf.DUMMYFUNCTION("IF(M1958="""","""",GOOGLETRANSLATE(M1958,""en"",""pt""))"),"Auxiliar os trabalhadores de instalação, manutenção e reparo na manutenção, substituição de peças e reparo de veículos, máquinas industriais e equipamentos elétricos e eletrônicos. Executar tarefas como fornecer ferramentas, materiais e suprimentos para o"&amp;"utros trabalhadores; limpar a área de trabalho, máquinas e ferramentas; e segurar materiais ou ferramentas para outros trabalhadores. Classificação da vaga: 49-9098.00 - Auxiliares - Trabalhadores de Instalação, Manutenção e Reparo. A classificação e desc"&amp;"rição da vaga/setor inclui informações gerais sobre a posição, de acordo com o ONET/OES e o Sistema de Classificação Industrial da América do Norte (NAICS). Consulte as Funções e a Ordem de Serviço para obter mais informações. Requisitos da vaga: Experiên"&amp;"cia exigida: Não. Requisitos especiais: Testes aleatórios de drogas e verificação de antecedentes criminais após a contratação podem ser exigidos, sem custo para o trabalhador. A vaga exige que o candidato seja qualificado, esteja pronto, disposto, apto e"&amp;" disponível para trabalhar durante todo o período de emprego no local de trabalho designado; para firmar e cumprir o contrato de trabalho; e para seguir as normas do local de trabalho. Número de horas por semana: 35. Horário de trabalho (início/término): "&amp;"8h. - 16:00")</f>
        <v>Auxiliar os trabalhadores de instalação, manutenção e reparo na manutenção, substituição de peças e reparo de veículos, máquinas industriais e equipamentos elétricos e eletrônicos. Executar tarefas como fornecer ferramentas, materiais e suprimentos para outros trabalhadores; limpar a área de trabalho, máquinas e ferramentas; e segurar materiais ou ferramentas para outros trabalhadores. Classificação da vaga: 49-9098.00 - Auxiliares - Trabalhadores de Instalação, Manutenção e Reparo. A classificação e descrição da vaga/setor inclui informações gerais sobre a posição, de acordo com o ONET/OES e o Sistema de Classificação Industrial da América do Norte (NAICS). Consulte as Funções e a Ordem de Serviço para obter mais informações. Requisitos da vaga: Experiência exigida: Não. Requisitos especiais: Testes aleatórios de drogas e verificação de antecedentes criminais após a contratação podem ser exigidos, sem custo para o trabalhador. A vaga exige que o candidato seja qualificado, esteja pronto, disposto, apto e disponível para trabalhar durante todo o período de emprego no local de trabalho designado; para firmar e cumprir o contrato de trabalho; e para seguir as normas do local de trabalho. Número de horas por semana: 35. Horário de trabalho (início/término): 8h. - 16:00</v>
      </c>
    </row>
    <row r="1959" ht="20.25" customHeight="1">
      <c r="A1959" s="8" t="s">
        <v>8776</v>
      </c>
      <c r="B1959" s="8" t="s">
        <v>8777</v>
      </c>
      <c r="C1959" s="8" t="s">
        <v>8778</v>
      </c>
      <c r="D1959" s="8" t="s">
        <v>532</v>
      </c>
      <c r="E1959" s="9" t="s">
        <v>19</v>
      </c>
      <c r="F1959" s="9" t="s">
        <v>20</v>
      </c>
      <c r="G1959" s="9" t="s">
        <v>29</v>
      </c>
      <c r="H1959" s="8" t="s">
        <v>8779</v>
      </c>
      <c r="I1959" s="8"/>
      <c r="J1959" s="9">
        <v>29.46</v>
      </c>
      <c r="K1959" s="9">
        <v>3.0</v>
      </c>
      <c r="L1959" s="8" t="s">
        <v>8780</v>
      </c>
      <c r="M1959" s="8" t="s">
        <v>8781</v>
      </c>
      <c r="N1959" s="7" t="str">
        <f>IFERROR(__xludf.DUMMYFUNCTION("GOOGLETRANSLATE(L1959, ""en"", ""pt"")"),"Treinador de Futebol")</f>
        <v>Treinador de Futebol</v>
      </c>
      <c r="O1959" s="7" t="str">
        <f>IFERROR(__xludf.DUMMYFUNCTION("IF(M1959="""","""",GOOGLETRANSLATE(M1959,""en"",""pt""))"),"Responsável por aumentar a longevidade e a lealdade dos jogadores por meio de treinamento, educação e comunicação de alto nível. Elaborar e executar um programa abrangente de desenvolvimento de jogadores para elevar o desempenho e a retenção. Conduzir ses"&amp;"sões de treinamento dinâmicas que cativam e desafiam os atletas em todos os níveis. Gerenciar um banco de dados específico do clube para acompanhar o progresso dos jogadores e informações vitais. Orientar os co-treinadores para garantir o alinhamento com "&amp;"os métodos de ensino e as necessidades de aprendizagem específicos para cada faixa etária. Servir como um farol de melhoria contínua e aprendizado ao longo da vida, forjando conexões significativas com os jogadores. Incentivar práticas reflexivas, promove"&amp;"r a colaboração e abordar preocupações comuns dentro da equipe. Demonstrar excelência em campo, colaborar em estratégias de treinamento e fornecer feedback construtivo. Cultivar laços fortes dentro da comunidade, representando nossos valores dentro e fora"&amp;" de campo. Liderar de 2 a 4 sessões de treinamento semanais por equipe, adaptadas a diversas faixas etárias e níveis de habilidade. Comprometer-se a comparecer aos jogos da liga e torneios, exceto em caso de conflitos de agenda. Seguir as diretrizes de tr"&amp;"einamento e os procedimentos administrativos estabelecidos pela liderança. Manter uma comunicação transparente com jogadores e pais, respondendo prontamente a perguntas e alterações de agenda. Realizar reuniões regulares com a equipe para transmitir infor"&amp;"mações importantes e reforçar as políticas do clube. Desempenhar um papel ativo no recrutamento de jogadores e na gestão do elenco, de acordo com as diretrizes do clube. Contribuir para eventos e iniciativas do clube, incluindo testes recreativos para o t"&amp;"ime All-Star, sessões de futebol de rua e clínicas de habilidades. Participar de reuniões de avaliação de desempenho e treinar a equipe até o final da temporada. Garantir a manutenção dos equipamentos e instalações do clube, preservando nossos recursos pa"&amp;"ra um desempenho ideal. A posição de Treinador de Futebol envolve uma semana de trabalho padrão de 42,5 horas, de segunda a sexta-feira. O horário diário é dividido da seguinte forma: 9h às 13h (tarefas administrativas, análise de vídeo e planejamento cur"&amp;"ricular) e 15h30 às 20h (treinamento da equipe em campo e orientação dos jogadores). Além disso, os funcionários devem trabalhar em horários rotativos nos fins de semana (sábado e domingo) para atender à programação dos jogos da liga e à participação em t"&amp;"orneios. Os horários de fim de semana variam de acordo com os horários das partidas, geralmente entre 8h e 17h. A carga horária semanal total permanecerá a mesma, e quaisquer horas trabalhadas além de 40 por semana serão remuneradas com adicional de horas"&amp;" extras. Não será oferecido treinamento no local de trabalho. Horas extras estão disponíveis à taxa de US$ 44,19 por hora. O transporte diário de ida e volta para o(s) local(is) de trabalho designado(s) não será fornecido pelo empregador. É de inteira res"&amp;"ponsabilidade do trabalhador providenciar seu próprio transporte diário de ida e volta para os centros de treinamento e locais de jogos. O empregador, no entanto, fornecerá todo o transporte necessário entre os locais de trabalho durante o expediente, cas"&amp;"o haja necessidade de deslocamento entre locais para o desempenho das funções de treinador. O empregador utilizará uma semana de trabalho como padrão para o cálculo dos salários devidos. O treinador receberá o pagamento quinzenalmente. O empregador fará t"&amp;"odos os descontos exigidos por lei no contracheque do trabalhador. O empregador será reembolsado pelas despesas de transporte e subsistência do local de origem do trabalhador, desde que este complete 50% do período de trabalho coberto pela ordem de serviç"&amp;"o. O empregador fornecerá ou pagará o custo do transporte de retorno e da subsistência diária do local de trabalho até o local de onde o trabalhador partiu para trabalhar para o empregador, caso o trabalhador complete o período de trabalho certificado ou "&amp;"seja demitido por qualquer motivo pelo empregador antes do término do período. O empregador reembolsará o trabalhador na primeira semana de trabalho por todas as taxas de visto, processamento de visto, travessia de fronteira e outras taxas relacionadas, i"&amp;"ncluindo aquelas exigidas pelo governo. O empregador fornecerá ao trabalhador, sem custo ou depósito, Classificação do Cargo: 27-2022.00 - Treinadores e Olheiros. A classificação e descrição do cargo/setor inclui informações gerais sobre a posição, de aco"&amp;"rdo com o ONET/OES e o Sistema de Classificação Industrial da América do Norte. Consulte as Funções e a Ordem de Serviço para obter mais informações. Requisitos da vaga Experiência necessária: Sim Meses de experiência necessários: 12 Requisitos especiais:"&amp;" Licença de treinador de nível básico da USSF (por exemplo, Licença de Treinador Online US Soccer 7v7, Licença de Treinador Presencial US Soccer 9v9, Licença de Treinador Presencial US Soccer 11v11 ou Licença D da US Soccer); Certificações de segurança at"&amp;"uais da Cal South e da US Soccer, incluindo SafeSport, CDC Heads Up Concussion e Livescan Risk Management. Número de horas por semana: 38 Horário de trabalho (início/término): 9h às 20h")</f>
        <v>Responsável por aumentar a longevidade e a lealdade dos jogadores por meio de treinamento, educação e comunicação de alto nível. Elaborar e executar um programa abrangente de desenvolvimento de jogadores para elevar o desempenho e a retenção. Conduzir sessões de treinamento dinâmicas que cativam e desafiam os atletas em todos os níveis. Gerenciar um banco de dados específico do clube para acompanhar o progresso dos jogadores e informações vitais. Orientar os co-treinadores para garantir o alinhamento com os métodos de ensino e as necessidades de aprendizagem específicos para cada faixa etária. Servir como um farol de melhoria contínua e aprendizado ao longo da vida, forjando conexões significativas com os jogadores. Incentivar práticas reflexivas, promover a colaboração e abordar preocupações comuns dentro da equipe. Demonstrar excelência em campo, colaborar em estratégias de treinamento e fornecer feedback construtivo. Cultivar laços fortes dentro da comunidade, representando nossos valores dentro e fora de campo. Liderar de 2 a 4 sessões de treinamento semanais por equipe, adaptadas a diversas faixas etárias e níveis de habilidade. Comprometer-se a comparecer aos jogos da liga e torneios, exceto em caso de conflitos de agenda. Seguir as diretrizes de treinamento e os procedimentos administrativos estabelecidos pela liderança. Manter uma comunicação transparente com jogadores e pais, respondendo prontamente a perguntas e alterações de agenda. Realizar reuniões regulares com a equipe para transmitir informações importantes e reforçar as políticas do clube. Desempenhar um papel ativo no recrutamento de jogadores e na gestão do elenco, de acordo com as diretrizes do clube. Contribuir para eventos e iniciativas do clube, incluindo testes recreativos para o time All-Star, sessões de futebol de rua e clínicas de habilidades. Participar de reuniões de avaliação de desempenho e treinar a equipe até o final da temporada. Garantir a manutenção dos equipamentos e instalações do clube, preservando nossos recursos para um desempenho ideal. A posição de Treinador de Futebol envolve uma semana de trabalho padrão de 42,5 horas, de segunda a sexta-feira. O horário diário é dividido da seguinte forma: 9h às 13h (tarefas administrativas, análise de vídeo e planejamento curricular) e 15h30 às 20h (treinamento da equipe em campo e orientação dos jogadores). Além disso, os funcionários devem trabalhar em horários rotativos nos fins de semana (sábado e domingo) para atender à programação dos jogos da liga e à participação em torneios. Os horários de fim de semana variam de acordo com os horários das partidas, geralmente entre 8h e 17h. A carga horária semanal total permanecerá a mesma, e quaisquer horas trabalhadas além de 40 por semana serão remuneradas com adicional de horas extras. Não será oferecido treinamento no local de trabalho. Horas extras estão disponíveis à taxa de US$ 44,19 por hora. O transporte diário de ida e volta para o(s) local(is) de trabalho designado(s) não será fornecido pelo empregador. É de inteira responsabilidade do trabalhador providenciar seu próprio transporte diário de ida e volta para os centros de treinamento e locais de jogos. O empregador, no entanto, fornecerá todo o transporte necessário entre os locais de trabalho durante o expediente, caso haja necessidade de deslocamento entre locais para o desempenho das funções de treinador. O empregador utilizará uma semana de trabalho como padrão para o cálculo dos salários devidos. O treinador receberá o pagamento quinzenalmente. O empregador fará todos os descontos exigidos por lei no contracheque do trabalhador. O empregador será reembolsado pelas despesas de transporte e subsistência do local de origem do trabalhador, desde que este complete 50% do período de trabalho coberto pela ordem de serviço. O empregador fornecerá ou pagará o custo do transporte de retorno e da subsistência diária do local de trabalho até o local de onde o trabalhador partiu para trabalhar para o empregador, caso o trabalhador complete o período de trabalho certificado ou seja demitido por qualquer motivo pelo empregador antes do término do período. O empregador reembolsará o trabalhador na primeira semana de trabalho por todas as taxas de visto, processamento de visto, travessia de fronteira e outras taxas relacionadas, incluindo aquelas exigidas pelo governo. O empregador fornecerá ao trabalhador, sem custo ou depósito, Classificação do Cargo: 27-2022.00 - Treinadores e Olheiros. A classificação e descrição do cargo/setor inclui informações gerais sobre a posição, de acordo com o ONET/OES e o Sistema de Classificação Industrial da América do Norte. Consulte as Funções e a Ordem de Serviço para obter mais informações. Requisitos da vaga Experiência necessária: Sim Meses de experiência necessários: 12 Requisitos especiais: Licença de treinador de nível básico da USSF (por exemplo, Licença de Treinador Online US Soccer 7v7, Licença de Treinador Presencial US Soccer 9v9, Licença de Treinador Presencial US Soccer 11v11 ou Licença D da US Soccer); Certificações de segurança atuais da Cal South e da US Soccer, incluindo SafeSport, CDC Heads Up Concussion e Livescan Risk Management. Número de horas por semana: 38 Horário de trabalho (início/término): 9h às 20h</v>
      </c>
    </row>
    <row r="1960" ht="20.25" customHeight="1">
      <c r="A1960" s="3" t="s">
        <v>8782</v>
      </c>
      <c r="B1960" s="3" t="s">
        <v>8783</v>
      </c>
      <c r="C1960" s="3" t="s">
        <v>8784</v>
      </c>
      <c r="D1960" s="3" t="s">
        <v>596</v>
      </c>
      <c r="E1960" s="4" t="s">
        <v>19</v>
      </c>
      <c r="F1960" s="4" t="s">
        <v>20</v>
      </c>
      <c r="G1960" s="4" t="s">
        <v>377</v>
      </c>
      <c r="H1960" s="3" t="s">
        <v>8785</v>
      </c>
      <c r="I1960" s="3" t="s">
        <v>8786</v>
      </c>
      <c r="J1960" s="4">
        <v>19.8</v>
      </c>
      <c r="K1960" s="4">
        <v>35.0</v>
      </c>
      <c r="L1960" s="3" t="s">
        <v>8787</v>
      </c>
      <c r="M1960" s="3" t="s">
        <v>8788</v>
      </c>
      <c r="N1960" s="7" t="str">
        <f>IFERROR(__xludf.DUMMYFUNCTION("GOOGLETRANSLATE(L1960, ""en"", ""pt"")"),"Trabalhadores braçais e movimentadores de carga, estoque e materiais, manuais")</f>
        <v>Trabalhadores braçais e movimentadores de carga, estoque e materiais, manuais</v>
      </c>
      <c r="O1960" s="7" t="str">
        <f>IFERROR(__xludf.DUMMYFUNCTION("IF(M1960="""","""",GOOGLETRANSLATE(M1960,""en"",""pt""))"),"***Resposta à Solicitação de Informações*** ""Os trabalhadores temporários realizarão apenas tarefas que exigem o manuseio manual do material de compensado em cada uma das estações de processamento. Eles precisarão apenas de luvas para proteger as mãos ao"&amp;" manusear o material. Em cada estação de processamento operada por um funcionário permanente experiente, os trabalhadores temporários auxiliarão no transporte manual do material para a próxima estação. Os funcionários permanentes operam empilhadeiras, per"&amp;"mitindo que os trabalhadores temporários transportem o material manualmente para a empilhadeira. Os trabalhadores temporários não operam empilhadeiras. Eles não precisam de nenhuma ferramenta. Sua função em cada estação é auxiliar no transporte manual do "&amp;"material para o próximo processo e/ou guiar manualmente o material para a empilhadeira operada por um funcionário permanente."" ***Atribuições Originais*** Movimentar, separar e/ou marcar o material de compensado manualmente nas diferentes estações de pro"&amp;"cessamento, à medida que o material sai para ser colocado nas empilhadeiras. Classificação da função: 53-7062.00 - Operários e Movimentadores de Carga, Estoque e Materiais. A classificação e descrição da função/setor inclui informações gerais sobre o carg"&amp;"o, de acordo com o ONET/OES e o Sistema de Classificação Industrial da América do Norte (NAICS). Consulte as Funções e a Ordem de Serviço para obter mais informações. Requisitos da função: Experiência necessária: Não. Requisitos especiais: Capacidade de l"&amp;"evantar 13,6 kg (30 libras). Número de horas por semana: 40. Horário de trabalho (início/término): 7h00 - 15h30.")</f>
        <v>***Resposta à Solicitação de Informações*** "Os trabalhadores temporários realizarão apenas tarefas que exigem o manuseio manual do material de compensado em cada uma das estações de processamento. Eles precisarão apenas de luvas para proteger as mãos ao manusear o material. Em cada estação de processamento operada por um funcionário permanente experiente, os trabalhadores temporários auxiliarão no transporte manual do material para a próxima estação. Os funcionários permanentes operam empilhadeiras, permitindo que os trabalhadores temporários transportem o material manualmente para a empilhadeira. Os trabalhadores temporários não operam empilhadeiras. Eles não precisam de nenhuma ferramenta. Sua função em cada estação é auxiliar no transporte manual do material para o próximo processo e/ou guiar manualmente o material para a empilhadeira operada por um funcionário permanente." ***Atribuições Originais*** Movimentar, separar e/ou marcar o material de compensado manualmente nas diferentes estações de processamento, à medida que o material sai para ser colocado nas empilhadeiras. Classificação da função: 53-7062.00 - Operários e Movimentadores de Carga, Estoque e Materiais. A classificação e descrição da função/setor inclui informações gerais sobre o cargo, de acordo com o ONET/OES e o Sistema de Classificação Industrial da América do Norte (NAICS). Consulte as Funções e a Ordem de Serviço para obter mais informações. Requisitos da função: Experiência necessária: Não. Requisitos especiais: Capacidade de levantar 13,6 kg (30 libras). Número de horas por semana: 40. Horário de trabalho (início/término): 7h00 - 15h30.</v>
      </c>
    </row>
    <row r="1961" ht="20.25" customHeight="1">
      <c r="A1961" s="8" t="s">
        <v>8789</v>
      </c>
      <c r="B1961" s="8" t="s">
        <v>8790</v>
      </c>
      <c r="C1961" s="8" t="s">
        <v>8465</v>
      </c>
      <c r="D1961" s="8" t="s">
        <v>2494</v>
      </c>
      <c r="E1961" s="9" t="s">
        <v>19</v>
      </c>
      <c r="F1961" s="9" t="s">
        <v>20</v>
      </c>
      <c r="G1961" s="9" t="s">
        <v>524</v>
      </c>
      <c r="H1961" s="8" t="s">
        <v>8791</v>
      </c>
      <c r="I1961" s="8" t="s">
        <v>8792</v>
      </c>
      <c r="J1961" s="9">
        <v>21.44</v>
      </c>
      <c r="K1961" s="9">
        <v>50.0</v>
      </c>
      <c r="L1961" s="8" t="s">
        <v>121</v>
      </c>
      <c r="M1961" s="8" t="s">
        <v>8511</v>
      </c>
      <c r="N1961" s="7" t="str">
        <f>IFERROR(__xludf.DUMMYFUNCTION("GOOGLETRANSLATE(L1961, ""en"", ""pt"")"),"Trabalhador braçal")</f>
        <v>Trabalhador braçal</v>
      </c>
      <c r="O1961" s="7" t="str">
        <f>IFERROR(__xludf.DUMMYFUNCTION("IF(M1961="""","""",GOOGLETRANSLATE(M1961,""en"",""pt""))"),"***Resposta à Solicitação de Informações*** Detalhes adicionais sobre o auxílio a profissionais qualificados: Os trabalhadores auxiliarão profissionais qualificados na limpeza e organização de ferramentas, equipamentos, materiais e áreas de trabalho; no c"&amp;"arregamento, descarregamento, transporte e movimentação de materiais de construção, como madeira, compensado, fôrmas de concreto, tubos, conexões, fixadores, paletes e outros suprimentos de construção; na instalação e remoção de barreiras temporárias, sin"&amp;"alização e materiais de proteção do local; no auxílio à preparação do local, removendo detritos, eliminando riscos, organizando materiais e mantendo o acesso seguro às áreas de trabalho; e no apoio às equipes de construção com tarefas básicas de trabalho "&amp;"braçal, como segurar, posicionar e organizar materiais e ferramentas. Os trabalhadores utilizarão ferramentas manuais e elétricas básicas, incluindo pás, ancinhos, vassouras, carrinhos de mão, carrinhos de transporte, plataformas rolantes, martelos, trena"&amp;"s, estiletes, furadeiras e ferramentas similares para executar as tarefas designadas. Os trabalhadores poderão auxiliar no carregamento e descarregamento de materiais e na limpeza geral e remoção de detritos para manter os locais de trabalho seguros e org"&amp;"anizados. Todas as tarefas são executadas sob supervisão direta e são relacionadas ao trabalho braçal, não exigindo habilidades especializadas, certificação ou licença. ***Atribuições Originais*** Executar tarefas gerais de trabalho braçal em canteiros de"&amp;" obras durante o inverno para dar suporte a projetos em andamento. As atribuições incluem preparação e limpeza do local, remoção de entulhos, carga e descarga de materiais e auxílio a profissionais especializados, conforme necessário. Realizar a remoção d"&amp;"e neve e gelo para manter áreas de trabalho seguras e acessíveis, incluindo a limpeza de calçadas, zonas de trabalho e caminhos para equipamentos. Utilizar ferramentas manuais e elétricas para auxiliar em tarefas básicas de construção, demolição e movimen"&amp;"tação de materiais. Seguir todos os protocolos de segurança relacionados a condições climáticas frias, incluindo o manuseio adequado de equipamentos e materiais em temperaturas congelantes. Manter o local de trabalho limpo, organizado e seguro em todos os"&amp;" momentos. Classificação da Função: 47-2061.00 - Auxiliares de Construção Civil. A classificação e descrição da função/setor incluem informações gerais sobre o cargo, conforme ONET/OES e o Sistema de Classificação Industrial da América do Norte (NAICS). C"&amp;"onsulte as Atribuições e a Ordem de Serviço para obter mais informações. Requisitos da Função Experiência Necessária: Sim Meses de Experiência Necessária: 3 Requisitos Especiais: 3 meses de experiência ou equivalente. Número de horas por semana: 40 Horári"&amp;"o de trabalho (início/término): 7h00 - 16h00")</f>
        <v>***Resposta à Solicitação de Informações*** Detalhes adicionais sobre o auxílio a profissionais qualificados: Os trabalhadores auxiliarão profissionais qualificados na limpeza e organização de ferramentas, equipamentos, materiais e áreas de trabalho; no carregamento, descarregamento, transporte e movimentação de materiais de construção, como madeira, compensado, fôrmas de concreto, tubos, conexões, fixadores, paletes e outros suprimentos de construção; na instalação e remoção de barreiras temporárias, sinalização e materiais de proteção do local; no auxílio à preparação do local, removendo detritos, eliminando riscos, organizando materiais e mantendo o acesso seguro às áreas de trabalho; e no apoio às equipes de construção com tarefas básicas de trabalho braçal, como segurar, posicionar e organizar materiais e ferramentas. Os trabalhadores utilizarão ferramentas manuais e elétricas básicas, incluindo pás, ancinhos, vassouras, carrinhos de mão, carrinhos de transporte, plataformas rolantes, martelos, trenas, estiletes, furadeiras e ferramentas similares para executar as tarefas designadas. Os trabalhadores poderão auxiliar no carregamento e descarregamento de materiais e na limpeza geral e remoção de detritos para manter os locais de trabalho seguros e organizados. Todas as tarefas são executadas sob supervisão direta e são relacionadas ao trabalho braçal, não exigindo habilidades especializadas, certificação ou licença. ***Atribuições Originais*** Executar tarefas gerais de trabalho braçal em canteiros de obras durante o inverno para dar suporte a projetos em andamento. As atribuições incluem preparação e limpeza do local, remoção de entulhos, carga e descarga de materiais e auxílio a profissionais especializados, conforme necessário. Realizar a remoção de neve e gelo para manter áreas de trabalho seguras e acessíveis, incluindo a limpeza de calçadas, zonas de trabalho e caminhos para equipamentos. Utilizar ferramentas manuais e elétricas para auxiliar em tarefas básicas de construção, demolição e movimentação de materiais. Seguir todos os protocolos de segurança relacionados a condições climáticas frias, incluindo o manuseio adequado de equipamentos e materiais em temperaturas congelantes. Manter o local de trabalho limpo, organizado e seguro em todos os momentos. Classificação da Função: 47-2061.00 - Auxiliares de Construção Civil. A classificação e descrição da função/setor incluem informações gerais sobre o cargo, conforme ONET/OES e o Sistema de Classificação Industrial da América do Norte (NAICS). Consulte as Atribuições e a Ordem de Serviço para obter mais informações. Requisitos da Função Experiência Necessária: Sim Meses de Experiência Necessária: 3 Requisitos Especiais: 3 meses de experiência ou equivalente. Número de horas por semana: 40 Horário de trabalho (início/término): 7h00 - 16h00</v>
      </c>
    </row>
    <row r="1962" ht="20.25" customHeight="1">
      <c r="A1962" s="3" t="s">
        <v>8793</v>
      </c>
      <c r="B1962" s="3" t="s">
        <v>8794</v>
      </c>
      <c r="C1962" s="3" t="s">
        <v>8795</v>
      </c>
      <c r="D1962" s="3" t="s">
        <v>71</v>
      </c>
      <c r="E1962" s="4" t="s">
        <v>19</v>
      </c>
      <c r="F1962" s="4" t="s">
        <v>20</v>
      </c>
      <c r="G1962" s="4" t="s">
        <v>8796</v>
      </c>
      <c r="H1962" s="3" t="s">
        <v>8797</v>
      </c>
      <c r="I1962" s="3" t="s">
        <v>8798</v>
      </c>
      <c r="J1962" s="4">
        <v>56.74</v>
      </c>
      <c r="K1962" s="4">
        <v>1.0</v>
      </c>
      <c r="L1962" s="3" t="s">
        <v>8799</v>
      </c>
      <c r="M1962" s="3" t="s">
        <v>8800</v>
      </c>
      <c r="N1962" s="7" t="str">
        <f>IFERROR(__xludf.DUMMYFUNCTION("GOOGLETRANSLATE(L1962, ""en"", ""pt"")"),"Inspetor de Construção Naval")</f>
        <v>Inspetor de Construção Naval</v>
      </c>
      <c r="O1962" s="7" t="str">
        <f>IFERROR(__xludf.DUMMYFUNCTION("IF(M1962="""","""",GOOGLETRANSLATE(M1962,""en"",""pt""))"),"Supervisionar o desenvolvimento, a construção e os testes de navegação de embarcações. Coordenar o processo de construção naval com os gerentes do estaleiro, os departamentos de Garantia da Qualidade/Controle de Qualidade (QA/QC), projeto e suprimentos. V"&amp;"erificar os desenhos de projeto e a aprovação dos planos. Inspecionar e testar o casco, tubulações, equipamentos e máquinas conforme o plano de inspeção e teste. Acompanhar as inspeções e testes de pré-montagem e montagem de blocos de casco, tubulações e "&amp;"pré-fabricação e instalação de equipamentos. Inspecionar a montagem, o encaixe e a soldagem de blocos e da rampa de lançamento. Realizar testes de tanques e inspeção de integridade. Inspecionar externamente as oficinas de pré-fabricação de subcontratados."&amp;" Participar de reuniões de segurança e produção com o estaleiro. Acompanhar os testes de inclinação e os testes de mar. Classificação da função: 17-2121.00 - Engenheiros Navais e Arquitetos Navais. A classificação e a descrição da função/setor incluem inf"&amp;"ormações gerais sobre o cargo, de acordo com o ONET/OES e o Sistema de Classificação Industrial da América do Norte (NAICS). Consulte as Funções e a Ordem de Serviço para obter mais informações. Requisitos da vaga Experiência necessária: Sim Meses de expe"&amp;"riência necessários: 48 Número de horas por semana: 40 Horário de trabalho (início/término): 8h às 16h")</f>
        <v>Supervisionar o desenvolvimento, a construção e os testes de navegação de embarcações. Coordenar o processo de construção naval com os gerentes do estaleiro, os departamentos de Garantia da Qualidade/Controle de Qualidade (QA/QC), projeto e suprimentos. Verificar os desenhos de projeto e a aprovação dos planos. Inspecionar e testar o casco, tubulações, equipamentos e máquinas conforme o plano de inspeção e teste. Acompanhar as inspeções e testes de pré-montagem e montagem de blocos de casco, tubulações e pré-fabricação e instalação de equipamentos. Inspecionar a montagem, o encaixe e a soldagem de blocos e da rampa de lançamento. Realizar testes de tanques e inspeção de integridade. Inspecionar externamente as oficinas de pré-fabricação de subcontratados. Participar de reuniões de segurança e produção com o estaleiro. Acompanhar os testes de inclinação e os testes de mar. Classificação da função: 17-2121.00 - Engenheiros Navais e Arquitetos Navais. A classificação e a descrição da função/setor incluem informações gerais sobre o cargo, de acordo com o ONET/OES e o Sistema de Classificação Industrial da América do Norte (NAICS). Consulte as Funções e a Ordem de Serviço para obter mais informações. Requisitos da vaga Experiência necessária: Sim Meses de experiência necessários: 48 Número de horas por semana: 40 Horário de trabalho (início/término): 8h às 16h</v>
      </c>
    </row>
    <row r="1963" ht="20.25" customHeight="1">
      <c r="A1963" s="8" t="s">
        <v>8801</v>
      </c>
      <c r="B1963" s="8" t="s">
        <v>8634</v>
      </c>
      <c r="C1963" s="8" t="s">
        <v>7431</v>
      </c>
      <c r="D1963" s="8" t="s">
        <v>71</v>
      </c>
      <c r="E1963" s="9" t="s">
        <v>19</v>
      </c>
      <c r="F1963" s="9" t="s">
        <v>20</v>
      </c>
      <c r="G1963" s="9" t="s">
        <v>72</v>
      </c>
      <c r="H1963" s="8" t="s">
        <v>8635</v>
      </c>
      <c r="I1963" s="8" t="s">
        <v>8636</v>
      </c>
      <c r="J1963" s="9">
        <v>31.09</v>
      </c>
      <c r="K1963" s="9">
        <v>1.0</v>
      </c>
      <c r="L1963" s="8" t="s">
        <v>8802</v>
      </c>
      <c r="M1963" s="8" t="s">
        <v>8803</v>
      </c>
      <c r="N1963" s="7" t="str">
        <f>IFERROR(__xludf.DUMMYFUNCTION("GOOGLETRANSLATE(L1963, ""en"", ""pt"")"),"Assistente Jurídico")</f>
        <v>Assistente Jurídico</v>
      </c>
      <c r="O1963" s="7" t="str">
        <f>IFERROR(__xludf.DUMMYFUNCTION("IF(M1963="""","""",GOOGLETRANSLATE(M1963,""en"",""pt""))"),"Revisar, organizar e manter arquivos de casos, documentos legais e correspondências relacionados a pedidos de certificação de trabalho temporário H-2B. Auxiliar os advogados na preparação e no envio de pedidos ao Departamento do Trabalho e ao Serviço de C"&amp;"idadania e Imigração dos EUA, bem como à documentação de apoio pertinente. Reunir as evidências necessárias para as petições H-2B, incluindo determinações de salário vigente, documentação de recrutamento e declarações do empregador. Redigir e revisar corr"&amp;"espondências legais, memorandos e cartas de apoio em nome dos advogados supervisores. Coordenar e acompanhar prazos de entrega, marcos processuais e status dos pedidos em vários casos simultâneos de clientes. Comunicar-se com os clientes para coletar as i"&amp;"nformações, documentos e assinaturas necessárias para concluir os pedidos H-2B. Organizar e manter sistemas de arquivamento eletrônico e físico para processos ativos e arquivados. Auxiliar na preparação de respostas a Solicitações de Evidências e Notifica"&amp;"ções de Deficiência emitidas por agências governamentais. Executar tarefas de apoio administrativo relacionadas às operações jurídicas, incluindo agendamento, preparação de documentos e gerenciamento de correspondências. Classificação da Função: 23-2011.0"&amp;"0 - Assistentes Jurídicos e Paralegais. A classificação e descrição da função/setor inclui informações gerais sobre o cargo, conforme o ONET/OES e o Sistema de Classificação Industrial da América do Norte. Consulte as Funções e a Ordem de Serviço para obt"&amp;"er mais informações. Requisitos da Função Experiência Necessária: Sim Meses de Experiência Necessários: 24 Requisitos Especiais: É necessário conhecimento básico de inglês. É necessário diploma de nível técnico em Estudos Jurídicos, Direito ou área relaci"&amp;"onada. É necessário no mínimo 24 meses de experiência como assistente jurídico, paralegal ou em função similar. Conhecimento da legislação de imigração e dos processos de certificação de trabalho temporário H-2B é desejável. É necessário ser capaz de leva"&amp;"ntar e carregar pesos suficientes para movimentar arquivos e materiais necessários para a execução das tarefas atribuídas. Utilização de equipamentos de escritório, incluindo computadores, impressoras, scanners e software de gestão de processos jurídicos."&amp;" 40 horas semanais, 5 dias por semana. O horário típico é de segunda a sexta-feira, das 9h às 18h. O horário pode variar e incluir noites, fins de semana ou feriados, conforme necessário. O empregador se baseará nas declarações e observações do próprio tr"&amp;"abalhador para avaliar se ele atende aos requisitos de capacidade física aqui descritos. Número de horas por semana: 40. Horário de trabalho (início/término): 9h às 18h.")</f>
        <v>Revisar, organizar e manter arquivos de casos, documentos legais e correspondências relacionados a pedidos de certificação de trabalho temporário H-2B. Auxiliar os advogados na preparação e no envio de pedidos ao Departamento do Trabalho e ao Serviço de Cidadania e Imigração dos EUA, bem como à documentação de apoio pertinente. Reunir as evidências necessárias para as petições H-2B, incluindo determinações de salário vigente, documentação de recrutamento e declarações do empregador. Redigir e revisar correspondências legais, memorandos e cartas de apoio em nome dos advogados supervisores. Coordenar e acompanhar prazos de entrega, marcos processuais e status dos pedidos em vários casos simultâneos de clientes. Comunicar-se com os clientes para coletar as informações, documentos e assinaturas necessárias para concluir os pedidos H-2B. Organizar e manter sistemas de arquivamento eletrônico e físico para processos ativos e arquivados. Auxiliar na preparação de respostas a Solicitações de Evidências e Notificações de Deficiência emitidas por agências governamentais. Executar tarefas de apoio administrativo relacionadas às operações jurídicas, incluindo agendamento, preparação de documentos e gerenciamento de correspondências. Classificação da Função: 23-2011.00 - Assistentes Jurídicos e Paralegais. A classificação e descrição da função/setor inclui informações gerais sobre o cargo, conforme o ONET/OES e o Sistema de Classificação Industrial da América do Norte. Consulte as Funções e a Ordem de Serviço para obter mais informações. Requisitos da Função Experiência Necessária: Sim Meses de Experiência Necessários: 24 Requisitos Especiais: É necessário conhecimento básico de inglês. É necessário diploma de nível técnico em Estudos Jurídicos, Direito ou área relacionada. É necessário no mínimo 24 meses de experiência como assistente jurídico, paralegal ou em função similar. Conhecimento da legislação de imigração e dos processos de certificação de trabalho temporário H-2B é desejável. É necessário ser capaz de levantar e carregar pesos suficientes para movimentar arquivos e materiais necessários para a execução das tarefas atribuídas. Utilização de equipamentos de escritório, incluindo computadores, impressoras, scanners e software de gestão de processos jurídicos. 40 horas semanais, 5 dias por semana. O horário típico é de segunda a sexta-feira, das 9h às 18h. O horário pode variar e incluir noites, fins de semana ou feriados, conforme necessário. O empregador se baseará nas declarações e observações do próprio trabalhador para avaliar se ele atende aos requisitos de capacidade física aqui descritos. Número de horas por semana: 40. Horário de trabalho (início/término): 9h às 18h.</v>
      </c>
    </row>
    <row r="1964" ht="20.25" customHeight="1">
      <c r="A1964" s="3" t="s">
        <v>8804</v>
      </c>
      <c r="B1964" s="3" t="s">
        <v>8805</v>
      </c>
      <c r="C1964" s="3" t="s">
        <v>6228</v>
      </c>
      <c r="D1964" s="3" t="s">
        <v>140</v>
      </c>
      <c r="E1964" s="4" t="s">
        <v>19</v>
      </c>
      <c r="F1964" s="4" t="s">
        <v>20</v>
      </c>
      <c r="G1964" s="4" t="s">
        <v>146</v>
      </c>
      <c r="H1964" s="3" t="s">
        <v>8806</v>
      </c>
      <c r="I1964" s="3" t="s">
        <v>8807</v>
      </c>
      <c r="J1964" s="4">
        <v>23.75</v>
      </c>
      <c r="K1964" s="4">
        <v>4.0</v>
      </c>
      <c r="L1964" s="3" t="s">
        <v>8808</v>
      </c>
      <c r="M1964" s="3" t="s">
        <v>8809</v>
      </c>
      <c r="N1964" s="7" t="str">
        <f>IFERROR(__xludf.DUMMYFUNCTION("GOOGLETRANSLATE(L1964, ""en"", ""pt"")"),"Acabador de concreto de inverno")</f>
        <v>Acabador de concreto de inverno</v>
      </c>
      <c r="O1964" s="7" t="str">
        <f>IFERROR(__xludf.DUMMYFUNCTION("IF(M1964="""","""",GOOGLETRANSLATE(M1964,""en"",""pt""))"),"Os acabadores de concreto são responsáveis ​​pelo alisamento e acabamento de pisos, lajes, paredes, paredes pré-moldadas, lajes elevadas e obras de infraestrutura (meios-fios, calçadas, docas de carga, etc.) de concreto moldado in loco, de acordo com as e"&amp;"specificações de qualidade, utilizando ferramentas manuais ou elétricas, incluindo desempenadeiras, colheres de pedreiro e réguas de nivelamento. As tarefas incluem: preparação, concretagem, colocação e acabamento do concreto, montagem e instalação de fôr"&amp;"mas para estruturas de concreto, fundações, edifícios e obras de infraestrutura, conforme especificações e desenhos. Isso pode incluir fôrmas para paredes pré-moldadas de concreto, fôrmas Symon e/ou fôrmas estruturais para colunas, lajes, núcleos de eleva"&amp;"dores, estacionamentos e outras estruturas de concreto moldado in loco. Classificação da função: 47-2051.00 - Pedreiros e Acabadores de Concreto. A classificação e descrição da função/setor inclui informações gerais sobre o cargo, de acordo com o ONET/OES"&amp;" e o Sistema de Classificação Industrial da América do Norte (NAICS). Consulte as Funções e a Ordem de Serviço para obter mais informações. Requisitos da vaga Experiência necessária: Sim Meses de experiência necessários: 3 Requisitos especiais: Três (3) m"&amp;"eses de experiência em construção ou áreas afins são necessários. Número de horas por semana: 40 Horário de trabalho (início/término): 7h às 17h")</f>
        <v>Os acabadores de concreto são responsáveis ​​pelo alisamento e acabamento de pisos, lajes, paredes, paredes pré-moldadas, lajes elevadas e obras de infraestrutura (meios-fios, calçadas, docas de carga, etc.) de concreto moldado in loco, de acordo com as especificações de qualidade, utilizando ferramentas manuais ou elétricas, incluindo desempenadeiras, colheres de pedreiro e réguas de nivelamento. As tarefas incluem: preparação, concretagem, colocação e acabamento do concreto, montagem e instalação de fôrmas para estruturas de concreto, fundações, edifícios e obras de infraestrutura, conforme especificações e desenhos. Isso pode incluir fôrmas para paredes pré-moldadas de concreto, fôrmas Symon e/ou fôrmas estruturais para colunas, lajes, núcleos de elevadores, estacionamentos e outras estruturas de concreto moldado in loco. Classificação da função: 47-2051.00 - Pedreiros e Acabadores de Concreto. A classificação e descrição da função/setor inclui informações gerais sobre o cargo, de acordo com o ONET/OES e o Sistema de Classificação Industrial da América do Norte (NAICS). Consulte as Funções e a Ordem de Serviço para obter mais informações. Requisitos da vaga Experiência necessária: Sim Meses de experiência necessários: 3 Requisitos especiais: Três (3) meses de experiência em construção ou áreas afins são necessários. Número de horas por semana: 40 Horário de trabalho (início/término): 7h às 17h</v>
      </c>
    </row>
    <row r="1965" ht="20.25" customHeight="1">
      <c r="A1965" s="8" t="s">
        <v>8810</v>
      </c>
      <c r="B1965" s="8" t="s">
        <v>8811</v>
      </c>
      <c r="C1965" s="8" t="s">
        <v>4247</v>
      </c>
      <c r="D1965" s="8" t="s">
        <v>64</v>
      </c>
      <c r="E1965" s="9" t="s">
        <v>19</v>
      </c>
      <c r="F1965" s="9" t="s">
        <v>20</v>
      </c>
      <c r="G1965" s="9" t="s">
        <v>8033</v>
      </c>
      <c r="H1965" s="8" t="s">
        <v>8812</v>
      </c>
      <c r="I1965" s="8" t="s">
        <v>8813</v>
      </c>
      <c r="J1965" s="9">
        <v>11.81</v>
      </c>
      <c r="K1965" s="9">
        <v>6.0</v>
      </c>
      <c r="L1965" s="8" t="s">
        <v>5612</v>
      </c>
      <c r="M1965" s="8" t="s">
        <v>8814</v>
      </c>
      <c r="N1965" s="7" t="str">
        <f>IFERROR(__xludf.DUMMYFUNCTION("GOOGLETRANSLATE(L1965, ""en"", ""pt"")"),"35-3023.00 Atendentes de Fast Food e Balcão – Concessão Móvel de Alimentos")</f>
        <v>35-3023.00 Atendentes de Fast Food e Balcão – Concessão Móvel de Alimentos</v>
      </c>
      <c r="O1965" s="7" t="str">
        <f>IFERROR(__xludf.DUMMYFUNCTION("IF(M1965="""","""",GOOGLETRANSLATE(M1965,""en"",""pt""))"),"Executar diversas tarefas de atendimento em uma barraca de comida móvel. Organizar mesas e decorações de acordo com as instruções. Comunicar-se com os clientes sobre os pedidos. Receber pagamentos dos clientes. Servir comidas, bebidas ou sobremesas aos cl"&amp;"ientes. Preparar os itens do cardápio diário e cozinhar alimentos e bebidas simples, utilizando as devidas precauções e medidas de segurança. Limpar e organizar as áreas de alimentação, serviço e cozinha. Realizar tarefas de limpeza para manter os equipam"&amp;"entos e instalações higienizados. Classificação da vaga: 35-2011.00 - Cozinheiros, Fast Food. A classificação e descrição da vaga/setor incluem informações gerais sobre o cargo, de acordo com o ONET/OES e o Sistema de Classificação Industrial da América d"&amp;"o Norte (NAICS). Consulte as Funções e a Ordem de Serviço para obter mais informações. Requisitos da vaga: Experiência exigida: Não. Requisitos especiais: Testes aleatórios de drogas e verificação de antecedentes criminais após a contratação podem ser exi"&amp;"gidos, sem custo para o trabalhador. A vaga exige que o candidato seja qualificado, esteja pronto, disposto, apto e disponível para desempenhar as funções durante todo o período de emprego nos locais de trabalho designados e para seguir as normas do local"&amp;" de trabalho. Número de horas por semana: 40 Horário de trabalho (início/término): 13h00 - 22h00")</f>
        <v>Executar diversas tarefas de atendimento em uma barraca de comida móvel. Organizar mesas e decorações de acordo com as instruções. Comunicar-se com os clientes sobre os pedidos. Receber pagamentos dos clientes. Servir comidas, bebidas ou sobremesas aos clientes. Preparar os itens do cardápio diário e cozinhar alimentos e bebidas simples, utilizando as devidas precauções e medidas de segurança. Limpar e organizar as áreas de alimentação, serviço e cozinha. Realizar tarefas de limpeza para manter os equipamentos e instalações higienizados. Classificação da vaga: 35-2011.00 - Cozinheiros, Fast Food. A classificação e descrição da vaga/setor incluem informações gerais sobre o cargo, de acordo com o ONET/OES e o Sistema de Classificação Industrial da América do Norte (NAICS). Consulte as Funções e a Ordem de Serviço para obter mais informações. Requisitos da vaga: Experiência exigida: Não. Requisitos especiais: Testes aleatórios de drogas e verificação de antecedentes criminais após a contratação podem ser exigidos, sem custo para o trabalhador. A vaga exige que o candidato seja qualificado, esteja pronto, disposto, apto e disponível para desempenhar as funções durante todo o período de emprego nos locais de trabalho designados e para seguir as normas do local de trabalho. Número de horas por semana: 40 Horário de trabalho (início/término): 13h00 - 22h00</v>
      </c>
    </row>
    <row r="1966" ht="20.25" customHeight="1">
      <c r="A1966" s="3" t="s">
        <v>8815</v>
      </c>
      <c r="B1966" s="3" t="s">
        <v>8816</v>
      </c>
      <c r="C1966" s="3" t="s">
        <v>8817</v>
      </c>
      <c r="D1966" s="3" t="s">
        <v>87</v>
      </c>
      <c r="E1966" s="4" t="s">
        <v>19</v>
      </c>
      <c r="F1966" s="4" t="s">
        <v>20</v>
      </c>
      <c r="G1966" s="4" t="s">
        <v>94</v>
      </c>
      <c r="H1966" s="3" t="s">
        <v>8818</v>
      </c>
      <c r="I1966" s="3" t="s">
        <v>8819</v>
      </c>
      <c r="J1966" s="4">
        <v>22.66</v>
      </c>
      <c r="K1966" s="4">
        <v>42.0</v>
      </c>
      <c r="L1966" s="3" t="s">
        <v>8820</v>
      </c>
      <c r="M1966" s="3" t="s">
        <v>8821</v>
      </c>
      <c r="N1966" s="7" t="str">
        <f>IFERROR(__xludf.DUMMYFUNCTION("GOOGLETRANSLATE(L1966, ""en"", ""pt"")"),"Operador de Máquina")</f>
        <v>Operador de Máquina</v>
      </c>
      <c r="O1966" s="7" t="str">
        <f>IFERROR(__xludf.DUMMYFUNCTION("IF(M1966="""","""",GOOGLETRANSLATE(M1966,""en"",""pt""))"),"Interpretar desenhos técnicos ou ordens de serviço para determinar as especificações do produto e as instruções de ferramentas, bem como para planejar as sequências operacionais. Configurar, operar e manter equipamentos de montagem automatizados, como equ"&amp;"ipamentos robóticos e de automação fixa. Facilitar o alinhamento, a movimentação e o ajuste de máquinas, equipamentos e materiais. Realizar inspeções estéticas e funcionais conforme as instruções de trabalho. Marcar, registrar e relatar defeitos. Verifica"&amp;"r dimensões mecânicas e realizar testes elétricos de aprovação/reprovação. Identificar e marcar conjuntos aceitáveis ​​e defeituosos. Realizar testes elétricos e de continuidade simples em componentes, peças e sistemas eletrônicos. Coletar, registrar e re"&amp;"sumir os resultados das inspeções. Executar montagem manual, limpeza, testes e inspeções conforme as instruções de trabalho. Preparar e separar o material conforme as instruções de trabalho, carregar/descarregar o material em máquinas ou estações de traba"&amp;"lho manuais. Limpar e preparar o local de trabalho, a estação de trabalho e as máquinas. Verificar a montagem final quanto ao acabamento, etiquetagem e métodos de embalagem. Classificação da vaga: 51-4081.00 - Operadores, preparadores e auxiliares de máqu"&amp;"inas-ferramenta para metal e plástico. A classificação e descrição da vaga/setor incluem informações gerais sobre a posição, de acordo com o ONET/OES e o Sistema de Classificação Industrial da América do Norte (NAICS). Consulte as atribuições e a ordem de"&amp;" serviço para obter mais informações. Requisitos da vaga: Experiência necessária: Sim. Meses de experiência necessários: 9. Requisitos especiais: Experiência em operação de máquinas de manufatura. Número de horas por semana: 72. Horário de trabalho (iníci"&amp;"o/término): 7h às 19h.")</f>
        <v>Interpretar desenhos técnicos ou ordens de serviço para determinar as especificações do produto e as instruções de ferramentas, bem como para planejar as sequências operacionais. Configurar, operar e manter equipamentos de montagem automatizados, como equipamentos robóticos e de automação fixa. Facilitar o alinhamento, a movimentação e o ajuste de máquinas, equipamentos e materiais. Realizar inspeções estéticas e funcionais conforme as instruções de trabalho. Marcar, registrar e relatar defeitos. Verificar dimensões mecânicas e realizar testes elétricos de aprovação/reprovação. Identificar e marcar conjuntos aceitáveis ​​e defeituosos. Realizar testes elétricos e de continuidade simples em componentes, peças e sistemas eletrônicos. Coletar, registrar e resumir os resultados das inspeções. Executar montagem manual, limpeza, testes e inspeções conforme as instruções de trabalho. Preparar e separar o material conforme as instruções de trabalho, carregar/descarregar o material em máquinas ou estações de trabalho manuais. Limpar e preparar o local de trabalho, a estação de trabalho e as máquinas. Verificar a montagem final quanto ao acabamento, etiquetagem e métodos de embalagem. Classificação da vaga: 51-4081.00 - Operadores, preparadores e auxiliares de máquinas-ferramenta para metal e plástico. A classificação e descrição da vaga/setor incluem informações gerais sobre a posição, de acordo com o ONET/OES e o Sistema de Classificação Industrial da América do Norte (NAICS). Consulte as atribuições e a ordem de serviço para obter mais informações. Requisitos da vaga: Experiência necessária: Sim. Meses de experiência necessários: 9. Requisitos especiais: Experiência em operação de máquinas de manufatura. Número de horas por semana: 72. Horário de trabalho (início/término): 7h às 19h.</v>
      </c>
    </row>
    <row r="1967" ht="20.25" customHeight="1">
      <c r="A1967" s="8" t="s">
        <v>8822</v>
      </c>
      <c r="B1967" s="8" t="s">
        <v>7714</v>
      </c>
      <c r="C1967" s="8" t="s">
        <v>7000</v>
      </c>
      <c r="D1967" s="8" t="s">
        <v>4822</v>
      </c>
      <c r="E1967" s="9" t="s">
        <v>19</v>
      </c>
      <c r="F1967" s="9" t="s">
        <v>20</v>
      </c>
      <c r="G1967" s="9" t="s">
        <v>467</v>
      </c>
      <c r="H1967" s="8" t="s">
        <v>7715</v>
      </c>
      <c r="I1967" s="8" t="s">
        <v>7716</v>
      </c>
      <c r="J1967" s="9">
        <v>3.68</v>
      </c>
      <c r="K1967" s="9">
        <v>5.0</v>
      </c>
      <c r="L1967" s="8" t="s">
        <v>8823</v>
      </c>
      <c r="M1967" s="8" t="s">
        <v>8824</v>
      </c>
      <c r="N1967" s="7" t="str">
        <f>IFERROR(__xludf.DUMMYFUNCTION("GOOGLETRANSLATE(L1967, ""en"", ""pt"")"),"Assistente de Ensino - Ensino Fundamental")</f>
        <v>Assistente de Ensino - Ensino Fundamental</v>
      </c>
      <c r="O1967" s="7" t="str">
        <f>IFERROR(__xludf.DUMMYFUNCTION("IF(M1967="""","""",GOOGLETRANSLATE(M1967,""en"",""pt""))"),"Auxiliar o professor licenciado do ensino fundamental em suas atividades pedagógicas. Apoiar o professor licenciado no planejamento e implementação de programas e serviços educacionais para o ensino fundamental. Dar aulas particulares e auxiliar alunos, i"&amp;"ndividualmente ou em pequenos grupos, em um ambiente de sala de aula multisseriada, para reforçar os conceitos de aprendizagem apresentados pelos professores nas áreas curriculares principais, incluindo leitura, escrita, matemática, ciências e estudos soc"&amp;"iais. Auxiliar os professores com diferentes métodos de ensino para atender às diversas necessidades de aprendizagem dos alunos. Implementar estratégias de alfabetização e numeramento iniciais, conforme orientação do professor. Ensinar habilidades sociais"&amp;" aos alunos, utilizando práticas pedagógicas culturalmente responsivas e apropriadas para as comunidades rurais do Alasca. Manter registros precisos dos alunos e fornecer feedback para monitorar seu progresso. Utilizar a tecnologia para instrução, comunic"&amp;"ação e relatórios. Supervisionar os alunos em sala de aula, nas dependências da escola e em excursões. Estabelecer e manter um ambiente de sala de aula positivo. Comunicar-se regularmente com os pais e membros da comunidade. Colaborar com o professor supe"&amp;"rvisor, auxiliares, equipe de apoio e administração. Participar de treinamentos de desenvolvimento profissional e reuniões distritais. Apoiar as atividades escolares e os programas estudantis. Classificação da vaga: 25-9042.00 - Auxiliares de Ensino, Educ"&amp;"ação Infantil, Ensino Fundamental, Ensino Médio e Ensino Superior, exceto Educação Especial. A classificação e descrição da vaga/setor incluem informações gerais sobre o cargo, de acordo com o ONET/OES e o Sistema de Classificação Industrial da América do"&amp;" Norte (NAICS). Consulte as atribuições e a descrição da vaga para obter mais informações. Requisitos da vaga Experiência exigida: Não. Requisitos específicos: É necessário diploma de bacharel ou equivalente estrangeiro em Educação, Psicologia ou área rel"&amp;"acionada. Dias e horário de trabalho: De segunda a sexta-feira, das 8h15 às 16h15, incluindo uma hora de intervalo para almoço. O empregador oferecerá no mínimo (não menos que) 40 horas semanais. Número de horas por semana: 40. Horário de trabalho (início"&amp;"/término): 8h15 às 16h15.")</f>
        <v>Auxiliar o professor licenciado do ensino fundamental em suas atividades pedagógicas. Apoiar o professor licenciado no planejamento e implementação de programas e serviços educacionais para o ensino fundamental. Dar aulas particulares e auxiliar alunos, individualmente ou em pequenos grupos, em um ambiente de sala de aula multisseriada, para reforçar os conceitos de aprendizagem apresentados pelos professores nas áreas curriculares principais, incluindo leitura, escrita, matemática, ciências e estudos sociais. Auxiliar os professores com diferentes métodos de ensino para atender às diversas necessidades de aprendizagem dos alunos. Implementar estratégias de alfabetização e numeramento iniciais, conforme orientação do professor. Ensinar habilidades sociais aos alunos, utilizando práticas pedagógicas culturalmente responsivas e apropriadas para as comunidades rurais do Alasca. Manter registros precisos dos alunos e fornecer feedback para monitorar seu progresso. Utilizar a tecnologia para instrução, comunicação e relatórios. Supervisionar os alunos em sala de aula, nas dependências da escola e em excursões. Estabelecer e manter um ambiente de sala de aula positivo. Comunicar-se regularmente com os pais e membros da comunidade. Colaborar com o professor supervisor, auxiliares, equipe de apoio e administração. Participar de treinamentos de desenvolvimento profissional e reuniões distritais. Apoiar as atividades escolares e os programas estudantis. Classificação da vaga: 25-9042.00 - Auxiliares de Ensino, Educação Infantil, Ensino Fundamental, Ensino Médio e Ensino Superior, exceto Educação Especial. A classificação e descrição da vaga/setor incluem informações gerais sobre o cargo, de acordo com o ONET/OES e o Sistema de Classificação Industrial da América do Norte (NAICS). Consulte as atribuições e a descrição da vaga para obter mais informações. Requisitos da vaga Experiência exigida: Não. Requisitos específicos: É necessário diploma de bacharel ou equivalente estrangeiro em Educação, Psicologia ou área relacionada. Dias e horário de trabalho: De segunda a sexta-feira, das 8h15 às 16h15, incluindo uma hora de intervalo para almoço. O empregador oferecerá no mínimo (não menos que) 40 horas semanais. Número de horas por semana: 40. Horário de trabalho (início/término): 8h15 às 16h15.</v>
      </c>
    </row>
    <row r="1968" ht="20.25" customHeight="1">
      <c r="A1968" s="3" t="s">
        <v>8825</v>
      </c>
      <c r="B1968" s="3" t="s">
        <v>8826</v>
      </c>
      <c r="C1968" s="3" t="s">
        <v>7596</v>
      </c>
      <c r="D1968" s="3" t="s">
        <v>71</v>
      </c>
      <c r="E1968" s="4" t="s">
        <v>44</v>
      </c>
      <c r="F1968" s="4" t="s">
        <v>20</v>
      </c>
      <c r="G1968" s="4" t="s">
        <v>8827</v>
      </c>
      <c r="H1968" s="3" t="s">
        <v>8828</v>
      </c>
      <c r="I1968" s="3" t="s">
        <v>8829</v>
      </c>
      <c r="J1968" s="4">
        <v>16.15</v>
      </c>
      <c r="K1968" s="4">
        <v>1.0</v>
      </c>
      <c r="L1968" s="3" t="s">
        <v>4056</v>
      </c>
      <c r="M1968" s="3" t="s">
        <v>8830</v>
      </c>
      <c r="N1968" s="7" t="str">
        <f>IFERROR(__xludf.DUMMYFUNCTION("GOOGLETRANSLATE(L1968, ""en"", ""pt"")"),"Gerente da Casa")</f>
        <v>Gerente da Casa</v>
      </c>
      <c r="O1968" s="7" t="str">
        <f>IFERROR(__xludf.DUMMYFUNCTION("IF(M1968="""","""",GOOGLETRANSLATE(M1968,""en"",""pt""))"),"Ensinar e realizar atividades apropriadas para a idade, incluindo brincadeiras no colo, leitura, artes, artesanato, esportes, passeios e encontros com outras crianças. Incentivar o desenvolvimento intelectual das crianças. Auxiliar as crianças em hábitos "&amp;"pessoais saudáveis, como alimentação e descanso. Reunir-se regularmente com o pai para discutir o desenvolvimento das crianças. Eliminar riscos e estabelecer limites e regras apropriados para criar ambientes seguros para as crianças. Atribuir tarefas apro"&amp;"priadas e elogiar comportamentos específicos para incentivar o senso de responsabilidade. Transportar as crianças de e para a escola, consultas médicas, casas de familiares e outras ocasiões. Preparar refeições saudáveis ​​para as crianças, lavar roupas e"&amp;" roupas de cama e organizar os espaços das crianças. Manter e promover a boa higiene das crianças. Acompanhar as crianças em visitas supervisionadas com a mãe. Executar outras tarefas similares, conforme necessário. Classificação da vaga: 39-9011.01 - Bab"&amp;"ás. A classificação e descrição da vaga/setor inclui informações gerais sobre o cargo, de acordo com o ONET/OES e o Sistema de Classificação Industrial da América do Norte. Consulte as Funções e a Ordem de Serviço para obter mais informações. Requisitos d"&amp;"a vaga Experiência necessária: Sim Meses de experiência necessários: 6 Requisitos especiais: É necessário ter pelo menos seis meses de experiência anterior em tempo integral ou equivalente como babá, assistente pessoal ou outra função similar, prestando a"&amp;"poio a famílias com crianças. É necessário possuir ou estar apto a obter carteira de habilitação estadual. É necessário possuir ou estar apto a obter certificação em primeiros socorros e RCP. Número de horas por semana: 48 Horário de trabalho (início/térm"&amp;"ino): 6h30 - 18h00")</f>
        <v>Ensinar e realizar atividades apropriadas para a idade, incluindo brincadeiras no colo, leitura, artes, artesanato, esportes, passeios e encontros com outras crianças. Incentivar o desenvolvimento intelectual das crianças. Auxiliar as crianças em hábitos pessoais saudáveis, como alimentação e descanso. Reunir-se regularmente com o pai para discutir o desenvolvimento das crianças. Eliminar riscos e estabelecer limites e regras apropriados para criar ambientes seguros para as crianças. Atribuir tarefas apropriadas e elogiar comportamentos específicos para incentivar o senso de responsabilidade. Transportar as crianças de e para a escola, consultas médicas, casas de familiares e outras ocasiões. Preparar refeições saudáveis ​​para as crianças, lavar roupas e roupas de cama e organizar os espaços das crianças. Manter e promover a boa higiene das crianças. Acompanhar as crianças em visitas supervisionadas com a mãe. Executar outras tarefas similares, conforme necessário. Classificação da vaga: 39-9011.01 - Babás. A classificação e descrição da vaga/setor inclui informações gerais sobre o cargo, de acordo com o ONET/OES e o Sistema de Classificação Industrial da América do Norte. Consulte as Funções e a Ordem de Serviço para obter mais informações. Requisitos da vaga Experiência necessária: Sim Meses de experiência necessários: 6 Requisitos especiais: É necessário ter pelo menos seis meses de experiência anterior em tempo integral ou equivalente como babá, assistente pessoal ou outra função similar, prestando apoio a famílias com crianças. É necessário possuir ou estar apto a obter carteira de habilitação estadual. É necessário possuir ou estar apto a obter certificação em primeiros socorros e RCP. Número de horas por semana: 48 Horário de trabalho (início/término): 6h30 - 18h00</v>
      </c>
    </row>
    <row r="1969" ht="20.25" customHeight="1">
      <c r="A1969" s="8" t="s">
        <v>8831</v>
      </c>
      <c r="B1969" s="8" t="s">
        <v>8832</v>
      </c>
      <c r="C1969" s="8" t="s">
        <v>8729</v>
      </c>
      <c r="D1969" s="8" t="s">
        <v>71</v>
      </c>
      <c r="E1969" s="9" t="s">
        <v>19</v>
      </c>
      <c r="F1969" s="9" t="s">
        <v>20</v>
      </c>
      <c r="G1969" s="9" t="s">
        <v>377</v>
      </c>
      <c r="H1969" s="8" t="s">
        <v>8833</v>
      </c>
      <c r="I1969" s="8" t="s">
        <v>8834</v>
      </c>
      <c r="J1969" s="9">
        <v>16.09</v>
      </c>
      <c r="K1969" s="9">
        <v>1.0</v>
      </c>
      <c r="L1969" s="8" t="s">
        <v>8835</v>
      </c>
      <c r="M1969" s="8" t="s">
        <v>8836</v>
      </c>
      <c r="N1969" s="7" t="str">
        <f>IFERROR(__xludf.DUMMYFUNCTION("GOOGLETRANSLATE(L1969, ""en"", ""pt"")"),"Auxiliar de saúde domiciliar residente")</f>
        <v>Auxiliar de saúde domiciliar residente</v>
      </c>
      <c r="O1969" s="7" t="str">
        <f>IFERROR(__xludf.DUMMYFUNCTION("IF(M1969="""","""",GOOGLETRANSLATE(M1969,""en"",""pt""))"),"Prestar cuidados a idosos em domicílio. Auxiliar nas atividades diárias, incluindo banho, vestuário, higiene pessoal e exercícios. Preparar e servir refeições e lanches saudáveis. Orientar e auxiliar em atividades mentalmente estimulantes, como jogos, que"&amp;"bra-cabeças e trabalhos manuais. Auxiliar no monitoramento da saúde e oferecer apoio emocional. Lavar roupas e manter o ambiente limpo e organizado. Classificação da vaga: 31-1121.00 - Auxiliares de Saúde Domiciliar. A classificação e descrição da vaga/se"&amp;"tor incluem informações gerais sobre o cargo, de acordo com o ONET/OES e o Sistema de Classificação Industrial da América do Norte (NAICS). Consulte as atribuições e a descrição da vaga para obter mais informações. Requisitos da vaga: Experiência necessár"&amp;"ia: Sim. Meses de experiência necessários: 12. Número de horas por semana: 72. Horário de trabalho (início/término): 9h às 21h.")</f>
        <v>Prestar cuidados a idosos em domicílio. Auxiliar nas atividades diárias, incluindo banho, vestuário, higiene pessoal e exercícios. Preparar e servir refeições e lanches saudáveis. Orientar e auxiliar em atividades mentalmente estimulantes, como jogos, quebra-cabeças e trabalhos manuais. Auxiliar no monitoramento da saúde e oferecer apoio emocional. Lavar roupas e manter o ambiente limpo e organizado. Classificação da vaga: 31-1121.00 - Auxiliares de Saúde Domiciliar. A classificação e descrição da vaga/setor incluem informações gerais sobre o cargo, de acordo com o ONET/OES e o Sistema de Classificação Industrial da América do Norte (NAICS). Consulte as atribuições e a descrição da vaga para obter mais informações. Requisitos da vaga: Experiência necessária: Sim. Meses de experiência necessários: 12. Número de horas por semana: 72. Horário de trabalho (início/término): 9h às 21h.</v>
      </c>
    </row>
    <row r="1970" ht="20.25" customHeight="1">
      <c r="A1970" s="3" t="s">
        <v>8837</v>
      </c>
      <c r="B1970" s="3" t="s">
        <v>8838</v>
      </c>
      <c r="C1970" s="3" t="s">
        <v>6921</v>
      </c>
      <c r="D1970" s="3" t="s">
        <v>126</v>
      </c>
      <c r="E1970" s="4" t="s">
        <v>19</v>
      </c>
      <c r="F1970" s="4" t="s">
        <v>20</v>
      </c>
      <c r="G1970" s="4" t="s">
        <v>5800</v>
      </c>
      <c r="H1970" s="3" t="s">
        <v>8839</v>
      </c>
      <c r="I1970" s="3" t="s">
        <v>8840</v>
      </c>
      <c r="J1970" s="4">
        <v>24.35</v>
      </c>
      <c r="K1970" s="4">
        <v>2.0</v>
      </c>
      <c r="L1970" s="3" t="s">
        <v>8841</v>
      </c>
      <c r="M1970" s="3" t="s">
        <v>8842</v>
      </c>
      <c r="N1970" s="7" t="str">
        <f>IFERROR(__xludf.DUMMYFUNCTION("GOOGLETRANSLATE(L1970, ""en"", ""pt"")"),"Treinador principal")</f>
        <v>Treinador principal</v>
      </c>
      <c r="O1970" s="7" t="str">
        <f>IFERROR(__xludf.DUMMYFUNCTION("IF(M1970="""","""",GOOGLETRANSLATE(M1970,""en"",""pt""))"),"Treinar diretamente os participantes; organizar e gerenciar a equipe de treinadores do programa, incluindo o agendamento da equipe, o planejamento de desempenho e as avaliações; comunicar-se efetivamente com pais e atletas; definir e manter percursos, fec"&amp;"hamentos e medidas de segurança de acordo com os padrões da US Ski and Snowboard e da FIS; garantir que todas as instalações e equipamentos sejam mantidos e armazenados adequadamente; realizar sessões de análise de vídeo com os participantes; realizar reu"&amp;"niões regulares de definição de metas com os atletas; ser responsável pela supervisão dos atletas, representação nas reuniões de capitães da equipe, organizar as viagens da equipe; participar de reuniões de equipe. Classificação do Cargo: 27-2022.00 - Tre"&amp;"inadores e Observadores. A classificação e a descrição do cargo/setor incluem informações gerais sobre a posição, de acordo com o ONET/OES e o Sistema de Classificação Industrial da América do Norte. Consulte as Funções e a Ordem de Serviço para obter mai"&amp;"s informações. Requisitos do Cargo: Experiência Necessária: Sim. Meses de Experiência Necessários: 24. Requisitos Especiais: Nível 200 da USSA ou equivalente reconhecido internacionalmente é preferencial. O candidato deve passar por verificação de anteced"&amp;"entes pré-emprego, ser capaz de levantar 23 kg e falar inglês. Deve ser capaz de ficar em pé com botas de esqui por pelo menos 6 horas em condições climáticas adversas. Periodicidade de pagamento: Quinzenal. Treinamento em serviço fornecido. Treinamento o"&amp;"ferecido. Dias e turnos: Disponibilidade para os seguintes turnos, 7 dias por semana, incluindo fins de semana e feriados. A escala de trabalho pode variar e incluir horários noturnos, fins de semana e feriados. Exemplo de turno: das 9h às 16h. Os horário"&amp;"s dos turnos podem variar. Salário por hora: De US$ 24,35 a US$ 32,00/hora (com base no mérito e experiência anterior na empresa). Possível aumento salarial: Aumentos salariais para níveis de certificação mais elevados. Possibilidade de horas extras: Hora"&amp;"s extras podem estar disponíveis com pagamento de US$ 36,53 a US$ 48,00/hora. Será necessária verificação de antecedentes pré-emprego e comprovação de recontratação (caso tenha trabalhado anteriormente para Winter Park e/ou Alterra). Benefícios: Passe de "&amp;"esqui gratuito, 50% de desconto em aluguel de equipamentos, aulas de esqui gratuitas, 30% de desconto em produtos da loja, 50% de desconto em alimentos e bebidas para viagem, 25% de desconto em refeições no restaurante. Número de horas por semana: 35 Horá"&amp;"rio de trabalho (início/término): 9h00 - 16h00")</f>
        <v>Treinar diretamente os participantes; organizar e gerenciar a equipe de treinadores do programa, incluindo o agendamento da equipe, o planejamento de desempenho e as avaliações; comunicar-se efetivamente com pais e atletas; definir e manter percursos, fechamentos e medidas de segurança de acordo com os padrões da US Ski and Snowboard e da FIS; garantir que todas as instalações e equipamentos sejam mantidos e armazenados adequadamente; realizar sessões de análise de vídeo com os participantes; realizar reuniões regulares de definição de metas com os atletas; ser responsável pela supervisão dos atletas, representação nas reuniões de capitães da equipe, organizar as viagens da equipe; participar de reuniões de equipe. Classificação do Cargo: 27-2022.00 - Treinadores e Observadores. A classificação e a descrição do cargo/setor incluem informações gerais sobre a posição, de acordo com o ONET/OES e o Sistema de Classificação Industrial da América do Norte. Consulte as Funções e a Ordem de Serviço para obter mais informações. Requisitos do Cargo: Experiência Necessária: Sim. Meses de Experiência Necessários: 24. Requisitos Especiais: Nível 200 da USSA ou equivalente reconhecido internacionalmente é preferencial. O candidato deve passar por verificação de antecedentes pré-emprego, ser capaz de levantar 23 kg e falar inglês. Deve ser capaz de ficar em pé com botas de esqui por pelo menos 6 horas em condições climáticas adversas. Periodicidade de pagamento: Quinzenal. Treinamento em serviço fornecido. Treinamento oferecido. Dias e turnos: Disponibilidade para os seguintes turnos, 7 dias por semana, incluindo fins de semana e feriados. A escala de trabalho pode variar e incluir horários noturnos, fins de semana e feriados. Exemplo de turno: das 9h às 16h. Os horários dos turnos podem variar. Salário por hora: De US$ 24,35 a US$ 32,00/hora (com base no mérito e experiência anterior na empresa). Possível aumento salarial: Aumentos salariais para níveis de certificação mais elevados. Possibilidade de horas extras: Horas extras podem estar disponíveis com pagamento de US$ 36,53 a US$ 48,00/hora. Será necessária verificação de antecedentes pré-emprego e comprovação de recontratação (caso tenha trabalhado anteriormente para Winter Park e/ou Alterra). Benefícios: Passe de esqui gratuito, 50% de desconto em aluguel de equipamentos, aulas de esqui gratuitas, 30% de desconto em produtos da loja, 50% de desconto em alimentos e bebidas para viagem, 25% de desconto em refeições no restaurante. Número de horas por semana: 35 Horário de trabalho (início/término): 9h00 - 16h00</v>
      </c>
    </row>
    <row r="1971" ht="20.25" customHeight="1">
      <c r="A1971" s="8" t="s">
        <v>8843</v>
      </c>
      <c r="B1971" s="8" t="s">
        <v>8844</v>
      </c>
      <c r="C1971" s="8" t="s">
        <v>8465</v>
      </c>
      <c r="D1971" s="8" t="s">
        <v>2494</v>
      </c>
      <c r="E1971" s="9" t="s">
        <v>44</v>
      </c>
      <c r="F1971" s="9" t="s">
        <v>20</v>
      </c>
      <c r="G1971" s="9" t="s">
        <v>524</v>
      </c>
      <c r="H1971" s="8" t="s">
        <v>8845</v>
      </c>
      <c r="I1971" s="8" t="s">
        <v>8846</v>
      </c>
      <c r="J1971" s="9">
        <v>20.8</v>
      </c>
      <c r="K1971" s="9">
        <v>41.0</v>
      </c>
      <c r="L1971" s="8" t="s">
        <v>121</v>
      </c>
      <c r="M1971" s="8" t="s">
        <v>8847</v>
      </c>
      <c r="N1971" s="7" t="str">
        <f>IFERROR(__xludf.DUMMYFUNCTION("GOOGLETRANSLATE(L1971, ""en"", ""pt"")"),"Trabalhador braçal")</f>
        <v>Trabalhador braçal</v>
      </c>
      <c r="O1971" s="7" t="str">
        <f>IFERROR(__xludf.DUMMYFUNCTION("IF(M1971="""","""",GOOGLETRANSLATE(M1971,""en"",""pt""))"),"***Resposta à Solicitação de Informações*** Os trabalhadores auxiliarão profissionais qualificados carregando, movendo, posicionando, organizando e armazenando materiais, ferramentas e suprimentos necessários para projetos de construção em andamento. Os t"&amp;"rabalhadores poderão segurar materiais enquanto os profissionais qualificados executam suas tarefas, transportar ferramentas e equipamentos pelo canteiro de obras, descarregar e distribuir entregas, manter áreas de trabalho limpas e seguras, remover detri"&amp;"tos e realizar atividades de limpeza antes, durante e após as operações de construção. Os trabalhadores também poderão auxiliar na preparação das áreas de trabalho, removendo neve e gelo, mantendo as rotas de acesso, organizando as áreas de armazenamento "&amp;"de materiais e garantindo que os materiais e equipamentos estejam prontamente disponíveis para os profissionais qualificados. Todas as tarefas são executadas sob supervisão e são de natureza braçal, não exigindo habilidades especializadas, certificação ou"&amp;" licença. As ferramentas e equipamentos utilizados podem incluir pás de neve, quebra-gelos, sopradores de neve, vassouras, ancinhos, carrinhos de mão, carrinhos de transporte, plataformas rolantes, paleteiras, estiletes, alavancas, martelos, furadeiras e "&amp;"outras ferramentas manuais e elétricas básicas utilizadas para manutenção do local, limpeza, remoção de neve e movimentação de materiais. Os materiais manuseados podem incluir neve, gelo, sal, areia, produtos para degelo, materiais de construção, paletes,"&amp;" ferramentas, equipamentos e detritos não perigosos. As ferramentas manuais e elétricas utilizadas na função são ferramentas básicas, comumente usadas para manutenção de canteiros de obras, limpeza, remoção de neve e movimentação de materiais, e não exige"&amp;"m nenhuma licença ou certificação especial para operação. ***Original*** Executar tarefas gerais de trabalho braçal em canteiros de obras durante o inverno para dar suporte a projetos em andamento. As tarefas incluem preparação e limpeza do local, remoção"&amp;" de detritos, carga e descarga de materiais e auxílio a profissionais especializados, conforme necessário. Realizar a remoção de neve e gelo para manter áreas de trabalho seguras e acessíveis, incluindo a limpeza de calçadas, zonas de trabalho e caminhos "&amp;"para equipamentos. Utilizar ferramentas manuais e elétricas para auxiliar em tarefas básicas de construção, demolição e movimentação de materiais. Seguir todos os protocolos de segurança relacionados a condições climáticas frias, incluindo o manuseio adeq"&amp;"uado de equipamentos e materiais em temperaturas congelantes. Manter o local de trabalho limpo, organizado e seguro em todos os momentos. Classificação da Função: 47-2061.00 - Auxiliares de Construção Civil. A classificação e descrição da função/setor inc"&amp;"lui informações gerais sobre o cargo, conforme o ONET/OES e o Sistema de Classificação Industrial da América do Norte (NAICS). Consulte as Funções e a Ordem de Serviço para obter mais informações. Requisitos da Função: Experiência Necessária: Sim. Meses d"&amp;"e Experiência Necessária: 3. Requisitos Especiais: 3 meses de experiência ou área relacionada. Número de Horas por Semana: 40. Horário de Trabalho (Início/Término): 7h às 16h.")</f>
        <v>***Resposta à Solicitação de Informações*** Os trabalhadores auxiliarão profissionais qualificados carregando, movendo, posicionando, organizando e armazenando materiais, ferramentas e suprimentos necessários para projetos de construção em andamento. Os trabalhadores poderão segurar materiais enquanto os profissionais qualificados executam suas tarefas, transportar ferramentas e equipamentos pelo canteiro de obras, descarregar e distribuir entregas, manter áreas de trabalho limpas e seguras, remover detritos e realizar atividades de limpeza antes, durante e após as operações de construção. Os trabalhadores também poderão auxiliar na preparação das áreas de trabalho, removendo neve e gelo, mantendo as rotas de acesso, organizando as áreas de armazenamento de materiais e garantindo que os materiais e equipamentos estejam prontamente disponíveis para os profissionais qualificados. Todas as tarefas são executadas sob supervisão e são de natureza braçal, não exigindo habilidades especializadas, certificação ou licença. As ferramentas e equipamentos utilizados podem incluir pás de neve, quebra-gelos, sopradores de neve, vassouras, ancinhos, carrinhos de mão, carrinhos de transporte, plataformas rolantes, paleteiras, estiletes, alavancas, martelos, furadeiras e outras ferramentas manuais e elétricas básicas utilizadas para manutenção do local, limpeza, remoção de neve e movimentação de materiais. Os materiais manuseados podem incluir neve, gelo, sal, areia, produtos para degelo, materiais de construção, paletes, ferramentas, equipamentos e detritos não perigosos. As ferramentas manuais e elétricas utilizadas na função são ferramentas básicas, comumente usadas para manutenção de canteiros de obras, limpeza, remoção de neve e movimentação de materiais, e não exigem nenhuma licença ou certificação especial para operação. ***Original*** Executar tarefas gerais de trabalho braçal em canteiros de obras durante o inverno para dar suporte a projetos em andamento. As tarefas incluem preparação e limpeza do local, remoção de detritos, carga e descarga de materiais e auxílio a profissionais especializados, conforme necessário. Realizar a remoção de neve e gelo para manter áreas de trabalho seguras e acessíveis, incluindo a limpeza de calçadas, zonas de trabalho e caminhos para equipamentos. Utilizar ferramentas manuais e elétricas para auxiliar em tarefas básicas de construção, demolição e movimentação de materiais. Seguir todos os protocolos de segurança relacionados a condições climáticas frias, incluindo o manuseio adequado de equipamentos e materiais em temperaturas congelantes. Manter o local de trabalho limpo, organizado e seguro em todos os momentos. Classificação da Função: 47-2061.00 - Auxiliares de Construção Civil. A classificação e descrição da função/setor inclui informações gerais sobre o cargo, conforme o ONET/OES e o Sistema de Classificação Industrial da América do Norte (NAICS). Consulte as Funções e a Ordem de Serviço para obter mais informações. Requisitos da Função: Experiência Necessária: Sim. Meses de Experiência Necessária: 3. Requisitos Especiais: 3 meses de experiência ou área relacionada. Número de Horas por Semana: 40. Horário de Trabalho (Início/Término): 7h às 16h.</v>
      </c>
    </row>
    <row r="1972" ht="20.25" customHeight="1">
      <c r="A1972" s="3" t="s">
        <v>8848</v>
      </c>
      <c r="B1972" s="3" t="s">
        <v>8849</v>
      </c>
      <c r="C1972" s="3" t="s">
        <v>8465</v>
      </c>
      <c r="D1972" s="3" t="s">
        <v>2494</v>
      </c>
      <c r="E1972" s="4" t="s">
        <v>19</v>
      </c>
      <c r="F1972" s="4" t="s">
        <v>20</v>
      </c>
      <c r="G1972" s="4" t="s">
        <v>384</v>
      </c>
      <c r="H1972" s="3" t="s">
        <v>8850</v>
      </c>
      <c r="I1972" s="3" t="s">
        <v>8851</v>
      </c>
      <c r="J1972" s="4">
        <v>20.43</v>
      </c>
      <c r="K1972" s="4">
        <v>38.0</v>
      </c>
      <c r="L1972" s="3" t="s">
        <v>121</v>
      </c>
      <c r="M1972" s="3" t="s">
        <v>8852</v>
      </c>
      <c r="N1972" s="7" t="str">
        <f>IFERROR(__xludf.DUMMYFUNCTION("GOOGLETRANSLATE(L1972, ""en"", ""pt"")"),"Trabalhador braçal")</f>
        <v>Trabalhador braçal</v>
      </c>
      <c r="O1972" s="7" t="str">
        <f>IFERROR(__xludf.DUMMYFUNCTION("IF(M1972="""","""",GOOGLETRANSLATE(M1972,""en"",""pt""))"),"***Resposta à Solicitação de Informações*** Os trabalhadores auxiliarão profissionais qualificados carregando, movendo, posicionando, organizando e armazenando materiais, ferramentas e suprimentos necessários para projetos de construção em andamento. Os t"&amp;"rabalhadores poderão segurar materiais enquanto os profissionais qualificados executam suas tarefas, transportar ferramentas e equipamentos pelo canteiro de obras, descarregar e distribuir entregas, manter áreas de trabalho limpas e seguras, remover detri"&amp;"tos e realizar atividades de limpeza antes, durante e após as operações de construção. Os trabalhadores também poderão auxiliar na preparação das áreas de trabalho, removendo neve e gelo, mantendo as rotas de acesso, organizando as áreas de armazenamento "&amp;"de materiais e garantindo que os materiais e equipamentos estejam prontamente disponíveis para os profissionais qualificados. Todas as tarefas são executadas sob supervisão e são de natureza braçal, não exigindo habilidades especializadas, certificação ou"&amp;" licença. As ferramentas e equipamentos utilizados podem incluir pás de neve, quebra-gelos, sopradores de neve, vassouras, ancinhos, carrinhos de mão, carrinhos de transporte, plataformas rolantes, paleteiras, estiletes, alavancas, martelos, furadeiras e "&amp;"outras ferramentas manuais e elétricas básicas utilizadas para manutenção do local, limpeza, remoção de neve e movimentação de materiais. Os materiais manuseados podem incluir neve, gelo, sal, areia, produtos para degelo, materiais de construção, paletes,"&amp;" ferramentas, equipamentos e detritos não perigosos. As ferramentas manuais e elétricas utilizadas na função são ferramentas básicas, comumente usadas para manutenção de canteiros de obras, limpeza, remoção de neve e movimentação de materiais, e não exige"&amp;"m nenhuma licença ou certificação especial para operação. ***Original*** Executar tarefas gerais de trabalho braçal em canteiros de obras durante o inverno para dar suporte a projetos em andamento. As tarefas incluem preparação e limpeza do local, remoção"&amp;" de detritos, carga e descarga de materiais e auxílio a profissionais especializados, conforme necessário. Realizar a remoção de neve e gelo para manter áreas de trabalho seguras e acessíveis, incluindo a limpeza de calçadas, zonas de trabalho e caminhos "&amp;"para equipamentos. Utilizar ferramentas manuais e elétricas para auxiliar em tarefas básicas de construção, demolição e movimentação de materiais. Seguir todos os protocolos de segurança relacionados a condições climáticas frias, incluindo o manuseio adeq"&amp;"uado de equipamentos e materiais em temperaturas congelantes. Manter o local de trabalho limpo, organizado e seguro em todos os momentos. Classificação da Função: 47-2061.00 - Operários da Construção Civil. A classificação e descrição da função/setor incl"&amp;"ui informações gerais sobre o cargo, conforme o ONET/OES e o Sistema de Classificação Industrial da América do Norte (NAICS). Consulte as Funções e a Ordem de Serviço para obter mais informações. Requisitos da Função: Experiência Necessária: Sim. Meses de"&amp;" Experiência Necessários: 3. Requisitos Especiais: 3 meses de experiência ou área relacionada. Número de Horas por Semana: 40. Horário de Trabalho (Início/Término): 7h às 16h.")</f>
        <v>***Resposta à Solicitação de Informações*** Os trabalhadores auxiliarão profissionais qualificados carregando, movendo, posicionando, organizando e armazenando materiais, ferramentas e suprimentos necessários para projetos de construção em andamento. Os trabalhadores poderão segurar materiais enquanto os profissionais qualificados executam suas tarefas, transportar ferramentas e equipamentos pelo canteiro de obras, descarregar e distribuir entregas, manter áreas de trabalho limpas e seguras, remover detritos e realizar atividades de limpeza antes, durante e após as operações de construção. Os trabalhadores também poderão auxiliar na preparação das áreas de trabalho, removendo neve e gelo, mantendo as rotas de acesso, organizando as áreas de armazenamento de materiais e garantindo que os materiais e equipamentos estejam prontamente disponíveis para os profissionais qualificados. Todas as tarefas são executadas sob supervisão e são de natureza braçal, não exigindo habilidades especializadas, certificação ou licença. As ferramentas e equipamentos utilizados podem incluir pás de neve, quebra-gelos, sopradores de neve, vassouras, ancinhos, carrinhos de mão, carrinhos de transporte, plataformas rolantes, paleteiras, estiletes, alavancas, martelos, furadeiras e outras ferramentas manuais e elétricas básicas utilizadas para manutenção do local, limpeza, remoção de neve e movimentação de materiais. Os materiais manuseados podem incluir neve, gelo, sal, areia, produtos para degelo, materiais de construção, paletes, ferramentas, equipamentos e detritos não perigosos. As ferramentas manuais e elétricas utilizadas na função são ferramentas básicas, comumente usadas para manutenção de canteiros de obras, limpeza, remoção de neve e movimentação de materiais, e não exigem nenhuma licença ou certificação especial para operação. ***Original*** Executar tarefas gerais de trabalho braçal em canteiros de obras durante o inverno para dar suporte a projetos em andamento. As tarefas incluem preparação e limpeza do local, remoção de detritos, carga e descarga de materiais e auxílio a profissionais especializados, conforme necessário. Realizar a remoção de neve e gelo para manter áreas de trabalho seguras e acessíveis, incluindo a limpeza de calçadas, zonas de trabalho e caminhos para equipamentos. Utilizar ferramentas manuais e elétricas para auxiliar em tarefas básicas de construção, demolição e movimentação de materiais. Seguir todos os protocolos de segurança relacionados a condições climáticas frias, incluindo o manuseio adequado de equipamentos e materiais em temperaturas congelantes. Manter o local de trabalho limpo, organizado e seguro em todos os momentos. Classificação da Função: 47-2061.00 - Operários da Construção Civil. A classificação e descrição da função/setor inclui informações gerais sobre o cargo, conforme o ONET/OES e o Sistema de Classificação Industrial da América do Norte (NAICS). Consulte as Funções e a Ordem de Serviço para obter mais informações. Requisitos da Função: Experiência Necessária: Sim. Meses de Experiência Necessários: 3. Requisitos Especiais: 3 meses de experiência ou área relacionada. Número de Horas por Semana: 40. Horário de Trabalho (Início/Término): 7h às 16h.</v>
      </c>
    </row>
    <row r="1973" ht="20.25" customHeight="1">
      <c r="A1973" s="8" t="s">
        <v>8853</v>
      </c>
      <c r="B1973" s="8" t="s">
        <v>8854</v>
      </c>
      <c r="C1973" s="8" t="s">
        <v>4247</v>
      </c>
      <c r="D1973" s="8" t="s">
        <v>1297</v>
      </c>
      <c r="E1973" s="9" t="s">
        <v>44</v>
      </c>
      <c r="F1973" s="9" t="s">
        <v>20</v>
      </c>
      <c r="G1973" s="9" t="s">
        <v>404</v>
      </c>
      <c r="H1973" s="8" t="s">
        <v>8855</v>
      </c>
      <c r="I1973" s="8" t="s">
        <v>8856</v>
      </c>
      <c r="J1973" s="9">
        <v>17.82</v>
      </c>
      <c r="K1973" s="9">
        <v>10.0</v>
      </c>
      <c r="L1973" s="8" t="s">
        <v>8857</v>
      </c>
      <c r="M1973" s="8" t="s">
        <v>4251</v>
      </c>
      <c r="N1973" s="7" t="str">
        <f>IFERROR(__xludf.DUMMYFUNCTION("GOOGLETRANSLATE(L1973, ""en"", ""pt"")"),"49-9098: Auxiliares — Instalação, Manutenção")</f>
        <v>49-9098: Auxiliares — Instalação, Manutenção</v>
      </c>
      <c r="O1973" s="7" t="str">
        <f>IFERROR(__xludf.DUMMYFUNCTION("IF(M1973="""","""",GOOGLETRANSLATE(M1973,""en"",""pt""))"),"Auxiliar os trabalhadores de instalação, manutenção e reparo na manutenção, substituição de peças e reparo de veículos, máquinas industriais e equipamentos elétricos e eletrônicos. Executar tarefas como fornecer ferramentas, materiais e suprimentos para o"&amp;"utros trabalhadores; limpar a área de trabalho, máquinas e ferramentas; e segurar materiais ou ferramentas para outros trabalhadores. Classificação da vaga: 49-9098.00 - Auxiliares - Trabalhadores de Instalação, Manutenção e Reparo. A classificação e desc"&amp;"rição da vaga/setor inclui informações gerais sobre a posição, de acordo com o ONET/OES e o Sistema de Classificação Industrial da América do Norte (NAICS). Consulte as Funções e a Ordem de Serviço para obter mais informações. Requisitos da vaga: Experiên"&amp;"cia exigida: Não. Requisitos especiais: Testes aleatórios de drogas e verificação de antecedentes criminais após a contratação podem ser exigidos, sem custo para o trabalhador. A vaga exige que o candidato seja qualificado, esteja pronto, disposto, apto e"&amp;" disponível para trabalhar durante todo o período de emprego no local de trabalho designado; para firmar e cumprir o contrato de trabalho; e para seguir as normas do local de trabalho. Número de horas por semana: 35. Horário de trabalho (início/término): "&amp;"8h. - 16:00")</f>
        <v>Auxiliar os trabalhadores de instalação, manutenção e reparo na manutenção, substituição de peças e reparo de veículos, máquinas industriais e equipamentos elétricos e eletrônicos. Executar tarefas como fornecer ferramentas, materiais e suprimentos para outros trabalhadores; limpar a área de trabalho, máquinas e ferramentas; e segurar materiais ou ferramentas para outros trabalhadores. Classificação da vaga: 49-9098.00 - Auxiliares - Trabalhadores de Instalação, Manutenção e Reparo. A classificação e descrição da vaga/setor inclui informações gerais sobre a posição, de acordo com o ONET/OES e o Sistema de Classificação Industrial da América do Norte (NAICS). Consulte as Funções e a Ordem de Serviço para obter mais informações. Requisitos da vaga: Experiência exigida: Não. Requisitos especiais: Testes aleatórios de drogas e verificação de antecedentes criminais após a contratação podem ser exigidos, sem custo para o trabalhador. A vaga exige que o candidato seja qualificado, esteja pronto, disposto, apto e disponível para trabalhar durante todo o período de emprego no local de trabalho designado; para firmar e cumprir o contrato de trabalho; e para seguir as normas do local de trabalho. Número de horas por semana: 35. Horário de trabalho (início/término): 8h. - 16:00</v>
      </c>
    </row>
    <row r="1974" ht="20.25" customHeight="1">
      <c r="A1974" s="3" t="s">
        <v>8858</v>
      </c>
      <c r="B1974" s="3" t="s">
        <v>8859</v>
      </c>
      <c r="C1974" s="3" t="s">
        <v>4247</v>
      </c>
      <c r="D1974" s="3" t="s">
        <v>64</v>
      </c>
      <c r="E1974" s="4" t="s">
        <v>19</v>
      </c>
      <c r="F1974" s="4" t="s">
        <v>20</v>
      </c>
      <c r="G1974" s="4" t="s">
        <v>3670</v>
      </c>
      <c r="H1974" s="3" t="s">
        <v>8860</v>
      </c>
      <c r="I1974" s="3" t="s">
        <v>8861</v>
      </c>
      <c r="J1974" s="4">
        <v>21.02</v>
      </c>
      <c r="K1974" s="4">
        <v>4.0</v>
      </c>
      <c r="L1974" s="3" t="s">
        <v>4250</v>
      </c>
      <c r="M1974" s="3" t="s">
        <v>8862</v>
      </c>
      <c r="N1974" s="7" t="str">
        <f>IFERROR(__xludf.DUMMYFUNCTION("GOOGLETRANSLATE(L1974, ""en"", ""pt"")"),"49-9098: Ajudantes — Trabalhos de instalação, manutenção e reparo")</f>
        <v>49-9098: Ajudantes — Trabalhos de instalação, manutenção e reparo</v>
      </c>
      <c r="O1974" s="7" t="str">
        <f>IFERROR(__xludf.DUMMYFUNCTION("IF(M1974="""","""",GOOGLETRANSLATE(M1974,""en"",""pt""))"),"***2ª resposta à RFI*** Tarefas executadas em veículos: Limpeza. Ferramentas utilizadas: Pode-se usar vassoura, pano e sabão. Tarefas executadas em máquinas industriais. Para esclarecer, as máquinas industriais incluem brinquedos de parques de diversões, "&amp;"trailers de venda de alimentos e equipamentos relacionados. Substituição de peças defeituosas ou desgastadas, como lâmpadas, interruptores, correias e mangueiras. Lixar, raspar e limpar superfícies e estruturas para manter a aparência e evitar ferrugem ou"&amp;" deterioração. Ferramentas utilizadas: Pode-se usar as seguintes ferramentas, equipamentos e materiais ao executar as tarefas atribuídas: Chaves de boca, jogos de soquetes e catracas, chaves de fenda, alicates, martelos, alavancas, trena, chaves ajustávei"&amp;"s, lixa, lápis e luvas. Serão utilizadas escadas, aspiradores de pó e equipamentos e suprimentos de limpeza, como esponjas, panos e sabão. Tarefas executadas em equipamentos elétricos e eletrônicos. Para esclarecer, os equipamentos elétricos e eletrônicos"&amp;" nos quais será trabalhado incluem os sistemas de som e as caixas de controle presentes nos brinquedos de parques de diversões. As tarefas incluem a limpeza de poeira e detritos que possam ter se acumulado no sistema, a substituição de lâmpadas e a coloca"&amp;"ção de abraçadeiras ou fixadores similares na fiação. Ferramentas: Podem ser utilizadas as seguintes ferramentas, equipamentos e materiais para a execução das tarefas: chaves, conjuntos de soquetes e catracas, chaves de fenda, alicates, martelos, alavanca"&amp;"s, trena, chaves ajustáveis, lixa, latas de ar comprimido, lápis e luvas. Serão utilizadas escadas, aspiradores de pó e equipamentos e materiais de limpeza, como esponjas, panos e sabão. ***1ª resposta à RFI*** Tarefas específicas e ferramentas utilizadas"&amp;" para a execução dessas tarefas: Os trabalhadores auxiliarão na instalação, montagem e desmontagem de brinquedos de parques de diversões, trailers de alimentação e equipamentos relacionados. Substituirão peças defeituosas ou desgastadas, como lâmpadas, in"&amp;"terruptores, correias e mangueiras. Lixarão, rasparão e limparão trailers, superfícies e estruturas metálicas para manter a aparência e evitar ferrugem ou deterioração. Verificarão e substituirão lâmpadas, soquetes, fusíveis e luminárias conforme necessár"&amp;"io. Limparão e manterão as áreas de trabalho. Os trabalhadores podem utilizar as seguintes ferramentas, equipamentos e materiais ao desempenharem suas funções: chaves, conjuntos de soquetes e catracas, chaves de fenda, alicates, martelos, alavancas, trena"&amp;"s e chaves ajustáveis. Utilizarão escadas, aspiradores de pó e equipamentos e materiais de limpeza, como esponjas, panos e sabão. Não serão realizados serviços em veículos, máquinas industriais ou equipamentos elétricos e eletrônicos, apenas em brinquedos"&amp;" de parques de diversões, trailers de alimentação e equipamentos relacionados. Não serão realizados trabalhos em motores a diesel. O trabalho será realizado no ""Quartel de Inverno"" do parque de diversões, onde os equipamentos são estacionados quando não"&amp;" estão em operação. ***Original*** Auxiliar os trabalhadores de instalação, manutenção e reparo na manutenção, substituição de peças e reparo de veículos, máquinas industriais e equipamentos elétricos e eletrônicos. Executar tarefas como fornecer ferramen"&amp;"tas, materiais e suprimentos a outros trabalhadores; limpar a área de trabalho, máquinas e ferramentas; e segurar materiais ou ferramentas para outros trabalhadores. Classificação da Função: 49-9071.00 - Trabalhadores de Manutenção e Reparo, Geral. A clas"&amp;"sificação e descrição da função/setor inclui informações gerais sobre o cargo, conforme o ONET/OES e o Sistema de Classificação Industrial da América do Norte (NAICS). Consulte as Funções e a Ordem de Serviço para obter mais informações. Requisitos da Fun"&amp;"ção Experiência Necessária: Não. Requisitos Especiais: Testes aleatórios de drogas e verificação de antecedentes criminais após a contratação podem ser exigidos, sem custo para o trabalhador. A função exige que o candidato seja qualificado, esteja pronto,"&amp;" disposto, apto e disponível para desempenhar suas funções durante todo o período de emprego no local de trabalho designado; para firmar e cumprir o contrato de trabalho; e para seguir as normas do local de trabalho. Número de Horas por Semana: 35. Horári"&amp;"o de Trabalho (Início/Término): 8h às 16h.")</f>
        <v>***2ª resposta à RFI*** Tarefas executadas em veículos: Limpeza. Ferramentas utilizadas: Pode-se usar vassoura, pano e sabão. Tarefas executadas em máquinas industriais. Para esclarecer, as máquinas industriais incluem brinquedos de parques de diversões, trailers de venda de alimentos e equipamentos relacionados. Substituição de peças defeituosas ou desgastadas, como lâmpadas, interruptores, correias e mangueiras. Lixar, raspar e limpar superfícies e estruturas para manter a aparência e evitar ferrugem ou deterioração. Ferramentas utilizadas: Pode-se usar as seguintes ferramentas, equipamentos e materiais ao executar as tarefas atribuídas: Chaves de boca, jogos de soquetes e catracas, chaves de fenda, alicates, martelos, alavancas, trena, chaves ajustáveis, lixa, lápis e luvas. Serão utilizadas escadas, aspiradores de pó e equipamentos e suprimentos de limpeza, como esponjas, panos e sabão. Tarefas executadas em equipamentos elétricos e eletrônicos. Para esclarecer, os equipamentos elétricos e eletrônicos nos quais será trabalhado incluem os sistemas de som e as caixas de controle presentes nos brinquedos de parques de diversões. As tarefas incluem a limpeza de poeira e detritos que possam ter se acumulado no sistema, a substituição de lâmpadas e a colocação de abraçadeiras ou fixadores similares na fiação. Ferramentas: Podem ser utilizadas as seguintes ferramentas, equipamentos e materiais para a execução das tarefas: chaves, conjuntos de soquetes e catracas, chaves de fenda, alicates, martelos, alavancas, trena, chaves ajustáveis, lixa, latas de ar comprimido, lápis e luvas. Serão utilizadas escadas, aspiradores de pó e equipamentos e materiais de limpeza, como esponjas, panos e sabão. ***1ª resposta à RFI*** Tarefas específicas e ferramentas utilizadas para a execução dessas tarefas: Os trabalhadores auxiliarão na instalação, montagem e desmontagem de brinquedos de parques de diversões, trailers de alimentação e equipamentos relacionados. Substituirão peças defeituosas ou desgastadas, como lâmpadas, interruptores, correias e mangueiras. Lixarão, rasparão e limparão trailers, superfícies e estruturas metálicas para manter a aparência e evitar ferrugem ou deterioração. Verificarão e substituirão lâmpadas, soquetes, fusíveis e luminárias conforme necessário. Limparão e manterão as áreas de trabalho. Os trabalhadores podem utilizar as seguintes ferramentas, equipamentos e materiais ao desempenharem suas funções: chaves, conjuntos de soquetes e catracas, chaves de fenda, alicates, martelos, alavancas, trenas e chaves ajustáveis. Utilizarão escadas, aspiradores de pó e equipamentos e materiais de limpeza, como esponjas, panos e sabão. Não serão realizados serviços em veículos, máquinas industriais ou equipamentos elétricos e eletrônicos, apenas em brinquedos de parques de diversões, trailers de alimentação e equipamentos relacionados. Não serão realizados trabalhos em motores a diesel. O trabalho será realizado no "Quartel de Inverno" do parque de diversões, onde os equipamentos são estacionados quando não estão em operação. ***Original*** Auxiliar os trabalhadores de instalação, manutenção e reparo na manutenção, substituição de peças e reparo de veículos, máquinas industriais e equipamentos elétricos e eletrônicos. Executar tarefas como fornecer ferramentas, materiais e suprimentos a outros trabalhadores; limpar a área de trabalho, máquinas e ferramentas; e segurar materiais ou ferramentas para outros trabalhadores. Classificação da Função: 49-9071.00 - Trabalhadores de Manutenção e Reparo, Geral. A classificação e descrição da função/setor inclui informações gerais sobre o cargo, conforme o ONET/OES e o Sistema de Classificação Industrial da América do Norte (NAICS). Consulte as Funções e a Ordem de Serviço para obter mais informações. Requisitos da Função Experiência Necessária: Não. Requisitos Especiais: Testes aleatórios de drogas e verificação de antecedentes criminais após a contratação podem ser exigidos, sem custo para o trabalhador. A função exige que o candidato seja qualificado, esteja pronto, disposto, apto e disponível para desempenhar suas funções durante todo o período de emprego no local de trabalho designado; para firmar e cumprir o contrato de trabalho; e para seguir as normas do local de trabalho. Número de Horas por Semana: 35. Horário de Trabalho (Início/Término): 8h às 16h.</v>
      </c>
    </row>
    <row r="1975" ht="20.25" customHeight="1">
      <c r="A1975" s="8" t="s">
        <v>8863</v>
      </c>
      <c r="B1975" s="8" t="s">
        <v>8559</v>
      </c>
      <c r="C1975" s="8" t="s">
        <v>8560</v>
      </c>
      <c r="D1975" s="8" t="s">
        <v>102</v>
      </c>
      <c r="E1975" s="9" t="s">
        <v>19</v>
      </c>
      <c r="F1975" s="9" t="s">
        <v>20</v>
      </c>
      <c r="G1975" s="9" t="s">
        <v>155</v>
      </c>
      <c r="H1975" s="8" t="s">
        <v>8561</v>
      </c>
      <c r="I1975" s="8" t="s">
        <v>8562</v>
      </c>
      <c r="J1975" s="9">
        <v>13.78</v>
      </c>
      <c r="K1975" s="9">
        <v>50.0</v>
      </c>
      <c r="L1975" s="8" t="s">
        <v>8563</v>
      </c>
      <c r="M1975" s="8" t="s">
        <v>8864</v>
      </c>
      <c r="N1975" s="7" t="str">
        <f>IFERROR(__xludf.DUMMYFUNCTION("GOOGLETRANSLATE(L1975, ""en"", ""pt"")"),"Auxiliar de Limpeza para o Setor Hoteleiro e Comercial")</f>
        <v>Auxiliar de Limpeza para o Setor Hoteleiro e Comercial</v>
      </c>
      <c r="O1975" s="7" t="str">
        <f>IFERROR(__xludf.DUMMYFUNCTION("IF(M1975="""","""",GOOGLETRANSLATE(M1975,""en"",""pt""))"),"As funções incluem varrer, passar pano, aspirar, tirar o pó, higienizar e desinfetar. Limpar janelas, saídas de ar no teto e móveis. Remover o lixo do local para uma lixeira ou área de descarte. Trocar a roupa de cama e lavar roupas. Outras tarefas confor"&amp;"me designadas. Classificação da vaga: 37-2012.00 - Empregadas Domésticas e Auxiliares de Limpeza. A classificação e descrição da vaga/setor inclui informações gerais sobre o cargo, de acordo com o ONET/OES e o Sistema de Classificação Industrial da Améric"&amp;"a do Norte. Consulte as Funções e a Ordem de Serviço para obter mais informações. Requisitos da vaga: Experiência necessária: Não. Número de horas por semana: 35. Horário de trabalho (início/término): 9h às 16h.")</f>
        <v>As funções incluem varrer, passar pano, aspirar, tirar o pó, higienizar e desinfetar. Limpar janelas, saídas de ar no teto e móveis. Remover o lixo do local para uma lixeira ou área de descarte. Trocar a roupa de cama e lavar roupas. Outras tarefas conforme designadas. Classificação da vaga: 37-2012.00 - Empregadas Domésticas e Auxiliares de Limpeza. A classificação e descrição da vaga/setor inclui informações gerais sobre o cargo, de acordo com o ONET/OES e o Sistema de Classificação Industrial da América do Norte. Consulte as Funções e a Ordem de Serviço para obter mais informações. Requisitos da vaga: Experiência necessária: Não. Número de horas por semana: 35. Horário de trabalho (início/término): 9h às 16h.</v>
      </c>
    </row>
    <row r="1976" ht="20.25" customHeight="1">
      <c r="A1976" s="3" t="s">
        <v>8865</v>
      </c>
      <c r="B1976" s="3" t="s">
        <v>8866</v>
      </c>
      <c r="C1976" s="3" t="s">
        <v>8465</v>
      </c>
      <c r="D1976" s="3" t="s">
        <v>1978</v>
      </c>
      <c r="E1976" s="4" t="s">
        <v>19</v>
      </c>
      <c r="F1976" s="4" t="s">
        <v>20</v>
      </c>
      <c r="G1976" s="4" t="s">
        <v>524</v>
      </c>
      <c r="H1976" s="3" t="s">
        <v>8867</v>
      </c>
      <c r="I1976" s="3" t="s">
        <v>8868</v>
      </c>
      <c r="J1976" s="4">
        <v>18.14</v>
      </c>
      <c r="K1976" s="4">
        <v>25.0</v>
      </c>
      <c r="L1976" s="3" t="s">
        <v>2752</v>
      </c>
      <c r="M1976" s="3" t="s">
        <v>8869</v>
      </c>
      <c r="N1976" s="7" t="str">
        <f>IFERROR(__xludf.DUMMYFUNCTION("GOOGLETRANSLATE(L1976, ""en"", ""pt"")"),"Ajudante de Telhador")</f>
        <v>Ajudante de Telhador</v>
      </c>
      <c r="O1976" s="7" t="str">
        <f>IFERROR(__xludf.DUMMYFUNCTION("IF(M1976="""","""",GOOGLETRANSLATE(M1976,""en"",""pt""))"),"Auxiliar os telhadistas na montagem e desmontagem de escadas, andaimes e outros equipamentos. Auxiliar os telhadistas em tarefas como aplicação de feltro para telhados, faixas de asfalto ou outros materiais. Limpar a área de trabalho e os equipamentos. Pr"&amp;"eparar a área de trabalho, removendo detritos e garantindo um ambiente de trabalho seguro. Classificação da vaga: 47-3016.00 - Ajudantes de Telhadista. A classificação e descrição da vaga/setor incluem informações gerais sobre o cargo, de acordo com o ONE"&amp;"T/OES e o Sistema de Classificação Industrial da América do Norte (NAICS). Consulte as Funções e a Ordem de Serviço para obter mais informações. Requisitos da vaga: Experiência necessária: Sim. Meses de experiência necessários: 3. Requisitos especiais: 3 "&amp;"meses de experiência ou área relacionada. Número de horas por semana: 40. Horário de trabalho (início/término): 7h às 16h.")</f>
        <v>Auxiliar os telhadistas na montagem e desmontagem de escadas, andaimes e outros equipamentos. Auxiliar os telhadistas em tarefas como aplicação de feltro para telhados, faixas de asfalto ou outros materiais. Limpar a área de trabalho e os equipamentos. Preparar a área de trabalho, removendo detritos e garantindo um ambiente de trabalho seguro. Classificação da vaga: 47-3016.00 - Ajudantes de Telhadista. A classificação e descrição da vaga/setor incluem informações gerais sobre o cargo, de acordo com o ONET/OES e o Sistema de Classificação Industrial da América do Norte (NAICS). Consulte as Funções e a Ordem de Serviço para obter mais informações. Requisitos da vaga: Experiência necessária: Sim. Meses de experiência necessários: 3. Requisitos especiais: 3 meses de experiência ou área relacionada. Número de horas por semana: 40. Horário de trabalho (início/término): 7h às 16h.</v>
      </c>
    </row>
    <row r="1977" ht="20.25" customHeight="1">
      <c r="A1977" s="8" t="s">
        <v>8870</v>
      </c>
      <c r="B1977" s="8" t="s">
        <v>8866</v>
      </c>
      <c r="C1977" s="8" t="s">
        <v>8465</v>
      </c>
      <c r="D1977" s="8" t="s">
        <v>1978</v>
      </c>
      <c r="E1977" s="9" t="s">
        <v>44</v>
      </c>
      <c r="F1977" s="9" t="s">
        <v>20</v>
      </c>
      <c r="G1977" s="9" t="s">
        <v>524</v>
      </c>
      <c r="H1977" s="8" t="s">
        <v>8867</v>
      </c>
      <c r="I1977" s="8" t="s">
        <v>8868</v>
      </c>
      <c r="J1977" s="9">
        <v>19.49</v>
      </c>
      <c r="K1977" s="9">
        <v>40.0</v>
      </c>
      <c r="L1977" s="8" t="s">
        <v>2724</v>
      </c>
      <c r="M1977" s="8" t="s">
        <v>8871</v>
      </c>
      <c r="N1977" s="7" t="str">
        <f>IFERROR(__xludf.DUMMYFUNCTION("GOOGLETRANSLATE(L1977, ""en"", ""pt"")"),"Telhador")</f>
        <v>Telhador</v>
      </c>
      <c r="O1977" s="7" t="str">
        <f>IFERROR(__xludf.DUMMYFUNCTION("IF(M1977="""","""",GOOGLETRANSLATE(M1977,""en"",""pt""))"),"Instalar, reparar e substituir telhados utilizando materiais como telhas, lajes, metal, cascalho, asfalto e ripas. Reparar, substituir e remover materiais quebrados e detritos. Utilizar diversos materiais, como telhas, metal ou lajes, o que exige resistên"&amp;"cia física, trabalho em altura e cumprimento de protocolos de segurança. Inspecionar a estrutura do telhado quanto à qualidade e durabilidade. Classificação da Função: 47-2181.00 - Telhadores. A classificação e descrição da função/setor incluem informaçõe"&amp;"s gerais sobre o cargo, de acordo com o ONET/OES e o Sistema de Classificação Industrial da América do Norte (NAICS). Consulte as Funções e a Ordem de Serviço para obter mais informações. Requisitos da Função: Experiência Necessária: Sim. Meses de Experiê"&amp;"ncia Necessária: 3. Requisitos Especiais: 3 meses de experiência ou área relacionada. Número de Horas por Semana: 40. Horário de Trabalho (Início/Término): 7h às 16h.")</f>
        <v>Instalar, reparar e substituir telhados utilizando materiais como telhas, lajes, metal, cascalho, asfalto e ripas. Reparar, substituir e remover materiais quebrados e detritos. Utilizar diversos materiais, como telhas, metal ou lajes, o que exige resistência física, trabalho em altura e cumprimento de protocolos de segurança. Inspecionar a estrutura do telhado quanto à qualidade e durabilidade. Classificação da Função: 47-2181.00 - Telhadores. A classificação e descrição da função/setor incluem informações gerais sobre o cargo, de acordo com o ONET/OES e o Sistema de Classificação Industrial da América do Norte (NAICS). Consulte as Funções e a Ordem de Serviço para obter mais informações. Requisitos da Função: Experiência Necessária: Sim. Meses de Experiência Necessária: 3. Requisitos Especiais: 3 meses de experiência ou área relacionada. Número de Horas por Semana: 40. Horário de Trabalho (Início/Término): 7h às 16h.</v>
      </c>
    </row>
    <row r="1978" ht="20.25" customHeight="1">
      <c r="A1978" s="3" t="s">
        <v>8872</v>
      </c>
      <c r="B1978" s="3" t="s">
        <v>8873</v>
      </c>
      <c r="C1978" s="3" t="s">
        <v>8706</v>
      </c>
      <c r="D1978" s="3" t="s">
        <v>249</v>
      </c>
      <c r="E1978" s="4" t="s">
        <v>19</v>
      </c>
      <c r="F1978" s="4" t="s">
        <v>20</v>
      </c>
      <c r="G1978" s="4" t="s">
        <v>212</v>
      </c>
      <c r="H1978" s="3" t="s">
        <v>8874</v>
      </c>
      <c r="I1978" s="3" t="s">
        <v>8875</v>
      </c>
      <c r="J1978" s="4">
        <v>22.56</v>
      </c>
      <c r="K1978" s="4">
        <v>4.0</v>
      </c>
      <c r="L1978" s="3" t="s">
        <v>8709</v>
      </c>
      <c r="M1978" s="3" t="s">
        <v>8876</v>
      </c>
      <c r="N1978" s="7" t="str">
        <f>IFERROR(__xludf.DUMMYFUNCTION("GOOGLETRANSLATE(L1978, ""en"", ""pt"")"),"Trabalhador de inverno")</f>
        <v>Trabalhador de inverno</v>
      </c>
      <c r="O1978" s="7" t="str">
        <f>IFERROR(__xludf.DUMMYFUNCTION("IF(M1978="""","""",GOOGLETRANSLATE(M1978,""en"",""pt""))"),"Auxiliar telhadistas qualificados em pequenos serviços de manutenção de telhados, como remendar vazamentos, selar juntas e realizar reparos temporários em sistemas de telhados comerciais/industriais. Remover neve de calçadas, entradas de garagem e telhado"&amp;"s usando pás de neve e sopradores manuais. Espalhar sal e agentes de degelo em calçadas, entradas de garagem e pontos de acesso manualmente e com pá. Auxiliar na manutenção de inverno de ferramentas e equipamentos de telhado, incluindo inspeções, limpeza "&amp;"e organização do estoque. Capacidade de levantar/carregar até 34 kg. Capacidade de trabalhar a mais de 4,5 metros do chão. Classificação da vaga: 49-9099.00 - Trabalhadores de Instalação, Manutenção e Reparo, Outros. A classificação e descrição da vaga/se"&amp;"tor inclui informações gerais sobre a posição, de acordo com o ONET/OES e o Sistema de Classificação Industrial da América do Norte. Consulte as Funções e a Ordem de Serviço para obter mais informações. Requisitos da vaga: Experiência necessária: Não. Req"&amp;"uisitos especiais: Testes aleatórios de drogas/álcool e verificação de antecedentes criminais, pagos pelo empregador. Capacidade de levantar/carregar 34 kg. Necessário ser capaz de trabalhar a mais de 4,5 metros do chão. Número de horas por semana: 40. Ho"&amp;"rário de trabalho (início/término): 8h às 16h.")</f>
        <v>Auxiliar telhadistas qualificados em pequenos serviços de manutenção de telhados, como remendar vazamentos, selar juntas e realizar reparos temporários em sistemas de telhados comerciais/industriais. Remover neve de calçadas, entradas de garagem e telhados usando pás de neve e sopradores manuais. Espalhar sal e agentes de degelo em calçadas, entradas de garagem e pontos de acesso manualmente e com pá. Auxiliar na manutenção de inverno de ferramentas e equipamentos de telhado, incluindo inspeções, limpeza e organização do estoque. Capacidade de levantar/carregar até 34 kg. Capacidade de trabalhar a mais de 4,5 metros do chão. Classificação da vaga: 49-9099.00 - Trabalhadores de Instalação, Manutenção e Reparo, Outros. A classificação e descrição da vaga/setor inclui informações gerais sobre a posição, de acordo com o ONET/OES e o Sistema de Classificação Industrial da América do Norte. Consulte as Funções e a Ordem de Serviço para obter mais informações. Requisitos da vaga: Experiência necessária: Não. Requisitos especiais: Testes aleatórios de drogas/álcool e verificação de antecedentes criminais, pagos pelo empregador. Capacidade de levantar/carregar 34 kg. Necessário ser capaz de trabalhar a mais de 4,5 metros do chão. Número de horas por semana: 40. Horário de trabalho (início/término): 8h às 16h.</v>
      </c>
    </row>
    <row r="1979" ht="20.25" customHeight="1">
      <c r="A1979" s="8" t="s">
        <v>8877</v>
      </c>
      <c r="B1979" s="8" t="s">
        <v>8878</v>
      </c>
      <c r="C1979" s="8" t="s">
        <v>8465</v>
      </c>
      <c r="D1979" s="8" t="s">
        <v>3015</v>
      </c>
      <c r="E1979" s="9" t="s">
        <v>19</v>
      </c>
      <c r="F1979" s="9" t="s">
        <v>20</v>
      </c>
      <c r="G1979" s="9" t="s">
        <v>384</v>
      </c>
      <c r="H1979" s="8" t="s">
        <v>8879</v>
      </c>
      <c r="I1979" s="8" t="s">
        <v>8880</v>
      </c>
      <c r="J1979" s="9">
        <v>26.21</v>
      </c>
      <c r="K1979" s="9">
        <v>35.0</v>
      </c>
      <c r="L1979" s="8" t="s">
        <v>8881</v>
      </c>
      <c r="M1979" s="8" t="s">
        <v>8882</v>
      </c>
      <c r="N1979" s="7" t="str">
        <f>IFERROR(__xludf.DUMMYFUNCTION("GOOGLETRANSLATE(L1979, ""en"", ""pt"")"),"Trabalhador de Manutenção de Imóveis")</f>
        <v>Trabalhador de Manutenção de Imóveis</v>
      </c>
      <c r="O1979" s="7" t="str">
        <f>IFERROR(__xludf.DUMMYFUNCTION("IF(M1979="""","""",GOOGLETRANSLATE(M1979,""en"",""pt""))"),"***Resposta à Solicitação de Informações*** A função envolve a manutenção geral de propriedades residenciais, comerciais e em construção durante o inverno. As responsabilidades incluem a remoção de neve e gelo de calçadas, entradas de veículos, estacionam"&amp;"entos, entradas de edifícios, vias de acesso e outras áreas que exigem acesso seguro de pedestres ou veículos. As tarefas específicas de remoção de neve e gelo incluem: remover neve com pá; limpar neve de calçadas, passarelas, escadas, rampas, entradas de"&amp;" veículos, estacionamentos, entradas de edifícios, rotas de acesso temporárias e áreas de trabalho; remover o gelo acumulado; e aplicar sal, areia, produtos para derreter gelo e outros materiais de degelo para reduzir as condições escorregadias e manter o"&amp;" acesso seguro. A remoção de neve é ​​realizada manualmente e com equipamentos básicos de remoção de neve para manter o acesso seguro de pedestres e veículos durante as condições climáticas de inverno. Os funcionários monitoram as propriedades e os cantei"&amp;"ros de obras em atividade quanto ao acúmulo de neve, formação de gelo e outros riscos relacionados ao inverno e relatam condições inseguras aos supervisores. Os funcionários podem auxiliar na manutenção do acesso seguro a áreas de estocagem de materiais d"&amp;"e construção, entradas de canteiros de obras e áreas de trabalho comuns durante as condições climáticas de inverno. Os trabalhadores utilizam ferramentas manuais e equipamentos básicos, incluindo pás de neve, empurradores de neve, raspadores de gelo, vass"&amp;"ouras, espalhadores, carrinhos de mão e sopradores de neve manuais. Os sopradores de neve manuais podem ser usados ​​para remover a neve acumulada de calçadas, passarelas, entradas, garagens, estacionamentos e outras áreas acessíveis. Os materiais utiliza"&amp;"dos podem incluir sal grosso, areia, produtos para derreter gelo e outros materiais de degelo. Outras tarefas incluem a limpeza de áreas comuns, a remoção de detritos, a realização de manutenção básica da propriedade e o auxílio nas atividades de preparaç"&amp;"ão para o inverno, a fim de proteger a propriedade, os equipamentos, os materiais e as áreas de trabalho das condições climáticas frias. Os trabalhadores reportam problemas de manutenção aos supervisores. A função não inclui trabalhos de reparo especializ"&amp;"ados, como elétrica, hidráulica, climatização ou construção civil especializada. Os trabalhadores seguem todos os procedimentos de segurança e atendem às necessidades de manutenção de rotina conforme as instruções. O trabalho é realizado principalmente ao"&amp;" ar livre, em condições climáticas frias. ***Original F.a.2*** Realizar a manutenção geral de propriedades residenciais e/ou comerciais durante a temporada de inverno. As funções incluem a remoção de neve e gelo de calçadas, entradas de veículos, estacion"&amp;"amentos e entradas de edifícios; aplicação de sal e materiais de degelo; e monitoramento das instalações para identificar riscos relacionados ao inverno e garantir condições seguras. Executar tarefas básicas de manutenção, como limpeza de áreas comuns e r"&amp;"emoção de detritos. Reportar problemas de manutenção aos supervisores; a função não inclui trabalhos de reparo especializados (por exemplo, elétrica, hidráulica ou HVAC). Auxiliar nas atividades de preparação para o inverno, ajudando a proteger a propried"&amp;"ade e os equipamentos das condições climáticas frias. Utilizar ferramentas manuais e equipamentos básicos para concluir as tarefas atribuídas. Seguir todos os procedimentos de segurança e atender às necessidades de manutenção de rotina conforme as instruç"&amp;"ões. O trabalho é realizado principalmente ao ar livre, em condições climáticas frias. Classificação da Função: 47-2061.00 - Auxiliares de Construção. A classificação e descrição da função/setor incluem informações gerais sobre a posição, de acordo com o "&amp;"ONET/OES e o Sistema de Classificação Industrial da América do Norte. Consulte as Funções e a Ordem de Serviço para obter mais informações. Requisitos da Função: Experiência Necessária: Sim. Meses de Experiência Necessários: 3. Requisitos Especiais: 3 mes"&amp;"es de experiência ou experiência relacionada. Número de horas por semana: 40 Horário de trabalho (início/término): 7h00 - 16h00")</f>
        <v>***Resposta à Solicitação de Informações*** A função envolve a manutenção geral de propriedades residenciais, comerciais e em construção durante o inverno. As responsabilidades incluem a remoção de neve e gelo de calçadas, entradas de veículos, estacionamentos, entradas de edifícios, vias de acesso e outras áreas que exigem acesso seguro de pedestres ou veículos. As tarefas específicas de remoção de neve e gelo incluem: remover neve com pá; limpar neve de calçadas, passarelas, escadas, rampas, entradas de veículos, estacionamentos, entradas de edifícios, rotas de acesso temporárias e áreas de trabalho; remover o gelo acumulado; e aplicar sal, areia, produtos para derreter gelo e outros materiais de degelo para reduzir as condições escorregadias e manter o acesso seguro. A remoção de neve é ​​realizada manualmente e com equipamentos básicos de remoção de neve para manter o acesso seguro de pedestres e veículos durante as condições climáticas de inverno. Os funcionários monitoram as propriedades e os canteiros de obras em atividade quanto ao acúmulo de neve, formação de gelo e outros riscos relacionados ao inverno e relatam condições inseguras aos supervisores. Os funcionários podem auxiliar na manutenção do acesso seguro a áreas de estocagem de materiais de construção, entradas de canteiros de obras e áreas de trabalho comuns durante as condições climáticas de inverno. Os trabalhadores utilizam ferramentas manuais e equipamentos básicos, incluindo pás de neve, empurradores de neve, raspadores de gelo, vassouras, espalhadores, carrinhos de mão e sopradores de neve manuais. Os sopradores de neve manuais podem ser usados ​​para remover a neve acumulada de calçadas, passarelas, entradas, garagens, estacionamentos e outras áreas acessíveis. Os materiais utilizados podem incluir sal grosso, areia, produtos para derreter gelo e outros materiais de degelo. Outras tarefas incluem a limpeza de áreas comuns, a remoção de detritos, a realização de manutenção básica da propriedade e o auxílio nas atividades de preparação para o inverno, a fim de proteger a propriedade, os equipamentos, os materiais e as áreas de trabalho das condições climáticas frias. Os trabalhadores reportam problemas de manutenção aos supervisores. A função não inclui trabalhos de reparo especializados, como elétrica, hidráulica, climatização ou construção civil especializada. Os trabalhadores seguem todos os procedimentos de segurança e atendem às necessidades de manutenção de rotina conforme as instruções. O trabalho é realizado principalmente ao ar livre, em condições climáticas frias. ***Original F.a.2*** Realizar a manutenção geral de propriedades residenciais e/ou comerciais durante a temporada de inverno. As funções incluem a remoção de neve e gelo de calçadas, entradas de veículos, estacionamentos e entradas de edifícios; aplicação de sal e materiais de degelo; e monitoramento das instalações para identificar riscos relacionados ao inverno e garantir condições seguras. Executar tarefas básicas de manutenção, como limpeza de áreas comuns e remoção de detritos. Reportar problemas de manutenção aos supervisores; a função não inclui trabalhos de reparo especializados (por exemplo, elétrica, hidráulica ou HVAC). Auxiliar nas atividades de preparação para o inverno, ajudando a proteger a propriedade e os equipamentos das condições climáticas frias. Utilizar ferramentas manuais e equipamentos básicos para concluir as tarefas atribuídas. Seguir todos os procedimentos de segurança e atender às necessidades de manutenção de rotina conforme as instruções. O trabalho é realizado principalmente ao ar livre, em condições climáticas frias. Classificação da Função: 47-2061.00 - Auxiliares de Construção. A classificação e descrição da função/setor incluem informações gerais sobre a posição, de acordo com o ONET/OES e o Sistema de Classificação Industrial da América do Norte. Consulte as Funções e a Ordem de Serviço para obter mais informações. Requisitos da Função: Experiência Necessária: Sim. Meses de Experiência Necessários: 3. Requisitos Especiais: 3 meses de experiência ou experiência relacionada. Número de horas por semana: 40 Horário de trabalho (início/término): 7h00 - 16h00</v>
      </c>
    </row>
    <row r="1980" ht="20.25" customHeight="1">
      <c r="A1980" s="3" t="s">
        <v>8883</v>
      </c>
      <c r="B1980" s="3" t="s">
        <v>8884</v>
      </c>
      <c r="C1980" s="3" t="s">
        <v>8465</v>
      </c>
      <c r="D1980" s="3" t="s">
        <v>3015</v>
      </c>
      <c r="E1980" s="4" t="s">
        <v>44</v>
      </c>
      <c r="F1980" s="4" t="s">
        <v>20</v>
      </c>
      <c r="G1980" s="4" t="s">
        <v>384</v>
      </c>
      <c r="H1980" s="3" t="s">
        <v>8885</v>
      </c>
      <c r="I1980" s="3" t="s">
        <v>8886</v>
      </c>
      <c r="J1980" s="4">
        <v>19.97</v>
      </c>
      <c r="K1980" s="4">
        <v>45.0</v>
      </c>
      <c r="L1980" s="3" t="s">
        <v>8887</v>
      </c>
      <c r="M1980" s="3" t="s">
        <v>8888</v>
      </c>
      <c r="N1980" s="7" t="str">
        <f>IFERROR(__xludf.DUMMYFUNCTION("GOOGLETRANSLATE(L1980, ""en"", ""pt"")"),"Trabalhadores de manutenção de propriedades")</f>
        <v>Trabalhadores de manutenção de propriedades</v>
      </c>
      <c r="O1980" s="7" t="str">
        <f>IFERROR(__xludf.DUMMYFUNCTION("IF(M1980="""","""",GOOGLETRANSLATE(M1980,""en"",""pt""))"),"***Resposta à Solicitação de Informações*** A função envolve a manutenção geral de propriedades residenciais, comerciais e em construção durante o inverno. As tarefas incluem a remoção de neve e gelo de calçadas, entradas de veículos, estacionamentos, ent"&amp;"radas de edifícios, vias de acesso e outras áreas que exigem acesso seguro de pedestres ou veículos. As tarefas específicas de remoção de neve e gelo incluem: remover neve com pá; limpar neve de calçadas, passarelas, escadas, rampas, entradas de veículos,"&amp;" estacionamentos, entradas de edifícios, rotas de acesso temporárias e áreas de trabalho; remover o gelo acumulado; e aplicar sal, areia, produtos para derreter gelo e outros materiais de degelo para reduzir as condições escorregadias e manter o acesso se"&amp;"guro. Os funcionários monitoram as propriedades e os canteiros de obras em busca de acúmulo de neve, formação de gelo e outros riscos relacionados ao inverno e relatam condições inseguras aos supervisores. Os funcionários podem auxiliar na manutenção do a"&amp;"cesso seguro a áreas de estocagem de materiais de construção, entradas de canteiros de obras e áreas de trabalho comuns durante as condições climáticas de inverno. Os trabalhadores utilizam ferramentas manuais e equipamentos básicos, incluindo pás de neve"&amp;", empurradores de neve, raspadores de gelo, vassouras, espalhadores, carrinhos de mão e sopradores de neve. Os materiais utilizados podem incluir sal grosso, areia, produtos para derreter gelo e outros materiais de degelo. As funções adicionais incluem a "&amp;"limpeza de áreas comuns, a remoção de detritos, a realização de manutenção básica da propriedade e o auxílio nas atividades de preparação para o inverno, a fim de proteger a propriedade, os equipamentos, os materiais e as áreas de trabalho das condições c"&amp;"limáticas frias. Os trabalhadores reportam problemas de manutenção aos supervisores. A função não inclui trabalhos de reparo especializados, como elétrica, hidráulica, climatização ou construção civil especializada. Os trabalhadores seguem todos os proced"&amp;"imentos de segurança e atendem às necessidades de manutenção de rotina conforme as instruções. O trabalho é realizado principalmente ao ar livre, em condições climáticas frias. ***Funções Originais*** Realizar a manutenção geral de propriedades residencia"&amp;"is e/ou comerciais durante a temporada de inverno. As funções incluem a remoção de neve e gelo de calçadas, entradas de veículos, estacionamentos e entradas de edifícios; a aplicação de sal e materiais de degelo; e o monitoramento das instalações em busca"&amp;" de riscos relacionados ao inverno para garantir condições seguras. Executar tarefas básicas de manutenção, como limpeza de áreas comuns e remoção de detritos. Reportar problemas de manutenção aos supervisores; a função não inclui trabalhos de reparo espe"&amp;"cializados (por exemplo, elétrica, hidráulica ou HVAC). Auxiliar nas atividades de preparação para o inverno, ajudando a proteger a propriedade e os equipamentos das condições climáticas adversas. Utilizar ferramentas manuais e equipamentos básicos para c"&amp;"oncluir as tarefas atribuídas. Seguir todos os procedimentos de segurança e atender às necessidades de manutenção de rotina conforme as instruções. O trabalho é realizado principalmente ao ar livre, em condições climáticas frias. Classificação da Função: "&amp;"37-2011.00 - Zeladores e Faxineiros, exceto Empregadas Domésticas e Auxiliares de Limpeza. A classificação e descrição da função/setor incluem informações gerais sobre a posição, de acordo com o ONET/OES e o Sistema de Classificação Industrial da América "&amp;"do Norte. Consulte as Funções e a Ordem de Serviço para obter mais informações. Requisitos da Função Experiência Necessária: Sim Meses de Experiência Necessária: 3 Requisitos Especiais: 3 meses de experiência ou equivalente. Número de Horas por Semana: 40"&amp;" Horário de Trabalho (Início/Término): 7h00 - 16h00")</f>
        <v>***Resposta à Solicitação de Informações*** A função envolve a manutenção geral de propriedades residenciais, comerciais e em construção durante o inverno. As tarefas incluem a remoção de neve e gelo de calçadas, entradas de veículos, estacionamentos, entradas de edifícios, vias de acesso e outras áreas que exigem acesso seguro de pedestres ou veículos. As tarefas específicas de remoção de neve e gelo incluem: remover neve com pá; limpar neve de calçadas, passarelas, escadas, rampas, entradas de veículos, estacionamentos, entradas de edifícios, rotas de acesso temporárias e áreas de trabalho; remover o gelo acumulado; e aplicar sal, areia, produtos para derreter gelo e outros materiais de degelo para reduzir as condições escorregadias e manter o acesso seguro. Os funcionários monitoram as propriedades e os canteiros de obras em busca de acúmulo de neve, formação de gelo e outros riscos relacionados ao inverno e relatam condições inseguras aos supervisores. Os funcionários podem auxiliar na manutenção do acesso seguro a áreas de estocagem de materiais de construção, entradas de canteiros de obras e áreas de trabalho comuns durante as condições climáticas de inverno. Os trabalhadores utilizam ferramentas manuais e equipamentos básicos, incluindo pás de neve, empurradores de neve, raspadores de gelo, vassouras, espalhadores, carrinhos de mão e sopradores de neve. Os materiais utilizados podem incluir sal grosso, areia, produtos para derreter gelo e outros materiais de degelo. As funções adicionais incluem a limpeza de áreas comuns, a remoção de detritos, a realização de manutenção básica da propriedade e o auxílio nas atividades de preparação para o inverno, a fim de proteger a propriedade, os equipamentos, os materiais e as áreas de trabalho das condições climáticas frias. Os trabalhadores reportam problemas de manutenção aos supervisores. A função não inclui trabalhos de reparo especializados, como elétrica, hidráulica, climatização ou construção civil especializada. Os trabalhadores seguem todos os procedimentos de segurança e atendem às necessidades de manutenção de rotina conforme as instruções. O trabalho é realizado principalmente ao ar livre, em condições climáticas frias. ***Funções Originais*** Realizar a manutenção geral de propriedades residenciais e/ou comerciais durante a temporada de inverno. As funções incluem a remoção de neve e gelo de calçadas, entradas de veículos, estacionamentos e entradas de edifícios; a aplicação de sal e materiais de degelo; e o monitoramento das instalações em busca de riscos relacionados ao inverno para garantir condições seguras. Executar tarefas básicas de manutenção, como limpeza de áreas comuns e remoção de detritos. Reportar problemas de manutenção aos supervisores; a função não inclui trabalhos de reparo especializados (por exemplo, elétrica, hidráulica ou HVAC). Auxiliar nas atividades de preparação para o inverno, ajudando a proteger a propriedade e os equipamentos das condições climáticas adversas. Utilizar ferramentas manuais e equipamentos básicos para concluir as tarefas atribuídas. Seguir todos os procedimentos de segurança e atender às necessidades de manutenção de rotina conforme as instruções. O trabalho é realizado principalmente ao ar livre, em condições climáticas frias. Classificação da Função: 37-2011.00 - Zeladores e Faxineiros, exceto Empregadas Domésticas e Auxiliares de Limpeza. A classificação e descrição da função/setor incluem informações gerais sobre a posição, de acordo com o ONET/OES e o Sistema de Classificação Industrial da América do Norte. Consulte as Funções e a Ordem de Serviço para obter mais informações. Requisitos da Função Experiência Necessária: Sim Meses de Experiência Necessária: 3 Requisitos Especiais: 3 meses de experiência ou equivalente. Número de Horas por Semana: 40 Horário de Trabalho (Início/Término): 7h00 - 16h00</v>
      </c>
    </row>
    <row r="1981" ht="20.25" customHeight="1">
      <c r="A1981" s="8" t="s">
        <v>8889</v>
      </c>
      <c r="B1981" s="8" t="s">
        <v>8890</v>
      </c>
      <c r="C1981" s="8" t="s">
        <v>8706</v>
      </c>
      <c r="D1981" s="8" t="s">
        <v>71</v>
      </c>
      <c r="E1981" s="9" t="s">
        <v>19</v>
      </c>
      <c r="F1981" s="9" t="s">
        <v>20</v>
      </c>
      <c r="G1981" s="9" t="s">
        <v>212</v>
      </c>
      <c r="H1981" s="8" t="s">
        <v>8891</v>
      </c>
      <c r="I1981" s="8" t="s">
        <v>8892</v>
      </c>
      <c r="J1981" s="9">
        <v>18.94</v>
      </c>
      <c r="K1981" s="9">
        <v>3.0</v>
      </c>
      <c r="L1981" s="8" t="s">
        <v>387</v>
      </c>
      <c r="M1981" s="8" t="s">
        <v>8893</v>
      </c>
      <c r="N1981" s="7" t="str">
        <f>IFERROR(__xludf.DUMMYFUNCTION("GOOGLETRANSLATE(L1981, ""en"", ""pt"")"),"Ordem de serviço não disponível")</f>
        <v>Ordem de serviço não disponível</v>
      </c>
      <c r="O1981" s="7" t="str">
        <f>IFERROR(__xludf.DUMMYFUNCTION("IF(M1981="""","""",GOOGLETRANSLATE(M1981,""en"",""pt""))"),"***Resposta à Solicitação de Informações*** Os funcionários verificarão visualmente as baias e cercas para identificar pequenos reparos necessários. Utilizarão ferramentas manuais, como martelo e pregos ou fita adesiva, para consertar pequenos danos nas b"&amp;"aias ou cercas. Também limparão as baias diariamente usando forcados, vassouras e pás. Varrerão os corredores do estábulo com vassoura. Descarregarão os sacos de ração dos caminhões manualmente ou com carrinho de mão. Descarregarão a ração do caminhão e a"&amp;" levarão para o depósito de ração no estábulo. Descarregarão manualmente os fardos de feno do caminhão e os empilharão manualmente no fenoiro. Descarregarão quaisquer suprimentos, como medicamentos, utensílios de higiene e selas, de veículos e reboques e "&amp;"os levarão manualmente para a sala de arreios ou local apropriado. ***Original*** Alimentar e dar água aos cavalos de acordo com horários específicos e instruções de alimentação. Escovar, banhar, exercitar e preparar os cavalos para treinamento e exposiçõ"&amp;"es. Manter a propriedade, incluindo baias e cercas, utilizando ferramentas manuais. Carregar e descarregar ração e suprimentos para cavalos. Classificação da função: 53-7062.00 - Operários e Movimentadores de Carga, Estoque e Materiais. A classificação e "&amp;"descrição da função/setor inclui informações gerais sobre o cargo, de acordo com o ONET/OES e o Sistema de Classificação Industrial da América do Norte (NAICS). Consulte as Funções e a Ordem de Serviço para obter mais informações. Requisitos da vaga: Expe"&amp;"riência necessária: Sim. Meses de experiência necessários: 3. Requisitos especiais: Capacidade de obter uma carteira de habilitação americana. Capacidade de levantar/carregar 23 kg. Número de horas por semana: 40. Horário de trabalho (início/término): 8h "&amp;"às 16h.")</f>
        <v>***Resposta à Solicitação de Informações*** Os funcionários verificarão visualmente as baias e cercas para identificar pequenos reparos necessários. Utilizarão ferramentas manuais, como martelo e pregos ou fita adesiva, para consertar pequenos danos nas baias ou cercas. Também limparão as baias diariamente usando forcados, vassouras e pás. Varrerão os corredores do estábulo com vassoura. Descarregarão os sacos de ração dos caminhões manualmente ou com carrinho de mão. Descarregarão a ração do caminhão e a levarão para o depósito de ração no estábulo. Descarregarão manualmente os fardos de feno do caminhão e os empilharão manualmente no fenoiro. Descarregarão quaisquer suprimentos, como medicamentos, utensílios de higiene e selas, de veículos e reboques e os levarão manualmente para a sala de arreios ou local apropriado. ***Original*** Alimentar e dar água aos cavalos de acordo com horários específicos e instruções de alimentação. Escovar, banhar, exercitar e preparar os cavalos para treinamento e exposições. Manter a propriedade, incluindo baias e cercas, utilizando ferramentas manuais. Carregar e descarregar ração e suprimentos para cavalos. Classificação da função: 53-7062.00 - Operários e Movimentadores de Carga, Estoque e Materiais. A classificação e descrição da função/setor inclui informações gerais sobre o cargo, de acordo com o ONET/OES e o Sistema de Classificação Industrial da América do Norte (NAICS). Consulte as Funções e a Ordem de Serviço para obter mais informações. Requisitos da vaga: Experiência necessária: Sim. Meses de experiência necessários: 3. Requisitos especiais: Capacidade de obter uma carteira de habilitação americana. Capacidade de levantar/carregar 23 kg. Número de horas por semana: 40. Horário de trabalho (início/término): 8h às 16h.</v>
      </c>
    </row>
    <row r="1982" ht="20.25" customHeight="1">
      <c r="A1982" s="3" t="s">
        <v>8894</v>
      </c>
      <c r="B1982" s="3" t="s">
        <v>8895</v>
      </c>
      <c r="C1982" s="3" t="s">
        <v>8465</v>
      </c>
      <c r="D1982" s="3" t="s">
        <v>3015</v>
      </c>
      <c r="E1982" s="4" t="s">
        <v>19</v>
      </c>
      <c r="F1982" s="4" t="s">
        <v>20</v>
      </c>
      <c r="G1982" s="4" t="s">
        <v>384</v>
      </c>
      <c r="H1982" s="3" t="s">
        <v>8896</v>
      </c>
      <c r="I1982" s="3" t="s">
        <v>8897</v>
      </c>
      <c r="J1982" s="4">
        <v>26.21</v>
      </c>
      <c r="K1982" s="4">
        <v>42.0</v>
      </c>
      <c r="L1982" s="3" t="s">
        <v>121</v>
      </c>
      <c r="M1982" s="3" t="s">
        <v>8847</v>
      </c>
      <c r="N1982" s="7" t="str">
        <f>IFERROR(__xludf.DUMMYFUNCTION("GOOGLETRANSLATE(L1982, ""en"", ""pt"")"),"Trabalhador braçal")</f>
        <v>Trabalhador braçal</v>
      </c>
      <c r="O1982" s="7" t="str">
        <f>IFERROR(__xludf.DUMMYFUNCTION("IF(M1982="""","""",GOOGLETRANSLATE(M1982,""en"",""pt""))"),"***Resposta à Solicitação de Informações*** Os trabalhadores auxiliarão profissionais qualificados carregando, movendo, posicionando, organizando e armazenando materiais, ferramentas e suprimentos necessários para projetos de construção em andamento. Os t"&amp;"rabalhadores poderão segurar materiais enquanto os profissionais qualificados executam suas tarefas, transportar ferramentas e equipamentos pelo canteiro de obras, descarregar e distribuir entregas, manter áreas de trabalho limpas e seguras, remover detri"&amp;"tos e realizar atividades de limpeza antes, durante e após as operações de construção. Os trabalhadores também poderão auxiliar na preparação das áreas de trabalho, removendo neve e gelo, mantendo as rotas de acesso, organizando as áreas de armazenamento "&amp;"de materiais e garantindo que os materiais e equipamentos estejam prontamente disponíveis para os profissionais qualificados. Todas as tarefas são executadas sob supervisão e são de natureza braçal, não exigindo habilidades especializadas, certificação ou"&amp;" licença. As ferramentas e equipamentos utilizados podem incluir pás de neve, quebra-gelos, sopradores de neve, vassouras, ancinhos, carrinhos de mão, carrinhos de transporte, plataformas rolantes, paleteiras, estiletes, alavancas, martelos, furadeiras e "&amp;"outras ferramentas manuais e elétricas básicas utilizadas para manutenção do local, limpeza, remoção de neve e movimentação de materiais. Os materiais manuseados podem incluir neve, gelo, sal, areia, produtos para degelo, materiais de construção, paletes,"&amp;" ferramentas, equipamentos e detritos não perigosos. As ferramentas manuais e elétricas utilizadas na função são ferramentas básicas, comumente usadas para manutenção de canteiros de obras, limpeza, remoção de neve e movimentação de materiais, e não exige"&amp;"m nenhuma licença ou certificação especial para operação. ***Original*** Executar tarefas gerais de trabalho braçal em canteiros de obras durante o inverno para dar suporte a projetos em andamento. As tarefas incluem preparação e limpeza do local, remoção"&amp;" de detritos, carga e descarga de materiais e auxílio a profissionais especializados, conforme necessário. Realizar a remoção de neve e gelo para manter áreas de trabalho seguras e acessíveis, incluindo a limpeza de calçadas, zonas de trabalho e caminhos "&amp;"para equipamentos. Utilizar ferramentas manuais e elétricas para auxiliar em tarefas básicas de construção, demolição e movimentação de materiais. Seguir todos os protocolos de segurança relacionados a condições climáticas frias, incluindo o manuseio adeq"&amp;"uado de equipamentos e materiais em temperaturas congelantes. Manter o local de trabalho limpo, organizado e seguro em todos os momentos. Classificação da Função: 47-2061.00 - Auxiliares de Construção Civil. A classificação e descrição da função/setor inc"&amp;"lui informações gerais sobre o cargo, conforme o ONET/OES e o Sistema de Classificação Industrial da América do Norte (NAICS). Consulte as Funções e a Ordem de Serviço para obter mais informações. Requisitos da Função: Experiência Necessária: Sim. Meses d"&amp;"e Experiência Necessária: 3. Requisitos Especiais: 3 meses de experiência ou área relacionada. Número de Horas por Semana: 40. Horário de Trabalho (Início/Término): 7h às 16h.")</f>
        <v>***Resposta à Solicitação de Informações*** Os trabalhadores auxiliarão profissionais qualificados carregando, movendo, posicionando, organizando e armazenando materiais, ferramentas e suprimentos necessários para projetos de construção em andamento. Os trabalhadores poderão segurar materiais enquanto os profissionais qualificados executam suas tarefas, transportar ferramentas e equipamentos pelo canteiro de obras, descarregar e distribuir entregas, manter áreas de trabalho limpas e seguras, remover detritos e realizar atividades de limpeza antes, durante e após as operações de construção. Os trabalhadores também poderão auxiliar na preparação das áreas de trabalho, removendo neve e gelo, mantendo as rotas de acesso, organizando as áreas de armazenamento de materiais e garantindo que os materiais e equipamentos estejam prontamente disponíveis para os profissionais qualificados. Todas as tarefas são executadas sob supervisão e são de natureza braçal, não exigindo habilidades especializadas, certificação ou licença. As ferramentas e equipamentos utilizados podem incluir pás de neve, quebra-gelos, sopradores de neve, vassouras, ancinhos, carrinhos de mão, carrinhos de transporte, plataformas rolantes, paleteiras, estiletes, alavancas, martelos, furadeiras e outras ferramentas manuais e elétricas básicas utilizadas para manutenção do local, limpeza, remoção de neve e movimentação de materiais. Os materiais manuseados podem incluir neve, gelo, sal, areia, produtos para degelo, materiais de construção, paletes, ferramentas, equipamentos e detritos não perigosos. As ferramentas manuais e elétricas utilizadas na função são ferramentas básicas, comumente usadas para manutenção de canteiros de obras, limpeza, remoção de neve e movimentação de materiais, e não exigem nenhuma licença ou certificação especial para operação. ***Original*** Executar tarefas gerais de trabalho braçal em canteiros de obras durante o inverno para dar suporte a projetos em andamento. As tarefas incluem preparação e limpeza do local, remoção de detritos, carga e descarga de materiais e auxílio a profissionais especializados, conforme necessário. Realizar a remoção de neve e gelo para manter áreas de trabalho seguras e acessíveis, incluindo a limpeza de calçadas, zonas de trabalho e caminhos para equipamentos. Utilizar ferramentas manuais e elétricas para auxiliar em tarefas básicas de construção, demolição e movimentação de materiais. Seguir todos os protocolos de segurança relacionados a condições climáticas frias, incluindo o manuseio adequado de equipamentos e materiais em temperaturas congelantes. Manter o local de trabalho limpo, organizado e seguro em todos os momentos. Classificação da Função: 47-2061.00 - Auxiliares de Construção Civil. A classificação e descrição da função/setor inclui informações gerais sobre o cargo, conforme o ONET/OES e o Sistema de Classificação Industrial da América do Norte (NAICS). Consulte as Funções e a Ordem de Serviço para obter mais informações. Requisitos da Função: Experiência Necessária: Sim. Meses de Experiência Necessária: 3. Requisitos Especiais: 3 meses de experiência ou área relacionada. Número de Horas por Semana: 40. Horário de Trabalho (Início/Término): 7h às 16h.</v>
      </c>
    </row>
    <row r="1983" ht="20.25" customHeight="1">
      <c r="A1983" s="8" t="s">
        <v>8898</v>
      </c>
      <c r="B1983" s="8" t="s">
        <v>8899</v>
      </c>
      <c r="C1983" s="8" t="s">
        <v>8706</v>
      </c>
      <c r="D1983" s="8" t="s">
        <v>249</v>
      </c>
      <c r="E1983" s="9" t="s">
        <v>44</v>
      </c>
      <c r="F1983" s="9" t="s">
        <v>20</v>
      </c>
      <c r="G1983" s="9" t="s">
        <v>212</v>
      </c>
      <c r="H1983" s="8" t="s">
        <v>8900</v>
      </c>
      <c r="I1983" s="8" t="s">
        <v>8901</v>
      </c>
      <c r="J1983" s="9">
        <v>24.49</v>
      </c>
      <c r="K1983" s="9">
        <v>9.0</v>
      </c>
      <c r="L1983" s="8" t="s">
        <v>8709</v>
      </c>
      <c r="M1983" s="8" t="s">
        <v>8902</v>
      </c>
      <c r="N1983" s="7" t="str">
        <f>IFERROR(__xludf.DUMMYFUNCTION("GOOGLETRANSLATE(L1983, ""en"", ""pt"")"),"Trabalhador de inverno")</f>
        <v>Trabalhador de inverno</v>
      </c>
      <c r="O1983" s="7" t="str">
        <f>IFERROR(__xludf.DUMMYFUNCTION("IF(M1983="""","""",GOOGLETRANSLATE(M1983,""en"",""pt""))"),"Remoção de neve manual com pá, arado de neve, espalhamento de sal manual e com caminhão, poda de plantas perenes, instalação e remoção de decorações sazonais para clientes residenciais. Manutenção dos equipamentos para garantir o funcionamento adequado. P"&amp;"reparação dos equipamentos de verão para o inverno e para a primavera. Em relação à remoção de neve com arado, os funcionários realizarão o seguinte: removerão a neve manualmente com pás e/ou com um soprador de neve manual. Removerão a neve de calçadas, e"&amp;"ntradas de garagem e passeios em propriedades residenciais e comerciais. Removerão a neve em frente às garagens com pás. Atenção: os funcionários NÃO utilizarão caminhão com arado para remover a neve. A remoção será feita apenas manualmente com pá e com s"&amp;"oprador de neve manual. Quanto ao espalhamento de sal, os funcionários o farão manualmente e com um caminhão de sal. Observe que o caminhão de sal não possui arado e não será utilizado para remoção de neve com arado. O sal será espalhado em propriedades r"&amp;"esidenciais e comerciais, incluindo calçadas, entradas de garagem e caminhos. Quanto à instalação e remoção de decorações natalinas, os funcionários serão responsáveis ​​por pendurar luzes sazonais externas, guirlandas, coroas de flores, enfeites de árvor"&amp;"e e luzes, além de decorações removíveis para jardins, como presépios, figuras natalinas e animais. Classificação da função: 49-9099.00 - Trabalhadores de Instalação, Manutenção e Reparo, Outros. A classificação e descrição da função/setor inclui informaç"&amp;"ões gerais sobre o cargo, conforme o ONET/OES e o Sistema de Classificação Industrial da América do Norte (NAICS). Consulte as Funções e a Ordem de Serviço para obter mais informações. Requisitos da vaga: Experiência necessária: Não. Requisitos especiais:"&amp;" Capacidade de levantar/carregar 23 kg. Testes aleatórios de drogas/álcool e verificação de antecedentes criminais serão pagos pelo empregador. Número de horas por semana: 40. Horário de trabalho (início/término): 8h às 16h.")</f>
        <v>Remoção de neve manual com pá, arado de neve, espalhamento de sal manual e com caminhão, poda de plantas perenes, instalação e remoção de decorações sazonais para clientes residenciais. Manutenção dos equipamentos para garantir o funcionamento adequado. Preparação dos equipamentos de verão para o inverno e para a primavera. Em relação à remoção de neve com arado, os funcionários realizarão o seguinte: removerão a neve manualmente com pás e/ou com um soprador de neve manual. Removerão a neve de calçadas, entradas de garagem e passeios em propriedades residenciais e comerciais. Removerão a neve em frente às garagens com pás. Atenção: os funcionários NÃO utilizarão caminhão com arado para remover a neve. A remoção será feita apenas manualmente com pá e com soprador de neve manual. Quanto ao espalhamento de sal, os funcionários o farão manualmente e com um caminhão de sal. Observe que o caminhão de sal não possui arado e não será utilizado para remoção de neve com arado. O sal será espalhado em propriedades residenciais e comerciais, incluindo calçadas, entradas de garagem e caminhos. Quanto à instalação e remoção de decorações natalinas, os funcionários serão responsáveis ​​por pendurar luzes sazonais externas, guirlandas, coroas de flores, enfeites de árvore e luzes, além de decorações removíveis para jardins, como presépios, figuras natalinas e animais. Classificação da função: 49-9099.00 - Trabalhadores de Instalação, Manutenção e Reparo, Outros. A classificação e descrição da função/setor inclui informações gerais sobre o cargo, conforme o ONET/OES e o Sistema de Classificação Industrial da América do Norte (NAICS). Consulte as Funções e a Ordem de Serviço para obter mais informações. Requisitos da vaga: Experiência necessária: Não. Requisitos especiais: Capacidade de levantar/carregar 23 kg. Testes aleatórios de drogas/álcool e verificação de antecedentes criminais serão pagos pelo empregador. Número de horas por semana: 40. Horário de trabalho (início/término): 8h às 16h.</v>
      </c>
    </row>
    <row r="1984" ht="20.25" customHeight="1">
      <c r="A1984" s="3" t="s">
        <v>8903</v>
      </c>
      <c r="B1984" s="3" t="s">
        <v>8904</v>
      </c>
      <c r="C1984" s="3" t="s">
        <v>8465</v>
      </c>
      <c r="D1984" s="3" t="s">
        <v>126</v>
      </c>
      <c r="E1984" s="4" t="s">
        <v>44</v>
      </c>
      <c r="F1984" s="4" t="s">
        <v>20</v>
      </c>
      <c r="G1984" s="4" t="s">
        <v>384</v>
      </c>
      <c r="H1984" s="3" t="s">
        <v>8905</v>
      </c>
      <c r="I1984" s="3" t="s">
        <v>8906</v>
      </c>
      <c r="J1984" s="4">
        <v>22.49</v>
      </c>
      <c r="K1984" s="4">
        <v>42.0</v>
      </c>
      <c r="L1984" s="3" t="s">
        <v>8887</v>
      </c>
      <c r="M1984" s="3" t="s">
        <v>8907</v>
      </c>
      <c r="N1984" s="7" t="str">
        <f>IFERROR(__xludf.DUMMYFUNCTION("GOOGLETRANSLATE(L1984, ""en"", ""pt"")"),"Trabalhadores de manutenção de propriedades")</f>
        <v>Trabalhadores de manutenção de propriedades</v>
      </c>
      <c r="O1984" s="7" t="str">
        <f>IFERROR(__xludf.DUMMYFUNCTION("IF(M1984="""","""",GOOGLETRANSLATE(M1984,""en"",""pt""))"),"***Resposta à Solicitação de Informações*** A função envolve a manutenção geral de propriedades residenciais, comerciais e em construção durante o inverno. As responsabilidades incluem a remoção de neve e gelo de calçadas, entradas de veículos, estacionam"&amp;"entos, acessos a edifícios, vias de acesso e outras áreas que exigem segurança para pedestres e veículos. As tarefas específicas de remoção de neve e gelo incluem: remover neve com pá; limpar neve de calçadas, passarelas, escadas, rampas, entradas de veíc"&amp;"ulos, estacionamentos, acessos temporários e áreas de trabalho; remover o gelo acumulado; e aplicar sal, areia, produtos para derreter gelo e outros materiais para reduzir o risco de escorregamento e manter o acesso seguro. Os funcionários monitoram as pr"&amp;"opriedades e os canteiros de obras em busca de acúmulo de neve, gelo e outros riscos relacionados ao inverno, relatando condições inseguras aos supervisores. Os funcionários podem auxiliar na manutenção do acesso seguro a áreas de estocagem de materiais, "&amp;"entradas de canteiros de obras e áreas de trabalho comuns durante as condições climáticas de inverno. Os trabalhadores utilizam ferramentas manuais e equipamentos básicos, incluindo pás de neve, empurradores de neve, raspadores de gelo, vassouras, espalha"&amp;"dores, carrinhos de mão e sopradores de neve. Os materiais utilizados podem incluir sal grosso, areia, produtos para derreter gelo e outros materiais de degelo. As funções adicionais incluem a limpeza de áreas comuns, a remoção de detritos, a realização d"&amp;"e manutenção básica da propriedade e o auxílio nas atividades de preparação para o inverno, a fim de proteger a propriedade, os equipamentos, os materiais e as áreas de trabalho das condições climáticas frias. Os trabalhadores reportam problemas de manute"&amp;"nção aos supervisores. A função não inclui trabalhos de reparo especializados, como elétrica, hidráulica, climatização ou construção civil especializada. Os trabalhadores seguem todos os procedimentos de segurança e atendem às necessidades de manutenção d"&amp;"e rotina conforme as instruções. O trabalho é realizado principalmente ao ar livre, em condições climáticas frias. ***Original*** Realizar a manutenção geral de propriedades residenciais e/ou comerciais durante a temporada de inverno. As tarefas incluem a"&amp;" remoção de neve e gelo de calçadas, entradas de veículos, estacionamentos e entradas de edifícios; a aplicação de sal e materiais de degelo; e o monitoramento das instalações em busca de riscos relacionados ao inverno para garantir condições seguras. Exe"&amp;"cutar tarefas básicas de manutenção, como limpeza de áreas comuns e remoção de detritos. Reportar problemas de manutenção aos supervisores; a função não inclui trabalhos de reparo especializados (por exemplo, elétrica, hidráulica ou HVAC). Auxiliar nas at"&amp;"ividades de preparação para o inverno, ajudando a proteger a propriedade e os equipamentos das condições climáticas adversas. Utilizar ferramentas manuais e equipamentos básicos para concluir as tarefas atribuídas. Seguir todos os procedimentos de seguran"&amp;"ça e atender às necessidades de manutenção de rotina conforme as instruções. O trabalho é realizado principalmente ao ar livre, em condições climáticas frias. Classificação da Função: 47-2061.00 - Auxiliares de Construção. A classificação e descrição da f"&amp;"unção/setor incluem informações gerais sobre a posição, de acordo com o ONET/OES e o Sistema de Classificação Industrial da América do Norte (NAICS). Consulte as Funções e a Ordem de Serviço para obter mais informações. Requisitos da Função: Experiência N"&amp;"ecessária: Sim. Meses de Experiência Necessária: 3. Requisitos Especiais: 3 meses de experiência ou área relacionada. Número de Horas por Semana: 40. Horário de Trabalho (Início/Término): 7h às 16h.")</f>
        <v>***Resposta à Solicitação de Informações*** A função envolve a manutenção geral de propriedades residenciais, comerciais e em construção durante o inverno. As responsabilidades incluem a remoção de neve e gelo de calçadas, entradas de veículos, estacionamentos, acessos a edifícios, vias de acesso e outras áreas que exigem segurança para pedestres e veículos. As tarefas específicas de remoção de neve e gelo incluem: remover neve com pá; limpar neve de calçadas, passarelas, escadas, rampas, entradas de veículos, estacionamentos, acessos temporários e áreas de trabalho; remover o gelo acumulado; e aplicar sal, areia, produtos para derreter gelo e outros materiais para reduzir o risco de escorregamento e manter o acesso seguro. Os funcionários monitoram as propriedades e os canteiros de obras em busca de acúmulo de neve, gelo e outros riscos relacionados ao inverno, relatando condições inseguras aos supervisores. Os funcionários podem auxiliar na manutenção do acesso seguro a áreas de estocagem de materiais, entradas de canteiros de obras e áreas de trabalho comuns durante as condições climáticas de inverno. Os trabalhadores utilizam ferramentas manuais e equipamentos básicos, incluindo pás de neve, empurradores de neve, raspadores de gelo, vassouras, espalhadores, carrinhos de mão e sopradores de neve. Os materiais utilizados podem incluir sal grosso, areia, produtos para derreter gelo e outros materiais de degelo. As funções adicionais incluem a limpeza de áreas comuns, a remoção de detritos, a realização de manutenção básica da propriedade e o auxílio nas atividades de preparação para o inverno, a fim de proteger a propriedade, os equipamentos, os materiais e as áreas de trabalho das condições climáticas frias. Os trabalhadores reportam problemas de manutenção aos supervisores. A função não inclui trabalhos de reparo especializados, como elétrica, hidráulica, climatização ou construção civil especializada. Os trabalhadores seguem todos os procedimentos de segurança e atendem às necessidades de manutenção de rotina conforme as instruções. O trabalho é realizado principalmente ao ar livre, em condições climáticas frias. ***Original*** Realizar a manutenção geral de propriedades residenciais e/ou comerciais durante a temporada de inverno. As tarefas incluem a remoção de neve e gelo de calçadas, entradas de veículos, estacionamentos e entradas de edifícios; a aplicação de sal e materiais de degelo; e o monitoramento das instalações em busca de riscos relacionados ao inverno para garantir condições seguras. Executar tarefas básicas de manutenção, como limpeza de áreas comuns e remoção de detritos. Reportar problemas de manutenção aos supervisores; a função não inclui trabalhos de reparo especializados (por exemplo, elétrica, hidráulica ou HVAC). Auxiliar nas atividades de preparação para o inverno, ajudando a proteger a propriedade e os equipamentos das condições climáticas adversas. Utilizar ferramentas manuais e equipamentos básicos para concluir as tarefas atribuídas. Seguir todos os procedimentos de segurança e atender às necessidades de manutenção de rotina conforme as instruções. O trabalho é realizado principalmente ao ar livre, em condições climáticas frias. Classificação da Função: 47-2061.00 - Auxiliares de Construção. A classificação e descrição da função/setor incluem informações gerais sobre a posição, de acordo com o ONET/OES e o Sistema de Classificação Industrial da América do Norte (NAICS). Consulte as Funções e a Ordem de Serviço para obter mais informações. Requisitos da Função: Experiência Necessária: Sim. Meses de Experiência Necessária: 3. Requisitos Especiais: 3 meses de experiência ou área relacionada. Número de Horas por Semana: 40. Horário de Trabalho (Início/Término): 7h às 16h.</v>
      </c>
    </row>
    <row r="1985" ht="20.25" customHeight="1">
      <c r="A1985" s="8" t="s">
        <v>8908</v>
      </c>
      <c r="B1985" s="8" t="s">
        <v>8909</v>
      </c>
      <c r="C1985" s="8" t="s">
        <v>8465</v>
      </c>
      <c r="D1985" s="8" t="s">
        <v>126</v>
      </c>
      <c r="E1985" s="9" t="s">
        <v>19</v>
      </c>
      <c r="F1985" s="9" t="s">
        <v>20</v>
      </c>
      <c r="G1985" s="9" t="s">
        <v>384</v>
      </c>
      <c r="H1985" s="8" t="s">
        <v>8910</v>
      </c>
      <c r="I1985" s="8" t="s">
        <v>8911</v>
      </c>
      <c r="J1985" s="9">
        <v>19.41</v>
      </c>
      <c r="K1985" s="9">
        <v>46.0</v>
      </c>
      <c r="L1985" s="8" t="s">
        <v>8881</v>
      </c>
      <c r="M1985" s="8" t="s">
        <v>8888</v>
      </c>
      <c r="N1985" s="7" t="str">
        <f>IFERROR(__xludf.DUMMYFUNCTION("GOOGLETRANSLATE(L1985, ""en"", ""pt"")"),"Trabalhador de Manutenção de Imóveis")</f>
        <v>Trabalhador de Manutenção de Imóveis</v>
      </c>
      <c r="O1985" s="7" t="str">
        <f>IFERROR(__xludf.DUMMYFUNCTION("IF(M1985="""","""",GOOGLETRANSLATE(M1985,""en"",""pt""))"),"***Resposta à Solicitação de Informações*** A função envolve a manutenção geral de propriedades residenciais, comerciais e em construção durante o inverno. As tarefas incluem a remoção de neve e gelo de calçadas, entradas de veículos, estacionamentos, ent"&amp;"radas de edifícios, vias de acesso e outras áreas que exigem acesso seguro de pedestres ou veículos. As tarefas específicas de remoção de neve e gelo incluem: remover neve com pá; limpar neve de calçadas, passarelas, escadas, rampas, entradas de veículos,"&amp;" estacionamentos, entradas de edifícios, rotas de acesso temporárias e áreas de trabalho; remover o gelo acumulado; e aplicar sal, areia, produtos para derreter gelo e outros materiais de degelo para reduzir as condições escorregadias e manter o acesso se"&amp;"guro. Os funcionários monitoram as propriedades e os canteiros de obras em busca de acúmulo de neve, formação de gelo e outros riscos relacionados ao inverno e relatam condições inseguras aos supervisores. Os funcionários podem auxiliar na manutenção do a"&amp;"cesso seguro a áreas de estocagem de materiais de construção, entradas de canteiros de obras e áreas de trabalho comuns durante as condições climáticas de inverno. Os trabalhadores utilizam ferramentas manuais e equipamentos básicos, incluindo pás de neve"&amp;", empurradores de neve, raspadores de gelo, vassouras, espalhadores, carrinhos de mão e sopradores de neve. Os materiais utilizados podem incluir sal grosso, areia, produtos para derreter gelo e outros materiais de degelo. As funções adicionais incluem a "&amp;"limpeza de áreas comuns, a remoção de detritos, a realização de manutenção básica da propriedade e o auxílio nas atividades de preparação para o inverno, a fim de proteger a propriedade, os equipamentos, os materiais e as áreas de trabalho das condições c"&amp;"limáticas frias. Os trabalhadores reportam problemas de manutenção aos supervisores. A função não inclui trabalhos de reparo especializados, como elétrica, hidráulica, climatização ou construção civil especializada. Os trabalhadores seguem todos os proced"&amp;"imentos de segurança e atendem às necessidades de manutenção de rotina conforme as instruções. O trabalho é realizado principalmente ao ar livre, em condições climáticas frias. ***Funções Originais*** Realizar a manutenção geral de propriedades residencia"&amp;"is e/ou comerciais durante a temporada de inverno. As funções incluem a remoção de neve e gelo de calçadas, entradas de veículos, estacionamentos e entradas de edifícios; a aplicação de sal e materiais de degelo; e o monitoramento das instalações em busca"&amp;" de riscos relacionados ao inverno para garantir condições seguras. Executar tarefas básicas de manutenção, como limpeza de áreas comuns e remoção de detritos. Reportar problemas de manutenção aos supervisores; a função não inclui trabalhos de reparo espe"&amp;"cializados (por exemplo, elétrica, hidráulica ou HVAC). Auxiliar nas atividades de preparação para o inverno, ajudando a proteger a propriedade e os equipamentos das condições climáticas adversas. Utilizar ferramentas manuais e equipamentos básicos para c"&amp;"oncluir as tarefas atribuídas. Seguir todos os procedimentos de segurança e atender às necessidades de manutenção de rotina conforme as instruções. O trabalho é realizado principalmente ao ar livre, em condições climáticas frias. Classificação da Função: "&amp;"37-2011.00 - Zeladores e Faxineiros, exceto Empregadas Domésticas e Auxiliares de Limpeza. A classificação e descrição da função/setor incluem informações gerais sobre a posição, de acordo com o ONET/OES e o Sistema de Classificação Industrial da América "&amp;"do Norte. Consulte as Funções e a Ordem de Serviço para obter mais informações. Requisitos da Função Experiência Necessária: Sim Meses de Experiência Necessária: 3 Requisitos Especiais: 3 meses de experiência ou equivalente. Número de Horas por Semana: 40"&amp;" Horário de Trabalho (Início/Término): 7h00 - 16h00")</f>
        <v>***Resposta à Solicitação de Informações*** A função envolve a manutenção geral de propriedades residenciais, comerciais e em construção durante o inverno. As tarefas incluem a remoção de neve e gelo de calçadas, entradas de veículos, estacionamentos, entradas de edifícios, vias de acesso e outras áreas que exigem acesso seguro de pedestres ou veículos. As tarefas específicas de remoção de neve e gelo incluem: remover neve com pá; limpar neve de calçadas, passarelas, escadas, rampas, entradas de veículos, estacionamentos, entradas de edifícios, rotas de acesso temporárias e áreas de trabalho; remover o gelo acumulado; e aplicar sal, areia, produtos para derreter gelo e outros materiais de degelo para reduzir as condições escorregadias e manter o acesso seguro. Os funcionários monitoram as propriedades e os canteiros de obras em busca de acúmulo de neve, formação de gelo e outros riscos relacionados ao inverno e relatam condições inseguras aos supervisores. Os funcionários podem auxiliar na manutenção do acesso seguro a áreas de estocagem de materiais de construção, entradas de canteiros de obras e áreas de trabalho comuns durante as condições climáticas de inverno. Os trabalhadores utilizam ferramentas manuais e equipamentos básicos, incluindo pás de neve, empurradores de neve, raspadores de gelo, vassouras, espalhadores, carrinhos de mão e sopradores de neve. Os materiais utilizados podem incluir sal grosso, areia, produtos para derreter gelo e outros materiais de degelo. As funções adicionais incluem a limpeza de áreas comuns, a remoção de detritos, a realização de manutenção básica da propriedade e o auxílio nas atividades de preparação para o inverno, a fim de proteger a propriedade, os equipamentos, os materiais e as áreas de trabalho das condições climáticas frias. Os trabalhadores reportam problemas de manutenção aos supervisores. A função não inclui trabalhos de reparo especializados, como elétrica, hidráulica, climatização ou construção civil especializada. Os trabalhadores seguem todos os procedimentos de segurança e atendem às necessidades de manutenção de rotina conforme as instruções. O trabalho é realizado principalmente ao ar livre, em condições climáticas frias. ***Funções Originais*** Realizar a manutenção geral de propriedades residenciais e/ou comerciais durante a temporada de inverno. As funções incluem a remoção de neve e gelo de calçadas, entradas de veículos, estacionamentos e entradas de edifícios; a aplicação de sal e materiais de degelo; e o monitoramento das instalações em busca de riscos relacionados ao inverno para garantir condições seguras. Executar tarefas básicas de manutenção, como limpeza de áreas comuns e remoção de detritos. Reportar problemas de manutenção aos supervisores; a função não inclui trabalhos de reparo especializados (por exemplo, elétrica, hidráulica ou HVAC). Auxiliar nas atividades de preparação para o inverno, ajudando a proteger a propriedade e os equipamentos das condições climáticas adversas. Utilizar ferramentas manuais e equipamentos básicos para concluir as tarefas atribuídas. Seguir todos os procedimentos de segurança e atender às necessidades de manutenção de rotina conforme as instruções. O trabalho é realizado principalmente ao ar livre, em condições climáticas frias. Classificação da Função: 37-2011.00 - Zeladores e Faxineiros, exceto Empregadas Domésticas e Auxiliares de Limpeza. A classificação e descrição da função/setor incluem informações gerais sobre a posição, de acordo com o ONET/OES e o Sistema de Classificação Industrial da América do Norte. Consulte as Funções e a Ordem de Serviço para obter mais informações. Requisitos da Função Experiência Necessária: Sim Meses de Experiência Necessária: 3 Requisitos Especiais: 3 meses de experiência ou equivalente. Número de Horas por Semana: 40 Horário de Trabalho (Início/Término): 7h00 - 16h00</v>
      </c>
    </row>
    <row r="1986" ht="20.25" customHeight="1">
      <c r="A1986" s="3" t="s">
        <v>8912</v>
      </c>
      <c r="B1986" s="3" t="s">
        <v>8913</v>
      </c>
      <c r="C1986" s="3" t="s">
        <v>8465</v>
      </c>
      <c r="D1986" s="3" t="s">
        <v>2494</v>
      </c>
      <c r="E1986" s="4" t="s">
        <v>19</v>
      </c>
      <c r="F1986" s="4" t="s">
        <v>20</v>
      </c>
      <c r="G1986" s="4" t="s">
        <v>524</v>
      </c>
      <c r="H1986" s="3" t="s">
        <v>8914</v>
      </c>
      <c r="I1986" s="3" t="s">
        <v>8915</v>
      </c>
      <c r="J1986" s="4">
        <v>22.39</v>
      </c>
      <c r="K1986" s="4">
        <v>35.0</v>
      </c>
      <c r="L1986" s="3" t="s">
        <v>8887</v>
      </c>
      <c r="M1986" s="3" t="s">
        <v>8916</v>
      </c>
      <c r="N1986" s="7" t="str">
        <f>IFERROR(__xludf.DUMMYFUNCTION("GOOGLETRANSLATE(L1986, ""en"", ""pt"")"),"Trabalhadores de manutenção de propriedades")</f>
        <v>Trabalhadores de manutenção de propriedades</v>
      </c>
      <c r="O1986" s="7" t="str">
        <f>IFERROR(__xludf.DUMMYFUNCTION("IF(M1986="""","""",GOOGLETRANSLATE(M1986,""en"",""pt""))"),"***Resposta à Solicitação de Informações*** A função envolve a manutenção geral de propriedades residenciais, comerciais e em construção durante o inverno. As responsabilidades incluem a remoção de neve e gelo de calçadas, entradas de veículos, estacionam"&amp;"entos, entradas de edifícios, vias de acesso e outras áreas que exigem acesso seguro de pedestres ou veículos. As tarefas específicas de remoção de neve e gelo incluem: remover neve com pá; limpar neve de calçadas, passarelas, escadas, rampas, entradas de"&amp;" veículos, estacionamentos, entradas de edifícios, rotas de acesso temporárias e áreas de trabalho; remover o gelo acumulado; e aplicar sal, areia, produtos para derreter gelo e outros materiais de degelo para reduzir as condições escorregadias e manter o"&amp;" acesso seguro. A remoção de neve é ​​realizada manualmente e com equipamentos básicos de remoção de neve para manter o acesso seguro de pedestres e veículos durante as condições climáticas de inverno. Os funcionários monitoram as propriedades e os cantei"&amp;"ros de obras em atividade quanto ao acúmulo de neve, formação de gelo e outros riscos relacionados ao inverno e relatam condições inseguras aos supervisores. Os funcionários podem auxiliar na manutenção do acesso seguro a áreas de estocagem de materiais d"&amp;"e construção, entradas de canteiros de obras e áreas de trabalho comuns durante as condições climáticas de inverno. Os trabalhadores utilizam ferramentas manuais e equipamentos básicos, incluindo pás de neve, empurradores de neve, raspadores de gelo, vass"&amp;"ouras, espalhadores, carrinhos de mão e sopradores de neve manuais. Os sopradores de neve manuais podem ser usados ​​para remover a neve acumulada de calçadas, passarelas, entradas, garagens, estacionamentos e outras áreas acessíveis. Os materiais utiliza"&amp;"dos podem incluir sal grosso, areia, produtos para derreter gelo e outros materiais de degelo. Outras tarefas incluem a limpeza de áreas comuns, a remoção de detritos, a realização de manutenção básica da propriedade e o auxílio nas atividades de preparaç"&amp;"ão para o inverno, a fim de proteger a propriedade, os equipamentos, os materiais e as áreas de trabalho das condições climáticas frias. Os trabalhadores reportam problemas de manutenção aos supervisores. A função não inclui trabalhos de reparo especializ"&amp;"ados, como elétrica, hidráulica, climatização ou construção civil especializada. Os trabalhadores seguem todos os procedimentos de segurança e atendem às necessidades de manutenção de rotina conforme as instruções. O trabalho é realizado principalmente ao"&amp;" ar livre, em condições climáticas frias. ***Original F.a.2*** Realizar a manutenção geral de propriedades residenciais e/ou comerciais durante a temporada de inverno. As funções incluem a remoção de neve e gelo de calçadas, entradas de veículos, estacion"&amp;"amentos e entradas de edifícios; aplicação de sal e materiais de degelo; e monitoramento das instalações para identificar riscos relacionados ao inverno e garantir condições seguras. Executar tarefas básicas de manutenção, como limpeza de áreas comuns e r"&amp;"emoção de detritos. Reportar problemas de manutenção aos supervisores; a função não inclui trabalhos de reparo especializados (por exemplo, elétrica, hidráulica ou HVAC). Auxiliar nas atividades de preparação para o inverno, ajudando a proteger a propried"&amp;"ade e os equipamentos das condições climáticas frias. Utilizar ferramentas manuais e equipamentos básicos para concluir as tarefas atribuídas. Seguir todos os procedimentos de segurança e atender às necessidades de manutenção de rotina conforme as instruç"&amp;"ões. O trabalho é realizado principalmente ao ar livre, em condições climáticas frias. Classificação da Função: 49-9071.00 - Trabalhadores de Manutenção e Reparos, Geral. A classificação e descrição da função/setor inclui informações gerais sobre a posiçã"&amp;"o, de acordo com o ONET/OES e o Sistema de Classificação Industrial da América do Norte. Consulte as Funções e a Ordem de Serviço para obter mais informações. Requisitos da Função: Experiência Necessária: Sim. Meses de Experiência Necessários: 3. Requisit"&amp;"os Especiais: 3 meses de experiência ou experiência relacionada. Número de horas por semana: 40 Horário de trabalho (início/término): 7h00 - 16h00")</f>
        <v>***Resposta à Solicitação de Informações*** A função envolve a manutenção geral de propriedades residenciais, comerciais e em construção durante o inverno. As responsabilidades incluem a remoção de neve e gelo de calçadas, entradas de veículos, estacionamentos, entradas de edifícios, vias de acesso e outras áreas que exigem acesso seguro de pedestres ou veículos. As tarefas específicas de remoção de neve e gelo incluem: remover neve com pá; limpar neve de calçadas, passarelas, escadas, rampas, entradas de veículos, estacionamentos, entradas de edifícios, rotas de acesso temporárias e áreas de trabalho; remover o gelo acumulado; e aplicar sal, areia, produtos para derreter gelo e outros materiais de degelo para reduzir as condições escorregadias e manter o acesso seguro. A remoção de neve é ​​realizada manualmente e com equipamentos básicos de remoção de neve para manter o acesso seguro de pedestres e veículos durante as condições climáticas de inverno. Os funcionários monitoram as propriedades e os canteiros de obras em atividade quanto ao acúmulo de neve, formação de gelo e outros riscos relacionados ao inverno e relatam condições inseguras aos supervisores. Os funcionários podem auxiliar na manutenção do acesso seguro a áreas de estocagem de materiais de construção, entradas de canteiros de obras e áreas de trabalho comuns durante as condições climáticas de inverno. Os trabalhadores utilizam ferramentas manuais e equipamentos básicos, incluindo pás de neve, empurradores de neve, raspadores de gelo, vassouras, espalhadores, carrinhos de mão e sopradores de neve manuais. Os sopradores de neve manuais podem ser usados ​​para remover a neve acumulada de calçadas, passarelas, entradas, garagens, estacionamentos e outras áreas acessíveis. Os materiais utilizados podem incluir sal grosso, areia, produtos para derreter gelo e outros materiais de degelo. Outras tarefas incluem a limpeza de áreas comuns, a remoção de detritos, a realização de manutenção básica da propriedade e o auxílio nas atividades de preparação para o inverno, a fim de proteger a propriedade, os equipamentos, os materiais e as áreas de trabalho das condições climáticas frias. Os trabalhadores reportam problemas de manutenção aos supervisores. A função não inclui trabalhos de reparo especializados, como elétrica, hidráulica, climatização ou construção civil especializada. Os trabalhadores seguem todos os procedimentos de segurança e atendem às necessidades de manutenção de rotina conforme as instruções. O trabalho é realizado principalmente ao ar livre, em condições climáticas frias. ***Original F.a.2*** Realizar a manutenção geral de propriedades residenciais e/ou comerciais durante a temporada de inverno. As funções incluem a remoção de neve e gelo de calçadas, entradas de veículos, estacionamentos e entradas de edifícios; aplicação de sal e materiais de degelo; e monitoramento das instalações para identificar riscos relacionados ao inverno e garantir condições seguras. Executar tarefas básicas de manutenção, como limpeza de áreas comuns e remoção de detritos. Reportar problemas de manutenção aos supervisores; a função não inclui trabalhos de reparo especializados (por exemplo, elétrica, hidráulica ou HVAC). Auxiliar nas atividades de preparação para o inverno, ajudando a proteger a propriedade e os equipamentos das condições climáticas frias. Utilizar ferramentas manuais e equipamentos básicos para concluir as tarefas atribuídas. Seguir todos os procedimentos de segurança e atender às necessidades de manutenção de rotina conforme as instruções. O trabalho é realizado principalmente ao ar livre, em condições climáticas frias. Classificação da Função: 49-9071.00 - Trabalhadores de Manutenção e Reparos, Geral. A classificação e descrição da função/setor inclui informações gerais sobre a posição, de acordo com o ONET/OES e o Sistema de Classificação Industrial da América do Norte. Consulte as Funções e a Ordem de Serviço para obter mais informações. Requisitos da Função: Experiência Necessária: Sim. Meses de Experiência Necessários: 3. Requisitos Especiais: 3 meses de experiência ou experiência relacionada. Número de horas por semana: 40 Horário de trabalho (início/término): 7h00 - 16h00</v>
      </c>
    </row>
    <row r="1987" ht="20.25" customHeight="1">
      <c r="A1987" s="8" t="s">
        <v>8917</v>
      </c>
      <c r="B1987" s="8" t="s">
        <v>8159</v>
      </c>
      <c r="C1987" s="8" t="s">
        <v>6921</v>
      </c>
      <c r="D1987" s="8" t="s">
        <v>532</v>
      </c>
      <c r="E1987" s="9" t="s">
        <v>44</v>
      </c>
      <c r="F1987" s="9" t="s">
        <v>20</v>
      </c>
      <c r="G1987" s="9" t="s">
        <v>437</v>
      </c>
      <c r="H1987" s="8" t="s">
        <v>8160</v>
      </c>
      <c r="I1987" s="8" t="s">
        <v>8161</v>
      </c>
      <c r="J1987" s="9">
        <v>20.88</v>
      </c>
      <c r="K1987" s="9">
        <v>10.0</v>
      </c>
      <c r="L1987" s="8" t="s">
        <v>8918</v>
      </c>
      <c r="M1987" s="8" t="s">
        <v>8919</v>
      </c>
      <c r="N1987" s="7" t="str">
        <f>IFERROR(__xludf.DUMMYFUNCTION("GOOGLETRANSLATE(L1987, ""en"", ""pt"")"),"Cozinheiros (10 meses)")</f>
        <v>Cozinheiros (10 meses)</v>
      </c>
      <c r="O1987" s="7" t="str">
        <f>IFERROR(__xludf.DUMMYFUNCTION("IF(M1987="""","""",GOOGLETRANSLATE(M1987,""en"",""pt""))"),"1. Preparar todos os alimentos conforme as instruções, de forma rápida e higiênica. 2. Executar os itens do cardápio na grelha, fritadeira e preparar sopas e outros pratos especiais. 3. Lavar, limpar, picar, cortar em cubos, ralar e fatiar uma variedade d"&amp;"e carnes, aves, legumes e outros alimentos, colocando-os em recipientes adequados. 4. Compreender e cumprir consistentemente nossos padrões de porções, métodos de cozimento, padrões de qualidade e regras, políticas e procedimentos da cozinha. 5. Ter conhe"&amp;"cimento e compreensão de como usar e manter adequadamente todos os equipamentos da estação. 6. Manter a estação de trabalho limpa e higienizada, incluindo mesas, prateleiras, paredes, grelhas, fritadeiras, queimadores e equipamentos de refrigeração. 7. Li"&amp;"derar a limpeza diária e a organização da linha de produção. 8. Conhecer e ser responsável pelos itens do Código de Saúde da Califórnia e verificar diariamente os registros de temperatura dos alimentos refrigerados e preparados. 9. Informar o Gerente de C"&amp;"ozinha ou o Chef sobre a falta de produtos, problemas com equipamentos ou com a qualidade dos alimentos. 10. Auxiliar e orientar outros cozinheiros e auxiliares de cozinha diariamente no preparo e em outras funções na cozinha. 11. Monitorar as práticas de"&amp;" higiene para garantir que os funcionários sigam os padrões e regulamentos. 12. Execução/desenvolvimento de receitas para a estação de refogados e despensa. 13. Auxiliar no fluxo de alimentos desde o momento da entrega até o momento em que são servidos ao"&amp;"s nossos clientes. Levantar aproximadamente 23 kg regularmente. Capacidade de ficar em pé por longos períodos. Classificação do Cargo: 35-2014.00 - Cozinheiros, Restaurante. A classificação e descrição do cargo/setor inclui informações gerais sobre a posi"&amp;"ção de acordo com o ONET/OES e o Sistema de Classificação Industrial da América do Norte. Consulte as Funções e a Ordem de Serviço para obter mais informações. Requisitos do Cargo Experiência Necessária: Sim Meses de Experiência Necessários: 6 Requisitos "&amp;"Especiais: Deve possuir ou ser capaz de obter o Cartão de Manipulador de Alimentos da Califórnia (CA Food Handler Card) atual. 6 meses de experiência como cozinheiro ou na área culinária em um ambiente de alta gastronomia ou de grande volume em um restaur"&amp;"ante sofisticado, resort ou clube privado são necessários. Treinamento no local de trabalho fornecido. Treinamento será oferecido. Dias e Turnos: Os seguintes turnos estão disponíveis 7 dias por semana, incluindo fins de semana e feriados. Horário de trab"&amp;"alho: das 7h às 15h30; das 9h às 17h30; das 11h às 19h30; das 15h às 23h30. Os horários dos turnos podem variar de acordo com a época do ano, a disponibilidade de luz e a necessidade. Salário por hora: Cargo com gorjetas, com salário garantido de US$ 20,8"&amp;"8 a US$ 25,92 por hora. Possibilidade de aumento salarial: O Palisades Tahoe oferece aumentos salariais com base no mérito e na experiência anterior na empresa. Possibilidade de horas extras: Horas extras podem estar disponíveis com pagamento de US$ 31,32"&amp;" a US$ 38,88 por hora. Benefícios: Passe de esqui, refeições durante o turno, 50% de desconto em alimentos e bebidas e 30% de desconto em compras na loja. Número de horas por semana: 35. Horário de trabalho (início/término): 7h às 15h30.")</f>
        <v>1. Preparar todos os alimentos conforme as instruções, de forma rápida e higiênica. 2. Executar os itens do cardápio na grelha, fritadeira e preparar sopas e outros pratos especiais. 3. Lavar, limpar, picar, cortar em cubos, ralar e fatiar uma variedade de carnes, aves, legumes e outros alimentos, colocando-os em recipientes adequados. 4. Compreender e cumprir consistentemente nossos padrões de porções, métodos de cozimento, padrões de qualidade e regras, políticas e procedimentos da cozinha. 5. Ter conhecimento e compreensão de como usar e manter adequadamente todos os equipamentos da estação. 6. Manter a estação de trabalho limpa e higienizada, incluindo mesas, prateleiras, paredes, grelhas, fritadeiras, queimadores e equipamentos de refrigeração. 7. Liderar a limpeza diária e a organização da linha de produção. 8. Conhecer e ser responsável pelos itens do Código de Saúde da Califórnia e verificar diariamente os registros de temperatura dos alimentos refrigerados e preparados. 9. Informar o Gerente de Cozinha ou o Chef sobre a falta de produtos, problemas com equipamentos ou com a qualidade dos alimentos. 10. Auxiliar e orientar outros cozinheiros e auxiliares de cozinha diariamente no preparo e em outras funções na cozinha. 11. Monitorar as práticas de higiene para garantir que os funcionários sigam os padrões e regulamentos. 12. Execução/desenvolvimento de receitas para a estação de refogados e despensa. 13. Auxiliar no fluxo de alimentos desde o momento da entrega até o momento em que são servidos aos nossos clientes. Levantar aproximadamente 23 kg regularmente. Capacidade de ficar em pé por longos períodos. Classificação do Cargo: 35-2014.00 - Cozinheiros, Restaurante. A classificação e descrição do cargo/setor inclui informações gerais sobre a posição de acordo com o ONET/OES e o Sistema de Classificação Industrial da América do Norte. Consulte as Funções e a Ordem de Serviço para obter mais informações. Requisitos do Cargo Experiência Necessária: Sim Meses de Experiência Necessários: 6 Requisitos Especiais: Deve possuir ou ser capaz de obter o Cartão de Manipulador de Alimentos da Califórnia (CA Food Handler Card) atual. 6 meses de experiência como cozinheiro ou na área culinária em um ambiente de alta gastronomia ou de grande volume em um restaurante sofisticado, resort ou clube privado são necessários. Treinamento no local de trabalho fornecido. Treinamento será oferecido. Dias e Turnos: Os seguintes turnos estão disponíveis 7 dias por semana, incluindo fins de semana e feriados. Horário de trabalho: das 7h às 15h30; das 9h às 17h30; das 11h às 19h30; das 15h às 23h30. Os horários dos turnos podem variar de acordo com a época do ano, a disponibilidade de luz e a necessidade. Salário por hora: Cargo com gorjetas, com salário garantido de US$ 20,88 a US$ 25,92 por hora. Possibilidade de aumento salarial: O Palisades Tahoe oferece aumentos salariais com base no mérito e na experiência anterior na empresa. Possibilidade de horas extras: Horas extras podem estar disponíveis com pagamento de US$ 31,32 a US$ 38,88 por hora. Benefícios: Passe de esqui, refeições durante o turno, 50% de desconto em alimentos e bebidas e 30% de desconto em compras na loja. Número de horas por semana: 35. Horário de trabalho (início/término): 7h às 15h30.</v>
      </c>
    </row>
    <row r="1988" ht="20.25" customHeight="1">
      <c r="A1988" s="3" t="s">
        <v>8920</v>
      </c>
      <c r="B1988" s="3" t="s">
        <v>8921</v>
      </c>
      <c r="C1988" s="3" t="s">
        <v>8465</v>
      </c>
      <c r="D1988" s="3" t="s">
        <v>1978</v>
      </c>
      <c r="E1988" s="4" t="s">
        <v>19</v>
      </c>
      <c r="F1988" s="4" t="s">
        <v>20</v>
      </c>
      <c r="G1988" s="4" t="s">
        <v>524</v>
      </c>
      <c r="H1988" s="3" t="s">
        <v>8922</v>
      </c>
      <c r="I1988" s="3" t="s">
        <v>8923</v>
      </c>
      <c r="J1988" s="4">
        <v>20.58</v>
      </c>
      <c r="K1988" s="4">
        <v>38.0</v>
      </c>
      <c r="L1988" s="3" t="s">
        <v>262</v>
      </c>
      <c r="M1988" s="3" t="s">
        <v>8924</v>
      </c>
      <c r="N1988" s="7" t="str">
        <f>IFERROR(__xludf.DUMMYFUNCTION("GOOGLETRANSLATE(L1988, ""en"", ""pt"")"),"Operário da construção civil")</f>
        <v>Operário da construção civil</v>
      </c>
      <c r="O1988" s="7" t="str">
        <f>IFERROR(__xludf.DUMMYFUNCTION("IF(M1988="""","""",GOOGLETRANSLATE(M1988,""en"",""pt""))"),"Executar trabalhos braçais gerais para apoiar as atividades de construção em canteiros de obras. As tarefas incluem preparar e manter as áreas de trabalho, limpando detritos, removendo riscos e organizando materiais e ferramentas. Carregar, descarregar e "&amp;"transportar materiais e suprimentos de construção. Auxiliar na remoção de materiais existentes e na limpeza das áreas de trabalho. Prestar apoio geral aos trabalhadores qualificados, manuseando materiais, posicionando suprimentos e mantendo o fluxo de tra"&amp;"balho conforme as instruções. Utilizar ferramentas manuais e elétricas básicas, conforme necessário. Manter o local de trabalho limpo, seguro e organizado, seguindo todos os procedimentos de segurança. Todas as tarefas são executadas sob supervisão e são "&amp;"relacionadas a trabalho braçal, não exigindo habilidades especializadas, certificação ou licença. Classificação da vaga: 47-2061.00 - Auxiliares de Construção. A classificação e descrição da vaga/setor incluem informações gerais sobre o cargo, de acordo c"&amp;"om o ONET/OES e o Sistema de Classificação Industrial da América do Norte (NAICS). Consulte as Funções e a Ordem de Serviço para obter mais informações. Requisitos da vaga: Experiência exigida: Sim. Meses de experiência exigidos: 3. Requisitos especiais: "&amp;"3 meses de experiência ou experiência relacionada. Número de horas por semana: 40. Horário de trabalho (início/término): 7h. - 16:00")</f>
        <v>Executar trabalhos braçais gerais para apoiar as atividades de construção em canteiros de obras. As tarefas incluem preparar e manter as áreas de trabalho, limpando detritos, removendo riscos e organizando materiais e ferramentas. Carregar, descarregar e transportar materiais e suprimentos de construção. Auxiliar na remoção de materiais existentes e na limpeza das áreas de trabalho. Prestar apoio geral aos trabalhadores qualificados, manuseando materiais, posicionando suprimentos e mantendo o fluxo de trabalho conforme as instruções. Utilizar ferramentas manuais e elétricas básicas, conforme necessário. Manter o local de trabalho limpo, seguro e organizado, seguindo todos os procedimentos de segurança. Todas as tarefas são executadas sob supervisão e são relacionadas a trabalho braçal, não exigindo habilidades especializadas, certificação ou licença. Classificação da vaga: 47-2061.00 - Auxiliares de Construção. A classificação e descrição da vaga/setor incluem informações gerais sobre o cargo, de acordo com o ONET/OES e o Sistema de Classificação Industrial da América do Norte (NAICS). Consulte as Funções e a Ordem de Serviço para obter mais informações. Requisitos da vaga: Experiência exigida: Sim. Meses de experiência exigidos: 3. Requisitos especiais: 3 meses de experiência ou experiência relacionada. Número de horas por semana: 40. Horário de trabalho (início/término): 7h. - 16:00</v>
      </c>
    </row>
    <row r="1989" ht="20.25" customHeight="1">
      <c r="A1989" s="8" t="s">
        <v>8925</v>
      </c>
      <c r="B1989" s="8" t="s">
        <v>8921</v>
      </c>
      <c r="C1989" s="8" t="s">
        <v>8465</v>
      </c>
      <c r="D1989" s="8" t="s">
        <v>1978</v>
      </c>
      <c r="E1989" s="9" t="s">
        <v>44</v>
      </c>
      <c r="F1989" s="9" t="s">
        <v>20</v>
      </c>
      <c r="G1989" s="9" t="s">
        <v>524</v>
      </c>
      <c r="H1989" s="8" t="s">
        <v>8922</v>
      </c>
      <c r="I1989" s="8" t="s">
        <v>8923</v>
      </c>
      <c r="J1989" s="9">
        <v>20.6</v>
      </c>
      <c r="K1989" s="9">
        <v>25.0</v>
      </c>
      <c r="L1989" s="8" t="s">
        <v>2752</v>
      </c>
      <c r="M1989" s="8" t="s">
        <v>8726</v>
      </c>
      <c r="N1989" s="7" t="str">
        <f>IFERROR(__xludf.DUMMYFUNCTION("GOOGLETRANSLATE(L1989, ""en"", ""pt"")"),"Ajudante de Telhador")</f>
        <v>Ajudante de Telhador</v>
      </c>
      <c r="O1989" s="7" t="str">
        <f>IFERROR(__xludf.DUMMYFUNCTION("IF(M1989="""","""",GOOGLETRANSLATE(M1989,""en"",""pt""))"),"Auxiliar os telhadistas na montagem e desmontagem de escadas, andaimes e outros equipamentos. Auxiliar os telhadistas em tarefas como aplicação de feltro para telhados, faixas de asfalto ou outros materiais. Limpar a área de trabalho e os equipamentos. Pr"&amp;"eparar a área de trabalho, removendo detritos e garantindo um ambiente de trabalho seguro. Classificação da função: 47-2181.00 - Telhadistas. A classificação e descrição da função/setor incluem informações gerais sobre o cargo, de acordo com o ONET/OES e "&amp;"o Sistema de Classificação Industrial da América do Norte (NAICS). Consulte as Funções e a Ordem de Serviço para obter mais informações. Requisitos da vaga: Experiência necessária: Sim. Meses de experiência necessários: 3. Requisitos especiais: 3 meses de"&amp;" experiência ou área relacionada. Número de horas por semana: 40. Horário de trabalho (início/término): 7h às 16h.")</f>
        <v>Auxiliar os telhadistas na montagem e desmontagem de escadas, andaimes e outros equipamentos. Auxiliar os telhadistas em tarefas como aplicação de feltro para telhados, faixas de asfalto ou outros materiais. Limpar a área de trabalho e os equipamentos. Preparar a área de trabalho, removendo detritos e garantindo um ambiente de trabalho seguro. Classificação da função: 47-2181.00 - Telhadistas. A classificação e descrição da função/setor incluem informações gerais sobre o cargo, de acordo com o ONET/OES e o Sistema de Classificação Industrial da América do Norte (NAICS). Consulte as Funções e a Ordem de Serviço para obter mais informações. Requisitos da vaga: Experiência necessária: Sim. Meses de experiência necessários: 3. Requisitos especiais: 3 meses de experiência ou área relacionada. Número de horas por semana: 40. Horário de trabalho (início/término): 7h às 16h.</v>
      </c>
    </row>
    <row r="1990" ht="20.25" customHeight="1">
      <c r="A1990" s="3" t="s">
        <v>8926</v>
      </c>
      <c r="B1990" s="3" t="s">
        <v>8927</v>
      </c>
      <c r="C1990" s="3" t="s">
        <v>8465</v>
      </c>
      <c r="D1990" s="3" t="s">
        <v>1978</v>
      </c>
      <c r="E1990" s="4" t="s">
        <v>19</v>
      </c>
      <c r="F1990" s="4" t="s">
        <v>20</v>
      </c>
      <c r="G1990" s="4" t="s">
        <v>384</v>
      </c>
      <c r="H1990" s="3" t="s">
        <v>8928</v>
      </c>
      <c r="I1990" s="3" t="s">
        <v>8929</v>
      </c>
      <c r="J1990" s="4">
        <v>20.82</v>
      </c>
      <c r="K1990" s="4">
        <v>24.0</v>
      </c>
      <c r="L1990" s="3" t="s">
        <v>2752</v>
      </c>
      <c r="M1990" s="3" t="s">
        <v>8726</v>
      </c>
      <c r="N1990" s="7" t="str">
        <f>IFERROR(__xludf.DUMMYFUNCTION("GOOGLETRANSLATE(L1990, ""en"", ""pt"")"),"Ajudante de Telhador")</f>
        <v>Ajudante de Telhador</v>
      </c>
      <c r="O1990" s="7" t="str">
        <f>IFERROR(__xludf.DUMMYFUNCTION("IF(M1990="""","""",GOOGLETRANSLATE(M1990,""en"",""pt""))"),"Auxiliar os telhadistas na montagem e desmontagem de escadas, andaimes e outros equipamentos. Auxiliar os telhadistas em tarefas como aplicação de feltro para telhados, faixas de asfalto ou outros materiais. Limpar a área de trabalho e os equipamentos. Pr"&amp;"eparar a área de trabalho, removendo detritos e garantindo um ambiente de trabalho seguro. Classificação da função: 47-2181.00 - Telhadistas. A classificação e descrição da função/setor incluem informações gerais sobre o cargo, de acordo com o ONET/OES e "&amp;"o Sistema de Classificação Industrial da América do Norte (NAICS). Consulte as Funções e a Ordem de Serviço para obter mais informações. Requisitos da vaga: Experiência necessária: Sim. Meses de experiência necessários: 3. Requisitos especiais: 3 meses de"&amp;" experiência ou área relacionada. Número de horas por semana: 40. Horário de trabalho (início/término): 7h às 16h.")</f>
        <v>Auxiliar os telhadistas na montagem e desmontagem de escadas, andaimes e outros equipamentos. Auxiliar os telhadistas em tarefas como aplicação de feltro para telhados, faixas de asfalto ou outros materiais. Limpar a área de trabalho e os equipamentos. Preparar a área de trabalho, removendo detritos e garantindo um ambiente de trabalho seguro. Classificação da função: 47-2181.00 - Telhadistas. A classificação e descrição da função/setor incluem informações gerais sobre o cargo, de acordo com o ONET/OES e o Sistema de Classificação Industrial da América do Norte (NAICS). Consulte as Funções e a Ordem de Serviço para obter mais informações. Requisitos da vaga: Experiência necessária: Sim. Meses de experiência necessários: 3. Requisitos especiais: 3 meses de experiência ou área relacionada. Número de horas por semana: 40. Horário de trabalho (início/término): 7h às 16h.</v>
      </c>
    </row>
    <row r="1991" ht="20.25" customHeight="1">
      <c r="A1991" s="8" t="s">
        <v>8930</v>
      </c>
      <c r="B1991" s="8" t="s">
        <v>8927</v>
      </c>
      <c r="C1991" s="8" t="s">
        <v>8465</v>
      </c>
      <c r="D1991" s="8" t="s">
        <v>1978</v>
      </c>
      <c r="E1991" s="9" t="s">
        <v>19</v>
      </c>
      <c r="F1991" s="9" t="s">
        <v>20</v>
      </c>
      <c r="G1991" s="9" t="s">
        <v>384</v>
      </c>
      <c r="H1991" s="8" t="s">
        <v>8928</v>
      </c>
      <c r="I1991" s="8" t="s">
        <v>8929</v>
      </c>
      <c r="J1991" s="9">
        <v>19.43</v>
      </c>
      <c r="K1991" s="9">
        <v>38.0</v>
      </c>
      <c r="L1991" s="8" t="s">
        <v>262</v>
      </c>
      <c r="M1991" s="8" t="s">
        <v>8924</v>
      </c>
      <c r="N1991" s="7" t="str">
        <f>IFERROR(__xludf.DUMMYFUNCTION("GOOGLETRANSLATE(L1991, ""en"", ""pt"")"),"Operário da construção civil")</f>
        <v>Operário da construção civil</v>
      </c>
      <c r="O1991" s="7" t="str">
        <f>IFERROR(__xludf.DUMMYFUNCTION("IF(M1991="""","""",GOOGLETRANSLATE(M1991,""en"",""pt""))"),"Executar trabalhos braçais gerais para apoiar as atividades de construção em canteiros de obras. As tarefas incluem preparar e manter as áreas de trabalho, limpando detritos, removendo riscos e organizando materiais e ferramentas. Carregar, descarregar e "&amp;"transportar materiais e suprimentos de construção. Auxiliar na remoção de materiais existentes e na limpeza das áreas de trabalho. Prestar apoio geral aos trabalhadores qualificados, manuseando materiais, posicionando suprimentos e mantendo o fluxo de tra"&amp;"balho conforme as instruções. Utilizar ferramentas manuais e elétricas básicas, conforme necessário. Manter o local de trabalho limpo, seguro e organizado, seguindo todos os procedimentos de segurança. Todas as tarefas são executadas sob supervisão e são "&amp;"relacionadas a trabalho braçal, não exigindo habilidades especializadas, certificação ou licença. Classificação da vaga: 47-2061.00 - Auxiliares de Construção. A classificação e descrição da vaga/setor incluem informações gerais sobre o cargo, de acordo c"&amp;"om o ONET/OES e o Sistema de Classificação Industrial da América do Norte (NAICS). Consulte as Funções e a Ordem de Serviço para obter mais informações. Requisitos da vaga: Experiência exigida: Sim. Meses de experiência exigidos: 3. Requisitos especiais: "&amp;"3 meses de experiência ou experiência relacionada. Número de horas por semana: 40. Horário de trabalho (início/término): 7h. - 16:00")</f>
        <v>Executar trabalhos braçais gerais para apoiar as atividades de construção em canteiros de obras. As tarefas incluem preparar e manter as áreas de trabalho, limpando detritos, removendo riscos e organizando materiais e ferramentas. Carregar, descarregar e transportar materiais e suprimentos de construção. Auxiliar na remoção de materiais existentes e na limpeza das áreas de trabalho. Prestar apoio geral aos trabalhadores qualificados, manuseando materiais, posicionando suprimentos e mantendo o fluxo de trabalho conforme as instruções. Utilizar ferramentas manuais e elétricas básicas, conforme necessário. Manter o local de trabalho limpo, seguro e organizado, seguindo todos os procedimentos de segurança. Todas as tarefas são executadas sob supervisão e são relacionadas a trabalho braçal, não exigindo habilidades especializadas, certificação ou licença. Classificação da vaga: 47-2061.00 - Auxiliares de Construção. A classificação e descrição da vaga/setor incluem informações gerais sobre o cargo, de acordo com o ONET/OES e o Sistema de Classificação Industrial da América do Norte (NAICS). Consulte as Funções e a Ordem de Serviço para obter mais informações. Requisitos da vaga: Experiência exigida: Sim. Meses de experiência exigidos: 3. Requisitos especiais: 3 meses de experiência ou experiência relacionada. Número de horas por semana: 40. Horário de trabalho (início/término): 7h. - 16:00</v>
      </c>
    </row>
    <row r="1992" ht="20.25" customHeight="1">
      <c r="A1992" s="3" t="s">
        <v>8931</v>
      </c>
      <c r="B1992" s="3" t="s">
        <v>8932</v>
      </c>
      <c r="C1992" s="3" t="s">
        <v>8451</v>
      </c>
      <c r="D1992" s="3" t="s">
        <v>79</v>
      </c>
      <c r="E1992" s="4" t="s">
        <v>19</v>
      </c>
      <c r="F1992" s="4" t="s">
        <v>20</v>
      </c>
      <c r="G1992" s="4" t="s">
        <v>377</v>
      </c>
      <c r="H1992" s="3" t="s">
        <v>8933</v>
      </c>
      <c r="I1992" s="3" t="s">
        <v>8934</v>
      </c>
      <c r="J1992" s="4">
        <v>20.94</v>
      </c>
      <c r="K1992" s="4">
        <v>15.0</v>
      </c>
      <c r="L1992" s="3" t="s">
        <v>1054</v>
      </c>
      <c r="M1992" s="3" t="s">
        <v>8935</v>
      </c>
      <c r="N1992" s="7" t="str">
        <f>IFERROR(__xludf.DUMMYFUNCTION("GOOGLETRANSLATE(L1992, ""en"", ""pt"")"),"Trabalhador Florestal e de Conservação")</f>
        <v>Trabalhador Florestal e de Conservação</v>
      </c>
      <c r="O1992" s="7" t="str">
        <f>IFERROR(__xludf.DUMMYFUNCTION("IF(M1992="""","""",GOOGLETRANSLATE(M1992,""en"",""pt""))"),"As funções do cargo incluem: sob supervisão, realizar trabalho manual necessário para a manutenção e proteção de áreas florestais e florestas; plantar mudas para reflorestamento, cavar covas para as mudas, compactar o solo ao redor das mudas com ferrament"&amp;"a de plantio e garantir a manutenção da vegetação plantada por meio de pulverização/limpeza/cobertura com rede/desbaste da vegetação circundante; realizar outras tarefas, incluindo desbaste pré-comercial, limpeza/empilhamento de arbustos, corte de árvores"&amp;" indesejáveis ​​ou mortas e manutenção de reflorestamento. Classificação do Cargo: 45-4011.00 - Trabalhadores Florestais e de Conservação. A classificação e descrição do cargo/setor inclui informações gerais sobre a posição, de acordo com o ONET/OES e o S"&amp;"istema de Classificação Industrial da América do Norte. Consulte as Funções e a Ordem de Serviço para obter mais informações. Requisitos do Cargo Experiência Necessária: Sim Meses de Experiência Necessários: 3 Requisitos Especiais: Os funcionários devem e"&amp;"star disponíveis para trabalhar durante toda a temporada e em todos os locais de trabalho; os funcionários devem ser capazes de carregar até 23 kg; os funcionários devem apresentar comprovante de autorização legal para trabalhar nos EUA; zona de trabalho "&amp;"livre de drogas e álcool. O teste antidrogas/alcool pré-admissional será realizado às custas do empregador; o alojamento opcional fornecido pelo empregador é gratuito. Número de horas por semana: 40. Horário de trabalho (início/término): 7h00 - 15h30.")</f>
        <v>As funções do cargo incluem: sob supervisão, realizar trabalho manual necessário para a manutenção e proteção de áreas florestais e florestas; plantar mudas para reflorestamento, cavar covas para as mudas, compactar o solo ao redor das mudas com ferramenta de plantio e garantir a manutenção da vegetação plantada por meio de pulverização/limpeza/cobertura com rede/desbaste da vegetação circundante; realizar outras tarefas, incluindo desbaste pré-comercial, limpeza/empilhamento de arbustos, corte de árvores indesejáveis ​​ou mortas e manutenção de reflorestamento. Classificação do Cargo: 45-4011.00 - Trabalhadores Florestais e de Conservação. A classificação e descrição do cargo/setor inclui informações gerais sobre a posição, de acordo com o ONET/OES e o Sistema de Classificação Industrial da América do Norte. Consulte as Funções e a Ordem de Serviço para obter mais informações. Requisitos do Cargo Experiência Necessária: Sim Meses de Experiência Necessários: 3 Requisitos Especiais: Os funcionários devem estar disponíveis para trabalhar durante toda a temporada e em todos os locais de trabalho; os funcionários devem ser capazes de carregar até 23 kg; os funcionários devem apresentar comprovante de autorização legal para trabalhar nos EUA; zona de trabalho livre de drogas e álcool. O teste antidrogas/alcool pré-admissional será realizado às custas do empregador; o alojamento opcional fornecido pelo empregador é gratuito. Número de horas por semana: 40. Horário de trabalho (início/término): 7h00 - 15h30.</v>
      </c>
    </row>
    <row r="1993" ht="20.25" customHeight="1">
      <c r="A1993" s="8" t="s">
        <v>8936</v>
      </c>
      <c r="B1993" s="8" t="s">
        <v>8937</v>
      </c>
      <c r="C1993" s="8" t="s">
        <v>7431</v>
      </c>
      <c r="D1993" s="8" t="s">
        <v>71</v>
      </c>
      <c r="E1993" s="9" t="s">
        <v>19</v>
      </c>
      <c r="F1993" s="9" t="s">
        <v>20</v>
      </c>
      <c r="G1993" s="9" t="s">
        <v>8938</v>
      </c>
      <c r="H1993" s="8" t="s">
        <v>8939</v>
      </c>
      <c r="I1993" s="8" t="s">
        <v>8940</v>
      </c>
      <c r="J1993" s="9">
        <v>16.65</v>
      </c>
      <c r="K1993" s="9">
        <v>1.0</v>
      </c>
      <c r="L1993" s="8" t="s">
        <v>387</v>
      </c>
      <c r="M1993" s="8" t="s">
        <v>8941</v>
      </c>
      <c r="N1993" s="7" t="str">
        <f>IFERROR(__xludf.DUMMYFUNCTION("GOOGLETRANSLATE(L1993, ""en"", ""pt"")"),"Ordem de serviço não disponível")</f>
        <v>Ordem de serviço não disponível</v>
      </c>
      <c r="O1993" s="7" t="str">
        <f>IFERROR(__xludf.DUMMYFUNCTION("IF(M1993="""","""",GOOGLETRANSLATE(M1993,""en"",""pt""))"),"Preparar, servir e alimentar duas crianças pequenas com lanches e refeições nutricionalmente balanceadas. Colocar as crianças para dormir e regular os períodos de descanso e os horários das sonecas. Vestir as crianças ou ajudá-las a se vestir. Envolver as"&amp;" crianças em atividades apropriadas para a idade, como brincar no colo, ler, praticar esportes, artes e artesanato e brincadeiras ao ar livre para promover seu desenvolvimento físico e intelectual. Colaborar com os pais para implementar programas de disci"&amp;"plina que incentivem comportamentos desejáveis. Instruir e auxiliar as crianças no desenvolvimento de hábitos pessoais saudáveis, como comer, escovar os dentes e usar o banheiro. Servir de modelo para comportamentos sociais apropriados e promover a empati"&amp;"a para apoiar o desenvolvimento de habilidades interpessoais e de comunicação. Supervisionar tarefas domésticas apropriadas para a idade e reforçar positivamente os comportamentos desejados para construir autocontrole, autoconfiança e senso de responsabil"&amp;"idade. Remover possíveis perigos e estabelecer limites e regras domésticas apropriadas para garantir um ambiente seguro. Prestar primeiros socorros quando necessário. Observar o comportamento das crianças em busca de sinais de doença ou irregularidades, a"&amp;"ferir a temperatura e administrar medicamentos conforme as instruções para apoiar sua saúde e bem-estar. Realizar tarefas domésticas e de limpeza relacionadas aos cuidados com as crianças. Incentivar o bom comportamento ao brincar com os animais de estima"&amp;"ção da casa e envolver as crianças em atividades relacionadas aos animais. Transportar as crianças para atividades, passeios sociais e consultas médicas. Fazer compras de supermercado, roupas e outros itens necessários para os cuidados das crianças. Todas"&amp;" as tarefas serão realizadas em um ambiente residencial privado. Classificação da vaga: 39-9011.01 - Babás. A classificação e descrição da vaga/setor incluem informações gerais sobre o cargo, de acordo com o ONET/OES e o Sistema de Classificação Industria"&amp;"l da América do Norte. Consulte as Funções e a Ordem de Serviço para obter mais informações. Requisitos da vaga: Experiência necessária: Sim. Meses de experiência necessários: 12. Requisitos especiais: Mínimo de 12 meses de experiência como babá ou cuidad"&amp;"or(a) de crianças. Conhecimento básico de inglês. Capacidade de levantar e carregar pesos suficientes para movimentar equipamentos e materiais necessários para a execução das tarefas designadas. Capacidade de permanecer em pé durante todo o turno. Habilid"&amp;"ade para praticar esportes e brincadeiras ativas com as crianças. Uso de eletrodomésticos, máquinas de lavar roupa e veículo da casa. Possuir ou estar apto(a) a obter uma carteira de habilitação válida. 42 horas por semana, 6 dias por semana. O horário po"&amp;"de variar e incluir noites, fins de semana ou feriados, conforme necessário. O empregador se baseará nas declarações e observações do próprio trabalhador para avaliar se ele atende aos requisitos de capacidade física, como levantar peso, ficar em pé e out"&amp;"ros, conforme descrito aqui. Número de horas por semana: 42. Horário de trabalho (início/término): 9h às 18h.")</f>
        <v>Preparar, servir e alimentar duas crianças pequenas com lanches e refeições nutricionalmente balanceadas. Colocar as crianças para dormir e regular os períodos de descanso e os horários das sonecas. Vestir as crianças ou ajudá-las a se vestir. Envolver as crianças em atividades apropriadas para a idade, como brincar no colo, ler, praticar esportes, artes e artesanato e brincadeiras ao ar livre para promover seu desenvolvimento físico e intelectual. Colaborar com os pais para implementar programas de disciplina que incentivem comportamentos desejáveis. Instruir e auxiliar as crianças no desenvolvimento de hábitos pessoais saudáveis, como comer, escovar os dentes e usar o banheiro. Servir de modelo para comportamentos sociais apropriados e promover a empatia para apoiar o desenvolvimento de habilidades interpessoais e de comunicação. Supervisionar tarefas domésticas apropriadas para a idade e reforçar positivamente os comportamentos desejados para construir autocontrole, autoconfiança e senso de responsabilidade. Remover possíveis perigos e estabelecer limites e regras domésticas apropriadas para garantir um ambiente seguro. Prestar primeiros socorros quando necessário. Observar o comportamento das crianças em busca de sinais de doença ou irregularidades, aferir a temperatura e administrar medicamentos conforme as instruções para apoiar sua saúde e bem-estar. Realizar tarefas domésticas e de limpeza relacionadas aos cuidados com as crianças. Incentivar o bom comportamento ao brincar com os animais de estimação da casa e envolver as crianças em atividades relacionadas aos animais. Transportar as crianças para atividades, passeios sociais e consultas médicas. Fazer compras de supermercado, roupas e outros itens necessários para os cuidados das crianças. Todas as tarefas serão realizadas em um ambiente residencial privado. Classificação da vaga: 39-9011.01 - Babás. A classificação e descrição da vaga/setor incluem informações gerais sobre o cargo, de acordo com o ONET/OES e o Sistema de Classificação Industrial da América do Norte. Consulte as Funções e a Ordem de Serviço para obter mais informações. Requisitos da vaga: Experiência necessária: Sim. Meses de experiência necessários: 12. Requisitos especiais: Mínimo de 12 meses de experiência como babá ou cuidador(a) de crianças. Conhecimento básico de inglês. Capacidade de levantar e carregar pesos suficientes para movimentar equipamentos e materiais necessários para a execução das tarefas designadas. Capacidade de permanecer em pé durante todo o turno. Habilidade para praticar esportes e brincadeiras ativas com as crianças. Uso de eletrodomésticos, máquinas de lavar roupa e veículo da casa. Possuir ou estar apto(a) a obter uma carteira de habilitação válida. 42 horas por semana, 6 dias por semana. O horário pode variar e incluir noites, fins de semana ou feriados, conforme necessário. O empregador se baseará nas declarações e observações do próprio trabalhador para avaliar se ele atende aos requisitos de capacidade física, como levantar peso, ficar em pé e outros, conforme descrito aqui. Número de horas por semana: 42. Horário de trabalho (início/término): 9h às 18h.</v>
      </c>
    </row>
    <row r="1994" ht="20.25" customHeight="1">
      <c r="A1994" s="3" t="s">
        <v>8942</v>
      </c>
      <c r="B1994" s="3" t="s">
        <v>8943</v>
      </c>
      <c r="C1994" s="3" t="s">
        <v>7431</v>
      </c>
      <c r="D1994" s="3" t="s">
        <v>71</v>
      </c>
      <c r="E1994" s="4" t="s">
        <v>19</v>
      </c>
      <c r="F1994" s="4" t="s">
        <v>20</v>
      </c>
      <c r="G1994" s="4" t="s">
        <v>345</v>
      </c>
      <c r="H1994" s="3" t="s">
        <v>8944</v>
      </c>
      <c r="I1994" s="3" t="s">
        <v>8945</v>
      </c>
      <c r="J1994" s="4">
        <v>21.42</v>
      </c>
      <c r="K1994" s="4">
        <v>10.0</v>
      </c>
      <c r="L1994" s="3" t="s">
        <v>8946</v>
      </c>
      <c r="M1994" s="3" t="s">
        <v>8947</v>
      </c>
      <c r="N1994" s="7" t="str">
        <f>IFERROR(__xludf.DUMMYFUNCTION("GOOGLETRANSLATE(L1994, ""en"", ""pt"")"),"Manutenção de hotéis fora de temporada")</f>
        <v>Manutenção de hotéis fora de temporada</v>
      </c>
      <c r="O1994" s="7" t="str">
        <f>IFERROR(__xludf.DUMMYFUNCTION("IF(M1994="""","""",GOOGLETRANSLATE(M1994,""en"",""pt""))"),"Oferecerá treinamento para a execução de uma combinação de tarefas de manutenção, modernização e reforma das instalações do hotel durante a baixa temporada, incluindo sistemas de climatização (HVAC), hidráulica, gás, elétrica, combate a incêndio e seguran"&amp;"ça, além de máquinas e equipamentos. As tarefas incluem: utilizar ferramentas manuais e elétricas, instrumentos de medição e outros materiais para instalar, ajustar, modernizar e reparar móveis, máquinas, acessórios e estruturas; realizar limpeza profunda"&amp;", inspeções e pequenos reparos em equipamentos e acessórios, como a troca de fluidos, lâmpadas e filtros de climatização; montar, instalar, modernizar ou reparar fiação, componentes elétricos ou eletrônicos e máquinas; realizar pequenos reparos hidráulico"&amp;"s, como desentupir canos, solucionar vazamentos e problemas de baixa pressão da água; diagnosticar problemas mecânicos e determinar os reparos ou soluções necessários; realizar limpeza profunda e lavagem de alta pressão em áreas externas; manter e melhora"&amp;"r jardins e áreas externas; pintar e reparar acessórios, calçadas, escadas, acabamentos e outras instalações; executar pequenas tarefas de carpintaria ou alvenaria; restaurar ou reparar móveis, peças de madeira e outros elementos internos; mover móveis co"&amp;"nforme necessário dentro da propriedade; e coordenar projetos de reforma, manutenção preventiva e reparos. Os componentes de máquinas e elétricos/eletrônicos incluem: unidades de climatização (ventiladores, condensadores, termostatos), eletrodomésticos de"&amp;" cozinha e lavanderia, máquinas de gelo, exaustores, luminárias, reatores, tomadas, interruptores, disjuntores e detectores de fumaça. Tarefas: apertar conexões; substituir fusíveis, reatores, lâmpadas, interruptores, tomadas e filtros; rearmar disjuntore"&amp;"s; e limpar serpentinas. Ferramentas: multímetro, testador de voltagem, chaves de fenda, alicates, furadeira, conectores de fio e fita isolante. A limpeza profunda inclui: remoção de cera e aplicação de cera em pisos; lavagem de carpetes; limpeza de dutos"&amp;" de ar condicionado e superfícies de alto contato; remoção de incrustações de acessórios de banheiro; desengorduramento de equipamentos de cozinha; remoção de detritos da superfície da piscina e enxágue dos cestos do filtro; e lavagem com lavadora de alta"&amp;" pressão de calçadas, varandas, decks de piscina e áreas de estacionamento. Ferramentas: lavadora de alta pressão, enceradeira, extratora de carpetes, esfregão, escovas, rede para piscina, panos de microfibra, escadas e produtos químicos de limpeza. A man"&amp;"utenção de equipamentos de piscina (bombas, motores, balanceamento químico) é realizada por um técnico de piscinas licenciado, não pelo funcionário. Tarefas de jardinagem e externas: capinar; recolher folhas; espalhar cobertura morta; regar; e limpar detr"&amp;"itos de calçadas e decks de piscina. Ferramentas: soprador de folhas, ancinho, pá, carrinho de mão, mangueira e cobertura morta. Tarefas de pintura: raspar tinta solta; lixar; preencher rachaduras com massa corrida ou selante; aplicar primer; e aplicar ti"&amp;"nta interna e externa em paredes, tetos, rodapés, portas, corrimãos, escadas, calçadas e linhas de estacionamento. Ferramentas: pincéis, rolos, bandejas, lonas de proteção, fita adesiva, escadas, raspadores, lixa, massa corrida, selante, primer, tinta e p"&amp;"ulverizador. Pequenos trabalhos de carpintaria: medir, cortar e instalar rodapés, guarnições e prateleiras; consertar juntas de móveis. Pequenos trabalhos de alvenaria: remendar rachaduras em calçadas de concreto, escadas e decks de piscina; substituir az"&amp;"ulejos; e rejuntar. Ferramentas: martelo, serras manuais e circulares, furadeira, parafusos, pregos, nível, desempenadeira, espátula de rejunte, azulejos, rejunte, argamassa e massa para reparos. Transferência de mobiliário: movimentação de móveis de quar"&amp;"tos e áreas comuns (camas, colchões, mesas de cabeceira, cômodas, sofás, cadeiras, mesas) entre quartos, andares e depósitos. Ferramentas: carrinho de transporte, carrinho de mão, cintas e cobertores. Movimentação em equipe com colegas de trabalho. Coorde"&amp;"nação refere-se ao sequenciamento das tarefas do próprio trabalhador dentro dos projetos dirigidos pelo Engenheiro Chefe. Tarefas: revisar listas de tarefas; reunir ferramentas e materiais; concluir o trabalho atribuído na ordem definida pelo Engenheiro C"&amp;"hefe; relatar o progresso e os problemas; e auxiliar os colegas de trabalho. O trabalhador não tem autonomia para tomar decisões sobre o escopo do projeto, orçamento ou seleção de fornecedores, e não possui responsabilidades de supervisão. Classificação d"&amp;"a função: 49-9071.00 - Trabalhadores de Manutenção e Reparo, Geral. A classificação e descrição da função/setor inclui informações gerais sobre o cargo, provenientes do ONET/OES e do Sistema de Classificação Industrial da América do Norte (NAICS). Consult"&amp;"e a Descrição das Funções e a Ordem de Serviço para obter mais informações. Requisitos da Vaga Experiência Necessária: Sim Meses de Experiência Necessária: 6 Requisitos Especiais: Mínimo de 6 meses de experiência em manutenção. Deve ser capaz de levantar "&amp;"e carregar peso suficiente para movimentar equipamentos e materiais necessários para a execução das tarefas designadas. Conhecimento básico de inglês falado. Capacidade de permanecer em pé durante todo o turno. Utilização de ferramentas de manutenção pred"&amp;"ial, ferramentas manuais e elétricas, instrumentos de medição e veículos da empresa. 40 horas semanais, 5 dias por semana. O horário de trabalho pode variar e incluir noites, fins de semana ou feriados, conforme necessário. O empregador se baseará nas dec"&amp;"larações e observações do próprio trabalhador para avaliar se ele atende aos requisitos de capacidade física, como levantar e ficar em pé, conforme descrito neste documento. Número de Horas por Semana: 40 Horário de Trabalho (Início/Término): 9h às 18h")</f>
        <v>Oferecerá treinamento para a execução de uma combinação de tarefas de manutenção, modernização e reforma das instalações do hotel durante a baixa temporada, incluindo sistemas de climatização (HVAC), hidráulica, gás, elétrica, combate a incêndio e segurança, além de máquinas e equipamentos. As tarefas incluem: utilizar ferramentas manuais e elétricas, instrumentos de medição e outros materiais para instalar, ajustar, modernizar e reparar móveis, máquinas, acessórios e estruturas; realizar limpeza profunda, inspeções e pequenos reparos em equipamentos e acessórios, como a troca de fluidos, lâmpadas e filtros de climatização; montar, instalar, modernizar ou reparar fiação, componentes elétricos ou eletrônicos e máquinas; realizar pequenos reparos hidráulicos, como desentupir canos, solucionar vazamentos e problemas de baixa pressão da água; diagnosticar problemas mecânicos e determinar os reparos ou soluções necessários; realizar limpeza profunda e lavagem de alta pressão em áreas externas; manter e melhorar jardins e áreas externas; pintar e reparar acessórios, calçadas, escadas, acabamentos e outras instalações; executar pequenas tarefas de carpintaria ou alvenaria; restaurar ou reparar móveis, peças de madeira e outros elementos internos; mover móveis conforme necessário dentro da propriedade; e coordenar projetos de reforma, manutenção preventiva e reparos. Os componentes de máquinas e elétricos/eletrônicos incluem: unidades de climatização (ventiladores, condensadores, termostatos), eletrodomésticos de cozinha e lavanderia, máquinas de gelo, exaustores, luminárias, reatores, tomadas, interruptores, disjuntores e detectores de fumaça. Tarefas: apertar conexões; substituir fusíveis, reatores, lâmpadas, interruptores, tomadas e filtros; rearmar disjuntores; e limpar serpentinas. Ferramentas: multímetro, testador de voltagem, chaves de fenda, alicates, furadeira, conectores de fio e fita isolante. A limpeza profunda inclui: remoção de cera e aplicação de cera em pisos; lavagem de carpetes; limpeza de dutos de ar condicionado e superfícies de alto contato; remoção de incrustações de acessórios de banheiro; desengorduramento de equipamentos de cozinha; remoção de detritos da superfície da piscina e enxágue dos cestos do filtro; e lavagem com lavadora de alta pressão de calçadas, varandas, decks de piscina e áreas de estacionamento. Ferramentas: lavadora de alta pressão, enceradeira, extratora de carpetes, esfregão, escovas, rede para piscina, panos de microfibra, escadas e produtos químicos de limpeza. A manutenção de equipamentos de piscina (bombas, motores, balanceamento químico) é realizada por um técnico de piscinas licenciado, não pelo funcionário. Tarefas de jardinagem e externas: capinar; recolher folhas; espalhar cobertura morta; regar; e limpar detritos de calçadas e decks de piscina. Ferramentas: soprador de folhas, ancinho, pá, carrinho de mão, mangueira e cobertura morta. Tarefas de pintura: raspar tinta solta; lixar; preencher rachaduras com massa corrida ou selante; aplicar primer; e aplicar tinta interna e externa em paredes, tetos, rodapés, portas, corrimãos, escadas, calçadas e linhas de estacionamento. Ferramentas: pincéis, rolos, bandejas, lonas de proteção, fita adesiva, escadas, raspadores, lixa, massa corrida, selante, primer, tinta e pulverizador. Pequenos trabalhos de carpintaria: medir, cortar e instalar rodapés, guarnições e prateleiras; consertar juntas de móveis. Pequenos trabalhos de alvenaria: remendar rachaduras em calçadas de concreto, escadas e decks de piscina; substituir azulejos; e rejuntar. Ferramentas: martelo, serras manuais e circulares, furadeira, parafusos, pregos, nível, desempenadeira, espátula de rejunte, azulejos, rejunte, argamassa e massa para reparos. Transferência de mobiliário: movimentação de móveis de quartos e áreas comuns (camas, colchões, mesas de cabeceira, cômodas, sofás, cadeiras, mesas) entre quartos, andares e depósitos. Ferramentas: carrinho de transporte, carrinho de mão, cintas e cobertores. Movimentação em equipe com colegas de trabalho. Coordenação refere-se ao sequenciamento das tarefas do próprio trabalhador dentro dos projetos dirigidos pelo Engenheiro Chefe. Tarefas: revisar listas de tarefas; reunir ferramentas e materiais; concluir o trabalho atribuído na ordem definida pelo Engenheiro Chefe; relatar o progresso e os problemas; e auxiliar os colegas de trabalho. O trabalhador não tem autonomia para tomar decisões sobre o escopo do projeto, orçamento ou seleção de fornecedores, e não possui responsabilidades de supervisão. Classificação da função: 49-9071.00 - Trabalhadores de Manutenção e Reparo, Geral. A classificação e descrição da função/setor inclui informações gerais sobre o cargo, provenientes do ONET/OES e do Sistema de Classificação Industrial da América do Norte (NAICS). Consulte a Descrição das Funções e a Ordem de Serviço para obter mais informações. Requisitos da Vaga Experiência Necessária: Sim Meses de Experiência Necessária: 6 Requisitos Especiais: Mínimo de 6 meses de experiência em manutenção. Deve ser capaz de levantar e carregar peso suficiente para movimentar equipamentos e materiais necessários para a execução das tarefas designadas. Conhecimento básico de inglês falado. Capacidade de permanecer em pé durante todo o turno. Utilização de ferramentas de manutenção predial, ferramentas manuais e elétricas, instrumentos de medição e veículos da empresa. 40 horas semanais, 5 dias por semana. O horário de trabalho pode variar e incluir noites, fins de semana ou feriados, conforme necessário. O empregador se baseará nas declarações e observações do próprio trabalhador para avaliar se ele atende aos requisitos de capacidade física, como levantar e ficar em pé, conforme descrito neste documento. Número de Horas por Semana: 40 Horário de Trabalho (Início/Término): 9h às 18h</v>
      </c>
    </row>
    <row r="1995" ht="20.25" customHeight="1">
      <c r="A1995" s="8" t="s">
        <v>8948</v>
      </c>
      <c r="B1995" s="8" t="s">
        <v>8949</v>
      </c>
      <c r="C1995" s="8" t="s">
        <v>8706</v>
      </c>
      <c r="D1995" s="8" t="s">
        <v>249</v>
      </c>
      <c r="E1995" s="9" t="s">
        <v>19</v>
      </c>
      <c r="F1995" s="9" t="s">
        <v>20</v>
      </c>
      <c r="G1995" s="9" t="s">
        <v>212</v>
      </c>
      <c r="H1995" s="8" t="s">
        <v>8950</v>
      </c>
      <c r="I1995" s="8" t="s">
        <v>8951</v>
      </c>
      <c r="J1995" s="9">
        <v>24.49</v>
      </c>
      <c r="K1995" s="9">
        <v>9.0</v>
      </c>
      <c r="L1995" s="8" t="s">
        <v>8709</v>
      </c>
      <c r="M1995" s="8" t="s">
        <v>8952</v>
      </c>
      <c r="N1995" s="7" t="str">
        <f>IFERROR(__xludf.DUMMYFUNCTION("GOOGLETRANSLATE(L1995, ""en"", ""pt"")"),"Trabalhador de inverno")</f>
        <v>Trabalhador de inverno</v>
      </c>
      <c r="O1995" s="7" t="str">
        <f>IFERROR(__xludf.DUMMYFUNCTION("IF(M1995="""","""",GOOGLETRANSLATE(M1995,""en"",""pt""))"),"Remoção de neve manual com pá, arado de neve, espalhamento de sal manual e com caminhão, poda de plantas perenes, instalação e remoção de decorações sazonais para clientes residenciais. Manutenção dos equipamentos para garantir o funcionamento adequado. P"&amp;"reparação dos equipamentos de verão para o inverno e para a primavera. Os funcionários realizarão as seguintes tarefas de remoção de neve: removerão a neve manualmente com pás e/ou com um soprador de neve manual; removerão a neve de calçadas, entradas de "&amp;"garagem e passeios em propriedades residenciais e comerciais; e removerão a neve em frente às garagens com pás. Informamos que os funcionários NÃO utilizarão caminhão com arado para remover a neve. A remoção de neve será feita apenas manualmente, com pás "&amp;"e sopradores de neve manuais. Quanto à aplicação de sal, os funcionários o farão manualmente e com o auxílio de um caminhão de sal. Note que o caminhão de sal não possui lâmina de arado e não será utilizado para arar a neve. O sal será aplicado em proprie"&amp;"dades residenciais e comerciais, em calçadas, entradas de garagem e caminhos. Em relação à instalação/remoção de decorações natalinas, os funcionários instalarão luzes sazonais externas, guirlandas, coroas de flores, enfeites e luzes para árvores e decora"&amp;"ções removíveis de jardim, como enfeites de Natal, presépios e animais. Classificação da Função: 49-9099.00 - Trabalhadores de Instalação, Manutenção e Reparo, Outros. A classificação e descrição da função/setor inclui informações gerais sobre o cargo, de"&amp;" acordo com o ONET/OES e o Sistema de Classificação Industrial da América do Norte (NAICS). Consulte as Funções e a Ordem de Serviço para obter mais informações. Requisitos da Função: Experiência Necessária: Não. Requisitos Especiais: Capacidade de levant"&amp;"ar/carregar 23 kg. Exames aleatórios de drogas/álcool e verificação de antecedentes criminais pagos pelo empregador. Número de horas por semana: 40. Horário de trabalho (início/término): 8h às 16h.")</f>
        <v>Remoção de neve manual com pá, arado de neve, espalhamento de sal manual e com caminhão, poda de plantas perenes, instalação e remoção de decorações sazonais para clientes residenciais. Manutenção dos equipamentos para garantir o funcionamento adequado. Preparação dos equipamentos de verão para o inverno e para a primavera. Os funcionários realizarão as seguintes tarefas de remoção de neve: removerão a neve manualmente com pás e/ou com um soprador de neve manual; removerão a neve de calçadas, entradas de garagem e passeios em propriedades residenciais e comerciais; e removerão a neve em frente às garagens com pás. Informamos que os funcionários NÃO utilizarão caminhão com arado para remover a neve. A remoção de neve será feita apenas manualmente, com pás e sopradores de neve manuais. Quanto à aplicação de sal, os funcionários o farão manualmente e com o auxílio de um caminhão de sal. Note que o caminhão de sal não possui lâmina de arado e não será utilizado para arar a neve. O sal será aplicado em propriedades residenciais e comerciais, em calçadas, entradas de garagem e caminhos. Em relação à instalação/remoção de decorações natalinas, os funcionários instalarão luzes sazonais externas, guirlandas, coroas de flores, enfeites e luzes para árvores e decorações removíveis de jardim, como enfeites de Natal, presépios e animais. Classificação da Função: 49-9099.00 - Trabalhadores de Instalação, Manutenção e Reparo, Outros. A classificação e descrição da função/setor inclui informações gerais sobre o cargo, de acordo com o ONET/OES e o Sistema de Classificação Industrial da América do Norte (NAICS). Consulte as Funções e a Ordem de Serviço para obter mais informações. Requisitos da Função: Experiência Necessária: Não. Requisitos Especiais: Capacidade de levantar/carregar 23 kg. Exames aleatórios de drogas/álcool e verificação de antecedentes criminais pagos pelo empregador. Número de horas por semana: 40. Horário de trabalho (início/término): 8h às 16h.</v>
      </c>
    </row>
    <row r="1996" ht="20.25" customHeight="1">
      <c r="A1996" s="3" t="s">
        <v>8953</v>
      </c>
      <c r="B1996" s="3" t="s">
        <v>8954</v>
      </c>
      <c r="C1996" s="3" t="s">
        <v>4247</v>
      </c>
      <c r="D1996" s="3" t="s">
        <v>64</v>
      </c>
      <c r="E1996" s="4" t="s">
        <v>19</v>
      </c>
      <c r="F1996" s="4" t="s">
        <v>20</v>
      </c>
      <c r="G1996" s="4" t="s">
        <v>1829</v>
      </c>
      <c r="H1996" s="3" t="s">
        <v>8955</v>
      </c>
      <c r="I1996" s="3" t="s">
        <v>8956</v>
      </c>
      <c r="J1996" s="4">
        <v>28.53</v>
      </c>
      <c r="K1996" s="4">
        <v>10.0</v>
      </c>
      <c r="L1996" s="3" t="s">
        <v>4250</v>
      </c>
      <c r="M1996" s="3" t="s">
        <v>8957</v>
      </c>
      <c r="N1996" s="7" t="str">
        <f>IFERROR(__xludf.DUMMYFUNCTION("GOOGLETRANSLATE(L1996, ""en"", ""pt"")"),"49-9098: Ajudantes — Trabalhos de instalação, manutenção e reparo")</f>
        <v>49-9098: Ajudantes — Trabalhos de instalação, manutenção e reparo</v>
      </c>
      <c r="O1996" s="7" t="str">
        <f>IFERROR(__xludf.DUMMYFUNCTION("IF(M1996="""","""",GOOGLETRANSLATE(M1996,""en"",""pt""))"),"***Resposta à Solicitação de Informações*** Tarefas específicas e ferramentas utilizadas para a execução dessas tarefas: Os trabalhadores auxiliarão na instalação, montagem e desmontagem de brinquedos de parques de diversões, trailers de alimentação e equ"&amp;"ipamentos relacionados. Substituirão peças defeituosas ou desgastadas, como lâmpadas, interruptores, correias e mangueiras. Lixarão, rasparão e limparão trailers, superfícies e estruturas metálicas para manter a aparência e prevenir ferrugem ou deterioraç"&amp;"ão. Verificarão e substituirão lâmpadas, soquetes, fusíveis e luminárias conforme necessário. Limparão e manterão as áreas de trabalho. Os trabalhadores poderão utilizar as seguintes ferramentas, equipamentos e materiais durante a execução das tarefas atr"&amp;"ibuídas: chaves de boca, jogos de soquetes e catracas, chaves de fenda, alicates, martelos, alavancas, trenas e chaves ajustáveis. Utilizarão escadas, aspiradores de pó e equipamentos e materiais de limpeza, como esponjas, panos e sabão. Não serão realiza"&amp;"dos serviços em veículos, máquinas industriais ou equipamentos elétricos e eletrônicos, apenas em brinquedos de parques de diversões, trailers de alimentação e equipamentos relacionados. Não serão realizados trabalhos em motores a diesel. O trabalho será "&amp;"realizado no ""Quartel de Inverno"" do Carnaval, onde os equipamentos são estacionados quando não estão em operação. ***Original*** Auxiliar os trabalhadores de instalação, manutenção e reparo na manutenção, substituição de peças e reparo de veículos, máq"&amp;"uinas industriais e equipamentos elétricos e eletrônicos. Executar tarefas como fornecer ferramentas, materiais e suprimentos para outros trabalhadores; limpar a área de trabalho, máquinas e ferramentas; e segurar materiais ou ferramentas para outros trab"&amp;"alhadores. Classificação do Cargo: 49-9043.00 - Trabalhadores de Manutenção de Máquinas. A classificação e descrição do cargo/setor inclui informações gerais sobre a posição, de acordo com o ONET/OES e o Sistema de Classificação Industrial da América do N"&amp;"orte. Consulte as Funções e a Ordem de Serviço para obter mais informações. Requisitos do Cargo Experiência Necessária: Não. Requisitos Especiais: Testes aleatórios de drogas e verificação de antecedentes criminais após a contratação podem ser exigidos, s"&amp;"em custo para o trabalhador. O cargo exige que o candidato seja qualificado, esteja pronto, disposto, apto e disponível para desempenhar as funções durante todo o período de emprego no local de trabalho designado; para firmar e cumprir o contrato de traba"&amp;"lho; e para seguir as normas do local de trabalho. Número de horas por semana: 35 Horário de trabalho (início/término): 8h00 - 16h00")</f>
        <v>***Resposta à Solicitação de Informações*** Tarefas específicas e ferramentas utilizadas para a execução dessas tarefas: Os trabalhadores auxiliarão na instalação, montagem e desmontagem de brinquedos de parques de diversões, trailers de alimentação e equipamentos relacionados. Substituirão peças defeituosas ou desgastadas, como lâmpadas, interruptores, correias e mangueiras. Lixarão, rasparão e limparão trailers, superfícies e estruturas metálicas para manter a aparência e prevenir ferrugem ou deterioração. Verificarão e substituirão lâmpadas, soquetes, fusíveis e luminárias conforme necessário. Limparão e manterão as áreas de trabalho. Os trabalhadores poderão utilizar as seguintes ferramentas, equipamentos e materiais durante a execução das tarefas atribuídas: chaves de boca, jogos de soquetes e catracas, chaves de fenda, alicates, martelos, alavancas, trenas e chaves ajustáveis. Utilizarão escadas, aspiradores de pó e equipamentos e materiais de limpeza, como esponjas, panos e sabão. Não serão realizados serviços em veículos, máquinas industriais ou equipamentos elétricos e eletrônicos, apenas em brinquedos de parques de diversões, trailers de alimentação e equipamentos relacionados. Não serão realizados trabalhos em motores a diesel. O trabalho será realizado no "Quartel de Inverno" do Carnaval, onde os equipamentos são estacionados quando não estão em operação. ***Original*** Auxiliar os trabalhadores de instalação, manutenção e reparo na manutenção, substituição de peças e reparo de veículos, máquinas industriais e equipamentos elétricos e eletrônicos. Executar tarefas como fornecer ferramentas, materiais e suprimentos para outros trabalhadores; limpar a área de trabalho, máquinas e ferramentas; e segurar materiais ou ferramentas para outros trabalhadores. Classificação do Cargo: 49-9043.00 - Trabalhadores de Manutenção de Máquinas. A classificação e descrição do cargo/setor inclui informações gerais sobre a posição, de acordo com o ONET/OES e o Sistema de Classificação Industrial da América do Norte. Consulte as Funções e a Ordem de Serviço para obter mais informações. Requisitos do Cargo Experiência Necessária: Não. Requisitos Especiais: Testes aleatórios de drogas e verificação de antecedentes criminais após a contratação podem ser exigidos, sem custo para o trabalhador. O cargo exige que o candidato seja qualificado, esteja pronto, disposto, apto e disponível para desempenhar as funções durante todo o período de emprego no local de trabalho designado; para firmar e cumprir o contrato de trabalho; e para seguir as normas do local de trabalho. Número de horas por semana: 35 Horário de trabalho (início/término): 8h00 - 16h00</v>
      </c>
    </row>
    <row r="1997" ht="20.25" customHeight="1">
      <c r="A1997" s="8" t="s">
        <v>8958</v>
      </c>
      <c r="B1997" s="8" t="s">
        <v>8959</v>
      </c>
      <c r="C1997" s="8" t="s">
        <v>8960</v>
      </c>
      <c r="D1997" s="8" t="s">
        <v>1190</v>
      </c>
      <c r="E1997" s="9" t="s">
        <v>19</v>
      </c>
      <c r="F1997" s="9" t="s">
        <v>20</v>
      </c>
      <c r="G1997" s="9" t="s">
        <v>307</v>
      </c>
      <c r="H1997" s="8" t="s">
        <v>8961</v>
      </c>
      <c r="I1997" s="8"/>
      <c r="J1997" s="9">
        <v>22.94</v>
      </c>
      <c r="K1997" s="9">
        <v>25.0</v>
      </c>
      <c r="L1997" s="8" t="s">
        <v>2678</v>
      </c>
      <c r="M1997" s="8" t="s">
        <v>8962</v>
      </c>
      <c r="N1997" s="7" t="str">
        <f>IFERROR(__xludf.DUMMYFUNCTION("GOOGLETRANSLATE(L1997, ""en"", ""pt"")"),"Auxiliar de Armazém")</f>
        <v>Auxiliar de Armazém</v>
      </c>
      <c r="O1997" s="7" t="str">
        <f>IFERROR(__xludf.DUMMYFUNCTION("IF(M1997="""","""",GOOGLETRANSLATE(M1997,""en"",""pt""))"),"A Uline Inc. busca preencher 25 vagas de Auxiliar de Armazém em tempo integral em Plainfield, Connecticut. Esta vaga é temporária, para um período único de 1º de outubro de 2026 a 31 de dezembro de 2026. Responsabilidades: Executar diversas tarefas gerais"&amp;" de armazém, auxiliando na gestão de estoque e nas atividades de distribuição. Movimentar, separar, armazenar e preparar materiais/produtos para envio. Seguir os procedimentos estabelecidos para utilizar o sistema de gestão de armazém (WMS) para concluir "&amp;"transações de estoque e manter registros precisos. Ler ordens de serviço para determinar as tarefas necessárias, montar remessas de acordo com as instruções fornecidas e auxiliar nas necessidades operacionais diárias. Executar outras tarefas rotineiras de"&amp;" armazém, não relacionadas à supervisão, conforme designado. Requisitos: Ensino médio completo ou equivalente. Certificação para operar um ou mais dos seguintes equipamentos: selecionador de pedidos Crown, transpaleteira elétrica de quatro rodas, empilhad"&amp;"eira de assento, empilhadeira RC (comprovada por certificado ou experiência equivalente). Conhecimento do sistema WMS. Capacidade de levantar, empurrar e deslizar pacotes com peso de até 23 kg. É necessário obter aprovação nas avaliações de rotina pré-emp"&amp;"rego da Uline. Verificação de antecedentes e exame toxicológico serão exigidos após a oferta de emprego e antes da contratação. Termos e Condições de emprego: US$ 22,94/hora, mínimo de 40 horas semanais. Segunda a sexta-feira, das 10h30 às 19h. Horas extr"&amp;"as disponíveis conforme a necessidade. O valor da hora extra é de, no mínimo, US$ 34,41/hora. Alojamento não fornecido. Transporte: Do local de origem do trabalhador, seja nos EUA ou no exterior, até o local de trabalho, caso o trabalhador complete 50% do"&amp;" período do contrato de trabalho, o empregador reembolsará o trabalhador pelas despesas de transporte e alimentação do local de recrutamento até o local de trabalho. Ao término do contrato de trabalho ou em caso de demissão antecipada, o empregador fornec"&amp;"erá ou pagará os custos razoáveis ​​de transporte e subsistência do trabalhador para seu retorno ao domicílio ou ao local de onde partiu para trabalhar, exceto nos casos em que o trabalhador não retornar devido a um novo emprego com outro empregador. O va"&amp;"lor do pagamento ou reembolso do transporte será equivalente ao da transportadora mais econômica e razoável para as distâncias envolvidas. Será fornecida uma diária de subsistência no valor mínimo de US$ 16,78/dia durante o deslocamento, até um máximo de "&amp;"US$ 68,00/dia, mediante apresentação de recibos. Três quartos: O empregador garante oferecer trabalho por um número de horas equivalente a pelo menos três quartos dos dias úteis em cada período de 12 semanas do período total de emprego. Ferramentas, equip"&amp;"amentos e suprimentos: O empregador fornecerá aos trabalhadores, sem custos, todas as ferramentas, suprimentos e equipamentos necessários para a execução do trabalho. Os trabalhadores receberão treinamento no local de trabalho para o desempenho das funçõe"&amp;"s atribuídas. Diversos: O empregador utilizará uma única semana de trabalho como padrão para o cálculo dos salários devidos. O salário será pago quinzenalmente. O empregador fará todos os descontos na folha de pagamento do trabalhador exigidos por lei e n"&amp;"ão fará nenhum desconto que não seja exigido por lei. O empregador reembolsará o trabalhador com visto H2B na primeira semana de trabalho por todas as taxas de visto, processamento de visto, travessia de fronteira e outras taxas relacionadas, incluindo aq"&amp;"uelas exigidas pelo governo, incorridas pelo trabalhador com visto H2B. Classificação do Cargo: 43-5071.00 - Auxiliar de Expedição, Recebimento e Estoque. A classificação e descrição do cargo/setor incluem informações gerais sobre a posição, de acordo com"&amp;" o ONET/OES e o Sistema de Classificação Industrial da América do Norte (NAICS). Consulte as Funções e a Ordem de Serviço para obter mais informações. Requisitos do Cargo Experiência Necessária: Não. Requisitos Especiais: Certificação para operar um ou ma"&amp;"is dos seguintes equipamentos: selecionador de pedidos Crown, transpaleteira elétrica de quatro rodas, empilhadeira de assento, empilhadeira RC (comprovada por certificado ou experiência equivalente) é obrigatória. É necessário conhecimento de sistema WMS"&amp;". É necessário ter capacidade para levantar, empurrar e deslizar pacotes com peso de até 23 kg. É necessário obter aprovação nas avaliações de rotina de pré-admissão da Uline. Verificação de antecedentes e exame toxicológico serão exigidos após a oferta d"&amp;"e emprego e antes da contratação. Número de horas por semana: 40. Horário de trabalho (início/término): 10h30 às 19h.")</f>
        <v>A Uline Inc. busca preencher 25 vagas de Auxiliar de Armazém em tempo integral em Plainfield, Connecticut. Esta vaga é temporária, para um período único de 1º de outubro de 2026 a 31 de dezembro de 2026. Responsabilidades: Executar diversas tarefas gerais de armazém, auxiliando na gestão de estoque e nas atividades de distribuição. Movimentar, separar, armazenar e preparar materiais/produtos para envio. Seguir os procedimentos estabelecidos para utilizar o sistema de gestão de armazém (WMS) para concluir transações de estoque e manter registros precisos. Ler ordens de serviço para determinar as tarefas necessárias, montar remessas de acordo com as instruções fornecidas e auxiliar nas necessidades operacionais diárias. Executar outras tarefas rotineiras de armazém, não relacionadas à supervisão, conforme designado. Requisitos: Ensino médio completo ou equivalente. Certificação para operar um ou mais dos seguintes equipamentos: selecionador de pedidos Crown, transpaleteira elétrica de quatro rodas, empilhadeira de assento, empilhadeira RC (comprovada por certificado ou experiência equivalente). Conhecimento do sistema WMS. Capacidade de levantar, empurrar e deslizar pacotes com peso de até 23 kg. É necessário obter aprovação nas avaliações de rotina pré-emprego da Uline. Verificação de antecedentes e exame toxicológico serão exigidos após a oferta de emprego e antes da contratação. Termos e Condições de emprego: US$ 22,94/hora, mínimo de 40 horas semanais. Segunda a sexta-feira, das 10h30 às 19h. Horas extras disponíveis conforme a necessidade. O valor da hora extra é de, no mínimo, US$ 34,41/hora. Alojamento não fornecido. Transporte: Do local de origem do trabalhador, seja nos EUA ou no exterior, até o local de trabalho, caso o trabalhador complete 50% do período do contrato de trabalho, o empregador reembolsará o trabalhador pelas despesas de transporte e alimentação do local de recrutamento até o local de trabalho. Ao término do contrato de trabalho ou em caso de demissão antecipada, o empregador fornecerá ou pagará os custos razoáveis ​​de transporte e subsistência do trabalhador para seu retorno ao domicílio ou ao local de onde partiu para trabalhar, exceto nos casos em que o trabalhador não retornar devido a um novo emprego com outro empregador. O valor do pagamento ou reembolso do transporte será equivalente ao da transportadora mais econômica e razoável para as distâncias envolvidas. Será fornecida uma diária de subsistência no valor mínimo de US$ 16,78/dia durante o deslocamento, até um máximo de US$ 68,00/dia, mediante apresentação de recibos. Três quartos: O empregador garante oferecer trabalho por um número de horas equivalente a pelo menos três quartos dos dias úteis em cada período de 12 semanas do período total de emprego. Ferramentas, equipamentos e suprimentos: O empregador fornecerá aos trabalhadores, sem custos, todas as ferramentas, suprimentos e equipamentos necessários para a execução do trabalho. Os trabalhadores receberão treinamento no local de trabalho para o desempenho das funções atribuídas. Diversos: O empregador utilizará uma única semana de trabalho como padrão para o cálculo dos salários devidos. O salário será pago quinzenalmente. O empregador fará todos os descontos na folha de pagamento do trabalhador exigidos por lei e não fará nenhum desconto que não seja exigido por lei. O empregador reembolsará o trabalhador com visto H2B na primeira semana de trabalho por todas as taxas de visto, processamento de visto, travessia de fronteira e outras taxas relacionadas, incluindo aquelas exigidas pelo governo, incorridas pelo trabalhador com visto H2B. Classificação do Cargo: 43-5071.00 - Auxiliar de Expedição, Recebimento e Estoque. A classificação e descrição do cargo/setor incluem informações gerais sobre a posição, de acordo com o ONET/OES e o Sistema de Classificação Industrial da América do Norte (NAICS). Consulte as Funções e a Ordem de Serviço para obter mais informações. Requisitos do Cargo Experiência Necessária: Não. Requisitos Especiais: Certificação para operar um ou mais dos seguintes equipamentos: selecionador de pedidos Crown, transpaleteira elétrica de quatro rodas, empilhadeira de assento, empilhadeira RC (comprovada por certificado ou experiência equivalente) é obrigatória. É necessário conhecimento de sistema WMS. É necessário ter capacidade para levantar, empurrar e deslizar pacotes com peso de até 23 kg. É necessário obter aprovação nas avaliações de rotina de pré-admissão da Uline. Verificação de antecedentes e exame toxicológico serão exigidos após a oferta de emprego e antes da contratação. Número de horas por semana: 40. Horário de trabalho (início/término): 10h30 às 19h.</v>
      </c>
    </row>
    <row r="1998" ht="20.25" customHeight="1">
      <c r="A1998" s="3" t="s">
        <v>8963</v>
      </c>
      <c r="B1998" s="3" t="s">
        <v>8964</v>
      </c>
      <c r="C1998" s="3" t="s">
        <v>6228</v>
      </c>
      <c r="D1998" s="3" t="s">
        <v>833</v>
      </c>
      <c r="E1998" s="4" t="s">
        <v>19</v>
      </c>
      <c r="F1998" s="4" t="s">
        <v>20</v>
      </c>
      <c r="G1998" s="4" t="s">
        <v>307</v>
      </c>
      <c r="H1998" s="3" t="s">
        <v>8965</v>
      </c>
      <c r="I1998" s="3" t="s">
        <v>8966</v>
      </c>
      <c r="J1998" s="4">
        <v>26.39</v>
      </c>
      <c r="K1998" s="4">
        <v>2.0</v>
      </c>
      <c r="L1998" s="3" t="s">
        <v>8493</v>
      </c>
      <c r="M1998" s="3" t="s">
        <v>8967</v>
      </c>
      <c r="N1998" s="7" t="str">
        <f>IFERROR(__xludf.DUMMYFUNCTION("GOOGLETRANSLATE(L1998, ""en"", ""pt"")"),"Ajudante de Carpinteiro de Inverno")</f>
        <v>Ajudante de Carpinteiro de Inverno</v>
      </c>
      <c r="O1998" s="7" t="str">
        <f>IFERROR(__xludf.DUMMYFUNCTION("IF(M1998="""","""",GOOGLETRANSLATE(M1998,""en"",""pt""))"),"***Resposta à Solicitação de Informações*** Para remover neve e gelo de canteiros de obras, andaimes e passarelas, os trabalhadores limparão calçadas, passarelas e áreas de pedestres similares usando pás e sopradores de neve. Estacionamentos e áreas de tr"&amp;"abalho maiores serão limpos com pás e minicarregadeiras. Os trabalhadores espalharão sal grosso manualmente ou com um espalhador de sal para remover o gelo e reduzir o risco de escorregamento. Para manter a acessibilidade do local, os trabalhadores remove"&amp;"rão detritos cobertos de neve de passarelas, áreas de trabalho e pontos de acesso usando pás, vassouras e ancinhos, e descartarão os detritos em contêineres ou áreas de descarte designadas. Auxiliando na montagem de estruturas temporárias, lonas e barreir"&amp;"as contra o vento, sob a supervisão do carpinteiro ou gerente de projeto, os ajudantes de carpinteiro realizarão tarefas básicas de carpintaria, como medir e cortar madeira com ferramentas manuais e elétricas padrão, pregar ou parafusar a madeira para cri"&amp;"ar uma estrutura temporária para montar tendas temporárias para trabalhos de alvenaria externa durante o tempo frio. Lonas plásticas reforçadas são grampeadas à estrutura para criar uma tenda temporária resistente às intempéries, que protege a área de tra"&amp;"balho das baixas temperaturas e do vento, permitindo a continuidade dos trabalhos de alvenaria externa. Para evitar danos aos materiais causados ​​pelo clima, os trabalhadores cobrirão e protegerão os materiais da obra, como madeira e equipamentos, com lo"&amp;"nas ou os transportarão para um local de armazenamento coberto. Os trabalhadores também auxiliarão na fixação, ajuste, desmontagem e armazenamento das tendas temporárias, bem como das ferramentas e equipamentos utilizados no desempenho de suas funções. As"&amp;" ferramentas, equipamentos, máquinas e materiais utilizados para realizar essas tarefas incluem pás de neve, sopradores de neve, minicarregadeiras, espalhadores de sal, sal grosso, madeira serrada, lonas plásticas reforçadas, martelos, furadeiras, serras "&amp;"circulares, chaves de fenda, grampeadores, pregos, parafusos, grampos, equipamentos de andaime e outras ferramentas manuais e elétricas padrão de carpintaria. ***Atribuições Originais*** Como ajudante de carpinteiro, o trabalhador executará tarefas que ex"&amp;"igem menos habilidade, incluindo o uso, fornecimento ou manuseio de materiais ou ferramentas, e a limpeza da área de trabalho e dos equipamentos, conforme orientação do carpinteiro ou gerente de projeto. Sob supervisão, o trabalhador auxiliará em tarefas "&amp;"de estruturação, como a instalação de pisos, paredes externas e internas, armários, acabamentos e janelas para novos projetos de construção. O trabalhador utilizará e manuseará ferramentas como martelos, esquadros, furadeiras, serras e chaves de fenda, e "&amp;"manterá os locais de trabalho limpos e organizados. Durante os meses de inverno e as condições climáticas frias comuns em Sioux Falls, Dakota do Sul, o trabalhador também poderá ser solicitado a remover neve e gelo dos locais de trabalho, andaimes e passa"&amp;"relas para garantir condições de trabalho seguras; auxiliar na montagem de coberturas temporárias, lonas ou barreiras contra o vento; manusear e armazenar materiais para evitar danos relacionados ao clima; auxiliar no uso de aquecedores ou equipamentos de"&amp;" degelo do solo sob supervisão; e manter a acessibilidade do local, removendo detritos cobertos de neve. O trabalhador receberá treinamento no local de trabalho conforme necessário e executará outras tarefas relacionadas, conforme designadas pelo carpinte"&amp;"iro ou gerente de projeto. Classificação do Cargo: 47-4051.00 - Trabalhadores de Manutenção de Rodovias. A classificação e descrição do cargo/setor inclui informações gerais sobre a posição, de acordo com o ONET/OES e o Sistema de Classificação Industrial"&amp;" da América do Norte (NAICS). Consulte as Funções e a Ordem de Serviço para obter mais informações. Requisitos do Cargo Experiência Necessária: Sim Meses de Experiência Necessários: 3 Requisitos Especiais: Deve ser capaz de levantar e carregar 34 kg por 4"&amp;"5 metros. O empregador solicitará exames toxicológicos mediante suspeita razoável. Os exames toxicológicos serão pagos pelo empregador. Número de Horas por Semana: 40 Horário de Trabalho (Início/Término): 7h30 - 17h30.")</f>
        <v>***Resposta à Solicitação de Informações*** Para remover neve e gelo de canteiros de obras, andaimes e passarelas, os trabalhadores limparão calçadas, passarelas e áreas de pedestres similares usando pás e sopradores de neve. Estacionamentos e áreas de trabalho maiores serão limpos com pás e minicarregadeiras. Os trabalhadores espalharão sal grosso manualmente ou com um espalhador de sal para remover o gelo e reduzir o risco de escorregamento. Para manter a acessibilidade do local, os trabalhadores removerão detritos cobertos de neve de passarelas, áreas de trabalho e pontos de acesso usando pás, vassouras e ancinhos, e descartarão os detritos em contêineres ou áreas de descarte designadas. Auxiliando na montagem de estruturas temporárias, lonas e barreiras contra o vento, sob a supervisão do carpinteiro ou gerente de projeto, os ajudantes de carpinteiro realizarão tarefas básicas de carpintaria, como medir e cortar madeira com ferramentas manuais e elétricas padrão, pregar ou parafusar a madeira para criar uma estrutura temporária para montar tendas temporárias para trabalhos de alvenaria externa durante o tempo frio. Lonas plásticas reforçadas são grampeadas à estrutura para criar uma tenda temporária resistente às intempéries, que protege a área de trabalho das baixas temperaturas e do vento, permitindo a continuidade dos trabalhos de alvenaria externa. Para evitar danos aos materiais causados ​​pelo clima, os trabalhadores cobrirão e protegerão os materiais da obra, como madeira e equipamentos, com lonas ou os transportarão para um local de armazenamento coberto. Os trabalhadores também auxiliarão na fixação, ajuste, desmontagem e armazenamento das tendas temporárias, bem como das ferramentas e equipamentos utilizados no desempenho de suas funções. As ferramentas, equipamentos, máquinas e materiais utilizados para realizar essas tarefas incluem pás de neve, sopradores de neve, minicarregadeiras, espalhadores de sal, sal grosso, madeira serrada, lonas plásticas reforçadas, martelos, furadeiras, serras circulares, chaves de fenda, grampeadores, pregos, parafusos, grampos, equipamentos de andaime e outras ferramentas manuais e elétricas padrão de carpintaria. ***Atribuições Originais*** Como ajudante de carpinteiro, o trabalhador executará tarefas que exigem menos habilidade, incluindo o uso, fornecimento ou manuseio de materiais ou ferramentas, e a limpeza da área de trabalho e dos equipamentos, conforme orientação do carpinteiro ou gerente de projeto. Sob supervisão, o trabalhador auxiliará em tarefas de estruturação, como a instalação de pisos, paredes externas e internas, armários, acabamentos e janelas para novos projetos de construção. O trabalhador utilizará e manuseará ferramentas como martelos, esquadros, furadeiras, serras e chaves de fenda, e manterá os locais de trabalho limpos e organizados. Durante os meses de inverno e as condições climáticas frias comuns em Sioux Falls, Dakota do Sul, o trabalhador também poderá ser solicitado a remover neve e gelo dos locais de trabalho, andaimes e passarelas para garantir condições de trabalho seguras; auxiliar na montagem de coberturas temporárias, lonas ou barreiras contra o vento; manusear e armazenar materiais para evitar danos relacionados ao clima; auxiliar no uso de aquecedores ou equipamentos de degelo do solo sob supervisão; e manter a acessibilidade do local, removendo detritos cobertos de neve. O trabalhador receberá treinamento no local de trabalho conforme necessário e executará outras tarefas relacionadas, conforme designadas pelo carpinteiro ou gerente de projeto. Classificação do Cargo: 47-4051.00 - Trabalhadores de Manutenção de Rodovias. A classificação e descrição do cargo/setor inclui informações gerais sobre a posição, de acordo com o ONET/OES e o Sistema de Classificação Industrial da América do Norte (NAICS). Consulte as Funções e a Ordem de Serviço para obter mais informações. Requisitos do Cargo Experiência Necessária: Sim Meses de Experiência Necessários: 3 Requisitos Especiais: Deve ser capaz de levantar e carregar 34 kg por 45 metros. O empregador solicitará exames toxicológicos mediante suspeita razoável. Os exames toxicológicos serão pagos pelo empregador. Número de Horas por Semana: 40 Horário de Trabalho (Início/Término): 7h30 - 17h30.</v>
      </c>
    </row>
    <row r="1999" ht="20.25" customHeight="1">
      <c r="A1999" s="8" t="s">
        <v>8968</v>
      </c>
      <c r="B1999" s="8" t="s">
        <v>8969</v>
      </c>
      <c r="C1999" s="8" t="s">
        <v>1000</v>
      </c>
      <c r="D1999" s="8" t="s">
        <v>117</v>
      </c>
      <c r="E1999" s="9" t="s">
        <v>19</v>
      </c>
      <c r="F1999" s="9" t="s">
        <v>20</v>
      </c>
      <c r="G1999" s="9" t="s">
        <v>307</v>
      </c>
      <c r="H1999" s="8" t="s">
        <v>8970</v>
      </c>
      <c r="I1999" s="8" t="s">
        <v>8971</v>
      </c>
      <c r="J1999" s="9">
        <v>20.95</v>
      </c>
      <c r="K1999" s="9">
        <v>4.0</v>
      </c>
      <c r="L1999" s="8" t="s">
        <v>2196</v>
      </c>
      <c r="M1999" s="8" t="s">
        <v>8972</v>
      </c>
      <c r="N1999" s="7" t="str">
        <f>IFERROR(__xludf.DUMMYFUNCTION("GOOGLETRANSLATE(L1999, ""en"", ""pt"")"),"Paisagistas")</f>
        <v>Paisagistas</v>
      </c>
      <c r="O1999" s="7" t="str">
        <f>IFERROR(__xludf.DUMMYFUNCTION("IF(M1999="""","""",GOOGLETRANSLATE(M1999,""en"",""pt""))"),"Realizar paisagismo restaurador em locais de trabalho. Tomar as medidas de paisagismo necessárias para minimizar o impacto da instalação de serviços públicos no paisagismo existente, utilizando ferramentas manuais. Executar uma variedade de tarefas, como "&amp;"cavar buracos no local e manter e restaurar gramados. Desenrolar conduítes para alimentar uma unidade de perfuração. Ocasionalmente, cavar buracos sob a direção de um supervisor com até 60 cm de profundidade para localizar cuidadosamente as linhas de serv"&amp;"iços públicos existentes, seguindo todas as precauções de segurança. Classificação do Cargo: 37-3011.00 - Trabalhadores de Paisagismo e Manutenção de Áreas Verdes. A classificação e descrição do cargo/setor incluem informações gerais sobre a posição de ac"&amp;"ordo com o ONET/OES e o Sistema de Classificação Industrial da América do Norte. Consulte as Funções e a Ordem de Serviço para obter mais informações. Requisitos do Cargo Experiência Necessária: Sim Meses de Experiência Necessários: 1 Requisitos Especiais"&amp;": Trabalho em alguns fins de semana. Deve ser capaz de levantar e carregar 34 kg por 45 metros. Deve ser capaz de lidar com temperaturas extremas. Número de Horas por Semana: 40 Horário de Trabalho (Início/Término): 7h30. - 17h00")</f>
        <v>Realizar paisagismo restaurador em locais de trabalho. Tomar as medidas de paisagismo necessárias para minimizar o impacto da instalação de serviços públicos no paisagismo existente, utilizando ferramentas manuais. Executar uma variedade de tarefas, como cavar buracos no local e manter e restaurar gramados. Desenrolar conduítes para alimentar uma unidade de perfuração. Ocasionalmente, cavar buracos sob a direção de um supervisor com até 60 cm de profundidade para localizar cuidadosamente as linhas de serviços públicos existentes, seguindo todas as precauções de segurança. Classificação do Cargo: 37-3011.00 - Trabalhadores de Paisagismo e Manutenção de Áreas Verdes. A classificação e descrição do cargo/setor incluem informações gerais sobre a posição de acordo com o ONET/OES e o Sistema de Classificação Industrial da América do Norte. Consulte as Funções e a Ordem de Serviço para obter mais informações. Requisitos do Cargo Experiência Necessária: Sim Meses de Experiência Necessários: 1 Requisitos Especiais: Trabalho em alguns fins de semana. Deve ser capaz de levantar e carregar 34 kg por 45 metros. Deve ser capaz de lidar com temperaturas extremas. Número de Horas por Semana: 40 Horário de Trabalho (Início/Término): 7h30. - 17h00</v>
      </c>
    </row>
    <row r="2000" ht="20.25" customHeight="1">
      <c r="A2000" s="3" t="s">
        <v>8973</v>
      </c>
      <c r="B2000" s="3" t="s">
        <v>8974</v>
      </c>
      <c r="C2000" s="3" t="s">
        <v>7431</v>
      </c>
      <c r="D2000" s="3" t="s">
        <v>71</v>
      </c>
      <c r="E2000" s="4" t="s">
        <v>19</v>
      </c>
      <c r="F2000" s="4" t="s">
        <v>20</v>
      </c>
      <c r="G2000" s="4" t="s">
        <v>198</v>
      </c>
      <c r="H2000" s="3" t="s">
        <v>8975</v>
      </c>
      <c r="I2000" s="3" t="s">
        <v>8976</v>
      </c>
      <c r="J2000" s="4">
        <v>20.0</v>
      </c>
      <c r="K2000" s="4">
        <v>120.0</v>
      </c>
      <c r="L2000" s="3" t="s">
        <v>8977</v>
      </c>
      <c r="M2000" s="3" t="s">
        <v>8978</v>
      </c>
      <c r="N2000" s="7" t="str">
        <f>IFERROR(__xludf.DUMMYFUNCTION("GOOGLETRANSLATE(L2000, ""en"", ""pt"")"),"Trabalhador de Remoção de Vegetação Não Nativa")</f>
        <v>Trabalhador de Remoção de Vegetação Não Nativa</v>
      </c>
      <c r="O2000" s="7" t="str">
        <f>IFERROR(__xludf.DUMMYFUNCTION("IF(M2000="""","""",GOOGLETRANSLATE(M2000,""en"",""pt""))"),"Os trabalhadores removerão vegetação invasora e não nativa em parques, reservas e áreas de conservação pública. As tarefas incluem deslocar-se a pé por áreas designadas, localizar as plantas-alvo e removê-las arrancando, cavando ou aplicando herbicida, co"&amp;"nforme as instruções. Quando instruídos, os trabalhadores aplicam herbicida nas raízes expostas ou na superfície das plantas usando pulverizadores costais ou manuais previamente abastecidos pelo supervisor licenciado. Os trabalhadores não selecionam, mist"&amp;"uram ou preparam produtos químicos e não determinam os métodos de tratamento. Todos os herbicidas utilizados são aprovados pela EPA (Agência de Proteção Ambiental dos Estados Unidos) e autorizados pelo Departamento de Agricultura e Serviços ao Consumidor "&amp;"da Flórida. Os trabalhadores podem fornecer observações aproximadas e não numéricas aos supervisores, mas não realizam medições, cálculos ou registros. Os trabalhadores podem auxiliar na preparação do solo e no plantio em áreas de reflorestamento. As tare"&amp;"fas incluem a limpeza de pequenos detritos dos locais de plantio e a escavação manual de buracos rasos para o plantio de culturas ou mudas fornecidas pela agência. Todo o plantio segue as instruções diretas do gerente do projeto. Os trabalhadores verifica"&amp;"m seus equipamentos pessoais, como pulverizadores costais, pulverizadores manuais e equipamentos de proteção individual, para confirmar o funcionamento básico e podem realizar ajustes simples de nível de usuário. Os trabalhadores reportam qualquer mau fun"&amp;"cionamento do equipamento ao supervisor. Todo o trabalho é realizado com os equipamentos de proteção individual necessários e sob a supervisão de pessoal licenciado responsável pelo manuseio de produtos químicos e por todas as decisões de tratamento. Os t"&amp;"rabalhadores serão alocados para desempenhar as funções nos condados de Okeechobee, DeSoto, Highlands, Hendry, Martin, Miami-Dade e Collier. Todos os locais de trabalho estão situados a uma distância razoável de deslocamento diário das residências forneci"&amp;"das pela empresa. Classificação da Função: 45-4011.00 - Trabalhadores Florestais e de Conservação. A classificação e descrição da função/setor incluem informações gerais sobre o cargo, de acordo com o ONET/OES e o Sistema de Classificação Industrial da Am"&amp;"érica do Norte (NAICS). Consulte as Funções e a Ordem de Serviço para obter mais informações. Requisitos da Função: Experiência Necessária: Não. Requisitos Especiais: Conhecimento básico de inglês. Deve ser capaz de: levantar e carregar pesos suficientes "&amp;"para movimentar equipamentos e materiais necessários para concluir as tarefas atribuídas; trabalhar ao ar livre. 40 horas por semana, 5 dias por semana. O horário pode variar, conforme necessário. Permanecer em pé durante todo o turno. Utilização de: ferr"&amp;"amentas manuais, incluindo pequenas pás e enxadas; pulverizadores manuais de mochila ou manuais; e equipamentos de proteção, incluindo calças compridas, camisas de manga comprida, botas de borracha, luvas e óculos de segurança. O empregador se baseará nas"&amp;" declarações e observações do próprio trabalhador para avaliar se ele atende aos requisitos de capacidade física para levantamento de peso, permanência em pé e outros requisitos descritos aqui. Número de horas por semana: 40. Horário de trabalho (início/t"&amp;"érmino): 6h às 16h.")</f>
        <v>Os trabalhadores removerão vegetação invasora e não nativa em parques, reservas e áreas de conservação pública. As tarefas incluem deslocar-se a pé por áreas designadas, localizar as plantas-alvo e removê-las arrancando, cavando ou aplicando herbicida, conforme as instruções. Quando instruídos, os trabalhadores aplicam herbicida nas raízes expostas ou na superfície das plantas usando pulverizadores costais ou manuais previamente abastecidos pelo supervisor licenciado. Os trabalhadores não selecionam, misturam ou preparam produtos químicos e não determinam os métodos de tratamento. Todos os herbicidas utilizados são aprovados pela EPA (Agência de Proteção Ambiental dos Estados Unidos) e autorizados pelo Departamento de Agricultura e Serviços ao Consumidor da Flórida. Os trabalhadores podem fornecer observações aproximadas e não numéricas aos supervisores, mas não realizam medições, cálculos ou registros. Os trabalhadores podem auxiliar na preparação do solo e no plantio em áreas de reflorestamento. As tarefas incluem a limpeza de pequenos detritos dos locais de plantio e a escavação manual de buracos rasos para o plantio de culturas ou mudas fornecidas pela agência. Todo o plantio segue as instruções diretas do gerente do projeto. Os trabalhadores verificam seus equipamentos pessoais, como pulverizadores costais, pulverizadores manuais e equipamentos de proteção individual, para confirmar o funcionamento básico e podem realizar ajustes simples de nível de usuário. Os trabalhadores reportam qualquer mau funcionamento do equipamento ao supervisor. Todo o trabalho é realizado com os equipamentos de proteção individual necessários e sob a supervisão de pessoal licenciado responsável pelo manuseio de produtos químicos e por todas as decisões de tratamento. Os trabalhadores serão alocados para desempenhar as funções nos condados de Okeechobee, DeSoto, Highlands, Hendry, Martin, Miami-Dade e Collier. Todos os locais de trabalho estão situados a uma distância razoável de deslocamento diário das residências fornecidas pela empresa. Classificação da Função: 45-4011.00 - Trabalhadores Florestais e de Conservação. A classificação e descrição da função/setor incluem informações gerais sobre o cargo, de acordo com o ONET/OES e o Sistema de Classificação Industrial da América do Norte (NAICS). Consulte as Funções e a Ordem de Serviço para obter mais informações. Requisitos da Função: Experiência Necessária: Não. Requisitos Especiais: Conhecimento básico de inglês. Deve ser capaz de: levantar e carregar pesos suficientes para movimentar equipamentos e materiais necessários para concluir as tarefas atribuídas; trabalhar ao ar livre. 40 horas por semana, 5 dias por semana. O horário pode variar, conforme necessário. Permanecer em pé durante todo o turno. Utilização de: ferramentas manuais, incluindo pequenas pás e enxadas; pulverizadores manuais de mochila ou manuais; e equipamentos de proteção, incluindo calças compridas, camisas de manga comprida, botas de borracha, luvas e óculos de segurança. O empregador se baseará nas declarações e observações do próprio trabalhador para avaliar se ele atende aos requisitos de capacidade física para levantamento de peso, permanência em pé e outros requisitos descritos aqui. Número de horas por semana: 40. Horário de trabalho (início/término): 6h às 16h.</v>
      </c>
    </row>
    <row r="2001" ht="20.25" customHeight="1">
      <c r="A2001" s="8" t="s">
        <v>8979</v>
      </c>
      <c r="B2001" s="8" t="s">
        <v>8980</v>
      </c>
      <c r="C2001" s="8" t="s">
        <v>8981</v>
      </c>
      <c r="D2001" s="8" t="s">
        <v>71</v>
      </c>
      <c r="E2001" s="9" t="s">
        <v>19</v>
      </c>
      <c r="F2001" s="9" t="s">
        <v>20</v>
      </c>
      <c r="G2001" s="9" t="s">
        <v>524</v>
      </c>
      <c r="H2001" s="8" t="s">
        <v>8982</v>
      </c>
      <c r="I2001" s="8" t="s">
        <v>8983</v>
      </c>
      <c r="J2001" s="9">
        <v>18.0</v>
      </c>
      <c r="K2001" s="9">
        <v>32.0</v>
      </c>
      <c r="L2001" s="8" t="s">
        <v>586</v>
      </c>
      <c r="M2001" s="8" t="s">
        <v>8984</v>
      </c>
      <c r="N2001" s="7" t="str">
        <f>IFERROR(__xludf.DUMMYFUNCTION("GOOGLETRANSLATE(L2001, ""en"", ""pt"")"),"Cozinheiro de linha")</f>
        <v>Cozinheiro de linha</v>
      </c>
      <c r="O2001" s="7" t="str">
        <f>IFERROR(__xludf.DUMMYFUNCTION("IF(M2001="""","""",GOOGLETRANSLATE(M2001,""en"",""pt""))"),"Prepara, tempera e cozinha sopas, carnes, legumes, frutas, sobremesas e outros alimentos diversos para consumo; observa as diretrizes da receita e os procedimentos de higiene. *Continuação da Seção F.a.5 abaixo: 40 horas semanais. Os turnos serão de 8 hor"&amp;"as e podem variar conforme a necessidade, de acordo com o anúncio da vaga na Agência Estadual de Força de Trabalho e em outras fontes de anúncios de vagas H-2B, conforme os requisitos de recrutamento dos empregadores para trabalhadores em potencial no âmb"&amp;"ito do programa H-2B. Turnos variáveis ​​ao longo de 7 dias da semana. Os turnos podem variar: das 6h às 23h. Classificação do Cargo: 35-2014.00 - Cozinheiros, Restaurante. A classificação e a descrição do cargo/setor incluem informações gerais sobre a po"&amp;"sição, de acordo com o ONET/OES e o Sistema de Classificação Industrial da América do Norte. Consulte as Funções e a Ordem de Serviço para obter mais informações. Requisitos do Cargo Experiência Necessária: Não. Requisitos Especiais: APROVAÇÃO NA VERIFICA"&amp;"ÇÃO DE ANTECEDENTES CRIMINAIS PRÉ-ADMISSÃO; CAPACIDADE DE SE COMUNICAR EM INGLÊS; TESTE DE DROGAS PÓS-ADMISSÃO. O EMPREGADOR EXIGE QUE A VERIFICAÇÃO DE ANTECEDENTES CRIMINAIS PRÉ-ADMISSÃO E O TESTE DE DROGAS PÓS-ADMISSÃO SEJAM REALIZADOS IGUALMENTE PARA T"&amp;"RABALHADORES AMERICANOS E TRABALHADORES COM VISTO H-2B. Número de horas por semana: 40. Horário de trabalho (início/término): 6h às 23h.")</f>
        <v>Prepara, tempera e cozinha sopas, carnes, legumes, frutas, sobremesas e outros alimentos diversos para consumo; observa as diretrizes da receita e os procedimentos de higiene. *Continuação da Seção F.a.5 abaixo: 40 horas semanais. Os turnos serão de 8 horas e podem variar conforme a necessidade, de acordo com o anúncio da vaga na Agência Estadual de Força de Trabalho e em outras fontes de anúncios de vagas H-2B, conforme os requisitos de recrutamento dos empregadores para trabalhadores em potencial no âmbito do programa H-2B. Turnos variáveis ​​ao longo de 7 dias da semana. Os turnos podem variar: das 6h às 23h. Classificação do Cargo: 35-2014.00 - Cozinheiros, Restaurante. A classificação e a descrição do cargo/setor incluem informações gerais sobre a posição, de acordo com o ONET/OES e o Sistema de Classificação Industrial da América do Norte. Consulte as Funções e a Ordem de Serviço para obter mais informações. Requisitos do Cargo Experiência Necessária: Não. Requisitos Especiais: APROVAÇÃO NA VERIFICAÇÃO DE ANTECEDENTES CRIMINAIS PRÉ-ADMISSÃO; CAPACIDADE DE SE COMUNICAR EM INGLÊS; TESTE DE DROGAS PÓS-ADMISSÃO. O EMPREGADOR EXIGE QUE A VERIFICAÇÃO DE ANTECEDENTES CRIMINAIS PRÉ-ADMISSÃO E O TESTE DE DROGAS PÓS-ADMISSÃO SEJAM REALIZADOS IGUALMENTE PARA TRABALHADORES AMERICANOS E TRABALHADORES COM VISTO H-2B. Número de horas por semana: 40. Horário de trabalho (início/término): 6h às 23h.</v>
      </c>
    </row>
    <row r="2002" ht="20.25" customHeight="1">
      <c r="A2002" s="3" t="s">
        <v>8985</v>
      </c>
      <c r="B2002" s="3" t="s">
        <v>8980</v>
      </c>
      <c r="C2002" s="3" t="s">
        <v>8981</v>
      </c>
      <c r="D2002" s="3" t="s">
        <v>71</v>
      </c>
      <c r="E2002" s="4" t="s">
        <v>19</v>
      </c>
      <c r="F2002" s="4" t="s">
        <v>20</v>
      </c>
      <c r="G2002" s="4" t="s">
        <v>524</v>
      </c>
      <c r="H2002" s="3" t="s">
        <v>8982</v>
      </c>
      <c r="I2002" s="3" t="s">
        <v>8983</v>
      </c>
      <c r="J2002" s="4">
        <v>19.51</v>
      </c>
      <c r="K2002" s="4">
        <v>4.0</v>
      </c>
      <c r="L2002" s="3" t="s">
        <v>1684</v>
      </c>
      <c r="M2002" s="3" t="s">
        <v>8986</v>
      </c>
      <c r="N2002" s="7" t="str">
        <f>IFERROR(__xludf.DUMMYFUNCTION("GOOGLETRANSLATE(L2002, ""en"", ""pt"")"),"Barman")</f>
        <v>Barman</v>
      </c>
      <c r="O2002" s="7" t="str">
        <f>IFERROR(__xludf.DUMMYFUNCTION("IF(M2002="""","""",GOOGLETRANSLATE(M2002,""en"",""pt""))"),"Anotar pedidos de bebidas. Preparar e servir drinks. Limpar a área do bar. Poderá ser necessário anotar pedidos de comida e fazer recomendações sobre vinhos e outros produtos. Solicitar e exibir bebidas alcoólicas e suprimentos. Manter a área do bar limpa"&amp;" e trabalhar de acordo com as normas estaduais rigorosamente aplicadas. *Continuação da Seção F.a.5 abaixo: 40 horas semanais. Os turnos serão de 8 horas e podem variar conforme a necessidade, de acordo com o anúncio da vaga na Agência Estadual de Força d"&amp;"e Trabalho e em outras fontes de anúncios de vagas H-2B, conforme os requisitos de recrutamento dos empregadores para trabalhadores em potencial no âmbito do programa H-2B. Turnos variáveis ​​ao longo de 7 dias da semana. Os turnos podem variar das 6h às "&amp;"23h. Classificação da vaga: 35-3011.00 - Bartenders. A classificação e descrição da vaga/setor incluem informações gerais sobre o cargo, de acordo com o ONET/OES e o Sistema de Classificação Industrial da América do Norte. Consulte as Funções e a Ordem de"&amp;" Serviço para obter mais informações. Requisitos da vaga: Experiência necessária: Não. Requisitos especiais: APROVAÇÃO NA VERIFICAÇÃO DE ANTECEDENTES CRIMINAIS PRÉ-ADMISSÃO. HABILIDADE DE SE COMUNICAR EM INGLÊS; TESTE DE DROGAS PÓS-ADMISSÃO. O EMPREGADOR "&amp;"EXIGE QUE A VERIFICAÇÃO DE ANTECEDENTES CRIMINAIS PRÉ-ADMISSÃO E O TESTE DE DROGAS PÓS-ADMISSÃO SEJAM REALIZADOS IGUALMENTE PARA OS TRABALHADORES AMERICANOS E OS TRABALHADORES COM VISTO H-2B. Número de horas por semana: 40. Horário de trabalho (início/tér"&amp;"mino): 6h às 23h.")</f>
        <v>Anotar pedidos de bebidas. Preparar e servir drinks. Limpar a área do bar. Poderá ser necessário anotar pedidos de comida e fazer recomendações sobre vinhos e outros produtos. Solicitar e exibir bebidas alcoólicas e suprimentos. Manter a área do bar limpa e trabalhar de acordo com as normas estaduais rigorosamente aplicadas. *Continuação da Seção F.a.5 abaixo: 40 horas semanais. Os turnos serão de 8 horas e podem variar conforme a necessidade, de acordo com o anúncio da vaga na Agência Estadual de Força de Trabalho e em outras fontes de anúncios de vagas H-2B, conforme os requisitos de recrutamento dos empregadores para trabalhadores em potencial no âmbito do programa H-2B. Turnos variáveis ​​ao longo de 7 dias da semana. Os turnos podem variar das 6h às 23h. Classificação da vaga: 35-3011.00 - Bartenders. A classificação e descrição da vaga/setor incluem informações gerais sobre o cargo, de acordo com o ONET/OES e o Sistema de Classificação Industrial da América do Norte. Consulte as Funções e a Ordem de Serviço para obter mais informações. Requisitos da vaga: Experiência necessária: Não. Requisitos especiais: APROVAÇÃO NA VERIFICAÇÃO DE ANTECEDENTES CRIMINAIS PRÉ-ADMISSÃO. HABILIDADE DE SE COMUNICAR EM INGLÊS; TESTE DE DROGAS PÓS-ADMISSÃO. O EMPREGADOR EXIGE QUE A VERIFICAÇÃO DE ANTECEDENTES CRIMINAIS PRÉ-ADMISSÃO E O TESTE DE DROGAS PÓS-ADMISSÃO SEJAM REALIZADOS IGUALMENTE PARA OS TRABALHADORES AMERICANOS E OS TRABALHADORES COM VISTO H-2B. Número de horas por semana: 40. Horário de trabalho (início/término): 6h às 23h.</v>
      </c>
    </row>
    <row r="2003" ht="20.25" customHeight="1">
      <c r="A2003" s="8" t="s">
        <v>8987</v>
      </c>
      <c r="B2003" s="8" t="s">
        <v>8980</v>
      </c>
      <c r="C2003" s="8" t="s">
        <v>8981</v>
      </c>
      <c r="D2003" s="8" t="s">
        <v>71</v>
      </c>
      <c r="E2003" s="9" t="s">
        <v>19</v>
      </c>
      <c r="F2003" s="9" t="s">
        <v>20</v>
      </c>
      <c r="G2003" s="9" t="s">
        <v>524</v>
      </c>
      <c r="H2003" s="8" t="s">
        <v>8982</v>
      </c>
      <c r="I2003" s="8" t="s">
        <v>8983</v>
      </c>
      <c r="J2003" s="9">
        <v>18.75</v>
      </c>
      <c r="K2003" s="9">
        <v>37.0</v>
      </c>
      <c r="L2003" s="8" t="s">
        <v>1206</v>
      </c>
      <c r="M2003" s="8" t="s">
        <v>8988</v>
      </c>
      <c r="N2003" s="7" t="str">
        <f>IFERROR(__xludf.DUMMYFUNCTION("GOOGLETRANSLATE(L2003, ""en"", ""pt"")"),"Servidor")</f>
        <v>Servidor</v>
      </c>
      <c r="O2003" s="7" t="str">
        <f>IFERROR(__xludf.DUMMYFUNCTION("IF(M2003="""","""",GOOGLETRANSLATE(M2003,""en"",""pt""))"),"Receber e servir pedidos de comida e bebida; realizar a montagem e desmontagem de mesas e outras atividades diversas; pode ser necessário trabalhar em ambientes externos e em eventos de banquetes; pode ser necessário servir clientes utilizando carrinho de"&amp;" golfe. *Continuação da Seção F.a.5 abaixo: 40 horas semanais. Os turnos serão de 8 horas e podem variar conforme a necessidade, de acordo com o anúncio da vaga na Agência Estadual de Força de Trabalho e em outras fontes de anúncios de vagas H-2B, conform"&amp;"e os requisitos de recrutamento dos empregadores para trabalhadores em potencial no âmbito do programa H-2B. Turnos variáveis ​​ao longo de 7 dias da semana. Os turnos podem variar: das 6h às 23h. Classificação da vaga: 35-3031.00 - Garçons e Garçonetes. "&amp;"A classificação e descrição da vaga/setor inclui informações gerais sobre o cargo, de acordo com o ONET/OES e o Sistema de Classificação Industrial da América do Norte. Consulte as Funções e a Ordem de Serviço para obter mais informações. Requisitos da va"&amp;"ga: Experiência necessária: Não. Requisitos especiais: APROVAÇÃO NA VERIFICAÇÃO DE ANTECEDENTES CRIMINAIS PRÉ-ADMISSÃO. HABILIDADE DE SE COMUNICAR EM INGLÊS; TESTE DE DROGAS PÓS-ADMISSÃO. O EMPREGADOR EXIGE QUE A VERIFICAÇÃO DE ANTECEDENTES CRIMINAIS PRÉ-"&amp;"ADMISSÃO E O TESTE DE DROGAS PÓS-ADMISSÃO SEJAM REALIZADOS IGUALMENTE PARA OS TRABALHADORES AMERICANOS E OS TRABALHADORES COM VISTO H-2B. Número de horas por semana: 40. Horário de trabalho (início/término): 6h às 23h.")</f>
        <v>Receber e servir pedidos de comida e bebida; realizar a montagem e desmontagem de mesas e outras atividades diversas; pode ser necessário trabalhar em ambientes externos e em eventos de banquetes; pode ser necessário servir clientes utilizando carrinho de golfe. *Continuação da Seção F.a.5 abaixo: 40 horas semanais. Os turnos serão de 8 horas e podem variar conforme a necessidade, de acordo com o anúncio da vaga na Agência Estadual de Força de Trabalho e em outras fontes de anúncios de vagas H-2B, conforme os requisitos de recrutamento dos empregadores para trabalhadores em potencial no âmbito do programa H-2B. Turnos variáveis ​​ao longo de 7 dias da semana. Os turnos podem variar: das 6h às 23h. Classificação da vaga: 35-3031.00 - Garçons e Garçonetes. A classificação e descrição da vaga/setor inclui informações gerais sobre o cargo, de acordo com o ONET/OES e o Sistema de Classificação Industrial da América do Norte. Consulte as Funções e a Ordem de Serviço para obter mais informações. Requisitos da vaga: Experiência necessária: Não. Requisitos especiais: APROVAÇÃO NA VERIFICAÇÃO DE ANTECEDENTES CRIMINAIS PRÉ-ADMISSÃO. HABILIDADE DE SE COMUNICAR EM INGLÊS; TESTE DE DROGAS PÓS-ADMISSÃO. O EMPREGADOR EXIGE QUE A VERIFICAÇÃO DE ANTECEDENTES CRIMINAIS PRÉ-ADMISSÃO E O TESTE DE DROGAS PÓS-ADMISSÃO SEJAM REALIZADOS IGUALMENTE PARA OS TRABALHADORES AMERICANOS E OS TRABALHADORES COM VISTO H-2B. Número de horas por semana: 40. Horário de trabalho (início/término): 6h às 23h.</v>
      </c>
    </row>
    <row r="2004" ht="20.25" customHeight="1">
      <c r="A2004" s="3" t="s">
        <v>8989</v>
      </c>
      <c r="B2004" s="3" t="s">
        <v>8980</v>
      </c>
      <c r="C2004" s="3" t="s">
        <v>8981</v>
      </c>
      <c r="D2004" s="3" t="s">
        <v>71</v>
      </c>
      <c r="E2004" s="4" t="s">
        <v>19</v>
      </c>
      <c r="F2004" s="4" t="s">
        <v>20</v>
      </c>
      <c r="G2004" s="4" t="s">
        <v>524</v>
      </c>
      <c r="H2004" s="3" t="s">
        <v>8982</v>
      </c>
      <c r="I2004" s="3" t="s">
        <v>8983</v>
      </c>
      <c r="J2004" s="4">
        <v>17.91</v>
      </c>
      <c r="K2004" s="4">
        <v>20.0</v>
      </c>
      <c r="L2004" s="3" t="s">
        <v>5135</v>
      </c>
      <c r="M2004" s="3" t="s">
        <v>8990</v>
      </c>
      <c r="N2004" s="7" t="str">
        <f>IFERROR(__xludf.DUMMYFUNCTION("GOOGLETRANSLATE(L2004, ""en"", ""pt"")"),"Assistente de Garçom")</f>
        <v>Assistente de Garçom</v>
      </c>
      <c r="O2004" s="7" t="str">
        <f>IFERROR(__xludf.DUMMYFUNCTION("IF(M2004="""","""",GOOGLETRANSLATE(M2004,""en"",""pt""))"),"Auxiliar os garçons levando bebidas às mesas, reabastecendo os copos, recolhendo talheres/louças usados; limpar as áreas de serviço e os equipamentos; abastecer todos os utensílios e equipamentos necessários para o serviço. *Continuação da Seção F.a.5 aba"&amp;"ixo: 40 horas semanais. Os turnos serão de 8 horas e podem variar conforme a necessidade, de acordo com o anúncio da vaga na Agência Estadual de Força de Trabalho e em outras fontes de anúncios de vagas H-2B, conforme os requisitos de recrutamento dos emp"&amp;"regadores para trabalhadores em potencial no âmbito do programa H-2B. Turnos variáveis ​​ao longo de 7 dias da semana. Os turnos podem variar: das 6h às 23h. Classificação do Cargo: 35-9011.00 - Atendentes de Salão de Jantar e Cafeteria e Auxiliares de Ba"&amp;"rman. A classificação e descrição do cargo/setor incluem informações gerais sobre a posição, de acordo com o ONET/OES e o Sistema de Classificação Industrial da América do Norte. Consulte as Funções e a Ordem de Serviço para obter mais informações. Requis"&amp;"itos da vaga Experiência necessária: Não Requisitos especiais: Aprovação na verificação policial pré-admissional; capacidade de comunicação em inglês; teste toxicológico pós-admissional. O empregador exige que a verificação policial pré-admissional e o te"&amp;"ste toxicológico pós-admissional sejam realizados igualmente para trabalhadores americanos e trabalhadores com visto H-2B. Número de horas por semana: 40 Horário de trabalho (início/término): 6h às 23h")</f>
        <v>Auxiliar os garçons levando bebidas às mesas, reabastecendo os copos, recolhendo talheres/louças usados; limpar as áreas de serviço e os equipamentos; abastecer todos os utensílios e equipamentos necessários para o serviço. *Continuação da Seção F.a.5 abaixo: 40 horas semanais. Os turnos serão de 8 horas e podem variar conforme a necessidade, de acordo com o anúncio da vaga na Agência Estadual de Força de Trabalho e em outras fontes de anúncios de vagas H-2B, conforme os requisitos de recrutamento dos empregadores para trabalhadores em potencial no âmbito do programa H-2B. Turnos variáveis ​​ao longo de 7 dias da semana. Os turnos podem variar: das 6h às 23h. Classificação do Cargo: 35-9011.00 - Atendentes de Salão de Jantar e Cafeteria e Auxiliares de Barman. A classificação e descrição do cargo/setor incluem informações gerais sobre a posição, de acordo com o ONET/OES e o Sistema de Classificação Industrial da América do Norte. Consulte as Funções e a Ordem de Serviço para obter mais informações. Requisitos da vaga Experiência necessária: Não Requisitos especiais: Aprovação na verificação policial pré-admissional; capacidade de comunicação em inglês; teste toxicológico pós-admissional. O empregador exige que a verificação policial pré-admissional e o teste toxicológico pós-admissional sejam realizados igualmente para trabalhadores americanos e trabalhadores com visto H-2B. Número de horas por semana: 40 Horário de trabalho (início/término): 6h às 23h</v>
      </c>
    </row>
    <row r="2005" ht="20.25" customHeight="1">
      <c r="A2005" s="8" t="s">
        <v>8991</v>
      </c>
      <c r="B2005" s="8" t="s">
        <v>8980</v>
      </c>
      <c r="C2005" s="8" t="s">
        <v>8981</v>
      </c>
      <c r="D2005" s="8" t="s">
        <v>71</v>
      </c>
      <c r="E2005" s="9" t="s">
        <v>19</v>
      </c>
      <c r="F2005" s="9" t="s">
        <v>20</v>
      </c>
      <c r="G2005" s="9" t="s">
        <v>524</v>
      </c>
      <c r="H2005" s="8" t="s">
        <v>8982</v>
      </c>
      <c r="I2005" s="8" t="s">
        <v>8983</v>
      </c>
      <c r="J2005" s="9">
        <v>17.0</v>
      </c>
      <c r="K2005" s="9">
        <v>16.0</v>
      </c>
      <c r="L2005" s="8" t="s">
        <v>2821</v>
      </c>
      <c r="M2005" s="8" t="s">
        <v>8992</v>
      </c>
      <c r="N2005" s="7" t="str">
        <f>IFERROR(__xludf.DUMMYFUNCTION("GOOGLETRANSLATE(L2005, ""en"", ""pt"")"),"Auxiliar de Recreação")</f>
        <v>Auxiliar de Recreação</v>
      </c>
      <c r="O2005" s="7" t="str">
        <f>IFERROR(__xludf.DUMMYFUNCTION("IF(M2005="""","""",GOOGLETRANSLATE(M2005,""en"",""pt""))"),"O funcionário poderá ser solicitado a desempenhar qualquer uma das seguintes funções: monitorar as atividades no campo de golfe, complexo de tênis, complexo aquático, spa e academia; prestar assistência administrativa aos membros, incluindo a verificação "&amp;"de cartões de membro, confirmação de reservas, organização de mercadorias e fornecimento de informações sobre as instalações; realizar a limpeza básica de carrinhos de golfe e tacos, e transportar os equipamentos de golfe e automóveis dos membros de e par"&amp;"a as instalações do clube. A limpeza dos carrinhos de golfe e de quaisquer outros veículos é uma tarefa diária exigida dos auxiliares de recreação, destinada a manter a longevidade dos equipamentos, aprimorar a experiência dos membros e garantir altos pad"&amp;"rões de higienização. Esse processo envolve uma rotina rápida e estruturada após o retorno dos carrinhos do campo. Uma limpeza básica típica leva aproximadamente 15 a 20 minutos e inclui a remoção do lixo, lavagem, limpeza das superfícies, limpeza dos ass"&amp;"entos, limpeza do para-brisa, limpeza das rodas e secagem das superfícies do carrinho de golfe. As tarefas relacionadas ao transporte de automóveis de e para as instalações exigem uma combinação de hospitalidade, segurança e organização rigorosa. Essa fun"&amp;"ção geralmente representa o primeiro e o último ponto de contato com o membro, o que envolve cumprimentá-lo na calçada; Abrir a porta do motorista imediatamente após a chegada; realizar uma inspeção visual rápida e discreta para verificar se há danos pré-"&amp;"existentes; levar o veículo para a frente das instalações do clube, mediante solicitação do sócio. *Continuação da Seção F.a.5 abaixo: 40 horas semanais. Os turnos serão de 8 horas e podem variar conforme a necessidade, de acordo com o anúncio da vaga na "&amp;"Agência Estadual de Força de Trabalho e em outras fontes de anúncios de vagas H2B, conforme os requisitos de recrutamento dos empregadores para trabalhadores em potencial no âmbito do programa H-2B. Turnos variáveis ​​ao longo de 7 dias da semana. Os turn"&amp;"os podem variar: das 6h às 23h. Classificação da vaga: 53-7061.00 - Limpeza de Veículos e Equipamentos. A classificação e descrição da vaga/setor inclui informações gerais sobre o cargo, de acordo com o ONET/OES e o Sistema de Classificação Industrial da "&amp;"América do Norte. Consulte as Funções e a Ordem de Serviço para obter mais informações. Requisitos da vaga: Experiência necessária: Não. Requisitos especiais: APROVAÇÃO NA VERIFICAÇÃO DE ANTECEDENTES CRIMINAIS PRÉ-ADMISSÃO; CAPACIDADE DE SE COMUNICAR EM I"&amp;"NGLÊS; TESTE DE DROGAS PÓS-ADMISSÃO. O EMPREGADOR EXIGE QUE A VERIFICAÇÃO DE ANTECEDENTES CRIMINAIS PRÉ-ADMISSÃO E O TESTE DE DROGAS PÓS-ADMISSÃO SEJAM REALIZADOS IGUALMENTE PARA TRABALHADORES AMERICANOS E TRABALHADORES COM VISTO H-2B. Número de horas por"&amp;" semana: 40. Horário de trabalho (início/término): 6h às 23h.")</f>
        <v>O funcionário poderá ser solicitado a desempenhar qualquer uma das seguintes funções: monitorar as atividades no campo de golfe, complexo de tênis, complexo aquático, spa e academia; prestar assistência administrativa aos membros, incluindo a verificação de cartões de membro, confirmação de reservas, organização de mercadorias e fornecimento de informações sobre as instalações; realizar a limpeza básica de carrinhos de golfe e tacos, e transportar os equipamentos de golfe e automóveis dos membros de e para as instalações do clube. A limpeza dos carrinhos de golfe e de quaisquer outros veículos é uma tarefa diária exigida dos auxiliares de recreação, destinada a manter a longevidade dos equipamentos, aprimorar a experiência dos membros e garantir altos padrões de higienização. Esse processo envolve uma rotina rápida e estruturada após o retorno dos carrinhos do campo. Uma limpeza básica típica leva aproximadamente 15 a 20 minutos e inclui a remoção do lixo, lavagem, limpeza das superfícies, limpeza dos assentos, limpeza do para-brisa, limpeza das rodas e secagem das superfícies do carrinho de golfe. As tarefas relacionadas ao transporte de automóveis de e para as instalações exigem uma combinação de hospitalidade, segurança e organização rigorosa. Essa função geralmente representa o primeiro e o último ponto de contato com o membro, o que envolve cumprimentá-lo na calçada; Abrir a porta do motorista imediatamente após a chegada; realizar uma inspeção visual rápida e discreta para verificar se há danos pré-existentes; levar o veículo para a frente das instalações do clube, mediante solicitação do sócio. *Continuação da Seção F.a.5 abaixo: 40 horas semanais. Os turnos serão de 8 horas e podem variar conforme a necessidade, de acordo com o anúncio da vaga na Agência Estadual de Força de Trabalho e em outras fontes de anúncios de vagas H2B, conforme os requisitos de recrutamento dos empregadores para trabalhadores em potencial no âmbito do programa H-2B. Turnos variáveis ​​ao longo de 7 dias da semana. Os turnos podem variar: das 6h às 23h. Classificação da vaga: 53-7061.00 - Limpeza de Veículos e Equipamentos. A classificação e descrição da vaga/setor inclui informações gerais sobre o cargo, de acordo com o ONET/OES e o Sistema de Classificação Industrial da América do Norte. Consulte as Funções e a Ordem de Serviço para obter mais informações. Requisitos da vaga: Experiência necessária: Não. Requisitos especiais: APROVAÇÃO NA VERIFICAÇÃO DE ANTECEDENTES CRIMINAIS PRÉ-ADMISSÃO; CAPACIDADE DE SE COMUNICAR EM INGLÊS; TESTE DE DROGAS PÓS-ADMISSÃO. O EMPREGADOR EXIGE QUE A VERIFICAÇÃO DE ANTECEDENTES CRIMINAIS PRÉ-ADMISSÃO E O TESTE DE DROGAS PÓS-ADMISSÃO SEJAM REALIZADOS IGUALMENTE PARA TRABALHADORES AMERICANOS E TRABALHADORES COM VISTO H-2B. Número de horas por semana: 40. Horário de trabalho (início/término): 6h às 23h.</v>
      </c>
    </row>
    <row r="2006" ht="20.25" customHeight="1">
      <c r="A2006" s="3" t="s">
        <v>8993</v>
      </c>
      <c r="B2006" s="3" t="s">
        <v>8980</v>
      </c>
      <c r="C2006" s="3" t="s">
        <v>8981</v>
      </c>
      <c r="D2006" s="3" t="s">
        <v>71</v>
      </c>
      <c r="E2006" s="4" t="s">
        <v>19</v>
      </c>
      <c r="F2006" s="4" t="s">
        <v>20</v>
      </c>
      <c r="G2006" s="4" t="s">
        <v>524</v>
      </c>
      <c r="H2006" s="3" t="s">
        <v>8982</v>
      </c>
      <c r="I2006" s="3" t="s">
        <v>8983</v>
      </c>
      <c r="J2006" s="4">
        <v>22.56</v>
      </c>
      <c r="K2006" s="4">
        <v>6.0</v>
      </c>
      <c r="L2006" s="3" t="s">
        <v>4654</v>
      </c>
      <c r="M2006" s="3" t="s">
        <v>8994</v>
      </c>
      <c r="N2006" s="7" t="str">
        <f>IFERROR(__xludf.DUMMYFUNCTION("GOOGLETRANSLATE(L2006, ""en"", ""pt"")"),"Capitão do servidor")</f>
        <v>Capitão do servidor</v>
      </c>
      <c r="O2006" s="7" t="str">
        <f>IFERROR(__xludf.DUMMYFUNCTION("IF(M2006="""","""",GOOGLETRANSLATE(M2006,""en"",""pt""))"),"Receber e servir pedidos de comida e bebida; realizar atividades de montagem e desmontagem de mesas e outros eventos; pode ser necessário trabalhar em ambientes externos e em banquetes; pode ser necessário servir clientes em carrinhos de golfe; supervisio"&amp;"nar a equipe de serviço durante a montagem; treinar novos garçons; construir e manter um bom relacionamento com os membros do clube; ser um exemplo a ser seguido e garantir que a equipe de serviço do clube ofereça o mais alto nível de atendimento. *Contin"&amp;"uação da Seção F.a.5 abaixo: 40 horas semanais. Os turnos serão de 8 horas e podem variar conforme a necessidade, de acordo com o anúncio de vaga da Agência Estadual de Força de Trabalho e outras fontes de anúncios de emprego H-2B, conforme os requisitos "&amp;"de recrutamento dos empregadores para trabalhadores em potencial no âmbito do programa H-2B. Turnos variáveis ​​ao longo de 7 dias da semana. Os turnos podem variar das 6h às 23h. Classificação da vaga: 35-1012.00 - Supervisores de primeira linha de traba"&amp;"lhadores de preparação e serviço de alimentos. A classificação e descrição da vaga/setor inclui informações gerais sobre o cargo, conforme o ONET/OES e o Sistema de Classificação Industrial da América do Norte (NAICS). Consulte as atribuições e a ordem de"&amp;" serviço para obter mais informações. Requisitos da vaga: Experiência exigida: Sim. Meses de experiência exigidos: 6. Requisitos especiais: Aprovação na verificação de antecedentes criminais pré-admissional; capacidade de comunicação em inglês; teste toxi"&amp;"cológico pós-admissional. O empregador exige que a verificação de antecedentes criminais pré-admissional e o teste toxicológico pós-admissional sejam realizados igualmente para trabalhadores americanos e trabalhadores com visto H-2B. A experiência de 6 me"&amp;"ses exigida no quadro F.A.9 refere-se a 6 meses de experiência como garçom ou garçom sênior em um estabelecimento de hotelaria. Número de horas por semana: 40. Horário de trabalho (início/término): 6h às 23h.")</f>
        <v>Receber e servir pedidos de comida e bebida; realizar atividades de montagem e desmontagem de mesas e outros eventos; pode ser necessário trabalhar em ambientes externos e em banquetes; pode ser necessário servir clientes em carrinhos de golfe; supervisionar a equipe de serviço durante a montagem; treinar novos garçons; construir e manter um bom relacionamento com os membros do clube; ser um exemplo a ser seguido e garantir que a equipe de serviço do clube ofereça o mais alto nível de atendimento. *Continuação da Seção F.a.5 abaixo: 40 horas semanais. Os turnos serão de 8 horas e podem variar conforme a necessidade, de acordo com o anúncio de vaga da Agência Estadual de Força de Trabalho e outras fontes de anúncios de emprego H-2B, conforme os requisitos de recrutamento dos empregadores para trabalhadores em potencial no âmbito do programa H-2B. Turnos variáveis ​​ao longo de 7 dias da semana. Os turnos podem variar das 6h às 23h. Classificação da vaga: 35-1012.00 - Supervisores de primeira linha de trabalhadores de preparação e serviço de alimentos. A classificação e descrição da vaga/setor inclui informações gerais sobre o cargo, conforme o ONET/OES e o Sistema de Classificação Industrial da América do Norte (NAICS). Consulte as atribuições e a ordem de serviço para obter mais informações. Requisitos da vaga: Experiência exigida: Sim. Meses de experiência exigidos: 6. Requisitos especiais: Aprovação na verificação de antecedentes criminais pré-admissional; capacidade de comunicação em inglês; teste toxicológico pós-admissional. O empregador exige que a verificação de antecedentes criminais pré-admissional e o teste toxicológico pós-admissional sejam realizados igualmente para trabalhadores americanos e trabalhadores com visto H-2B. A experiência de 6 meses exigida no quadro F.A.9 refere-se a 6 meses de experiência como garçom ou garçom sênior em um estabelecimento de hotelaria. Número de horas por semana: 40. Horário de trabalho (início/término): 6h às 23h.</v>
      </c>
    </row>
    <row r="2007" ht="20.25" customHeight="1">
      <c r="A2007" s="8" t="s">
        <v>8995</v>
      </c>
      <c r="B2007" s="8" t="s">
        <v>8980</v>
      </c>
      <c r="C2007" s="8" t="s">
        <v>8981</v>
      </c>
      <c r="D2007" s="8" t="s">
        <v>71</v>
      </c>
      <c r="E2007" s="9" t="s">
        <v>44</v>
      </c>
      <c r="F2007" s="9" t="s">
        <v>20</v>
      </c>
      <c r="G2007" s="9" t="s">
        <v>524</v>
      </c>
      <c r="H2007" s="8" t="s">
        <v>8982</v>
      </c>
      <c r="I2007" s="8" t="s">
        <v>8983</v>
      </c>
      <c r="J2007" s="9">
        <v>18.25</v>
      </c>
      <c r="K2007" s="9">
        <v>9.0</v>
      </c>
      <c r="L2007" s="8" t="s">
        <v>8996</v>
      </c>
      <c r="M2007" s="8" t="s">
        <v>8997</v>
      </c>
      <c r="N2007" s="7" t="str">
        <f>IFERROR(__xludf.DUMMYFUNCTION("GOOGLETRANSLATE(L2007, ""en"", ""pt"")"),"Trabalhadores de manutenção de campos de golfe")</f>
        <v>Trabalhadores de manutenção de campos de golfe</v>
      </c>
      <c r="O2007" s="7" t="str">
        <f>IFERROR(__xludf.DUMMYFUNCTION("IF(M2007="""","""",GOOGLETRANSLATE(M2007,""en"",""pt""))"),"Paisagismo e manutenção de terrenos de campos de golfe, utilizando ferramentas manuais ou elétricas. As responsabilidades podem incluir qualquer combinação das seguintes atividades: colocação de grama, corte, poda, plantio, rega, fertilização, escavação, "&amp;"rastelagem e instalação de aspersores. *Continuação da Seção F.a.5 abaixo: 40 horas semanais. Os turnos serão de 8 horas, podendo variar conforme a necessidade, de acordo com o anúncio da vaga na Agência Estadual de Força de Trabalho e em outras fontes de"&amp;" anúncios de vagas H-2B, conforme os requisitos de recrutamento dos empregadores para trabalhadores em potencial no âmbito do programa H-2B. Turnos variáveis ​​ao longo de 7 dias da semana. Os turnos podem variar das 6h às 23h. Classificação da vaga: 37-3"&amp;"011.00 - Trabalhadores de Paisagismo e Manutenção de Terrenos. A classificação e descrição da vaga/setor incluem informações gerais sobre o cargo, provenientes do ONET/OES e do Sistema de Classificação Industrial da América do Norte. Consulte as Funções e"&amp;" a Ordem de Serviço para obter mais informações. Requisitos da vaga Experiência necessária: Não Requisitos especiais: Aprovação na verificação policial pré-admissional; capacidade de comunicação em inglês; teste toxicológico pós-admissional. O empregador "&amp;"exige que a verificação policial pré-admissional e o teste toxicológico pós-admissional sejam realizados igualmente para trabalhadores americanos e trabalhadores com visto H-2B. Número de horas por semana: 40 Horário de trabalho (início/término): 6h às 23"&amp;"h")</f>
        <v>Paisagismo e manutenção de terrenos de campos de golfe, utilizando ferramentas manuais ou elétricas. As responsabilidades podem incluir qualquer combinação das seguintes atividades: colocação de grama, corte, poda, plantio, rega, fertilização, escavação, rastelagem e instalação de aspersores. *Continuação da Seção F.a.5 abaixo: 40 horas semanais. Os turnos serão de 8 horas, podendo variar conforme a necessidade, de acordo com o anúncio da vaga na Agência Estadual de Força de Trabalho e em outras fontes de anúncios de vagas H-2B, conforme os requisitos de recrutamento dos empregadores para trabalhadores em potencial no âmbito do programa H-2B. Turnos variáveis ​​ao longo de 7 dias da semana. Os turnos podem variar das 6h às 23h. Classificação da vaga: 37-3011.00 - Trabalhadores de Paisagismo e Manutenção de Terrenos. A classificação e descrição da vaga/setor incluem informações gerais sobre o cargo, provenientes do ONET/OES e do Sistema de Classificação Industrial da América do Norte. Consulte as Funções e a Ordem de Serviço para obter mais informações. Requisitos da vaga Experiência necessária: Não Requisitos especiais: Aprovação na verificação policial pré-admissional; capacidade de comunicação em inglês; teste toxicológico pós-admissional. O empregador exige que a verificação policial pré-admissional e o teste toxicológico pós-admissional sejam realizados igualmente para trabalhadores americanos e trabalhadores com visto H-2B. Número de horas por semana: 40 Horário de trabalho (início/término): 6h às 23h</v>
      </c>
    </row>
    <row r="2008" ht="20.25" customHeight="1">
      <c r="A2008" s="3" t="s">
        <v>8998</v>
      </c>
      <c r="B2008" s="3" t="s">
        <v>8999</v>
      </c>
      <c r="C2008" s="3" t="s">
        <v>8729</v>
      </c>
      <c r="D2008" s="3" t="s">
        <v>71</v>
      </c>
      <c r="E2008" s="4" t="s">
        <v>19</v>
      </c>
      <c r="F2008" s="4" t="s">
        <v>20</v>
      </c>
      <c r="G2008" s="4" t="s">
        <v>9000</v>
      </c>
      <c r="H2008" s="3" t="s">
        <v>9001</v>
      </c>
      <c r="I2008" s="3" t="s">
        <v>9002</v>
      </c>
      <c r="J2008" s="4">
        <v>16.09</v>
      </c>
      <c r="K2008" s="4">
        <v>1.0</v>
      </c>
      <c r="L2008" s="3" t="s">
        <v>8835</v>
      </c>
      <c r="M2008" s="3" t="s">
        <v>9003</v>
      </c>
      <c r="N2008" s="7" t="str">
        <f>IFERROR(__xludf.DUMMYFUNCTION("GOOGLETRANSLATE(L2008, ""en"", ""pt"")"),"Auxiliar de saúde domiciliar residente")</f>
        <v>Auxiliar de saúde domiciliar residente</v>
      </c>
      <c r="O2008" s="7" t="str">
        <f>IFERROR(__xludf.DUMMYFUNCTION("IF(M2008="""","""",GOOGLETRANSLATE(M2008,""en"",""pt""))"),"Prestar cuidados a dois idosos em domicílio. Auxiliar nas atividades diárias, incluindo banho, vestuário, higiene pessoal e exercícios. Preparar e servir refeições e lanches saudáveis. Orientar e auxiliar em atividades mentalmente estimulantes, como jogos"&amp;", quebra-cabeças e trabalhos manuais. Auxiliar no monitoramento da saúde e oferecer apoio emocional. Lavar roupas e manter o ambiente limpo e organizado. Classificação da vaga: 31-1122.00 - Auxiliares de Cuidados Pessoais. A classificação e descrição da v"&amp;"aga/setor incluem informações gerais sobre o cargo, de acordo com o ONET/OES e o Sistema de Classificação Industrial da América do Norte (NAICS). Consulte as atribuições e a descrição da vaga para obter mais informações. Requisitos da vaga: Experiência ne"&amp;"cessária: Não. Número de horas por semana: 64. Horário de trabalho (início/término): 8h às 18h.")</f>
        <v>Prestar cuidados a dois idosos em domicílio. Auxiliar nas atividades diárias, incluindo banho, vestuário, higiene pessoal e exercícios. Preparar e servir refeições e lanches saudáveis. Orientar e auxiliar em atividades mentalmente estimulantes, como jogos, quebra-cabeças e trabalhos manuais. Auxiliar no monitoramento da saúde e oferecer apoio emocional. Lavar roupas e manter o ambiente limpo e organizado. Classificação da vaga: 31-1122.00 - Auxiliares de Cuidados Pessoais. A classificação e descrição da vaga/setor incluem informações gerais sobre o cargo, de acordo com o ONET/OES e o Sistema de Classificação Industrial da América do Norte (NAICS). Consulte as atribuições e a descrição da vaga para obter mais informações. Requisitos da vaga: Experiência necessária: Não. Número de horas por semana: 64. Horário de trabalho (início/término): 8h às 18h.</v>
      </c>
    </row>
    <row r="2009" ht="20.25" customHeight="1">
      <c r="A2009" s="8" t="s">
        <v>9004</v>
      </c>
      <c r="B2009" s="8" t="s">
        <v>9005</v>
      </c>
      <c r="C2009" s="8" t="s">
        <v>8981</v>
      </c>
      <c r="D2009" s="8" t="s">
        <v>71</v>
      </c>
      <c r="E2009" s="9" t="s">
        <v>19</v>
      </c>
      <c r="F2009" s="9" t="s">
        <v>20</v>
      </c>
      <c r="G2009" s="9" t="s">
        <v>524</v>
      </c>
      <c r="H2009" s="8" t="s">
        <v>9006</v>
      </c>
      <c r="I2009" s="8" t="s">
        <v>9007</v>
      </c>
      <c r="J2009" s="9">
        <v>19.0</v>
      </c>
      <c r="K2009" s="9">
        <v>4.0</v>
      </c>
      <c r="L2009" s="8" t="s">
        <v>586</v>
      </c>
      <c r="M2009" s="8" t="s">
        <v>9008</v>
      </c>
      <c r="N2009" s="7" t="str">
        <f>IFERROR(__xludf.DUMMYFUNCTION("GOOGLETRANSLATE(L2009, ""en"", ""pt"")"),"Cozinheiro de linha")</f>
        <v>Cozinheiro de linha</v>
      </c>
      <c r="O2009" s="7" t="str">
        <f>IFERROR(__xludf.DUMMYFUNCTION("IF(M2009="""","""",GOOGLETRANSLATE(M2009,""en"",""pt""))"),"Prepara, tempera e cozinha sopas, carnes, legumes, frutas, sobremesas e outros alimentos diversos para consumo; observa as diretrizes da receita e os procedimentos de higiene. *Continuação da Seção F.a.5 abaixo: 40 horas semanais. Os turnos serão de 8 hor"&amp;"as e podem variar conforme a necessidade, de acordo com o anúncio da vaga na Agência Estadual de Força de Trabalho e em outras fontes de anúncios de vagas H-2B, conforme os requisitos de recrutamento dos empregadores para trabalhadores em potencial no âmb"&amp;"ito do programa H-2B. Turnos variáveis ​​ao longo de 7 dias da semana. Os turnos podem variar: das 6h às 23h. Classificação da vaga: 35-2014.00 - Cozinheiros, Restaurante. A classificação e a descrição da vaga/setor incluem informações gerais sobre o carg"&amp;"o, provenientes do ONET/OES e do Sistema de Classificação Industrial da América do Norte. Consulte as Funções e a Ordem de Serviço para obter mais informações. Requisitos da vaga Experiência exigida: Não Requisitos especiais: O EMPREGADOR EXIGE QUE A VERI"&amp;"FICAÇÃO DE ANTECEDENTES CRIMINAIS PRÉ-ADMISSÃO E O TESTE DE DROGAS PÓS-ADMISSÃO SEJAM REALIZADOS IGUALMENTE PARA OS TRABALHADORES AMERICANOS E PARA OS TRABALHADORES COM VISTO H-2B. HABILIDADE DE SE COMUNICAR EM INGLÊS. Número de horas por semana: 40 Horár"&amp;"io de trabalho (início/término): 6h às 23h")</f>
        <v>Prepara, tempera e cozinha sopas, carnes, legumes, frutas, sobremesas e outros alimentos diversos para consumo; observa as diretrizes da receita e os procedimentos de higiene. *Continuação da Seção F.a.5 abaixo: 40 horas semanais. Os turnos serão de 8 horas e podem variar conforme a necessidade, de acordo com o anúncio da vaga na Agência Estadual de Força de Trabalho e em outras fontes de anúncios de vagas H-2B, conforme os requisitos de recrutamento dos empregadores para trabalhadores em potencial no âmbito do programa H-2B. Turnos variáveis ​​ao longo de 7 dias da semana. Os turnos podem variar: das 6h às 23h. Classificação da vaga: 35-2014.00 - Cozinheiros, Restaurante. A classificação e a descrição da vaga/setor incluem informações gerais sobre o cargo, provenientes do ONET/OES e do Sistema de Classificação Industrial da América do Norte. Consulte as Funções e a Ordem de Serviço para obter mais informações. Requisitos da vaga Experiência exigida: Não Requisitos especiais: O EMPREGADOR EXIGE QUE A VERIFICAÇÃO DE ANTECEDENTES CRIMINAIS PRÉ-ADMISSÃO E O TESTE DE DROGAS PÓS-ADMISSÃO SEJAM REALIZADOS IGUALMENTE PARA OS TRABALHADORES AMERICANOS E PARA OS TRABALHADORES COM VISTO H-2B. HABILIDADE DE SE COMUNICAR EM INGLÊS. Número de horas por semana: 40 Horário de trabalho (início/término): 6h às 23h</v>
      </c>
    </row>
    <row r="2010" ht="20.25" customHeight="1">
      <c r="A2010" s="3" t="s">
        <v>9009</v>
      </c>
      <c r="B2010" s="3" t="s">
        <v>9005</v>
      </c>
      <c r="C2010" s="3" t="s">
        <v>8981</v>
      </c>
      <c r="D2010" s="3" t="s">
        <v>71</v>
      </c>
      <c r="E2010" s="4" t="s">
        <v>19</v>
      </c>
      <c r="F2010" s="4" t="s">
        <v>20</v>
      </c>
      <c r="G2010" s="4" t="s">
        <v>524</v>
      </c>
      <c r="H2010" s="3" t="s">
        <v>9006</v>
      </c>
      <c r="I2010" s="3" t="s">
        <v>9007</v>
      </c>
      <c r="J2010" s="4">
        <v>19.0</v>
      </c>
      <c r="K2010" s="4">
        <v>8.0</v>
      </c>
      <c r="L2010" s="3" t="s">
        <v>1206</v>
      </c>
      <c r="M2010" s="3" t="s">
        <v>9010</v>
      </c>
      <c r="N2010" s="7" t="str">
        <f>IFERROR(__xludf.DUMMYFUNCTION("GOOGLETRANSLATE(L2010, ""en"", ""pt"")"),"Servidor")</f>
        <v>Servidor</v>
      </c>
      <c r="O2010" s="7" t="str">
        <f>IFERROR(__xludf.DUMMYFUNCTION("IF(M2010="""","""",GOOGLETRANSLATE(M2010,""en"",""pt""))"),"Receber e servir pedidos de comida e bebida; realizar a montagem e desmontagem de mesas e outras atividades diversas; poderá ser necessário trabalhar em ambientes externos e em eventos de banquetes; poderá ser necessário servir clientes utilizando carrinh"&amp;"o de golfe. *Continuação da Seção F.a.5 abaixo: 40 horas semanais. Os turnos serão de 8 horas e poderão variar conforme a necessidade, de acordo com o anúncio da vaga na Agência Estadual de Força de Trabalho e em outras fontes de anúncios de vagas H-2B, c"&amp;"onforme os requisitos de recrutamento dos empregadores para trabalhadores em potencial no âmbito do programa H-2B. Turnos variáveis ​​ao longo de 7 dias da semana. Os turnos podem variar: das 6h às 23h. Classificação da vaga: 35-3031.00 - Garçons e Garçon"&amp;"etes. A classificação e descrição da vaga/setor inclui informações gerais sobre o cargo, provenientes do ONET/OES e do Sistema de Classificação Industrial da América do Norte. Consulte as Funções e a Ordem de Serviço para obter mais informações. Requisito"&amp;"s da vaga Experiência exigida: Não Requisitos especiais: O EMPREGADOR EXIGE QUE A VERIFICAÇÃO DE ANTECEDENTES CRIMINAIS PRÉ-ADMISSÃO E O TESTE DE DROGAS PÓS-ADMISSÃO SEJAM REALIZADOS IGUALMENTE PARA OS TRABALHADORES AMERICANOS E PARA OS TRABALHADORES COM "&amp;"VISTO H-2B. HABILIDADE DE SE COMUNICAR EM INGLÊS. Número de horas por semana: 40 Horário de trabalho (início/término): 6h às 23h")</f>
        <v>Receber e servir pedidos de comida e bebida; realizar a montagem e desmontagem de mesas e outras atividades diversas; poderá ser necessário trabalhar em ambientes externos e em eventos de banquetes; poderá ser necessário servir clientes utilizando carrinho de golfe. *Continuação da Seção F.a.5 abaixo: 40 horas semanais. Os turnos serão de 8 horas e poderão variar conforme a necessidade, de acordo com o anúncio da vaga na Agência Estadual de Força de Trabalho e em outras fontes de anúncios de vagas H-2B, conforme os requisitos de recrutamento dos empregadores para trabalhadores em potencial no âmbito do programa H-2B. Turnos variáveis ​​ao longo de 7 dias da semana. Os turnos podem variar: das 6h às 23h. Classificação da vaga: 35-3031.00 - Garçons e Garçonetes. A classificação e descrição da vaga/setor inclui informações gerais sobre o cargo, provenientes do ONET/OES e do Sistema de Classificação Industrial da América do Norte. Consulte as Funções e a Ordem de Serviço para obter mais informações. Requisitos da vaga Experiência exigida: Não Requisitos especiais: O EMPREGADOR EXIGE QUE A VERIFICAÇÃO DE ANTECEDENTES CRIMINAIS PRÉ-ADMISSÃO E O TESTE DE DROGAS PÓS-ADMISSÃO SEJAM REALIZADOS IGUALMENTE PARA OS TRABALHADORES AMERICANOS E PARA OS TRABALHADORES COM VISTO H-2B. HABILIDADE DE SE COMUNICAR EM INGLÊS. Número de horas por semana: 40 Horário de trabalho (início/término): 6h às 23h</v>
      </c>
    </row>
    <row r="2011" ht="20.25" customHeight="1">
      <c r="A2011" s="8" t="s">
        <v>9011</v>
      </c>
      <c r="B2011" s="8" t="s">
        <v>9012</v>
      </c>
      <c r="C2011" s="8" t="s">
        <v>9013</v>
      </c>
      <c r="D2011" s="8" t="s">
        <v>109</v>
      </c>
      <c r="E2011" s="9" t="s">
        <v>44</v>
      </c>
      <c r="F2011" s="9" t="s">
        <v>20</v>
      </c>
      <c r="G2011" s="9" t="s">
        <v>377</v>
      </c>
      <c r="H2011" s="8" t="s">
        <v>9014</v>
      </c>
      <c r="I2011" s="8" t="s">
        <v>9015</v>
      </c>
      <c r="J2011" s="9">
        <v>15.21</v>
      </c>
      <c r="K2011" s="9">
        <v>6.0</v>
      </c>
      <c r="L2011" s="8" t="s">
        <v>9016</v>
      </c>
      <c r="M2011" s="8" t="s">
        <v>9017</v>
      </c>
      <c r="N2011" s="7" t="str">
        <f>IFERROR(__xludf.DUMMYFUNCTION("GOOGLETRANSLATE(L2011, ""en"", ""pt"")"),"tratador de cavalos de Grande Prêmio")</f>
        <v>tratador de cavalos de Grande Prêmio</v>
      </c>
      <c r="O2011" s="7" t="str">
        <f>IFERROR(__xludf.DUMMYFUNCTION("IF(M2011="""","""",GOOGLETRANSLATE(M2011,""en"",""pt""))"),"O tratador será responsável pelos cuidados dos cavalos de competição do Grand Prix, incluindo escovação, alimentação, água, banho, limpeza, tosa e casqueamento. Deverá manter e desinfetar baias e camas, inspecionar e observar a condição física dos cavalos"&amp;", limpar os cascos e aplicar linimentos e bandagens nas patas, conforme necessário. O tratador cuidará de 1 a 5 cavalos por vez, o que inclui selar, colocar bridão, sela e martingale, além de ajustar corretamente os equipamentos. O horário de trabalho é d"&amp;"e terça a sábado, das 7h às 16h, com 1 hora de intervalo para almoço. Classificação da vaga: 39-2021.00 - Cuidadores de Animais. A classificação e descrição da vaga/setor incluem informações gerais sobre o cargo, de acordo com o ONET/OES e o Sistema de Cl"&amp;"assificação Industrial da América do Norte. Consulte as Funções e a Ordem de Serviço para obter mais informações. Requisitos da vaga: Experiência necessária: Sim. Meses de experiência necessários: 3. Número de horas por semana: 40. Horário de trabalho (in"&amp;"ício/término): 7h. - 16:00")</f>
        <v>O tratador será responsável pelos cuidados dos cavalos de competição do Grand Prix, incluindo escovação, alimentação, água, banho, limpeza, tosa e casqueamento. Deverá manter e desinfetar baias e camas, inspecionar e observar a condição física dos cavalos, limpar os cascos e aplicar linimentos e bandagens nas patas, conforme necessário. O tratador cuidará de 1 a 5 cavalos por vez, o que inclui selar, colocar bridão, sela e martingale, além de ajustar corretamente os equipamentos. O horário de trabalho é de terça a sábado, das 7h às 16h, com 1 hora de intervalo para almoço. Classificação da vaga: 39-2021.00 - Cuidadores de Animais. A classificação e descrição da vaga/setor incluem informações gerais sobre o cargo, de acordo com o ONET/OES e o Sistema de Classificação Industrial da América do Norte. Consulte as Funções e a Ordem de Serviço para obter mais informações. Requisitos da vaga: Experiência necessária: Sim. Meses de experiência necessários: 3. Número de horas por semana: 40. Horário de trabalho (início/término): 7h. - 16:00</v>
      </c>
    </row>
    <row r="2012" ht="20.25" customHeight="1">
      <c r="A2012" s="3" t="s">
        <v>9018</v>
      </c>
      <c r="B2012" s="3" t="s">
        <v>9019</v>
      </c>
      <c r="C2012" s="3" t="s">
        <v>9020</v>
      </c>
      <c r="D2012" s="3" t="s">
        <v>126</v>
      </c>
      <c r="E2012" s="4" t="s">
        <v>19</v>
      </c>
      <c r="F2012" s="4" t="s">
        <v>20</v>
      </c>
      <c r="G2012" s="4" t="s">
        <v>2339</v>
      </c>
      <c r="H2012" s="3" t="s">
        <v>9021</v>
      </c>
      <c r="I2012" s="3" t="s">
        <v>9022</v>
      </c>
      <c r="J2012" s="4">
        <v>21.16</v>
      </c>
      <c r="K2012" s="4">
        <v>30.0</v>
      </c>
      <c r="L2012" s="3" t="s">
        <v>4830</v>
      </c>
      <c r="M2012" s="3" t="s">
        <v>9023</v>
      </c>
      <c r="N2012" s="7" t="str">
        <f>IFERROR(__xludf.DUMMYFUNCTION("GOOGLETRANSLATE(L2012, ""en"", ""pt"")"),"Empacotadores e embaladores manuais.")</f>
        <v>Empacotadores e embaladores manuais.</v>
      </c>
      <c r="O2012" s="7" t="str">
        <f>IFERROR(__xludf.DUMMYFUNCTION("IF(M2012="""","""",GOOGLETRANSLATE(M2012,""en"",""pt""))"),"Embalar ou acondicionar manualmente uma ampla variedade de produtos e materiais. Classificação da função: 53-7064.00 - Embaladores e Acondicionadores Manuais. A classificação e descrição da função/setor inclui informações gerais sobre o cargo, de acordo c"&amp;"om o ONET/OES e o Sistema de Classificação Industrial da América do Norte (NAICS). Consulte as Funções e a Ordem de Serviço para obter mais informações. Requisitos da função: Experiência necessária: Não. Requisitos especiais: Não é necessário escolaridade"&amp;"/experiência. Treinamento no local de trabalho disponível. Capacidade de levantar e sustentar 23 kg. Possibilidade de trabalho aos sábados. Haverá intervalos diários. Número de horas por semana: 35. Horário de trabalho (início/término): 8h às 17h.")</f>
        <v>Embalar ou acondicionar manualmente uma ampla variedade de produtos e materiais. Classificação da função: 53-7064.00 - Embaladores e Acondicionadores Manuais. A classificação e descrição da função/setor inclui informações gerais sobre o cargo, de acordo com o ONET/OES e o Sistema de Classificação Industrial da América do Norte (NAICS). Consulte as Funções e a Ordem de Serviço para obter mais informações. Requisitos da função: Experiência necessária: Não. Requisitos especiais: Não é necessário escolaridade/experiência. Treinamento no local de trabalho disponível. Capacidade de levantar e sustentar 23 kg. Possibilidade de trabalho aos sábados. Haverá intervalos diários. Número de horas por semana: 35. Horário de trabalho (início/término): 8h às 17h.</v>
      </c>
    </row>
    <row r="2013" ht="20.25" customHeight="1">
      <c r="A2013" s="8" t="s">
        <v>9024</v>
      </c>
      <c r="B2013" s="8" t="s">
        <v>9025</v>
      </c>
      <c r="C2013" s="8" t="s">
        <v>4011</v>
      </c>
      <c r="D2013" s="8" t="s">
        <v>249</v>
      </c>
      <c r="E2013" s="9" t="s">
        <v>44</v>
      </c>
      <c r="F2013" s="9" t="s">
        <v>20</v>
      </c>
      <c r="G2013" s="9" t="s">
        <v>146</v>
      </c>
      <c r="H2013" s="8" t="s">
        <v>9026</v>
      </c>
      <c r="I2013" s="8" t="s">
        <v>9027</v>
      </c>
      <c r="J2013" s="9">
        <v>30.3</v>
      </c>
      <c r="K2013" s="9">
        <v>4.0</v>
      </c>
      <c r="L2013" s="8" t="s">
        <v>6267</v>
      </c>
      <c r="M2013" s="8" t="s">
        <v>9028</v>
      </c>
      <c r="N2013" s="7" t="str">
        <f>IFERROR(__xludf.DUMMYFUNCTION("GOOGLETRANSLATE(L2013, ""en"", ""pt"")"),"Auxiliar de construção civil")</f>
        <v>Auxiliar de construção civil</v>
      </c>
      <c r="O2013" s="7" t="str">
        <f>IFERROR(__xludf.DUMMYFUNCTION("IF(M2013="""","""",GOOGLETRANSLATE(M2013,""en"",""pt""))"),"***2ª resposta à RFI*** O trabalhador auxilia na colocação de aço de reforço, vergalhões e telas metálicas utilizadas em projetos de construção em concreto. As tarefas específicas incluem carregar, descarregar, organizar, separar, posicionar e colocar ver"&amp;"galhões e telas metálicas dentro de fôrmas e áreas escavadas; segurar os materiais no lugar enquanto trabalhadores experientes os fixam; medir e alinhar os materiais de reforço de acordo com as instruções de layout; e auxiliar na amarração do aço de refor"&amp;"ço utilizando arame de amarração pré-cortado. As ferramentas e equipamentos utilizados incluem ferramentas para amarrar vergalhões, alicates, cortadores de arame, trenas, níveis, espaçadores de vergalhão, carrinhos de mão, carrinhos de materiais e ferrame"&amp;"ntas manuais comumente usadas para posicionar materiais de reforço. Os materiais manuseados incluem barras de aço de reforço (vergalhões), telas metálicas soldadas, arame de amarração, espaçadores de vergalhão e materiais de reforço de concreto relacionad"&amp;"os. ***1ª resposta à RFI*** O trabalhador auxilia operários experientes da construção civil, acabadores de concreto, operadores de equipamentos e supervisores envolvidos na instalação de piscinas, calçadas, entradas de garagem, pátios, passarelas e estrut"&amp;"uras de concreto relacionadas. O trabalhador pode operar compactadores de placa vibratória, betoneiras, carrinhos de mão motorizados, carrinhos de materiais, bombas d'água, lavadoras de alta pressão, geradores portáteis, pequenas ferramentas elétricas (fu"&amp;"radeiras, esmerilhadeiras, tupias), pás, ancinhos, vassouras, carrinhos de mão, baldes, compactadores de solo, desempenadeiras manuais, trenas e níveis. As funções incluem carregar, descarregar, movimentar e organizar materiais de construção; auxiliar na "&amp;"preparação do terreno, escavação, nivelamento, reaterro e limpeza; construir, posicionar, escorar, desmontar e remover fôrmas de concreto; auxiliar na colocação de aço de reforço, vergalhões e telas metálicas; transportar ferramentas, equipamentos e mater"&amp;"iais; auxiliar na colocação, espalhamento, adensamento e acabamento do concreto sob supervisão; segurar e posicionar materiais; Limpeza e manutenção de ferramentas, equipamentos, formas e áreas de trabalho; remoção de entulhos, excesso de concreto e resíd"&amp;"uos; e auxílio no nivelamento final e restauração do local. O trabalhador utiliza equipamentos para compactar o solo e os materiais de base agregados, misturar concreto e argamassa, transportar concreto e materiais de construção, auxiliar na colocação do "&amp;"concreto, remover água de áreas escavadas, manter as condições do local de trabalho e dar suporte a projetos de construção de concreto, piscinas, entradas de garagem, calçadas, pátios e passarelas. Os materiais manuseados incluem concreto, cascalho, areia"&amp;", pedra britada, vergalhões, tela metálica, formas de madeira, tubos de PVC, materiais de construção de piscinas, materiais de aterro e suprimentos de construção relacionados. ***Original*** Executa tarefas que envolvem trabalho físico em canteiros de obr"&amp;"as. Pode operar ferramentas manuais e elétricas de todos os tipos: martelos pneumáticos, compactadores de solo, betoneiras, pequenos guindastes mecânicos, equipamentos de topografia e medição e uma variedade de outros equipamentos e instrumentos. Pode lim"&amp;"par e preparar locais, cavar valas, instalar escoras para sustentar as laterais das escavações, montar andaimes e limpar entulhos, detritos e outros resíduos. Pode auxiliar outros trabalhadores especializados. Classificação da Função: 47-2051.00 - Pedreir"&amp;"os e Acabadores de Concreto. A classificação e descrição da função/setor inclui informações gerais sobre o cargo, conforme o ONET/OES e o Sistema de Classificação Industrial da América do Norte (NAICS). Consulte as Funções e a Ordem de Serviço para obter "&amp;"mais informações. Requisitos da Função: Experiência Necessária: Não. Requisitos Especiais: CAPACIDADE DE LEVANTAR E CARREGAR 23 KG. DISPONIBILIDADE PARA HORAS EXTRAS E TRABALHO AOS FINS DE SEMANA. JORNADA DE TRABALHO DE 8 HORAS. Número de Horas por Semana"&amp;": 40. Horário de Trabalho (Início/Término): 7h às 17h.")</f>
        <v>***2ª resposta à RFI*** O trabalhador auxilia na colocação de aço de reforço, vergalhões e telas metálicas utilizadas em projetos de construção em concreto. As tarefas específicas incluem carregar, descarregar, organizar, separar, posicionar e colocar vergalhões e telas metálicas dentro de fôrmas e áreas escavadas; segurar os materiais no lugar enquanto trabalhadores experientes os fixam; medir e alinhar os materiais de reforço de acordo com as instruções de layout; e auxiliar na amarração do aço de reforço utilizando arame de amarração pré-cortado. As ferramentas e equipamentos utilizados incluem ferramentas para amarrar vergalhões, alicates, cortadores de arame, trenas, níveis, espaçadores de vergalhão, carrinhos de mão, carrinhos de materiais e ferramentas manuais comumente usadas para posicionar materiais de reforço. Os materiais manuseados incluem barras de aço de reforço (vergalhões), telas metálicas soldadas, arame de amarração, espaçadores de vergalhão e materiais de reforço de concreto relacionados. ***1ª resposta à RFI*** O trabalhador auxilia operários experientes da construção civil, acabadores de concreto, operadores de equipamentos e supervisores envolvidos na instalação de piscinas, calçadas, entradas de garagem, pátios, passarelas e estruturas de concreto relacionadas. O trabalhador pode operar compactadores de placa vibratória, betoneiras, carrinhos de mão motorizados, carrinhos de materiais, bombas d'água, lavadoras de alta pressão, geradores portáteis, pequenas ferramentas elétricas (furadeiras, esmerilhadeiras, tupias), pás, ancinhos, vassouras, carrinhos de mão, baldes, compactadores de solo, desempenadeiras manuais, trenas e níveis. As funções incluem carregar, descarregar, movimentar e organizar materiais de construção; auxiliar na preparação do terreno, escavação, nivelamento, reaterro e limpeza; construir, posicionar, escorar, desmontar e remover fôrmas de concreto; auxiliar na colocação de aço de reforço, vergalhões e telas metálicas; transportar ferramentas, equipamentos e materiais; auxiliar na colocação, espalhamento, adensamento e acabamento do concreto sob supervisão; segurar e posicionar materiais; Limpeza e manutenção de ferramentas, equipamentos, formas e áreas de trabalho; remoção de entulhos, excesso de concreto e resíduos; e auxílio no nivelamento final e restauração do local. O trabalhador utiliza equipamentos para compactar o solo e os materiais de base agregados, misturar concreto e argamassa, transportar concreto e materiais de construção, auxiliar na colocação do concreto, remover água de áreas escavadas, manter as condições do local de trabalho e dar suporte a projetos de construção de concreto, piscinas, entradas de garagem, calçadas, pátios e passarelas. Os materiais manuseados incluem concreto, cascalho, areia, pedra britada, vergalhões, tela metálica, formas de madeira, tubos de PVC, materiais de construção de piscinas, materiais de aterro e suprimentos de construção relacionados. ***Original*** Executa tarefas que envolvem trabalho físico em canteiros de obras. Pode operar ferramentas manuais e elétricas de todos os tipos: martelos pneumáticos, compactadores de solo, betoneiras, pequenos guindastes mecânicos, equipamentos de topografia e medição e uma variedade de outros equipamentos e instrumentos. Pode limpar e preparar locais, cavar valas, instalar escoras para sustentar as laterais das escavações, montar andaimes e limpar entulhos, detritos e outros resíduos. Pode auxiliar outros trabalhadores especializados. Classificação da Função: 47-2051.00 - Pedreiros e Acabadores de Concreto. A classificação e descrição da função/setor inclui informações gerais sobre o cargo, conforme o ONET/OES e o Sistema de Classificação Industrial da América do Norte (NAICS). Consulte as Funções e a Ordem de Serviço para obter mais informações. Requisitos da Função: Experiência Necessária: Não. Requisitos Especiais: CAPACIDADE DE LEVANTAR E CARREGAR 23 KG. DISPONIBILIDADE PARA HORAS EXTRAS E TRABALHO AOS FINS DE SEMANA. JORNADA DE TRABALHO DE 8 HORAS. Número de Horas por Semana: 40. Horário de Trabalho (Início/Término): 7h às 17h.</v>
      </c>
    </row>
    <row r="2014" ht="20.25" customHeight="1">
      <c r="A2014" s="3" t="s">
        <v>9029</v>
      </c>
      <c r="B2014" s="3" t="s">
        <v>9030</v>
      </c>
      <c r="C2014" s="3" t="s">
        <v>7431</v>
      </c>
      <c r="D2014" s="3" t="s">
        <v>71</v>
      </c>
      <c r="E2014" s="4" t="s">
        <v>19</v>
      </c>
      <c r="F2014" s="4" t="s">
        <v>20</v>
      </c>
      <c r="G2014" s="4" t="s">
        <v>7174</v>
      </c>
      <c r="H2014" s="3" t="s">
        <v>9031</v>
      </c>
      <c r="I2014" s="3" t="s">
        <v>9032</v>
      </c>
      <c r="J2014" s="4">
        <v>41.81</v>
      </c>
      <c r="K2014" s="4">
        <v>1.0</v>
      </c>
      <c r="L2014" s="3" t="s">
        <v>9033</v>
      </c>
      <c r="M2014" s="3" t="s">
        <v>9034</v>
      </c>
      <c r="N2014" s="7" t="str">
        <f>IFERROR(__xludf.DUMMYFUNCTION("GOOGLETRANSLATE(L2014, ""en"", ""pt"")"),"Especialista em Desenvolvimento de Mercado Internacional")</f>
        <v>Especialista em Desenvolvimento de Mercado Internacional</v>
      </c>
      <c r="O2014" s="7" t="str">
        <f>IFERROR(__xludf.DUMMYFUNCTION("IF(M2014="""","""",GOOGLETRANSLATE(M2014,""en"",""pt""))"),"O Especialista em Desenvolvimento de Mercado Internacional apoiará a expansão da empresa para oferecer seus serviços a empreendedores ucranianos e do Leste Europeu. As responsabilidades incluem: coletar e analisar dados sobre o perfil demográfico, preferê"&amp;"ncias, necessidades e hábitos de compra de clientes no Leste Europeu para identificar mercados potenciais e fatores que afetam a demanda por serviços de formação de empresas e investimentos dos EUA; conduzir pesquisas sobre opiniões de consumidores, estra"&amp;"tégias de marketing e práticas comerciais locais, colaborando com equipes de marketing e consultores externos na região; buscar e fornecer informações para ajudar o empregador a determinar seu posicionamento no mercado do Leste Europeu; prever e acompanha"&amp;"r tendências de marketing e comunicação, analisando os dados coletados para avaliar o potencial de mercado e a viabilidade de expansão internacional; coletar e avaliar dados sobre concorrentes, incluindo seus preços, serviços e métodos de marketing e dist"&amp;"ribuição; monitorar estatísticas do setor, desenvolvimentos regulatórios e tendências na literatura de comércio e investimento; desenvolver e implementar procedimentos para identificar as necessidades de publicidade e comunicação para segmentos de cliente"&amp;"s ucranianos e russos; atuar como elo cultural e linguístico com clientes e parceiros ucranianos e russos, garantindo a adaptação precisa de materiais promocionais, jurídicos e comerciais. Auxiliar no desenvolvimento de protocolos de comunicação bilíngue "&amp;"e adaptar apresentações, contratos e relatórios aos padrões locais. Coordenar e participar de eventos, webinars e campanhas piloto direcionadas a empreendedores e investidores ucranianos e do Leste Europeu que exploram a formação de LLCs nos EUA e oportun"&amp;"idades imobiliárias. Preparar relatórios de resultados, ilustrar dados graficamente e traduzir insights complexos de pesquisa em recomendações escritas para a gerência. Classificação da vaga: 13-1161.00 - Analistas de Pesquisa de Mercado e Especialistas e"&amp;"m Marketing. A classificação e descrição da vaga/setor incluem informações gerais sobre o cargo, de acordo com o ONET/OES e o Sistema de Classificação Industrial da América do Norte. Consulte as Funções e a Ordem de Serviço para obter mais informações. Re"&amp;"quisitos da vaga: Experiência necessária: Não. Requisitos especiais: Fluência em russo e ucraniano é necessária para realizar pesquisas de mercado e se comunicar com fornecedores e stakeholders locais na Ucrânia. 40 horas semanais, 5 dias por semana. O ho"&amp;"rário pode variar e incluir noites, fins de semana ou feriados para participar de eventos e reuniões realizados de acordo com o fuso horário da Europa Ocidental. Utilização de softwares, incluindo Microsoft Office ou Google Workspace, sistemas de gestão d"&amp;"e relacionamento com o cliente (CRM) e ferramentas de pesquisa ou análise de dados. Formação superior ou equivalente em administração, marketing, relações internacionais ou área afim. O empregador avaliará a proficiência no idioma com base nas informações"&amp;" fornecidas pelo(a) candidato(a) e em suas observações. Carga horária semanal: 40 horas. Horário de trabalho (início/término): 9h às 18h.")</f>
        <v>O Especialista em Desenvolvimento de Mercado Internacional apoiará a expansão da empresa para oferecer seus serviços a empreendedores ucranianos e do Leste Europeu. As responsabilidades incluem: coletar e analisar dados sobre o perfil demográfico, preferências, necessidades e hábitos de compra de clientes no Leste Europeu para identificar mercados potenciais e fatores que afetam a demanda por serviços de formação de empresas e investimentos dos EUA; conduzir pesquisas sobre opiniões de consumidores, estratégias de marketing e práticas comerciais locais, colaborando com equipes de marketing e consultores externos na região; buscar e fornecer informações para ajudar o empregador a determinar seu posicionamento no mercado do Leste Europeu; prever e acompanhar tendências de marketing e comunicação, analisando os dados coletados para avaliar o potencial de mercado e a viabilidade de expansão internacional; coletar e avaliar dados sobre concorrentes, incluindo seus preços, serviços e métodos de marketing e distribuição; monitorar estatísticas do setor, desenvolvimentos regulatórios e tendências na literatura de comércio e investimento; desenvolver e implementar procedimentos para identificar as necessidades de publicidade e comunicação para segmentos de clientes ucranianos e russos; atuar como elo cultural e linguístico com clientes e parceiros ucranianos e russos, garantindo a adaptação precisa de materiais promocionais, jurídicos e comerciais. Auxiliar no desenvolvimento de protocolos de comunicação bilíngue e adaptar apresentações, contratos e relatórios aos padrões locais. Coordenar e participar de eventos, webinars e campanhas piloto direcionadas a empreendedores e investidores ucranianos e do Leste Europeu que exploram a formação de LLCs nos EUA e oportunidades imobiliárias. Preparar relatórios de resultados, ilustrar dados graficamente e traduzir insights complexos de pesquisa em recomendações escritas para a gerência. Classificação da vaga: 13-1161.00 - Analistas de Pesquisa de Mercado e Especialistas em Marketing. A classificação e descrição da vaga/setor incluem informações gerais sobre o cargo, de acordo com o ONET/OES e o Sistema de Classificação Industrial da América do Norte. Consulte as Funções e a Ordem de Serviço para obter mais informações. Requisitos da vaga: Experiência necessária: Não. Requisitos especiais: Fluência em russo e ucraniano é necessária para realizar pesquisas de mercado e se comunicar com fornecedores e stakeholders locais na Ucrânia. 40 horas semanais, 5 dias por semana. O horário pode variar e incluir noites, fins de semana ou feriados para participar de eventos e reuniões realizados de acordo com o fuso horário da Europa Ocidental. Utilização de softwares, incluindo Microsoft Office ou Google Workspace, sistemas de gestão de relacionamento com o cliente (CRM) e ferramentas de pesquisa ou análise de dados. Formação superior ou equivalente em administração, marketing, relações internacionais ou área afim. O empregador avaliará a proficiência no idioma com base nas informações fornecidas pelo(a) candidato(a) e em suas observações. Carga horária semanal: 40 horas. Horário de trabalho (início/término): 9h às 18h.</v>
      </c>
    </row>
    <row r="2015" ht="20.25" customHeight="1">
      <c r="A2015" s="8" t="s">
        <v>9035</v>
      </c>
      <c r="B2015" s="8" t="s">
        <v>9036</v>
      </c>
      <c r="C2015" s="8" t="s">
        <v>9020</v>
      </c>
      <c r="D2015" s="8" t="s">
        <v>126</v>
      </c>
      <c r="E2015" s="9" t="s">
        <v>19</v>
      </c>
      <c r="F2015" s="9" t="s">
        <v>20</v>
      </c>
      <c r="G2015" s="9" t="s">
        <v>2339</v>
      </c>
      <c r="H2015" s="8" t="s">
        <v>9037</v>
      </c>
      <c r="I2015" s="8" t="s">
        <v>9038</v>
      </c>
      <c r="J2015" s="9">
        <v>24.03</v>
      </c>
      <c r="K2015" s="9">
        <v>18.0</v>
      </c>
      <c r="L2015" s="8" t="s">
        <v>9039</v>
      </c>
      <c r="M2015" s="8" t="s">
        <v>9040</v>
      </c>
      <c r="N2015" s="7" t="str">
        <f>IFERROR(__xludf.DUMMYFUNCTION("GOOGLETRANSLATE(L2015, ""en"", ""pt"")"),"Trabalhadores de paisagismo e manutenção de jardins (win-ser)")</f>
        <v>Trabalhadores de paisagismo e manutenção de jardins (win-ser)</v>
      </c>
      <c r="O2015" s="7" t="str">
        <f>IFERROR(__xludf.DUMMYFUNCTION("IF(M2015="""","""",GOOGLETRANSLATE(M2015,""en"",""pt""))"),"As tarefas de paisagismo no inverno envolvem a preparação e manutenção de espaços externos durante os meses mais frios, garantindo que permaneçam seguros, funcionais e visualmente atraentes. Embora as tarefas possam variar dependendo do clima e da severid"&amp;"ade do inverno em uma determinada região, aqui estão algumas responsabilidades comuns para o paisagismo no inverno: Remoção de neve e gelo: Uma das principais tarefas no paisagismo de inverno é a remoção de neve e gelo. Isso inclui a limpeza de calçadas, "&amp;"entradas de garagem e estacionamentos para garantir a segurança da passagem. Pás de neve, sopradores de neve e a aplicação de sal ou areia são métodos típicos usados ​​para manter as superfícies limpas. As tarefas de paisagismo de inverno também incluem a"&amp;" instalação de decorações sazonais, como luzes de Natal, guirlandas ou arranjos. Os trabalhadores podem ser responsáveis ​​por instalar e manter essas decorações com segurança. Poda e aparo: Serão feitos a partir do nível do solo pelo trabalhador usando f"&amp;"erramentas manuais. O inverno é uma excelente época para podar e aparar árvores e arbustos enquanto estão dormentes. Técnicas adequadas de poda ajudam a manter a saúde e a forma das plantas, promovem o crescimento e evitam danos causados ​​pelo acúmulo de"&amp;" neve ou gelo. A poda também mantém os galhos afastados de estruturas e calçadas, reduzindo o risco de acidentes. Proteção das plantas: Certas plantas podem precisar de proteção contra temperaturas congelantes. Isso envolve envolver plantas sensíveis com "&amp;"juta ou instalar coberturas temporárias para protegê-las de ventos frios e geadas. A cobertura morta ao redor da base das plantas ajuda a reter a umidade e isolar o solo, fornecendo uma camada adicional de proteção. Remoção de detritos: Tempestades de inv"&amp;"erno podem derrubar galhos, folhas e outros detritos que obstruem a paisagem. A remoção desses materiais não só melhora a aparência da propriedade, como também previne possíveis riscos, como caminhos obstruídos ou plantas danificadas. Preparação dos siste"&amp;"mas de irrigação para o inverno: É essencial inspecioná-los e prepará-los para o inverno antes da chegada das temperaturas congelantes, o que envolve drenar a água dos canos e desligar o sistema para evitar danos causados ​​pela expansão da água congelada"&amp;" dentro das tubulações. Monitoramento da drenagem: O inverno traz chuva e derretimento de neve, e é importante garantir que a água seja drenada adequadamente da propriedade. A limpeza de folhas e detritos de calhas, canos de descida e ralos previne bloque"&amp;"ios e possíveis danos causados ​​pela água em edifícios ou na paisagem. Classificação da Função: 37-3011.00 - Trabalhadores de Paisagismo e Manutenção de Jardins. A classificação e descrição da função/setor inclui informações gerais sobre o cargo, de acor"&amp;"do com o ONET/OES e o Sistema de Classificação Industrial da América do Norte (NAICS). Consulte as Funções e a Ordem de Serviço para obter mais informações. Requisitos da Função Experiência Necessária: Não. Requisitos Especiais: Não é necessário escolarid"&amp;"ade/experiência. Treinamento no local de trabalho disponível. Capacidade de levantar e sustentar até 23 kg. Possibilidade de trabalho aos sábados. Haverá intervalos diários. Número de Horas por Semana: 40. Horário de Trabalho (Início/Término): 7h às 16h.")</f>
        <v>As tarefas de paisagismo no inverno envolvem a preparação e manutenção de espaços externos durante os meses mais frios, garantindo que permaneçam seguros, funcionais e visualmente atraentes. Embora as tarefas possam variar dependendo do clima e da severidade do inverno em uma determinada região, aqui estão algumas responsabilidades comuns para o paisagismo no inverno: Remoção de neve e gelo: Uma das principais tarefas no paisagismo de inverno é a remoção de neve e gelo. Isso inclui a limpeza de calçadas, entradas de garagem e estacionamentos para garantir a segurança da passagem. Pás de neve, sopradores de neve e a aplicação de sal ou areia são métodos típicos usados ​​para manter as superfícies limpas. As tarefas de paisagismo de inverno também incluem a instalação de decorações sazonais, como luzes de Natal, guirlandas ou arranjos. Os trabalhadores podem ser responsáveis ​​por instalar e manter essas decorações com segurança. Poda e aparo: Serão feitos a partir do nível do solo pelo trabalhador usando ferramentas manuais. O inverno é uma excelente época para podar e aparar árvores e arbustos enquanto estão dormentes. Técnicas adequadas de poda ajudam a manter a saúde e a forma das plantas, promovem o crescimento e evitam danos causados ​​pelo acúmulo de neve ou gelo. A poda também mantém os galhos afastados de estruturas e calçadas, reduzindo o risco de acidentes. Proteção das plantas: Certas plantas podem precisar de proteção contra temperaturas congelantes. Isso envolve envolver plantas sensíveis com juta ou instalar coberturas temporárias para protegê-las de ventos frios e geadas. A cobertura morta ao redor da base das plantas ajuda a reter a umidade e isolar o solo, fornecendo uma camada adicional de proteção. Remoção de detritos: Tempestades de inverno podem derrubar galhos, folhas e outros detritos que obstruem a paisagem. A remoção desses materiais não só melhora a aparência da propriedade, como também previne possíveis riscos, como caminhos obstruídos ou plantas danificadas. Preparação dos sistemas de irrigação para o inverno: É essencial inspecioná-los e prepará-los para o inverno antes da chegada das temperaturas congelantes, o que envolve drenar a água dos canos e desligar o sistema para evitar danos causados ​​pela expansão da água congelada dentro das tubulações. Monitoramento da drenagem: O inverno traz chuva e derretimento de neve, e é importante garantir que a água seja drenada adequadamente da propriedade. A limpeza de folhas e detritos de calhas, canos de descida e ralos previne bloqueios e possíveis danos causados ​​pela água em edifícios ou na paisagem. Classificação da Função: 37-3011.00 - Trabalhadores de Paisagismo e Manutenção de Jardins. A classificação e descrição da função/setor inclui informações gerais sobre o cargo, de acordo com o ONET/OES e o Sistema de Classificação Industrial da América do Norte (NAICS). Consulte as Funções e a Ordem de Serviço para obter mais informações. Requisitos da Função Experiência Necessária: Não. Requisitos Especiais: Não é necessário escolaridade/experiência. Treinamento no local de trabalho disponível. Capacidade de levantar e sustentar até 23 kg. Possibilidade de trabalho aos sábados. Haverá intervalos diários. Número de Horas por Semana: 40. Horário de Trabalho (Início/Término): 7h às 16h.</v>
      </c>
    </row>
    <row r="2016" ht="20.25" customHeight="1">
      <c r="A2016" s="3" t="s">
        <v>9041</v>
      </c>
      <c r="B2016" s="3" t="s">
        <v>9042</v>
      </c>
      <c r="C2016" s="3" t="s">
        <v>9043</v>
      </c>
      <c r="D2016" s="3" t="s">
        <v>1051</v>
      </c>
      <c r="E2016" s="4" t="s">
        <v>19</v>
      </c>
      <c r="F2016" s="4" t="s">
        <v>20</v>
      </c>
      <c r="G2016" s="4" t="s">
        <v>1269</v>
      </c>
      <c r="H2016" s="3" t="s">
        <v>9044</v>
      </c>
      <c r="I2016" s="3" t="s">
        <v>9045</v>
      </c>
      <c r="J2016" s="4">
        <v>23.68</v>
      </c>
      <c r="K2016" s="4">
        <v>31.0</v>
      </c>
      <c r="L2016" s="3" t="s">
        <v>3914</v>
      </c>
      <c r="M2016" s="3" t="s">
        <v>9046</v>
      </c>
      <c r="N2016" s="7" t="str">
        <f>IFERROR(__xludf.DUMMYFUNCTION("GOOGLETRANSLATE(L2016, ""en"", ""pt"")"),"Operador de Empilhadeira")</f>
        <v>Operador de Empilhadeira</v>
      </c>
      <c r="O2016" s="7" t="str">
        <f>IFERROR(__xludf.DUMMYFUNCTION("IF(M2016="""","""",GOOGLETRANSLATE(M2016,""en"",""pt""))"),"Operar empilhadeiras para transportar materiais com segurança, carregar e descarregar remessas manualmente e utilizando empilhadeira, auxiliar no gerenciamento de estoque e organização de materiais, realizar inspeções de rotina em empilhadeiras. Ocasional"&amp;"mente, auxiliar na produção de folhagens decorativas. Cortar diversos galhos de coníferas e outras folhagens no tamanho adequado para a confecção de guirlandas e arranjos. Esta é uma tarefa repetitiva. Os funcionários devem usar arame para fixar as folhag"&amp;"ens às estruturas das guirlandas e amarrar os arranjos. Aparar o material utilizando tesouras de poda, modeladores, arame, alfinetes, fita floral, espuma e outros materiais. Classificação da Função: 53-7051.00 - Operadores de Caminhões e Tratores Industri"&amp;"ais. A classificação e descrição da função/indústria incluem informações gerais sobre o cargo, de acordo com o ONET/OES e o Sistema de Classificação Industrial da América do Norte. Consulte as Funções e a Ordem de Serviço para obter mais informações. Requ"&amp;"isitos da Função: Experiência Necessária: Sim. Meses de Experiência Necessários: 6. Requisitos Especiais: Seis meses de experiência na operação de empilhadeiras. O Operador de Empilhadeira ocupa um cargo de segurança crítica e deve realizar um exame toxic"&amp;"ológico pré-admissional. Eles também devem passar por um treinamento e certificação para operar empilhadeira após a contratação. Número de horas por semana: 40. Horário de trabalho (início/término): 7h às 16h.")</f>
        <v>Operar empilhadeiras para transportar materiais com segurança, carregar e descarregar remessas manualmente e utilizando empilhadeira, auxiliar no gerenciamento de estoque e organização de materiais, realizar inspeções de rotina em empilhadeiras. Ocasionalmente, auxiliar na produção de folhagens decorativas. Cortar diversos galhos de coníferas e outras folhagens no tamanho adequado para a confecção de guirlandas e arranjos. Esta é uma tarefa repetitiva. Os funcionários devem usar arame para fixar as folhagens às estruturas das guirlandas e amarrar os arranjos. Aparar o material utilizando tesouras de poda, modeladores, arame, alfinetes, fita floral, espuma e outros materiais. Classificação da Função: 53-7051.00 - Operadores de Caminhões e Tratores Industriais. A classificação e descrição da função/indústria incluem informações gerais sobre o cargo, de acordo com o ONET/OES e o Sistema de Classificação Industrial da América do Norte. Consulte as Funções e a Ordem de Serviço para obter mais informações. Requisitos da Função: Experiência Necessária: Sim. Meses de Experiência Necessários: 6. Requisitos Especiais: Seis meses de experiência na operação de empilhadeiras. O Operador de Empilhadeira ocupa um cargo de segurança crítica e deve realizar um exame toxicológico pré-admissional. Eles também devem passar por um treinamento e certificação para operar empilhadeira após a contratação. Número de horas por semana: 40. Horário de trabalho (início/término): 7h às 16h.</v>
      </c>
    </row>
    <row r="2017" ht="20.25" customHeight="1">
      <c r="A2017" s="8" t="s">
        <v>9047</v>
      </c>
      <c r="B2017" s="8" t="s">
        <v>9048</v>
      </c>
      <c r="C2017" s="8" t="s">
        <v>9049</v>
      </c>
      <c r="D2017" s="8" t="s">
        <v>1051</v>
      </c>
      <c r="E2017" s="9" t="s">
        <v>19</v>
      </c>
      <c r="F2017" s="9" t="s">
        <v>20</v>
      </c>
      <c r="G2017" s="9" t="s">
        <v>1269</v>
      </c>
      <c r="H2017" s="8" t="s">
        <v>9044</v>
      </c>
      <c r="I2017" s="8" t="s">
        <v>9045</v>
      </c>
      <c r="J2017" s="9">
        <v>18.61</v>
      </c>
      <c r="K2017" s="9">
        <v>408.0</v>
      </c>
      <c r="L2017" s="8" t="s">
        <v>9050</v>
      </c>
      <c r="M2017" s="8" t="s">
        <v>9051</v>
      </c>
      <c r="N2017" s="7" t="str">
        <f>IFERROR(__xludf.DUMMYFUNCTION("GOOGLETRANSLATE(L2017, ""en"", ""pt"")"),"Cortador/arranjador de folhagens decorativas")</f>
        <v>Cortador/arranjador de folhagens decorativas</v>
      </c>
      <c r="O2017" s="7" t="str">
        <f>IFERROR(__xludf.DUMMYFUNCTION("IF(M2017="""","""",GOOGLETRANSLATE(M2017,""en"",""pt""))"),"Cortar diversos ramos de coníferas e outras folhagens no tamanho adequado para a confecção de guirlandas, grinaldas e arranjos de mesa. Esta é uma habilidade repetitiva. Os funcionários devem usar arame para fixar as folhagens. Aparar o material usando te"&amp;"souras de poda, modeladores, arame, alfinetes, fita floral, espuma e outros materiais. Classificação da Função: 27-1023.00 - Designers Florais. A classificação e descrição da função/setor inclui informações gerais sobre o cargo, de acordo com o ONET/OES e"&amp;" o Sistema de Classificação Industrial da América do Norte. Consulte as Funções e a Ordem de Serviço para obter mais informações. Requisitos da Função: Experiência Necessária: Sim. Meses de Experiência Necessários: 1. Requisitos Especiais: Os funcionários"&amp;" devem possuir um mês de experiência em confecção de guirlandas ou design floral. Capacidade de levantar até 18 kg (40 lbs) diversas vezes durante um turno de oito horas. Número de Horas por Semana: 40. Horário de Trabalho (Início/Término): 7h às 16h.")</f>
        <v>Cortar diversos ramos de coníferas e outras folhagens no tamanho adequado para a confecção de guirlandas, grinaldas e arranjos de mesa. Esta é uma habilidade repetitiva. Os funcionários devem usar arame para fixar as folhagens. Aparar o material usando tesouras de poda, modeladores, arame, alfinetes, fita floral, espuma e outros materiais. Classificação da Função: 27-1023.00 - Designers Florais. A classificação e descrição da função/setor inclui informações gerais sobre o cargo, de acordo com o ONET/OES e o Sistema de Classificação Industrial da América do Norte. Consulte as Funções e a Ordem de Serviço para obter mais informações. Requisitos da Função: Experiência Necessária: Sim. Meses de Experiência Necessários: 1. Requisitos Especiais: Os funcionários devem possuir um mês de experiência em confecção de guirlandas ou design floral. Capacidade de levantar até 18 kg (40 lbs) diversas vezes durante um turno de oito horas. Número de Horas por Semana: 40. Horário de Trabalho (Início/Término): 7h às 16h.</v>
      </c>
    </row>
    <row r="2018" ht="20.25" customHeight="1">
      <c r="A2018" s="3" t="s">
        <v>9052</v>
      </c>
      <c r="B2018" s="3" t="s">
        <v>9053</v>
      </c>
      <c r="C2018" s="3" t="s">
        <v>9054</v>
      </c>
      <c r="D2018" s="3" t="s">
        <v>28</v>
      </c>
      <c r="E2018" s="4" t="s">
        <v>44</v>
      </c>
      <c r="F2018" s="4" t="s">
        <v>20</v>
      </c>
      <c r="G2018" s="4" t="s">
        <v>524</v>
      </c>
      <c r="H2018" s="3" t="s">
        <v>9055</v>
      </c>
      <c r="I2018" s="3" t="s">
        <v>9056</v>
      </c>
      <c r="J2018" s="4">
        <v>20.27</v>
      </c>
      <c r="K2018" s="4">
        <v>16.0</v>
      </c>
      <c r="L2018" s="3" t="s">
        <v>9057</v>
      </c>
      <c r="M2018" s="3" t="s">
        <v>9058</v>
      </c>
      <c r="N2018" s="7" t="str">
        <f>IFERROR(__xludf.DUMMYFUNCTION("GOOGLETRANSLATE(L2018, ""en"", ""pt"")"),"Operário geral da construção civil")</f>
        <v>Operário geral da construção civil</v>
      </c>
      <c r="O2018" s="7" t="str">
        <f>IFERROR(__xludf.DUMMYFUNCTION("IF(M2018="""","""",GOOGLETRANSLATE(M2018,""en"",""pt""))"),"As funções do cargo serão as de um trabalhador braçal da construção civil. Isso pode incluir carregar e/ou descarregar ferramentas, equipamentos e materiais de caminhões e movê-los para as áreas apropriadas do canteiro de obras. Os trabalhadores podem pre"&amp;"cisar carregar até 34 kg de material, conforme necessário, em condições climáticas adversas. Essa é uma necessidade comum no inverno, quando a construção ao ar livre pode ser prejudicada pelas condições climáticas. As tarefas incluem limpar e preparar o l"&amp;"ocal, cavar valas, instalar escoras para sustentar as laterais das escavações, montar andaimes e limpar entulhos, detritos e outros resíduos. Controlar o tráfego próximo, dentro ou ao redor das áreas de trabalho. Limpar ou preparar os canteiros de obras p"&amp;"ara eliminar possíveis riscos. Sinalizar para os operadores de equipamentos para facilitar o alinhamento, movimentação ou ajuste de máquinas, equipamentos ou materiais. Cavar valas, aterrar escavações ou compactar e nivelar o solo de acordo com as especif"&amp;"icações, usando picaretas, pás, compactadores pneumáticos ou rastelos. Misturar, despejar ou espalhar concreto, usando betoneiras portáteis. Operar bombas, compressores ou geradores para fornecer energia para ferramentas, máquinas ou equipamentos, ou para"&amp;" aquecer ou movimentar materiais, como asfalto. Montar ou desmontar andaimes, escoras, suportes, barricadas de trânsito, rampas ou outras estruturas temporárias. Classificação da função: 47-2061.00 - Auxiliares de Construção. A classificação e descrição d"&amp;"a função/setor inclui informações gerais sobre o cargo, de acordo com o ONET/OES e o Sistema de Classificação Industrial da América do Norte (NAICS). Consulte as Funções e a Ordem de Serviço para obter mais informações. Requisitos da vaga: Experiência nec"&amp;"essária: Não. Número de horas por semana: 40. Horário de trabalho (início/término): 7h às 16h.")</f>
        <v>As funções do cargo serão as de um trabalhador braçal da construção civil. Isso pode incluir carregar e/ou descarregar ferramentas, equipamentos e materiais de caminhões e movê-los para as áreas apropriadas do canteiro de obras. Os trabalhadores podem precisar carregar até 34 kg de material, conforme necessário, em condições climáticas adversas. Essa é uma necessidade comum no inverno, quando a construção ao ar livre pode ser prejudicada pelas condições climáticas. As tarefas incluem limpar e preparar o local, cavar valas, instalar escoras para sustentar as laterais das escavações, montar andaimes e limpar entulhos, detritos e outros resíduos. Controlar o tráfego próximo, dentro ou ao redor das áreas de trabalho. Limpar ou preparar os canteiros de obras para eliminar possíveis riscos. Sinalizar para os operadores de equipamentos para facilitar o alinhamento, movimentação ou ajuste de máquinas, equipamentos ou materiais. Cavar valas, aterrar escavações ou compactar e nivelar o solo de acordo com as especificações, usando picaretas, pás, compactadores pneumáticos ou rastelos. Misturar, despejar ou espalhar concreto, usando betoneiras portáteis. Operar bombas, compressores ou geradores para fornecer energia para ferramentas, máquinas ou equipamentos, ou para aquecer ou movimentar materiais, como asfalto. Montar ou desmontar andaimes, escoras, suportes, barricadas de trânsito, rampas ou outras estruturas temporárias. Classificação da função: 47-2061.00 - Auxiliares de Construção. A classificação e descrição da função/setor inclui informações gerais sobre o cargo, de acordo com o ONET/OES e o Sistema de Classificação Industrial da América do Norte (NAICS). Consulte as Funções e a Ordem de Serviço para obter mais informações. Requisitos da vaga: Experiência necessária: Não. Número de horas por semana: 40. Horário de trabalho (início/término): 7h às 16h.</v>
      </c>
    </row>
    <row r="2019" ht="20.25" customHeight="1">
      <c r="A2019" s="8" t="s">
        <v>9059</v>
      </c>
      <c r="B2019" s="8" t="s">
        <v>9060</v>
      </c>
      <c r="C2019" s="8" t="s">
        <v>1000</v>
      </c>
      <c r="D2019" s="8" t="s">
        <v>1103</v>
      </c>
      <c r="E2019" s="9" t="s">
        <v>19</v>
      </c>
      <c r="F2019" s="9" t="s">
        <v>20</v>
      </c>
      <c r="G2019" s="9" t="s">
        <v>307</v>
      </c>
      <c r="H2019" s="8" t="s">
        <v>9061</v>
      </c>
      <c r="I2019" s="8" t="s">
        <v>9062</v>
      </c>
      <c r="J2019" s="9">
        <v>21.03</v>
      </c>
      <c r="K2019" s="9">
        <v>30.0</v>
      </c>
      <c r="L2019" s="8" t="s">
        <v>2196</v>
      </c>
      <c r="M2019" s="8" t="s">
        <v>9063</v>
      </c>
      <c r="N2019" s="7" t="str">
        <f>IFERROR(__xludf.DUMMYFUNCTION("GOOGLETRANSLATE(L2019, ""en"", ""pt"")"),"Paisagistas")</f>
        <v>Paisagistas</v>
      </c>
      <c r="O2019" s="7" t="str">
        <f>IFERROR(__xludf.DUMMYFUNCTION("IF(M2019="""","""",GOOGLETRANSLATE(M2019,""en"",""pt""))"),"Recolher e remover lixo; usar ferramentas manuais como pás, ancinhos, serras de poda, serras, aparadores de cerca viva ou de arbustos ou machados; operar equipamentos motorizados como cortadores de grama, motosserras, tesouras elétricas, cortadores de gra"&amp;"ma ou serras de poda; regar gramados, árvores ou plantas usando sistemas de irrigação portáteis, mangueiras ou regadores; podar ou aparar árvores, arbustos ou cercas vivas usando tesouras de poda, podadores ou motosserras. A poda de árvores será realizada"&amp;" no solo e consistirá em cortar galhos de árvores com menos de 1,80 m de altura sem a necessidade de escada ou escalada. Um podador manual será a ferramenta necessária para concluir esta tarefa. Classificação do Cargo: 37-3011.00 - Trabalhadores de Paisag"&amp;"ismo e Manutenção de Jardins. A classificação e descrição do cargo/setor inclui informações gerais sobre a posição, de acordo com o ONET/OES e o Sistema de Classificação Industrial da América do Norte. Consulte as Funções e a Ordem de Serviço para obter m"&amp;"ais informações. Requisitos da vaga Experiência necessária: Não Requisitos especiais: Deve ser capaz de levantar e carregar 34 kg por 45 metros. Deve ser capaz de lidar com temperaturas extremas. Deverá viajar para locais de trabalho dentro da área de atu"&amp;"ação pretendida. Número de horas por semana: 40 Horário de trabalho (início/término): 6h30 às 15h30")</f>
        <v>Recolher e remover lixo; usar ferramentas manuais como pás, ancinhos, serras de poda, serras, aparadores de cerca viva ou de arbustos ou machados; operar equipamentos motorizados como cortadores de grama, motosserras, tesouras elétricas, cortadores de grama ou serras de poda; regar gramados, árvores ou plantas usando sistemas de irrigação portáteis, mangueiras ou regadores; podar ou aparar árvores, arbustos ou cercas vivas usando tesouras de poda, podadores ou motosserras. A poda de árvores será realizada no solo e consistirá em cortar galhos de árvores com menos de 1,80 m de altura sem a necessidade de escada ou escalada. Um podador manual será a ferramenta necessária para concluir esta tarefa. Classificação do Cargo: 37-3011.00 - Trabalhadores de Paisagismo e Manutenção de Jardins. A classificação e descrição do cargo/setor inclui informações gerais sobre a posição, de acordo com o ONET/OES e o Sistema de Classificação Industrial da América do Norte. Consulte as Funções e a Ordem de Serviço para obter mais informações. Requisitos da vaga Experiência necessária: Não Requisitos especiais: Deve ser capaz de levantar e carregar 34 kg por 45 metros. Deve ser capaz de lidar com temperaturas extremas. Deverá viajar para locais de trabalho dentro da área de atuação pretendida. Número de horas por semana: 40 Horário de trabalho (início/término): 6h30 às 15h30</v>
      </c>
    </row>
    <row r="2020" ht="20.25" customHeight="1">
      <c r="A2020" s="3" t="s">
        <v>9064</v>
      </c>
      <c r="B2020" s="3" t="s">
        <v>9065</v>
      </c>
      <c r="C2020" s="3" t="s">
        <v>8729</v>
      </c>
      <c r="D2020" s="3" t="s">
        <v>596</v>
      </c>
      <c r="E2020" s="4" t="s">
        <v>19</v>
      </c>
      <c r="F2020" s="4" t="s">
        <v>20</v>
      </c>
      <c r="G2020" s="4" t="s">
        <v>4040</v>
      </c>
      <c r="H2020" s="3" t="s">
        <v>9066</v>
      </c>
      <c r="I2020" s="3" t="s">
        <v>9067</v>
      </c>
      <c r="J2020" s="4">
        <v>19.08</v>
      </c>
      <c r="K2020" s="4">
        <v>1.0</v>
      </c>
      <c r="L2020" s="3" t="s">
        <v>387</v>
      </c>
      <c r="M2020" s="3" t="s">
        <v>9068</v>
      </c>
      <c r="N2020" s="7" t="str">
        <f>IFERROR(__xludf.DUMMYFUNCTION("GOOGLETRANSLATE(L2020, ""en"", ""pt"")"),"Ordem de serviço não disponível")</f>
        <v>Ordem de serviço não disponível</v>
      </c>
      <c r="O2020" s="7" t="str">
        <f>IFERROR(__xludf.DUMMYFUNCTION("IF(M2020="""","""",GOOGLETRANSLATE(M2020,""en"",""pt""))"),"Cuidar de crianças em residências particulares e fornecer apoio e conhecimento especializado aos pais para atender às suas necessidades físicas, emocionais, intelectuais e sociais. As tarefas incluem planejamento e preparo de refeições, lavagem e cuidados"&amp;" com as roupas, organização de atividades lúdicas e passeios, disciplina, estimulação intelectual, atividades de linguagem e transporte. Todas as tarefas devem ser realizadas exclusivamente em benefício das crianças e não se aplicam a outros membros da fa"&amp;"mília. Classificação da vaga: 39-9011.01 - Babás. A classificação e descrição da vaga/setor incluem informações gerais sobre o cargo, de acordo com o ONET/OES e o Sistema de Classificação Industrial da América do Norte. Consulte as Funções e a Ordem de Se"&amp;"rviço para obter mais informações. Requisitos da vaga: Experiência necessária: Sim. Meses de experiência necessários: 12. Número de horas por semana: 69. Horário de trabalho (início/término): 7h às 20h.")</f>
        <v>Cuidar de crianças em residências particulares e fornecer apoio e conhecimento especializado aos pais para atender às suas necessidades físicas, emocionais, intelectuais e sociais. As tarefas incluem planejamento e preparo de refeições, lavagem e cuidados com as roupas, organização de atividades lúdicas e passeios, disciplina, estimulação intelectual, atividades de linguagem e transporte. Todas as tarefas devem ser realizadas exclusivamente em benefício das crianças e não se aplicam a outros membros da família. Classificação da vaga: 39-9011.01 - Babás. A classificação e descrição da vaga/setor incluem informações gerais sobre o cargo, de acordo com o ONET/OES e o Sistema de Classificação Industrial da América do Norte. Consulte as Funções e a Ordem de Serviço para obter mais informações. Requisitos da vaga: Experiência necessária: Sim. Meses de experiência necessários: 12. Número de horas por semana: 69. Horário de trabalho (início/término): 7h às 20h.</v>
      </c>
    </row>
    <row r="2021" ht="20.25" customHeight="1">
      <c r="A2021" s="8" t="s">
        <v>9069</v>
      </c>
      <c r="B2021" s="8" t="s">
        <v>9070</v>
      </c>
      <c r="C2021" s="8" t="s">
        <v>8537</v>
      </c>
      <c r="D2021" s="8" t="s">
        <v>55</v>
      </c>
      <c r="E2021" s="9" t="s">
        <v>19</v>
      </c>
      <c r="F2021" s="9" t="s">
        <v>20</v>
      </c>
      <c r="G2021" s="9" t="s">
        <v>56</v>
      </c>
      <c r="H2021" s="8" t="s">
        <v>9071</v>
      </c>
      <c r="I2021" s="8" t="s">
        <v>9072</v>
      </c>
      <c r="J2021" s="9">
        <v>19.8</v>
      </c>
      <c r="K2021" s="9">
        <v>12.0</v>
      </c>
      <c r="L2021" s="8" t="s">
        <v>9073</v>
      </c>
      <c r="M2021" s="8" t="s">
        <v>9074</v>
      </c>
      <c r="N2021" s="7" t="str">
        <f>IFERROR(__xludf.DUMMYFUNCTION("GOOGLETRANSLATE(L2021, ""en"", ""pt"")"),"Trabalhador de paisagismo II")</f>
        <v>Trabalhador de paisagismo II</v>
      </c>
      <c r="O2021" s="7" t="str">
        <f>IFERROR(__xludf.DUMMYFUNCTION("IF(M2021="""","""",GOOGLETRANSLATE(M2021,""en"",""pt""))"),"Executa diversas tarefas de reforma de campos de golfe, incluindo a preparação e construção de greens, tees e bunkers; prepara componentes do sistema de irrigação, cola/funde conexões e interligações; instala tubulações, fios e aspersores de irrigação; ca"&amp;"va buracos e valas, utilizando ferramentas manuais para instalar drenagem e interligações; espalha e assenta materiais como sementes de grama, grama em placas, substrato para greens, cascalho e areia; opera equipamentos mecanizados para movimentar e insta"&amp;"lar materiais. O objetivo da vala, se necessário, será instalar componentes do sistema de irrigação do campo de golfe, como drenagem, tubulação lateral para aspersores e tubulação principal de abastecimento que se conecta à tubulação lateral. Os funcionár"&amp;"ios utilizarão uma escavadeira de valas de 85 cavalos de potência para tubulações principais (de 15 cm a 25 cm), um arado vibratório de 85 cavalos de potência para tubulação lateral (de 5 cm a 7,5 cm) para instalar aspersores, e pás e outras ferramentas m"&amp;"anuais para nivelar as linhas de vala e criar espaço para o equipamento de irrigação, conforme necessário. As valas, se necessárias, atingirão uma profundidade esperada de 66 cm a 112 cm e uma largura esperada de 20 cm a 46 cm em seus pontos mais largos. "&amp;"Alojamento opcional fornecido pela empresa será oferecido gratuitamente para funcionários que residem fora da distância de deslocamento diário. Funcionários que não necessitarem ou não utilizarem o alojamento da empresa receberão um reembolso de moradia d"&amp;"e US$ 231,00 por período de pagamento. Classificação do Cargo: 37-3011.00 - Trabalhadores de Paisagismo e Manutenção de Áreas Verdes. A classificação e descrição do cargo/setor incluem informações gerais sobre a posição, de acordo com o ONET/OES e o Siste"&amp;"ma de Classificação Industrial da América do Norte (NAICS). Consulte as Funções e a Ordem de Serviço para obter mais informações. Requisitos do Cargo Experiência Necessária: Sim Meses de Experiência Necessários: 3 Requisitos Especiais: Três meses de exper"&amp;"iência em construção de campos de golfe, instalação/manutenção de paisagismo ou áreas afins da construção civil, envolvendo preparação do terreno, nivelamento, drenagem ou instalação estrutural; conhecimento de sistemas de irrigação de campos de golfe, in"&amp;"cluindo a capacidade de instalar/reparar componentes-chave. Três meses de experiência operando qualquer um dos seguintes equipamentos: trator, minicarregadeira, arado/escavadeira. Horas extras conforme necessário. Gostaríamos de esclarecer as informações "&amp;"do Item F.a.5. Durante a semana de trabalho, que vai de domingo a sábado, os funcionários têm uma jornada de 40 horas semanais e recebem horas extras conforme necessário. O Item F.a.5 não nos permite inserir essa escala de trabalho. Se inserirmos 8 horas "&amp;"por dia, o sistema mostrará 56 horas semanais, o que não reflete com precisão a jornada de trabalho. Número de horas por semana: 40. Horário de trabalho (início/término): 7h00 - 15h30.")</f>
        <v>Executa diversas tarefas de reforma de campos de golfe, incluindo a preparação e construção de greens, tees e bunkers; prepara componentes do sistema de irrigação, cola/funde conexões e interligações; instala tubulações, fios e aspersores de irrigação; cava buracos e valas, utilizando ferramentas manuais para instalar drenagem e interligações; espalha e assenta materiais como sementes de grama, grama em placas, substrato para greens, cascalho e areia; opera equipamentos mecanizados para movimentar e instalar materiais. O objetivo da vala, se necessário, será instalar componentes do sistema de irrigação do campo de golfe, como drenagem, tubulação lateral para aspersores e tubulação principal de abastecimento que se conecta à tubulação lateral. Os funcionários utilizarão uma escavadeira de valas de 85 cavalos de potência para tubulações principais (de 15 cm a 25 cm), um arado vibratório de 85 cavalos de potência para tubulação lateral (de 5 cm a 7,5 cm) para instalar aspersores, e pás e outras ferramentas manuais para nivelar as linhas de vala e criar espaço para o equipamento de irrigação, conforme necessário. As valas, se necessárias, atingirão uma profundidade esperada de 66 cm a 112 cm e uma largura esperada de 20 cm a 46 cm em seus pontos mais largos. Alojamento opcional fornecido pela empresa será oferecido gratuitamente para funcionários que residem fora da distância de deslocamento diário. Funcionários que não necessitarem ou não utilizarem o alojamento da empresa receberão um reembolso de moradia de US$ 231,00 por período de pagamento. Classificação do Cargo: 37-3011.00 - Trabalhadores de Paisagismo e Manutenção de Áreas Verdes. A classificação e descrição do cargo/setor incluem informações gerais sobre a posição, de acordo com o ONET/OES e o Sistema de Classificação Industrial da América do Norte (NAICS). Consulte as Funções e a Ordem de Serviço para obter mais informações. Requisitos do Cargo Experiência Necessária: Sim Meses de Experiência Necessários: 3 Requisitos Especiais: Três meses de experiência em construção de campos de golfe, instalação/manutenção de paisagismo ou áreas afins da construção civil, envolvendo preparação do terreno, nivelamento, drenagem ou instalação estrutural; conhecimento de sistemas de irrigação de campos de golfe, incluindo a capacidade de instalar/reparar componentes-chave. Três meses de experiência operando qualquer um dos seguintes equipamentos: trator, minicarregadeira, arado/escavadeira. Horas extras conforme necessário. Gostaríamos de esclarecer as informações do Item F.a.5. Durante a semana de trabalho, que vai de domingo a sábado, os funcionários têm uma jornada de 40 horas semanais e recebem horas extras conforme necessário. O Item F.a.5 não nos permite inserir essa escala de trabalho. Se inserirmos 8 horas por dia, o sistema mostrará 56 horas semanais, o que não reflete com precisão a jornada de trabalho. Número de horas por semana: 40. Horário de trabalho (início/término): 7h00 - 15h30.</v>
      </c>
    </row>
    <row r="2022" ht="20.25" customHeight="1">
      <c r="A2022" s="3" t="s">
        <v>9075</v>
      </c>
      <c r="B2022" s="3" t="s">
        <v>9070</v>
      </c>
      <c r="C2022" s="3" t="s">
        <v>8537</v>
      </c>
      <c r="D2022" s="3" t="s">
        <v>55</v>
      </c>
      <c r="E2022" s="4" t="s">
        <v>44</v>
      </c>
      <c r="F2022" s="4" t="s">
        <v>20</v>
      </c>
      <c r="G2022" s="4" t="s">
        <v>56</v>
      </c>
      <c r="H2022" s="3" t="s">
        <v>9071</v>
      </c>
      <c r="I2022" s="3" t="s">
        <v>9072</v>
      </c>
      <c r="J2022" s="4">
        <v>36.95</v>
      </c>
      <c r="K2022" s="4">
        <v>1.0</v>
      </c>
      <c r="L2022" s="3" t="s">
        <v>3563</v>
      </c>
      <c r="M2022" s="3" t="s">
        <v>9076</v>
      </c>
      <c r="N2022" s="7" t="str">
        <f>IFERROR(__xludf.DUMMYFUNCTION("GOOGLETRANSLATE(L2022, ""en"", ""pt"")"),"Capataz")</f>
        <v>Capataz</v>
      </c>
      <c r="O2022" s="7" t="str">
        <f>IFERROR(__xludf.DUMMYFUNCTION("IF(M2022="""","""",GOOGLETRANSLATE(M2022,""en"",""pt""))"),"***Resposta à Solicitação de Informações*** O trabalhador operará os equipamentos em caráter de treinamento, conforme necessário, para garantir que os demais membros da equipe sejam devidamente instruídos sobre o uso dos equipamentos. O trabalhador não op"&amp;"erará os equipamentos em sua capacidade de produção diária e os operará conforme necessário para dar suporte ao projeto – menos de 50% do dia, se necessário. Toda a operação dos equipamentos será realizada no local do projeto, portanto, não é necessária c"&amp;"arteira de habilitação comercial. Espera-se que qualquer escavação de valas associada ao projeto envolva valas com aproximadamente 66 a 122 cm de profundidade e 30 a 183 cm de largura em seus pontos mais largos. Modelos de equipamentos equivalentes podem "&amp;"ser utilizados, dependendo da disponibilidade. Os equipamentos que podem ser utilizados incluem: escavadeiras de valas de 75 a 95 HP, como a Ditch Witch RT75 ou a Vermeer RTX750, para escavar e aterrar valas de irrigação para instalação de tubulação princ"&amp;"ipal (tubulações de 10 a 25 cm); Arados vibratórios de 75 a 95 HP, como o Ditch Witch RT75 ou o Vermeer RTX750, para aração de linhas laterais de irrigação e fios a profundidades de aproximadamente 45 a 60 cm; escavadeiras de 4.500 a 11.000 kg, como a Joh"&amp;"n Deere 120 e a miniescavadeira Caterpillar 306, para escavar e aterrar valas para a instalação de tubulações de drenagem e irrigação em todo o campo de golfe; minicarregadeiras de 1.270 a 1.450 kg, como a Caterpillar 265, para movimentação e carregamento"&amp;" de materiais, aterro de valas e carregamento de cascalho e areia para bunkers em reboques Pronovost; caminhão basculante Wacker Neuson 3001 para transporte de entulho e suprimentos como cascalho e areia; rolos compactadores de tambor duplo liso de 2 a 3 "&amp;"toneladas, como o Dynapac CC1200 ou o Wacker Neuson, para compactação de valas ou nivelamento de linhas de aragem; Trator de 50 a 80 HP e reboques basculantes, como o John Deere 4066M e/ou John Deere 5077, para movimentação de materiais dentro do canteiro"&amp;" de obras e para puxar implementos fora de estrada; UTV para 2 a 4 ou 4 a 6 pessoas, como o Kubota RTV-X1140, para transporte da equipe e suprimentos; e empilhadeira/manipulador telescópico, como o modelo 8K JLG, para carga e descarga de tubos e outros ma"&amp;"teriais. ***Original*** Trabalho braçal prático em demarcação/layout, drenagem, bunkers, acabamento, greens e tees, operação de equipamentos, etc.; informa as equipes sobre as atividades planejadas para o dia e fornece as ferramentas e materiais necessári"&amp;"os; instrui, supervisiona e treina as equipes nas tarefas designadas, como instalação de irrigação, criação de tees e bunkers, plantio de grama, semeadura, demarcação/sinalização, operação e manutenção de equipamentos; gerencia o estoque de equipamentos, "&amp;"suprimentos, materiais e combustível; Identifica e elimina potenciais desperdícios que possam ocorrer durante a execução das tarefas atribuídas, incluindo desperdício de materiais como aspersores de irrigação, tubos e fios de irrigação, cascalho e mistura"&amp;" para gramados; garante que os equipamentos e ferramentas atribuídos sejam mantidos adequadamente por meio da execução de manutenção preventiva de rotina; auxilia na manutenção de registros do projeto, como comprovantes de entrega, ordens de compra e list"&amp;"as de reuniões de segurança; auxilia na criação de desenhos ""as-built""; e reporta potenciais problemas ao Superintendente do Projeto. Alojamento opcional fornecido pela empresa será oferecido gratuitamente para funcionários que residem fora da distância"&amp;" de deslocamento diário. Funcionários que não necessitarem ou não utilizarem o alojamento da empresa receberão um reembolso de moradia de US$ 231,00 por período de pagamento. Classificação da Função: 47-2073.00 - Operadores de Máquinas e Outros Operadores"&amp;" de Equipamentos de Construção. A classificação e descrição da função/setor inclui informações gerais sobre o cargo, conforme o ONET/OES e o Sistema de Classificação Industrial da América do Norte (NAICS). Consulte as Funções e a Ordem de Serviço para obt"&amp;"er mais informações. Requisitos da Vaga Experiência Necessária: Sim Meses de Experiência Necessários: 12 Requisitos Especiais: Necessário possuir certificação como Fundidor de Tubos Certificado por um fornecedor reconhecido, como ISCO, Ewing Irrigation ou"&amp;" ADS Hancor. 12 meses de experiência em construção e reforma de campos de golfe. Horas extras conforme necessário. Gostaríamos de esclarecer as informações do Item F.a.5. Durante a semana de trabalho, que vai de domingo a sábado, os funcionários têm uma j"&amp;"ornada de 40 horas semanais e recebem horas extras conforme necessário. O Item F.a.5 não permite inserir essa escala de trabalho. Se inserirmos 8 horas por dia, o sistema mostrará 56 horas semanais, o que não reflete com precisão a jornada de trabalho. Nú"&amp;"mero de Horas por Semana: 40 Horário de Trabalho (Início/Término): 7h00 - 15h30")</f>
        <v>***Resposta à Solicitação de Informações*** O trabalhador operará os equipamentos em caráter de treinamento, conforme necessário, para garantir que os demais membros da equipe sejam devidamente instruídos sobre o uso dos equipamentos. O trabalhador não operará os equipamentos em sua capacidade de produção diária e os operará conforme necessário para dar suporte ao projeto – menos de 50% do dia, se necessário. Toda a operação dos equipamentos será realizada no local do projeto, portanto, não é necessária carteira de habilitação comercial. Espera-se que qualquer escavação de valas associada ao projeto envolva valas com aproximadamente 66 a 122 cm de profundidade e 30 a 183 cm de largura em seus pontos mais largos. Modelos de equipamentos equivalentes podem ser utilizados, dependendo da disponibilidade. Os equipamentos que podem ser utilizados incluem: escavadeiras de valas de 75 a 95 HP, como a Ditch Witch RT75 ou a Vermeer RTX750, para escavar e aterrar valas de irrigação para instalação de tubulação principal (tubulações de 10 a 25 cm); Arados vibratórios de 75 a 95 HP, como o Ditch Witch RT75 ou o Vermeer RTX750, para aração de linhas laterais de irrigação e fios a profundidades de aproximadamente 45 a 60 cm; escavadeiras de 4.500 a 11.000 kg, como a John Deere 120 e a miniescavadeira Caterpillar 306, para escavar e aterrar valas para a instalação de tubulações de drenagem e irrigação em todo o campo de golfe; minicarregadeiras de 1.270 a 1.450 kg, como a Caterpillar 265, para movimentação e carregamento de materiais, aterro de valas e carregamento de cascalho e areia para bunkers em reboques Pronovost; caminhão basculante Wacker Neuson 3001 para transporte de entulho e suprimentos como cascalho e areia; rolos compactadores de tambor duplo liso de 2 a 3 toneladas, como o Dynapac CC1200 ou o Wacker Neuson, para compactação de valas ou nivelamento de linhas de aragem; Trator de 50 a 80 HP e reboques basculantes, como o John Deere 4066M e/ou John Deere 5077, para movimentação de materiais dentro do canteiro de obras e para puxar implementos fora de estrada; UTV para 2 a 4 ou 4 a 6 pessoas, como o Kubota RTV-X1140, para transporte da equipe e suprimentos; e empilhadeira/manipulador telescópico, como o modelo 8K JLG, para carga e descarga de tubos e outros materiais. ***Original*** Trabalho braçal prático em demarcação/layout, drenagem, bunkers, acabamento, greens e tees, operação de equipamentos, etc.; informa as equipes sobre as atividades planejadas para o dia e fornece as ferramentas e materiais necessários; instrui, supervisiona e treina as equipes nas tarefas designadas, como instalação de irrigação, criação de tees e bunkers, plantio de grama, semeadura, demarcação/sinalização, operação e manutenção de equipamentos; gerencia o estoque de equipamentos, suprimentos, materiais e combustível; Identifica e elimina potenciais desperdícios que possam ocorrer durante a execução das tarefas atribuídas, incluindo desperdício de materiais como aspersores de irrigação, tubos e fios de irrigação, cascalho e mistura para gramados; garante que os equipamentos e ferramentas atribuídos sejam mantidos adequadamente por meio da execução de manutenção preventiva de rotina; auxilia na manutenção de registros do projeto, como comprovantes de entrega, ordens de compra e listas de reuniões de segurança; auxilia na criação de desenhos "as-built"; e reporta potenciais problemas ao Superintendente do Projeto. Alojamento opcional fornecido pela empresa será oferecido gratuitamente para funcionários que residem fora da distância de deslocamento diário. Funcionários que não necessitarem ou não utilizarem o alojamento da empresa receberão um reembolso de moradia de US$ 231,00 por período de pagamento. Classificação da Função: 47-2073.00 - Operadores de Máquinas e Outros Operadores de Equipamentos de Construção. A classificação e descrição da função/setor inclui informações gerais sobre o cargo, conforme o ONET/OES e o Sistema de Classificação Industrial da América do Norte (NAICS). Consulte as Funções e a Ordem de Serviço para obter mais informações. Requisitos da Vaga Experiência Necessária: Sim Meses de Experiência Necessários: 12 Requisitos Especiais: Necessário possuir certificação como Fundidor de Tubos Certificado por um fornecedor reconhecido, como ISCO, Ewing Irrigation ou ADS Hancor. 12 meses de experiência em construção e reforma de campos de golfe. Horas extras conforme necessário. Gostaríamos de esclarecer as informações do Item F.a.5. Durante a semana de trabalho, que vai de domingo a sábado, os funcionários têm uma jornada de 40 horas semanais e recebem horas extras conforme necessário. O Item F.a.5 não permite inserir essa escala de trabalho. Se inserirmos 8 horas por dia, o sistema mostrará 56 horas semanais, o que não reflete com precisão a jornada de trabalho. Número de Horas por Semana: 40 Horário de Trabalho (Início/Término): 7h00 - 15h30</v>
      </c>
    </row>
    <row r="2023" ht="20.25" customHeight="1">
      <c r="A2023" s="8" t="s">
        <v>9077</v>
      </c>
      <c r="B2023" s="8" t="s">
        <v>9078</v>
      </c>
      <c r="C2023" s="8" t="s">
        <v>9079</v>
      </c>
      <c r="D2023" s="8" t="s">
        <v>3015</v>
      </c>
      <c r="E2023" s="9" t="s">
        <v>19</v>
      </c>
      <c r="F2023" s="9" t="s">
        <v>20</v>
      </c>
      <c r="G2023" s="9" t="s">
        <v>9080</v>
      </c>
      <c r="H2023" s="8" t="s">
        <v>9081</v>
      </c>
      <c r="I2023" s="8" t="s">
        <v>9082</v>
      </c>
      <c r="J2023" s="9">
        <v>18.3</v>
      </c>
      <c r="K2023" s="9">
        <v>3.0</v>
      </c>
      <c r="L2023" s="8" t="s">
        <v>9083</v>
      </c>
      <c r="M2023" s="8" t="s">
        <v>9084</v>
      </c>
      <c r="N2023" s="7" t="str">
        <f>IFERROR(__xludf.DUMMYFUNCTION("GOOGLETRANSLATE(L2023, ""en"", ""pt"")"),"Trabalhador Geral de Pecuária")</f>
        <v>Trabalhador Geral de Pecuária</v>
      </c>
      <c r="O2023" s="7" t="str">
        <f>IFERROR(__xludf.DUMMYFUNCTION("IF(M2023="""","""",GOOGLETRANSLATE(M2023,""en"",""pt""))"),"O trabalhador de pecuária executa uma combinação das seguintes tarefas para acomodar, alimentar, dar água, carregar, pesar, marcar e separar o gado: Alimenta o gado com grãos, feno e ração preparada, e dá água de acordo com o cronograma. Abre portões e co"&amp;"nduz o gado para balanças, currais, caminhões e áreas de espera, seguindo as instruções, utilizando bastão elétrico e chicote. Carrega e descarrega o gado nos caminhões. Anota os números de identificação em todos os animais reprodutores. Pesa os animais e"&amp;" registra o peso. Separa os animais de acordo com peso, idade, cor e condição física. Marca o gado para identificar a propriedade e a classificação, utilizando marcas, etiquetas, tinta ou tatuagens. Limpa rampas, balanças, caminhões e currais, utilizando "&amp;"mangueira, forcado, pá e ancinho. Espalha material novo para cama, como serragem e palha, nos currais e caminhões. Pode vacinar, aplicar linimento, vermifugar, isolar e marcar os animais para implementar o programa de controle de doenças. Pode realizar re"&amp;"paros de rotina e executar tarefas gerais de limpeza e manutenção no curral. Os dias de trabalho variam de domingo a sábado. Classificação da vaga: 45-2093.00 - Trabalhadores rurais, animais de fazenda, rancho e aquicultura. A classificação e descrição da"&amp;" vaga/setor incluem informações gerais sobre o cargo, de acordo com o ONET/OES e o Sistema de Classificação Industrial da América do Norte (NAICS). Consulte as atribuições e a ordem de serviço para obter mais informações. Requisitos da vaga: Experiência n"&amp;"ecessária: Sim. Meses de experiência necessários: 3. Requisitos especiais: DEVE SER CAPAZ DE LEVANTAR 45 KG. CARTEIRA DE HABILITAÇÃO EM 30 DIAS. Número de horas por semana: 50. Horário de trabalho (início/término): 7h às 17h.")</f>
        <v>O trabalhador de pecuária executa uma combinação das seguintes tarefas para acomodar, alimentar, dar água, carregar, pesar, marcar e separar o gado: Alimenta o gado com grãos, feno e ração preparada, e dá água de acordo com o cronograma. Abre portões e conduz o gado para balanças, currais, caminhões e áreas de espera, seguindo as instruções, utilizando bastão elétrico e chicote. Carrega e descarrega o gado nos caminhões. Anota os números de identificação em todos os animais reprodutores. Pesa os animais e registra o peso. Separa os animais de acordo com peso, idade, cor e condição física. Marca o gado para identificar a propriedade e a classificação, utilizando marcas, etiquetas, tinta ou tatuagens. Limpa rampas, balanças, caminhões e currais, utilizando mangueira, forcado, pá e ancinho. Espalha material novo para cama, como serragem e palha, nos currais e caminhões. Pode vacinar, aplicar linimento, vermifugar, isolar e marcar os animais para implementar o programa de controle de doenças. Pode realizar reparos de rotina e executar tarefas gerais de limpeza e manutenção no curral. Os dias de trabalho variam de domingo a sábado. Classificação da vaga: 45-2093.00 - Trabalhadores rurais, animais de fazenda, rancho e aquicultura. A classificação e descrição da vaga/setor incluem informações gerais sobre o cargo, de acordo com o ONET/OES e o Sistema de Classificação Industrial da América do Norte (NAICS). Consulte as atribuições e a ordem de serviço para obter mais informações. Requisitos da vaga: Experiência necessária: Sim. Meses de experiência necessários: 3. Requisitos especiais: DEVE SER CAPAZ DE LEVANTAR 45 KG. CARTEIRA DE HABILITAÇÃO EM 30 DIAS. Número de horas por semana: 50. Horário de trabalho (início/término): 7h às 17h.</v>
      </c>
    </row>
    <row r="2024" ht="20.25" customHeight="1">
      <c r="A2024" s="3" t="s">
        <v>9085</v>
      </c>
      <c r="B2024" s="3" t="s">
        <v>9086</v>
      </c>
      <c r="C2024" s="3" t="s">
        <v>8729</v>
      </c>
      <c r="D2024" s="3" t="s">
        <v>596</v>
      </c>
      <c r="E2024" s="4" t="s">
        <v>19</v>
      </c>
      <c r="F2024" s="4" t="s">
        <v>20</v>
      </c>
      <c r="G2024" s="4" t="s">
        <v>4040</v>
      </c>
      <c r="H2024" s="3" t="s">
        <v>9087</v>
      </c>
      <c r="I2024" s="3" t="s">
        <v>9088</v>
      </c>
      <c r="J2024" s="4">
        <v>18.45</v>
      </c>
      <c r="K2024" s="4">
        <v>1.0</v>
      </c>
      <c r="L2024" s="3" t="s">
        <v>387</v>
      </c>
      <c r="M2024" s="3" t="s">
        <v>9089</v>
      </c>
      <c r="N2024" s="7" t="str">
        <f>IFERROR(__xludf.DUMMYFUNCTION("GOOGLETRANSLATE(L2024, ""en"", ""pt"")"),"Ordem de serviço não disponível")</f>
        <v>Ordem de serviço não disponível</v>
      </c>
      <c r="O2024" s="7" t="str">
        <f>IFERROR(__xludf.DUMMYFUNCTION("IF(M2024="""","""",GOOGLETRANSLATE(M2024,""en"",""pt""))"),"***Resposta à Solicitação de Informações*** As funções incluem planejamento e preparo de refeições simples, incluindo cozinhar e servir refeições e lanches simples para as crianças usando micro-ondas, fogão ou forno, lavar e cuidar das roupas, organizar a"&amp;"tividades lúdicas e passeios, disciplinar, estimular o intelecto, promover atividades de linguagem e transportar as crianças de e para as atividades. Todas as funções devem ser desempenhadas exclusivamente em benefício das crianças e não dizem respeito a "&amp;"outros membros da família. ***Original*** Cuidar de crianças em residências particulares e fornecer apoio e conhecimento especializado aos pais para atender às suas necessidades físicas, emocionais, intelectuais e sociais. As funções incluem planejamento "&amp;"e preparo de refeições, lavar e cuidar das roupas, organizar atividades lúdicas e passeios, disciplinar, estimular o intelecto, promover atividades de linguagem e transportar. Classificação da Função: 39-9011.01 - Babás. A classificação e descrição da fun"&amp;"ção/setor inclui informações gerais sobre o cargo, de acordo com o ONET/OES e o Sistema de Classificação Industrial da América do Norte. Consulte as Funções e a Ordem de Serviço para obter mais informações. Requisitos da vaga Experiência necessária: Sim M"&amp;"eses de experiência necessários: 12 Número de horas por semana: 50 Horário de trabalho (início/término): 8h às 18h")</f>
        <v>***Resposta à Solicitação de Informações*** As funções incluem planejamento e preparo de refeições simples, incluindo cozinhar e servir refeições e lanches simples para as crianças usando micro-ondas, fogão ou forno, lavar e cuidar das roupas, organizar atividades lúdicas e passeios, disciplinar, estimular o intelecto, promover atividades de linguagem e transportar as crianças de e para as atividades. Todas as funções devem ser desempenhadas exclusivamente em benefício das crianças e não dizem respeito a outros membros da família. ***Original*** Cuidar de crianças em residências particulares e fornecer apoio e conhecimento especializado aos pais para atender às suas necessidades físicas, emocionais, intelectuais e sociais. As funções incluem planejamento e preparo de refeições, lavar e cuidar das roupas, organizar atividades lúdicas e passeios, disciplinar, estimular o intelecto, promover atividades de linguagem e transportar. Classificação da Função: 39-9011.01 - Babás. A classificação e descrição da função/setor inclui informações gerais sobre o cargo, de acordo com o ONET/OES e o Sistema de Classificação Industrial da América do Norte. Consulte as Funções e a Ordem de Serviço para obter mais informações. Requisitos da vaga Experiência necessária: Sim Meses de experiência necessários: 12 Número de horas por semana: 50 Horário de trabalho (início/término): 8h às 18h</v>
      </c>
    </row>
    <row r="2025" ht="20.25" customHeight="1">
      <c r="A2025" s="8" t="s">
        <v>9090</v>
      </c>
      <c r="B2025" s="8" t="s">
        <v>9091</v>
      </c>
      <c r="C2025" s="8" t="s">
        <v>7431</v>
      </c>
      <c r="D2025" s="8" t="s">
        <v>71</v>
      </c>
      <c r="E2025" s="9" t="s">
        <v>44</v>
      </c>
      <c r="F2025" s="9" t="s">
        <v>20</v>
      </c>
      <c r="G2025" s="9" t="s">
        <v>8938</v>
      </c>
      <c r="H2025" s="8" t="s">
        <v>9092</v>
      </c>
      <c r="I2025" s="8" t="s">
        <v>9093</v>
      </c>
      <c r="J2025" s="9">
        <v>16.65</v>
      </c>
      <c r="K2025" s="9">
        <v>1.0</v>
      </c>
      <c r="L2025" s="8" t="s">
        <v>387</v>
      </c>
      <c r="M2025" s="8" t="s">
        <v>9094</v>
      </c>
      <c r="N2025" s="7" t="str">
        <f>IFERROR(__xludf.DUMMYFUNCTION("GOOGLETRANSLATE(L2025, ""en"", ""pt"")"),"Ordem de serviço não disponível")</f>
        <v>Ordem de serviço não disponível</v>
      </c>
      <c r="O2025" s="7" t="str">
        <f>IFERROR(__xludf.DUMMYFUNCTION("IF(M2025="""","""",GOOGLETRANSLATE(M2025,""en"",""pt""))"),"Preparar, servir e alimentar com lanches, refeições e mamadeiras nutricionalmente balanceadas três crianças pequenas com idades entre sete meses e três anos. Colocar as crianças para dormir e regular os períodos de descanso e os horários das sonecas. Vest"&amp;"ir as crianças ou ajudá-las a se vestir. Envolver as crianças em atividades apropriadas para a idade, como brincadeiras no colo, leitura, jogos educativos, artes e artesanato e brincadeiras ao ar livre para promover o desenvolvimento físico, cognitivo e m"&amp;"otor. Colaborar com os pais para implementar rotinas e programas de orientação que incentivem comportamentos desejáveis. Instruir e auxiliar as crianças no desenvolvimento de hábitos pessoais saudáveis, como alimentação e higiene. Servir de modelo para co"&amp;"mportamentos sociais apropriados e promover a comunicação e as habilidades interpessoais desde cedo. Remover possíveis perigos e estabelecer limites e regras domésticas apropriadas para garantir um ambiente seguro para as crianças em todos os momentos. Pr"&amp;"estar primeiros socorros quando necessário. Observar o comportamento das crianças em busca de sinais de doenças ou irregularidades, aferir a temperatura e administrar medicamentos conforme orientação dos pais ou profissionais de saúde para apoiar a saúde "&amp;"e o bem-estar das crianças. Realizar tarefas leves de limpeza e arrumação relacionadas aos cuidados das crianças, incluindo organizar as áreas de brincar e limpar após as refeições. Preparar refeições nutritivas para a família, conforme necessário. Transp"&amp;"ortar crianças para atividades, passeios sociais e consultas médicas. Fazer compras de supermercado, roupas e outros itens necessários para os cuidados das crianças. Todas as tarefas serão realizadas em um ambiente residencial privado. Classificação da va"&amp;"ga: 39-9011.01 - Babás. A classificação e descrição da vaga/setor incluem informações gerais sobre o cargo, de acordo com o ONET/OES e o Sistema de Classificação Industrial da América do Norte. Consulte as Funções e a Ordem de Serviço para obter mais info"&amp;"rmações. Requisitos da vaga: Experiência necessária: Sim. Meses de experiência necessários: 12. Requisitos especiais: Mínimo de 12 meses de experiência prévia como babá ou em uma função similar de cuidados infantis, incluindo experiência com bebês e crian"&amp;"ças pequenas. Deve ser capaz de levantar e carregar pesos suficientes para movimentar equipamentos e materiais necessários para a realização das tarefas designadas, incluindo levantar e carregar crianças pequenas. Deve ser capaz de ficar em pé e permanece"&amp;"r ativa durante todo o turno. Uso de eletrodomésticos de cozinha, máquinas de lavar roupa e veículo da casa. Elegibilidade para carteira de habilitação válida. 48 horas por semana, 6 dias por semana. O horário de trabalho pode variar e incluir noites, fin"&amp;"s de semana ou feriados, conforme necessário. O empregador se baseará nas declarações e observações do próprio trabalhador para avaliar se ele atende aos requisitos de elegibilidade, capacidade de levantar peso, permanecer em pé e outras capacidades físic"&amp;"as descritas aqui. Número de horas por semana: 48. Horário de trabalho (início/término): 7h30 às 15h30.")</f>
        <v>Preparar, servir e alimentar com lanches, refeições e mamadeiras nutricionalmente balanceadas três crianças pequenas com idades entre sete meses e três anos. Colocar as crianças para dormir e regular os períodos de descanso e os horários das sonecas. Vestir as crianças ou ajudá-las a se vestir. Envolver as crianças em atividades apropriadas para a idade, como brincadeiras no colo, leitura, jogos educativos, artes e artesanato e brincadeiras ao ar livre para promover o desenvolvimento físico, cognitivo e motor. Colaborar com os pais para implementar rotinas e programas de orientação que incentivem comportamentos desejáveis. Instruir e auxiliar as crianças no desenvolvimento de hábitos pessoais saudáveis, como alimentação e higiene. Servir de modelo para comportamentos sociais apropriados e promover a comunicação e as habilidades interpessoais desde cedo. Remover possíveis perigos e estabelecer limites e regras domésticas apropriadas para garantir um ambiente seguro para as crianças em todos os momentos. Prestar primeiros socorros quando necessário. Observar o comportamento das crianças em busca de sinais de doenças ou irregularidades, aferir a temperatura e administrar medicamentos conforme orientação dos pais ou profissionais de saúde para apoiar a saúde e o bem-estar das crianças. Realizar tarefas leves de limpeza e arrumação relacionadas aos cuidados das crianças, incluindo organizar as áreas de brincar e limpar após as refeições. Preparar refeições nutritivas para a família, conforme necessário. Transportar crianças para atividades, passeios sociais e consultas médicas. Fazer compras de supermercado, roupas e outros itens necessários para os cuidados das crianças. Todas as tarefas serão realizadas em um ambiente residencial privado. Classificação da vaga: 39-9011.01 - Babás. A classificação e descrição da vaga/setor incluem informações gerais sobre o cargo, de acordo com o ONET/OES e o Sistema de Classificação Industrial da América do Norte. Consulte as Funções e a Ordem de Serviço para obter mais informações. Requisitos da vaga: Experiência necessária: Sim. Meses de experiência necessários: 12. Requisitos especiais: Mínimo de 12 meses de experiência prévia como babá ou em uma função similar de cuidados infantis, incluindo experiência com bebês e crianças pequenas. Deve ser capaz de levantar e carregar pesos suficientes para movimentar equipamentos e materiais necessários para a realização das tarefas designadas, incluindo levantar e carregar crianças pequenas. Deve ser capaz de ficar em pé e permanecer ativa durante todo o turno. Uso de eletrodomésticos de cozinha, máquinas de lavar roupa e veículo da casa. Elegibilidade para carteira de habilitação válida. 48 horas por semana, 6 dias por semana. O horário de trabalho pode variar e incluir noites, fins de semana ou feriados, conforme necessário. O empregador se baseará nas declarações e observações do próprio trabalhador para avaliar se ele atende aos requisitos de elegibilidade, capacidade de levantar peso, permanecer em pé e outras capacidades físicas descritas aqui. Número de horas por semana: 48. Horário de trabalho (início/término): 7h30 às 15h30.</v>
      </c>
    </row>
    <row r="2026" ht="20.25" customHeight="1">
      <c r="A2026" s="3" t="s">
        <v>9095</v>
      </c>
      <c r="B2026" s="3" t="s">
        <v>8159</v>
      </c>
      <c r="C2026" s="3" t="s">
        <v>6921</v>
      </c>
      <c r="D2026" s="3" t="s">
        <v>532</v>
      </c>
      <c r="E2026" s="4" t="s">
        <v>19</v>
      </c>
      <c r="F2026" s="4" t="s">
        <v>20</v>
      </c>
      <c r="G2026" s="4" t="s">
        <v>345</v>
      </c>
      <c r="H2026" s="3" t="s">
        <v>8160</v>
      </c>
      <c r="I2026" s="3" t="s">
        <v>8161</v>
      </c>
      <c r="J2026" s="4">
        <v>20.88</v>
      </c>
      <c r="K2026" s="4">
        <v>26.0</v>
      </c>
      <c r="L2026" s="3" t="s">
        <v>9096</v>
      </c>
      <c r="M2026" s="3" t="s">
        <v>9097</v>
      </c>
      <c r="N2026" s="7" t="str">
        <f>IFERROR(__xludf.DUMMYFUNCTION("GOOGLETRANSLATE(L2026, ""en"", ""pt"")"),"Cozinheiros (7 meses)")</f>
        <v>Cozinheiros (7 meses)</v>
      </c>
      <c r="O2026" s="7" t="str">
        <f>IFERROR(__xludf.DUMMYFUNCTION("IF(M2026="""","""",GOOGLETRANSLATE(M2026,""en"",""pt""))"),"1. Preparar todos os alimentos conforme as instruções, de forma rápida e higiênica. 2. Executar os itens do cardápio na grelha, fritadeira e preparar sopas e outros pratos especiais. 3. Lavar, limpar, picar, cortar em cubos, ralar e fatiar uma variedade d"&amp;"e carnes, aves, legumes e outros alimentos, colocando-os em recipientes adequados. 4. Compreender e cumprir consistentemente nossos padrões de porções, métodos de cozimento, padrões de qualidade e regras, políticas e procedimentos da cozinha. 5. Ter conhe"&amp;"cimento e compreensão de como usar e manter adequadamente todos os equipamentos da estação. 6. Manter a estação de trabalho limpa e higienizada, incluindo mesas, prateleiras, paredes, grelhas, fritadeiras, queimadores e equipamentos de refrigeração. 7. Li"&amp;"derar a limpeza diária e a organização da linha de produção. 8. Conhecer e ser responsável pelos itens do Código de Saúde da Califórnia e verificar diariamente os registros de temperatura dos alimentos refrigerados e preparados. 9. Informar o Gerente de C"&amp;"ozinha ou o Chef sobre a falta de produtos, problemas com equipamentos ou com a qualidade dos alimentos. 10. Auxiliar e orientar outros cozinheiros e auxiliares de cozinha diariamente no preparo e em outras funções na cozinha. 11. Monitorar as práticas de"&amp;" higiene para garantir que os funcionários sigam os padrões e regulamentos. 12. Execução/desenvolvimento de receitas para a estação de refogados e despensa. 13. Auxiliar no fluxo de alimentos desde o momento da entrega até o momento em que são servidos ao"&amp;"s nossos clientes. Levantar aproximadamente 23 kg regularmente. Capacidade de ficar em pé por longos períodos. Classificação do Cargo: 35-2014.00 - Cozinheiros, Restaurante. A classificação e descrição do cargo/setor inclui informações gerais sobre a posi"&amp;"ção de acordo com o ONET/OES e o Sistema de Classificação Industrial da América do Norte. Consulte as Funções e a Ordem de Serviço para obter mais informações. Requisitos do Cargo Experiência Necessária: Sim Meses de Experiência Necessários: 6 Requisitos "&amp;"Especiais: Deve possuir ou ser capaz de obter o Cartão de Manipulador de Alimentos da Califórnia (CA Food Handler Card) atual. 6 meses de experiência como cozinheiro ou na área culinária em um ambiente de alta gastronomia ou de grande volume em um restaur"&amp;"ante sofisticado, resort ou clube privado são necessários. Treinamento no local de trabalho fornecido. Treinamento será oferecido. Dias e Turnos: Os seguintes turnos estão disponíveis 7 dias por semana, incluindo fins de semana e feriados. Horário de trab"&amp;"alho: das 7h às 15h30; das 9h às 17h30; das 11h às 19h30; das 15h às 23h30. Os horários dos turnos podem variar de acordo com a época do ano, a disponibilidade de luz e a necessidade. Salário por hora: Cargo com gorjetas, com salário garantido de US$ 20,8"&amp;"8 a US$ 25,92 por hora. Possibilidade de aumento salarial: O Palisades Tahoe oferece aumentos salariais com base no mérito e na experiência anterior na empresa. Possibilidade de horas extras: Horas extras podem estar disponíveis com pagamento de US$ 31,32"&amp;" a US$ 38,88 por hora. Benefícios: Passe de esqui, refeições durante o turno, 50% de desconto em alimentos e bebidas e 30% de desconto em compras na loja. Número de horas por semana: 35. Horário de trabalho (início/término): 7h às 15h30.")</f>
        <v>1. Preparar todos os alimentos conforme as instruções, de forma rápida e higiênica. 2. Executar os itens do cardápio na grelha, fritadeira e preparar sopas e outros pratos especiais. 3. Lavar, limpar, picar, cortar em cubos, ralar e fatiar uma variedade de carnes, aves, legumes e outros alimentos, colocando-os em recipientes adequados. 4. Compreender e cumprir consistentemente nossos padrões de porções, métodos de cozimento, padrões de qualidade e regras, políticas e procedimentos da cozinha. 5. Ter conhecimento e compreensão de como usar e manter adequadamente todos os equipamentos da estação. 6. Manter a estação de trabalho limpa e higienizada, incluindo mesas, prateleiras, paredes, grelhas, fritadeiras, queimadores e equipamentos de refrigeração. 7. Liderar a limpeza diária e a organização da linha de produção. 8. Conhecer e ser responsável pelos itens do Código de Saúde da Califórnia e verificar diariamente os registros de temperatura dos alimentos refrigerados e preparados. 9. Informar o Gerente de Cozinha ou o Chef sobre a falta de produtos, problemas com equipamentos ou com a qualidade dos alimentos. 10. Auxiliar e orientar outros cozinheiros e auxiliares de cozinha diariamente no preparo e em outras funções na cozinha. 11. Monitorar as práticas de higiene para garantir que os funcionários sigam os padrões e regulamentos. 12. Execução/desenvolvimento de receitas para a estação de refogados e despensa. 13. Auxiliar no fluxo de alimentos desde o momento da entrega até o momento em que são servidos aos nossos clientes. Levantar aproximadamente 23 kg regularmente. Capacidade de ficar em pé por longos períodos. Classificação do Cargo: 35-2014.00 - Cozinheiros, Restaurante. A classificação e descrição do cargo/setor inclui informações gerais sobre a posição de acordo com o ONET/OES e o Sistema de Classificação Industrial da América do Norte. Consulte as Funções e a Ordem de Serviço para obter mais informações. Requisitos do Cargo Experiência Necessária: Sim Meses de Experiência Necessários: 6 Requisitos Especiais: Deve possuir ou ser capaz de obter o Cartão de Manipulador de Alimentos da Califórnia (CA Food Handler Card) atual. 6 meses de experiência como cozinheiro ou na área culinária em um ambiente de alta gastronomia ou de grande volume em um restaurante sofisticado, resort ou clube privado são necessários. Treinamento no local de trabalho fornecido. Treinamento será oferecido. Dias e Turnos: Os seguintes turnos estão disponíveis 7 dias por semana, incluindo fins de semana e feriados. Horário de trabalho: das 7h às 15h30; das 9h às 17h30; das 11h às 19h30; das 15h às 23h30. Os horários dos turnos podem variar de acordo com a época do ano, a disponibilidade de luz e a necessidade. Salário por hora: Cargo com gorjetas, com salário garantido de US$ 20,88 a US$ 25,92 por hora. Possibilidade de aumento salarial: O Palisades Tahoe oferece aumentos salariais com base no mérito e na experiência anterior na empresa. Possibilidade de horas extras: Horas extras podem estar disponíveis com pagamento de US$ 31,32 a US$ 38,88 por hora. Benefícios: Passe de esqui, refeições durante o turno, 50% de desconto em alimentos e bebidas e 30% de desconto em compras na loja. Número de horas por semana: 35. Horário de trabalho (início/término): 7h às 15h30.</v>
      </c>
    </row>
    <row r="2027" ht="20.25" customHeight="1">
      <c r="A2027" s="8" t="s">
        <v>9098</v>
      </c>
      <c r="B2027" s="8" t="s">
        <v>8159</v>
      </c>
      <c r="C2027" s="8" t="s">
        <v>6921</v>
      </c>
      <c r="D2027" s="8" t="s">
        <v>532</v>
      </c>
      <c r="E2027" s="9" t="s">
        <v>19</v>
      </c>
      <c r="F2027" s="9" t="s">
        <v>20</v>
      </c>
      <c r="G2027" s="9" t="s">
        <v>345</v>
      </c>
      <c r="H2027" s="8" t="s">
        <v>8160</v>
      </c>
      <c r="I2027" s="8" t="s">
        <v>8161</v>
      </c>
      <c r="J2027" s="9">
        <v>21.0</v>
      </c>
      <c r="K2027" s="9">
        <v>20.0</v>
      </c>
      <c r="L2027" s="8" t="s">
        <v>1690</v>
      </c>
      <c r="M2027" s="8" t="s">
        <v>9099</v>
      </c>
      <c r="N2027" s="7" t="str">
        <f>IFERROR(__xludf.DUMMYFUNCTION("GOOGLETRANSLATE(L2027, ""en"", ""pt"")"),"Atendente de Sala de Jantar")</f>
        <v>Atendente de Sala de Jantar</v>
      </c>
      <c r="O2027" s="7" t="str">
        <f>IFERROR(__xludf.DUMMYFUNCTION("IF(M2027="""","""",GOOGLETRANSLATE(M2027,""en"",""pt""))"),"Responsável por manter a limpeza geral dos pontos de venda de Alimentos e Bebidas diariamente. Garante que a limpeza das áreas de refeição e entradas esteja de acordo com os padrões de serviço. Isso inclui limpar mesas ou cadeiras com panos úmidos ou troc"&amp;"ar toalhas de mesa sujas. Raspa e empilha pratos sujos e leva pratos e outros utensílios de mesa para a cozinha para limpeza. Limpa e lustra balcões, prateleiras, paredes, móveis ou equipamentos nas áreas de serviço de alimentação ou outras áreas do resta"&amp;"urante e lava ou aspira o chão. Limpa alimentos ou bebidas derramados ou pratos quebrados e remove garrafas vazias e lixo. Executa todas as tarefas gerais de atendimento ao público, incluindo: arrumar as mesas com toalhas limpas, condimentos ou outros sup"&amp;"rimentos; manter o estoque adequado de itens, como toalhas limpas, talheres, copos, pratos ou bandejas; abastecer dispensadores de bebidas ou gelo; e abastecer armários ou áreas de serviço com condimentos e reabastecer recipientes de condimentos. Limpa e "&amp;"arruma as mesas. Leva, raspa e empilha pratos sujos. Repõe pratos, talheres e toalhas limpas. Servir comidas e bebidas aos clientes nas áreas de refeição do restaurante, conforme instruções da gerência ou dos garçons. Esta função não inclui anotar pedidos"&amp;" de comida ou bebida. Manter a área da cozinha, o balcão de atendimento, os equipamentos e os utensílios limpos e organizados. Preparar sanduíches, saladas e sobremesas manualmente, o que inclui retirar itens pré-preparados da geladeira e colocá-los nos p"&amp;"ratos para servir aos clientes. Anotar pedidos e receber pagamentos dos clientes no balcão do restaurante, próximo ao caixa. Levantar aproximadamente 23 kg regularmente. Capacidade de permanecer em pé por longos períodos. Classificação da Função: 37-2011."&amp;"00 - Zeladores e Faxineiros, exceto Camareiras e Auxiliares de Limpeza. A classificação e descrição da função/setor inclui informações gerais sobre o cargo, de acordo com o ONET/OES e o Sistema de Classificação Industrial da América do Norte. Consulte as "&amp;"Funções e a Ordem de Serviço para obter mais informações. Requisitos da Função Experiência Necessária: Sim Meses de Experiência Necessários: 3 Requisitos Especiais: 3 meses de experiência como atendente de salão em um ambiente de alta gastronomia ou de gr"&amp;"ande movimento, em um restaurante sofisticado, resort ou clube privado. Treinamento no local de trabalho oferecido. Treinamento será fornecido. Dias e turnos: Os seguintes turnos estão disponíveis 7 dias por semana, incluindo fins de semana e feriados. Ho"&amp;"rário de trabalho: das 7h às 15h30, das 9h às 17h30, das 11h às 19h30 e das 15h às 23h30. Os horários dos turnos podem variar de acordo com a época do ano, a disponibilidade de luz natural e a necessidade. Salário por hora: Cargo com gorjetas e salário ga"&amp;"rantido de US$ 21,00 a US$ 25,92 por hora. Possibilidade de aumento salarial: A Palisades Tahoe oferece aumentos salariais com base no mérito e na experiência anterior na empresa. Possibilidade de horas extras: Horas extras podem estar disponíveis com pag"&amp;"amento de US$ 31,50 a US$ 38,88 por hora. Benefícios: Passe de esqui, refeições durante o turno, 50% de desconto em alimentos e bebidas e 30% de desconto em compras na loja. Número de horas por semana: 35. Horário de trabalho (início/término): 7h às 15h30"&amp;".")</f>
        <v>Responsável por manter a limpeza geral dos pontos de venda de Alimentos e Bebidas diariamente. Garante que a limpeza das áreas de refeição e entradas esteja de acordo com os padrões de serviço. Isso inclui limpar mesas ou cadeiras com panos úmidos ou trocar toalhas de mesa sujas. Raspa e empilha pratos sujos e leva pratos e outros utensílios de mesa para a cozinha para limpeza. Limpa e lustra balcões, prateleiras, paredes, móveis ou equipamentos nas áreas de serviço de alimentação ou outras áreas do restaurante e lava ou aspira o chão. Limpa alimentos ou bebidas derramados ou pratos quebrados e remove garrafas vazias e lixo. Executa todas as tarefas gerais de atendimento ao público, incluindo: arrumar as mesas com toalhas limpas, condimentos ou outros suprimentos; manter o estoque adequado de itens, como toalhas limpas, talheres, copos, pratos ou bandejas; abastecer dispensadores de bebidas ou gelo; e abastecer armários ou áreas de serviço com condimentos e reabastecer recipientes de condimentos. Limpa e arruma as mesas. Leva, raspa e empilha pratos sujos. Repõe pratos, talheres e toalhas limpas. Servir comidas e bebidas aos clientes nas áreas de refeição do restaurante, conforme instruções da gerência ou dos garçons. Esta função não inclui anotar pedidos de comida ou bebida. Manter a área da cozinha, o balcão de atendimento, os equipamentos e os utensílios limpos e organizados. Preparar sanduíches, saladas e sobremesas manualmente, o que inclui retirar itens pré-preparados da geladeira e colocá-los nos pratos para servir aos clientes. Anotar pedidos e receber pagamentos dos clientes no balcão do restaurante, próximo ao caixa. Levantar aproximadamente 23 kg regularmente. Capacidade de permanecer em pé por longos períodos. Classificação da Função: 37-2011.00 - Zeladores e Faxineiros, exceto Camareiras e Auxiliares de Limpeza. A classificação e descrição da função/setor inclui informações gerais sobre o cargo, de acordo com o ONET/OES e o Sistema de Classificação Industrial da América do Norte. Consulte as Funções e a Ordem de Serviço para obter mais informações. Requisitos da Função Experiência Necessária: Sim Meses de Experiência Necessários: 3 Requisitos Especiais: 3 meses de experiência como atendente de salão em um ambiente de alta gastronomia ou de grande movimento, em um restaurante sofisticado, resort ou clube privado. Treinamento no local de trabalho oferecido. Treinamento será fornecido. Dias e turnos: Os seguintes turnos estão disponíveis 7 dias por semana, incluindo fins de semana e feriados. Horário de trabalho: das 7h às 15h30, das 9h às 17h30, das 11h às 19h30 e das 15h às 23h30. Os horários dos turnos podem variar de acordo com a época do ano, a disponibilidade de luz natural e a necessidade. Salário por hora: Cargo com gorjetas e salário garantido de US$ 21,00 a US$ 25,92 por hora. Possibilidade de aumento salarial: A Palisades Tahoe oferece aumentos salariais com base no mérito e na experiência anterior na empresa. Possibilidade de horas extras: Horas extras podem estar disponíveis com pagamento de US$ 31,50 a US$ 38,88 por hora. Benefícios: Passe de esqui, refeições durante o turno, 50% de desconto em alimentos e bebidas e 30% de desconto em compras na loja. Número de horas por semana: 35. Horário de trabalho (início/término): 7h às 15h30.</v>
      </c>
    </row>
    <row r="2028" ht="20.25" customHeight="1">
      <c r="A2028" s="3" t="s">
        <v>9100</v>
      </c>
      <c r="B2028" s="3" t="s">
        <v>8159</v>
      </c>
      <c r="C2028" s="3" t="s">
        <v>6921</v>
      </c>
      <c r="D2028" s="3" t="s">
        <v>532</v>
      </c>
      <c r="E2028" s="4" t="s">
        <v>19</v>
      </c>
      <c r="F2028" s="4" t="s">
        <v>20</v>
      </c>
      <c r="G2028" s="4" t="s">
        <v>345</v>
      </c>
      <c r="H2028" s="3" t="s">
        <v>8160</v>
      </c>
      <c r="I2028" s="3" t="s">
        <v>8161</v>
      </c>
      <c r="J2028" s="4">
        <v>20.0</v>
      </c>
      <c r="K2028" s="4">
        <v>5.0</v>
      </c>
      <c r="L2028" s="3" t="s">
        <v>527</v>
      </c>
      <c r="M2028" s="3" t="s">
        <v>9101</v>
      </c>
      <c r="N2028" s="7" t="str">
        <f>IFERROR(__xludf.DUMMYFUNCTION("GOOGLETRANSLATE(L2028, ""en"", ""pt"")"),"máquina de lavar louça")</f>
        <v>máquina de lavar louça</v>
      </c>
      <c r="O2028" s="7" t="str">
        <f>IFERROR(__xludf.DUMMYFUNCTION("IF(M2028="""","""",GOOGLETRANSLATE(M2028,""en"",""pt""))"),"Responsável por lavar louças e todos os utensílios de cozinha à mão ou na máquina, manter as áreas de trabalho e equipamentos da cozinha limpos, varrer e esfregar o chão, e separar e descartar o lixo. Capacidade de levantar aproximadamente 23 kg regularme"&amp;"nte. Capacidade de permanecer em pé por longos períodos. Classificação da vaga: 35-9021.00 - Lavador(a) de Louças. A classificação e descrição da vaga/setor incluem informações gerais sobre o cargo, de acordo com o ONET/OES e o Sistema de Classificação In"&amp;"dustrial da América do Norte (NAICS). Consulte as Funções e a Ordem de Serviço para obter mais informações. Requisitos da vaga: Experiência necessária: Sim. Meses de experiência necessários: 3. Requisitos especiais: Capacidade de levantar aproximadamente "&amp;"23 kg regularmente. Capacidade de permanecer em pé por longos períodos. Treinamento no local de trabalho fornecido. Treinamento oferecido. Dias e turnos: Disponibilidade para os seguintes turnos, 7 dias por semana, incluindo fins de semana e feriados. Hor"&amp;"ário de trabalho: das 7h às 15h30, das 9h às 17h30, das 11h às 19h30 e das 15h às 23h30. Os horários dos turnos podem variar de acordo com a época do ano, a disponibilidade de luz e a necessidade. Salário por hora: Cargo com gorjetas, com salário garantid"&amp;"o de US$ 20,00 a US$ 23,00 por hora. Possibilidade de aumento salarial: O Palisades Tahoe oferece aumentos salariais com base no mérito e na experiência anterior na empresa. Possibilidade de horas extras: Horas extras podem estar disponíveis com pagamento"&amp;" de US$ 30,00 a US$ 34,50 por hora. Benefícios: Passe de esqui, refeições durante o turno, 50% de desconto em alimentos e bebidas e 30% de desconto em compras na loja. Número de horas por semana: 35. Horário de trabalho (início/término): 7h às 15h30.")</f>
        <v>Responsável por lavar louças e todos os utensílios de cozinha à mão ou na máquina, manter as áreas de trabalho e equipamentos da cozinha limpos, varrer e esfregar o chão, e separar e descartar o lixo. Capacidade de levantar aproximadamente 23 kg regularmente. Capacidade de permanecer em pé por longos períodos. Classificação da vaga: 35-9021.00 - Lavador(a) de Louças. A classificação e descrição da vaga/setor incluem informações gerais sobre o cargo, de acordo com o ONET/OES e o Sistema de Classificação Industrial da América do Norte (NAICS). Consulte as Funções e a Ordem de Serviço para obter mais informações. Requisitos da vaga: Experiência necessária: Sim. Meses de experiência necessários: 3. Requisitos especiais: Capacidade de levantar aproximadamente 23 kg regularmente. Capacidade de permanecer em pé por longos períodos. Treinamento no local de trabalho fornecido. Treinamento oferecido. Dias e turnos: Disponibilidade para os seguintes turnos, 7 dias por semana, incluindo fins de semana e feriados. Horário de trabalho: das 7h às 15h30, das 9h às 17h30, das 11h às 19h30 e das 15h às 23h30. Os horários dos turnos podem variar de acordo com a época do ano, a disponibilidade de luz e a necessidade. Salário por hora: Cargo com gorjetas, com salário garantido de US$ 20,00 a US$ 23,00 por hora. Possibilidade de aumento salarial: O Palisades Tahoe oferece aumentos salariais com base no mérito e na experiência anterior na empresa. Possibilidade de horas extras: Horas extras podem estar disponíveis com pagamento de US$ 30,00 a US$ 34,50 por hora. Benefícios: Passe de esqui, refeições durante o turno, 50% de desconto em alimentos e bebidas e 30% de desconto em compras na loja. Número de horas por semana: 35. Horário de trabalho (início/término): 7h às 15h30.</v>
      </c>
    </row>
    <row r="2029" ht="20.25" customHeight="1">
      <c r="A2029" s="8" t="s">
        <v>9102</v>
      </c>
      <c r="B2029" s="8" t="s">
        <v>8159</v>
      </c>
      <c r="C2029" s="8" t="s">
        <v>6921</v>
      </c>
      <c r="D2029" s="8" t="s">
        <v>532</v>
      </c>
      <c r="E2029" s="9" t="s">
        <v>19</v>
      </c>
      <c r="F2029" s="9" t="s">
        <v>20</v>
      </c>
      <c r="G2029" s="9" t="s">
        <v>80</v>
      </c>
      <c r="H2029" s="8" t="s">
        <v>8160</v>
      </c>
      <c r="I2029" s="8" t="s">
        <v>8161</v>
      </c>
      <c r="J2029" s="9">
        <v>23.93</v>
      </c>
      <c r="K2029" s="9">
        <v>12.0</v>
      </c>
      <c r="L2029" s="8" t="s">
        <v>9103</v>
      </c>
      <c r="M2029" s="8" t="s">
        <v>9104</v>
      </c>
      <c r="N2029" s="7" t="str">
        <f>IFERROR(__xludf.DUMMYFUNCTION("GOOGLETRANSLATE(L2029, ""en"", ""pt"")"),"Supervisor de Serviço de Alimentação")</f>
        <v>Supervisor de Serviço de Alimentação</v>
      </c>
      <c r="O2029" s="7" t="str">
        <f>IFERROR(__xludf.DUMMYFUNCTION("IF(M2029="""","""",GOOGLETRANSLATE(M2029,""en"",""pt""))"),"• Manter registros exigidos por órgãos governamentais referentes a saneamento ou subsídios alimentares. • Investigar e resolver reclamações de clientes. • Manter o controle de estoque de alimentos e equipamentos. • Monitorar os métodos de preparo, o taman"&amp;"ho das porções, a decoração e a apresentação dos alimentos para garantir que sejam preparados e apresentados de maneira adequada. • Agendar e receber entregas de alimentos e bebidas, verificando o conteúdo para garantir a qualidade e a quantidade dos prod"&amp;"utos. • Coordenar a distribuição das tarefas da equipe de cozinha para garantir o uso econômico dos alimentos e o preparo em tempo hábil. • Monitorar o cumprimento das normas sanitárias e de segurança contra incêndio. • Contar dinheiro e fazer depósitos b"&amp;"ancários. • Estabelecer padrões de qualidade. • Executar algumas tarefas de preparo ou serviço de alimentos, como cozinhar, limpar mesas e servir alimentos e bebidas quando necessário. • Receber os clientes, acompanhá-los até suas mesas e apresentar-lhes "&amp;"os cardápios e a carta de vinhos. • Programar os horários da equipe e atribuir funções. • Providenciar a manutenção e o reparo de equipamentos. • Revisar cardápios e calcular custos. • Organizar e coordenar programas de treinamento para funcionários. • An"&amp;"alisar procedimentos de trabalho e problemas operacionais para determinar maneiras de melhorar o serviço, o desempenho ou a segurança. • Avaliar as necessidades de pessoal e recrutar funcionários. • Encomendar e comprar equipamentos e suprimentos. • Regis"&amp;"trar e monitorar as vendas. • Garantir o cumprimento das normas relativas a bebidas alcoólicas. • Monitorar orçamentos e registros de folha de pagamento. • Agendar o uso de instalações ou serviços de buffet para eventos como banquetes ou recepções e negoc"&amp;"iar detalhes dos contratos com os clientes. • Planejar cardápios e utilização de alimentos. • Estabelecer e aplicar padrões nutricionais. Classificação do Cargo: 35-1012.00 - Supervisores de Primeira Linha de Preparadores e Servidores de Alimentos. A clas"&amp;"sificação e descrição do cargo/setor inclui informações gerais sobre a posição, de acordo com o ONET/OES e o Sistema de Classificação Industrial da América do Norte. Consulte as Funções e a Ordem de Serviço para obter mais informações. Requisitos do Cargo"&amp;" Experiência Necessária: Sim Meses de Experiência Necessários: 6 Requisitos Especiais: Deve possuir ou ser capaz de obter o Cartão de Gerente de Manipulador de Alimentos da Califórnia (CA Food Handlers Manager Card). 6 meses de experiência em atendimento "&amp;"ao público. Deve ser capaz de caminhar ou ficar em pé por 95% ou mais de um turno de trabalho normal de 8 horas. Deve ser capaz de carregar, levantar, empurrar ou puxar frequentemente até 23 kg. Treinamento no local de trabalho será fornecido. Dias e Turn"&amp;"os: Os seguintes turnos estão disponíveis 7 dias por semana, incluindo fins de semana e feriados. Horário de trabalho: das 7h às 15h30, das 9h às 17h30, das 11h às 19h30 e das 15h às 23h30. Os horários dos turnos podem variar de acordo com a época do ano,"&amp;" a disponibilidade de luz natural e a necessidade. Salário por hora: US$ 23,93 a US$ 32,96 (com base no mérito e na experiência anterior na empresa). Possibilidade de aumento salarial: A Palisades Tahoe oferece aumentos salariais com base no mérito e na e"&amp;"xperiência anterior na empresa. Possibilidade de horas extras: Horas extras podem estar disponíveis com remuneração de US$ 35,90 a US$ 49,44 por hora. Benefícios: Passe de esqui, refeições durante o turno, 50% de desconto em alimentos e bebidas e 30% de d"&amp;"esconto em produtos da loja. Número de horas por semana: 35. Horário de trabalho (início/término): 7h às 15h30.")</f>
        <v>• Manter registros exigidos por órgãos governamentais referentes a saneamento ou subsídios alimentares. • Investigar e resolver reclamações de clientes. • Manter o controle de estoque de alimentos e equipamentos. • Monitorar os métodos de preparo, o tamanho das porções, a decoração e a apresentação dos alimentos para garantir que sejam preparados e apresentados de maneira adequada. • Agendar e receber entregas de alimentos e bebidas, verificando o conteúdo para garantir a qualidade e a quantidade dos produtos. • Coordenar a distribuição das tarefas da equipe de cozinha para garantir o uso econômico dos alimentos e o preparo em tempo hábil. • Monitorar o cumprimento das normas sanitárias e de segurança contra incêndio. • Contar dinheiro e fazer depósitos bancários. • Estabelecer padrões de qualidade. • Executar algumas tarefas de preparo ou serviço de alimentos, como cozinhar, limpar mesas e servir alimentos e bebidas quando necessário. • Receber os clientes, acompanhá-los até suas mesas e apresentar-lhes os cardápios e a carta de vinhos. • Programar os horários da equipe e atribuir funções. • Providenciar a manutenção e o reparo de equipamentos. • Revisar cardápios e calcular custos. • Organizar e coordenar programas de treinamento para funcionários. • Analisar procedimentos de trabalho e problemas operacionais para determinar maneiras de melhorar o serviço, o desempenho ou a segurança. • Avaliar as necessidades de pessoal e recrutar funcionários. • Encomendar e comprar equipamentos e suprimentos. • Registrar e monitorar as vendas. • Garantir o cumprimento das normas relativas a bebidas alcoólicas. • Monitorar orçamentos e registros de folha de pagamento. • Agendar o uso de instalações ou serviços de buffet para eventos como banquetes ou recepções e negociar detalhes dos contratos com os clientes. • Planejar cardápios e utilização de alimentos. • Estabelecer e aplicar padrões nutricionais. Classificação do Cargo: 35-1012.00 - Supervisores de Primeira Linha de Preparadores e Servidores de Alimentos. A classificação e descrição do cargo/setor inclui informações gerais sobre a posição, de acordo com o ONET/OES e o Sistema de Classificação Industrial da América do Norte. Consulte as Funções e a Ordem de Serviço para obter mais informações. Requisitos do Cargo Experiência Necessária: Sim Meses de Experiência Necessários: 6 Requisitos Especiais: Deve possuir ou ser capaz de obter o Cartão de Gerente de Manipulador de Alimentos da Califórnia (CA Food Handlers Manager Card). 6 meses de experiência em atendimento ao público. Deve ser capaz de caminhar ou ficar em pé por 95% ou mais de um turno de trabalho normal de 8 horas. Deve ser capaz de carregar, levantar, empurrar ou puxar frequentemente até 23 kg. Treinamento no local de trabalho será fornecido. Dias e Turnos: Os seguintes turnos estão disponíveis 7 dias por semana, incluindo fins de semana e feriados. Horário de trabalho: das 7h às 15h30, das 9h às 17h30, das 11h às 19h30 e das 15h às 23h30. Os horários dos turnos podem variar de acordo com a época do ano, a disponibilidade de luz natural e a necessidade. Salário por hora: US$ 23,93 a US$ 32,96 (com base no mérito e na experiência anterior na empresa). Possibilidade de aumento salarial: A Palisades Tahoe oferece aumentos salariais com base no mérito e na experiência anterior na empresa. Possibilidade de horas extras: Horas extras podem estar disponíveis com remuneração de US$ 35,90 a US$ 49,44 por hora. Benefícios: Passe de esqui, refeições durante o turno, 50% de desconto em alimentos e bebidas e 30% de desconto em produtos da loja. Número de horas por semana: 35. Horário de trabalho (início/término): 7h às 15h30.</v>
      </c>
    </row>
    <row r="2030" ht="20.25" customHeight="1">
      <c r="A2030" s="3" t="s">
        <v>9105</v>
      </c>
      <c r="B2030" s="3" t="s">
        <v>8159</v>
      </c>
      <c r="C2030" s="3" t="s">
        <v>6921</v>
      </c>
      <c r="D2030" s="3" t="s">
        <v>532</v>
      </c>
      <c r="E2030" s="4" t="s">
        <v>19</v>
      </c>
      <c r="F2030" s="4" t="s">
        <v>20</v>
      </c>
      <c r="G2030" s="4" t="s">
        <v>345</v>
      </c>
      <c r="H2030" s="3" t="s">
        <v>8160</v>
      </c>
      <c r="I2030" s="3" t="s">
        <v>8161</v>
      </c>
      <c r="J2030" s="4">
        <v>21.0</v>
      </c>
      <c r="K2030" s="4">
        <v>4.0</v>
      </c>
      <c r="L2030" s="3" t="s">
        <v>3367</v>
      </c>
      <c r="M2030" s="3" t="s">
        <v>9106</v>
      </c>
      <c r="N2030" s="7" t="str">
        <f>IFERROR(__xludf.DUMMYFUNCTION("GOOGLETRANSLATE(L2030, ""en"", ""pt"")"),"Zelador")</f>
        <v>Zelador</v>
      </c>
      <c r="O2030" s="7" t="str">
        <f>IFERROR(__xludf.DUMMYFUNCTION("IF(M2030="""","""",GOOGLETRANSLATE(M2030,""en"",""pt""))"),"Responsável por manter a limpeza geral dos pontos de venda de alimentos e bebidas e banheiros diariamente. 75% da função será dedicada à limpeza dos banheiros. 25% será dedicada à limpeza/manutenção de pisos e à limpeza geral do prédio. O foco principal s"&amp;"erá nos banheiros e em todas as áreas públicas. Também será solicitado que auxilie na limpeza/higienização de outras áreas comuns de alimentos e bebidas, incluindo pátios internos e externos, e em todas as outras tarefas necessárias para o funcionamento d"&amp;"o local. Capacidade de levantar aproximadamente 23 kg regularmente. Capacidade de permanecer em pé por longos períodos. Classificação da vaga: 37-2011.00 - Zeladores e Auxiliares de Limpeza, exceto Camareiras e Auxiliares de Limpeza Doméstica. A classific"&amp;"ação e descrição da vaga/setor inclui informações gerais sobre o cargo, de acordo com o ONET/OES e o Sistema de Classificação Industrial da América do Norte. Consulte as Funções e a Ordem de Serviço para obter mais informações. Requisitos da vaga: Experiê"&amp;"ncia necessária: Sim. Meses de experiência necessários: 3. Requisitos especiais: 3 meses de experiência em serviços de limpeza/faxineiro em um ambiente de alto volume. Treinamento no local de trabalho fornecido. Treinamento oferecido. Dias e Turnos: Os se"&amp;"guintes turnos estão disponíveis 7 dias por semana, incluindo fins de semana e feriados. Horário de trabalho: das 7h às 15h30, das 9h às 17h30, das 11h às 19h30 e das 15h às 23h30. Os horários dos turnos podem variar de acordo com a época do ano, a dispon"&amp;"ibilidade de luz natural e a necessidade. Salário por hora: Cargo com gorjetas, com salário garantido de US$ 21,00 a US$ 25,92 por hora. Possibilidade de aumento salarial: O Palisades Tahoe oferece aumentos salariais com base no mérito e na experiência an"&amp;"terior na empresa. Possibilidade de horas extras: Horas extras podem estar disponíveis com pagamento de US$ 31,50 a US$ 38,88 por hora. Benefícios: Passe de esqui, refeições durante o turno, 50% de desconto em alimentos e bebidas e 30% de desconto em comp"&amp;"ras na loja. Número de horas por semana: 35. Horário de trabalho (início/término): 7h. - 15h30")</f>
        <v>Responsável por manter a limpeza geral dos pontos de venda de alimentos e bebidas e banheiros diariamente. 75% da função será dedicada à limpeza dos banheiros. 25% será dedicada à limpeza/manutenção de pisos e à limpeza geral do prédio. O foco principal será nos banheiros e em todas as áreas públicas. Também será solicitado que auxilie na limpeza/higienização de outras áreas comuns de alimentos e bebidas, incluindo pátios internos e externos, e em todas as outras tarefas necessárias para o funcionamento do local. Capacidade de levantar aproximadamente 23 kg regularmente. Capacidade de permanecer em pé por longos períodos. Classificação da vaga: 37-2011.00 - Zeladores e Auxiliares de Limpeza, exceto Camareiras e Auxiliares de Limpeza Doméstica. A classificação e descrição da vaga/setor inclui informações gerais sobre o cargo, de acordo com o ONET/OES e o Sistema de Classificação Industrial da América do Norte. Consulte as Funções e a Ordem de Serviço para obter mais informações. Requisitos da vaga: Experiência necessária: Sim. Meses de experiência necessários: 3. Requisitos especiais: 3 meses de experiência em serviços de limpeza/faxineiro em um ambiente de alto volume. Treinamento no local de trabalho fornecido. Treinamento oferecido. Dias e Turnos: Os seguintes turnos estão disponíveis 7 dias por semana, incluindo fins de semana e feriados. Horário de trabalho: das 7h às 15h30, das 9h às 17h30, das 11h às 19h30 e das 15h às 23h30. Os horários dos turnos podem variar de acordo com a época do ano, a disponibilidade de luz natural e a necessidade. Salário por hora: Cargo com gorjetas, com salário garantido de US$ 21,00 a US$ 25,92 por hora. Possibilidade de aumento salarial: O Palisades Tahoe oferece aumentos salariais com base no mérito e na experiência anterior na empresa. Possibilidade de horas extras: Horas extras podem estar disponíveis com pagamento de US$ 31,50 a US$ 38,88 por hora. Benefícios: Passe de esqui, refeições durante o turno, 50% de desconto em alimentos e bebidas e 30% de desconto em compras na loja. Número de horas por semana: 35. Horário de trabalho (início/término): 7h. - 15h30</v>
      </c>
    </row>
    <row r="2031" ht="20.25" customHeight="1">
      <c r="A2031" s="8" t="s">
        <v>9107</v>
      </c>
      <c r="B2031" s="8" t="s">
        <v>9108</v>
      </c>
      <c r="C2031" s="8" t="s">
        <v>6921</v>
      </c>
      <c r="D2031" s="8" t="s">
        <v>532</v>
      </c>
      <c r="E2031" s="9" t="s">
        <v>19</v>
      </c>
      <c r="F2031" s="9" t="s">
        <v>20</v>
      </c>
      <c r="G2031" s="9" t="s">
        <v>345</v>
      </c>
      <c r="H2031" s="8" t="s">
        <v>8160</v>
      </c>
      <c r="I2031" s="8" t="s">
        <v>8161</v>
      </c>
      <c r="J2031" s="9">
        <v>23.93</v>
      </c>
      <c r="K2031" s="9">
        <v>9.0</v>
      </c>
      <c r="L2031" s="8" t="s">
        <v>4577</v>
      </c>
      <c r="M2031" s="8" t="s">
        <v>9109</v>
      </c>
      <c r="N2031" s="7" t="str">
        <f>IFERROR(__xludf.DUMMYFUNCTION("GOOGLETRANSLATE(L2031, ""en"", ""pt"")"),"Subchefe")</f>
        <v>Subchefe</v>
      </c>
      <c r="O2031" s="7" t="str">
        <f>IFERROR(__xludf.DUMMYFUNCTION("IF(M2031="""","""",GOOGLETRANSLATE(M2031,""en"",""pt""))"),"1. Supervisiona e auxilia na gestão de uma equipe de 5 a 8 cozinheiros (preparadores e auxiliares de cozinha) no estabelecimento. 2. Serve de exemplo para todos os padrões de apresentação pessoal e uniforme. 3. É pontual, cumpre os horários e gerencia os "&amp;"intervalos próprios e da equipe. 4. Oferece aos clientes um atendimento de alta qualidade de forma amigável e positiva. 5. As responsabilidades de supervisão incluem, entre outras, o treinamento de funcionários; o planejamento semanal da escala de trabalh"&amp;"o, a atribuição e a direção das tarefas; a avaliação de desempenho; a recompensa e a aplicação de medidas disciplinares; o tratamento de reclamações e a resolução de problemas. 6. Supervisiona a produção e a execução do cardápio, os níveis adequados de pr"&amp;"eparo, a apresentação e o porcionamento dos pratos. 7. Auxilia no gerenciamento do estoque, no abastecimento e no preparo de todos os itens alimentícios. 8. Planeja proativamente a sequência e o tempo das operações de cozinha para atender aos horários de "&amp;"serviço das refeições. Delega tarefas específicas aos cozinheiros e acompanha o andamento. 9. Mantém as instalações de alimentos e bebidas sempre limpas e organizadas. Garante a conformidade com todas as normas de saúde e higiene. 10. Auxilia no planejame"&amp;"nto e execução de eventos para convidados internos e externos. 11. Auxilia no treinamento da equipe da cozinha em princípios e práticas de produção de alimentos. 12. Auxilia no pedido, recebimento e armazenamento de todos os itens de todos os fornecedores"&amp;". 13. Participa de todas as reuniões de segurança. 14. Auxilia a equipe da cozinha e de limpeza conforme necessário. Classificação do Cargo: 35-1012.00 - Supervisores de Primeira Linha de Preparadores e Servidores de Alimentos. A classificação e descrição"&amp;" do cargo/setor inclui informações gerais sobre a posição, de acordo com o ONET/OES e o Sistema de Classificação Industrial da América do Norte (NAICS). Consulte as Funções e a Ordem de Serviço para obter mais informações. Requisitos do Cargo Experiência "&amp;"Necessária: Sim Meses de Experiência Necessários: 6 Requisitos Especiais: Deve possuir ou ser capaz de obter o Cartão de Gerente de Manipuladores de Alimentos da Califórnia (CA Food Handlers Manager Card). 6 meses de experiência como cozinheiro ou na área"&amp;" culinária em um ambiente de alta gastronomia ou de grande movimento em um restaurante sofisticado, resort ou clube privado são necessários. Treinamento no local de trabalho é fornecido. Dias e Turnos: Os seguintes turnos estão disponíveis 7 dias por sema"&amp;"na, incluindo fins de semana e feriados: 7h às 15h30, 9h às 17h30, 11h às 19h30 e 15h às 23h30. Salário por hora: US$ 23,93 - US$ 30,90 por hora (com base no mérito e experiência anterior na empresa). Possibilidade de aumento salarial: O Palisades Tahoe o"&amp;"ferece aumentos salariais com base no mérito e experiência anterior na empresa. Horas extras: Horas extras podem estar disponíveis com pagamento de US$ 35,90 a US$ 46,35 por hora. Benefícios: Passe de esqui, refeições durante o turno, 50% de desconto em a"&amp;"limentos e bebidas e 30% de desconto em compras na loja. Número de horas por semana: 35. Horário de trabalho (início/término): 7h às 23h30.")</f>
        <v>1. Supervisiona e auxilia na gestão de uma equipe de 5 a 8 cozinheiros (preparadores e auxiliares de cozinha) no estabelecimento. 2. Serve de exemplo para todos os padrões de apresentação pessoal e uniforme. 3. É pontual, cumpre os horários e gerencia os intervalos próprios e da equipe. 4. Oferece aos clientes um atendimento de alta qualidade de forma amigável e positiva. 5. As responsabilidades de supervisão incluem, entre outras, o treinamento de funcionários; o planejamento semanal da escala de trabalho, a atribuição e a direção das tarefas; a avaliação de desempenho; a recompensa e a aplicação de medidas disciplinares; o tratamento de reclamações e a resolução de problemas. 6. Supervisiona a produção e a execução do cardápio, os níveis adequados de preparo, a apresentação e o porcionamento dos pratos. 7. Auxilia no gerenciamento do estoque, no abastecimento e no preparo de todos os itens alimentícios. 8. Planeja proativamente a sequência e o tempo das operações de cozinha para atender aos horários de serviço das refeições. Delega tarefas específicas aos cozinheiros e acompanha o andamento. 9. Mantém as instalações de alimentos e bebidas sempre limpas e organizadas. Garante a conformidade com todas as normas de saúde e higiene. 10. Auxilia no planejamento e execução de eventos para convidados internos e externos. 11. Auxilia no treinamento da equipe da cozinha em princípios e práticas de produção de alimentos. 12. Auxilia no pedido, recebimento e armazenamento de todos os itens de todos os fornecedores. 13. Participa de todas as reuniões de segurança. 14. Auxilia a equipe da cozinha e de limpeza conforme necessário. Classificação do Cargo: 35-1012.00 - Supervisores de Primeira Linha de Preparadores e Servidores de Alimentos. A classificação e descrição do cargo/setor inclui informações gerais sobre a posição, de acordo com o ONET/OES e o Sistema de Classificação Industrial da América do Norte (NAICS). Consulte as Funções e a Ordem de Serviço para obter mais informações. Requisitos do Cargo Experiência Necessária: Sim Meses de Experiência Necessários: 6 Requisitos Especiais: Deve possuir ou ser capaz de obter o Cartão de Gerente de Manipuladores de Alimentos da Califórnia (CA Food Handlers Manager Card). 6 meses de experiência como cozinheiro ou na área culinária em um ambiente de alta gastronomia ou de grande movimento em um restaurante sofisticado, resort ou clube privado são necessários. Treinamento no local de trabalho é fornecido. Dias e Turnos: Os seguintes turnos estão disponíveis 7 dias por semana, incluindo fins de semana e feriados: 7h às 15h30, 9h às 17h30, 11h às 19h30 e 15h às 23h30. Salário por hora: US$ 23,93 - US$ 30,90 por hora (com base no mérito e experiência anterior na empresa). Possibilidade de aumento salarial: O Palisades Tahoe oferece aumentos salariais com base no mérito e experiência anterior na empresa. Horas extras: Horas extras podem estar disponíveis com pagamento de US$ 35,90 a US$ 46,35 por hora. Benefícios: Passe de esqui, refeições durante o turno, 50% de desconto em alimentos e bebidas e 30% de desconto em compras na loja. Número de horas por semana: 35. Horário de trabalho (início/término): 7h às 23h30.</v>
      </c>
    </row>
    <row r="2032" ht="20.25" customHeight="1">
      <c r="A2032" s="3" t="s">
        <v>9110</v>
      </c>
      <c r="B2032" s="3" t="s">
        <v>9111</v>
      </c>
      <c r="C2032" s="3" t="s">
        <v>9112</v>
      </c>
      <c r="D2032" s="3" t="s">
        <v>28</v>
      </c>
      <c r="E2032" s="4" t="s">
        <v>44</v>
      </c>
      <c r="F2032" s="4" t="s">
        <v>20</v>
      </c>
      <c r="G2032" s="4" t="s">
        <v>524</v>
      </c>
      <c r="H2032" s="3" t="s">
        <v>9113</v>
      </c>
      <c r="I2032" s="3" t="s">
        <v>9114</v>
      </c>
      <c r="J2032" s="4">
        <v>24.66</v>
      </c>
      <c r="K2032" s="4">
        <v>1.0</v>
      </c>
      <c r="L2032" s="3" t="s">
        <v>9115</v>
      </c>
      <c r="M2032" s="3" t="s">
        <v>9116</v>
      </c>
      <c r="N2032" s="7" t="str">
        <f>IFERROR(__xludf.DUMMYFUNCTION("GOOGLETRANSLATE(L2032, ""en"", ""pt"")"),"Cozinheiro particular em domicílio (dietas especiais)")</f>
        <v>Cozinheiro particular em domicílio (dietas especiais)</v>
      </c>
      <c r="O2032" s="7" t="str">
        <f>IFERROR(__xludf.DUMMYFUNCTION("IF(M2032="""","""",GOOGLETRANSLATE(M2032,""en"",""pt""))"),"Planejar, preparar e cozinhar refeições e lanches diários para os moradores de uma residência particular. Elaborar cardápios semanais com base nas preferências e necessidades dietéticas da família, incluindo a restrição de alérgenos específicos. Comprar, "&amp;"inspecionar e armazenar ingredientes; manter o controle do estoque de mantimentos e suprimentos da cozinha. Seguir as instruções da família referentes a restrições alimentares e segurança alimentar, incluindo a restrição de alérgenos específicos e a preve"&amp;"nção da contaminação cruzada na cozinha. Etiquetar, embalar e armazenar adequadamente as refeições e lanches preparados para consumo posterior (por exemplo, em dias de aula e atividades extracurriculares). Limpar e manter a cozinha, os equipamentos e uten"&amp;"sílios de cozinha em condições seguras e higiênicas, de acordo com os padrões da família. Classificação da função: 35-2013.00 - Cozinheiros(as), Residência Particular. A classificação e descrição da função/setor inclui informações gerais sobre o cargo, co"&amp;"nforme o ONET/OES e o Sistema de Classificação Industrial da América do Norte. Consulte as Funções e a Ordem de Serviço para obter mais informações. Requisitos da vaga Experiência necessária: Sim Meses de experiência necessários: 24 Requisitos especiais: "&amp;"Preparo de refeições Planejamento de cardápios Dietas especiais Cozinha sem alérgenos Segurança alimentar Higiene da cozinha Controle de estoque Compras de supermercado Gerenciamento de tempo Seguir receitas e instruções Inglês básico (oral e escrito) Núm"&amp;"ero de horas por semana: 40 Horário de trabalho (início/término): 7h às 15h")</f>
        <v>Planejar, preparar e cozinhar refeições e lanches diários para os moradores de uma residência particular. Elaborar cardápios semanais com base nas preferências e necessidades dietéticas da família, incluindo a restrição de alérgenos específicos. Comprar, inspecionar e armazenar ingredientes; manter o controle do estoque de mantimentos e suprimentos da cozinha. Seguir as instruções da família referentes a restrições alimentares e segurança alimentar, incluindo a restrição de alérgenos específicos e a prevenção da contaminação cruzada na cozinha. Etiquetar, embalar e armazenar adequadamente as refeições e lanches preparados para consumo posterior (por exemplo, em dias de aula e atividades extracurriculares). Limpar e manter a cozinha, os equipamentos e utensílios de cozinha em condições seguras e higiênicas, de acordo com os padrões da família. Classificação da função: 35-2013.00 - Cozinheiros(as), Residência Particular. A classificação e descrição da função/setor inclui informações gerais sobre o cargo, conforme o ONET/OES e o Sistema de Classificação Industrial da América do Norte. Consulte as Funções e a Ordem de Serviço para obter mais informações. Requisitos da vaga Experiência necessária: Sim Meses de experiência necessários: 24 Requisitos especiais: Preparo de refeições Planejamento de cardápios Dietas especiais Cozinha sem alérgenos Segurança alimentar Higiene da cozinha Controle de estoque Compras de supermercado Gerenciamento de tempo Seguir receitas e instruções Inglês básico (oral e escrito) Número de horas por semana: 40 Horário de trabalho (início/término): 7h às 15h</v>
      </c>
    </row>
    <row r="2033" ht="20.25" customHeight="1">
      <c r="A2033" s="8" t="s">
        <v>9117</v>
      </c>
      <c r="B2033" s="8" t="s">
        <v>9118</v>
      </c>
      <c r="C2033" s="8" t="s">
        <v>9079</v>
      </c>
      <c r="D2033" s="8" t="s">
        <v>64</v>
      </c>
      <c r="E2033" s="9" t="s">
        <v>19</v>
      </c>
      <c r="F2033" s="9" t="s">
        <v>20</v>
      </c>
      <c r="G2033" s="9" t="s">
        <v>2356</v>
      </c>
      <c r="H2033" s="8" t="s">
        <v>9119</v>
      </c>
      <c r="I2033" s="8" t="s">
        <v>9120</v>
      </c>
      <c r="J2033" s="9">
        <v>16.42</v>
      </c>
      <c r="K2033" s="9">
        <v>2.0</v>
      </c>
      <c r="L2033" s="8" t="s">
        <v>2496</v>
      </c>
      <c r="M2033" s="8" t="s">
        <v>9121</v>
      </c>
      <c r="N2033" s="7" t="str">
        <f>IFERROR(__xludf.DUMMYFUNCTION("GOOGLETRANSLATE(L2033, ""en"", ""pt"")"),"Processador de carne")</f>
        <v>Processador de carne</v>
      </c>
      <c r="O2033" s="7" t="str">
        <f>IFERROR(__xludf.DUMMYFUNCTION("IF(M2033="""","""",GOOGLETRANSLATE(M2033,""en"",""pt""))"),"Trabalhar em um frigorífico para preparar diversos cortes e produtos de carne, como linguiças, carne seca e cortes padrão. Remover ossos e cortar a carne no tamanho adequado. Aparar veias, tendões, gordura, pele ou cartilagem indesejados. Processar a carn"&amp;"e em diversos produtos ou cortes. Embalar os produtos acabados. Manter um ambiente de trabalho limpo e higienizado e seguir todos os procedimentos de segurança e saúde da empresa. Classificação da vaga: 51-3023.00 - Abatedores e Embaladores de Carne. A cl"&amp;"assificação e descrição da vaga/setor incluem informações gerais sobre o cargo, de acordo com o ONET/OES e o Sistema de Classificação Industrial da América do Norte. Consulte as Funções e a Ordem de Serviço para obter mais informações. Requisitos da vaga:"&amp;" Experiência necessária: Sim. Meses de experiência necessários: 3. Requisitos especiais: Nenhum. Número de horas por semana: 40. Horário de trabalho (início/término): 8h às 17h.")</f>
        <v>Trabalhar em um frigorífico para preparar diversos cortes e produtos de carne, como linguiças, carne seca e cortes padrão. Remover ossos e cortar a carne no tamanho adequado. Aparar veias, tendões, gordura, pele ou cartilagem indesejados. Processar a carne em diversos produtos ou cortes. Embalar os produtos acabados. Manter um ambiente de trabalho limpo e higienizado e seguir todos os procedimentos de segurança e saúde da empresa. Classificação da vaga: 51-3023.00 - Abatedores e Embaladores de Carne. A classificação e descrição da vaga/setor incluem informações gerais sobre o cargo, de acordo com o ONET/OES e o Sistema de Classificação Industrial da América do Norte. Consulte as Funções e a Ordem de Serviço para obter mais informações. Requisitos da vaga: Experiência necessária: Sim. Meses de experiência necessários: 3. Requisitos especiais: Nenhum. Número de horas por semana: 40. Horário de trabalho (início/término): 8h às 17h.</v>
      </c>
    </row>
    <row r="2034" ht="20.25" customHeight="1">
      <c r="A2034" s="3" t="s">
        <v>9122</v>
      </c>
      <c r="B2034" s="3" t="s">
        <v>9123</v>
      </c>
      <c r="C2034" s="3" t="s">
        <v>7431</v>
      </c>
      <c r="D2034" s="3" t="s">
        <v>992</v>
      </c>
      <c r="E2034" s="4" t="s">
        <v>19</v>
      </c>
      <c r="F2034" s="4" t="s">
        <v>20</v>
      </c>
      <c r="G2034" s="4" t="s">
        <v>7174</v>
      </c>
      <c r="H2034" s="3" t="s">
        <v>9124</v>
      </c>
      <c r="I2034" s="3" t="s">
        <v>9125</v>
      </c>
      <c r="J2034" s="4">
        <v>18.45</v>
      </c>
      <c r="K2034" s="4">
        <v>1.0</v>
      </c>
      <c r="L2034" s="3" t="s">
        <v>387</v>
      </c>
      <c r="M2034" s="3" t="s">
        <v>9126</v>
      </c>
      <c r="N2034" s="7" t="str">
        <f>IFERROR(__xludf.DUMMYFUNCTION("GOOGLETRANSLATE(L2034, ""en"", ""pt"")"),"Ordem de serviço não disponível")</f>
        <v>Ordem de serviço não disponível</v>
      </c>
      <c r="O2034" s="7" t="str">
        <f>IFERROR(__xludf.DUMMYFUNCTION("IF(M2034="""","""",GOOGLETRANSLATE(M2034,""en"",""pt""))"),"Preparar, servir e alimentar um bebê com lanches, refeições e mamadeiras nutricionalmente balanceados. Colocar a criança para dormir e regular os períodos de descanso e os horários das sonecas. Vestir a criança ou auxiliá-la a se vestir. Envolver a crianç"&amp;"a em atividades apropriadas para a idade, como brincar no colo, ler, jogos educativos, artes e artesanato e brincadeiras ao ar livre para promover o desenvolvimento físico, cognitivo e motor. Colaborar com os pais para implementar rotinas e programas de o"&amp;"rientação que incentivem comportamentos desejáveis. Instruir e auxiliar a criança no desenvolvimento de hábitos pessoais saudáveis, como alimentação e higiene. Servir de modelo para comportamentos sociais apropriados e promover a comunicação e as habilida"&amp;"des interpessoais desde cedo. Remover possíveis perigos e estabelecer limites e regras domésticas apropriadas para garantir um ambiente seguro para a criança em todos os momentos, inclusive durante passeios. Prestar primeiros socorros quando necessário. O"&amp;"bservar o comportamento da criança em busca de sinais de doença ou irregularidades, aferir a temperatura e administrar medicamentos conforme orientação dos pais ou profissionais de saúde para apoiar a saúde e o bem-estar da criança. Realizar tarefas domés"&amp;"ticas leves e de limpeza relacionadas aos cuidados da criança, incluindo organizar as áreas de brincar, limpar após as refeições e lavar as roupas da criança. Transportar a criança para atividades, passeios sociais e consultas médicas. Fazer compras de su"&amp;"permercado, roupas e outros itens necessários para os cuidados da criança. Todas as tarefas serão realizadas em um ambiente residencial privado. Classificação da vaga: 39-9011.01 - Babás. A classificação e descrição da vaga/setor incluem informações gerai"&amp;"s sobre o cargo, de acordo com o ONET/OES e o Sistema de Classificação Industrial da América do Norte. Consulte as Funções e a Ordem de Serviço para obter mais informações. Requisitos da vaga: Experiência necessária: Sim. Meses de experiência necessários:"&amp;" 12. Requisitos especiais: Conhecimento básico de inglês. Mínimo de 12 meses de experiência prévia como babá ou em uma função similar de cuidados infantis, incluindo experiência com bebês e recém-nascidos. Ensino médio completo (ou equivalente) obrigatóri"&amp;"o. Capacidade de levantar e carregar pesos suficientes para movimentar equipamentos e materiais necessários para a execução das tarefas designadas, incluindo levantar e carregar a criança. Capacidade de ficar em pé e permanecer ativa durante todo o turno."&amp;" Uso de eletrodomésticos, máquinas de lavar roupa e veículo da casa. Elegibilidade para carteira de habilitação válida em Nova Jersey. 40 horas semanais, 5 dias por semana. O horário de trabalho pode variar e incluir noites, fins de semana ou feriados, co"&amp;"nforme necessário. O empregador se baseará nas declarações e observações do próprio trabalhador para avaliar se ele atende aos requisitos de elegibilidade, capacidade de levantar peso, ficar em pé e outras capacidades físicas descritas aqui. Número de hor"&amp;"as por semana: 40. Horário de trabalho (início/término): 9h às 18h.")</f>
        <v>Preparar, servir e alimentar um bebê com lanches, refeições e mamadeiras nutricionalmente balanceados. Colocar a criança para dormir e regular os períodos de descanso e os horários das sonecas. Vestir a criança ou auxiliá-la a se vestir. Envolver a criança em atividades apropriadas para a idade, como brincar no colo, ler, jogos educativos, artes e artesanato e brincadeiras ao ar livre para promover o desenvolvimento físico, cognitivo e motor. Colaborar com os pais para implementar rotinas e programas de orientação que incentivem comportamentos desejáveis. Instruir e auxiliar a criança no desenvolvimento de hábitos pessoais saudáveis, como alimentação e higiene. Servir de modelo para comportamentos sociais apropriados e promover a comunicação e as habilidades interpessoais desde cedo. Remover possíveis perigos e estabelecer limites e regras domésticas apropriadas para garantir um ambiente seguro para a criança em todos os momentos, inclusive durante passeios. Prestar primeiros socorros quando necessário. Observar o comportamento da criança em busca de sinais de doença ou irregularidades, aferir a temperatura e administrar medicamentos conforme orientação dos pais ou profissionais de saúde para apoiar a saúde e o bem-estar da criança. Realizar tarefas domésticas leves e de limpeza relacionadas aos cuidados da criança, incluindo organizar as áreas de brincar, limpar após as refeições e lavar as roupas da criança. Transportar a criança para atividades, passeios sociais e consultas médicas. Fazer compras de supermercado, roupas e outros itens necessários para os cuidados da criança. Todas as tarefas serão realizadas em um ambiente residencial privado. Classificação da vaga: 39-9011.01 - Babás. A classificação e descrição da vaga/setor incluem informações gerais sobre o cargo, de acordo com o ONET/OES e o Sistema de Classificação Industrial da América do Norte. Consulte as Funções e a Ordem de Serviço para obter mais informações. Requisitos da vaga: Experiência necessária: Sim. Meses de experiência necessários: 12. Requisitos especiais: Conhecimento básico de inglês. Mínimo de 12 meses de experiência prévia como babá ou em uma função similar de cuidados infantis, incluindo experiência com bebês e recém-nascidos. Ensino médio completo (ou equivalente) obrigatório. Capacidade de levantar e carregar pesos suficientes para movimentar equipamentos e materiais necessários para a execução das tarefas designadas, incluindo levantar e carregar a criança. Capacidade de ficar em pé e permanecer ativa durante todo o turno. Uso de eletrodomésticos, máquinas de lavar roupa e veículo da casa. Elegibilidade para carteira de habilitação válida em Nova Jersey. 40 horas semanais, 5 dias por semana. O horário de trabalho pode variar e incluir noites, fins de semana ou feriados, conforme necessário. O empregador se baseará nas declarações e observações do próprio trabalhador para avaliar se ele atende aos requisitos de elegibilidade, capacidade de levantar peso, ficar em pé e outras capacidades físicas descritas aqui. Número de horas por semana: 40. Horário de trabalho (início/término): 9h às 18h.</v>
      </c>
    </row>
    <row r="2035" ht="20.25" customHeight="1">
      <c r="A2035" s="8" t="s">
        <v>9127</v>
      </c>
      <c r="B2035" s="8" t="s">
        <v>9128</v>
      </c>
      <c r="C2035" s="8" t="s">
        <v>4247</v>
      </c>
      <c r="D2035" s="8" t="s">
        <v>532</v>
      </c>
      <c r="E2035" s="9" t="s">
        <v>19</v>
      </c>
      <c r="F2035" s="9" t="s">
        <v>20</v>
      </c>
      <c r="G2035" s="9" t="s">
        <v>404</v>
      </c>
      <c r="H2035" s="8" t="s">
        <v>9129</v>
      </c>
      <c r="I2035" s="8" t="s">
        <v>9130</v>
      </c>
      <c r="J2035" s="9">
        <v>15.13</v>
      </c>
      <c r="K2035" s="9">
        <v>60.0</v>
      </c>
      <c r="L2035" s="8" t="s">
        <v>5664</v>
      </c>
      <c r="M2035" s="8" t="s">
        <v>7451</v>
      </c>
      <c r="N2035" s="7" t="str">
        <f>IFERROR(__xludf.DUMMYFUNCTION("GOOGLETRANSLATE(L2035, ""en"", ""pt"")"),"Atendente de Diversão e Recreação – Parque de Diversões Itinerante")</f>
        <v>Atendente de Diversão e Recreação – Parque de Diversões Itinerante</v>
      </c>
      <c r="O2035" s="7" t="str">
        <f>IFERROR(__xludf.DUMMYFUNCTION("IF(M2035="""","""",GOOGLETRANSLATE(M2035,""en"",""pt""))"),"Executar diversas tarefas em um parque de diversões itinerante, montando, desmontando e operando brinquedos. Pode vender ingressos e cobrar taxas dos clientes; fornecer informações sobre as instalações, regras e regulamentos; direcionar os clientes aos br"&amp;"inquedos, assentos ou atrações; monitorar as atividades para garantir o cumprimento das regras e procedimentos de segurança; auxiliar os clientes na entrada ou saída dos brinquedos; limpar brinquedos, barracas, instalações ou terrenos; inspecionar equipam"&amp;"entos para detectar desgaste e danos e realizar pequenos reparos, ajustes ou tarefas de manutenção, como lubrificação de peças; fixar dispositivos de segurança para os clientes ou fornecer instruções sobre como fixá-los. Classificação da vaga: 39-3091.00 "&amp;"- Atendentes de Parques de Diversões e Recreação. A classificação e descrição da vaga/setor incluem informações gerais sobre o cargo, de acordo com o ONET/OES e o Sistema de Classificação Industrial da América do Norte. Consulte as Funções e a Ordem de Se"&amp;"rviço para obter mais informações. Requisitos da vaga: Experiência exigida: Não. Requisitos especiais: Testes aleatórios de drogas e verificação de antecedentes criminais após a contratação podem ser exigidos, sem custo para o trabalhador. A vaga exige qu"&amp;"e o candidato seja qualificado, esteja pronto, disposto, apto e disponível para desempenhar suas funções durante todo o período de emprego nos locais de trabalho designados, além de seguir as normas da empresa. Número de horas semanais: 40. Horário de tra"&amp;"balho (início/término): 13h às 22h.")</f>
        <v>Executar diversas tarefas em um parque de diversões itinerante, montando, desmontando e operando brinquedos. Pode vender ingressos e cobrar taxas dos clientes; fornecer informações sobre as instalações, regras e regulamentos; direcionar os clientes aos brinquedos, assentos ou atrações; monitorar as atividades para garantir o cumprimento das regras e procedimentos de segurança; auxiliar os clientes na entrada ou saída dos brinquedos; limpar brinquedos, barracas, instalações ou terrenos; inspecionar equipamentos para detectar desgaste e danos e realizar pequenos reparos, ajustes ou tarefas de manutenção, como lubrificação de peças; fixar dispositivos de segurança para os clientes ou fornecer instruções sobre como fixá-los. Classificação da vaga: 39-3091.00 - Atendentes de Parques de Diversões e Recreação. A classificação e descrição da vaga/setor incluem informações gerais sobre o cargo, de acordo com o ONET/OES e o Sistema de Classificação Industrial da América do Norte. Consulte as Funções e a Ordem de Serviço para obter mais informações. Requisitos da vaga: Experiência exigida: Não. Requisitos especiais: Testes aleatórios de drogas e verificação de antecedentes criminais após a contratação podem ser exigidos, sem custo para o trabalhador. A vaga exige que o candidato seja qualificado, esteja pronto, disposto, apto e disponível para desempenhar suas funções durante todo o período de emprego nos locais de trabalho designados, além de seguir as normas da empresa. Número de horas semanais: 40. Horário de trabalho (início/término): 13h às 22h.</v>
      </c>
    </row>
    <row r="2036" ht="20.25" customHeight="1">
      <c r="A2036" s="3" t="s">
        <v>9131</v>
      </c>
      <c r="B2036" s="3" t="s">
        <v>9132</v>
      </c>
      <c r="C2036" s="3" t="s">
        <v>9079</v>
      </c>
      <c r="D2036" s="3" t="s">
        <v>970</v>
      </c>
      <c r="E2036" s="4" t="s">
        <v>44</v>
      </c>
      <c r="F2036" s="4" t="s">
        <v>20</v>
      </c>
      <c r="G2036" s="4" t="s">
        <v>2356</v>
      </c>
      <c r="H2036" s="3" t="s">
        <v>9133</v>
      </c>
      <c r="I2036" s="3" t="s">
        <v>9134</v>
      </c>
      <c r="J2036" s="4">
        <v>19.77</v>
      </c>
      <c r="K2036" s="4">
        <v>3.0</v>
      </c>
      <c r="L2036" s="3" t="s">
        <v>9135</v>
      </c>
      <c r="M2036" s="3" t="s">
        <v>9136</v>
      </c>
      <c r="N2036" s="7" t="str">
        <f>IFERROR(__xludf.DUMMYFUNCTION("GOOGLETRANSLATE(L2036, ""en"", ""pt"")"),"Trabalhadores de embalagem")</f>
        <v>Trabalhadores de embalagem</v>
      </c>
      <c r="O2036" s="7" t="str">
        <f>IFERROR(__xludf.DUMMYFUNCTION("IF(M2036="""","""",GOOGLETRANSLATE(M2036,""en"",""pt""))"),"Supervisionar máquinas de embalagem e paletização automatizadas para embalar farinha recém-moída. Carregar sacos na embaladora, realizar pequenas manutenções e monitorar para garantir que um produto de qualidade esteja saindo do sistema. Manter um ambient"&amp;"e de trabalho limpo e organizado. Cumprir todas as normas e procedimentos de segurança da empresa. Classificação da vaga: 51-9111.00 - Operadores e Auxiliares de Máquinas de Embalagem e Enchimento. A classificação e descrição da vaga/setor incluem informa"&amp;"ções gerais sobre a posição, de acordo com o ONET/OES e o Sistema de Classificação Industrial da América do Norte (NAICS). Consulte as Funções e a Ordem de Serviço para obter mais informações. Requisitos da vaga: Experiência necessária: Não. Requisitos es"&amp;"peciais: Deve ser capaz de levantar até 23 kg repetidamente. Deve ser capaz de ler, escrever e falar inglês fluentemente. Número de horas por semana: 40. Horário de trabalho (início/término): 15h às 23h.")</f>
        <v>Supervisionar máquinas de embalagem e paletização automatizadas para embalar farinha recém-moída. Carregar sacos na embaladora, realizar pequenas manutenções e monitorar para garantir que um produto de qualidade esteja saindo do sistema. Manter um ambiente de trabalho limpo e organizado. Cumprir todas as normas e procedimentos de segurança da empresa. Classificação da vaga: 51-9111.00 - Operadores e Auxiliares de Máquinas de Embalagem e Enchimento. A classificação e descrição da vaga/setor incluem informações gerais sobre a posição, de acordo com o ONET/OES e o Sistema de Classificação Industrial da América do Norte (NAICS). Consulte as Funções e a Ordem de Serviço para obter mais informações. Requisitos da vaga: Experiência necessária: Não. Requisitos especiais: Deve ser capaz de levantar até 23 kg repetidamente. Deve ser capaz de ler, escrever e falar inglês fluentemente. Número de horas por semana: 40. Horário de trabalho (início/término): 15h às 23h.</v>
      </c>
    </row>
    <row r="2037" ht="20.25" customHeight="1">
      <c r="A2037" s="8" t="s">
        <v>9137</v>
      </c>
      <c r="B2037" s="8" t="s">
        <v>9138</v>
      </c>
      <c r="C2037" s="8" t="s">
        <v>7596</v>
      </c>
      <c r="D2037" s="8" t="s">
        <v>36</v>
      </c>
      <c r="E2037" s="9" t="s">
        <v>19</v>
      </c>
      <c r="F2037" s="9" t="s">
        <v>20</v>
      </c>
      <c r="G2037" s="9" t="s">
        <v>404</v>
      </c>
      <c r="H2037" s="8" t="s">
        <v>9139</v>
      </c>
      <c r="I2037" s="8" t="s">
        <v>9140</v>
      </c>
      <c r="J2037" s="9">
        <v>13.03</v>
      </c>
      <c r="K2037" s="9">
        <v>60.0</v>
      </c>
      <c r="L2037" s="8" t="s">
        <v>9141</v>
      </c>
      <c r="M2037" s="8" t="s">
        <v>9142</v>
      </c>
      <c r="N2037" s="7" t="str">
        <f>IFERROR(__xludf.DUMMYFUNCTION("GOOGLETRANSLATE(L2037, ""en"", ""pt"")"),"Atendentes de resort")</f>
        <v>Atendentes de resort</v>
      </c>
      <c r="O2037" s="7" t="str">
        <f>IFERROR(__xludf.DUMMYFUNCTION("IF(M2037="""","""",GOOGLETRANSLATE(M2037,""en"",""pt""))"),"Os atendentes do resort desempenharão diversas funções para garantir o funcionamento do resort de esqui e a satisfação dos hóspedes. As funções incluem: auxiliar os hóspedes a embarcar e desembarcar dos teleféricos com segurança; auxiliar os hóspedes a en"&amp;"contrar estacionamento no resort; auxiliar na manutenção da limpeza e apresentação das instalações e equipamentos do resort; fornecer informações e assistência aos hóspedes em relação às atividades recreativas oferecidas; e outras tarefas similares, confo"&amp;"rme necessário. Classificação da vaga: 39-3091.00 - Atendentes de Diversão e Recreação. A classificação e descrição da vaga/setor incluem informações gerais sobre o cargo, de acordo com o ONET/OES e o Sistema de Classificação Industrial da América do Nort"&amp;"e (NAICS). Consulte a Descrição das Funções e a Ordem de Serviço para obter mais informações. Requisitos da vaga: Experiência exigida: Não. Requisitos especiais: Capacidade de levantar pelo menos 11 kg. Número de horas por semana: 70. Horário de trabalho "&amp;"(início/término): 7h às 17h.")</f>
        <v>Os atendentes do resort desempenharão diversas funções para garantir o funcionamento do resort de esqui e a satisfação dos hóspedes. As funções incluem: auxiliar os hóspedes a embarcar e desembarcar dos teleféricos com segurança; auxiliar os hóspedes a encontrar estacionamento no resort; auxiliar na manutenção da limpeza e apresentação das instalações e equipamentos do resort; fornecer informações e assistência aos hóspedes em relação às atividades recreativas oferecidas; e outras tarefas similares, conforme necessário. Classificação da vaga: 39-3091.00 - Atendentes de Diversão e Recreação. A classificação e descrição da vaga/setor incluem informações gerais sobre o cargo, de acordo com o ONET/OES e o Sistema de Classificação Industrial da América do Norte (NAICS). Consulte a Descrição das Funções e a Ordem de Serviço para obter mais informações. Requisitos da vaga: Experiência exigida: Não. Requisitos especiais: Capacidade de levantar pelo menos 11 kg. Número de horas por semana: 70. Horário de trabalho (início/término): 7h às 17h.</v>
      </c>
    </row>
    <row r="2038" ht="20.25" customHeight="1">
      <c r="A2038" s="3" t="s">
        <v>9143</v>
      </c>
      <c r="B2038" s="3" t="s">
        <v>9144</v>
      </c>
      <c r="C2038" s="3" t="s">
        <v>8981</v>
      </c>
      <c r="D2038" s="3" t="s">
        <v>71</v>
      </c>
      <c r="E2038" s="4" t="s">
        <v>44</v>
      </c>
      <c r="F2038" s="4" t="s">
        <v>20</v>
      </c>
      <c r="G2038" s="4" t="s">
        <v>524</v>
      </c>
      <c r="H2038" s="3" t="s">
        <v>9145</v>
      </c>
      <c r="I2038" s="3" t="s">
        <v>9146</v>
      </c>
      <c r="J2038" s="4">
        <v>17.5</v>
      </c>
      <c r="K2038" s="4">
        <v>43.0</v>
      </c>
      <c r="L2038" s="3" t="s">
        <v>586</v>
      </c>
      <c r="M2038" s="3" t="s">
        <v>9147</v>
      </c>
      <c r="N2038" s="7" t="str">
        <f>IFERROR(__xludf.DUMMYFUNCTION("GOOGLETRANSLATE(L2038, ""en"", ""pt"")"),"Cozinheiro de linha")</f>
        <v>Cozinheiro de linha</v>
      </c>
      <c r="O2038" s="7" t="str">
        <f>IFERROR(__xludf.DUMMYFUNCTION("IF(M2038="""","""",GOOGLETRANSLATE(M2038,""en"",""pt""))"),"Prepara, tempera e cozinha sopas, carnes, legumes, frutas, sobremesas e outros alimentos diversos para consumo; observa as diretrizes da receita e os procedimentos de higiene. *Continuação da Seção F.a.5 abaixo: 35 horas semanais; o trabalho pode ser real"&amp;"izado em qualquer dia da semana, de segunda a domingo. Turnos variáveis ​​ao longo de 7 dias da semana, que podem variar conforme a necessidade, de acordo com o anúncio da vaga na Agência Estadual de Força de Trabalho e em outras fontes de anúncios de vag"&amp;"as H2B, conforme os requisitos de recrutamento dos empregadores para trabalhadores em potencial no âmbito do programa H2B; os turnos podem variar: das 6h às 23h. Classificação do Cargo: 35-2014.00 - Cozinheiros, Restaurante. A classificação e a descrição "&amp;"do cargo/setor incluem informações gerais sobre a posição, de acordo com o ONET/OES e o Sistema de Classificação Industrial da América do Norte. Consulte as Funções e a Ordem de Serviço para obter mais informações. Requisitos do Cargo Experiência Necessár"&amp;"ia: Não. Requisitos Especiais: APROVAÇÃO NA VERIFICAÇÃO DE ANTECEDENTES CRIMINAIS PRÉ-ADMISSÃO; CAPACIDADE DE SE COMUNICAR EM INGLÊS; TESTE DE DROGAS PÓS-ADMISSÃO. O EMPREGADOR EXIGE QUE A VERIFICAÇÃO DE ANTECEDENTES CRIMINAIS PRÉ-ADMISSÃO E O TESTE DE DR"&amp;"OGAS PÓS-ADMISSÃO SEJAM REALIZADOS IGUALMENTE PARA TRABALHADORES AMERICANOS E TRABALHADORES COM VISTO H-2B. Número de horas por semana: 35. Horário de trabalho (início/término): 6h às 23h.")</f>
        <v>Prepara, tempera e cozinha sopas, carnes, legumes, frutas, sobremesas e outros alimentos diversos para consumo; observa as diretrizes da receita e os procedimentos de higiene. *Continuação da Seção F.a.5 abaixo: 35 horas semanais; o trabalho pode ser realizado em qualquer dia da semana, de segunda a domingo. Turnos variáveis ​​ao longo de 7 dias da semana, que podem variar conforme a necessidade, de acordo com o anúncio da vaga na Agência Estadual de Força de Trabalho e em outras fontes de anúncios de vagas H2B, conforme os requisitos de recrutamento dos empregadores para trabalhadores em potencial no âmbito do programa H2B; os turnos podem variar: das 6h às 23h. Classificação do Cargo: 35-2014.00 - Cozinheiros, Restaurante. A classificação e a descrição do cargo/setor incluem informações gerais sobre a posição, de acordo com o ONET/OES e o Sistema de Classificação Industrial da América do Norte. Consulte as Funções e a Ordem de Serviço para obter mais informações. Requisitos do Cargo Experiência Necessária: Não. Requisitos Especiais: APROVAÇÃO NA VERIFICAÇÃO DE ANTECEDENTES CRIMINAIS PRÉ-ADMISSÃO; CAPACIDADE DE SE COMUNICAR EM INGLÊS; TESTE DE DROGAS PÓS-ADMISSÃO. O EMPREGADOR EXIGE QUE A VERIFICAÇÃO DE ANTECEDENTES CRIMINAIS PRÉ-ADMISSÃO E O TESTE DE DROGAS PÓS-ADMISSÃO SEJAM REALIZADOS IGUALMENTE PARA TRABALHADORES AMERICANOS E TRABALHADORES COM VISTO H-2B. Número de horas por semana: 35. Horário de trabalho (início/término): 6h às 23h.</v>
      </c>
    </row>
    <row r="2039" ht="20.25" customHeight="1">
      <c r="A2039" s="8" t="s">
        <v>9148</v>
      </c>
      <c r="B2039" s="8" t="s">
        <v>9149</v>
      </c>
      <c r="C2039" s="8" t="s">
        <v>9013</v>
      </c>
      <c r="D2039" s="8" t="s">
        <v>55</v>
      </c>
      <c r="E2039" s="9" t="s">
        <v>19</v>
      </c>
      <c r="F2039" s="9" t="s">
        <v>20</v>
      </c>
      <c r="G2039" s="9" t="s">
        <v>377</v>
      </c>
      <c r="H2039" s="8" t="s">
        <v>9150</v>
      </c>
      <c r="I2039" s="8" t="s">
        <v>9151</v>
      </c>
      <c r="J2039" s="9">
        <v>15.59</v>
      </c>
      <c r="K2039" s="9">
        <v>1.0</v>
      </c>
      <c r="L2039" s="8" t="s">
        <v>9152</v>
      </c>
      <c r="M2039" s="8" t="s">
        <v>9153</v>
      </c>
      <c r="N2039" s="7" t="str">
        <f>IFERROR(__xludf.DUMMYFUNCTION("GOOGLETRANSLATE(L2039, ""en"", ""pt"")"),"tratador de cavalos de polo")</f>
        <v>tratador de cavalos de polo</v>
      </c>
      <c r="O2039" s="7" t="str">
        <f>IFERROR(__xludf.DUMMYFUNCTION("IF(M2039="""","""",GOOGLETRANSLATE(M2039,""en"",""pt""))"),"Responsável pelos cuidados gerais dos cavalos. As funções incluem escovação, alimentação, hidratação, banho, limpeza das baias, reposição da cama, manutenção da sala de arreios, enfaixamento das patas, penteado e trançado da crina, armazenamento de suprim"&amp;"entos e ração, tosa e soltura supervisionada dos cavalos no pasto. O tratador deverá manter e limpar as baias e a área de trabalho diariamente. Deverá observar e relatar diariamente a condição física dos cavalos. Deve ser capaz de levantar e carregar 23 k"&amp;"g por até 30 metros. O tratador será responsável pelos cuidados de 1 a 5 cavalos por vez, o que inclui selar e verificar o ajuste correto de bridões, martingales, selas e outros equipamentos. Classificação da função: 39-2021.00 - Cuidadores de Animais. A "&amp;"classificação e descrição da função/setor inclui informações gerais sobre o cargo, de acordo com o ONET/OES e o Sistema de Classificação Industrial da América do Norte. Consulte as Funções e a Ordem de Serviço para obter mais informações. Requisitos da va"&amp;"ga Experiência necessária: Sim Meses de experiência necessários: 3 Número de horas por semana: 40 Horário de trabalho (início/término): 8h00 - 16h30")</f>
        <v>Responsável pelos cuidados gerais dos cavalos. As funções incluem escovação, alimentação, hidratação, banho, limpeza das baias, reposição da cama, manutenção da sala de arreios, enfaixamento das patas, penteado e trançado da crina, armazenamento de suprimentos e ração, tosa e soltura supervisionada dos cavalos no pasto. O tratador deverá manter e limpar as baias e a área de trabalho diariamente. Deverá observar e relatar diariamente a condição física dos cavalos. Deve ser capaz de levantar e carregar 23 kg por até 30 metros. O tratador será responsável pelos cuidados de 1 a 5 cavalos por vez, o que inclui selar e verificar o ajuste correto de bridões, martingales, selas e outros equipamentos. Classificação da função: 39-2021.00 - Cuidadores de Animais. A classificação e descrição da função/setor inclui informações gerais sobre o cargo, de acordo com o ONET/OES e o Sistema de Classificação Industrial da América do Norte. Consulte as Funções e a Ordem de Serviço para obter mais informações. Requisitos da vaga Experiência necessária: Sim Meses de experiência necessários: 3 Número de horas por semana: 40 Horário de trabalho (início/término): 8h00 - 16h30</v>
      </c>
    </row>
    <row r="2040" ht="20.25" customHeight="1">
      <c r="A2040" s="3" t="s">
        <v>9154</v>
      </c>
      <c r="B2040" s="3" t="s">
        <v>9155</v>
      </c>
      <c r="C2040" s="3" t="s">
        <v>8981</v>
      </c>
      <c r="D2040" s="3" t="s">
        <v>71</v>
      </c>
      <c r="E2040" s="4" t="s">
        <v>19</v>
      </c>
      <c r="F2040" s="4" t="s">
        <v>20</v>
      </c>
      <c r="G2040" s="4" t="s">
        <v>524</v>
      </c>
      <c r="H2040" s="3" t="s">
        <v>9156</v>
      </c>
      <c r="I2040" s="3" t="s">
        <v>9157</v>
      </c>
      <c r="J2040" s="4">
        <v>19.51</v>
      </c>
      <c r="K2040" s="4">
        <v>7.0</v>
      </c>
      <c r="L2040" s="3" t="s">
        <v>1684</v>
      </c>
      <c r="M2040" s="3" t="s">
        <v>9158</v>
      </c>
      <c r="N2040" s="7" t="str">
        <f>IFERROR(__xludf.DUMMYFUNCTION("GOOGLETRANSLATE(L2040, ""en"", ""pt"")"),"Barman")</f>
        <v>Barman</v>
      </c>
      <c r="O2040" s="7" t="str">
        <f>IFERROR(__xludf.DUMMYFUNCTION("IF(M2040="""","""",GOOGLETRANSLATE(M2040,""en"",""pt""))"),"Anotar pedidos de bebidas. Preparar e servir drinks. Limpar a área do bar. Poderá ser necessário anotar pedidos de comida e fazer recomendações sobre vinhos e outros produtos. Solicitar e exibir bebidas alcoólicas e suprimentos. Manter a área do bar limpa"&amp;" e trabalhar de acordo com as normas estaduais rigorosamente aplicadas. *Continuação da Seção F.a.5 abaixo: 40 horas semanais. Os turnos serão de 8 horas, podendo variar conforme a necessidade, de acordo com o anúncio da vaga na Agência Estadual de Força "&amp;"de Trabalho e em outras fontes de anúncios de vagas H-2B, conforme os requisitos de recrutamento dos empregadores para trabalhadores em potencial sob o programa H-2B. Turnos variáveis ​​ao longo de 7 dias da semana. Os turnos podem variar: das 6h às 23h. "&amp;"Classificação da vaga: 35-3011.00 - Bartenders. A classificação e descrição da vaga/setor incluem informações gerais sobre o cargo, de acordo com o ONET/OES e o Sistema de Classificação Industrial da América do Norte. Consulte as Funções e a Ordem de Serv"&amp;"iço para obter mais informações. Requisitos da vaga Experiência necessária: Não Requisitos especiais: O EMPREGADOR EXIGE QUE A VERIFICAÇÃO DE ANTECEDENTES CRIMINAIS PRÉ-ADMISSÃO E O TESTE DE DROGAS PÓS-ADMISSÃO SEJAM REALIZADOS IGUALMENTE PARA TRABALHADOR"&amp;"ES AMERICANOS E TRABALHADORES COM VISTO H-2B. HABILIDADE DE SE COMUNICAR EM INGLÊS. Número de horas por semana: 40 Horário de trabalho (início/término): 6h às 23h")</f>
        <v>Anotar pedidos de bebidas. Preparar e servir drinks. Limpar a área do bar. Poderá ser necessário anotar pedidos de comida e fazer recomendações sobre vinhos e outros produtos. Solicitar e exibir bebidas alcoólicas e suprimentos. Manter a área do bar limpa e trabalhar de acordo com as normas estaduais rigorosamente aplicadas. *Continuação da Seção F.a.5 abaixo: 40 horas semanais. Os turnos serão de 8 horas, podendo variar conforme a necessidade, de acordo com o anúncio da vaga na Agência Estadual de Força de Trabalho e em outras fontes de anúncios de vagas H-2B, conforme os requisitos de recrutamento dos empregadores para trabalhadores em potencial sob o programa H-2B. Turnos variáveis ​​ao longo de 7 dias da semana. Os turnos podem variar: das 6h às 23h. Classificação da vaga: 35-3011.00 - Bartenders. A classificação e descrição da vaga/setor incluem informações gerais sobre o cargo, de acordo com o ONET/OES e o Sistema de Classificação Industrial da América do Norte. Consulte as Funções e a Ordem de Serviço para obter mais informações. Requisitos da vaga Experiência necessária: Não Requisitos especiais: O EMPREGADOR EXIGE QUE A VERIFICAÇÃO DE ANTECEDENTES CRIMINAIS PRÉ-ADMISSÃO E O TESTE DE DROGAS PÓS-ADMISSÃO SEJAM REALIZADOS IGUALMENTE PARA TRABALHADORES AMERICANOS E TRABALHADORES COM VISTO H-2B. HABILIDADE DE SE COMUNICAR EM INGLÊS. Número de horas por semana: 40 Horário de trabalho (início/término): 6h às 23h</v>
      </c>
    </row>
    <row r="2041" ht="20.25" customHeight="1">
      <c r="A2041" s="8" t="s">
        <v>9159</v>
      </c>
      <c r="B2041" s="8" t="s">
        <v>9155</v>
      </c>
      <c r="C2041" s="8" t="s">
        <v>8981</v>
      </c>
      <c r="D2041" s="8" t="s">
        <v>71</v>
      </c>
      <c r="E2041" s="9" t="s">
        <v>19</v>
      </c>
      <c r="F2041" s="9" t="s">
        <v>20</v>
      </c>
      <c r="G2041" s="9" t="s">
        <v>524</v>
      </c>
      <c r="H2041" s="8" t="s">
        <v>9156</v>
      </c>
      <c r="I2041" s="8" t="s">
        <v>9157</v>
      </c>
      <c r="J2041" s="9">
        <v>17.0</v>
      </c>
      <c r="K2041" s="9">
        <v>6.0</v>
      </c>
      <c r="L2041" s="8" t="s">
        <v>3312</v>
      </c>
      <c r="M2041" s="8" t="s">
        <v>9160</v>
      </c>
      <c r="N2041" s="7" t="str">
        <f>IFERROR(__xludf.DUMMYFUNCTION("GOOGLETRANSLATE(L2041, ""en"", ""pt"")"),"Anfitrião/anfitriã")</f>
        <v>Anfitrião/anfitriã</v>
      </c>
      <c r="O2041" s="7" t="str">
        <f>IFERROR(__xludf.DUMMYFUNCTION("IF(M2041="""","""",GOOGLETRANSLATE(M2041,""en"",""pt""))"),"Recepciona, acompanha e entrega os cardápios aos clientes; auxilia na limpeza/polimento, etc., conforme necessário. *Continuação da Seção F.a.5 abaixo: 40 horas semanais. Os turnos serão de 8 horas, podendo variar conforme a necessidade, de acordo com o a"&amp;"núncio da vaga na Agência Estadual de Força de Trabalho e em outras fontes de anúncios de vagas H-2B, conforme os requisitos de recrutamento dos empregadores para trabalhadores em potencial no âmbito do programa H-2B. Turnos variáveis ​​ao longo de 7 dias"&amp;" da semana. Os turnos podem variar: das 6h às 23h. Classificação da vaga: 35-9031.00 - Recepcionistas, Restaurante, Bar e Cafeteria. A classificação e descrição da vaga/setor incluem informações gerais sobre o cargo, provenientes do ONET/OES e do Sistema "&amp;"de Classificação Industrial da América do Norte (NAICS). Consulte as Funções e a Ordem de Serviço para obter mais informações. Requisitos da vaga Experiência necessária: Não Requisitos especiais: O EMPREGADOR EXIGE QUE A VERIFICAÇÃO DE ANTECEDENTES CRIMIN"&amp;"AIS PRÉ-ADMISSÃO E O TESTE DE DROGAS PÓS-ADMISSÃO SEJAM REALIZADOS IGUALMENTE PARA TRABALHADORES AMERICANOS E TRABALHADORES COM VISTO H-2B. HABILIDADE DE SE COMUNICAR EM INGLÊS. Número de horas por semana: 40 Horário de trabalho (início/término): 6h às 23"&amp;"h")</f>
        <v>Recepciona, acompanha e entrega os cardápios aos clientes; auxilia na limpeza/polimento, etc., conforme necessário. *Continuação da Seção F.a.5 abaixo: 40 horas semanais. Os turnos serão de 8 horas, podendo variar conforme a necessidade, de acordo com o anúncio da vaga na Agência Estadual de Força de Trabalho e em outras fontes de anúncios de vagas H-2B, conforme os requisitos de recrutamento dos empregadores para trabalhadores em potencial no âmbito do programa H-2B. Turnos variáveis ​​ao longo de 7 dias da semana. Os turnos podem variar: das 6h às 23h. Classificação da vaga: 35-9031.00 - Recepcionistas, Restaurante, Bar e Cafeteria. A classificação e descrição da vaga/setor incluem informações gerais sobre o cargo, provenientes do ONET/OES e do Sistema de Classificação Industrial da América do Norte (NAICS). Consulte as Funções e a Ordem de Serviço para obter mais informações. Requisitos da vaga Experiência necessária: Não Requisitos especiais: O EMPREGADOR EXIGE QUE A VERIFICAÇÃO DE ANTECEDENTES CRIMINAIS PRÉ-ADMISSÃO E O TESTE DE DROGAS PÓS-ADMISSÃO SEJAM REALIZADOS IGUALMENTE PARA TRABALHADORES AMERICANOS E TRABALHADORES COM VISTO H-2B. HABILIDADE DE SE COMUNICAR EM INGLÊS. Número de horas por semana: 40 Horário de trabalho (início/término): 6h às 23h</v>
      </c>
    </row>
    <row r="2042" ht="20.25" customHeight="1">
      <c r="A2042" s="3" t="s">
        <v>9161</v>
      </c>
      <c r="B2042" s="3" t="s">
        <v>9155</v>
      </c>
      <c r="C2042" s="3" t="s">
        <v>8981</v>
      </c>
      <c r="D2042" s="3" t="s">
        <v>71</v>
      </c>
      <c r="E2042" s="4" t="s">
        <v>19</v>
      </c>
      <c r="F2042" s="4" t="s">
        <v>20</v>
      </c>
      <c r="G2042" s="4" t="s">
        <v>524</v>
      </c>
      <c r="H2042" s="3" t="s">
        <v>9156</v>
      </c>
      <c r="I2042" s="3" t="s">
        <v>9157</v>
      </c>
      <c r="J2042" s="4">
        <v>19.0</v>
      </c>
      <c r="K2042" s="4">
        <v>46.0</v>
      </c>
      <c r="L2042" s="3" t="s">
        <v>1206</v>
      </c>
      <c r="M2042" s="3" t="s">
        <v>9162</v>
      </c>
      <c r="N2042" s="7" t="str">
        <f>IFERROR(__xludf.DUMMYFUNCTION("GOOGLETRANSLATE(L2042, ""en"", ""pt"")"),"Servidor")</f>
        <v>Servidor</v>
      </c>
      <c r="O2042" s="7" t="str">
        <f>IFERROR(__xludf.DUMMYFUNCTION("IF(M2042="""","""",GOOGLETRANSLATE(M2042,""en"",""pt""))"),"Receber e servir pedidos de comida e bebida; realizar a montagem e desmontagem de mesas e outras atividades diversas; poderá ser necessário trabalhar em ambientes externos e em eventos de banquetes; poderá ser necessário servir clientes utilizando carrinh"&amp;"o de golfe. *Continuação da Seção F.a.5 abaixo: 40 horas semanais. Os turnos serão de 8 horas e poderão variar conforme a necessidade, de acordo com o anúncio da vaga na Agência Estadual de Força de Trabalho e em outras fontes de anúncios de vagas H-2B, c"&amp;"onforme os requisitos de recrutamento dos empregadores para trabalhadores em potencial no âmbito do programa H-2B. Turnos variáveis ​​ao longo de 7 dias da semana. Os turnos podem variar: das 6h às 23h. Classificação da vaga: 35-3031.00 - Garçons e Garçon"&amp;"etes. A classificação e descrição da vaga/setor inclui informações gerais sobre o cargo, provenientes do ONET/OES e do Sistema de Classificação Industrial da América do Norte. Consulte as Funções e a Ordem de Serviço para obter mais informações. Requisito"&amp;"s da vaga Experiência necessária: Não Requisitos especiais: O EMPREGADOR EXIGE QUE A VERIFICAÇÃO DE ANTECEDENTES CRIMINAIS PRÉ-ADMISSÃO E O TESTE DE DROGAS PÓS-ADMISSÃO SEJAM REALIZADOS IGUALMENTE PARA TRABALHADORES AMERICANOS E TRABALHADORES COM VISTO H-"&amp;"2B. HABILIDADE DE SE COMUNICAR EM INGLÊS. Número de horas por semana: 40 Horário de trabalho (início/término): 6h às 23h")</f>
        <v>Receber e servir pedidos de comida e bebida; realizar a montagem e desmontagem de mesas e outras atividades diversas; poderá ser necessário trabalhar em ambientes externos e em eventos de banquetes; poderá ser necessário servir clientes utilizando carrinho de golfe. *Continuação da Seção F.a.5 abaixo: 40 horas semanais. Os turnos serão de 8 horas e poderão variar conforme a necessidade, de acordo com o anúncio da vaga na Agência Estadual de Força de Trabalho e em outras fontes de anúncios de vagas H-2B, conforme os requisitos de recrutamento dos empregadores para trabalhadores em potencial no âmbito do programa H-2B. Turnos variáveis ​​ao longo de 7 dias da semana. Os turnos podem variar: das 6h às 23h. Classificação da vaga: 35-3031.00 - Garçons e Garçonetes. A classificação e descrição da vaga/setor inclui informações gerais sobre o cargo, provenientes do ONET/OES e do Sistema de Classificação Industrial da América do Norte. Consulte as Funções e a Ordem de Serviço para obter mais informações. Requisitos da vaga Experiência necessária: Não Requisitos especiais: O EMPREGADOR EXIGE QUE A VERIFICAÇÃO DE ANTECEDENTES CRIMINAIS PRÉ-ADMISSÃO E O TESTE DE DROGAS PÓS-ADMISSÃO SEJAM REALIZADOS IGUALMENTE PARA TRABALHADORES AMERICANOS E TRABALHADORES COM VISTO H-2B. HABILIDADE DE SE COMUNICAR EM INGLÊS. Número de horas por semana: 40 Horário de trabalho (início/término): 6h às 23h</v>
      </c>
    </row>
    <row r="2043" ht="20.25" customHeight="1">
      <c r="A2043" s="8" t="s">
        <v>9163</v>
      </c>
      <c r="B2043" s="8" t="s">
        <v>9155</v>
      </c>
      <c r="C2043" s="8" t="s">
        <v>8981</v>
      </c>
      <c r="D2043" s="8" t="s">
        <v>71</v>
      </c>
      <c r="E2043" s="9" t="s">
        <v>19</v>
      </c>
      <c r="F2043" s="9" t="s">
        <v>20</v>
      </c>
      <c r="G2043" s="9" t="s">
        <v>524</v>
      </c>
      <c r="H2043" s="8" t="s">
        <v>9156</v>
      </c>
      <c r="I2043" s="8" t="s">
        <v>9157</v>
      </c>
      <c r="J2043" s="9">
        <v>17.91</v>
      </c>
      <c r="K2043" s="9">
        <v>12.0</v>
      </c>
      <c r="L2043" s="8" t="s">
        <v>5135</v>
      </c>
      <c r="M2043" s="8" t="s">
        <v>9164</v>
      </c>
      <c r="N2043" s="7" t="str">
        <f>IFERROR(__xludf.DUMMYFUNCTION("GOOGLETRANSLATE(L2043, ""en"", ""pt"")"),"Assistente de Garçom")</f>
        <v>Assistente de Garçom</v>
      </c>
      <c r="O2043" s="7" t="str">
        <f>IFERROR(__xludf.DUMMYFUNCTION("IF(M2043="""","""",GOOGLETRANSLATE(M2043,""en"",""pt""))"),"Auxiliar os garçons levando bebidas às mesas, reabastecendo os copos, recolhendo talheres/louças usados; limpar as áreas de serviço e os equipamentos; abastecer todos os utensílios e equipamentos necessários para o serviço. *Continuação da Seção F.a.5 aba"&amp;"ixo: 40 horas semanais. Os turnos serão de 8 horas e podem variar conforme a necessidade, de acordo com o anúncio da vaga na Agência Estadual de Força de Trabalho e em outras fontes de anúncios de vagas H-2B, conforme os requisitos de recrutamento dos emp"&amp;"regadores para trabalhadores em potencial no âmbito do programa H-2B. Turnos variáveis ​​ao longo de 7 dias da semana. Os turnos podem variar: das 6h às 23h. Classificação do Cargo: 35-9011.00 - Atendentes de Salão de Jantar e Cafeteria e Auxiliares de Ba"&amp;"rman. A classificação e descrição do cargo/setor incluem informações gerais sobre a posição, de acordo com o ONET/OES e o Sistema de Classificação Industrial da América do Norte. Consulte as Funções e a Ordem de Serviço para obter mais informações. Requis"&amp;"itos da vaga Experiência necessária: Não Requisitos especiais: O EMPREGADOR EXIGE QUE A VERIFICAÇÃO DE ANTECEDENTES CRIMINAIS PRÉ-ADMISSÃO E O TESTE DE DROGAS PÓS-ADMISSÃO SEJAM REALIZADOS IGUALMENTE PARA TRABALHADORES AMERICANOS E TRABALHADORES COM VISTO"&amp;" H-2B. HABILIDADE DE SE COMUNICAR EM INGLÊS. Número de horas por semana: 40 Horário de trabalho (início/término): 6h às 23h")</f>
        <v>Auxiliar os garçons levando bebidas às mesas, reabastecendo os copos, recolhendo talheres/louças usados; limpar as áreas de serviço e os equipamentos; abastecer todos os utensílios e equipamentos necessários para o serviço. *Continuação da Seção F.a.5 abaixo: 40 horas semanais. Os turnos serão de 8 horas e podem variar conforme a necessidade, de acordo com o anúncio da vaga na Agência Estadual de Força de Trabalho e em outras fontes de anúncios de vagas H-2B, conforme os requisitos de recrutamento dos empregadores para trabalhadores em potencial no âmbito do programa H-2B. Turnos variáveis ​​ao longo de 7 dias da semana. Os turnos podem variar: das 6h às 23h. Classificação do Cargo: 35-9011.00 - Atendentes de Salão de Jantar e Cafeteria e Auxiliares de Barman. A classificação e descrição do cargo/setor incluem informações gerais sobre a posição, de acordo com o ONET/OES e o Sistema de Classificação Industrial da América do Norte. Consulte as Funções e a Ordem de Serviço para obter mais informações. Requisitos da vaga Experiência necessária: Não Requisitos especiais: O EMPREGADOR EXIGE QUE A VERIFICAÇÃO DE ANTECEDENTES CRIMINAIS PRÉ-ADMISSÃO E O TESTE DE DROGAS PÓS-ADMISSÃO SEJAM REALIZADOS IGUALMENTE PARA TRABALHADORES AMERICANOS E TRABALHADORES COM VISTO H-2B. HABILIDADE DE SE COMUNICAR EM INGLÊS. Número de horas por semana: 40 Horário de trabalho (início/término): 6h às 23h</v>
      </c>
    </row>
    <row r="2044" ht="20.25" customHeight="1">
      <c r="A2044" s="3" t="s">
        <v>9165</v>
      </c>
      <c r="B2044" s="3" t="s">
        <v>9155</v>
      </c>
      <c r="C2044" s="3" t="s">
        <v>8981</v>
      </c>
      <c r="D2044" s="3" t="s">
        <v>71</v>
      </c>
      <c r="E2044" s="4" t="s">
        <v>19</v>
      </c>
      <c r="F2044" s="4" t="s">
        <v>20</v>
      </c>
      <c r="G2044" s="4" t="s">
        <v>524</v>
      </c>
      <c r="H2044" s="3" t="s">
        <v>9156</v>
      </c>
      <c r="I2044" s="3" t="s">
        <v>9157</v>
      </c>
      <c r="J2044" s="4">
        <v>17.0</v>
      </c>
      <c r="K2044" s="4">
        <v>24.0</v>
      </c>
      <c r="L2044" s="3" t="s">
        <v>2821</v>
      </c>
      <c r="M2044" s="3" t="s">
        <v>9166</v>
      </c>
      <c r="N2044" s="7" t="str">
        <f>IFERROR(__xludf.DUMMYFUNCTION("GOOGLETRANSLATE(L2044, ""en"", ""pt"")"),"Auxiliar de Recreação")</f>
        <v>Auxiliar de Recreação</v>
      </c>
      <c r="O2044" s="7" t="str">
        <f>IFERROR(__xludf.DUMMYFUNCTION("IF(M2044="""","""",GOOGLETRANSLATE(M2044,""en"",""pt""))"),"O funcionário poderá ser solicitado a desempenhar qualquer uma das seguintes funções: monitorar as atividades no campo de golfe, complexo de tênis, complexo aquático, spa e academia; prestar assistência administrativa aos sócios, incluindo a verificação d"&amp;"e cartões de sócio, confirmação de reservas, organização de mercadorias e fornecimento de informações sobre as instalações; realizar a limpeza básica de carrinhos e tacos de golfe e transportar os equipamentos de golfe e automóveis dos sócios de e para as"&amp;" instalações do clube. As tarefas relacionadas ao transporte de automóveis dos sócios de e para as instalações do clube exigem uma combinação de hospitalidade, segurança e organização rigorosa. Essa função geralmente representa o primeiro e o último ponto"&amp;" de contato com o sócio, o que envolve cumprimentá-lo na calçada; abrir a porta do motorista imediatamente após a chegada; realizar uma rápida e discreta inspeção visual para verificar se há danos pré-existentes; e levar o automóvel até a entrada das inst"&amp;"alações do clube, mediante solicitação do sócio. *Continuação na Seção F.a.5 abaixo: 40 horas semanais. Os turnos serão de 8 horas, podendo variar conforme a necessidade, de acordo com o anúncio de vaga da Agência Estadual de Força de Trabalho e outras fo"&amp;"ntes de anúncios de vagas H-2B, conforme os requisitos de recrutamento dos empregadores para candidatos ao programa H-2B. Turnos variáveis ​​ao longo de 7 dias da semana. Os turnos podem variar das 6h às 23h. Classificação da vaga: 39-3091.00 - Atendentes"&amp;" de Parques de Diversões e Recreação. A classificação e descrição da vaga/setor incluem informações gerais sobre o cargo, conforme o ONET/OES e o Sistema de Classificação Industrial da América do Norte (NAICS). Consulte as Funções e a Ordem de Serviço par"&amp;"a obter mais informações. Requisitos da vaga: Experiência exigida: Não. Requisitos especiais: O EMPREGADOR EXIGE A VERIFICAÇÃO DE ANTECEDENTES CRIMINAIS PRÉ-ADMISSÃO E O TESTE DE DROGAS PÓS-ADMISSÃO, IGUALMENTE PARA TRABALHADORES AMERICANOS E TRABALHADORE"&amp;"S COM VISTO H-2B. HABILIDADE DE SE COMUNICAR EM INGLÊS. Número de horas por semana: 40 Horário de trabalho (início/término): 6h00 - 23h00")</f>
        <v>O funcionário poderá ser solicitado a desempenhar qualquer uma das seguintes funções: monitorar as atividades no campo de golfe, complexo de tênis, complexo aquático, spa e academia; prestar assistência administrativa aos sócios, incluindo a verificação de cartões de sócio, confirmação de reservas, organização de mercadorias e fornecimento de informações sobre as instalações; realizar a limpeza básica de carrinhos e tacos de golfe e transportar os equipamentos de golfe e automóveis dos sócios de e para as instalações do clube. As tarefas relacionadas ao transporte de automóveis dos sócios de e para as instalações do clube exigem uma combinação de hospitalidade, segurança e organização rigorosa. Essa função geralmente representa o primeiro e o último ponto de contato com o sócio, o que envolve cumprimentá-lo na calçada; abrir a porta do motorista imediatamente após a chegada; realizar uma rápida e discreta inspeção visual para verificar se há danos pré-existentes; e levar o automóvel até a entrada das instalações do clube, mediante solicitação do sócio. *Continuação na Seção F.a.5 abaixo: 40 horas semanais. Os turnos serão de 8 horas, podendo variar conforme a necessidade, de acordo com o anúncio de vaga da Agência Estadual de Força de Trabalho e outras fontes de anúncios de vagas H-2B, conforme os requisitos de recrutamento dos empregadores para candidatos ao programa H-2B. Turnos variáveis ​​ao longo de 7 dias da semana. Os turnos podem variar das 6h às 23h. Classificação da vaga: 39-3091.00 - Atendentes de Parques de Diversões e Recreação. A classificação e descrição da vaga/setor incluem informações gerais sobre o cargo, conforme o ONET/OES e o Sistema de Classificação Industrial da América do Norte (NAICS). Consulte as Funções e a Ordem de Serviço para obter mais informações. Requisitos da vaga: Experiência exigida: Não. Requisitos especiais: O EMPREGADOR EXIGE A VERIFICAÇÃO DE ANTECEDENTES CRIMINAIS PRÉ-ADMISSÃO E O TESTE DE DROGAS PÓS-ADMISSÃO, IGUALMENTE PARA TRABALHADORES AMERICANOS E TRABALHADORES COM VISTO H-2B. HABILIDADE DE SE COMUNICAR EM INGLÊS. Número de horas por semana: 40 Horário de trabalho (início/término): 6h00 - 23h00</v>
      </c>
    </row>
    <row r="2045" ht="20.25" customHeight="1">
      <c r="A2045" s="8" t="s">
        <v>9167</v>
      </c>
      <c r="B2045" s="8" t="s">
        <v>9155</v>
      </c>
      <c r="C2045" s="8" t="s">
        <v>8981</v>
      </c>
      <c r="D2045" s="8" t="s">
        <v>71</v>
      </c>
      <c r="E2045" s="9" t="s">
        <v>44</v>
      </c>
      <c r="F2045" s="9" t="s">
        <v>20</v>
      </c>
      <c r="G2045" s="9" t="s">
        <v>524</v>
      </c>
      <c r="H2045" s="8" t="s">
        <v>9156</v>
      </c>
      <c r="I2045" s="8" t="s">
        <v>9157</v>
      </c>
      <c r="J2045" s="9">
        <v>19.0</v>
      </c>
      <c r="K2045" s="9">
        <v>39.0</v>
      </c>
      <c r="L2045" s="8" t="s">
        <v>586</v>
      </c>
      <c r="M2045" s="8" t="s">
        <v>9168</v>
      </c>
      <c r="N2045" s="7" t="str">
        <f>IFERROR(__xludf.DUMMYFUNCTION("GOOGLETRANSLATE(L2045, ""en"", ""pt"")"),"Cozinheiro de linha")</f>
        <v>Cozinheiro de linha</v>
      </c>
      <c r="O2045" s="7" t="str">
        <f>IFERROR(__xludf.DUMMYFUNCTION("IF(M2045="""","""",GOOGLETRANSLATE(M2045,""en"",""pt""))"),"Prepara, tempera e cozinha sopas, carnes, legumes, frutas, sobremesas e outros alimentos diversos para consumo; observa as diretrizes da receita e os procedimentos de higiene. *Continuação da Seção F.a.5 abaixo: 40 horas semanais. Os turnos serão de 8 hor"&amp;"as e podem variar conforme a necessidade, de acordo com o anúncio da vaga na Agência Estadual de Força de Trabalho e em outras fontes de anúncios de vagas H-2B, conforme os requisitos de recrutamento dos empregadores para trabalhadores em potencial no âmb"&amp;"ito do programa H-2B. Turnos variáveis ​​ao longo de 7 dias da semana. Os turnos podem variar: das 6h às 23h. Classificação da vaga: 35-2014.00 - Cozinheiros, Restaurante. A classificação e a descrição da vaga/setor incluem informações gerais sobre o carg"&amp;"o, provenientes do ONET/OES e do Sistema de Classificação Industrial da América do Norte. Consulte as Funções e a Ordem de Serviço para obter mais informações. Requisitos da vaga Experiência necessária: Não Requisitos especiais: O EMPREGADOR EXIGE QUE A V"&amp;"ERIFICAÇÃO DE ANTECEDENTES CRIMINAIS PRÉ-ADMISSÃO E O TESTE DE DROGAS PÓS-ADMISSÃO SEJAM REALIZADOS IGUALMENTE PARA TRABALHADORES AMERICANOS E TRABALHADORES COM VISTO H-2B. HABILIDADE DE SE COMUNICAR EM INGLÊS. Número de horas por semana: 40 Horário de tr"&amp;"abalho (início/término): 6h às 23h")</f>
        <v>Prepara, tempera e cozinha sopas, carnes, legumes, frutas, sobremesas e outros alimentos diversos para consumo; observa as diretrizes da receita e os procedimentos de higiene. *Continuação da Seção F.a.5 abaixo: 40 horas semanais. Os turnos serão de 8 horas e podem variar conforme a necessidade, de acordo com o anúncio da vaga na Agência Estadual de Força de Trabalho e em outras fontes de anúncios de vagas H-2B, conforme os requisitos de recrutamento dos empregadores para trabalhadores em potencial no âmbito do programa H-2B. Turnos variáveis ​​ao longo de 7 dias da semana. Os turnos podem variar: das 6h às 23h. Classificação da vaga: 35-2014.00 - Cozinheiros, Restaurante. A classificação e a descrição da vaga/setor incluem informações gerais sobre o cargo, provenientes do ONET/OES e do Sistema de Classificação Industrial da América do Norte. Consulte as Funções e a Ordem de Serviço para obter mais informações. Requisitos da vaga Experiência necessária: Não Requisitos especiais: O EMPREGADOR EXIGE QUE A VERIFICAÇÃO DE ANTECEDENTES CRIMINAIS PRÉ-ADMISSÃO E O TESTE DE DROGAS PÓS-ADMISSÃO SEJAM REALIZADOS IGUALMENTE PARA TRABALHADORES AMERICANOS E TRABALHADORES COM VISTO H-2B. HABILIDADE DE SE COMUNICAR EM INGLÊS. Número de horas por semana: 40 Horário de trabalho (início/término): 6h às 23h</v>
      </c>
    </row>
    <row r="2046" ht="20.25" customHeight="1">
      <c r="A2046" s="3" t="s">
        <v>9169</v>
      </c>
      <c r="B2046" s="3" t="s">
        <v>9155</v>
      </c>
      <c r="C2046" s="3" t="s">
        <v>8981</v>
      </c>
      <c r="D2046" s="3" t="s">
        <v>71</v>
      </c>
      <c r="E2046" s="4" t="s">
        <v>44</v>
      </c>
      <c r="F2046" s="4" t="s">
        <v>20</v>
      </c>
      <c r="G2046" s="4" t="s">
        <v>524</v>
      </c>
      <c r="H2046" s="3" t="s">
        <v>9156</v>
      </c>
      <c r="I2046" s="3" t="s">
        <v>9157</v>
      </c>
      <c r="J2046" s="4">
        <v>19.0</v>
      </c>
      <c r="K2046" s="4">
        <v>10.0</v>
      </c>
      <c r="L2046" s="3" t="s">
        <v>9170</v>
      </c>
      <c r="M2046" s="3" t="s">
        <v>9171</v>
      </c>
      <c r="N2046" s="7" t="str">
        <f>IFERROR(__xludf.DUMMYFUNCTION("GOOGLETRANSLATE(L2046, ""en"", ""pt"")"),"Assistente de Montagem de Banquetes")</f>
        <v>Assistente de Montagem de Banquetes</v>
      </c>
      <c r="O2046" s="7" t="str">
        <f>IFERROR(__xludf.DUMMYFUNCTION("IF(M2046="""","""",GOOGLETRANSLATE(M2046,""en"",""pt""))"),"Montar e desmontar todos os eventos, funções e banquetes de acordo com as especificações do evento; arrumar as mesas; repor o estoque de roupas de mesa limpas, talheres, copos e pratos; abastecer o bar de serviço; montar pistas de dança e palcos. *Continu"&amp;"ação da Seção F.a.5 abaixo: 40 horas semanais. Os turnos serão de 8 horas e podem variar conforme a necessidade, de acordo com o anúncio da vaga na Agência Estadual de Força de Trabalho e em outras fontes de anúncios de vagas H-2B, conforme os requisitos "&amp;"de recrutamento dos empregadores para trabalhadores em potencial no âmbito do programa H-2B. Turnos variáveis ​​ao longo de 7 dias da semana. Os turnos podem variar: das 6h às 23h. Classificação da vaga: 53-7062.00 - Operários e Movimentadores de Carga, E"&amp;"stoque e Materiais. A classificação e descrição da vaga/setor incluem informações gerais sobre o cargo, provenientes do ONET/OES e do Sistema de Classificação Industrial da América do Norte. Consulte as Funções e a Ordem de Serviço para obter mais informa"&amp;"ções. Requisitos da vaga Experiência necessária: Não Requisitos especiais: O EMPREGADOR EXIGE QUE A VERIFICAÇÃO DE ANTECEDENTES CRIMINAIS PRÉ-ADMISSÃO E O TESTE DE DROGAS PÓS-ADMISSÃO SEJAM REALIZADOS IGUALMENTE PARA TRABALHADORES AMERICANOS E TRABALHADOR"&amp;"ES COM VISTO H-2B. HABILIDADE DE SE COMUNICAR EM INGLÊS. Número de horas por semana: 40 Horário de trabalho (início/término): 6h às 23h")</f>
        <v>Montar e desmontar todos os eventos, funções e banquetes de acordo com as especificações do evento; arrumar as mesas; repor o estoque de roupas de mesa limpas, talheres, copos e pratos; abastecer o bar de serviço; montar pistas de dança e palcos. *Continuação da Seção F.a.5 abaixo: 40 horas semanais. Os turnos serão de 8 horas e podem variar conforme a necessidade, de acordo com o anúncio da vaga na Agência Estadual de Força de Trabalho e em outras fontes de anúncios de vagas H-2B, conforme os requisitos de recrutamento dos empregadores para trabalhadores em potencial no âmbito do programa H-2B. Turnos variáveis ​​ao longo de 7 dias da semana. Os turnos podem variar: das 6h às 23h. Classificação da vaga: 53-7062.00 - Operários e Movimentadores de Carga, Estoque e Materiais. A classificação e descrição da vaga/setor incluem informações gerais sobre o cargo, provenientes do ONET/OES e do Sistema de Classificação Industrial da América do Norte. Consulte as Funções e a Ordem de Serviço para obter mais informações. Requisitos da vaga Experiência necessária: Não Requisitos especiais: O EMPREGADOR EXIGE QUE A VERIFICAÇÃO DE ANTECEDENTES CRIMINAIS PRÉ-ADMISSÃO E O TESTE DE DROGAS PÓS-ADMISSÃO SEJAM REALIZADOS IGUALMENTE PARA TRABALHADORES AMERICANOS E TRABALHADORES COM VISTO H-2B. HABILIDADE DE SE COMUNICAR EM INGLÊS. Número de horas por semana: 40 Horário de trabalho (início/término): 6h às 23h</v>
      </c>
    </row>
    <row r="2047" ht="20.25" customHeight="1">
      <c r="A2047" s="8" t="s">
        <v>9172</v>
      </c>
      <c r="B2047" s="8" t="s">
        <v>9155</v>
      </c>
      <c r="C2047" s="8" t="s">
        <v>8981</v>
      </c>
      <c r="D2047" s="8" t="s">
        <v>71</v>
      </c>
      <c r="E2047" s="9" t="s">
        <v>44</v>
      </c>
      <c r="F2047" s="9" t="s">
        <v>20</v>
      </c>
      <c r="G2047" s="9" t="s">
        <v>524</v>
      </c>
      <c r="H2047" s="8" t="s">
        <v>9156</v>
      </c>
      <c r="I2047" s="8" t="s">
        <v>9157</v>
      </c>
      <c r="J2047" s="9">
        <v>16.0</v>
      </c>
      <c r="K2047" s="9">
        <v>4.0</v>
      </c>
      <c r="L2047" s="8" t="s">
        <v>527</v>
      </c>
      <c r="M2047" s="8" t="s">
        <v>9173</v>
      </c>
      <c r="N2047" s="7" t="str">
        <f>IFERROR(__xludf.DUMMYFUNCTION("GOOGLETRANSLATE(L2047, ""en"", ""pt"")"),"máquina de lavar louça")</f>
        <v>máquina de lavar louça</v>
      </c>
      <c r="O2047" s="7" t="str">
        <f>IFERROR(__xludf.DUMMYFUNCTION("IF(M2047="""","""",GOOGLETRANSLATE(M2047,""en"",""pt""))"),"Lavar pratos, copos, talheres, panelas, frigideiras e outros utensílios à mão ou na máquina de lavar louça. Manter as áreas de trabalho e os equipamentos da cozinha organizados. Retirar o lixo, passar pano, limpar, carregar e descarregar suprimentos. *Con"&amp;"tinuação da Seção F.a.5 abaixo: 40 horas semanais. Os turnos serão de 8 horas e podem variar conforme a necessidade, de acordo com o anúncio da vaga na Agência Estadual de Força de Trabalho e em outras fontes de anúncios de vagas H-2B, conforme os requisi"&amp;"tos de recrutamento dos empregadores para trabalhadores em potencial no âmbito do programa H-2B. Turnos variáveis ​​ao longo de 7 dias da semana. Os turnos podem variar: das 6h às 23h. Classificação da vaga: 35-9021.00 - Lavadores de Louça. A classificaçã"&amp;"o e a descrição da vaga/setor incluem informações gerais sobre o cargo, conforme o ONET/OES e o Sistema de Classificação Industrial da América do Norte. Consulte as Funções e a Ordem de Serviço para obter mais informações. Requisitos da vaga Experiência n"&amp;"ecessária: Não Requisitos especiais: O EMPREGADOR EXIGE QUE A VERIFICAÇÃO DE ANTECEDENTES CRIMINAIS PRÉ-ADMISSÃO E O TESTE DE DROGAS PÓS-ADMISSÃO SEJAM REALIZADOS IGUALMENTE PARA TRABALHADORES AMERICANOS E TRABALHADORES COM VISTO H-2B. HABILIDADE DE SE CO"&amp;"MUNICAR EM INGLÊS. Número de horas por semana: 40 Horário de trabalho (início/término): 6h às 23h")</f>
        <v>Lavar pratos, copos, talheres, panelas, frigideiras e outros utensílios à mão ou na máquina de lavar louça. Manter as áreas de trabalho e os equipamentos da cozinha organizados. Retirar o lixo, passar pano, limpar, carregar e descarregar suprimentos. *Continuação da Seção F.a.5 abaixo: 40 horas semanais. Os turnos serão de 8 horas e podem variar conforme a necessidade, de acordo com o anúncio da vaga na Agência Estadual de Força de Trabalho e em outras fontes de anúncios de vagas H-2B, conforme os requisitos de recrutamento dos empregadores para trabalhadores em potencial no âmbito do programa H-2B. Turnos variáveis ​​ao longo de 7 dias da semana. Os turnos podem variar: das 6h às 23h. Classificação da vaga: 35-9021.00 - Lavadores de Louça. A classificação e a descrição da vaga/setor incluem informações gerais sobre o cargo, conforme o ONET/OES e o Sistema de Classificação Industrial da América do Norte. Consulte as Funções e a Ordem de Serviço para obter mais informações. Requisitos da vaga Experiência necessária: Não Requisitos especiais: O EMPREGADOR EXIGE QUE A VERIFICAÇÃO DE ANTECEDENTES CRIMINAIS PRÉ-ADMISSÃO E O TESTE DE DROGAS PÓS-ADMISSÃO SEJAM REALIZADOS IGUALMENTE PARA TRABALHADORES AMERICANOS E TRABALHADORES COM VISTO H-2B. HABILIDADE DE SE COMUNICAR EM INGLÊS. Número de horas por semana: 40 Horário de trabalho (início/término): 6h às 23h</v>
      </c>
    </row>
    <row r="2048" ht="20.25" customHeight="1">
      <c r="A2048" s="3" t="s">
        <v>9174</v>
      </c>
      <c r="B2048" s="3" t="s">
        <v>9155</v>
      </c>
      <c r="C2048" s="3" t="s">
        <v>8981</v>
      </c>
      <c r="D2048" s="3" t="s">
        <v>71</v>
      </c>
      <c r="E2048" s="4" t="s">
        <v>44</v>
      </c>
      <c r="F2048" s="4" t="s">
        <v>20</v>
      </c>
      <c r="G2048" s="4" t="s">
        <v>524</v>
      </c>
      <c r="H2048" s="3" t="s">
        <v>9156</v>
      </c>
      <c r="I2048" s="3" t="s">
        <v>9157</v>
      </c>
      <c r="J2048" s="4">
        <v>23.0</v>
      </c>
      <c r="K2048" s="4">
        <v>11.0</v>
      </c>
      <c r="L2048" s="3" t="s">
        <v>4654</v>
      </c>
      <c r="M2048" s="3" t="s">
        <v>9175</v>
      </c>
      <c r="N2048" s="7" t="str">
        <f>IFERROR(__xludf.DUMMYFUNCTION("GOOGLETRANSLATE(L2048, ""en"", ""pt"")"),"Capitão do servidor")</f>
        <v>Capitão do servidor</v>
      </c>
      <c r="O2048" s="7" t="str">
        <f>IFERROR(__xludf.DUMMYFUNCTION("IF(M2048="""","""",GOOGLETRANSLATE(M2048,""en"",""pt""))"),"Supervisionar a equipe de atendimento durante a preparação, o serviço e a limpeza; treinar novos garçons no salão; construir e manter um bom relacionamento com os membros do clube; assumir funções de garçom quando necessário, principalmente no atendimento"&amp;" a convidados de honra e VIPs; ser um exemplo a ser seguido e garantir o mais alto nível de serviço prestado pela equipe de atendimento do clube. *Continuação da Seção F.a.5 abaixo: 40 horas semanais. Os turnos serão de 8 horas e podem variar conforme a n"&amp;"ecessidade, de acordo com o anúncio da vaga na Agência Estadual de Força de Trabalho e em outras fontes de anúncios de vagas H-2B, conforme os requisitos de recrutamento dos empregadores para trabalhadores em potencial no âmbito do programa H-2B. Turnos v"&amp;"ariáveis ​​ao longo de 7 dias da semana. Os turnos podem variar das 6h às 23h. Classificação do Cargo: 35-1012.00 - Supervisores de Primeira Linha de Preparadores e Servidores de Alimentos. A classificação e a descrição do cargo/setor incluem informações "&amp;"gerais sobre a posição, de acordo com o ONET/OES e o Sistema de Classificação Industrial da América do Norte. Consulte as Funções e a Ordem de Serviço para obter mais informações. Requisitos da vaga Experiência necessária: Sim Meses de experiência necessá"&amp;"rios: 6 Requisitos especiais: O EMPREGADOR EXIGE QUE A VERIFICAÇÃO DE ANTECEDENTES CRIMINAIS PRÉ-ADMISSÃO E O TESTE DE DROGAS PÓS-ADMISSÃO SEJAM REALIZADOS IGUALMENTE PARA TRABALHADORES AMERICANOS E TRABALHADORES COM VISTO H-2B. HABILIDADE DE SE COMUNICAR"&amp;" EM INGLÊS. OS 6 MESES DE EXPERIÊNCIA EXIGIDOS NO ITEM F.A.9 REFEREM-SE A 6 MESES DE EXPERIÊNCIA COMO GARÇOM OU GARÇOM SÊNIOR EM UM ESTABELECIMENTO DE HOSPITALIDADE. Número de horas por semana: 40 Horário de trabalho (início/término): 6h às 23h")</f>
        <v>Supervisionar a equipe de atendimento durante a preparação, o serviço e a limpeza; treinar novos garçons no salão; construir e manter um bom relacionamento com os membros do clube; assumir funções de garçom quando necessário, principalmente no atendimento a convidados de honra e VIPs; ser um exemplo a ser seguido e garantir o mais alto nível de serviço prestado pela equipe de atendimento do clube. *Continuação da Seção F.a.5 abaixo: 40 horas semanais. Os turnos serão de 8 horas e podem variar conforme a necessidade, de acordo com o anúncio da vaga na Agência Estadual de Força de Trabalho e em outras fontes de anúncios de vagas H-2B, conforme os requisitos de recrutamento dos empregadores para trabalhadores em potencial no âmbito do programa H-2B. Turnos variáveis ​​ao longo de 7 dias da semana. Os turnos podem variar das 6h às 23h. Classificação do Cargo: 35-1012.00 - Supervisores de Primeira Linha de Preparadores e Servidores de Alimentos. A classificação e a descrição do cargo/setor incluem informações gerais sobre a posição, de acordo com o ONET/OES e o Sistema de Classificação Industrial da América do Norte. Consulte as Funções e a Ordem de Serviço para obter mais informações. Requisitos da vaga Experiência necessária: Sim Meses de experiência necessários: 6 Requisitos especiais: O EMPREGADOR EXIGE QUE A VERIFICAÇÃO DE ANTECEDENTES CRIMINAIS PRÉ-ADMISSÃO E O TESTE DE DROGAS PÓS-ADMISSÃO SEJAM REALIZADOS IGUALMENTE PARA TRABALHADORES AMERICANOS E TRABALHADORES COM VISTO H-2B. HABILIDADE DE SE COMUNICAR EM INGLÊS. OS 6 MESES DE EXPERIÊNCIA EXIGIDOS NO ITEM F.A.9 REFEREM-SE A 6 MESES DE EXPERIÊNCIA COMO GARÇOM OU GARÇOM SÊNIOR EM UM ESTABELECIMENTO DE HOSPITALIDADE. Número de horas por semana: 40 Horário de trabalho (início/término): 6h às 23h</v>
      </c>
    </row>
    <row r="2049" ht="20.25" customHeight="1">
      <c r="A2049" s="8" t="s">
        <v>9176</v>
      </c>
      <c r="B2049" s="8" t="s">
        <v>8959</v>
      </c>
      <c r="C2049" s="8" t="s">
        <v>8960</v>
      </c>
      <c r="D2049" s="8" t="s">
        <v>133</v>
      </c>
      <c r="E2049" s="9" t="s">
        <v>44</v>
      </c>
      <c r="F2049" s="9" t="s">
        <v>20</v>
      </c>
      <c r="G2049" s="9" t="s">
        <v>155</v>
      </c>
      <c r="H2049" s="8" t="s">
        <v>8961</v>
      </c>
      <c r="I2049" s="8"/>
      <c r="J2049" s="9">
        <v>21.09</v>
      </c>
      <c r="K2049" s="9">
        <v>19.0</v>
      </c>
      <c r="L2049" s="8" t="s">
        <v>2678</v>
      </c>
      <c r="M2049" s="8" t="s">
        <v>9177</v>
      </c>
      <c r="N2049" s="7" t="str">
        <f>IFERROR(__xludf.DUMMYFUNCTION("GOOGLETRANSLATE(L2049, ""en"", ""pt"")"),"Auxiliar de Armazém")</f>
        <v>Auxiliar de Armazém</v>
      </c>
      <c r="O2049" s="7" t="str">
        <f>IFERROR(__xludf.DUMMYFUNCTION("IF(M2049="""","""",GOOGLETRANSLATE(M2049,""en"",""pt""))"),"A Uline Inc. busca preencher 19 vagas de Auxiliar de Armazém em tempo integral em Kenosha, Wisconsin. Esta vaga é para um período temporário, devido a um pico de demanda, de 1º de outubro de 2026 a 31 de março de 2027. Responsabilidades: Executar diversas"&amp;" tarefas gerais de armazém, auxiliando na gestão de estoque e nas atividades de distribuição. Movimentar, separar, armazenar e preparar materiais/produtos para envio. Seguir os procedimentos estabelecidos para utilizar o sistema de gestão de armazém (WMS)"&amp;" a fim de concluir transações de estoque e manter registros precisos. Ler ordens de serviço para determinar as tarefas necessárias, montar remessas de acordo com as instruções fornecidas e auxiliar nas necessidades operacionais diárias. Executar outras ta"&amp;"refas rotineiras de armazém, não relacionadas à supervisão, conforme designado. Requisitos: Ensino médio completo ou equivalente. Certificação para operar um ou mais dos seguintes equipamentos: selecionador de pedidos Crown, transpaleteira elétrica de qua"&amp;"tro rodas, empilhadeira de assento, empilhadeira RC (comprovada por certificado ou experiência equivalente). Conhecimento do sistema WMS. Capacidade de levantar, empurrar e deslizar pacotes com peso de até 23 kg. É necessário obter aprovação nas avaliaçõe"&amp;"s de rotina pré-emprego da Uline. Verificação de antecedentes e exame toxicológico serão exigidos após a oferta de emprego e antes da contratação. Termos e Condições de emprego: US$ 21,09/hora, mínimo de 40 horas semanais. Segunda a sexta-feira, das 10h30"&amp;" às 19h. Horas extras disponíveis conforme a necessidade. O valor da hora extra é de, no mínimo, US$ 31,64/hora. Alojamento não fornecido. Transporte: Do local de origem do trabalhador, seja nos EUA ou no exterior, até o local de trabalho, caso o trabalha"&amp;"dor complete 50% do período do contrato de trabalho, o empregador reembolsará o trabalhador pelas despesas de transporte e alimentação do local de recrutamento até o local de trabalho. Ao término do contrato de trabalho ou em caso de demissão antecipada, "&amp;"o empregador fornecerá ou pagará os custos razoáveis ​​de transporte e subsistência do trabalhador para seu retorno ao domicílio ou ao local de onde partiu para trabalhar, exceto nos casos em que o trabalhador não retornar devido a um novo emprego com out"&amp;"ro empregador. O valor do pagamento ou reembolso do transporte será equivalente ao da transportadora mais econômica e razoável para as distâncias envolvidas. Será fornecida uma diária de subsistência no valor mínimo de US$ 16,78/dia durante o deslocamento"&amp;", até um máximo de US$ 68,00/dia, mediante apresentação de recibos. Três quartos: O empregador garante oferecer trabalho por um número de horas equivalente a pelo menos três quartos dos dias úteis em cada período de 12 semanas do período total de emprego."&amp;" Ferramentas, equipamentos e suprimentos: O empregador fornecerá aos trabalhadores, sem custos, todas as ferramentas, suprimentos e equipamentos necessários para a execução do trabalho. Os trabalhadores receberão treinamento no local de trabalho para o de"&amp;"sempenho das funções atribuídas. Diversos: O empregador utilizará uma única semana de trabalho como padrão para o cálculo dos salários devidos. O salário será pago quinzenalmente. O empregador fará todos os descontos na folha de pagamento do trabalhador e"&amp;"xigidos por lei e não fará nenhum desconto que não seja exigido por lei. O empregador reembolsará o trabalhador com visto H2B na primeira semana de trabalho por todas as taxas de visto, processamento de visto, travessia de fronteira e outras taxas relacio"&amp;"nadas, incluindo aquelas exigidas pelo governo, incorridas pelo trabalhador com visto H2B. Classificação do Cargo: 43-5071.00 - Auxiliar de Expedição, Recebimento e Estoque. A classificação e descrição do cargo/setor incluem informações gerais sobre a pos"&amp;"ição, de acordo com o ONET/OES e o Sistema de Classificação Industrial da América do Norte (NAICS). Consulte as Funções e a Ordem de Serviço para obter mais informações. Requisitos do Cargo Experiência Necessária: Não. Requisitos Especiais: Certificação p"&amp;"ara operar um ou mais dos seguintes equipamentos: selecionador de pedidos Crown, transpaleteira elétrica de quatro rodas, empilhadeira de assento, empilhadeira RC (comprovada por certificado ou experiência equivalente) é obrigatória. É necessário conhecim"&amp;"ento de sistema WMS. É necessário ter capacidade para levantar, empurrar e deslizar pacotes com peso de até 23 kg. É necessário obter aprovação nas avaliações de rotina de pré-admissão da Uline. Verificação de antecedentes e exame toxicológico serão exigi"&amp;"dos após a oferta de emprego e antes da contratação. Número de horas por semana: 40. Horário de trabalho (início/término): 10h30 às 19h.")</f>
        <v>A Uline Inc. busca preencher 19 vagas de Auxiliar de Armazém em tempo integral em Kenosha, Wisconsin. Esta vaga é para um período temporário, devido a um pico de demanda, de 1º de outubro de 2026 a 31 de março de 2027. Responsabilidades: Executar diversas tarefas gerais de armazém, auxiliando na gestão de estoque e nas atividades de distribuição. Movimentar, separar, armazenar e preparar materiais/produtos para envio. Seguir os procedimentos estabelecidos para utilizar o sistema de gestão de armazém (WMS) a fim de concluir transações de estoque e manter registros precisos. Ler ordens de serviço para determinar as tarefas necessárias, montar remessas de acordo com as instruções fornecidas e auxiliar nas necessidades operacionais diárias. Executar outras tarefas rotineiras de armazém, não relacionadas à supervisão, conforme designado. Requisitos: Ensino médio completo ou equivalente. Certificação para operar um ou mais dos seguintes equipamentos: selecionador de pedidos Crown, transpaleteira elétrica de quatro rodas, empilhadeira de assento, empilhadeira RC (comprovada por certificado ou experiência equivalente). Conhecimento do sistema WMS. Capacidade de levantar, empurrar e deslizar pacotes com peso de até 23 kg. É necessário obter aprovação nas avaliações de rotina pré-emprego da Uline. Verificação de antecedentes e exame toxicológico serão exigidos após a oferta de emprego e antes da contratação. Termos e Condições de emprego: US$ 21,09/hora, mínimo de 40 horas semanais. Segunda a sexta-feira, das 10h30 às 19h. Horas extras disponíveis conforme a necessidade. O valor da hora extra é de, no mínimo, US$ 31,64/hora. Alojamento não fornecido. Transporte: Do local de origem do trabalhador, seja nos EUA ou no exterior, até o local de trabalho, caso o trabalhador complete 50% do período do contrato de trabalho, o empregador reembolsará o trabalhador pelas despesas de transporte e alimentação do local de recrutamento até o local de trabalho. Ao término do contrato de trabalho ou em caso de demissão antecipada, o empregador fornecerá ou pagará os custos razoáveis ​​de transporte e subsistência do trabalhador para seu retorno ao domicílio ou ao local de onde partiu para trabalhar, exceto nos casos em que o trabalhador não retornar devido a um novo emprego com outro empregador. O valor do pagamento ou reembolso do transporte será equivalente ao da transportadora mais econômica e razoável para as distâncias envolvidas. Será fornecida uma diária de subsistência no valor mínimo de US$ 16,78/dia durante o deslocamento, até um máximo de US$ 68,00/dia, mediante apresentação de recibos. Três quartos: O empregador garante oferecer trabalho por um número de horas equivalente a pelo menos três quartos dos dias úteis em cada período de 12 semanas do período total de emprego. Ferramentas, equipamentos e suprimentos: O empregador fornecerá aos trabalhadores, sem custos, todas as ferramentas, suprimentos e equipamentos necessários para a execução do trabalho. Os trabalhadores receberão treinamento no local de trabalho para o desempenho das funções atribuídas. Diversos: O empregador utilizará uma única semana de trabalho como padrão para o cálculo dos salários devidos. O salário será pago quinzenalmente. O empregador fará todos os descontos na folha de pagamento do trabalhador exigidos por lei e não fará nenhum desconto que não seja exigido por lei. O empregador reembolsará o trabalhador com visto H2B na primeira semana de trabalho por todas as taxas de visto, processamento de visto, travessia de fronteira e outras taxas relacionadas, incluindo aquelas exigidas pelo governo, incorridas pelo trabalhador com visto H2B. Classificação do Cargo: 43-5071.00 - Auxiliar de Expedição, Recebimento e Estoque. A classificação e descrição do cargo/setor incluem informações gerais sobre a posição, de acordo com o ONET/OES e o Sistema de Classificação Industrial da América do Norte (NAICS). Consulte as Funções e a Ordem de Serviço para obter mais informações. Requisitos do Cargo Experiência Necessária: Não. Requisitos Especiais: Certificação para operar um ou mais dos seguintes equipamentos: selecionador de pedidos Crown, transpaleteira elétrica de quatro rodas, empilhadeira de assento, empilhadeira RC (comprovada por certificado ou experiência equivalente) é obrigatória. É necessário conhecimento de sistema WMS. É necessário ter capacidade para levantar, empurrar e deslizar pacotes com peso de até 23 kg. É necessário obter aprovação nas avaliações de rotina de pré-admissão da Uline. Verificação de antecedentes e exame toxicológico serão exigidos após a oferta de emprego e antes da contratação. Número de horas por semana: 40. Horário de trabalho (início/término): 10h30 às 19h.</v>
      </c>
    </row>
    <row r="2050" ht="20.25" customHeight="1">
      <c r="A2050" s="3" t="s">
        <v>9178</v>
      </c>
      <c r="B2050" s="3" t="s">
        <v>9179</v>
      </c>
      <c r="C2050" s="3" t="s">
        <v>9180</v>
      </c>
      <c r="D2050" s="3" t="s">
        <v>532</v>
      </c>
      <c r="E2050" s="4" t="s">
        <v>19</v>
      </c>
      <c r="F2050" s="4" t="s">
        <v>20</v>
      </c>
      <c r="G2050" s="4" t="s">
        <v>212</v>
      </c>
      <c r="H2050" s="3" t="s">
        <v>9181</v>
      </c>
      <c r="I2050" s="3" t="s">
        <v>9182</v>
      </c>
      <c r="J2050" s="4">
        <v>27.48</v>
      </c>
      <c r="K2050" s="4">
        <v>1.0</v>
      </c>
      <c r="L2050" s="3" t="s">
        <v>9183</v>
      </c>
      <c r="M2050" s="3" t="s">
        <v>9184</v>
      </c>
      <c r="N2050" s="7" t="str">
        <f>IFERROR(__xludf.DUMMYFUNCTION("GOOGLETRANSLATE(L2050, ""en"", ""pt"")"),"Assistente de Projetos de Manutenção")</f>
        <v>Assistente de Projetos de Manutenção</v>
      </c>
      <c r="O2050" s="7" t="str">
        <f>IFERROR(__xludf.DUMMYFUNCTION("IF(M2050="""","""",GOOGLETRANSLATE(M2050,""en"",""pt""))"),"O Assistente de Projetos de Manutenção é responsável pela construção de ""paredes de contenção"" móveis e personalizadas, que precisarão ser montadas e desmontadas de acordo com os eventos especiais. O trabalho ocasionalmente exigirá a construção de um pó"&amp;"dio de três níveis para o campeão. As instalações podem precisar que paredes temporárias já instaladas sejam movidas ou desmontadas temporariamente para acomodar maior capacidade ou atender às necessidades de visibilidade para eventos especiais. Eventos e"&amp;"speciais podem exigir modificações temporárias nas paredes/portas dos vestiários ou corredores para melhorar o fluxo de espectadores/competidores. O prédio antigo onde o centro de treinamento funciona é uma antiga oficina mecânica com pequenos problemas d"&amp;"e manutenção pontuais, necessitando de alguém com as habilidades necessárias para evitar custos exorbitantes e acomodar o uso excessivo durante os eventos. O funcionário deverá utilizar um cartão de crédito e veículo da empresa para comprar/retirar equipa"&amp;"mentos (materiais de estrutura, suprimentos para drywall/gesso acartonado, diversas ferramentas manuais) em lojas de materiais de construção, caso não sejam adquiridos antecipadamente pelo empregador. O funcionário precisa ter conhecimento em medição (est"&amp;"ruturação, conforme necessário), aplicação/uso de gesso e instalação de drywall (ou fixação de tatames de artes marciais em paredes de contenção/paredes de contenção). O funcionário poderá precisar cortar (com lâmina afiada) placas de drywall para ajustá-"&amp;"las ao espaço específico em que serão utilizadas. Ele poderá (de preferência) usar métodos manuais para aplicar gesso/massa corrida sobre a fita, a fim de melhorar a aparência da construção e da superfície finalizadas. O funcionário está autorizado a util"&amp;"izar EPIs (Equipamentos de Proteção Individual) conforme necessário para proteger sua pele, olhos, etc. O trabalhador realizará a montagem de ""componentes estruturais"", tais como, mas não se limitando a: paredes de meia-parede, paredes de fosso, assento"&amp;"s e pódios que exigem um suporte mínimo de 180 kg para que os campeões possam se posicionar. A reconstrução da entrada principal/balcão/porta/espaço do escritório será realizada para acomodar o crescimento dos negócios e o fluxo de clientes regularmente. "&amp;"A montagem básica de equipamentos pode incluir suportes para pesos, como um suporte para halteres ou máquina de cabos, ou mesmo uma simples prateleira para guardar os equipamentos dos clientes. O funcionário apoiará o Gerente da Área de Negócios e os prof"&amp;"issionais qualificados na execução de reformas sazonais da propriedade e na manutenção das instalações. A função concentra-se em fornecer assistência técnica durante projetos de manutenção, construção ou reparo, gerenciar a logística e os suprimentos no l"&amp;"ocal da obra e realizar tarefas preparatórias e de acabamento para reformas. Principais Responsabilidades: • Suporte a Projetos: Auxiliar na avaliação das necessidades sazonais dos locais dos projetos; fornecer suporte prático à equipe sênior durante insp"&amp;"eções e medições das instalações. • Logística de Suprimentos: Facilitar o processo de aquisição, transferindo ferramentas, peças e equipamentos para as estações de trabalho; monitorar o estoque de materiais de construção e notificar a gerência sobre nívei"&amp;"s baixos de estoque. • Preparação e Manutenção do Local: Preparar as áreas de trabalho para reforma, aplicando coberturas protetoras (fita adesiva/plástico); limpar e lubrificar ferramentas e máquinas para garantir o funcionamento adequado. • Execução Aux"&amp;"iliar: Fornecer assistência prática durante pequenas atualizações estéticas, incluindo o manuseio de materiais para instalação de azulejos, preparação de superfícies para reparos em drywall/gesso acartonado e pintura básica de interiores. • Auxílio Técnic"&amp;"o: Auxiliar trabalhadores qualificados na montagem de componentes estruturais e na conexão de acessórios básicos, utilizando ferramentas manuais e elétricas, sob supervisão direta. É necessário viajar e transportar equipamentos em veículos da empresa, da "&amp;"sede da empresa em 6008 Mission Gorge Rd Ste. A, San Diego, Califórnia, até as unidades de armazenamento no leste e norte do condado de San Diego. Aproximadamente de 5 a 10 vezes por projeto. Classificação da Função: 49-9071.00 - Trabalhadores de Manutenç"&amp;"ão e Reparo, Geral. A classificação e descrição da função/setor inclui informações gerais sobre o cargo, conforme o ONET/OES e o Sistema de Classificação Industrial da América do Norte (NAICS). Consulte as Funções e a Ordem de Serviço para obter mais info"&amp;"rmações. Requisitos da Função: Experiência Necessária: Sim. Meses de Experiência Necessária: 3. Número de Horas por Semana: 37. Horário de Trabalho (Início/Término): 9h00 - 16h30.")</f>
        <v>O Assistente de Projetos de Manutenção é responsável pela construção de "paredes de contenção" móveis e personalizadas, que precisarão ser montadas e desmontadas de acordo com os eventos especiais. O trabalho ocasionalmente exigirá a construção de um pódio de três níveis para o campeão. As instalações podem precisar que paredes temporárias já instaladas sejam movidas ou desmontadas temporariamente para acomodar maior capacidade ou atender às necessidades de visibilidade para eventos especiais. Eventos especiais podem exigir modificações temporárias nas paredes/portas dos vestiários ou corredores para melhorar o fluxo de espectadores/competidores. O prédio antigo onde o centro de treinamento funciona é uma antiga oficina mecânica com pequenos problemas de manutenção pontuais, necessitando de alguém com as habilidades necessárias para evitar custos exorbitantes e acomodar o uso excessivo durante os eventos. O funcionário deverá utilizar um cartão de crédito e veículo da empresa para comprar/retirar equipamentos (materiais de estrutura, suprimentos para drywall/gesso acartonado, diversas ferramentas manuais) em lojas de materiais de construção, caso não sejam adquiridos antecipadamente pelo empregador. O funcionário precisa ter conhecimento em medição (estruturação, conforme necessário), aplicação/uso de gesso e instalação de drywall (ou fixação de tatames de artes marciais em paredes de contenção/paredes de contenção). O funcionário poderá precisar cortar (com lâmina afiada) placas de drywall para ajustá-las ao espaço específico em que serão utilizadas. Ele poderá (de preferência) usar métodos manuais para aplicar gesso/massa corrida sobre a fita, a fim de melhorar a aparência da construção e da superfície finalizadas. O funcionário está autorizado a utilizar EPIs (Equipamentos de Proteção Individual) conforme necessário para proteger sua pele, olhos, etc. O trabalhador realizará a montagem de "componentes estruturais", tais como, mas não se limitando a: paredes de meia-parede, paredes de fosso, assentos e pódios que exigem um suporte mínimo de 180 kg para que os campeões possam se posicionar. A reconstrução da entrada principal/balcão/porta/espaço do escritório será realizada para acomodar o crescimento dos negócios e o fluxo de clientes regularmente. A montagem básica de equipamentos pode incluir suportes para pesos, como um suporte para halteres ou máquina de cabos, ou mesmo uma simples prateleira para guardar os equipamentos dos clientes. O funcionário apoiará o Gerente da Área de Negócios e os profissionais qualificados na execução de reformas sazonais da propriedade e na manutenção das instalações. A função concentra-se em fornecer assistência técnica durante projetos de manutenção, construção ou reparo, gerenciar a logística e os suprimentos no local da obra e realizar tarefas preparatórias e de acabamento para reformas. Principais Responsabilidades: • Suporte a Projetos: Auxiliar na avaliação das necessidades sazonais dos locais dos projetos; fornecer suporte prático à equipe sênior durante inspeções e medições das instalações. • Logística de Suprimentos: Facilitar o processo de aquisição, transferindo ferramentas, peças e equipamentos para as estações de trabalho; monitorar o estoque de materiais de construção e notificar a gerência sobre níveis baixos de estoque. • Preparação e Manutenção do Local: Preparar as áreas de trabalho para reforma, aplicando coberturas protetoras (fita adesiva/plástico); limpar e lubrificar ferramentas e máquinas para garantir o funcionamento adequado. • Execução Auxiliar: Fornecer assistência prática durante pequenas atualizações estéticas, incluindo o manuseio de materiais para instalação de azulejos, preparação de superfícies para reparos em drywall/gesso acartonado e pintura básica de interiores. • Auxílio Técnico: Auxiliar trabalhadores qualificados na montagem de componentes estruturais e na conexão de acessórios básicos, utilizando ferramentas manuais e elétricas, sob supervisão direta. É necessário viajar e transportar equipamentos em veículos da empresa, da sede da empresa em 6008 Mission Gorge Rd Ste. A, San Diego, Califórnia, até as unidades de armazenamento no leste e norte do condado de San Diego. Aproximadamente de 5 a 10 vezes por projeto. Classificação da Função: 49-9071.00 - Trabalhadores de Manutenção e Reparo, Geral. A classificação e descrição da função/setor inclui informações gerais sobre o cargo, conforme o ONET/OES e o Sistema de Classificação Industrial da América do Norte (NAICS). Consulte as Funções e a Ordem de Serviço para obter mais informações. Requisitos da Função: Experiência Necessária: Sim. Meses de Experiência Necessária: 3. Número de Horas por Semana: 37. Horário de Trabalho (Início/Término): 9h00 - 16h30.</v>
      </c>
    </row>
    <row r="2051" ht="20.25" customHeight="1">
      <c r="A2051" s="8" t="s">
        <v>9185</v>
      </c>
      <c r="B2051" s="8" t="s">
        <v>9186</v>
      </c>
      <c r="C2051" s="8" t="s">
        <v>6024</v>
      </c>
      <c r="D2051" s="8" t="s">
        <v>64</v>
      </c>
      <c r="E2051" s="9" t="s">
        <v>44</v>
      </c>
      <c r="F2051" s="9" t="s">
        <v>20</v>
      </c>
      <c r="G2051" s="9" t="s">
        <v>155</v>
      </c>
      <c r="H2051" s="8" t="s">
        <v>9187</v>
      </c>
      <c r="I2051" s="8" t="s">
        <v>9188</v>
      </c>
      <c r="J2051" s="9">
        <v>12.58</v>
      </c>
      <c r="K2051" s="9">
        <v>45.0</v>
      </c>
      <c r="L2051" s="8" t="s">
        <v>4443</v>
      </c>
      <c r="M2051" s="8" t="s">
        <v>9189</v>
      </c>
      <c r="N2051" s="7" t="str">
        <f>IFERROR(__xludf.DUMMYFUNCTION("GOOGLETRANSLATE(L2051, ""en"", ""pt"")"),"Atendente de parque de diversões")</f>
        <v>Atendente de parque de diversões</v>
      </c>
      <c r="O2051" s="7" t="str">
        <f>IFERROR(__xludf.DUMMYFUNCTION("IF(M2051="""","""",GOOGLETRANSLATE(M2051,""en"",""pt""))"),"Montar, desmontar, operar e manter equipamentos; recolher bilhetes/taxas; dar troco; auxiliar os clientes. Classificação da função: 39-3091.00 - Atendentes de Parques de Diversões e Recreação. A classificação e descrição da função/setor inclui informações"&amp;" gerais sobre o cargo, de acordo com o ONET/OES e o Sistema de Classificação Industrial da América do Norte (NAICS). Consulte as Funções e a Ordem de Serviço para obter mais informações. Requisitos da vaga: Experiência necessária: Não. Requisitos especiai"&amp;"s: Aprovação em exame toxicológico e verificação de antecedentes criminais após a contratação, pagos pelo empregador. Capacidade de levantar 23 kg. Horário, escala e dias de trabalho variam bastante. Normalmente, de quarta a domingo, das 16h às 23h. Geral"&amp;"mente de 35 a 45 horas semanais, podendo chegar a 45 horas semanais. As necessidades de trabalho (ou seja, horário, dias, escala, local e funções) variam. As necessidades de trabalho estão sujeitas às práticas do setor e não são garantidas por dia, semana"&amp;", horário, local ou trabalhador, por exemplo, cancelamentos por chuva, breves períodos sem eventos programados, datas e horários de eventos definidos em acordo com o patrocinador e sujeitos a alterações (com base em condições climáticas adversas, horário "&amp;"de funcionamento, dia da semana, público, tamanho do evento, calendário escolar, quantidade de equipamentos em operação, equipe, etc.) e cancelamentos imprevistos. Em caso de eventos simultâneos aprovados, as necessidades de trabalho podem exigir ajustes "&amp;"na escala de trabalho dos trabalhadores. Requisitos do trabalho: Testes aleatórios de drogas e verificação de antecedentes criminais após a contratação podem ser exigidos pelo empregador, sem custo para o trabalhador. O trabalho exige que o candidato seja"&amp;" qualificado, autorizado, esteja pronto, disposto, apto e disponível para trabalhar durante todo o período de emprego nos locais de trabalho designados, mesmo em condições climáticas adversas; que firme e cumpra qualquer contrato de trabalho e contrato de"&amp;" aluguel; que siga as regras do local de trabalho, de reclamações e de moradia. O procedimento de reclamações exige que os trabalhadores relatem quaisquer ameaças ou descumprimento dos termos e condições de trabalho; e que atendam aos padrões de desempenh"&amp;"o do trabalho. Trabalho externo em todas as condições climáticas. A vaga exige que o candidato obtenha e apresente comprovante de todas as autorizações governamentais necessárias para exercer a função, como o visto de trabalho H-2B para trabalhadores estr"&amp;"angeiros. O visto H-2B será emitido pelo consulado dos Estados Unidos no país de origem do candidato, e após a emissão, o candidato será considerado contratado naquele local e data. É necessário cooperar e preencher o formulário de inscrição e participar "&amp;"da entrevista, fornecendo informações verdadeiras e completas. O candidato deve cumprir os requisitos de apresentação pessoal e o código de vestimenta. É necessário ter disponibilidade para trabalhar até 7 dias por semana. Sujeito a demissão por justa cau"&amp;"sa. Número de horas semanais: 35. Horário de trabalho (início/término): 16h às 23h.")</f>
        <v>Montar, desmontar, operar e manter equipamentos; recolher bilhetes/taxas; dar troco; auxiliar os clientes. Classificação da função: 39-3091.00 - Atendentes de Parques de Diversões e Recreação. A classificação e descrição da função/setor inclui informações gerais sobre o cargo, de acordo com o ONET/OES e o Sistema de Classificação Industrial da América do Norte (NAICS). Consulte as Funções e a Ordem de Serviço para obter mais informações. Requisitos da vaga: Experiência necessária: Não. Requisitos especiais: Aprovação em exame toxicológico e verificação de antecedentes criminais após a contratação, pagos pelo empregador. Capacidade de levantar 23 kg. Horário, escala e dias de trabalho variam bastante. Normalmente, de quarta a domingo, das 16h às 23h. Geralmente de 35 a 45 horas semanais, podendo chegar a 45 horas semanais. As necessidades de trabalho (ou seja, horário, dias, escala, local e funções) variam. As necessidades de trabalho estão sujeitas às práticas do setor e não são garantidas por dia, semana, horário, local ou trabalhador, por exemplo, cancelamentos por chuva, breves períodos sem eventos programados, datas e horários de eventos definidos em acordo com o patrocinador e sujeitos a alterações (com base em condições climáticas adversas, horário de funcionamento, dia da semana, público, tamanho do evento, calendário escolar, quantidade de equipamentos em operação, equipe, etc.) e cancelamentos imprevistos. Em caso de eventos simultâneos aprovados, as necessidades de trabalho podem exigir ajustes na escala de trabalho dos trabalhadores. Requisitos do trabalho: Testes aleatórios de drogas e verificação de antecedentes criminais após a contratação podem ser exigidos pelo empregador, sem custo para o trabalhador. O trabalho exige que o candidato seja qualificado, autorizado, esteja pronto, disposto, apto e disponível para trabalhar durante todo o período de emprego nos locais de trabalho designados, mesmo em condições climáticas adversas; que firme e cumpra qualquer contrato de trabalho e contrato de aluguel; que siga as regras do local de trabalho, de reclamações e de moradia. O procedimento de reclamações exige que os trabalhadores relatem quaisquer ameaças ou descumprimento dos termos e condições de trabalho; e que atendam aos padrões de desempenho do trabalho. Trabalho externo em todas as condições climáticas. A vaga exige que o candidato obtenha e apresente comprovante de todas as autorizações governamentais necessárias para exercer a função, como o visto de trabalho H-2B para trabalhadores estrangeiros. O visto H-2B será emitido pelo consulado dos Estados Unidos no país de origem do candidato, e após a emissão, o candidato será considerado contratado naquele local e data. É necessário cooperar e preencher o formulário de inscrição e participar da entrevista, fornecendo informações verdadeiras e completas. O candidato deve cumprir os requisitos de apresentação pessoal e o código de vestimenta. É necessário ter disponibilidade para trabalhar até 7 dias por semana. Sujeito a demissão por justa causa. Número de horas semanais: 35. Horário de trabalho (início/término): 16h às 23h.</v>
      </c>
    </row>
    <row r="2052" ht="20.25" customHeight="1">
      <c r="A2052" s="3" t="s">
        <v>9190</v>
      </c>
      <c r="B2052" s="3" t="s">
        <v>9191</v>
      </c>
      <c r="C2052" s="3" t="s">
        <v>7431</v>
      </c>
      <c r="D2052" s="3" t="s">
        <v>532</v>
      </c>
      <c r="E2052" s="4" t="s">
        <v>44</v>
      </c>
      <c r="F2052" s="4" t="s">
        <v>20</v>
      </c>
      <c r="G2052" s="4" t="s">
        <v>9192</v>
      </c>
      <c r="H2052" s="3" t="s">
        <v>9193</v>
      </c>
      <c r="I2052" s="3" t="s">
        <v>9194</v>
      </c>
      <c r="J2052" s="4">
        <v>22.58</v>
      </c>
      <c r="K2052" s="4">
        <v>1.0</v>
      </c>
      <c r="L2052" s="3" t="s">
        <v>387</v>
      </c>
      <c r="M2052" s="3" t="s">
        <v>9195</v>
      </c>
      <c r="N2052" s="7" t="str">
        <f>IFERROR(__xludf.DUMMYFUNCTION("GOOGLETRANSLATE(L2052, ""en"", ""pt"")"),"Ordem de serviço não disponível")</f>
        <v>Ordem de serviço não disponível</v>
      </c>
      <c r="O2052" s="7" t="str">
        <f>IFERROR(__xludf.DUMMYFUNCTION("IF(M2052="""","""",GOOGLETRANSLATE(M2052,""en"",""pt""))"),"Preparar, servir e alimentar uma criança pequena com lanches e refeições nutricionalmente balanceadas. Vestir a criança ou auxiliá-la a se vestir. Envolver a criança em atividades apropriadas para a idade, incluindo brincadeiras no colo, leitura, jogos ed"&amp;"ucativos, artes e artesanato e brincadeiras ao ar livre para promover o desenvolvimento físico e intelectual. Apoiar programas educacionais em casa, incluindo atividades de aprendizagem estruturadas, exercícios de leitura e currículos educacionais, confor"&amp;"me orientação dos pais. Gerenciar e coordenar a rotina diária da criança, incluindo programas educacionais, visitas a museus e aulas particulares. Colaborar com os pais para implementar rotinas e programas de orientação que incentivem comportamentos desej"&amp;"áveis. Instruir e auxiliar a criança no desenvolvimento de hábitos pessoais saudáveis, como alimentação e higiene. Servir de modelo para comportamentos sociais apropriados e promover habilidades interpessoais e de comunicação. Remover possíveis perigos e "&amp;"estabelecer limites e regras domésticas apropriadas para garantir um ambiente seguro. Prestar primeiros socorros quando necessário. Observar o comportamento da criança em busca de sinais de doença ou irregularidades, aferir a temperatura e administrar med"&amp;"icamentos conforme orientação dos pais ou profissionais de saúde. Realizar tarefas domésticas leves e de limpeza relacionadas aos cuidados da criança, incluindo arrumar áreas de brincadeira, dobrar roupas e organizar os espaços da casa utilizados pela cri"&amp;"ança. Transportar a criança para atividades, passeios sociais e consultas médicas. Fazer compras de supermercado, roupas e outros itens necessários para os cuidados da criança. Todas as tarefas serão realizadas em um ambiente residencial privado. Classifi"&amp;"cação da vaga: 39-9011.01 - Babás. A classificação e descrição da vaga/setor incluem informações gerais sobre o cargo, de acordo com o ONET/OES e o Sistema de Classificação Industrial da América do Norte. Consulte as Funções e a Ordem de Serviço para obte"&amp;"r mais informações. Requisitos da vaga: Experiência necessária: Sim. Meses de experiência necessários: 6. Requisitos especiais: Conhecimento básico de inglês. Ensino médio completo ou equivalente. Mínimo de 6 meses de experiência prévia como babá ou em um"&amp;"a função similar em cuidados infantis. Capacidade de levantar e carregar pesos suficientes para movimentar equipamentos e materiais necessários para a execução das tarefas designadas. Capacidade de ficar em pé e permanecer ativo durante todo o turno. Uso "&amp;"de eletrodomésticos de cozinha e máquinas de lavar roupa. 40 horas semanais, 5 dias por semana. O turno típico é das 7h às 17h. A escala pode variar e incluir noites, fins de semana ou feriados, conforme necessário. O empregador se baseará nas declarações"&amp;" e observações do próprio trabalhador para avaliar se ele atende aos requisitos de capacidade física para levantamento de peso, permanência em pé e outras atividades descritas aqui. Número de horas por semana: 40. Horário de trabalho (início/término): 7h "&amp;"às 17h.")</f>
        <v>Preparar, servir e alimentar uma criança pequena com lanches e refeições nutricionalmente balanceadas. Vestir a criança ou auxiliá-la a se vestir. Envolver a criança em atividades apropriadas para a idade, incluindo brincadeiras no colo, leitura, jogos educativos, artes e artesanato e brincadeiras ao ar livre para promover o desenvolvimento físico e intelectual. Apoiar programas educacionais em casa, incluindo atividades de aprendizagem estruturadas, exercícios de leitura e currículos educacionais, conforme orientação dos pais. Gerenciar e coordenar a rotina diária da criança, incluindo programas educacionais, visitas a museus e aulas particulares. Colaborar com os pais para implementar rotinas e programas de orientação que incentivem comportamentos desejáveis. Instruir e auxiliar a criança no desenvolvimento de hábitos pessoais saudáveis, como alimentação e higiene. Servir de modelo para comportamentos sociais apropriados e promover habilidades interpessoais e de comunicação. Remover possíveis perigos e estabelecer limites e regras domésticas apropriadas para garantir um ambiente seguro. Prestar primeiros socorros quando necessário. Observar o comportamento da criança em busca de sinais de doença ou irregularidades, aferir a temperatura e administrar medicamentos conforme orientação dos pais ou profissionais de saúde. Realizar tarefas domésticas leves e de limpeza relacionadas aos cuidados da criança, incluindo arrumar áreas de brincadeira, dobrar roupas e organizar os espaços da casa utilizados pela criança. Transportar a criança para atividades, passeios sociais e consultas médicas. Fazer compras de supermercado, roupas e outros itens necessários para os cuidados da criança. Todas as tarefas serão realizadas em um ambiente residencial privado. Classificação da vaga: 39-9011.01 - Babás. A classificação e descrição da vaga/setor incluem informações gerais sobre o cargo, de acordo com o ONET/OES e o Sistema de Classificação Industrial da América do Norte. Consulte as Funções e a Ordem de Serviço para obter mais informações. Requisitos da vaga: Experiência necessária: Sim. Meses de experiência necessários: 6. Requisitos especiais: Conhecimento básico de inglês. Ensino médio completo ou equivalente. Mínimo de 6 meses de experiência prévia como babá ou em uma função similar em cuidados infantis. Capacidade de levantar e carregar pesos suficientes para movimentar equipamentos e materiais necessários para a execução das tarefas designadas. Capacidade de ficar em pé e permanecer ativo durante todo o turno. Uso de eletrodomésticos de cozinha e máquinas de lavar roupa. 40 horas semanais, 5 dias por semana. O turno típico é das 7h às 17h. A escala pode variar e incluir noites, fins de semana ou feriados, conforme necessário. O empregador se baseará nas declarações e observações do próprio trabalhador para avaliar se ele atende aos requisitos de capacidade física para levantamento de peso, permanência em pé e outras atividades descritas aqui. Número de horas por semana: 40. Horário de trabalho (início/término): 7h às 17h.</v>
      </c>
    </row>
    <row r="2053" ht="20.25" customHeight="1">
      <c r="A2053" s="8" t="s">
        <v>9196</v>
      </c>
      <c r="B2053" s="8" t="s">
        <v>9197</v>
      </c>
      <c r="C2053" s="8"/>
      <c r="D2053" s="8" t="s">
        <v>71</v>
      </c>
      <c r="E2053" s="9" t="s">
        <v>19</v>
      </c>
      <c r="F2053" s="9" t="s">
        <v>20</v>
      </c>
      <c r="G2053" s="9" t="s">
        <v>524</v>
      </c>
      <c r="H2053" s="8" t="s">
        <v>9198</v>
      </c>
      <c r="I2053" s="8"/>
      <c r="J2053" s="9">
        <v>16.95</v>
      </c>
      <c r="K2053" s="9">
        <v>2.0</v>
      </c>
      <c r="L2053" s="8" t="s">
        <v>9199</v>
      </c>
      <c r="M2053" s="8" t="s">
        <v>9200</v>
      </c>
      <c r="N2053" s="7" t="str">
        <f>IFERROR(__xludf.DUMMYFUNCTION("GOOGLETRANSLATE(L2053, ""en"", ""pt"")"),"Especialista em limpeza de carros")</f>
        <v>Especialista em limpeza de carros</v>
      </c>
      <c r="O2053" s="7" t="str">
        <f>IFERROR(__xludf.DUMMYFUNCTION("IF(M2053="""","""",GOOGLETRANSLATE(M2053,""en"",""pt""))"),"Limpar veículos do estoque da concessionária, lavando a parte externa. Encerar a parte externa do carro para preservar a pintura. Aspirar e limpar o interior do veículo. Revitalizar e preservar o exterior e o interior com processos, produtos de limpeza e "&amp;"protetores especializados fornecidos pelo empregador. Classificação da vaga: 53-7061.00 - Limpeza de Veículos e Equipamentos. A classificação e a descrição da vaga/setor incluem informações gerais sobre o cargo, de acordo com o ONET/OES e o Sistema de Cla"&amp;"ssificação Industrial da América do Norte (NAICS). Consulte as atribuições e a ordem de serviço para obter mais informações. Requisitos da vaga: Experiência necessária: Não. Requisitos especiais: Não. Habilidades especiais: Não exigidas. Número de horas p"&amp;"or semana: 40. Horário de trabalho (início/término): 8h às 16h.")</f>
        <v>Limpar veículos do estoque da concessionária, lavando a parte externa. Encerar a parte externa do carro para preservar a pintura. Aspirar e limpar o interior do veículo. Revitalizar e preservar o exterior e o interior com processos, produtos de limpeza e protetores especializados fornecidos pelo empregador. Classificação da vaga: 53-7061.00 - Limpeza de Veículos e Equipamentos. A classificação e a descrição da vaga/setor incluem informações gerais sobre o cargo, de acordo com o ONET/OES e o Sistema de Classificação Industrial da América do Norte (NAICS). Consulte as atribuições e a ordem de serviço para obter mais informações. Requisitos da vaga: Experiência necessária: Não. Requisitos especiais: Não. Habilidades especiais: Não exigidas. Número de horas por semana: 40. Horário de trabalho (início/término): 8h às 16h.</v>
      </c>
    </row>
    <row r="2054" ht="20.25" customHeight="1">
      <c r="A2054" s="3" t="s">
        <v>9201</v>
      </c>
      <c r="B2054" s="3" t="s">
        <v>9202</v>
      </c>
      <c r="C2054" s="3" t="s">
        <v>9203</v>
      </c>
      <c r="D2054" s="3" t="s">
        <v>18</v>
      </c>
      <c r="E2054" s="4" t="s">
        <v>19</v>
      </c>
      <c r="F2054" s="4" t="s">
        <v>20</v>
      </c>
      <c r="G2054" s="4" t="s">
        <v>437</v>
      </c>
      <c r="H2054" s="3" t="s">
        <v>9204</v>
      </c>
      <c r="I2054" s="3" t="s">
        <v>9205</v>
      </c>
      <c r="J2054" s="4">
        <v>31.68</v>
      </c>
      <c r="K2054" s="4">
        <v>15.0</v>
      </c>
      <c r="L2054" s="3" t="s">
        <v>9206</v>
      </c>
      <c r="M2054" s="3" t="s">
        <v>9207</v>
      </c>
      <c r="N2054" s="7" t="str">
        <f>IFERROR(__xludf.DUMMYFUNCTION("GOOGLETRANSLATE(L2054, ""en"", ""pt"")"),"Técnico")</f>
        <v>Técnico</v>
      </c>
      <c r="O2054" s="7" t="str">
        <f>IFERROR(__xludf.DUMMYFUNCTION("IF(M2054="""","""",GOOGLETRANSLATE(M2054,""en"",""pt""))"),"• Realizar montagem mecânica, instalação, ajuste, teste, solução de problemas e manutenção de equipamentos automatizados de fabricação utilizados na produção de células de baterias de íon-lítio para projetos de fabricação de baterias para veículos elétric"&amp;"os. • Montar, instalar e ajustar equipamentos de fabricação de baterias, incluindo máquinas de laminação, máquinas de empilhamento, máquinas de dobragem, máquinas de embalagem e sistemas de inspeção visual utilizados nos processos de produção de células d"&amp;"e bateria. • Utilizar diversas ferramentas manuais e elétricas, incluindo chaves, chaves de boca, chaves Allen, chaves dinamométricas, chaves de fenda, alicates, decapadores de fios, martelos, estiletes e ferramentas de medição de precisão para realizar t"&amp;"rabalhos de montagem, alinhamento, fixação, calibração e manutenção de equipamentos. • Instalar, alinhar, ajustar e manter componentes mecânicos, incluindo estruturas, roletes, guias, transportadores, sistemas pneumáticos, sistemas de controle de moviment"&amp;"o e peças de máquinas automatizadas para garantir o funcionamento adequado do equipamento e a precisão da produção. • Realizar trabalhos de suporte elétrico e gerenciamento de cabos para equipamentos de fabricação que operam em sistemas elétricos que vari"&amp;"am de 110V a 250V. • Roteirizar, organizar, fixar e manter cabos e fiação elétrica para sensores, relés, interruptores, motores e dispositivos de controle utilizados em equipamentos automatizados de fabricação. • Realizar medições elétricas utilizando mul"&amp;"tímetros digitais para verificar tensão, corrente, resistência, continuidade e condições de isolamento para fins de teste e manutenção de equipamentos. • Diagnosticar componentes elétricos defeituosos e substituir peças elétricas danificadas ou com mau fu"&amp;"ncionamento, de acordo com as especificações apropriadas de tensão, resistência e operação. • Conduzir testes de isolamento e procedimentos de verificação de equipamentos para garantir a operação segura e a conformidade com as normas de segurança elétrica"&amp;" e do trabalho aplicáveis. • Colaborar com técnicos elétricos, engenheiros e pessoal de produção para apoiar a inicialização, os testes, a solução de problemas e as atividades de verificação operacional das máquinas. • Apoiar as operações de fabricação as"&amp;"sociadas à mistura de eletrodos, revestimento, prensagem de rolos, corte longitudinal, entalhe, empilhamento, dobra, soldagem, injeção de eletrólito, selagem, formação, carga e descarga, desgaseificação, inspeção, embalagem e expedição de células de bater"&amp;"ias de íon-lítio. • Monitorar as condições das máquinas, realizar ajustes nos equipamentos e solucionar problemas operacionais para minimizar o tempo de inatividade e manter a eficiência da fabricação e a qualidade do produto. • Verificar a precisão dimen"&amp;"sional, as condições de alinhamento e o desempenho operacional utilizando sistemas de inspeção visual e equipamentos de inspeção relacionados. • Trabalhar com sistemas de automação industrial, controles pneumáticos, sistemas de controle de movimento e amb"&amp;"ientes de fabricação em salas limpas como parte de projetos de fabricação de baterias para veículos elétricos em escala industrial. • Manter ferramentas, equipamentos e áreas de trabalho limpos e organizados, seguindo os procedimentos aplicáveis ​​de sala"&amp;"s limpas, políticas de segurança e padrões operacionais. Classificação da vaga: 49-9041.00 - Mecânico de Máquinas Industriais. A classificação e descrição da vaga/indústria incluem informações gerais sobre o cargo, de acordo com o ONET/OES e o Sistema de "&amp;"Classificação Industrial da América do Norte (NAICS). Consulte as atribuições e a descrição da vaga para obter mais informações. Requisitos da vaga: Experiência necessária: Não. Número de horas por semana: 40. Horário de trabalho (início/término): 8h às 1"&amp;"7h.")</f>
        <v>• Realizar montagem mecânica, instalação, ajuste, teste, solução de problemas e manutenção de equipamentos automatizados de fabricação utilizados na produção de células de baterias de íon-lítio para projetos de fabricação de baterias para veículos elétricos. • Montar, instalar e ajustar equipamentos de fabricação de baterias, incluindo máquinas de laminação, máquinas de empilhamento, máquinas de dobragem, máquinas de embalagem e sistemas de inspeção visual utilizados nos processos de produção de células de bateria. • Utilizar diversas ferramentas manuais e elétricas, incluindo chaves, chaves de boca, chaves Allen, chaves dinamométricas, chaves de fenda, alicates, decapadores de fios, martelos, estiletes e ferramentas de medição de precisão para realizar trabalhos de montagem, alinhamento, fixação, calibração e manutenção de equipamentos. • Instalar, alinhar, ajustar e manter componentes mecânicos, incluindo estruturas, roletes, guias, transportadores, sistemas pneumáticos, sistemas de controle de movimento e peças de máquinas automatizadas para garantir o funcionamento adequado do equipamento e a precisão da produção. • Realizar trabalhos de suporte elétrico e gerenciamento de cabos para equipamentos de fabricação que operam em sistemas elétricos que variam de 110V a 250V. • Roteirizar, organizar, fixar e manter cabos e fiação elétrica para sensores, relés, interruptores, motores e dispositivos de controle utilizados em equipamentos automatizados de fabricação. • Realizar medições elétricas utilizando multímetros digitais para verificar tensão, corrente, resistência, continuidade e condições de isolamento para fins de teste e manutenção de equipamentos. • Diagnosticar componentes elétricos defeituosos e substituir peças elétricas danificadas ou com mau funcionamento, de acordo com as especificações apropriadas de tensão, resistência e operação. • Conduzir testes de isolamento e procedimentos de verificação de equipamentos para garantir a operação segura e a conformidade com as normas de segurança elétrica e do trabalho aplicáveis. • Colaborar com técnicos elétricos, engenheiros e pessoal de produção para apoiar a inicialização, os testes, a solução de problemas e as atividades de verificação operacional das máquinas. • Apoiar as operações de fabricação associadas à mistura de eletrodos, revestimento, prensagem de rolos, corte longitudinal, entalhe, empilhamento, dobra, soldagem, injeção de eletrólito, selagem, formação, carga e descarga, desgaseificação, inspeção, embalagem e expedição de células de baterias de íon-lítio. • Monitorar as condições das máquinas, realizar ajustes nos equipamentos e solucionar problemas operacionais para minimizar o tempo de inatividade e manter a eficiência da fabricação e a qualidade do produto. • Verificar a precisão dimensional, as condições de alinhamento e o desempenho operacional utilizando sistemas de inspeção visual e equipamentos de inspeção relacionados. • Trabalhar com sistemas de automação industrial, controles pneumáticos, sistemas de controle de movimento e ambientes de fabricação em salas limpas como parte de projetos de fabricação de baterias para veículos elétricos em escala industrial. • Manter ferramentas, equipamentos e áreas de trabalho limpos e organizados, seguindo os procedimentos aplicáveis ​​de salas limpas, políticas de segurança e padrões operacionais. Classificação da vaga: 49-9041.00 - Mecânico de Máquinas Industriais. A classificação e descrição da vaga/indústria incluem informações gerais sobre o cargo, de acordo com o ONET/OES e o Sistema de Classificação Industrial da América do Norte (NAICS). Consulte as atribuições e a descrição da vaga para obter mais informações. Requisitos da vaga: Experiência necessária: Não. Número de horas por semana: 40. Horário de trabalho (início/término): 8h às 17h.</v>
      </c>
    </row>
    <row r="2055" ht="20.25" customHeight="1">
      <c r="A2055" s="8" t="s">
        <v>9208</v>
      </c>
      <c r="B2055" s="8" t="s">
        <v>9209</v>
      </c>
      <c r="C2055" s="8" t="s">
        <v>9210</v>
      </c>
      <c r="D2055" s="8" t="s">
        <v>532</v>
      </c>
      <c r="E2055" s="9" t="s">
        <v>19</v>
      </c>
      <c r="F2055" s="9" t="s">
        <v>20</v>
      </c>
      <c r="G2055" s="9" t="s">
        <v>4040</v>
      </c>
      <c r="H2055" s="8" t="s">
        <v>9211</v>
      </c>
      <c r="I2055" s="8" t="s">
        <v>9212</v>
      </c>
      <c r="J2055" s="9">
        <v>18.0</v>
      </c>
      <c r="K2055" s="9">
        <v>1.0</v>
      </c>
      <c r="L2055" s="8" t="s">
        <v>7806</v>
      </c>
      <c r="M2055" s="8" t="s">
        <v>9213</v>
      </c>
      <c r="N2055" s="7" t="str">
        <f>IFERROR(__xludf.DUMMYFUNCTION("GOOGLETRANSLATE(L2055, ""en"", ""pt"")"),"Auxiliar de Cuidados Pessoais")</f>
        <v>Auxiliar de Cuidados Pessoais</v>
      </c>
      <c r="O2055" s="7" t="str">
        <f>IFERROR(__xludf.DUMMYFUNCTION("IF(M2055="""","""",GOOGLETRANSLATE(M2055,""en"",""pt""))"),"As funções incluem auxiliar o idoso nas atividades da vida diária, como banho, higiene pessoal, vestuário, uso do banheiro e cuidados com a aparência; auxiliar na locomoção, mobilidade, transferências, reposicionamento e prevenção de quedas; preparar e se"&amp;"rvir refeições e auxiliar na alimentação e hidratação, se necessário; trocar a roupa de cama e manter a limpeza da área de convivência do idoso; acompanhar o idoso a consultas ou passeios de rotina, conforme necessário; oferecer companhia e apoio emociona"&amp;"l; observar o estado geral do idoso e relatar prontamente quaisquer alterações na mobilidade, apetite, humor ou nível de resposta ao empregador ou familiar designado; e manter um ambiente de cuidado seguro, limpo e respeitoso. O profissional não realizará"&amp;" diagnósticos médicos, administrará medicamentos de forma independente ou prestará serviços de enfermagem especializada. É necessário ter 6 meses de experiência em cuidados diretos ou assistência a idosos, adultos com mobilidade reduzida ou pessoas que ne"&amp;"cessitam de auxílio nas atividades da vida diária em domicílio, instituição de longa permanência, residência assistida, hospital ou ambiente de cuidado similar. Classificação da Função: 31-1122.00 - Auxiliares de Cuidados Pessoais. A classificação e descr"&amp;"ição da função/setor inclui informações gerais sobre o cargo, de acordo com o ONET/OES e o Sistema de Classificação Industrial da América do Norte. Consulte as Funções e a Ordem de Serviço para obter mais informações. Requisitos da Função Experiência Nece"&amp;"ssária: Sim Meses de Experiência Necessários: 6 Requisitos Especiais: Deve possuir certificação em cuidados, serviços de saúde ou área relacionada. Deve possuir certificação em RCP e Primeiros Socorros (ou disposição para obtê-la em até 15 dias após a con"&amp;"tratação). Deve possuir Carteira de Habilitação válida da Califórnia (ou equivalente) ou a capacidade de obtê-la em até 30 dias após a contratação/chegada aos EUA. Deve ser capaz de levantar 1148 kg. Deve ter experiência prévia em enfermaria de clínica mé"&amp;"dica, pronto-socorro, hospital ou ambiente de atendimento direto ao paciente. Deve ter experiência no cuidado de pacientes idosos com mobilidade reduzida, doenças crônicas, fraqueza ou necessidades de cuidados relacionadas à idade. Deve possuir fortes hab"&amp;"ilidades de comunicação e capacidade de trabalhar em equipe com familiares e outros profissionais de saúde envolvidos no cuidado do paciente. Número de horas por semana: 40 Horário de trabalho (início/término): 8h00 - 16h00")</f>
        <v>As funções incluem auxiliar o idoso nas atividades da vida diária, como banho, higiene pessoal, vestuário, uso do banheiro e cuidados com a aparência; auxiliar na locomoção, mobilidade, transferências, reposicionamento e prevenção de quedas; preparar e servir refeições e auxiliar na alimentação e hidratação, se necessário; trocar a roupa de cama e manter a limpeza da área de convivência do idoso; acompanhar o idoso a consultas ou passeios de rotina, conforme necessário; oferecer companhia e apoio emocional; observar o estado geral do idoso e relatar prontamente quaisquer alterações na mobilidade, apetite, humor ou nível de resposta ao empregador ou familiar designado; e manter um ambiente de cuidado seguro, limpo e respeitoso. O profissional não realizará diagnósticos médicos, administrará medicamentos de forma independente ou prestará serviços de enfermagem especializada. É necessário ter 6 meses de experiência em cuidados diretos ou assistência a idosos, adultos com mobilidade reduzida ou pessoas que necessitam de auxílio nas atividades da vida diária em domicílio, instituição de longa permanência, residência assistida, hospital ou ambiente de cuidado similar. Classificação da Função: 31-1122.00 - Auxiliares de Cuidados Pessoais. A classificação e descrição da função/setor inclui informações gerais sobre o cargo, de acordo com o ONET/OES e o Sistema de Classificação Industrial da América do Norte. Consulte as Funções e a Ordem de Serviço para obter mais informações. Requisitos da Função Experiência Necessária: Sim Meses de Experiência Necessários: 6 Requisitos Especiais: Deve possuir certificação em cuidados, serviços de saúde ou área relacionada. Deve possuir certificação em RCP e Primeiros Socorros (ou disposição para obtê-la em até 15 dias após a contratação). Deve possuir Carteira de Habilitação válida da Califórnia (ou equivalente) ou a capacidade de obtê-la em até 30 dias após a contratação/chegada aos EUA. Deve ser capaz de levantar 1148 kg. Deve ter experiência prévia em enfermaria de clínica médica, pronto-socorro, hospital ou ambiente de atendimento direto ao paciente. Deve ter experiência no cuidado de pacientes idosos com mobilidade reduzida, doenças crônicas, fraqueza ou necessidades de cuidados relacionadas à idade. Deve possuir fortes habilidades de comunicação e capacidade de trabalhar em equipe com familiares e outros profissionais de saúde envolvidos no cuidado do paciente. Número de horas por semana: 40 Horário de trabalho (início/término): 8h00 - 16h00</v>
      </c>
    </row>
    <row r="2056" ht="20.25" customHeight="1">
      <c r="A2056" s="3" t="s">
        <v>9214</v>
      </c>
      <c r="B2056" s="3" t="s">
        <v>9215</v>
      </c>
      <c r="C2056" s="3" t="s">
        <v>9020</v>
      </c>
      <c r="D2056" s="3" t="s">
        <v>126</v>
      </c>
      <c r="E2056" s="4" t="s">
        <v>19</v>
      </c>
      <c r="F2056" s="4" t="s">
        <v>20</v>
      </c>
      <c r="G2056" s="4" t="s">
        <v>2339</v>
      </c>
      <c r="H2056" s="3" t="s">
        <v>9216</v>
      </c>
      <c r="I2056" s="3" t="s">
        <v>9217</v>
      </c>
      <c r="J2056" s="4">
        <v>19.5</v>
      </c>
      <c r="K2056" s="4">
        <v>8.0</v>
      </c>
      <c r="L2056" s="3" t="s">
        <v>929</v>
      </c>
      <c r="M2056" s="3" t="s">
        <v>9218</v>
      </c>
      <c r="N2056" s="7" t="str">
        <f>IFERROR(__xludf.DUMMYFUNCTION("GOOGLETRANSLATE(L2056, ""en"", ""pt"")"),"Trabalhadores de preparação de alimentos")</f>
        <v>Trabalhadores de preparação de alimentos</v>
      </c>
      <c r="O2056" s="7" t="str">
        <f>IFERROR(__xludf.DUMMYFUNCTION("IF(M2056="""","""",GOOGLETRANSLATE(M2056,""en"",""pt""))"),"Executar diversas tarefas de preparação de alimentos além de cozinhar, como preparar alimentos frios e frutos do mar, fatiar carne e preparar café ou chá. Classificação da vaga: 35-2021.00 - Auxiliares de Cozinha. A classificação e descrição da vaga/setor"&amp;" inclui informações gerais sobre o cargo, de acordo com o ONET/OES e o Sistema de Classificação Industrial da América do Norte (NAICS). Consulte as Funções e a Ordem de Serviço para obter mais informações. Requisitos da vaga: Experiência necessária: Não. "&amp;"Requisitos especiais: Não é necessário escolaridade/experiência. Treinamento no local de trabalho disponível. Capacidade de levantar e sustentar 23 kg. Turnos alternados. Haverá tempo para pausas diárias. Número de horas por semana: 35. Horário de trabalh"&amp;"o (início/término): 6h às 20h.")</f>
        <v>Executar diversas tarefas de preparação de alimentos além de cozinhar, como preparar alimentos frios e frutos do mar, fatiar carne e preparar café ou chá. Classificação da vaga: 35-2021.00 - Auxiliares de Cozinha. A classificação e descrição da vaga/setor inclui informações gerais sobre o cargo, de acordo com o ONET/OES e o Sistema de Classificação Industrial da América do Norte (NAICS). Consulte as Funções e a Ordem de Serviço para obter mais informações. Requisitos da vaga: Experiência necessária: Não. Requisitos especiais: Não é necessário escolaridade/experiência. Treinamento no local de trabalho disponível. Capacidade de levantar e sustentar 23 kg. Turnos alternados. Haverá tempo para pausas diárias. Número de horas por semana: 35. Horário de trabalho (início/término): 6h às 20h.</v>
      </c>
    </row>
    <row r="2057" ht="20.25" customHeight="1">
      <c r="A2057" s="8" t="s">
        <v>9219</v>
      </c>
      <c r="B2057" s="8" t="s">
        <v>9220</v>
      </c>
      <c r="C2057" s="8"/>
      <c r="D2057" s="8" t="s">
        <v>71</v>
      </c>
      <c r="E2057" s="9" t="s">
        <v>44</v>
      </c>
      <c r="F2057" s="9" t="s">
        <v>20</v>
      </c>
      <c r="G2057" s="9" t="s">
        <v>377</v>
      </c>
      <c r="H2057" s="8" t="s">
        <v>9221</v>
      </c>
      <c r="I2057" s="8" t="s">
        <v>9222</v>
      </c>
      <c r="J2057" s="9">
        <v>17.0</v>
      </c>
      <c r="K2057" s="9">
        <v>45.0</v>
      </c>
      <c r="L2057" s="8" t="s">
        <v>4619</v>
      </c>
      <c r="M2057" s="8" t="s">
        <v>9223</v>
      </c>
      <c r="N2057" s="7" t="str">
        <f>IFERROR(__xludf.DUMMYFUNCTION("GOOGLETRANSLATE(L2057, ""en"", ""pt"")"),"Garçom")</f>
        <v>Garçom</v>
      </c>
      <c r="O2057" s="7" t="str">
        <f>IFERROR(__xludf.DUMMYFUNCTION("IF(M2057="""","""",GOOGLETRANSLATE(M2057,""en"",""pt""))"),"As funções de um auxiliar de garçom incluem arrumar e limpar as mesas em um restaurante, proporcionando um ambiente limpo e organizado para os clientes. Isso inclui retirar pratos usados, repor talheres e servir bebidas. Classificação da função: 35-9011.0"&amp;"0 - Atendentes de Salão e Cafeteria e Auxiliares de Bar. A classificação e descrição da função/setor incluem informações gerais sobre o cargo, de acordo com o ONET/OES e o Sistema de Classificação Industrial da América do Norte (NAICS). Consulte as Funçõe"&amp;"s e a Ordem de Serviço para obter mais informações. Requisitos da vaga: Experiência necessária: Não. Número de horas por semana: 36. Horário de trabalho (início/término): 8h30 às 17h.")</f>
        <v>As funções de um auxiliar de garçom incluem arrumar e limpar as mesas em um restaurante, proporcionando um ambiente limpo e organizado para os clientes. Isso inclui retirar pratos usados, repor talheres e servir bebidas. Classificação da função: 35-9011.00 - Atendentes de Salão e Cafeteria e Auxiliares de Bar. A classificação e descrição da função/setor incluem informações gerais sobre o cargo, de acordo com o ONET/OES e o Sistema de Classificação Industrial da América do Norte (NAICS). Consulte as Funções e a Ordem de Serviço para obter mais informações. Requisitos da vaga: Experiência necessária: Não. Número de horas por semana: 36. Horário de trabalho (início/término): 8h30 às 17h.</v>
      </c>
    </row>
    <row r="2058" ht="20.25" customHeight="1">
      <c r="A2058" s="3" t="s">
        <v>9224</v>
      </c>
      <c r="B2058" s="3" t="s">
        <v>9220</v>
      </c>
      <c r="C2058" s="3"/>
      <c r="D2058" s="3" t="s">
        <v>55</v>
      </c>
      <c r="E2058" s="4" t="s">
        <v>19</v>
      </c>
      <c r="F2058" s="4" t="s">
        <v>20</v>
      </c>
      <c r="G2058" s="4" t="s">
        <v>377</v>
      </c>
      <c r="H2058" s="3" t="s">
        <v>9221</v>
      </c>
      <c r="I2058" s="3" t="s">
        <v>9222</v>
      </c>
      <c r="J2058" s="4">
        <v>16.32</v>
      </c>
      <c r="K2058" s="4">
        <v>70.0</v>
      </c>
      <c r="L2058" s="3" t="s">
        <v>8474</v>
      </c>
      <c r="M2058" s="3" t="s">
        <v>9225</v>
      </c>
      <c r="N2058" s="7" t="str">
        <f>IFERROR(__xludf.DUMMYFUNCTION("GOOGLETRANSLATE(L2058, ""en"", ""pt"")"),"Empregadas domésticas e serviços de limpeza")</f>
        <v>Empregadas domésticas e serviços de limpeza</v>
      </c>
      <c r="O2058" s="7" t="str">
        <f>IFERROR(__xludf.DUMMYFUNCTION("IF(M2058="""","""",GOOGLETRANSLATE(M2058,""en"",""pt""))"),"Limpeza e manutenção das instalações e áreas comuns. Aspirar, varrer e lavar pisos. Limpar e abastecer os banheiros. Limpar derramamentos com os equipamentos apropriados. Notificar os gerentes sobre reparos necessários. Recolher e descartar o lixo. Auxili"&amp;"ar os hóspedes quando necessário. Manter o estoque de rouparia. Fazer as camas. Repor a roupa de cama. Trocar a roupa de cama suja. Classificação do Cargo: 37-2012.00 - Camareiras e Auxiliares de Limpeza. A classificação e descrição do cargo/setor inclui "&amp;"informações gerais sobre a posição, de acordo com o ONET/OES e o Sistema de Classificação Industrial da América do Norte. Consulte as Funções e a Ordem de Serviço para obter mais informações. Requisitos do Cargo: Experiência Necessária: Não. Número de Hor"&amp;"as por Semana: 36. Horário de Trabalho (Início/Término): 8h30 às 17h.")</f>
        <v>Limpeza e manutenção das instalações e áreas comuns. Aspirar, varrer e lavar pisos. Limpar e abastecer os banheiros. Limpar derramamentos com os equipamentos apropriados. Notificar os gerentes sobre reparos necessários. Recolher e descartar o lixo. Auxiliar os hóspedes quando necessário. Manter o estoque de rouparia. Fazer as camas. Repor a roupa de cama. Trocar a roupa de cama suja. Classificação do Cargo: 37-2012.00 - Camareiras e Auxiliares de Limpeza. A classificação e descrição do cargo/setor inclui informações gerais sobre a posição, de acordo com o ONET/OES e o Sistema de Classificação Industrial da América do Norte. Consulte as Funções e a Ordem de Serviço para obter mais informações. Requisitos do Cargo: Experiência Necessária: Não. Número de Horas por Semana: 36. Horário de Trabalho (Início/Término): 8h30 às 17h.</v>
      </c>
    </row>
    <row r="2059" ht="20.25" customHeight="1">
      <c r="A2059" s="8" t="s">
        <v>9226</v>
      </c>
      <c r="B2059" s="8" t="s">
        <v>9227</v>
      </c>
      <c r="C2059" s="8" t="s">
        <v>8729</v>
      </c>
      <c r="D2059" s="8" t="s">
        <v>71</v>
      </c>
      <c r="E2059" s="9" t="s">
        <v>44</v>
      </c>
      <c r="F2059" s="9" t="s">
        <v>20</v>
      </c>
      <c r="G2059" s="9" t="s">
        <v>377</v>
      </c>
      <c r="H2059" s="8" t="s">
        <v>9228</v>
      </c>
      <c r="I2059" s="8" t="s">
        <v>9229</v>
      </c>
      <c r="J2059" s="9">
        <v>21.44</v>
      </c>
      <c r="K2059" s="9">
        <v>40.0</v>
      </c>
      <c r="L2059" s="8" t="s">
        <v>83</v>
      </c>
      <c r="M2059" s="8" t="s">
        <v>9230</v>
      </c>
      <c r="N2059" s="7" t="str">
        <f>IFERROR(__xludf.DUMMYFUNCTION("GOOGLETRANSLATE(L2059, ""en"", ""pt"")"),"Trabalhador Florestal")</f>
        <v>Trabalhador Florestal</v>
      </c>
      <c r="O2059" s="7" t="str">
        <f>IFERROR(__xludf.DUMMYFUNCTION("IF(M2059="""","""",GOOGLETRANSLATE(M2059,""en"",""pt""))"),"Sob a supervisão de um profissional habilitado, utilize ferramentas manuais ou elétricas e equipamentos para manter e restaurar áreas úmidas, parques nacionais e reservas ambientalmente protegidas; trate vegetação e árvores exóticas invasoras; implemente "&amp;"planos de mitigação e restauração de habitats; limpe arbustos e detritos e aplique herbicidas conforme as instruções, em conformidade com todas as leis e instruções do rótulo. Classificação da vaga: 45-4011.00 - Trabalhadores Florestais e de Conservação. "&amp;"A classificação e descrição da vaga/setor incluem informações gerais sobre o cargo, de acordo com o ONET/OES e o Sistema de Classificação Industrial da América do Norte. Consulte as Funções e a Ordem de Serviço para obter mais informações. Requisitos da v"&amp;"aga: Experiência exigida: Não. Número de horas por semana: 40. Horário de trabalho (início/término): 6h às 16h.")</f>
        <v>Sob a supervisão de um profissional habilitado, utilize ferramentas manuais ou elétricas e equipamentos para manter e restaurar áreas úmidas, parques nacionais e reservas ambientalmente protegidas; trate vegetação e árvores exóticas invasoras; implemente planos de mitigação e restauração de habitats; limpe arbustos e detritos e aplique herbicidas conforme as instruções, em conformidade com todas as leis e instruções do rótulo. Classificação da vaga: 45-4011.00 - Trabalhadores Florestais e de Conservação. A classificação e descrição da vaga/setor incluem informações gerais sobre o cargo, de acordo com o ONET/OES e o Sistema de Classificação Industrial da América do Norte. Consulte as Funções e a Ordem de Serviço para obter mais informações. Requisitos da vaga: Experiência exigida: Não. Número de horas por semana: 40. Horário de trabalho (início/término): 6h às 16h.</v>
      </c>
    </row>
    <row r="2060" ht="20.25" customHeight="1">
      <c r="A2060" s="3" t="s">
        <v>9231</v>
      </c>
      <c r="B2060" s="3" t="s">
        <v>9232</v>
      </c>
      <c r="C2060" s="3" t="s">
        <v>7596</v>
      </c>
      <c r="D2060" s="3" t="s">
        <v>140</v>
      </c>
      <c r="E2060" s="4" t="s">
        <v>19</v>
      </c>
      <c r="F2060" s="4" t="s">
        <v>20</v>
      </c>
      <c r="G2060" s="4" t="s">
        <v>345</v>
      </c>
      <c r="H2060" s="3" t="s">
        <v>9233</v>
      </c>
      <c r="I2060" s="3" t="s">
        <v>9234</v>
      </c>
      <c r="J2060" s="4">
        <v>15.46</v>
      </c>
      <c r="K2060" s="4">
        <v>2.0</v>
      </c>
      <c r="L2060" s="3" t="s">
        <v>9235</v>
      </c>
      <c r="M2060" s="3" t="s">
        <v>9236</v>
      </c>
      <c r="N2060" s="7" t="str">
        <f>IFERROR(__xludf.DUMMYFUNCTION("GOOGLETRANSLATE(L2060, ""en"", ""pt"")"),"Gerente de Hospitalidade")</f>
        <v>Gerente de Hospitalidade</v>
      </c>
      <c r="O2060" s="7" t="str">
        <f>IFERROR(__xludf.DUMMYFUNCTION("IF(M2060="""","""",GOOGLETRANSLATE(M2060,""en"",""pt""))"),"Executar diversas tarefas para garantir o conforto, a conveniência e a satisfação dos hóspedes. As tarefas incluem: auxiliar os hóspedes com solicitações de serviços e monitorar as solicitações de limpeza e manutenção; planejar e coordenar a logística de "&amp;"viagens e hospedagem, incluindo horários e reservas; providenciar transporte e preparar a chegada e a partida dos hóspedes; monitorar o estoque de suprimentos e materiais conforme necessário; auxiliar com solicitações especiais, eventos e logística dos hó"&amp;"spedes, incluindo cuidados com crianças, necessidades de acessibilidade e itens perdidos; fornecer suporte técnico de primeiro nível para as necessidades pessoais e profissionais dos hóspedes, incluindo a configuração e a solução de problemas dos disposit"&amp;"ivos dos hóspedes para conexão segura à rede Wi-Fi do estabelecimento, auxiliar com a tecnologia nos quartos e áreas comuns, como controles remotos de televisão e outros dispositivos, e encaminhar problemas não resolvidos para a equipe interna de TI ou fo"&amp;"rnecedores terceirizados de suporte, conforme necessário; manusear bagagens, entregas, correspondências e outros serviços comerciais similares; manter a limpeza do lounge para hóspedes; executar outras tarefas similares e relacionadas, conforme necessário"&amp;". Classificação da vaga: 39-6012.00 - Concierges. A classificação e a descrição da vaga/setor incluem informações gerais sobre o cargo, de acordo com o ONET/OES e o Sistema de Classificação Industrial da América do Norte. Consulte a Descrição das Funções "&amp;"e a Ordem de Serviço para obter mais informações. Requisitos da Vaga Experiência Necessária: Sim Meses de Experiência Necessários: 6 Requisitos Especiais: Não há exigência mínima de escolaridade. A experiência deve ser comprovada. Disponibilidade para tra"&amp;"balhar em turnos divididos, noturnos, fins de semana e feriados, conforme necessário. Mínimo de 35 horas semanais. Os turnos e horários variam entre 8h e 18h, 7 dias por semana. É necessário ter boa comunicação em inglês. Número de Horas por Semana: 56 Ho"&amp;"rário de Trabalho (Início/Término): 8h às 18h")</f>
        <v>Executar diversas tarefas para garantir o conforto, a conveniência e a satisfação dos hóspedes. As tarefas incluem: auxiliar os hóspedes com solicitações de serviços e monitorar as solicitações de limpeza e manutenção; planejar e coordenar a logística de viagens e hospedagem, incluindo horários e reservas; providenciar transporte e preparar a chegada e a partida dos hóspedes; monitorar o estoque de suprimentos e materiais conforme necessário; auxiliar com solicitações especiais, eventos e logística dos hóspedes, incluindo cuidados com crianças, necessidades de acessibilidade e itens perdidos; fornecer suporte técnico de primeiro nível para as necessidades pessoais e profissionais dos hóspedes, incluindo a configuração e a solução de problemas dos dispositivos dos hóspedes para conexão segura à rede Wi-Fi do estabelecimento, auxiliar com a tecnologia nos quartos e áreas comuns, como controles remotos de televisão e outros dispositivos, e encaminhar problemas não resolvidos para a equipe interna de TI ou fornecedores terceirizados de suporte, conforme necessário; manusear bagagens, entregas, correspondências e outros serviços comerciais similares; manter a limpeza do lounge para hóspedes; executar outras tarefas similares e relacionadas, conforme necessário. Classificação da vaga: 39-6012.00 - Concierges. A classificação e a descrição da vaga/setor incluem informações gerais sobre o cargo, de acordo com o ONET/OES e o Sistema de Classificação Industrial da América do Norte. Consulte a Descrição das Funções e a Ordem de Serviço para obter mais informações. Requisitos da Vaga Experiência Necessária: Sim Meses de Experiência Necessários: 6 Requisitos Especiais: Não há exigência mínima de escolaridade. A experiência deve ser comprovada. Disponibilidade para trabalhar em turnos divididos, noturnos, fins de semana e feriados, conforme necessário. Mínimo de 35 horas semanais. Os turnos e horários variam entre 8h e 18h, 7 dias por semana. É necessário ter boa comunicação em inglês. Número de Horas por Semana: 56 Horário de Trabalho (Início/Término): 8h às 18h</v>
      </c>
    </row>
    <row r="2061" ht="20.25" customHeight="1">
      <c r="A2061" s="8" t="s">
        <v>9237</v>
      </c>
      <c r="B2061" s="8" t="s">
        <v>9232</v>
      </c>
      <c r="C2061" s="8" t="s">
        <v>7596</v>
      </c>
      <c r="D2061" s="8" t="s">
        <v>140</v>
      </c>
      <c r="E2061" s="9" t="s">
        <v>19</v>
      </c>
      <c r="F2061" s="9" t="s">
        <v>20</v>
      </c>
      <c r="G2061" s="9" t="s">
        <v>345</v>
      </c>
      <c r="H2061" s="8" t="s">
        <v>9238</v>
      </c>
      <c r="I2061" s="8" t="s">
        <v>9239</v>
      </c>
      <c r="J2061" s="9">
        <v>24.37</v>
      </c>
      <c r="K2061" s="9">
        <v>2.0</v>
      </c>
      <c r="L2061" s="8" t="s">
        <v>387</v>
      </c>
      <c r="M2061" s="8" t="s">
        <v>9240</v>
      </c>
      <c r="N2061" s="7" t="str">
        <f>IFERROR(__xludf.DUMMYFUNCTION("GOOGLETRANSLATE(L2061, ""en"", ""pt"")"),"Ordem de serviço não disponível")</f>
        <v>Ordem de serviço não disponível</v>
      </c>
      <c r="O2061" s="7" t="str">
        <f>IFERROR(__xludf.DUMMYFUNCTION("IF(M2061="""","""",GOOGLETRANSLATE(M2061,""en"",""pt""))"),"Planejar, dirigir ou supervisionar atividades de preparação ou cozimento de alimentos. Determinar como os alimentos devem ser apresentados e criar decorações para os pratos. Preparar e cozinhar alimentos de todos os tipos, seja regularmente ou para convid"&amp;"ados especiais. Colaborar com outros funcionários para planejar e desenvolver receitas ou cardápios, levando em consideração fatores como a disponibilidade sazonal de ingredientes ou o número de convidados, etc. Supervisionar ou coordenar as atividades de"&amp;" cozinheiros ou auxiliares de cozinha envolvidos na preparação de alimentos. Encomendar ou requisitar alimentos ou outros suprimentos necessários para garantir o funcionamento eficiente. Garantir a higiene da cozinha, a segurança alimentar e a conformidad"&amp;"e com as normas. Executar outras tarefas similares e relacionadas, conforme necessário. Classificação da vaga: 35-1011.00 - Chefs e Cozinheiros Chefes. A classificação e a descrição da vaga/setor incluem informações gerais sobre o cargo, de acordo com o O"&amp;"NET/OES e o Sistema de Classificação Industrial da América do Norte. Consulte as Funções e a Ordem de Serviço para obter mais informações. Requisitos da vaga: Experiência necessária: Sim. Meses de experiência necessários: 6. Requisitos especiais: Não há e"&amp;"xigência de escolaridade mínima. A experiência deve ser comprovada. Disponibilidade para trabalhar em turnos divididos, noturnos, fins de semana e feriados, conforme necessário. Mínimo de 35 horas semanais. Os turnos e horários variam entre 8h e 18h, 7 di"&amp;"as por semana. É imprescindível ter boa comunicação em inglês. Número de horas por semana: 63. Horário de trabalho (início/término): 8h às 18h.")</f>
        <v>Planejar, dirigir ou supervisionar atividades de preparação ou cozimento de alimentos. Determinar como os alimentos devem ser apresentados e criar decorações para os pratos. Preparar e cozinhar alimentos de todos os tipos, seja regularmente ou para convidados especiais. Colaborar com outros funcionários para planejar e desenvolver receitas ou cardápios, levando em consideração fatores como a disponibilidade sazonal de ingredientes ou o número de convidados, etc. Supervisionar ou coordenar as atividades de cozinheiros ou auxiliares de cozinha envolvidos na preparação de alimentos. Encomendar ou requisitar alimentos ou outros suprimentos necessários para garantir o funcionamento eficiente. Garantir a higiene da cozinha, a segurança alimentar e a conformidade com as normas. Executar outras tarefas similares e relacionadas, conforme necessário. Classificação da vaga: 35-1011.00 - Chefs e Cozinheiros Chefes. A classificação e a descrição da vaga/setor incluem informações gerais sobre o cargo, de acordo com o ONET/OES e o Sistema de Classificação Industrial da América do Norte. Consulte as Funções e a Ordem de Serviço para obter mais informações. Requisitos da vaga: Experiência necessária: Sim. Meses de experiência necessários: 6. Requisitos especiais: Não há exigência de escolaridade mínima. A experiência deve ser comprovada. Disponibilidade para trabalhar em turnos divididos, noturnos, fins de semana e feriados, conforme necessário. Mínimo de 35 horas semanais. Os turnos e horários variam entre 8h e 18h, 7 dias por semana. É imprescindível ter boa comunicação em inglês. Número de horas por semana: 63. Horário de trabalho (início/término): 8h às 18h.</v>
      </c>
    </row>
    <row r="2062" ht="20.25" customHeight="1">
      <c r="A2062" s="3" t="s">
        <v>9241</v>
      </c>
      <c r="B2062" s="3" t="s">
        <v>9060</v>
      </c>
      <c r="C2062" s="3" t="s">
        <v>1000</v>
      </c>
      <c r="D2062" s="3" t="s">
        <v>36</v>
      </c>
      <c r="E2062" s="4" t="s">
        <v>19</v>
      </c>
      <c r="F2062" s="4" t="s">
        <v>20</v>
      </c>
      <c r="G2062" s="4" t="s">
        <v>307</v>
      </c>
      <c r="H2062" s="3" t="s">
        <v>9242</v>
      </c>
      <c r="I2062" s="3" t="s">
        <v>9243</v>
      </c>
      <c r="J2062" s="4">
        <v>19.05</v>
      </c>
      <c r="K2062" s="4">
        <v>12.0</v>
      </c>
      <c r="L2062" s="3" t="s">
        <v>2196</v>
      </c>
      <c r="M2062" s="3" t="s">
        <v>9244</v>
      </c>
      <c r="N2062" s="7" t="str">
        <f>IFERROR(__xludf.DUMMYFUNCTION("GOOGLETRANSLATE(L2062, ""en"", ""pt"")"),"Paisagistas")</f>
        <v>Paisagistas</v>
      </c>
      <c r="O2062" s="7" t="str">
        <f>IFERROR(__xludf.DUMMYFUNCTION("IF(M2062="""","""",GOOGLETRANSLATE(M2062,""en"",""pt""))"),"Recolher e remover lixo; usar ferramentas manuais como pás, ancinhos, serras de poda, serras, aparadores de cerca viva ou de arbustos ou machados; operar equipamentos motorizados como cortadores de grama, motosserras, tesouras elétricas ou serras de poda;"&amp;" regar gramados, árvores ou plantas usando sistemas de irrigação portáteis, mangueiras ou regadores; podar ou aparar árvores, arbustos ou cercas vivas usando tesouras de poda, podadores ou motosserras. A poda de árvores será feita no solo e consistirá em "&amp;"cortar galhos de árvores com menos de 1,80 m de altura sem a necessidade de escada ou escalada. Um podador manual será a ferramenta necessária para concluir esta tarefa. Classificação do Cargo: 37-3011.00 - Trabalhadores de Paisagismo e Manutenção de Jard"&amp;"ins. A classificação e descrição do cargo/setor inclui informações gerais sobre a posição, de acordo com o ONET/OES e o Sistema de Classificação Industrial da América do Norte. Consulte as Funções e a Ordem de Serviço para obter mais informações. Requisit"&amp;"os da vaga Experiência necessária: Não Requisitos especiais: Deve ser capaz de levantar 34 kg por 45 metros. Deve ser capaz de lidar com temperaturas extremas. Trabalho em alguns fins de semana. Deslocamento para locais de trabalho dentro da área de atuaç"&amp;"ão pretendida para desempenhar as funções do cargo. Número de horas por semana: 40 Horário de trabalho (início/término): 6h30 às 16h30")</f>
        <v>Recolher e remover lixo; usar ferramentas manuais como pás, ancinhos, serras de poda, serras, aparadores de cerca viva ou de arbustos ou machados; operar equipamentos motorizados como cortadores de grama, motosserras, tesouras elétricas ou serras de poda; regar gramados, árvores ou plantas usando sistemas de irrigação portáteis, mangueiras ou regadores; podar ou aparar árvores, arbustos ou cercas vivas usando tesouras de poda, podadores ou motosserras. A poda de árvores será feita no solo e consistirá em cortar galhos de árvores com menos de 1,80 m de altura sem a necessidade de escada ou escalada. Um podador manual será a ferramenta necessária para concluir esta tarefa. Classificação do Cargo: 37-3011.00 - Trabalhadores de Paisagismo e Manutenção de Jardins. A classificação e descrição do cargo/setor inclui informações gerais sobre a posição, de acordo com o ONET/OES e o Sistema de Classificação Industrial da América do Norte. Consulte as Funções e a Ordem de Serviço para obter mais informações. Requisitos da vaga Experiência necessária: Não Requisitos especiais: Deve ser capaz de levantar 34 kg por 45 metros. Deve ser capaz de lidar com temperaturas extremas. Trabalho em alguns fins de semana. Deslocamento para locais de trabalho dentro da área de atuação pretendida para desempenhar as funções do cargo. Número de horas por semana: 40 Horário de trabalho (início/término): 6h30 às 16h30</v>
      </c>
    </row>
    <row r="2063" ht="20.25" customHeight="1">
      <c r="A2063" s="8" t="s">
        <v>9245</v>
      </c>
      <c r="B2063" s="8" t="s">
        <v>9246</v>
      </c>
      <c r="C2063" s="8" t="s">
        <v>8729</v>
      </c>
      <c r="D2063" s="8" t="s">
        <v>71</v>
      </c>
      <c r="E2063" s="9" t="s">
        <v>19</v>
      </c>
      <c r="F2063" s="9" t="s">
        <v>20</v>
      </c>
      <c r="G2063" s="9" t="s">
        <v>4040</v>
      </c>
      <c r="H2063" s="8" t="s">
        <v>9247</v>
      </c>
      <c r="I2063" s="8" t="s">
        <v>9248</v>
      </c>
      <c r="J2063" s="9">
        <v>36.84</v>
      </c>
      <c r="K2063" s="9">
        <v>1.0</v>
      </c>
      <c r="L2063" s="8" t="s">
        <v>9249</v>
      </c>
      <c r="M2063" s="8" t="s">
        <v>9250</v>
      </c>
      <c r="N2063" s="7" t="str">
        <f>IFERROR(__xludf.DUMMYFUNCTION("GOOGLETRANSLATE(L2063, ""en"", ""pt"")"),"Treinador")</f>
        <v>Treinador</v>
      </c>
      <c r="O2063" s="7" t="str">
        <f>IFERROR(__xludf.DUMMYFUNCTION("IF(M2063="""","""",GOOGLETRANSLATE(M2063,""en"",""pt""))"),"Projetar e conduzir programas de treinamento e desenvolvimento relacionados ao trabalho para aprimorar as habilidades individuais e o desempenho organizacional. Analisar as necessidades de treinamento da organização e avaliar a eficácia do treinamento. Ap"&amp;"resentar informações com uma variedade de técnicas ou formatos instrucionais, como dramatizações, simulações, exercícios em equipe, discussões em grupo, vídeos ou palestras. Desenvolver manuais de procedimentos e programas de treinamento. Classificação do"&amp;" Cargo: 13-1151.00 - Especialistas em Treinamento e Desenvolvimento. A classificação e descrição do cargo/setor incluem informações gerais sobre a posição, de acordo com o ONET/OES e o Sistema de Classificação Industrial da América do Norte (NAICS). Consu"&amp;"lte as Atribuições e a Ordem de Serviço para obter mais informações. Requisitos do Cargo: Experiência Necessária: Não. Número de Horas por Semana: 40. Horário de Trabalho (Início/Término): 8h30 às 17h30.")</f>
        <v>Projetar e conduzir programas de treinamento e desenvolvimento relacionados ao trabalho para aprimorar as habilidades individuais e o desempenho organizacional. Analisar as necessidades de treinamento da organização e avaliar a eficácia do treinamento. Apresentar informações com uma variedade de técnicas ou formatos instrucionais, como dramatizações, simulações, exercícios em equipe, discussões em grupo, vídeos ou palestras. Desenvolver manuais de procedimentos e programas de treinamento. Classificação do Cargo: 13-1151.00 - Especialistas em Treinamento e Desenvolvimento. A classificação e descrição do cargo/setor incluem informações gerais sobre a posição, de acordo com o ONET/OES e o Sistema de Classificação Industrial da América do Norte (NAICS). Consulte as Atribuições e a Ordem de Serviço para obter mais informações. Requisitos do Cargo: Experiência Necessária: Não. Número de Horas por Semana: 40. Horário de Trabalho (Início/Término): 8h30 às 17h30.</v>
      </c>
    </row>
    <row r="2064" ht="20.25" customHeight="1">
      <c r="A2064" s="3" t="s">
        <v>9251</v>
      </c>
      <c r="B2064" s="3" t="s">
        <v>9252</v>
      </c>
      <c r="C2064" s="3" t="s">
        <v>9020</v>
      </c>
      <c r="D2064" s="3" t="s">
        <v>3015</v>
      </c>
      <c r="E2064" s="4" t="s">
        <v>19</v>
      </c>
      <c r="F2064" s="4" t="s">
        <v>20</v>
      </c>
      <c r="G2064" s="4" t="s">
        <v>2339</v>
      </c>
      <c r="H2064" s="3" t="s">
        <v>9253</v>
      </c>
      <c r="I2064" s="3" t="s">
        <v>9254</v>
      </c>
      <c r="J2064" s="4">
        <v>21.87</v>
      </c>
      <c r="K2064" s="4">
        <v>4.0</v>
      </c>
      <c r="L2064" s="3" t="s">
        <v>676</v>
      </c>
      <c r="M2064" s="3" t="s">
        <v>9255</v>
      </c>
      <c r="N2064" s="7" t="str">
        <f>IFERROR(__xludf.DUMMYFUNCTION("GOOGLETRANSLATE(L2064, ""en"", ""pt"")"),"Trabalhadores de paisagismo e manutenção de jardins")</f>
        <v>Trabalhadores de paisagismo e manutenção de jardins</v>
      </c>
      <c r="O2064" s="7" t="str">
        <f>IFERROR(__xludf.DUMMYFUNCTION("IF(M2064="""","""",GOOGLETRANSLATE(M2064,""en"",""pt""))"),"As funções incluem a remoção de neve com pás, sopradores de neve e lâminas de empurrar. Tarefas leves de paisagismo de inverno incluem: limpeza de folhas secas no outono, drenagem e preparação do sistema de irrigação para o inverno, proteção da base das á"&amp;"rvores com juta para protegê-las do clima, colocação de cobertura morta ao redor de plantas e arbustos, colocação de proteção temporária contra o vento em outras plantas para proteção no inverno e limpeza de galhos quebrados devido ao peso da neve. Ferram"&amp;"entas leves de paisagismo de inverno incluem: ancinhos, pás, serras, carrinhos de mão, sacos de lixo, chaves de boca, martelos, soquetes e catracas. Todas as tarefas leves de paisagismo de inverno são realizadas ao nível do solo, sem o uso de plataformas "&amp;"elevatórias ou dispositivos de suspensão de pessoal, e nenhum equipamento pesado será utilizado. Classificação da função: 37-3011.00 - Trabalhadores de Paisagismo e Manutenção de Jardins. A classificação e descrição da função/setor inclui informações gera"&amp;"is sobre o cargo, de acordo com o ONET/OES e o Sistema de Classificação Industrial da América do Norte. Consulte as Funções e a Ordem de Serviço para obter mais informações. Requisitos da vaga Experiência necessária: Não Requisitos especiais: Não é necess"&amp;"ário ter formação ou experiência. Treinamento no local de trabalho disponível. Capacidade de levantar e sustentar até 23 kg. Verificação de elegibilidade para trabalho (E-Verify) após a contratação. Possibilidade de trabalho aos sábados. Haverá intervalos"&amp;" diários. Número de horas por semana: 40 Horário de trabalho (início/término): 7h às 17h")</f>
        <v>As funções incluem a remoção de neve com pás, sopradores de neve e lâminas de empurrar. Tarefas leves de paisagismo de inverno incluem: limpeza de folhas secas no outono, drenagem e preparação do sistema de irrigação para o inverno, proteção da base das árvores com juta para protegê-las do clima, colocação de cobertura morta ao redor de plantas e arbustos, colocação de proteção temporária contra o vento em outras plantas para proteção no inverno e limpeza de galhos quebrados devido ao peso da neve. Ferramentas leves de paisagismo de inverno incluem: ancinhos, pás, serras, carrinhos de mão, sacos de lixo, chaves de boca, martelos, soquetes e catracas. Todas as tarefas leves de paisagismo de inverno são realizadas ao nível do solo, sem o uso de plataformas elevatórias ou dispositivos de suspensão de pessoal, e nenhum equipamento pesado será utilizado. Classificação da função: 37-3011.00 - Trabalhadores de Paisagismo e Manutenção de Jardins. A classificação e descrição da função/setor inclui informações gerais sobre o cargo, de acordo com o ONET/OES e o Sistema de Classificação Industrial da América do Norte. Consulte as Funções e a Ordem de Serviço para obter mais informações. Requisitos da vaga Experiência necessária: Não Requisitos especiais: Não é necessário ter formação ou experiência. Treinamento no local de trabalho disponível. Capacidade de levantar e sustentar até 23 kg. Verificação de elegibilidade para trabalho (E-Verify) após a contratação. Possibilidade de trabalho aos sábados. Haverá intervalos diários. Número de horas por semana: 40 Horário de trabalho (início/término): 7h às 17h</v>
      </c>
    </row>
    <row r="2065" ht="20.25" customHeight="1">
      <c r="A2065" s="8" t="s">
        <v>9256</v>
      </c>
      <c r="B2065" s="8" t="s">
        <v>9257</v>
      </c>
      <c r="C2065" s="8" t="s">
        <v>9020</v>
      </c>
      <c r="D2065" s="8" t="s">
        <v>299</v>
      </c>
      <c r="E2065" s="9" t="s">
        <v>44</v>
      </c>
      <c r="F2065" s="9" t="s">
        <v>20</v>
      </c>
      <c r="G2065" s="9" t="s">
        <v>3339</v>
      </c>
      <c r="H2065" s="8" t="s">
        <v>9258</v>
      </c>
      <c r="I2065" s="8" t="s">
        <v>9259</v>
      </c>
      <c r="J2065" s="9">
        <v>18.02</v>
      </c>
      <c r="K2065" s="9">
        <v>38.0</v>
      </c>
      <c r="L2065" s="8" t="s">
        <v>9260</v>
      </c>
      <c r="M2065" s="8" t="s">
        <v>9261</v>
      </c>
      <c r="N2065" s="7" t="str">
        <f>IFERROR(__xludf.DUMMYFUNCTION("GOOGLETRANSLATE(L2065, ""en"", ""pt"")"),"Zeladores e Faxineiros (f)")</f>
        <v>Zeladores e Faxineiros (f)</v>
      </c>
      <c r="O2065" s="7" t="str">
        <f>IFERROR(__xludf.DUMMYFUNCTION("IF(M2065="""","""",GOOGLETRANSLATE(M2065,""en"",""pt""))"),"Os funcionários usam pás manuais para remover a neve de calçadas e usam quadriciclos com lâmina de neve para remover a neve de entradas de garagem e/ou estacionamentos. Também usam as mãos e/ou espalhadores de sal manuais em áreas conforme orientação do g"&amp;"erente para derreter o gelo. Instalam e desinstalam decorações de Natal. Realizam manutenção de neve/gelo em áreas comerciais e residenciais, incluindo limpeza após tempestades de inverno, coleta de lixo/detritos e remoção de neve/gelo. Limpam e realizam "&amp;"manutenção de rotina e/ou pequenos reparos em equipamentos e ferramentas quando não estiverem em uso. Usam ferramentas manuais e equipamentos como picadores de gelo, pás e sopradores. Classificação da vaga: 37-2011.00 - Zeladores e Faxineiros, exceto empr"&amp;"egadas domésticas e faxineiras. A classificação e descrição da vaga/setor incluem informações gerais sobre o cargo, de acordo com o ONET/OES e o Sistema de Classificação Industrial da América do Norte. Consulte as Funções e a Ordem de Serviço para obter m"&amp;"ais informações. Requisitos da vaga: Experiência necessária: Não. Requisitos especiais: Não é necessário escolaridade/experiência. Treinamento no local de trabalho disponível. Capacidade de levantar e sustentar até 23 kg. Verificação de antecedentes crimi"&amp;"nais (E-Verify) após a contratação. Possibilidade de trabalho aos sábados. Haverá intervalos diários. Número de horas por semana: 35. Horário de trabalho (início/término): 6h30 às 16h30.")</f>
        <v>Os funcionários usam pás manuais para remover a neve de calçadas e usam quadriciclos com lâmina de neve para remover a neve de entradas de garagem e/ou estacionamentos. Também usam as mãos e/ou espalhadores de sal manuais em áreas conforme orientação do gerente para derreter o gelo. Instalam e desinstalam decorações de Natal. Realizam manutenção de neve/gelo em áreas comerciais e residenciais, incluindo limpeza após tempestades de inverno, coleta de lixo/detritos e remoção de neve/gelo. Limpam e realizam manutenção de rotina e/ou pequenos reparos em equipamentos e ferramentas quando não estiverem em uso. Usam ferramentas manuais e equipamentos como picadores de gelo, pás e sopradores. Classificação da vaga: 37-2011.00 - Zeladores e Faxineiros, exceto empregadas domésticas e faxineiras. A classificação e descrição da vaga/setor incluem informações gerais sobre o cargo, de acordo com o ONET/OES e o Sistema de Classificação Industrial da América do Norte. Consulte as Funções e a Ordem de Serviço para obter mais informações. Requisitos da vaga: Experiência necessária: Não. Requisitos especiais: Não é necessário escolaridade/experiência. Treinamento no local de trabalho disponível. Capacidade de levantar e sustentar até 23 kg. Verificação de antecedentes criminais (E-Verify) após a contratação. Possibilidade de trabalho aos sábados. Haverá intervalos diários. Número de horas por semana: 35. Horário de trabalho (início/término): 6h30 às 16h30.</v>
      </c>
    </row>
    <row r="2066" ht="20.25" customHeight="1">
      <c r="A2066" s="3" t="s">
        <v>9262</v>
      </c>
      <c r="B2066" s="3" t="s">
        <v>9263</v>
      </c>
      <c r="C2066" s="3" t="s">
        <v>9013</v>
      </c>
      <c r="D2066" s="3" t="s">
        <v>271</v>
      </c>
      <c r="E2066" s="4" t="s">
        <v>19</v>
      </c>
      <c r="F2066" s="4" t="s">
        <v>20</v>
      </c>
      <c r="G2066" s="4" t="s">
        <v>377</v>
      </c>
      <c r="H2066" s="3" t="s">
        <v>9264</v>
      </c>
      <c r="I2066" s="3" t="s">
        <v>9265</v>
      </c>
      <c r="J2066" s="4">
        <v>23.17</v>
      </c>
      <c r="K2066" s="4">
        <v>50.0</v>
      </c>
      <c r="L2066" s="3" t="s">
        <v>9266</v>
      </c>
      <c r="M2066" s="3" t="s">
        <v>9267</v>
      </c>
      <c r="N2066" s="7" t="str">
        <f>IFERROR(__xludf.DUMMYFUNCTION("GOOGLETRANSLATE(L2066, ""en"", ""pt"")"),"Operador de Materiais")</f>
        <v>Operador de Materiais</v>
      </c>
      <c r="O2066" s="7" t="str">
        <f>IFERROR(__xludf.DUMMYFUNCTION("IF(M2066="""","""",GOOGLETRANSLATE(M2066,""en"",""pt""))"),"***Resposta à Solicitação de Informações*** Os funcionários levantam e posicionam toras de madeira, tábuas para paletes e paletes de madeira em equipamentos de produção, incluindo serras manuais, máquinas de corte de extremidades e máquinas de desmontagem"&amp;" de paletes. Os funcionários alimentam as serras manuais e as máquinas de corte de extremidades com as toras de madeira, que cortam as toras em tábuas e longarinas para paletes, utilizadas na produção de paletes. Os funcionários removem, classificam e emp"&amp;"ilham os componentes de madeira para paletes produzidos pelas máquinas. Os funcionários também levantam paletes danificados para as máquinas de desmontagem de paletes, que cortam pregos e separam os componentes dos paletes. Os funcionários classificam e e"&amp;"mpilham os componentes de madeira reutilizáveis ​​e descartam os materiais inutilizáveis. Os materiais manuseados incluem toras de madeira, tábuas para paletes, componentes de paletes e paletes de madeira. Os equipamentos utilizados incluem serras manuais"&amp;", máquinas de corte de extremidades e máquinas de desmontagem de paletes. ***Original*** Operadores de Materiais para executar tarefas na produção de paletes. A seguir, uma lista das funções essenciais: 1. Realizar o levantamento, a alimentação da máquina"&amp;" e o empilhamento de componentes de madeira para paletes. 2. Detecta e reporta materiais defeituosos ou condições questionáveis ​​ao supervisor do departamento. 3. Monta componentes de madeira para paletes utilizando uma pistola de pregos. 4. Mantém a áre"&amp;"a de trabalho e os equipamentos limpos e organizados, seguindo as normas de segurança estabelecidas. 5. Deve ser capaz de realizar, entre outras, as seguintes tarefas: levantar 23 kg, trabalhar em pé por mais de 8 horas por dia e estar disposto a trabalha"&amp;"r em ambiente externo. 6. Deve ser capaz de se abaixar e levantar objetos por mais de 8 horas por dia. A posição exige foco em qualidade e segurança. A LETEM Recycling opera em um ritmo acelerado e prezamos por um ambiente limpo e seguro. Dois turnos de t"&amp;"rabalho disponíveis: das 6h às 14h e das 14h às 22h. Classificação da vaga: 51-7041.00 - Preparadores, operadores e auxiliares de serras para madeira. A classificação e descrição da vaga/setor incluem informações gerais sobre a posição, de acordo com o ON"&amp;"ET/OES e o Sistema de Classificação Industrial da América do Norte (NAICS). Consulte as atribuições e a ordem de serviço para obter mais informações. Requisitos da vaga: Experiência necessária: Não. Número de horas por semana: 40. Horário de trabalho (iní"&amp;"cio/término): 6h às 22h.")</f>
        <v>***Resposta à Solicitação de Informações*** Os funcionários levantam e posicionam toras de madeira, tábuas para paletes e paletes de madeira em equipamentos de produção, incluindo serras manuais, máquinas de corte de extremidades e máquinas de desmontagem de paletes. Os funcionários alimentam as serras manuais e as máquinas de corte de extremidades com as toras de madeira, que cortam as toras em tábuas e longarinas para paletes, utilizadas na produção de paletes. Os funcionários removem, classificam e empilham os componentes de madeira para paletes produzidos pelas máquinas. Os funcionários também levantam paletes danificados para as máquinas de desmontagem de paletes, que cortam pregos e separam os componentes dos paletes. Os funcionários classificam e empilham os componentes de madeira reutilizáveis ​​e descartam os materiais inutilizáveis. Os materiais manuseados incluem toras de madeira, tábuas para paletes, componentes de paletes e paletes de madeira. Os equipamentos utilizados incluem serras manuais, máquinas de corte de extremidades e máquinas de desmontagem de paletes. ***Original*** Operadores de Materiais para executar tarefas na produção de paletes. A seguir, uma lista das funções essenciais: 1. Realizar o levantamento, a alimentação da máquina e o empilhamento de componentes de madeira para paletes. 2. Detecta e reporta materiais defeituosos ou condições questionáveis ​​ao supervisor do departamento. 3. Monta componentes de madeira para paletes utilizando uma pistola de pregos. 4. Mantém a área de trabalho e os equipamentos limpos e organizados, seguindo as normas de segurança estabelecidas. 5. Deve ser capaz de realizar, entre outras, as seguintes tarefas: levantar 23 kg, trabalhar em pé por mais de 8 horas por dia e estar disposto a trabalhar em ambiente externo. 6. Deve ser capaz de se abaixar e levantar objetos por mais de 8 horas por dia. A posição exige foco em qualidade e segurança. A LETEM Recycling opera em um ritmo acelerado e prezamos por um ambiente limpo e seguro. Dois turnos de trabalho disponíveis: das 6h às 14h e das 14h às 22h. Classificação da vaga: 51-7041.00 - Preparadores, operadores e auxiliares de serras para madeira. A classificação e descrição da vaga/setor incluem informações gerais sobre a posição, de acordo com o ONET/OES e o Sistema de Classificação Industrial da América do Norte (NAICS). Consulte as atribuições e a ordem de serviço para obter mais informações. Requisitos da vaga: Experiência necessária: Não. Número de horas por semana: 40. Horário de trabalho (início/término): 6h às 22h.</v>
      </c>
    </row>
    <row r="2067" ht="20.25" customHeight="1">
      <c r="A2067" s="8" t="s">
        <v>9268</v>
      </c>
      <c r="B2067" s="8" t="s">
        <v>9070</v>
      </c>
      <c r="C2067" s="8" t="s">
        <v>8537</v>
      </c>
      <c r="D2067" s="8" t="s">
        <v>278</v>
      </c>
      <c r="E2067" s="9" t="s">
        <v>19</v>
      </c>
      <c r="F2067" s="9" t="s">
        <v>20</v>
      </c>
      <c r="G2067" s="9" t="s">
        <v>56</v>
      </c>
      <c r="H2067" s="8" t="s">
        <v>9071</v>
      </c>
      <c r="I2067" s="8" t="s">
        <v>9072</v>
      </c>
      <c r="J2067" s="9">
        <v>27.51</v>
      </c>
      <c r="K2067" s="9">
        <v>1.0</v>
      </c>
      <c r="L2067" s="8" t="s">
        <v>3563</v>
      </c>
      <c r="M2067" s="8" t="s">
        <v>9076</v>
      </c>
      <c r="N2067" s="7" t="str">
        <f>IFERROR(__xludf.DUMMYFUNCTION("GOOGLETRANSLATE(L2067, ""en"", ""pt"")"),"Capataz")</f>
        <v>Capataz</v>
      </c>
      <c r="O2067" s="7" t="str">
        <f>IFERROR(__xludf.DUMMYFUNCTION("IF(M2067="""","""",GOOGLETRANSLATE(M2067,""en"",""pt""))"),"***Resposta à Solicitação de Informações*** O trabalhador operará os equipamentos em caráter de treinamento, conforme necessário, para garantir que os demais membros da equipe sejam devidamente instruídos sobre o uso dos equipamentos. O trabalhador não op"&amp;"erará os equipamentos em sua capacidade de produção diária e os operará conforme necessário para dar suporte ao projeto – menos de 50% do dia, se necessário. Toda a operação dos equipamentos será realizada no local do projeto, portanto, não é necessária c"&amp;"arteira de habilitação comercial. Espera-se que qualquer escavação de valas associada ao projeto envolva valas com aproximadamente 66 a 122 cm de profundidade e 30 a 183 cm de largura em seus pontos mais largos. Modelos de equipamentos equivalentes podem "&amp;"ser utilizados, dependendo da disponibilidade. Os equipamentos que podem ser utilizados incluem: escavadeiras de valas de 75 a 95 HP, como a Ditch Witch RT75 ou a Vermeer RTX750, para escavar e aterrar valas de irrigação para instalação de tubulação princ"&amp;"ipal (tubulações de 10 a 25 cm); Arados vibratórios de 75 a 95 HP, como o Ditch Witch RT75 ou o Vermeer RTX750, para aração de linhas laterais de irrigação e fios a profundidades de aproximadamente 45 a 60 cm; escavadeiras de 4.500 a 11.000 kg, como a Joh"&amp;"n Deere 120 e a miniescavadeira Caterpillar 306, para escavar e aterrar valas para a instalação de tubulações de drenagem e irrigação em todo o campo de golfe; minicarregadeiras de 1.270 a 1.450 kg, como a Caterpillar 265, para movimentação e carregamento"&amp;" de materiais, aterro de valas e carregamento de cascalho e areia para bunkers em reboques Pronovost; caminhão basculante Wacker Neuson 3001 para transporte de entulho e suprimentos como cascalho e areia; rolos compactadores de tambor duplo liso de 2 a 3 "&amp;"toneladas, como o Dynapac CC1200 ou o Wacker Neuson, para compactação de valas ou nivelamento de linhas de aragem; Trator de 50 a 80 HP e reboques basculantes, como o John Deere 4066M e/ou John Deere 5077, para movimentação de materiais dentro do canteiro"&amp;" de obras e para puxar implementos fora de estrada; UTV para 2 a 4 ou 4 a 6 pessoas, como o Kubota RTV-X1140, para transporte da equipe e suprimentos; e empilhadeira/manipulador telescópico, como o modelo 8K JLG, para carga e descarga de tubos e outros ma"&amp;"teriais. ***Original*** Trabalho braçal prático em demarcação/layout, drenagem, bunkers, acabamento, greens e tees, operação de equipamentos, etc.; informa as equipes sobre as atividades planejadas para o dia e fornece as ferramentas e materiais necessári"&amp;"os; instrui, supervisiona e treina as equipes nas tarefas designadas, como instalação de irrigação, criação de tees e bunkers, plantio de grama, semeadura, demarcação/sinalização, operação e manutenção de equipamentos; gerencia o estoque de equipamentos, "&amp;"suprimentos, materiais e combustível; Identifica e elimina potenciais desperdícios que possam ocorrer durante a execução das tarefas atribuídas, incluindo desperdício de materiais como aspersores de irrigação, tubos e fios de irrigação, cascalho e mistura"&amp;" para gramados; garante que os equipamentos e ferramentas atribuídos sejam mantidos adequadamente por meio da execução de manutenção preventiva de rotina; auxilia na manutenção de registros do projeto, como comprovantes de entrega, ordens de compra e list"&amp;"as de reuniões de segurança; auxilia na criação de desenhos ""as-built""; e reporta potenciais problemas ao Superintendente do Projeto. Alojamento opcional fornecido pela empresa será oferecido gratuitamente para funcionários que residem fora da distância"&amp;" de deslocamento diário. Funcionários que não necessitarem ou não utilizarem o alojamento da empresa receberão um reembolso de moradia de US$ 231,00 por período de pagamento. Classificação da Função: 47-2073.00 - Operadores de Máquinas e Outros Operadores"&amp;" de Equipamentos de Construção. A classificação e descrição da função/setor inclui informações gerais sobre o cargo, conforme o ONET/OES e o Sistema de Classificação Industrial da América do Norte (NAICS). Consulte as Funções e a Ordem de Serviço para obt"&amp;"er mais informações. Requisitos da Vaga Experiência Necessária: Sim Meses de Experiência Necessários: 12 Requisitos Especiais: Necessário possuir certificação como Fundidor de Tubos Certificado por um fornecedor reconhecido, como ISCO, Ewing Irrigation ou"&amp;" ADS Hancor. 12 meses de experiência em construção e reforma de campos de golfe. Horas extras conforme necessário. Gostaríamos de esclarecer as informações do Item F.a.5. Durante a semana de trabalho, que vai de domingo a sábado, os funcionários têm uma j"&amp;"ornada de 40 horas semanais e recebem horas extras conforme necessário. O Item F.a.5 não permite inserir essa escala de trabalho. Se inserirmos 8 horas por dia, o sistema mostrará 56 horas semanais, o que não reflete com precisão a jornada de trabalho. Nú"&amp;"mero de Horas por Semana: 40 Horário de Trabalho (Início/Término): 7h00 - 15h30")</f>
        <v>***Resposta à Solicitação de Informações*** O trabalhador operará os equipamentos em caráter de treinamento, conforme necessário, para garantir que os demais membros da equipe sejam devidamente instruídos sobre o uso dos equipamentos. O trabalhador não operará os equipamentos em sua capacidade de produção diária e os operará conforme necessário para dar suporte ao projeto – menos de 50% do dia, se necessário. Toda a operação dos equipamentos será realizada no local do projeto, portanto, não é necessária carteira de habilitação comercial. Espera-se que qualquer escavação de valas associada ao projeto envolva valas com aproximadamente 66 a 122 cm de profundidade e 30 a 183 cm de largura em seus pontos mais largos. Modelos de equipamentos equivalentes podem ser utilizados, dependendo da disponibilidade. Os equipamentos que podem ser utilizados incluem: escavadeiras de valas de 75 a 95 HP, como a Ditch Witch RT75 ou a Vermeer RTX750, para escavar e aterrar valas de irrigação para instalação de tubulação principal (tubulações de 10 a 25 cm); Arados vibratórios de 75 a 95 HP, como o Ditch Witch RT75 ou o Vermeer RTX750, para aração de linhas laterais de irrigação e fios a profundidades de aproximadamente 45 a 60 cm; escavadeiras de 4.500 a 11.000 kg, como a John Deere 120 e a miniescavadeira Caterpillar 306, para escavar e aterrar valas para a instalação de tubulações de drenagem e irrigação em todo o campo de golfe; minicarregadeiras de 1.270 a 1.450 kg, como a Caterpillar 265, para movimentação e carregamento de materiais, aterro de valas e carregamento de cascalho e areia para bunkers em reboques Pronovost; caminhão basculante Wacker Neuson 3001 para transporte de entulho e suprimentos como cascalho e areia; rolos compactadores de tambor duplo liso de 2 a 3 toneladas, como o Dynapac CC1200 ou o Wacker Neuson, para compactação de valas ou nivelamento de linhas de aragem; Trator de 50 a 80 HP e reboques basculantes, como o John Deere 4066M e/ou John Deere 5077, para movimentação de materiais dentro do canteiro de obras e para puxar implementos fora de estrada; UTV para 2 a 4 ou 4 a 6 pessoas, como o Kubota RTV-X1140, para transporte da equipe e suprimentos; e empilhadeira/manipulador telescópico, como o modelo 8K JLG, para carga e descarga de tubos e outros materiais. ***Original*** Trabalho braçal prático em demarcação/layout, drenagem, bunkers, acabamento, greens e tees, operação de equipamentos, etc.; informa as equipes sobre as atividades planejadas para o dia e fornece as ferramentas e materiais necessários; instrui, supervisiona e treina as equipes nas tarefas designadas, como instalação de irrigação, criação de tees e bunkers, plantio de grama, semeadura, demarcação/sinalização, operação e manutenção de equipamentos; gerencia o estoque de equipamentos, suprimentos, materiais e combustível; Identifica e elimina potenciais desperdícios que possam ocorrer durante a execução das tarefas atribuídas, incluindo desperdício de materiais como aspersores de irrigação, tubos e fios de irrigação, cascalho e mistura para gramados; garante que os equipamentos e ferramentas atribuídos sejam mantidos adequadamente por meio da execução de manutenção preventiva de rotina; auxilia na manutenção de registros do projeto, como comprovantes de entrega, ordens de compra e listas de reuniões de segurança; auxilia na criação de desenhos "as-built"; e reporta potenciais problemas ao Superintendente do Projeto. Alojamento opcional fornecido pela empresa será oferecido gratuitamente para funcionários que residem fora da distância de deslocamento diário. Funcionários que não necessitarem ou não utilizarem o alojamento da empresa receberão um reembolso de moradia de US$ 231,00 por período de pagamento. Classificação da Função: 47-2073.00 - Operadores de Máquinas e Outros Operadores de Equipamentos de Construção. A classificação e descrição da função/setor inclui informações gerais sobre o cargo, conforme o ONET/OES e o Sistema de Classificação Industrial da América do Norte (NAICS). Consulte as Funções e a Ordem de Serviço para obter mais informações. Requisitos da Vaga Experiência Necessária: Sim Meses de Experiência Necessários: 12 Requisitos Especiais: Necessário possuir certificação como Fundidor de Tubos Certificado por um fornecedor reconhecido, como ISCO, Ewing Irrigation ou ADS Hancor. 12 meses de experiência em construção e reforma de campos de golfe. Horas extras conforme necessário. Gostaríamos de esclarecer as informações do Item F.a.5. Durante a semana de trabalho, que vai de domingo a sábado, os funcionários têm uma jornada de 40 horas semanais e recebem horas extras conforme necessário. O Item F.a.5 não permite inserir essa escala de trabalho. Se inserirmos 8 horas por dia, o sistema mostrará 56 horas semanais, o que não reflete com precisão a jornada de trabalho. Número de Horas por Semana: 40 Horário de Trabalho (Início/Término): 7h00 - 15h30</v>
      </c>
    </row>
    <row r="2068" ht="20.25" customHeight="1">
      <c r="A2068" s="3" t="s">
        <v>9269</v>
      </c>
      <c r="B2068" s="3" t="s">
        <v>9070</v>
      </c>
      <c r="C2068" s="3" t="s">
        <v>8537</v>
      </c>
      <c r="D2068" s="3" t="s">
        <v>278</v>
      </c>
      <c r="E2068" s="4" t="s">
        <v>19</v>
      </c>
      <c r="F2068" s="4" t="s">
        <v>20</v>
      </c>
      <c r="G2068" s="4" t="s">
        <v>56</v>
      </c>
      <c r="H2068" s="3" t="s">
        <v>9071</v>
      </c>
      <c r="I2068" s="3" t="s">
        <v>9072</v>
      </c>
      <c r="J2068" s="4">
        <v>17.41</v>
      </c>
      <c r="K2068" s="4">
        <v>12.0</v>
      </c>
      <c r="L2068" s="3" t="s">
        <v>9073</v>
      </c>
      <c r="M2068" s="3" t="s">
        <v>9074</v>
      </c>
      <c r="N2068" s="7" t="str">
        <f>IFERROR(__xludf.DUMMYFUNCTION("GOOGLETRANSLATE(L2068, ""en"", ""pt"")"),"Trabalhador de paisagismo II")</f>
        <v>Trabalhador de paisagismo II</v>
      </c>
      <c r="O2068" s="7" t="str">
        <f>IFERROR(__xludf.DUMMYFUNCTION("IF(M2068="""","""",GOOGLETRANSLATE(M2068,""en"",""pt""))"),"Executa diversas tarefas de reforma de campos de golfe, incluindo a preparação e construção de greens, tees e bunkers; prepara componentes do sistema de irrigação, cola/funde conexões e interligações; instala tubulações, fios e aspersores de irrigação; ca"&amp;"va buracos e valas, utilizando ferramentas manuais para instalar drenagem e interligações; espalha e assenta materiais como sementes de grama, grama em placas, substrato para greens, cascalho e areia; opera equipamentos mecanizados para movimentar e insta"&amp;"lar materiais. O objetivo da vala, se necessário, será instalar componentes do sistema de irrigação do campo de golfe, como drenagem, tubulação lateral para aspersores e tubulação principal de abastecimento que se conecta à tubulação lateral. Os funcionár"&amp;"ios utilizarão uma escavadeira de valas de 85 cavalos de potência para tubulações principais (de 15 cm a 25 cm), um arado vibratório de 85 cavalos de potência para tubulação lateral (de 5 cm a 7,5 cm) para instalar aspersores, e pás e outras ferramentas m"&amp;"anuais para nivelar as linhas de vala e criar espaço para o equipamento de irrigação, conforme necessário. As valas, se necessárias, atingirão uma profundidade esperada de 66 cm a 112 cm e uma largura esperada de 20 cm a 46 cm em seus pontos mais largos. "&amp;"Alojamento opcional fornecido pela empresa será oferecido gratuitamente para funcionários que residem fora da distância de deslocamento diário. Funcionários que não necessitarem ou não utilizarem o alojamento da empresa receberão um reembolso de moradia d"&amp;"e US$ 231,00 por período de pagamento. Classificação do Cargo: 37-3011.00 - Trabalhadores de Paisagismo e Manutenção de Áreas Verdes. A classificação e descrição do cargo/setor incluem informações gerais sobre a posição, de acordo com o ONET/OES e o Siste"&amp;"ma de Classificação Industrial da América do Norte (NAICS). Consulte as Funções e a Ordem de Serviço para obter mais informações. Requisitos do Cargo Experiência Necessária: Sim Meses de Experiência Necessários: 3 Requisitos Especiais: Três meses de exper"&amp;"iência em construção de campos de golfe, instalação/manutenção de paisagismo ou áreas afins da construção civil, envolvendo preparação do terreno, nivelamento, drenagem ou instalação estrutural; conhecimento de sistemas de irrigação de campos de golfe, in"&amp;"cluindo a capacidade de instalar/reparar componentes-chave. Três meses de experiência operando qualquer um dos seguintes equipamentos: trator, minicarregadeira, arado/escavadeira. Horas extras conforme necessário. Gostaríamos de esclarecer as informações "&amp;"do Item F.a.5. Durante a semana de trabalho, que vai de domingo a sábado, os funcionários têm uma jornada de 40 horas semanais e recebem horas extras conforme necessário. O Item F.a.5 não nos permite inserir essa escala de trabalho. Se inserirmos 8 horas "&amp;"por dia, o sistema mostrará 56 horas semanais, o que não reflete com precisão a jornada de trabalho. Número de horas por semana: 40. Horário de trabalho (início/término): 7h00 - 15h30.")</f>
        <v>Executa diversas tarefas de reforma de campos de golfe, incluindo a preparação e construção de greens, tees e bunkers; prepara componentes do sistema de irrigação, cola/funde conexões e interligações; instala tubulações, fios e aspersores de irrigação; cava buracos e valas, utilizando ferramentas manuais para instalar drenagem e interligações; espalha e assenta materiais como sementes de grama, grama em placas, substrato para greens, cascalho e areia; opera equipamentos mecanizados para movimentar e instalar materiais. O objetivo da vala, se necessário, será instalar componentes do sistema de irrigação do campo de golfe, como drenagem, tubulação lateral para aspersores e tubulação principal de abastecimento que se conecta à tubulação lateral. Os funcionários utilizarão uma escavadeira de valas de 85 cavalos de potência para tubulações principais (de 15 cm a 25 cm), um arado vibratório de 85 cavalos de potência para tubulação lateral (de 5 cm a 7,5 cm) para instalar aspersores, e pás e outras ferramentas manuais para nivelar as linhas de vala e criar espaço para o equipamento de irrigação, conforme necessário. As valas, se necessárias, atingirão uma profundidade esperada de 66 cm a 112 cm e uma largura esperada de 20 cm a 46 cm em seus pontos mais largos. Alojamento opcional fornecido pela empresa será oferecido gratuitamente para funcionários que residem fora da distância de deslocamento diário. Funcionários que não necessitarem ou não utilizarem o alojamento da empresa receberão um reembolso de moradia de US$ 231,00 por período de pagamento. Classificação do Cargo: 37-3011.00 - Trabalhadores de Paisagismo e Manutenção de Áreas Verdes. A classificação e descrição do cargo/setor incluem informações gerais sobre a posição, de acordo com o ONET/OES e o Sistema de Classificação Industrial da América do Norte (NAICS). Consulte as Funções e a Ordem de Serviço para obter mais informações. Requisitos do Cargo Experiência Necessária: Sim Meses de Experiência Necessários: 3 Requisitos Especiais: Três meses de experiência em construção de campos de golfe, instalação/manutenção de paisagismo ou áreas afins da construção civil, envolvendo preparação do terreno, nivelamento, drenagem ou instalação estrutural; conhecimento de sistemas de irrigação de campos de golfe, incluindo a capacidade de instalar/reparar componentes-chave. Três meses de experiência operando qualquer um dos seguintes equipamentos: trator, minicarregadeira, arado/escavadeira. Horas extras conforme necessário. Gostaríamos de esclarecer as informações do Item F.a.5. Durante a semana de trabalho, que vai de domingo a sábado, os funcionários têm uma jornada de 40 horas semanais e recebem horas extras conforme necessário. O Item F.a.5 não nos permite inserir essa escala de trabalho. Se inserirmos 8 horas por dia, o sistema mostrará 56 horas semanais, o que não reflete com precisão a jornada de trabalho. Número de horas por semana: 40. Horário de trabalho (início/término): 7h00 - 15h30.</v>
      </c>
    </row>
    <row r="2069" ht="20.25" customHeight="1">
      <c r="A2069" s="8" t="s">
        <v>9270</v>
      </c>
      <c r="B2069" s="8" t="s">
        <v>9070</v>
      </c>
      <c r="C2069" s="8" t="s">
        <v>8537</v>
      </c>
      <c r="D2069" s="8" t="s">
        <v>278</v>
      </c>
      <c r="E2069" s="9" t="s">
        <v>19</v>
      </c>
      <c r="F2069" s="9" t="s">
        <v>20</v>
      </c>
      <c r="G2069" s="9" t="s">
        <v>56</v>
      </c>
      <c r="H2069" s="8" t="s">
        <v>9071</v>
      </c>
      <c r="I2069" s="8" t="s">
        <v>9072</v>
      </c>
      <c r="J2069" s="9">
        <v>18.75</v>
      </c>
      <c r="K2069" s="9">
        <v>10.0</v>
      </c>
      <c r="L2069" s="8" t="s">
        <v>9073</v>
      </c>
      <c r="M2069" s="8" t="s">
        <v>9074</v>
      </c>
      <c r="N2069" s="7" t="str">
        <f>IFERROR(__xludf.DUMMYFUNCTION("GOOGLETRANSLATE(L2069, ""en"", ""pt"")"),"Trabalhador de paisagismo II")</f>
        <v>Trabalhador de paisagismo II</v>
      </c>
      <c r="O2069" s="7" t="str">
        <f>IFERROR(__xludf.DUMMYFUNCTION("IF(M2069="""","""",GOOGLETRANSLATE(M2069,""en"",""pt""))"),"Executa diversas tarefas de reforma de campos de golfe, incluindo a preparação e construção de greens, tees e bunkers; prepara componentes do sistema de irrigação, cola/funde conexões e interligações; instala tubulações, fios e aspersores de irrigação; ca"&amp;"va buracos e valas, utilizando ferramentas manuais para instalar drenagem e interligações; espalha e assenta materiais como sementes de grama, grama em placas, substrato para greens, cascalho e areia; opera equipamentos mecanizados para movimentar e insta"&amp;"lar materiais. O objetivo da vala, se necessário, será instalar componentes do sistema de irrigação do campo de golfe, como drenagem, tubulação lateral para aspersores e tubulação principal de abastecimento que se conecta à tubulação lateral. Os funcionár"&amp;"ios utilizarão uma escavadeira de valas de 85 cavalos de potência para tubulações principais (de 15 cm a 25 cm), um arado vibratório de 85 cavalos de potência para tubulação lateral (de 5 cm a 7,5 cm) para instalar aspersores, e pás e outras ferramentas m"&amp;"anuais para nivelar as linhas de vala e criar espaço para o equipamento de irrigação, conforme necessário. As valas, se necessárias, atingirão uma profundidade esperada de 66 cm a 112 cm e uma largura esperada de 20 cm a 46 cm em seus pontos mais largos. "&amp;"Alojamento opcional fornecido pela empresa será oferecido gratuitamente para funcionários que residem fora da distância de deslocamento diário. Funcionários que não necessitarem ou não utilizarem o alojamento da empresa receberão um reembolso de moradia d"&amp;"e US$ 231,00 por período de pagamento. Classificação do Cargo: 37-3011.00 - Trabalhadores de Paisagismo e Manutenção de Áreas Verdes. A classificação e descrição do cargo/setor incluem informações gerais sobre a posição, de acordo com o ONET/OES e o Siste"&amp;"ma de Classificação Industrial da América do Norte (NAICS). Consulte as Funções e a Ordem de Serviço para obter mais informações. Requisitos do Cargo Experiência Necessária: Sim Meses de Experiência Necessários: 3 Requisitos Especiais: Três meses de exper"&amp;"iência em construção de campos de golfe, instalação/manutenção de paisagismo ou áreas afins da construção civil, envolvendo preparação do terreno, nivelamento, drenagem ou instalação estrutural; conhecimento de sistemas de irrigação de campos de golfe, in"&amp;"cluindo a capacidade de instalar/reparar componentes-chave. Três meses de experiência operando qualquer um dos seguintes equipamentos: trator, minicarregadeira, arado/escavadeira. Horas extras conforme necessário. Gostaríamos de esclarecer as informações "&amp;"do Item F.a.5. Durante a semana de trabalho, que vai de domingo a sábado, os funcionários têm uma jornada de 40 horas semanais e recebem horas extras conforme necessário. O Item F.a.5 não nos permite inserir essa escala de trabalho. Se inserirmos 8 horas "&amp;"por dia, o sistema mostrará 56 horas semanais, o que não reflete com precisão a jornada de trabalho. Número de horas por semana: 40. Horário de trabalho (início/término): 7h00 - 15h30.")</f>
        <v>Executa diversas tarefas de reforma de campos de golfe, incluindo a preparação e construção de greens, tees e bunkers; prepara componentes do sistema de irrigação, cola/funde conexões e interligações; instala tubulações, fios e aspersores de irrigação; cava buracos e valas, utilizando ferramentas manuais para instalar drenagem e interligações; espalha e assenta materiais como sementes de grama, grama em placas, substrato para greens, cascalho e areia; opera equipamentos mecanizados para movimentar e instalar materiais. O objetivo da vala, se necessário, será instalar componentes do sistema de irrigação do campo de golfe, como drenagem, tubulação lateral para aspersores e tubulação principal de abastecimento que se conecta à tubulação lateral. Os funcionários utilizarão uma escavadeira de valas de 85 cavalos de potência para tubulações principais (de 15 cm a 25 cm), um arado vibratório de 85 cavalos de potência para tubulação lateral (de 5 cm a 7,5 cm) para instalar aspersores, e pás e outras ferramentas manuais para nivelar as linhas de vala e criar espaço para o equipamento de irrigação, conforme necessário. As valas, se necessárias, atingirão uma profundidade esperada de 66 cm a 112 cm e uma largura esperada de 20 cm a 46 cm em seus pontos mais largos. Alojamento opcional fornecido pela empresa será oferecido gratuitamente para funcionários que residem fora da distância de deslocamento diário. Funcionários que não necessitarem ou não utilizarem o alojamento da empresa receberão um reembolso de moradia de US$ 231,00 por período de pagamento. Classificação do Cargo: 37-3011.00 - Trabalhadores de Paisagismo e Manutenção de Áreas Verdes. A classificação e descrição do cargo/setor incluem informações gerais sobre a posição, de acordo com o ONET/OES e o Sistema de Classificação Industrial da América do Norte (NAICS). Consulte as Funções e a Ordem de Serviço para obter mais informações. Requisitos do Cargo Experiência Necessária: Sim Meses de Experiência Necessários: 3 Requisitos Especiais: Três meses de experiência em construção de campos de golfe, instalação/manutenção de paisagismo ou áreas afins da construção civil, envolvendo preparação do terreno, nivelamento, drenagem ou instalação estrutural; conhecimento de sistemas de irrigação de campos de golfe, incluindo a capacidade de instalar/reparar componentes-chave. Três meses de experiência operando qualquer um dos seguintes equipamentos: trator, minicarregadeira, arado/escavadeira. Horas extras conforme necessário. Gostaríamos de esclarecer as informações do Item F.a.5. Durante a semana de trabalho, que vai de domingo a sábado, os funcionários têm uma jornada de 40 horas semanais e recebem horas extras conforme necessário. O Item F.a.5 não nos permite inserir essa escala de trabalho. Se inserirmos 8 horas por dia, o sistema mostrará 56 horas semanais, o que não reflete com precisão a jornada de trabalho. Número de horas por semana: 40. Horário de trabalho (início/término): 7h00 - 15h30.</v>
      </c>
    </row>
    <row r="2070" ht="20.25" customHeight="1">
      <c r="A2070" s="3" t="s">
        <v>9271</v>
      </c>
      <c r="B2070" s="3" t="s">
        <v>9070</v>
      </c>
      <c r="C2070" s="3" t="s">
        <v>8537</v>
      </c>
      <c r="D2070" s="3" t="s">
        <v>36</v>
      </c>
      <c r="E2070" s="4" t="s">
        <v>19</v>
      </c>
      <c r="F2070" s="4" t="s">
        <v>20</v>
      </c>
      <c r="G2070" s="4" t="s">
        <v>56</v>
      </c>
      <c r="H2070" s="3" t="s">
        <v>9071</v>
      </c>
      <c r="I2070" s="3" t="s">
        <v>9072</v>
      </c>
      <c r="J2070" s="4">
        <v>17.08</v>
      </c>
      <c r="K2070" s="4">
        <v>12.0</v>
      </c>
      <c r="L2070" s="3" t="s">
        <v>9073</v>
      </c>
      <c r="M2070" s="3" t="s">
        <v>9074</v>
      </c>
      <c r="N2070" s="7" t="str">
        <f>IFERROR(__xludf.DUMMYFUNCTION("GOOGLETRANSLATE(L2070, ""en"", ""pt"")"),"Trabalhador de paisagismo II")</f>
        <v>Trabalhador de paisagismo II</v>
      </c>
      <c r="O2070" s="7" t="str">
        <f>IFERROR(__xludf.DUMMYFUNCTION("IF(M2070="""","""",GOOGLETRANSLATE(M2070,""en"",""pt""))"),"Executa diversas tarefas de reforma de campos de golfe, incluindo a preparação e construção de greens, tees e bunkers; prepara componentes do sistema de irrigação, cola/funde conexões e interligações; instala tubulações, fios e aspersores de irrigação; ca"&amp;"va buracos e valas, utilizando ferramentas manuais para instalar drenagem e interligações; espalha e assenta materiais como sementes de grama, grama em placas, substrato para greens, cascalho e areia; opera equipamentos mecanizados para movimentar e insta"&amp;"lar materiais. O objetivo da vala, se necessário, será instalar componentes do sistema de irrigação do campo de golfe, como drenagem, tubulação lateral para aspersores e tubulação principal de abastecimento que se conecta à tubulação lateral. Os funcionár"&amp;"ios utilizarão uma escavadeira de valas de 85 cavalos de potência para tubulações principais (de 15 cm a 25 cm), um arado vibratório de 85 cavalos de potência para tubulação lateral (de 5 cm a 7,5 cm) para instalar aspersores, e pás e outras ferramentas m"&amp;"anuais para nivelar as linhas de vala e criar espaço para o equipamento de irrigação, conforme necessário. As valas, se necessárias, atingirão uma profundidade esperada de 66 cm a 112 cm e uma largura esperada de 20 cm a 46 cm em seus pontos mais largos. "&amp;"Alojamento opcional fornecido pela empresa será oferecido gratuitamente para funcionários que residem fora da distância de deslocamento diário. Funcionários que não necessitarem ou não utilizarem o alojamento da empresa receberão um reembolso de moradia d"&amp;"e US$ 231,00 por período de pagamento. Classificação do Cargo: 37-3011.00 - Trabalhadores de Paisagismo e Manutenção de Áreas Verdes. A classificação e descrição do cargo/setor incluem informações gerais sobre a posição, de acordo com o ONET/OES e o Siste"&amp;"ma de Classificação Industrial da América do Norte (NAICS). Consulte as Funções e a Ordem de Serviço para obter mais informações. Requisitos do Cargo Experiência Necessária: Sim Meses de Experiência Necessários: 3 Requisitos Especiais: Três meses de exper"&amp;"iência em construção de campos de golfe, instalação/manutenção de paisagismo ou áreas afins da construção civil, envolvendo preparação do terreno, nivelamento, drenagem ou instalação estrutural; conhecimento de sistemas de irrigação de campos de golfe, in"&amp;"cluindo a capacidade de instalar/reparar componentes-chave. Três meses de experiência operando qualquer um dos seguintes equipamentos: trator, minicarregadeira, arado/escavadeira. Horas extras conforme necessário. Gostaríamos de esclarecer as informações "&amp;"do Item F.a.5. Durante a semana de trabalho, que vai de domingo a sábado, os funcionários têm uma jornada de 40 horas semanais e recebem horas extras conforme necessário. O Item F.a.5 não nos permite inserir essa escala de trabalho. Se inserirmos 8 horas "&amp;"por dia, o sistema mostrará 56 horas semanais, o que não reflete com precisão a jornada de trabalho. Número de horas por semana: 40. Horário de trabalho (início/término): 7h00 - 15h30.")</f>
        <v>Executa diversas tarefas de reforma de campos de golfe, incluindo a preparação e construção de greens, tees e bunkers; prepara componentes do sistema de irrigação, cola/funde conexões e interligações; instala tubulações, fios e aspersores de irrigação; cava buracos e valas, utilizando ferramentas manuais para instalar drenagem e interligações; espalha e assenta materiais como sementes de grama, grama em placas, substrato para greens, cascalho e areia; opera equipamentos mecanizados para movimentar e instalar materiais. O objetivo da vala, se necessário, será instalar componentes do sistema de irrigação do campo de golfe, como drenagem, tubulação lateral para aspersores e tubulação principal de abastecimento que se conecta à tubulação lateral. Os funcionários utilizarão uma escavadeira de valas de 85 cavalos de potência para tubulações principais (de 15 cm a 25 cm), um arado vibratório de 85 cavalos de potência para tubulação lateral (de 5 cm a 7,5 cm) para instalar aspersores, e pás e outras ferramentas manuais para nivelar as linhas de vala e criar espaço para o equipamento de irrigação, conforme necessário. As valas, se necessárias, atingirão uma profundidade esperada de 66 cm a 112 cm e uma largura esperada de 20 cm a 46 cm em seus pontos mais largos. Alojamento opcional fornecido pela empresa será oferecido gratuitamente para funcionários que residem fora da distância de deslocamento diário. Funcionários que não necessitarem ou não utilizarem o alojamento da empresa receberão um reembolso de moradia de US$ 231,00 por período de pagamento. Classificação do Cargo: 37-3011.00 - Trabalhadores de Paisagismo e Manutenção de Áreas Verdes. A classificação e descrição do cargo/setor incluem informações gerais sobre a posição, de acordo com o ONET/OES e o Sistema de Classificação Industrial da América do Norte (NAICS). Consulte as Funções e a Ordem de Serviço para obter mais informações. Requisitos do Cargo Experiência Necessária: Sim Meses de Experiência Necessários: 3 Requisitos Especiais: Três meses de experiência em construção de campos de golfe, instalação/manutenção de paisagismo ou áreas afins da construção civil, envolvendo preparação do terreno, nivelamento, drenagem ou instalação estrutural; conhecimento de sistemas de irrigação de campos de golfe, incluindo a capacidade de instalar/reparar componentes-chave. Três meses de experiência operando qualquer um dos seguintes equipamentos: trator, minicarregadeira, arado/escavadeira. Horas extras conforme necessário. Gostaríamos de esclarecer as informações do Item F.a.5. Durante a semana de trabalho, que vai de domingo a sábado, os funcionários têm uma jornada de 40 horas semanais e recebem horas extras conforme necessário. O Item F.a.5 não nos permite inserir essa escala de trabalho. Se inserirmos 8 horas por dia, o sistema mostrará 56 horas semanais, o que não reflete com precisão a jornada de trabalho. Número de horas por semana: 40. Horário de trabalho (início/término): 7h00 - 15h30.</v>
      </c>
    </row>
    <row r="2071" ht="20.25" customHeight="1">
      <c r="A2071" s="8" t="s">
        <v>9272</v>
      </c>
      <c r="B2071" s="8" t="s">
        <v>9070</v>
      </c>
      <c r="C2071" s="8" t="s">
        <v>8537</v>
      </c>
      <c r="D2071" s="8" t="s">
        <v>36</v>
      </c>
      <c r="E2071" s="9" t="s">
        <v>44</v>
      </c>
      <c r="F2071" s="9" t="s">
        <v>20</v>
      </c>
      <c r="G2071" s="9" t="s">
        <v>56</v>
      </c>
      <c r="H2071" s="8" t="s">
        <v>9071</v>
      </c>
      <c r="I2071" s="8" t="s">
        <v>9072</v>
      </c>
      <c r="J2071" s="9">
        <v>26.57</v>
      </c>
      <c r="K2071" s="9">
        <v>1.0</v>
      </c>
      <c r="L2071" s="8" t="s">
        <v>3563</v>
      </c>
      <c r="M2071" s="8" t="s">
        <v>9273</v>
      </c>
      <c r="N2071" s="7" t="str">
        <f>IFERROR(__xludf.DUMMYFUNCTION("GOOGLETRANSLATE(L2071, ""en"", ""pt"")"),"Capataz")</f>
        <v>Capataz</v>
      </c>
      <c r="O2071" s="7" t="str">
        <f>IFERROR(__xludf.DUMMYFUNCTION("IF(M2071="""","""",GOOGLETRANSLATE(M2071,""en"",""pt""))"),"***Resposta à Solicitação de Informações*** O trabalhador operará os equipamentos em caráter de treinamento, conforme necessário, para garantir que os demais membros da equipe sejam devidamente instruídos sobre o uso dos equipamentos. O trabalhador não op"&amp;"erará os equipamentos em sua capacidade de produção diária e os operará conforme necessário para dar suporte ao projeto – menos de 50% do dia, se necessário. Toda a operação dos equipamentos será realizada no local do projeto, portanto, não é necessária c"&amp;"arteira de habilitação comercial. Espera-se que qualquer escavação de valas associada ao projeto envolva valas com aproximadamente 66 a 122 cm de profundidade e 30 a 183 cm de largura em seus pontos mais largos. Modelos de equipamentos equivalentes podem "&amp;"ser utilizados, dependendo da disponibilidade. Os equipamentos que podem ser utilizados incluem: escavadeiras de valas de 75 a 95 HP, como a Ditch Witch RT75 ou a Vermeer RTX750, para escavar e aterrar valas de irrigação para instalação de tubulação princ"&amp;"ipal (tubulações de 10 a 25 cm); Arados vibratórios de 75 a 95 HP, como o Ditch Witch RT75 ou o Vermeer RTX750, para aração de linhas laterais de irrigação e fios a profundidades de aproximadamente 45 a 60 cm; escavadeiras de 4.500 a 11.000 kg, como a Joh"&amp;"n Deere 120 e a miniescavadeira Caterpillar 306, para escavar e aterrar valas para a instalação de tubulações de drenagem e irrigação em todo o campo de golfe; minicarregadeiras de 1.270 a 1.450 kg, como a Caterpillar 265, para movimentação e carregamento"&amp;" de materiais, aterro de valas e carregamento de cascalho e areia para bunkers em reboques Pronovost; caminhão basculante Wacker Neuson 3001 para transporte de entulho e suprimentos como cascalho e areia; rolos compactadores de tambor duplo liso de 2 a 3 "&amp;"toneladas, como o Dynapac CC1200 ou o Wacker Neuson, para compactação de valas ou nivelamento de linhas de aragem; Trator de 50 a 80 HP e reboques basculantes, como o John Deere 4066M e/ou John Deere 5077, para movimentação de materiais dentro do canteiro"&amp;" de obras e para puxar implementos fora de estrada; UTV para 2 a 4 ou 4 a 6 pessoas, como o Kubota RTV-X1140, para transporte da equipe e suprimentos; e empilhadeira/manipulador telescópico, como o modelo 8K JLG, para carga e descarga de tubos e outros ma"&amp;"teriais. ***Original*** Trabalho braçal prático em demarcação/layout, drenagem, bunkers, acabamento, greens e tees, operação de equipamentos, etc.; informa as equipes sobre as atividades planejadas para o dia e fornece as ferramentas e materiais necessári"&amp;"os; instrui, supervisiona e treina as equipes nas tarefas designadas, como instalação de irrigação, criação de tees e bunkers, plantio de grama, semeadura, demarcação/sinalização, operação e manutenção de equipamentos; gerencia o estoque de equipamentos, "&amp;"suprimentos, materiais e combustível; Identifica e elimina potenciais desperdícios que possam ocorrer durante a execução das tarefas atribuídas, incluindo desperdício de materiais como aspersores de irrigação, tubos e fios de irrigação, cascalho e substra"&amp;"to para gramados; garante que os equipamentos e ferramentas atribuídos sejam mantidos adequadamente por meio da realização de manutenção preventiva de rotina; auxilia na manutenção de registros do projeto, como comprovantes de entrega, ordens de compra e "&amp;"listas de presença em reuniões de segurança; auxilia na criação de desenhos ""as-built""; e reporta potenciais problemas ao Superintendente do Projeto. Alojamento fornecido pela empresa será oferecido gratuitamente para funcionários que residem fora da di"&amp;"stância de deslocamento diário. Funcionários que não necessitarem ou não utilizarem o alojamento fornecido pela empresa receberão um reembolso de moradia de US$ 231,00 por período de pagamento. Classificação do Cargo: 37-1012.00 - Supervisores de Primeira"&amp;" Linha de Trabalhadores de Paisagismo, Serviços de Gramado e Manutenção de Áreas Verdes. A classificação e descrição do cargo/setor incluem informações gerais sobre a posição, conforme o ONET/OES e o Sistema de Classificação Industrial da América do Norte"&amp;" (NAICS). Consulte as Funções e a Ordem de Serviço para obter mais informações. Requisitos da Vaga Experiência Necessária: Sim Meses de Experiência Necessários: 12 Requisitos Especiais: Necessário possuir certificação como Fundidor de Tubos Certificado po"&amp;"r um fornecedor reconhecido, como ISCO, Ewing Irrigation ou ADS Hancor. 12 meses de experiência em construção e reforma de campos de golfe. Horas extras conforme necessário. Gostaríamos de esclarecer as informações do Item F.a.5. Durante a semana de traba"&amp;"lho, que vai de domingo a sábado, os funcionários têm uma jornada de 40 horas semanais e recebem horas extras conforme necessário. O Item F.a.5 não permite inserir essa escala de trabalho. Se inserirmos 8 horas por dia, o sistema mostrará 56 horas semanai"&amp;"s, o que não reflete com precisão a jornada de trabalho. Número de Horas por Semana: 40 Horário de Trabalho (Início/Término): 7h00 - 15h30")</f>
        <v>***Resposta à Solicitação de Informações*** O trabalhador operará os equipamentos em caráter de treinamento, conforme necessário, para garantir que os demais membros da equipe sejam devidamente instruídos sobre o uso dos equipamentos. O trabalhador não operará os equipamentos em sua capacidade de produção diária e os operará conforme necessário para dar suporte ao projeto – menos de 50% do dia, se necessário. Toda a operação dos equipamentos será realizada no local do projeto, portanto, não é necessária carteira de habilitação comercial. Espera-se que qualquer escavação de valas associada ao projeto envolva valas com aproximadamente 66 a 122 cm de profundidade e 30 a 183 cm de largura em seus pontos mais largos. Modelos de equipamentos equivalentes podem ser utilizados, dependendo da disponibilidade. Os equipamentos que podem ser utilizados incluem: escavadeiras de valas de 75 a 95 HP, como a Ditch Witch RT75 ou a Vermeer RTX750, para escavar e aterrar valas de irrigação para instalação de tubulação principal (tubulações de 10 a 25 cm); Arados vibratórios de 75 a 95 HP, como o Ditch Witch RT75 ou o Vermeer RTX750, para aração de linhas laterais de irrigação e fios a profundidades de aproximadamente 45 a 60 cm; escavadeiras de 4.500 a 11.000 kg, como a John Deere 120 e a miniescavadeira Caterpillar 306, para escavar e aterrar valas para a instalação de tubulações de drenagem e irrigação em todo o campo de golfe; minicarregadeiras de 1.270 a 1.450 kg, como a Caterpillar 265, para movimentação e carregamento de materiais, aterro de valas e carregamento de cascalho e areia para bunkers em reboques Pronovost; caminhão basculante Wacker Neuson 3001 para transporte de entulho e suprimentos como cascalho e areia; rolos compactadores de tambor duplo liso de 2 a 3 toneladas, como o Dynapac CC1200 ou o Wacker Neuson, para compactação de valas ou nivelamento de linhas de aragem; Trator de 50 a 80 HP e reboques basculantes, como o John Deere 4066M e/ou John Deere 5077, para movimentação de materiais dentro do canteiro de obras e para puxar implementos fora de estrada; UTV para 2 a 4 ou 4 a 6 pessoas, como o Kubota RTV-X1140, para transporte da equipe e suprimentos; e empilhadeira/manipulador telescópico, como o modelo 8K JLG, para carga e descarga de tubos e outros materiais. ***Original*** Trabalho braçal prático em demarcação/layout, drenagem, bunkers, acabamento, greens e tees, operação de equipamentos, etc.; informa as equipes sobre as atividades planejadas para o dia e fornece as ferramentas e materiais necessários; instrui, supervisiona e treina as equipes nas tarefas designadas, como instalação de irrigação, criação de tees e bunkers, plantio de grama, semeadura, demarcação/sinalização, operação e manutenção de equipamentos; gerencia o estoque de equipamentos, suprimentos, materiais e combustível; Identifica e elimina potenciais desperdícios que possam ocorrer durante a execução das tarefas atribuídas, incluindo desperdício de materiais como aspersores de irrigação, tubos e fios de irrigação, cascalho e substrato para gramados; garante que os equipamentos e ferramentas atribuídos sejam mantidos adequadamente por meio da realização de manutenção preventiva de rotina; auxilia na manutenção de registros do projeto, como comprovantes de entrega, ordens de compra e listas de presença em reuniões de segurança; auxilia na criação de desenhos "as-built"; e reporta potenciais problemas ao Superintendente do Projeto. Alojamento fornecido pela empresa será oferecido gratuitamente para funcionários que residem fora da distância de deslocamento diário. Funcionários que não necessitarem ou não utilizarem o alojamento fornecido pela empresa receberão um reembolso de moradia de US$ 231,00 por período de pagamento. Classificação do Cargo: 37-1012.00 - Supervisores de Primeira Linha de Trabalhadores de Paisagismo, Serviços de Gramado e Manutenção de Áreas Verdes. A classificação e descrição do cargo/setor incluem informações gerais sobre a posição, conforme o ONET/OES e o Sistema de Classificação Industrial da América do Norte (NAICS). Consulte as Funções e a Ordem de Serviço para obter mais informações. Requisitos da Vaga Experiência Necessária: Sim Meses de Experiência Necessários: 12 Requisitos Especiais: Necessário possuir certificação como Fundidor de Tubos Certificado por um fornecedor reconhecido, como ISCO, Ewing Irrigation ou ADS Hancor. 12 meses de experiência em construção e reforma de campos de golfe. Horas extras conforme necessário. Gostaríamos de esclarecer as informações do Item F.a.5. Durante a semana de trabalho, que vai de domingo a sábado, os funcionários têm uma jornada de 40 horas semanais e recebem horas extras conforme necessário. O Item F.a.5 não permite inserir essa escala de trabalho. Se inserirmos 8 horas por dia, o sistema mostrará 56 horas semanais, o que não reflete com precisão a jornada de trabalho. Número de Horas por Semana: 40 Horário de Trabalho (Início/Término): 7h00 - 15h30</v>
      </c>
    </row>
    <row r="2072" ht="20.25" customHeight="1">
      <c r="A2072" s="3" t="s">
        <v>9274</v>
      </c>
      <c r="B2072" s="3" t="s">
        <v>9275</v>
      </c>
      <c r="C2072" s="3" t="s">
        <v>8981</v>
      </c>
      <c r="D2072" s="3" t="s">
        <v>71</v>
      </c>
      <c r="E2072" s="4" t="s">
        <v>19</v>
      </c>
      <c r="F2072" s="4" t="s">
        <v>20</v>
      </c>
      <c r="G2072" s="4" t="s">
        <v>524</v>
      </c>
      <c r="H2072" s="3" t="s">
        <v>9276</v>
      </c>
      <c r="I2072" s="3" t="s">
        <v>9277</v>
      </c>
      <c r="J2072" s="4">
        <v>18.5</v>
      </c>
      <c r="K2072" s="4">
        <v>14.0</v>
      </c>
      <c r="L2072" s="3" t="s">
        <v>586</v>
      </c>
      <c r="M2072" s="3" t="s">
        <v>9278</v>
      </c>
      <c r="N2072" s="7" t="str">
        <f>IFERROR(__xludf.DUMMYFUNCTION("GOOGLETRANSLATE(L2072, ""en"", ""pt"")"),"Cozinheiro de linha")</f>
        <v>Cozinheiro de linha</v>
      </c>
      <c r="O2072" s="7" t="str">
        <f>IFERROR(__xludf.DUMMYFUNCTION("IF(M2072="""","""",GOOGLETRANSLATE(M2072,""en"",""pt""))"),"Prepara, tempera e cozinha sopas, carnes, legumes, frutas, sobremesas e outros alimentos diversos para consumo; observa as diretrizes da receita e os procedimentos de higiene. *Continuação da Seção F.a.5 abaixo: 40 horas semanais. Os turnos serão de 8 hor"&amp;"as e podem variar conforme a necessidade, de acordo com o anúncio da vaga na Agência Estadual de Força de Trabalho e em outras fontes de anúncios de vagas H-2B, conforme os requisitos de recrutamento dos empregadores para trabalhadores em potencial no âmb"&amp;"ito do programa H-2B. Turnos variáveis ​​ao longo de 7 dias da semana. Os turnos podem variar: das 6h às 23h. Classificação do Cargo: 35-2014.00 - Cozinheiros, Restaurante. A classificação e a descrição do cargo/setor incluem informações gerais sobre a po"&amp;"sição, de acordo com o ONET/OES e o Sistema de Classificação Industrial da América do Norte. Consulte as Funções e a Ordem de Serviço para obter mais informações. Requisitos do Cargo: Experiência Necessária: Não. Requisitos Especiais: HABILIDADE DE SE COM"&amp;"UNICAR EM INGLÊS. Número de horas por semana: 40 Horário de trabalho (início/término): 6h00 - 23h00")</f>
        <v>Prepara, tempera e cozinha sopas, carnes, legumes, frutas, sobremesas e outros alimentos diversos para consumo; observa as diretrizes da receita e os procedimentos de higiene. *Continuação da Seção F.a.5 abaixo: 40 horas semanais. Os turnos serão de 8 horas e podem variar conforme a necessidade, de acordo com o anúncio da vaga na Agência Estadual de Força de Trabalho e em outras fontes de anúncios de vagas H-2B, conforme os requisitos de recrutamento dos empregadores para trabalhadores em potencial no âmbito do programa H-2B. Turnos variáveis ​​ao longo de 7 dias da semana. Os turnos podem variar: das 6h às 23h. Classificação do Cargo: 35-2014.00 - Cozinheiros, Restaurante. A classificação e a descrição do cargo/setor incluem informações gerais sobre a posição, de acordo com o ONET/OES e o Sistema de Classificação Industrial da América do Norte. Consulte as Funções e a Ordem de Serviço para obter mais informações. Requisitos do Cargo: Experiência Necessária: Não. Requisitos Especiais: HABILIDADE DE SE COMUNICAR EM INGLÊS. Número de horas por semana: 40 Horário de trabalho (início/término): 6h00 - 23h00</v>
      </c>
    </row>
    <row r="2073" ht="20.25" customHeight="1">
      <c r="A2073" s="8" t="s">
        <v>9279</v>
      </c>
      <c r="B2073" s="8" t="s">
        <v>9275</v>
      </c>
      <c r="C2073" s="8" t="s">
        <v>8981</v>
      </c>
      <c r="D2073" s="8" t="s">
        <v>71</v>
      </c>
      <c r="E2073" s="9" t="s">
        <v>44</v>
      </c>
      <c r="F2073" s="9" t="s">
        <v>20</v>
      </c>
      <c r="G2073" s="9" t="s">
        <v>524</v>
      </c>
      <c r="H2073" s="8" t="s">
        <v>9276</v>
      </c>
      <c r="I2073" s="8" t="s">
        <v>9277</v>
      </c>
      <c r="J2073" s="9">
        <v>19.0</v>
      </c>
      <c r="K2073" s="9">
        <v>14.0</v>
      </c>
      <c r="L2073" s="8" t="s">
        <v>1206</v>
      </c>
      <c r="M2073" s="8" t="s">
        <v>9280</v>
      </c>
      <c r="N2073" s="7" t="str">
        <f>IFERROR(__xludf.DUMMYFUNCTION("GOOGLETRANSLATE(L2073, ""en"", ""pt"")"),"Servidor")</f>
        <v>Servidor</v>
      </c>
      <c r="O2073" s="7" t="str">
        <f>IFERROR(__xludf.DUMMYFUNCTION("IF(M2073="""","""",GOOGLETRANSLATE(M2073,""en"",""pt""))"),"Receber e servir pedidos de comida e bebida; realizar a montagem e desmontagem de mesas e outras atividades diversas; pode ser necessário trabalhar em ambientes externos e em eventos de banquetes; pode ser necessário servir clientes utilizando carrinhos d"&amp;"e golfe. *Continuação da Seção F.a.5 abaixo: 40 horas semanais. Os turnos serão de 8 horas e podem variar conforme a necessidade, de acordo com o anúncio da vaga na Agência Estadual de Força de Trabalho e em outras fontes de anúncios de vagas H-2B, confor"&amp;"me os requisitos de recrutamento dos empregadores para trabalhadores em potencial no âmbito do programa H-2B. Turnos variáveis ​​ao longo de 7 dias da semana. Os turnos podem variar: das 6h às 23h. Classificação da vaga: 35-3031.00 - Garçons e Garçonetes."&amp;" A classificação e descrição da vaga/setor inclui informações gerais sobre o cargo, de acordo com o ONET/OES e o Sistema de Classificação Industrial da América do Norte. Consulte as Funções e a Ordem de Serviço para obter mais informações. Requisitos da v"&amp;"aga: Experiência necessária: Não. Requisitos especiais: HABILIDADE DE SE COMUNICAR EM INGLÊS. Número de horas por semana: 40 Horário de trabalho (início/término): 6h00 - 23h00")</f>
        <v>Receber e servir pedidos de comida e bebida; realizar a montagem e desmontagem de mesas e outras atividades diversas; pode ser necessário trabalhar em ambientes externos e em eventos de banquetes; pode ser necessário servir clientes utilizando carrinhos de golfe. *Continuação da Seção F.a.5 abaixo: 40 horas semanais. Os turnos serão de 8 horas e podem variar conforme a necessidade, de acordo com o anúncio da vaga na Agência Estadual de Força de Trabalho e em outras fontes de anúncios de vagas H-2B, conforme os requisitos de recrutamento dos empregadores para trabalhadores em potencial no âmbito do programa H-2B. Turnos variáveis ​​ao longo de 7 dias da semana. Os turnos podem variar: das 6h às 23h. Classificação da vaga: 35-3031.00 - Garçons e Garçonetes. A classificação e descrição da vaga/setor inclui informações gerais sobre o cargo, de acordo com o ONET/OES e o Sistema de Classificação Industrial da América do Norte. Consulte as Funções e a Ordem de Serviço para obter mais informações. Requisitos da vaga: Experiência necessária: Não. Requisitos especiais: HABILIDADE DE SE COMUNICAR EM INGLÊS. Número de horas por semana: 40 Horário de trabalho (início/término): 6h00 - 23h00</v>
      </c>
    </row>
    <row r="2074" ht="20.25" customHeight="1">
      <c r="A2074" s="3" t="s">
        <v>9281</v>
      </c>
      <c r="B2074" s="3" t="s">
        <v>9275</v>
      </c>
      <c r="C2074" s="3" t="s">
        <v>8981</v>
      </c>
      <c r="D2074" s="3" t="s">
        <v>71</v>
      </c>
      <c r="E2074" s="4" t="s">
        <v>44</v>
      </c>
      <c r="F2074" s="4" t="s">
        <v>20</v>
      </c>
      <c r="G2074" s="4" t="s">
        <v>524</v>
      </c>
      <c r="H2074" s="3" t="s">
        <v>9276</v>
      </c>
      <c r="I2074" s="3" t="s">
        <v>9277</v>
      </c>
      <c r="J2074" s="4">
        <v>24.0</v>
      </c>
      <c r="K2074" s="4">
        <v>2.0</v>
      </c>
      <c r="L2074" s="3" t="s">
        <v>4654</v>
      </c>
      <c r="M2074" s="3" t="s">
        <v>9282</v>
      </c>
      <c r="N2074" s="7" t="str">
        <f>IFERROR(__xludf.DUMMYFUNCTION("GOOGLETRANSLATE(L2074, ""en"", ""pt"")"),"Capitão do servidor")</f>
        <v>Capitão do servidor</v>
      </c>
      <c r="O2074" s="7" t="str">
        <f>IFERROR(__xludf.DUMMYFUNCTION("IF(M2074="""","""",GOOGLETRANSLATE(M2074,""en"",""pt""))"),"Receber e servir pedidos de comida e bebida; realizar atividades de montagem e desmontagem de mesas e outros eventos; pode ser necessário trabalhar em ambientes externos e em banquetes; pode ser necessário servir clientes em carrinhos de golfe; supervisio"&amp;"nar a equipe de serviço durante a montagem; treinar novos garçons; construir e manter um bom relacionamento com os membros do clube; ser um exemplo a ser seguido e garantir que a equipe de serviço do clube ofereça o mais alto nível de atendimento. *Contin"&amp;"uação da Seção F.a.5 abaixo: 40 horas semanais. Os turnos serão de 8 horas e podem variar conforme a necessidade, de acordo com o anúncio de vaga da Agência Estadual de Força de Trabalho e outras fontes de anúncios de emprego H-2B, conforme os requisitos "&amp;"de recrutamento dos empregadores para trabalhadores em potencial no âmbito do programa H-2B. Turnos variáveis ​​ao longo de 7 dias da semana. Os turnos podem variar das 6h às 23h. Classificação da Função: 35-1012.00 - Supervisores de Primeira Linha de Pre"&amp;"paradores e Servidores de Alimentos. A classificação e descrição da função/setor inclui informações gerais sobre o cargo, de acordo com o ONET/OES e o Sistema de Classificação Industrial da América do Norte (NAICS). Consulte as Funções e a Ordem de Serviç"&amp;"o para obter mais informações. Requisitos da Função Experiência Necessária: Sim Meses de Experiência Necessários: 6 Requisitos Especiais: HABILIDADE DE SE COMUNICAR EM INGLÊS. Os 6 meses de experiência exigidos no Quadro F.A.9 referem-se a 6 meses de expe"&amp;"riência como garçom/garçonete ou garçom/garçonete sênior em um estabelecimento de hotelaria. Número de Horas por Semana: 40 Horário de Trabalho (Início/Término): 6h00 - 23h00")</f>
        <v>Receber e servir pedidos de comida e bebida; realizar atividades de montagem e desmontagem de mesas e outros eventos; pode ser necessário trabalhar em ambientes externos e em banquetes; pode ser necessário servir clientes em carrinhos de golfe; supervisionar a equipe de serviço durante a montagem; treinar novos garçons; construir e manter um bom relacionamento com os membros do clube; ser um exemplo a ser seguido e garantir que a equipe de serviço do clube ofereça o mais alto nível de atendimento. *Continuação da Seção F.a.5 abaixo: 40 horas semanais. Os turnos serão de 8 horas e podem variar conforme a necessidade, de acordo com o anúncio de vaga da Agência Estadual de Força de Trabalho e outras fontes de anúncios de emprego H-2B, conforme os requisitos de recrutamento dos empregadores para trabalhadores em potencial no âmbito do programa H-2B. Turnos variáveis ​​ao longo de 7 dias da semana. Os turnos podem variar das 6h às 23h. Classificação da Função: 35-1012.00 - Supervisores de Primeira Linha de Preparadores e Servidores de Alimentos. A classificação e descrição da função/setor inclui informações gerais sobre o cargo, de acordo com o ONET/OES e o Sistema de Classificação Industrial da América do Norte (NAICS). Consulte as Funções e a Ordem de Serviço para obter mais informações. Requisitos da Função Experiência Necessária: Sim Meses de Experiência Necessários: 6 Requisitos Especiais: HABILIDADE DE SE COMUNICAR EM INGLÊS. Os 6 meses de experiência exigidos no Quadro F.A.9 referem-se a 6 meses de experiência como garçom/garçonete ou garçom/garçonete sênior em um estabelecimento de hotelaria. Número de Horas por Semana: 40 Horário de Trabalho (Início/Término): 6h00 - 23h00</v>
      </c>
    </row>
    <row r="2075" ht="20.25" customHeight="1">
      <c r="A2075" s="8" t="s">
        <v>9283</v>
      </c>
      <c r="B2075" s="8" t="s">
        <v>9284</v>
      </c>
      <c r="C2075" s="8"/>
      <c r="D2075" s="8" t="s">
        <v>1103</v>
      </c>
      <c r="E2075" s="9" t="s">
        <v>19</v>
      </c>
      <c r="F2075" s="9" t="s">
        <v>20</v>
      </c>
      <c r="G2075" s="9" t="s">
        <v>155</v>
      </c>
      <c r="H2075" s="8" t="s">
        <v>9285</v>
      </c>
      <c r="I2075" s="8" t="s">
        <v>9286</v>
      </c>
      <c r="J2075" s="9">
        <v>23.96</v>
      </c>
      <c r="K2075" s="9">
        <v>15.0</v>
      </c>
      <c r="L2075" s="8" t="s">
        <v>2394</v>
      </c>
      <c r="M2075" s="8" t="s">
        <v>9287</v>
      </c>
      <c r="N2075" s="7" t="str">
        <f>IFERROR(__xludf.DUMMYFUNCTION("GOOGLETRANSLATE(L2075, ""en"", ""pt"")"),"Trabalhador de Iluminação Natalina")</f>
        <v>Trabalhador de Iluminação Natalina</v>
      </c>
      <c r="O2075" s="7" t="str">
        <f>IFERROR(__xludf.DUMMYFUNCTION("IF(M2075="""","""",GOOGLETRANSLATE(M2075,""en"",""pt""))"),"Instalação de todos os tipos de decoração natalina externa em propriedades residenciais e comerciais, incluindo guirlandas, iluminação, infláveis, árvores, ganchos, suportes, etc. Operar ferramentas elétricas para facilitar a instalação, conforme necessár"&amp;"io. Executar tarefas como fornecer ferramentas, materiais e suprimentos para outros trabalhadores; limpar a área de trabalho, equipamentos e ferramentas; e segurar materiais ou ferramentas para outros trabalhadores. Montar e trabalhar em escadas e/ou plat"&amp;"aformas elevatórias quando necessário. Localizar, relatar e solucionar problemas de energia relacionados à iluminação ou à decoração iluminada. Auxiliar na manutenção, reparos, instalação e remoção de iluminação paisagística externa e iluminação sazonal. "&amp;"Limpeza de primavera e outono, conforme necessário, para preparar a instalação e/ou remoção da iluminação. Organizar e preparar o estoque de material de decoração natalina. Carregar e descarregar materiais e preparar para armazenamento. Classificação do C"&amp;"argo: 49-9099.00 - Trabalhadores de Instalação, Manutenção e Reparo, Outros. A classificação e descrição do cargo/setor inclui informações gerais sobre a posição, de acordo com o ONET/OES e o Sistema de Classificação Industrial da América do Norte. Consul"&amp;"te as Funções e a Ordem de Serviço para obter mais informações. Requisitos da Vaga Experiência Necessária: Sim Meses de Experiência Necessários: 2 Requisitos Especiais: É necessário ter 18 anos devido ao uso de equipamentos. É necessário apresentar compro"&amp;"vante de autorização legal para trabalhar nos Estados Unidos. Ambiente de trabalho livre de drogas, álcool e tabaco. Executar atividades físicas como: levantar, equilibrar-se, caminhar, ajoelhar-se, abaixar-se, manusear, posicionar, mover, empurrar, puxar"&amp;" e carregar objetos de até 23 kg (possivelmente com a ajuda de outra pessoa). É necessário ser capaz de subir escadas de 2,4 a 4,8 metros e trabalhar em altura. Todos os candidatos devem ser capazes, dispostos e qualificados para executar o trabalho descr"&amp;"ito e devem estar disponíveis durante todo o período especificado e trabalhar em todas as áreas da vaga. Trabalho ao ar livre, exposto às intempéries; é necessário ser capaz de realizar trabalho fisicamente extenuante por longos períodos, ocasionalmente e"&amp;"m frio extremo. Condições climáticas variáveis ​​se aplicam; a carga horária pode sofrer alterações (+/-), com possibilidade de tempo de inatividade e/ou horas extras. Número de Horas por Semana: 40 Horário de Trabalho (Início/Término): 8h00 - 16:00")</f>
        <v>Instalação de todos os tipos de decoração natalina externa em propriedades residenciais e comerciais, incluindo guirlandas, iluminação, infláveis, árvores, ganchos, suportes, etc. Operar ferramentas elétricas para facilitar a instalação, conforme necessário. Executar tarefas como fornecer ferramentas, materiais e suprimentos para outros trabalhadores; limpar a área de trabalho, equipamentos e ferramentas; e segurar materiais ou ferramentas para outros trabalhadores. Montar e trabalhar em escadas e/ou plataformas elevatórias quando necessário. Localizar, relatar e solucionar problemas de energia relacionados à iluminação ou à decoração iluminada. Auxiliar na manutenção, reparos, instalação e remoção de iluminação paisagística externa e iluminação sazonal. Limpeza de primavera e outono, conforme necessário, para preparar a instalação e/ou remoção da iluminação. Organizar e preparar o estoque de material de decoração natalina. Carregar e descarregar materiais e preparar para armazenamento. Classificação do Cargo: 49-9099.00 - Trabalhadores de Instalação, Manutenção e Reparo, Outros. A classificação e descrição do cargo/setor inclui informações gerais sobre a posição, de acordo com o ONET/OES e o Sistema de Classificação Industrial da América do Norte. Consulte as Funções e a Ordem de Serviço para obter mais informações. Requisitos da Vaga Experiência Necessária: Sim Meses de Experiência Necessários: 2 Requisitos Especiais: É necessário ter 18 anos devido ao uso de equipamentos. É necessário apresentar comprovante de autorização legal para trabalhar nos Estados Unidos. Ambiente de trabalho livre de drogas, álcool e tabaco. Executar atividades físicas como: levantar, equilibrar-se, caminhar, ajoelhar-se, abaixar-se, manusear, posicionar, mover, empurrar, puxar e carregar objetos de até 23 kg (possivelmente com a ajuda de outra pessoa). É necessário ser capaz de subir escadas de 2,4 a 4,8 metros e trabalhar em altura. Todos os candidatos devem ser capazes, dispostos e qualificados para executar o trabalho descrito e devem estar disponíveis durante todo o período especificado e trabalhar em todas as áreas da vaga. Trabalho ao ar livre, exposto às intempéries; é necessário ser capaz de realizar trabalho fisicamente extenuante por longos períodos, ocasionalmente em frio extremo. Condições climáticas variáveis ​​se aplicam; a carga horária pode sofrer alterações (+/-), com possibilidade de tempo de inatividade e/ou horas extras. Número de Horas por Semana: 40 Horário de Trabalho (Início/Término): 8h00 - 16:00</v>
      </c>
    </row>
    <row r="2076" ht="20.25" customHeight="1">
      <c r="A2076" s="3" t="s">
        <v>9288</v>
      </c>
      <c r="B2076" s="3" t="s">
        <v>9289</v>
      </c>
      <c r="C2076" s="3" t="s">
        <v>9290</v>
      </c>
      <c r="D2076" s="3" t="s">
        <v>71</v>
      </c>
      <c r="E2076" s="4" t="s">
        <v>44</v>
      </c>
      <c r="F2076" s="4" t="s">
        <v>20</v>
      </c>
      <c r="G2076" s="4" t="s">
        <v>7174</v>
      </c>
      <c r="H2076" s="3" t="s">
        <v>9291</v>
      </c>
      <c r="I2076" s="3" t="s">
        <v>9292</v>
      </c>
      <c r="J2076" s="4">
        <v>17.0</v>
      </c>
      <c r="K2076" s="4">
        <v>1.0</v>
      </c>
      <c r="L2076" s="3" t="s">
        <v>387</v>
      </c>
      <c r="M2076" s="3" t="s">
        <v>9293</v>
      </c>
      <c r="N2076" s="7" t="str">
        <f>IFERROR(__xludf.DUMMYFUNCTION("GOOGLETRANSLATE(L2076, ""en"", ""pt"")"),"Ordem de serviço não disponível")</f>
        <v>Ordem de serviço não disponível</v>
      </c>
      <c r="O2076" s="7" t="str">
        <f>IFERROR(__xludf.DUMMYFUNCTION("IF(M2076="""","""",GOOGLETRANSLATE(M2076,""en"",""pt""))"),"• Supervisionar e monitorar a criança na residência familiar. • Preparar e organizar as refeições e lanches. • Organizar ou implementar atividades/rotinas estabelecidas pelos pais, como atividades educativas, encontros com outras crianças e horários de de"&amp;"scanso. • Garantir que a criança mantenha uma boa higiene. • Manter um ambiente limpo e organizado para a criança. • Proporcionar um ambiente seguro e acolhedor para a criança em todos os momentos. • Deve ser capaz de prestar primeiros socorros e RCP em c"&amp;"aso de emergência. • 40 horas semanais. • Alojamento e alimentação fornecidos. Classificação da vaga: 39-9011.01 - Babás. A classificação e descrição da vaga/setor incluem informações gerais sobre o cargo, de acordo com o ONET/OES e o Sistema de Classific"&amp;"ação Industrial da América do Norte. Consulte as Funções e a Ordem de Serviço para obter mais informações. Requisitos da vaga: Experiência necessária: Não. Requisitos especiais: RCP/Primeiros Socorros. Verificação de antecedentes criminais necessária. Núm"&amp;"ero de horas por semana: 40. Horário de trabalho (início/término): 8h às 16h.")</f>
        <v>• Supervisionar e monitorar a criança na residência familiar. • Preparar e organizar as refeições e lanches. • Organizar ou implementar atividades/rotinas estabelecidas pelos pais, como atividades educativas, encontros com outras crianças e horários de descanso. • Garantir que a criança mantenha uma boa higiene. • Manter um ambiente limpo e organizado para a criança. • Proporcionar um ambiente seguro e acolhedor para a criança em todos os momentos. • Deve ser capaz de prestar primeiros socorros e RCP em caso de emergência. • 40 horas semanais. • Alojamento e alimentação fornecidos. Classificação da vaga: 39-9011.01 - Babás. A classificação e descrição da vaga/setor incluem informações gerais sobre o cargo, de acordo com o ONET/OES e o Sistema de Classificação Industrial da América do Norte. Consulte as Funções e a Ordem de Serviço para obter mais informações. Requisitos da vaga: Experiência necessária: Não. Requisitos especiais: RCP/Primeiros Socorros. Verificação de antecedentes criminais necessária. Número de horas por semana: 40. Horário de trabalho (início/término): 8h às 16h.</v>
      </c>
    </row>
    <row r="2077" ht="20.25" customHeight="1">
      <c r="A2077" s="8" t="s">
        <v>9294</v>
      </c>
      <c r="B2077" s="8" t="s">
        <v>9295</v>
      </c>
      <c r="C2077" s="8" t="s">
        <v>9296</v>
      </c>
      <c r="D2077" s="8" t="s">
        <v>663</v>
      </c>
      <c r="E2077" s="9" t="s">
        <v>19</v>
      </c>
      <c r="F2077" s="9" t="s">
        <v>20</v>
      </c>
      <c r="G2077" s="9" t="s">
        <v>155</v>
      </c>
      <c r="H2077" s="8" t="s">
        <v>9297</v>
      </c>
      <c r="I2077" s="8" t="s">
        <v>9298</v>
      </c>
      <c r="J2077" s="9">
        <v>18.85</v>
      </c>
      <c r="K2077" s="9">
        <v>8.0</v>
      </c>
      <c r="L2077" s="8" t="s">
        <v>121</v>
      </c>
      <c r="M2077" s="8" t="s">
        <v>9299</v>
      </c>
      <c r="N2077" s="7" t="str">
        <f>IFERROR(__xludf.DUMMYFUNCTION("GOOGLETRANSLATE(L2077, ""en"", ""pt"")"),"Trabalhador braçal")</f>
        <v>Trabalhador braçal</v>
      </c>
      <c r="O2077" s="7" t="str">
        <f>IFERROR(__xludf.DUMMYFUNCTION("IF(M2077="""","""",GOOGLETRANSLATE(M2077,""en"",""pt""))"),"Operário geral com as seguintes responsabilidades: - retirar peles do congelador para descongelar, empilhar e movimentar as peles; - preparar as peles para curtimento, removendo a gordura e a carne da parte interna com uma faca; - as peles serão então rep"&amp;"assadas para a equipe da seção úmida do curtume; - afiar as facas usando a máquina de afiar; - mover as peles de um contêiner para outro, empurrar carrinhos com as peles para entregá-las à área de curtimento; - manter as áreas de trabalho limpas, incluind"&amp;"o a remoção de detritos e o armazenamento adequado de facas e ferramentas de afiar. Classificação do Cargo: 51-9198.00 - Auxiliares - Operários de Produção. A classificação e descrição do cargo/setor incluem informações gerais sobre a posição, de acordo c"&amp;"om o ONET/OES e o Sistema de Classificação Industrial da América do Norte. Consulte as Funções e a Ordem de Serviço para obter mais informações. Requisitos do Cargo Experiência Necessária: Não. Requisitos Especiais: Deve ser capaz de levantar de 23 kg a 3"&amp;"4 kg sem ajuda e até 68 kg com ajuda. Número de horas por semana: 40 Horário de trabalho (início/término): 8h00 - 16h00")</f>
        <v>Operário geral com as seguintes responsabilidades: - retirar peles do congelador para descongelar, empilhar e movimentar as peles; - preparar as peles para curtimento, removendo a gordura e a carne da parte interna com uma faca; - as peles serão então repassadas para a equipe da seção úmida do curtume; - afiar as facas usando a máquina de afiar; - mover as peles de um contêiner para outro, empurrar carrinhos com as peles para entregá-las à área de curtimento; - manter as áreas de trabalho limpas, incluindo a remoção de detritos e o armazenamento adequado de facas e ferramentas de afiar. Classificação do Cargo: 51-9198.00 - Auxiliares - Operários de Produção. A classificação e descrição do cargo/setor incluem informações gerais sobre a posição, de acordo com o ONET/OES e o Sistema de Classificação Industrial da América do Norte. Consulte as Funções e a Ordem de Serviço para obter mais informações. Requisitos do Cargo Experiência Necessária: Não. Requisitos Especiais: Deve ser capaz de levantar de 23 kg a 34 kg sem ajuda e até 68 kg com ajuda. Número de horas por semana: 40 Horário de trabalho (início/término): 8h00 - 16h00</v>
      </c>
    </row>
    <row r="2078" ht="20.25" customHeight="1">
      <c r="A2078" s="3" t="s">
        <v>9300</v>
      </c>
      <c r="B2078" s="3" t="s">
        <v>9301</v>
      </c>
      <c r="C2078" s="3" t="s">
        <v>8729</v>
      </c>
      <c r="D2078" s="3" t="s">
        <v>71</v>
      </c>
      <c r="E2078" s="4" t="s">
        <v>44</v>
      </c>
      <c r="F2078" s="4" t="s">
        <v>20</v>
      </c>
      <c r="G2078" s="4" t="s">
        <v>4040</v>
      </c>
      <c r="H2078" s="3" t="s">
        <v>9302</v>
      </c>
      <c r="I2078" s="3" t="s">
        <v>9303</v>
      </c>
      <c r="J2078" s="4">
        <v>16.09</v>
      </c>
      <c r="K2078" s="4">
        <v>1.0</v>
      </c>
      <c r="L2078" s="3" t="s">
        <v>9304</v>
      </c>
      <c r="M2078" s="3" t="s">
        <v>9305</v>
      </c>
      <c r="N2078" s="7" t="str">
        <f>IFERROR(__xludf.DUMMYFUNCTION("GOOGLETRANSLATE(L2078, ""en"", ""pt"")"),"Auxiliar de saúde domiciliar")</f>
        <v>Auxiliar de saúde domiciliar</v>
      </c>
      <c r="O2078" s="7" t="str">
        <f>IFERROR(__xludf.DUMMYFUNCTION("IF(M2078="""","""",GOOGLETRANSLATE(M2078,""en"",""pt""))"),"Prestar cuidados a idosos em domicílio. Auxiliar nas atividades diárias, incluindo banho, vestuário, higiene pessoal e exercícios. Preparar e servir refeições e lanches saudáveis. Orientar e auxiliar em atividades mentalmente estimulantes, como jogos, que"&amp;"bra-cabeças e trabalhos manuais. Auxiliar no monitoramento da saúde e oferecer apoio emocional. Lavar roupas e manter o ambiente limpo e organizado. Classificação da vaga: 31-1121.00 - Auxiliares de Saúde Domiciliar. A classificação e descrição da vaga/se"&amp;"tor incluem informações gerais sobre o cargo, de acordo com o ONET/OES e o Sistema de Classificação Industrial da América do Norte (NAICS). Consulte as atribuições e a descrição da vaga para obter mais informações. Requisitos da vaga: Experiência exigida:"&amp;" Sim. Meses de experiência exigidos: 12. Número de horas por semana: 54. Horário de trabalho (início/término): 8h às 17h.")</f>
        <v>Prestar cuidados a idosos em domicílio. Auxiliar nas atividades diárias, incluindo banho, vestuário, higiene pessoal e exercícios. Preparar e servir refeições e lanches saudáveis. Orientar e auxiliar em atividades mentalmente estimulantes, como jogos, quebra-cabeças e trabalhos manuais. Auxiliar no monitoramento da saúde e oferecer apoio emocional. Lavar roupas e manter o ambiente limpo e organizado. Classificação da vaga: 31-1121.00 - Auxiliares de Saúde Domiciliar. A classificação e descrição da vaga/setor incluem informações gerais sobre o cargo, de acordo com o ONET/OES e o Sistema de Classificação Industrial da América do Norte (NAICS). Consulte as atribuições e a descrição da vaga para obter mais informações. Requisitos da vaga: Experiência exigida: Sim. Meses de experiência exigidos: 12. Número de horas por semana: 54. Horário de trabalho (início/término): 8h às 17h.</v>
      </c>
    </row>
    <row r="2079" ht="20.25" customHeight="1">
      <c r="A2079" s="8" t="s">
        <v>9306</v>
      </c>
      <c r="B2079" s="8" t="s">
        <v>9307</v>
      </c>
      <c r="C2079" s="8" t="s">
        <v>8729</v>
      </c>
      <c r="D2079" s="8" t="s">
        <v>71</v>
      </c>
      <c r="E2079" s="9" t="s">
        <v>19</v>
      </c>
      <c r="F2079" s="9" t="s">
        <v>20</v>
      </c>
      <c r="G2079" s="9" t="s">
        <v>377</v>
      </c>
      <c r="H2079" s="8" t="s">
        <v>9308</v>
      </c>
      <c r="I2079" s="8" t="s">
        <v>9309</v>
      </c>
      <c r="J2079" s="9">
        <v>22.0</v>
      </c>
      <c r="K2079" s="9">
        <v>22.0</v>
      </c>
      <c r="L2079" s="8" t="s">
        <v>83</v>
      </c>
      <c r="M2079" s="8" t="s">
        <v>9310</v>
      </c>
      <c r="N2079" s="7" t="str">
        <f>IFERROR(__xludf.DUMMYFUNCTION("GOOGLETRANSLATE(L2079, ""en"", ""pt"")"),"Trabalhador Florestal")</f>
        <v>Trabalhador Florestal</v>
      </c>
      <c r="O2079" s="7" t="str">
        <f>IFERROR(__xludf.DUMMYFUNCTION("IF(M2079="""","""",GOOGLETRANSLATE(M2079,""en"",""pt""))"),"Sob a supervisão de um profissional licenciado, utilizar ferramentas manuais (facões) ou pequenas ferramentas elétricas e equipamentos para manter e restaurar áreas úmidas e terras altas ambientalmente protegidas em Parques Estaduais e Nacionais e Áreas d"&amp;"e Manejo da Vida Selvagem, do centro ao sul da Flórida; tratar quimicamente (pulverizar) vegetação e árvores exóticas invasoras e problemáticas utilizando pulverizadores costais de 15 litros e/ou pequenos frascos de pulverização manuais com produtos quími"&amp;"cos ou herbicidas prontos para uso (Round Up Pro, Round Up Custom, Garlon 3A, Garlon 4, Impel Red, Corante Marcador Azul (Indicador de Pulverização), Polaris, Ecomazapyr ou Induce), conforme instruções de supervisores e líderes de equipe; limpar arbustos "&amp;"e detritos e aplicar herbicidas conforme orientação de supervisores e líderes de equipe, em conformidade com todas as leis e instruções do rótulo. É necessário ser capaz de caminhar longas distâncias, às vezes na água, carregando um pulverizador costal de"&amp;" até 14 kg. É obrigatório o uso de equipamentos de proteção individual (óculos de proteção, luvas de látex com revestimento interno resistente a produtos químicos, máscaras faciais, calças compridas, camisas de manga comprida, botas de borracha e garrafas"&amp;" de água), que serão fornecidos. Ocasionalmente, poderá haver encontros com animais selvagens, incluindo abelhas, cobras e jacarés. Não será necessário misturar herbicidas e outros produtos químicos, pois estes já vêm pré-misturados, ou seja, são preparad"&amp;"os previamente pelos supervisores e líderes de equipe. Além disso, o empregador esclarece que a função não exige nenhum treinamento, certificação ou licença específica para a execução das tarefas de aplicação de herbicidas e outros produtos químicos. Clas"&amp;"sificação da função: 45-4011.00 - Trabalhadores Florestais e de Conservação. A classificação e descrição da função/setor incluem informações gerais sobre o cargo, de acordo com o ONET/OES e o Sistema de Classificação Industrial da América do Norte (NAICS)"&amp;". Consulte as atribuições e a ordem de serviço para obter mais informações. Requisitos da vaga: Experiência exigida: Não. Número de horas por semana: 48. Horário de trabalho (início/término): 7h às 15h30.")</f>
        <v>Sob a supervisão de um profissional licenciado, utilizar ferramentas manuais (facões) ou pequenas ferramentas elétricas e equipamentos para manter e restaurar áreas úmidas e terras altas ambientalmente protegidas em Parques Estaduais e Nacionais e Áreas de Manejo da Vida Selvagem, do centro ao sul da Flórida; tratar quimicamente (pulverizar) vegetação e árvores exóticas invasoras e problemáticas utilizando pulverizadores costais de 15 litros e/ou pequenos frascos de pulverização manuais com produtos químicos ou herbicidas prontos para uso (Round Up Pro, Round Up Custom, Garlon 3A, Garlon 4, Impel Red, Corante Marcador Azul (Indicador de Pulverização), Polaris, Ecomazapyr ou Induce), conforme instruções de supervisores e líderes de equipe; limpar arbustos e detritos e aplicar herbicidas conforme orientação de supervisores e líderes de equipe, em conformidade com todas as leis e instruções do rótulo. É necessário ser capaz de caminhar longas distâncias, às vezes na água, carregando um pulverizador costal de até 14 kg. É obrigatório o uso de equipamentos de proteção individual (óculos de proteção, luvas de látex com revestimento interno resistente a produtos químicos, máscaras faciais, calças compridas, camisas de manga comprida, botas de borracha e garrafas de água), que serão fornecidos. Ocasionalmente, poderá haver encontros com animais selvagens, incluindo abelhas, cobras e jacarés. Não será necessário misturar herbicidas e outros produtos químicos, pois estes já vêm pré-misturados, ou seja, são preparados previamente pelos supervisores e líderes de equipe. Além disso, o empregador esclarece que a função não exige nenhum treinamento, certificação ou licença específica para a execução das tarefas de aplicação de herbicidas e outros produtos químicos. Classificação da função: 45-4011.00 - Trabalhadores Florestais e de Conservação. A classificação e descrição da função/setor incluem informações gerais sobre o cargo, de acordo com o ONET/OES e o Sistema de Classificação Industrial da América do Norte (NAICS). Consulte as atribuições e a ordem de serviço para obter mais informações. Requisitos da vaga: Experiência exigida: Não. Número de horas por semana: 48. Horário de trabalho (início/término): 7h às 15h30.</v>
      </c>
    </row>
    <row r="2080" ht="20.25" customHeight="1">
      <c r="A2080" s="3" t="s">
        <v>9311</v>
      </c>
      <c r="B2080" s="3" t="s">
        <v>9312</v>
      </c>
      <c r="C2080" s="3" t="s">
        <v>7431</v>
      </c>
      <c r="D2080" s="3" t="s">
        <v>36</v>
      </c>
      <c r="E2080" s="4" t="s">
        <v>19</v>
      </c>
      <c r="F2080" s="4" t="s">
        <v>20</v>
      </c>
      <c r="G2080" s="4" t="s">
        <v>6467</v>
      </c>
      <c r="H2080" s="3" t="s">
        <v>9313</v>
      </c>
      <c r="I2080" s="3" t="s">
        <v>9314</v>
      </c>
      <c r="J2080" s="4">
        <v>15.13</v>
      </c>
      <c r="K2080" s="4">
        <v>1.0</v>
      </c>
      <c r="L2080" s="3" t="s">
        <v>387</v>
      </c>
      <c r="M2080" s="3" t="s">
        <v>9315</v>
      </c>
      <c r="N2080" s="7" t="str">
        <f>IFERROR(__xludf.DUMMYFUNCTION("GOOGLETRANSLATE(L2080, ""en"", ""pt"")"),"Ordem de serviço não disponível")</f>
        <v>Ordem de serviço não disponível</v>
      </c>
      <c r="O2080" s="7" t="str">
        <f>IFERROR(__xludf.DUMMYFUNCTION("IF(M2080="""","""",GOOGLETRANSLATE(M2080,""en"",""pt""))"),"Preparar, servir e alimentar com lanches e refeições nutricionalmente balanceadas uma criança pequena e uma criança em idade pré-escolar. Colocar as crianças para dormir e regular seus períodos de descanso e horários de soneca. Vestir ou auxiliar as crian"&amp;"ças a se vestirem. Interagir com as crianças em atividades apropriadas para a idade, como brincadeiras estruturadas, leitura, artes e artesanato, e atividades ao ar livre para estimular o desenvolvimento intelectual. Reunir-se regularmente com os pais par"&amp;"a discutir as atividades e o desenvolvimento das crianças. Trabalhar com os pais para implementar programas de disciplina que promovam o comportamento desejável das crianças. Instruir e auxiliar as crianças no desenvolvimento de hábitos de saúde e pessoai"&amp;"s, como alimentação, escovação dos dentes e uso do banheiro. Servir de modelo para comportamentos sociais apropriados e incentivar a preocupação com os outros para cultivar o desenvolvimento de relacionamentos interpessoais e habilidades de comunicação. M"&amp;"onitorar as tarefas apropriadas e elogiar os comportamentos desejados para incentivar o desenvolvimento do autocontrole, da autoconfiança e da responsabilidade. Remover riscos e estabelecer limites e regras apropriados para criar um ambiente seguro para a"&amp;"s crianças. Prestar primeiros socorros quando necessário. Observar o comportamento das crianças em busca de irregularidades, aferir a temperatura ou administrar medicamentos, conforme orientação, para manter a saúde das crianças. Realizar tarefas doméstic"&amp;"as e de limpeza relacionadas aos cuidados com as crianças. Transportar crianças para atividades, passeios sociais e consultas médicas. Fazer compras de supermercado, roupas e outros itens necessários para os cuidados das crianças. Todas as tarefas serão r"&amp;"ealizadas em um ambiente residencial privado. O local de trabalho para esta vaga é a residência da família, com recados e passeios dentro da mesma região metropolitana ou em áreas próximas ao local de trabalho. Viagens nacionais ocasionais opcionais são p"&amp;"ossíveis, com duração de até 10 dias, não mais do que duas vezes por ano. Os medicamentos administrados se limitam a medicamentos pediátricos de venda livre e prescritos por médicos, tanto orais quanto tópicos, na forma de líquidos, comprimidos, pílulas e"&amp;" cremes ou pomadas tópicas. O(A) profissional mede as doses de líquidos; auxilia a criança na administração oral de medicamentos; aplica medicamentos tópicos na pele; registra e informa as doses aos pais; e armazena os medicamentos com segurança, de acord"&amp;"o com as instruções dos pais ou do médico quanto ao tipo, forma, dosagem e horário do medicamento. O(A) profissional não seleciona medicamentos, determina dosagens ou administra injeções. Classificação da Função: 39-9011.01 - Babás. A classificação e desc"&amp;"rição da função/setor inclui informações gerais sobre o cargo, de acordo com o ONET/OES e o Sistema de Classificação Industrial da América do Norte (NAICS). Consulte as Funções e a Ordem de Serviço para obter mais informações. Requisitos da Função: Experi"&amp;"ência Necessária: Sim. Meses de Experiência Necessários: 24. Requisitos Especiais: Mínimo de 24 meses de experiência como babá ou cuidador(a) de crianças. Conhecimento básico de inglês. Capacidade de levantar e carregar pesos suficientes para movimentar e"&amp;"quipamentos e materiais necessários para a execução das tarefas designadas. Capacidade de permanecer em pé durante todo o turno. Capacidade de participar ativamente de brincadeiras com crianças. Utilização de eletrodomésticos, máquinas de lavar roupa e o "&amp;"veículo da casa. 40 horas semanais, em turnos regulares de 8 horas, 5 dias por semana. Horário típico de trabalho: de segunda a sexta-feira, entre 8h e 18h. O horário pode variar e incluir noites, fins de semana ou feriados, conforme necessário. O emprega"&amp;"dor se baseará nas declarações e observações do próprio trabalhador para avaliar se ele atende aos requisitos de capacidade física para levantamento de peso, permanência em pé e outras atividades descritas neste documento. Número de horas semanais: 40. Ho"&amp;"rário de trabalho (início/término): 8h às 18h.")</f>
        <v>Preparar, servir e alimentar com lanches e refeições nutricionalmente balanceadas uma criança pequena e uma criança em idade pré-escolar. Colocar as crianças para dormir e regular seus períodos de descanso e horários de soneca. Vestir ou auxiliar as crianças a se vestirem. Interagir com as crianças em atividades apropriadas para a idade, como brincadeiras estruturadas, leitura, artes e artesanato, e atividades ao ar livre para estimular o desenvolvimento intelectual. Reunir-se regularmente com os pais para discutir as atividades e o desenvolvimento das crianças. Trabalhar com os pais para implementar programas de disciplina que promovam o comportamento desejável das crianças. Instruir e auxiliar as crianças no desenvolvimento de hábitos de saúde e pessoais, como alimentação, escovação dos dentes e uso do banheiro. Servir de modelo para comportamentos sociais apropriados e incentivar a preocupação com os outros para cultivar o desenvolvimento de relacionamentos interpessoais e habilidades de comunicação. Monitorar as tarefas apropriadas e elogiar os comportamentos desejados para incentivar o desenvolvimento do autocontrole, da autoconfiança e da responsabilidade. Remover riscos e estabelecer limites e regras apropriados para criar um ambiente seguro para as crianças. Prestar primeiros socorros quando necessário. Observar o comportamento das crianças em busca de irregularidades, aferir a temperatura ou administrar medicamentos, conforme orientação, para manter a saúde das crianças. Realizar tarefas domésticas e de limpeza relacionadas aos cuidados com as crianças. Transportar crianças para atividades, passeios sociais e consultas médicas. Fazer compras de supermercado, roupas e outros itens necessários para os cuidados das crianças. Todas as tarefas serão realizadas em um ambiente residencial privado. O local de trabalho para esta vaga é a residência da família, com recados e passeios dentro da mesma região metropolitana ou em áreas próximas ao local de trabalho. Viagens nacionais ocasionais opcionais são possíveis, com duração de até 10 dias, não mais do que duas vezes por ano. Os medicamentos administrados se limitam a medicamentos pediátricos de venda livre e prescritos por médicos, tanto orais quanto tópicos, na forma de líquidos, comprimidos, pílulas e cremes ou pomadas tópicas. O(A) profissional mede as doses de líquidos; auxilia a criança na administração oral de medicamentos; aplica medicamentos tópicos na pele; registra e informa as doses aos pais; e armazena os medicamentos com segurança, de acordo com as instruções dos pais ou do médico quanto ao tipo, forma, dosagem e horário do medicamento. O(A) profissional não seleciona medicamentos, determina dosagens ou administra injeções. Classificação da Função: 39-9011.01 - Babás. A classificação e descrição da função/setor inclui informações gerais sobre o cargo, de acordo com o ONET/OES e o Sistema de Classificação Industrial da América do Norte (NAICS). Consulte as Funções e a Ordem de Serviço para obter mais informações. Requisitos da Função: Experiência Necessária: Sim. Meses de Experiência Necessários: 24. Requisitos Especiais: Mínimo de 24 meses de experiência como babá ou cuidador(a) de crianças. Conhecimento básico de inglês. Capacidade de levantar e carregar pesos suficientes para movimentar equipamentos e materiais necessários para a execução das tarefas designadas. Capacidade de permanecer em pé durante todo o turno. Capacidade de participar ativamente de brincadeiras com crianças. Utilização de eletrodomésticos, máquinas de lavar roupa e o veículo da casa. 40 horas semanais, em turnos regulares de 8 horas, 5 dias por semana. Horário típico de trabalho: de segunda a sexta-feira, entre 8h e 18h. O horário pode variar e incluir noites, fins de semana ou feriados, conforme necessário. O empregador se baseará nas declarações e observações do próprio trabalhador para avaliar se ele atende aos requisitos de capacidade física para levantamento de peso, permanência em pé e outras atividades descritas neste documento. Número de horas semanais: 40. Horário de trabalho (início/término): 8h às 18h.</v>
      </c>
    </row>
    <row r="2081" ht="20.25" customHeight="1">
      <c r="A2081" s="8" t="s">
        <v>9316</v>
      </c>
      <c r="B2081" s="8" t="s">
        <v>9317</v>
      </c>
      <c r="C2081" s="8" t="s">
        <v>9013</v>
      </c>
      <c r="D2081" s="8" t="s">
        <v>71</v>
      </c>
      <c r="E2081" s="9" t="s">
        <v>44</v>
      </c>
      <c r="F2081" s="9" t="s">
        <v>20</v>
      </c>
      <c r="G2081" s="9" t="s">
        <v>345</v>
      </c>
      <c r="H2081" s="8" t="s">
        <v>9318</v>
      </c>
      <c r="I2081" s="8" t="s">
        <v>9319</v>
      </c>
      <c r="J2081" s="9">
        <v>18.57</v>
      </c>
      <c r="K2081" s="9">
        <v>14.0</v>
      </c>
      <c r="L2081" s="8" t="s">
        <v>3876</v>
      </c>
      <c r="M2081" s="8" t="s">
        <v>9320</v>
      </c>
      <c r="N2081" s="7" t="str">
        <f>IFERROR(__xludf.DUMMYFUNCTION("GOOGLETRANSLATE(L2081, ""en"", ""pt"")"),"tratador de cavalos para exposições equestres")</f>
        <v>tratador de cavalos para exposições equestres</v>
      </c>
      <c r="O2081" s="7" t="str">
        <f>IFERROR(__xludf.DUMMYFUNCTION("IF(M2081="""","""",GOOGLETRANSLATE(M2081,""en"",""pt""))"),"Tratador de Cavalos para Exposições: Será responsável pelos cuidados de cavalos de competição de alto nível, incluindo escovação, alimentação, hidratação, banho, tosa e soltura supervisionada no pasto. O tratador deverá manter e limpar as baias e a área d"&amp;"e trabalho diariamente. Deverá observar e relatar diariamente a condição física dos cavalos ao gerente. Deve ser capaz de levantar e carregar 27 kg por até 30 metros. O tratador será responsável pelos cuidados de 3 a 5 cavalos por vez, o que inclui selar "&amp;"e verificar o ajuste correto de bridões, martingales, selas e outros equipamentos. O horário de trabalho é das 8h às 16h30, com 30 minutos de intervalo para almoço. Classificação da Função: 39-2021.00 - Cuidadores de Animais. A classificação e descrição d"&amp;"a função/setor inclui informações gerais sobre o cargo, de acordo com o ONET/OES e o Sistema de Classificação Industrial da América do Norte. Consulte as Funções e a Ordem de Serviço para obter mais informações. Requisitos da vaga Experiência necessária: "&amp;"Sim Meses de experiência necessários: 3 Número de horas por semana: 48 Horário de trabalho (início/término): 8h00 - 16h30")</f>
        <v>Tratador de Cavalos para Exposições: Será responsável pelos cuidados de cavalos de competição de alto nível, incluindo escovação, alimentação, hidratação, banho, tosa e soltura supervisionada no pasto. O tratador deverá manter e limpar as baias e a área de trabalho diariamente. Deverá observar e relatar diariamente a condição física dos cavalos ao gerente. Deve ser capaz de levantar e carregar 27 kg por até 30 metros. O tratador será responsável pelos cuidados de 3 a 5 cavalos por vez, o que inclui selar e verificar o ajuste correto de bridões, martingales, selas e outros equipamentos. O horário de trabalho é das 8h às 16h30, com 30 minutos de intervalo para almoço. Classificação da Função: 39-2021.00 - Cuidadores de Animais. A classificação e descrição da função/setor inclui informações gerais sobre o cargo, de acordo com o ONET/OES e o Sistema de Classificação Industrial da América do Norte. Consulte as Funções e a Ordem de Serviço para obter mais informações. Requisitos da vaga Experiência necessária: Sim Meses de experiência necessários: 3 Número de horas por semana: 48 Horário de trabalho (início/término): 8h00 - 16h30</v>
      </c>
    </row>
    <row r="2082" ht="20.25" customHeight="1">
      <c r="A2082" s="3" t="s">
        <v>9321</v>
      </c>
      <c r="B2082" s="3" t="s">
        <v>9322</v>
      </c>
      <c r="C2082" s="3"/>
      <c r="D2082" s="3" t="s">
        <v>55</v>
      </c>
      <c r="E2082" s="4" t="s">
        <v>44</v>
      </c>
      <c r="F2082" s="4" t="s">
        <v>20</v>
      </c>
      <c r="G2082" s="4" t="s">
        <v>80</v>
      </c>
      <c r="H2082" s="3" t="s">
        <v>9323</v>
      </c>
      <c r="I2082" s="3" t="s">
        <v>9324</v>
      </c>
      <c r="J2082" s="4">
        <v>21.5</v>
      </c>
      <c r="K2082" s="4">
        <v>10.0</v>
      </c>
      <c r="L2082" s="3" t="s">
        <v>9325</v>
      </c>
      <c r="M2082" s="3" t="s">
        <v>9326</v>
      </c>
      <c r="N2082" s="7" t="str">
        <f>IFERROR(__xludf.DUMMYFUNCTION("GOOGLETRANSLATE(L2082, ""en"", ""pt"")"),"Auxiliar geral – Instalação e suporte na loja")</f>
        <v>Auxiliar geral – Instalação e suporte na loja</v>
      </c>
      <c r="O2082" s="7" t="str">
        <f>IFERROR(__xludf.DUMMYFUNCTION("IF(M2082="""","""",GOOGLETRANSLATE(M2082,""en"",""pt""))"),"O funcionário auxilia os técnicos no transporte de eletrodomésticos, posicionando-os para instalação ou remoção, retirando embalagens, segurando os eletrodomésticos durante a instalação, entregando ferramentas e materiais aos técnicos e limpando as áreas "&amp;"de trabalho após a conclusão do serviço. As ferramentas e equipamentos utilizados incluem carrinhos para eletrodomésticos, carrinhos de mão, cintas de movimentação, chaves de fenda, chaves de boca, alicates, chaves ajustáveis, furadeiras sem fio e outras "&amp;"ferramentas manuais básicas. Os materiais manuseados incluem tubulações de água, mangueiras de drenagem, cabos de alimentação, suportes de montagem, fixadores, materiais de embalagem e revestimentos de piso protetores. Os eletrodomésticos e equipamentos r"&amp;"elacionados incluem geladeiras, freezers, lava-louças, fogões, fornos, cooktops, micro-ondas, lavadoras, secadoras, máquinas de gelo e eletrodomésticos residenciais similares. O trabalho é realizado em residências de clientes, instalações da empresa, área"&amp;"s de armazenamento e depósitos. O funcionário carrega e descarrega eletrodomésticos, peças de reposição, ferramentas e suprimentos de veículos e locais de armazenamento; movimenta materiais entre as áreas de armazenamento e preparação do trabalho; organiz"&amp;"a os equipamentos para as operações diárias; e organiza o estoque. Os equipamentos utilizados incluem carrinhos para eletrodomésticos, carrinhos de mão, carrinhos de transporte, sistemas de prateleiras, paleteiras e cintas de movimentação. Os materiais ma"&amp;"nuseados incluem eletrodomésticos, peças de eletrodomésticos, ferramentas, materiais de embalagem e suprimentos de oficina. O funcionário prepara os veículos de serviço reunindo as ferramentas, peças de reposição e suprimentos necessários para os atendime"&amp;"ntos agendados; verifica se as ferramentas e os equipamentos estão disponíveis; carrega as peças e os materiais nos veículos; e organiza os equipamentos para uso do técnico. Auxilia os técnicos na instalação e remoção de eletrodomésticos e equipamentos re"&amp;"lacionados sob supervisão. Carrega, descarrega e movimenta materiais, ferramentas e equipamentos dentro da oficina e das áreas de armazenamento. Presta assistência durante a preparação do serviço, organizando ferramentas, posicionando materiais e realizan"&amp;"do tarefas manuais básicas sob supervisão direta. Executa tarefas de apoio na oficina, incluindo organização de ferramentas, reposição de materiais, limpeza das áreas de trabalho e manutenção da organização dos espaços de trabalho. Prepara materiais e equ"&amp;"ipamentos para os atendimentos e auxilia em tarefas básicas não técnicas sob supervisão. Utiliza ferramentas manuais básicas e segue todos os procedimentos de segurança. Mantém as áreas de trabalho limpas e seguras. Executa as tarefas principalmente em um"&amp;" ambiente de oficina ou armazém, preparando equipamentos e materiais para as operações de serviço. Auxiliar na organização do estoque, preparação de equipamentos e manutenção da oficina para as operações diárias. Classificação da vaga: 49-9098.00 - Ajudan"&amp;"tes - Instaladores, Manutenção e Reparos. A classificação e descrição da vaga/setor incluem informações gerais sobre o cargo, de acordo com o ONET/OES e o Sistema de Classificação Industrial da América do Norte (NAICS). Consulte as Funções e a Ordem de Se"&amp;"rviço para obter mais informações. Requisitos da vaga: Experiência necessária: Não. Requisitos especiais: Não são necessários escolaridade, treinamento ou experiência prévia. O empregador fornecerá todo o treinamento necessário no local de trabalho. O can"&amp;"didato deve ser capaz de realizar trabalhos fisicamente exigentes, incluindo levantar, carregar, empurrar, puxar, carregar, descarregar e movimentar eletrodomésticos e equipamentos domésticos com ou sem auxílio. Deve ser capaz de usar ferramentas manuais "&amp;"básicas com segurança, seguir instruções orais e escritas, manter uma aparência profissional, cumprir todas as políticas de segurança da empresa e usar os equipamentos de proteção individual (EPIs) necessários ao executar as tarefas designadas. Número de "&amp;"horas por semana: 35. Horário de trabalho (início/término): 8h às 15h.")</f>
        <v>O funcionário auxilia os técnicos no transporte de eletrodomésticos, posicionando-os para instalação ou remoção, retirando embalagens, segurando os eletrodomésticos durante a instalação, entregando ferramentas e materiais aos técnicos e limpando as áreas de trabalho após a conclusão do serviço. As ferramentas e equipamentos utilizados incluem carrinhos para eletrodomésticos, carrinhos de mão, cintas de movimentação, chaves de fenda, chaves de boca, alicates, chaves ajustáveis, furadeiras sem fio e outras ferramentas manuais básicas. Os materiais manuseados incluem tubulações de água, mangueiras de drenagem, cabos de alimentação, suportes de montagem, fixadores, materiais de embalagem e revestimentos de piso protetores. Os eletrodomésticos e equipamentos relacionados incluem geladeiras, freezers, lava-louças, fogões, fornos, cooktops, micro-ondas, lavadoras, secadoras, máquinas de gelo e eletrodomésticos residenciais similares. O trabalho é realizado em residências de clientes, instalações da empresa, áreas de armazenamento e depósitos. O funcionário carrega e descarrega eletrodomésticos, peças de reposição, ferramentas e suprimentos de veículos e locais de armazenamento; movimenta materiais entre as áreas de armazenamento e preparação do trabalho; organiza os equipamentos para as operações diárias; e organiza o estoque. Os equipamentos utilizados incluem carrinhos para eletrodomésticos, carrinhos de mão, carrinhos de transporte, sistemas de prateleiras, paleteiras e cintas de movimentação. Os materiais manuseados incluem eletrodomésticos, peças de eletrodomésticos, ferramentas, materiais de embalagem e suprimentos de oficina. O funcionário prepara os veículos de serviço reunindo as ferramentas, peças de reposição e suprimentos necessários para os atendimentos agendados; verifica se as ferramentas e os equipamentos estão disponíveis; carrega as peças e os materiais nos veículos; e organiza os equipamentos para uso do técnico. Auxilia os técnicos na instalação e remoção de eletrodomésticos e equipamentos relacionados sob supervisão. Carrega, descarrega e movimenta materiais, ferramentas e equipamentos dentro da oficina e das áreas de armazenamento. Presta assistência durante a preparação do serviço, organizando ferramentas, posicionando materiais e realizando tarefas manuais básicas sob supervisão direta. Executa tarefas de apoio na oficina, incluindo organização de ferramentas, reposição de materiais, limpeza das áreas de trabalho e manutenção da organização dos espaços de trabalho. Prepara materiais e equipamentos para os atendimentos e auxilia em tarefas básicas não técnicas sob supervisão. Utiliza ferramentas manuais básicas e segue todos os procedimentos de segurança. Mantém as áreas de trabalho limpas e seguras. Executa as tarefas principalmente em um ambiente de oficina ou armazém, preparando equipamentos e materiais para as operações de serviço. Auxiliar na organização do estoque, preparação de equipamentos e manutenção da oficina para as operações diárias. Classificação da vaga: 49-9098.00 - Ajudantes - Instaladores, Manutenção e Reparos. A classificação e descrição da vaga/setor incluem informações gerais sobre o cargo, de acordo com o ONET/OES e o Sistema de Classificação Industrial da América do Norte (NAICS). Consulte as Funções e a Ordem de Serviço para obter mais informações. Requisitos da vaga: Experiência necessária: Não. Requisitos especiais: Não são necessários escolaridade, treinamento ou experiência prévia. O empregador fornecerá todo o treinamento necessário no local de trabalho. O candidato deve ser capaz de realizar trabalhos fisicamente exigentes, incluindo levantar, carregar, empurrar, puxar, carregar, descarregar e movimentar eletrodomésticos e equipamentos domésticos com ou sem auxílio. Deve ser capaz de usar ferramentas manuais básicas com segurança, seguir instruções orais e escritas, manter uma aparência profissional, cumprir todas as políticas de segurança da empresa e usar os equipamentos de proteção individual (EPIs) necessários ao executar as tarefas designadas. Número de horas por semana: 35. Horário de trabalho (início/término): 8h às 15h.</v>
      </c>
    </row>
    <row r="2083" ht="20.25" customHeight="1">
      <c r="A2083" s="8" t="s">
        <v>9327</v>
      </c>
      <c r="B2083" s="8" t="s">
        <v>9144</v>
      </c>
      <c r="C2083" s="8" t="s">
        <v>8981</v>
      </c>
      <c r="D2083" s="8" t="s">
        <v>71</v>
      </c>
      <c r="E2083" s="9" t="s">
        <v>19</v>
      </c>
      <c r="F2083" s="9" t="s">
        <v>20</v>
      </c>
      <c r="G2083" s="9" t="s">
        <v>524</v>
      </c>
      <c r="H2083" s="8" t="s">
        <v>9145</v>
      </c>
      <c r="I2083" s="8" t="s">
        <v>9146</v>
      </c>
      <c r="J2083" s="9">
        <v>16.01</v>
      </c>
      <c r="K2083" s="9">
        <v>11.0</v>
      </c>
      <c r="L2083" s="8" t="s">
        <v>354</v>
      </c>
      <c r="M2083" s="8" t="s">
        <v>9328</v>
      </c>
      <c r="N2083" s="7" t="str">
        <f>IFERROR(__xludf.DUMMYFUNCTION("GOOGLETRANSLATE(L2083, ""en"", ""pt"")"),"Governanta")</f>
        <v>Governanta</v>
      </c>
      <c r="O2083" s="7" t="str">
        <f>IFERROR(__xludf.DUMMYFUNCTION("IF(M2083="""","""",GOOGLETRANSLATE(M2083,""en"",""pt""))"),"Limpar áreas comuns, corredores, quartos e vestiários, incluindo tirar o pó, passar pano leve, aspirar e, ocasionalmente, remover lixo/roupas lavadas. Carregar, lavar e guardar roupas de cama e banho, especificamente incluindo a lavagem de toalhas de mesa"&amp;", roupas de cama de quartos de hóspedes, roupas de cama das instalações, uniformes das instalações, toalhas de banho, cortinas e tecidos decorativos. *Continuação da Seção F.a.5 abaixo: 35 horas semanais; o trabalho pode ser realizado em qualquer dia da s"&amp;"emana, de segunda a domingo. Turnos variáveis ​​ao longo de 7 dias da semana, que podem variar conforme a necessidade, de acordo com o anúncio da vaga na Agência Estadual de Força de Trabalho e em outras fontes de anúncios de vagas H2B, conforme os requis"&amp;"itos de recrutamento dos empregadores para trabalhadores em potencial no âmbito do programa H2B; os turnos podem variar: das 6h às 23h. Classificação do Cargo: 37-2012.00 - Empregadas Domésticas e Auxiliares de Limpeza. A classificação e descrição do carg"&amp;"o/setor incluem informações gerais sobre a posição, de acordo com o ONET/OES e o Sistema de Classificação Industrial da América do Norte. Consulte as Funções e a Ordem de Serviço para obter mais informações. Requisitos da vaga Experiência necessária: Não "&amp;"Requisitos especiais: Aprovação na verificação de antecedentes criminais pré-admissional; capacidade de comunicação em inglês; teste toxicológico pós-admissional. O empregador exige que a verificação de antecedentes criminais pré-admissional e o teste tox"&amp;"icológico pós-admissional sejam realizados igualmente para trabalhadores americanos e trabalhadores com visto H-2B. Número de horas por semana: 35 Horário de trabalho (início/término): 6h às 23h")</f>
        <v>Limpar áreas comuns, corredores, quartos e vestiários, incluindo tirar o pó, passar pano leve, aspirar e, ocasionalmente, remover lixo/roupas lavadas. Carregar, lavar e guardar roupas de cama e banho, especificamente incluindo a lavagem de toalhas de mesa, roupas de cama de quartos de hóspedes, roupas de cama das instalações, uniformes das instalações, toalhas de banho, cortinas e tecidos decorativos. *Continuação da Seção F.a.5 abaixo: 35 horas semanais; o trabalho pode ser realizado em qualquer dia da semana, de segunda a domingo. Turnos variáveis ​​ao longo de 7 dias da semana, que podem variar conforme a necessidade, de acordo com o anúncio da vaga na Agência Estadual de Força de Trabalho e em outras fontes de anúncios de vagas H2B, conforme os requisitos de recrutamento dos empregadores para trabalhadores em potencial no âmbito do programa H2B; os turnos podem variar: das 6h às 23h. Classificação do Cargo: 37-2012.00 - Empregadas Domésticas e Auxiliares de Limpeza. A classificação e descrição do cargo/setor incluem informações gerais sobre a posição, de acordo com o ONET/OES e o Sistema de Classificação Industrial da América do Norte. Consulte as Funções e a Ordem de Serviço para obter mais informações. Requisitos da vaga Experiência necessária: Não Requisitos especiais: Aprovação na verificação de antecedentes criminais pré-admissional; capacidade de comunicação em inglês; teste toxicológico pós-admissional. O empregador exige que a verificação de antecedentes criminais pré-admissional e o teste toxicológico pós-admissional sejam realizados igualmente para trabalhadores americanos e trabalhadores com visto H-2B. Número de horas por semana: 35 Horário de trabalho (início/término): 6h às 23h</v>
      </c>
    </row>
    <row r="2084" ht="20.25" customHeight="1">
      <c r="A2084" s="3" t="s">
        <v>9329</v>
      </c>
      <c r="B2084" s="3" t="s">
        <v>9144</v>
      </c>
      <c r="C2084" s="3" t="s">
        <v>8981</v>
      </c>
      <c r="D2084" s="3" t="s">
        <v>71</v>
      </c>
      <c r="E2084" s="4" t="s">
        <v>19</v>
      </c>
      <c r="F2084" s="4" t="s">
        <v>20</v>
      </c>
      <c r="G2084" s="4" t="s">
        <v>524</v>
      </c>
      <c r="H2084" s="3" t="s">
        <v>9145</v>
      </c>
      <c r="I2084" s="3" t="s">
        <v>9146</v>
      </c>
      <c r="J2084" s="4">
        <v>18.71</v>
      </c>
      <c r="K2084" s="4">
        <v>54.0</v>
      </c>
      <c r="L2084" s="3" t="s">
        <v>1206</v>
      </c>
      <c r="M2084" s="3" t="s">
        <v>9330</v>
      </c>
      <c r="N2084" s="7" t="str">
        <f>IFERROR(__xludf.DUMMYFUNCTION("GOOGLETRANSLATE(L2084, ""en"", ""pt"")"),"Servidor")</f>
        <v>Servidor</v>
      </c>
      <c r="O2084" s="7" t="str">
        <f>IFERROR(__xludf.DUMMYFUNCTION("IF(M2084="""","""",GOOGLETRANSLATE(M2084,""en"",""pt""))"),"Receber e servir pedidos de comida e bebida; realizar a montagem e desmontagem de mesas e outras atividades diversas; pode ser necessário trabalhar em ambientes externos e em eventos de banquetes; pode ser necessário servir clientes utilizando carrinho de"&amp;" golfe. Continuação da Seção F.a.5 abaixo: 35 horas semanais; o trabalho pode ser realizado em qualquer dia da semana, de segunda a domingo. Turnos variáveis ​​ao longo de 7 dias da semana, que podem variar conforme a necessidade, de acordo com o anúncio "&amp;"da vaga na Agência Estadual de Força de Trabalho e em outras fontes de anúncios de vagas H2B, conforme os requisitos de recrutamento dos empregadores para trabalhadores em potencial no âmbito do programa H2B; os turnos podem variar: das 6h às 23h. Classif"&amp;"icação da vaga: 35-3031.00 - Garçons e Garçonetes. A classificação e descrição da vaga/setor incluem informações gerais sobre o cargo, de acordo com o ONET/OES e o Sistema de Classificação Industrial da América do Norte. Consulte as Funções e a Ordem de S"&amp;"erviço para obter mais informações. Requisitos da vaga: Experiência exigida: Não. Requisitos especiais: APROVAÇÃO NA VERIFICAÇÃO DE ANTECEDENTES CRIMINAIS PRÉ-ADMISSÃO. HABILIDADE DE SE COMUNICAR EM INGLÊS; TESTE DE DROGAS PÓS-ADMISSÃO. O EMPREGADOR EXIGE"&amp;" QUE A VERIFICAÇÃO DE ANTECEDENTES CRIMINAIS PRÉ-ADMISSÃO E O TESTE DE DROGAS PÓS-ADMISSÃO SEJAM REALIZADOS IGUALMENTE PARA OS TRABALHADORES AMERICANOS E OS TRABALHADORES COM VISTO H-2B. Número de horas por semana: 35. Horário de trabalho (início/término)"&amp;": 6h às 23h.")</f>
        <v>Receber e servir pedidos de comida e bebida; realizar a montagem e desmontagem de mesas e outras atividades diversas; pode ser necessário trabalhar em ambientes externos e em eventos de banquetes; pode ser necessário servir clientes utilizando carrinho de golfe. Continuação da Seção F.a.5 abaixo: 35 horas semanais; o trabalho pode ser realizado em qualquer dia da semana, de segunda a domingo. Turnos variáveis ​​ao longo de 7 dias da semana, que podem variar conforme a necessidade, de acordo com o anúncio da vaga na Agência Estadual de Força de Trabalho e em outras fontes de anúncios de vagas H2B, conforme os requisitos de recrutamento dos empregadores para trabalhadores em potencial no âmbito do programa H2B; os turnos podem variar: das 6h às 23h. Classificação da vaga: 35-3031.00 - Garçons e Garçonetes. A classificação e descrição da vaga/setor incluem informações gerais sobre o cargo, de acordo com o ONET/OES e o Sistema de Classificação Industrial da América do Norte. Consulte as Funções e a Ordem de Serviço para obter mais informações. Requisitos da vaga: Experiência exigida: Não. Requisitos especiais: APROVAÇÃO NA VERIFICAÇÃO DE ANTECEDENTES CRIMINAIS PRÉ-ADMISSÃO. HABILIDADE DE SE COMUNICAR EM INGLÊS; TESTE DE DROGAS PÓS-ADMISSÃO. O EMPREGADOR EXIGE QUE A VERIFICAÇÃO DE ANTECEDENTES CRIMINAIS PRÉ-ADMISSÃO E O TESTE DE DROGAS PÓS-ADMISSÃO SEJAM REALIZADOS IGUALMENTE PARA OS TRABALHADORES AMERICANOS E OS TRABALHADORES COM VISTO H-2B. Número de horas por semana: 35. Horário de trabalho (início/término): 6h às 23h.</v>
      </c>
    </row>
    <row r="2085" ht="20.25" customHeight="1">
      <c r="A2085" s="8" t="s">
        <v>9331</v>
      </c>
      <c r="B2085" s="8" t="s">
        <v>9144</v>
      </c>
      <c r="C2085" s="8" t="s">
        <v>8981</v>
      </c>
      <c r="D2085" s="8" t="s">
        <v>71</v>
      </c>
      <c r="E2085" s="9" t="s">
        <v>19</v>
      </c>
      <c r="F2085" s="9" t="s">
        <v>20</v>
      </c>
      <c r="G2085" s="9" t="s">
        <v>524</v>
      </c>
      <c r="H2085" s="8" t="s">
        <v>9145</v>
      </c>
      <c r="I2085" s="8" t="s">
        <v>9146</v>
      </c>
      <c r="J2085" s="9">
        <v>19.51</v>
      </c>
      <c r="K2085" s="9">
        <v>9.0</v>
      </c>
      <c r="L2085" s="8" t="s">
        <v>1684</v>
      </c>
      <c r="M2085" s="8" t="s">
        <v>9332</v>
      </c>
      <c r="N2085" s="7" t="str">
        <f>IFERROR(__xludf.DUMMYFUNCTION("GOOGLETRANSLATE(L2085, ""en"", ""pt"")"),"Barman")</f>
        <v>Barman</v>
      </c>
      <c r="O2085" s="7" t="str">
        <f>IFERROR(__xludf.DUMMYFUNCTION("IF(M2085="""","""",GOOGLETRANSLATE(M2085,""en"",""pt""))"),"Anotar pedidos de bebidas. Preparar e servir drinks. Limpar a área do bar. Poderá ser necessário anotar pedidos de comida e fazer recomendações sobre vinhos e outros produtos. Solicitar e exibir bebidas alcoólicas e suprimentos. Manter a área do bar limpa"&amp;" e trabalhar de acordo com as normas estaduais rigorosamente aplicadas. Continuação da Seção F.a.5 abaixo: 35 horas semanais; O trabalho pode ser realizado em qualquer dia da semana, de segunda a domingo. Turnos variáveis ​​ao longo de 7 dias da semana, q"&amp;"ue podem variar conforme a necessidade, de acordo com o anúncio da vaga na Agência Estadual de Força de Trabalho e em outras fontes de anúncios de vagas H2B, conforme os requisitos de recrutamento dos empregadores para trabalhadores em potencial no âmbito"&amp;" do programa H2B; Os turnos podem variar: das 6h às 23h. Classificação da vaga: 35-3011.00 - Bartenders. A classificação e descrição da vaga/setor incluem informações gerais sobre o cargo, de acordo com o ONET/OES e o Sistema de Classificação Industrial d"&amp;"a América do Norte. Consulte as Funções e a Ordem de Serviço para obter mais informações. Requisitos da vaga: Experiência exigida: Não. Requisitos especiais: APROVAÇÃO NA VERIFICAÇÃO DE ANTECEDENTES CRIMINAIS PRÉ-ADMISSÃO. HABILIDADE DE SE COMUNICAR EM IN"&amp;"GLÊS; TESTE DE DROGAS PÓS-ADMISSÃO. O EMPREGADOR EXIGE QUE A VERIFICAÇÃO DE ANTECEDENTES CRIMINAIS PRÉ-ADMISSÃO E O TESTE DE DROGAS PÓS-ADMISSÃO SEJAM REALIZADOS IGUALMENTE PARA OS TRABALHADORES AMERICANOS E OS TRABALHADORES COM VISTO H-2B. Número de hora"&amp;"s por semana: 35. Horário de trabalho (início/término): 6h às 23h.")</f>
        <v>Anotar pedidos de bebidas. Preparar e servir drinks. Limpar a área do bar. Poderá ser necessário anotar pedidos de comida e fazer recomendações sobre vinhos e outros produtos. Solicitar e exibir bebidas alcoólicas e suprimentos. Manter a área do bar limpa e trabalhar de acordo com as normas estaduais rigorosamente aplicadas. Continuação da Seção F.a.5 abaixo: 35 horas semanais; O trabalho pode ser realizado em qualquer dia da semana, de segunda a domingo. Turnos variáveis ​​ao longo de 7 dias da semana, que podem variar conforme a necessidade, de acordo com o anúncio da vaga na Agência Estadual de Força de Trabalho e em outras fontes de anúncios de vagas H2B, conforme os requisitos de recrutamento dos empregadores para trabalhadores em potencial no âmbito do programa H2B; Os turnos podem variar: das 6h às 23h. Classificação da vaga: 35-3011.00 - Bartenders. A classificação e descrição da vaga/setor incluem informações gerais sobre o cargo, de acordo com o ONET/OES e o Sistema de Classificação Industrial da América do Norte. Consulte as Funções e a Ordem de Serviço para obter mais informações. Requisitos da vaga: Experiência exigida: Não. Requisitos especiais: APROVAÇÃO NA VERIFICAÇÃO DE ANTECEDENTES CRIMINAIS PRÉ-ADMISSÃO. HABILIDADE DE SE COMUNICAR EM INGLÊS; TESTE DE DROGAS PÓS-ADMISSÃO. O EMPREGADOR EXIGE QUE A VERIFICAÇÃO DE ANTECEDENTES CRIMINAIS PRÉ-ADMISSÃO E O TESTE DE DROGAS PÓS-ADMISSÃO SEJAM REALIZADOS IGUALMENTE PARA OS TRABALHADORES AMERICANOS E OS TRABALHADORES COM VISTO H-2B. Número de horas por semana: 35. Horário de trabalho (início/término): 6h às 23h.</v>
      </c>
    </row>
    <row r="2086" ht="20.25" customHeight="1">
      <c r="A2086" s="3" t="s">
        <v>9333</v>
      </c>
      <c r="B2086" s="3" t="s">
        <v>9144</v>
      </c>
      <c r="C2086" s="3" t="s">
        <v>8981</v>
      </c>
      <c r="D2086" s="3" t="s">
        <v>71</v>
      </c>
      <c r="E2086" s="4" t="s">
        <v>19</v>
      </c>
      <c r="F2086" s="4" t="s">
        <v>20</v>
      </c>
      <c r="G2086" s="4" t="s">
        <v>524</v>
      </c>
      <c r="H2086" s="3" t="s">
        <v>9145</v>
      </c>
      <c r="I2086" s="3" t="s">
        <v>9146</v>
      </c>
      <c r="J2086" s="4">
        <v>16.3</v>
      </c>
      <c r="K2086" s="4">
        <v>7.0</v>
      </c>
      <c r="L2086" s="3" t="s">
        <v>3312</v>
      </c>
      <c r="M2086" s="3" t="s">
        <v>9334</v>
      </c>
      <c r="N2086" s="7" t="str">
        <f>IFERROR(__xludf.DUMMYFUNCTION("GOOGLETRANSLATE(L2086, ""en"", ""pt"")"),"Anfitrião/anfitriã")</f>
        <v>Anfitrião/anfitriã</v>
      </c>
      <c r="O2086" s="7" t="str">
        <f>IFERROR(__xludf.DUMMYFUNCTION("IF(M2086="""","""",GOOGLETRANSLATE(M2086,""en"",""pt""))"),"Recepciona, acompanha e entrega os cardápios aos clientes; auxilia em tarefas diversas de limpeza/polimento, etc., conforme necessário. Continuação da Seção F.a.5 abaixo: 35 horas semanais; o trabalho pode ser realizado em qualquer dia da semana, de segun"&amp;"da a domingo. Turnos variáveis ​​ao longo dos 7 dias da semana, que podem variar conforme a necessidade, conforme anunciado na ordem de serviço da Agência Estadual de Força de Trabalho e em outras fontes de anúncios de vagas H2B, de acordo com os requisit"&amp;"os de recrutamento dos empregadores para trabalhadores em potencial no âmbito do programa H2B; os turnos podem variar: das 6h às 23h. Classificação do Cargo: 35-9031.00 - Recepcionistas, Restaurante, Lounge e Cafeteria. A classificação e descrição do carg"&amp;"o/setor incluem informações gerais sobre a posição, de acordo com o ONET/OES e o Sistema de Classificação Industrial da América do Norte. Consulte as Funções e a Ordem de Serviço para obter mais informações. Requisitos do Cargo: Experiência Necessária: Nã"&amp;"o. Requisitos Especiais: APROVAÇÃO NA VERIFICAÇÃO DE ANTECEDENTES CRIMINAIS PRÉ-ADMISSÃO; CAPACIDADE DE SE COMUNICAR EM INGLÊS. TESTE DE DROGAS PÓS-ADMISSÃO. O EMPREGADOR EXIGE QUE A VERIFICAÇÃO DE ANTECEDENTES CRIMINAIS PRÉ-ADMISSÃO E O TESTE DE DROGAS P"&amp;"ÓS-ADMISSÃO SEJAM REALIZADOS IGUALMENTE PARA TRABALHADORES AMERICANOS E TRABALHADORES COM VISTO H-2B. Número de horas por semana: 35. Horário de trabalho (início/término): 6h às 23h.")</f>
        <v>Recepciona, acompanha e entrega os cardápios aos clientes; auxilia em tarefas diversas de limpeza/polimento, etc., conforme necessário. Continuação da Seção F.a.5 abaixo: 35 horas semanais; o trabalho pode ser realizado em qualquer dia da semana, de segunda a domingo. Turnos variáveis ​​ao longo dos 7 dias da semana, que podem variar conforme a necessidade, conforme anunciado na ordem de serviço da Agência Estadual de Força de Trabalho e em outras fontes de anúncios de vagas H2B, de acordo com os requisitos de recrutamento dos empregadores para trabalhadores em potencial no âmbito do programa H2B; os turnos podem variar: das 6h às 23h. Classificação do Cargo: 35-9031.00 - Recepcionistas, Restaurante, Lounge e Cafeteria. A classificação e descrição do cargo/setor incluem informações gerais sobre a posição, de acordo com o ONET/OES e o Sistema de Classificação Industrial da América do Norte. Consulte as Funções e a Ordem de Serviço para obter mais informações. Requisitos do Cargo: Experiência Necessária: Não. Requisitos Especiais: APROVAÇÃO NA VERIFICAÇÃO DE ANTECEDENTES CRIMINAIS PRÉ-ADMISSÃO; CAPACIDADE DE SE COMUNICAR EM INGLÊS. TESTE DE DROGAS PÓS-ADMISSÃO. O EMPREGADOR EXIGE QUE A VERIFICAÇÃO DE ANTECEDENTES CRIMINAIS PRÉ-ADMISSÃO E O TESTE DE DROGAS PÓS-ADMISSÃO SEJAM REALIZADOS IGUALMENTE PARA TRABALHADORES AMERICANOS E TRABALHADORES COM VISTO H-2B. Número de horas por semana: 35. Horário de trabalho (início/término): 6h às 23h.</v>
      </c>
    </row>
    <row r="2087" ht="20.25" customHeight="1">
      <c r="A2087" s="8" t="s">
        <v>9335</v>
      </c>
      <c r="B2087" s="8" t="s">
        <v>9144</v>
      </c>
      <c r="C2087" s="8" t="s">
        <v>8981</v>
      </c>
      <c r="D2087" s="8" t="s">
        <v>71</v>
      </c>
      <c r="E2087" s="9" t="s">
        <v>44</v>
      </c>
      <c r="F2087" s="9" t="s">
        <v>20</v>
      </c>
      <c r="G2087" s="9" t="s">
        <v>524</v>
      </c>
      <c r="H2087" s="8" t="s">
        <v>9145</v>
      </c>
      <c r="I2087" s="8" t="s">
        <v>9146</v>
      </c>
      <c r="J2087" s="9">
        <v>16.0</v>
      </c>
      <c r="K2087" s="9">
        <v>33.0</v>
      </c>
      <c r="L2087" s="8" t="s">
        <v>2821</v>
      </c>
      <c r="M2087" s="8" t="s">
        <v>9336</v>
      </c>
      <c r="N2087" s="7" t="str">
        <f>IFERROR(__xludf.DUMMYFUNCTION("GOOGLETRANSLATE(L2087, ""en"", ""pt"")"),"Auxiliar de Recreação")</f>
        <v>Auxiliar de Recreação</v>
      </c>
      <c r="O2087" s="7" t="str">
        <f>IFERROR(__xludf.DUMMYFUNCTION("IF(M2087="""","""",GOOGLETRANSLATE(M2087,""en"",""pt""))"),"O funcionário poderá ser solicitado a desempenhar qualquer uma das seguintes funções: monitorar as atividades no spa e na academia; prestar assistência administrativa aos membros, incluindo a verificação de cartões de membro, confirmação de reservas, orga"&amp;"nização e entrega de mercadorias e suprimentos, fornecimento de informações sobre as instalações; e transportar os equipamentos de golfe e os automóveis dos membros de e para as instalações do clube. As funções relacionadas ao transporte dos equipamentos "&amp;"de golfe e automóveis dos membros de e para as instalações do clube exigem que o funcionário encontre o membro na calçada; abra a porta do motorista imediatamente após a chegada; faça uma rápida e discreta inspeção visual para verificar se há danos pré-ex"&amp;"istentes; transporte os membros e suas bolsas de equipamentos de golfe em seus automóveis de e para uma área de armazenamento segura e designada para membros do clube; carregue as bolsas de equipamentos de golfe do automóvel para os carrinhos e certifique"&amp;"-se de que estejam prontas para o jogador na área de espera; limpe os tacos após o jogo, devolva as bolsas de equipamentos de golfe ao armazenamento ou transporte-as de volta para o automóvel do membro; leve o automóvel até a entrada das instalações do cl"&amp;"ube, mediante solicitação do membro. *Continuação na Seção F.a.5 abaixo: 35 horas por semana; O trabalho pode ser realizado em qualquer dia da semana, de segunda a domingo. Turnos variáveis ​​ao longo dos 7 dias da semana, que podem variar conforme a nece"&amp;"ssidade, de acordo com o anúncio de vaga da Agência Estadual de Força de Trabalho e outras fontes de anúncios de emprego H2B, conforme os requisitos de recrutamento dos empregadores para candidatos ao programa H2B; os turnos podem variar das 6h às 23h. Cl"&amp;"assificação da vaga: 39-3091.00 - Atendentes de Parques de Diversões e Recreação. A classificação e a descrição da vaga/setor incluem informações gerais sobre o cargo, de acordo com o ONET/OES e o Sistema de Classificação Industrial da América do Norte (N"&amp;"AICS). Consulte as Funções e a Ordem de Serviço para obter mais informações. Requisitos da vaga: Experiência exigida: Não. Requisitos especiais: APROVAÇÃO NA VERIFICAÇÃO DE ANTECEDENTES CRIMINAIS PRÉ-ADMISSÃO; CAPACIDADE DE SE COMUNICAR EM INGLÊS; TESTE D"&amp;"E DROGAS PÓS-ADMISSÃO. O empregador exige que a verificação de antecedentes criminais pré-admissional e o teste toxicológico pós-admissional sejam realizados igualmente para trabalhadores americanos e trabalhadores com visto H-2B. Número de horas por sema"&amp;"na: 35. Horário de trabalho (início/término): 6h às 23h.")</f>
        <v>O funcionário poderá ser solicitado a desempenhar qualquer uma das seguintes funções: monitorar as atividades no spa e na academia; prestar assistência administrativa aos membros, incluindo a verificação de cartões de membro, confirmação de reservas, organização e entrega de mercadorias e suprimentos, fornecimento de informações sobre as instalações; e transportar os equipamentos de golfe e os automóveis dos membros de e para as instalações do clube. As funções relacionadas ao transporte dos equipamentos de golfe e automóveis dos membros de e para as instalações do clube exigem que o funcionário encontre o membro na calçada; abra a porta do motorista imediatamente após a chegada; faça uma rápida e discreta inspeção visual para verificar se há danos pré-existentes; transporte os membros e suas bolsas de equipamentos de golfe em seus automóveis de e para uma área de armazenamento segura e designada para membros do clube; carregue as bolsas de equipamentos de golfe do automóvel para os carrinhos e certifique-se de que estejam prontas para o jogador na área de espera; limpe os tacos após o jogo, devolva as bolsas de equipamentos de golfe ao armazenamento ou transporte-as de volta para o automóvel do membro; leve o automóvel até a entrada das instalações do clube, mediante solicitação do membro. *Continuação na Seção F.a.5 abaixo: 35 horas por semana; O trabalho pode ser realizado em qualquer dia da semana, de segunda a domingo. Turnos variáveis ​​ao longo dos 7 dias da semana, que podem variar conforme a necessidade, de acordo com o anúncio de vaga da Agência Estadual de Força de Trabalho e outras fontes de anúncios de emprego H2B, conforme os requisitos de recrutamento dos empregadores para candidatos ao programa H2B; os turnos podem variar das 6h às 23h. Classificação da vaga: 39-3091.00 - Atendentes de Parques de Diversões e Recreação. A classificação e a descrição da vaga/setor incluem informações gerais sobre o cargo, de acordo com o ONET/OES e o Sistema de Classificação Industrial da América do Norte (NAICS). Consulte as Funções e a Ordem de Serviço para obter mais informações. Requisitos da vaga: Experiência exigida: Não. Requisitos especiais: APROVAÇÃO NA VERIFICAÇÃO DE ANTECEDENTES CRIMINAIS PRÉ-ADMISSÃO; CAPACIDADE DE SE COMUNICAR EM INGLÊS; TESTE DE DROGAS PÓS-ADMISSÃO. O empregador exige que a verificação de antecedentes criminais pré-admissional e o teste toxicológico pós-admissional sejam realizados igualmente para trabalhadores americanos e trabalhadores com visto H-2B. Número de horas por semana: 35. Horário de trabalho (início/término): 6h às 23h.</v>
      </c>
    </row>
    <row r="2088" ht="20.25" customHeight="1">
      <c r="A2088" s="3" t="s">
        <v>9337</v>
      </c>
      <c r="B2088" s="3" t="s">
        <v>9144</v>
      </c>
      <c r="C2088" s="3" t="s">
        <v>8981</v>
      </c>
      <c r="D2088" s="3" t="s">
        <v>71</v>
      </c>
      <c r="E2088" s="4" t="s">
        <v>44</v>
      </c>
      <c r="F2088" s="4" t="s">
        <v>20</v>
      </c>
      <c r="G2088" s="4" t="s">
        <v>524</v>
      </c>
      <c r="H2088" s="3" t="s">
        <v>9145</v>
      </c>
      <c r="I2088" s="3" t="s">
        <v>9146</v>
      </c>
      <c r="J2088" s="4">
        <v>18.95</v>
      </c>
      <c r="K2088" s="4">
        <v>9.0</v>
      </c>
      <c r="L2088" s="3" t="s">
        <v>9170</v>
      </c>
      <c r="M2088" s="3" t="s">
        <v>9338</v>
      </c>
      <c r="N2088" s="7" t="str">
        <f>IFERROR(__xludf.DUMMYFUNCTION("GOOGLETRANSLATE(L2088, ""en"", ""pt"")"),"Assistente de Montagem de Banquetes")</f>
        <v>Assistente de Montagem de Banquetes</v>
      </c>
      <c r="O2088" s="7" t="str">
        <f>IFERROR(__xludf.DUMMYFUNCTION("IF(M2088="""","""",GOOGLETRANSLATE(M2088,""en"",""pt""))"),"Montar e desmontar todos os eventos, funções e banquetes de acordo com as especificações do evento; arrumar as mesas; repor o estoque de roupas de mesa limpas, talheres, copos e pratos; abastecer o bar de serviço; montar pistas de dança e palcos. Continua"&amp;"ção da Seção F.a.5 abaixo: 35 horas semanais; o trabalho pode ser realizado em qualquer dia da semana, de segunda a domingo. Turnos variáveis ​​ao longo de 7 dias da semana, que podem variar conforme a necessidade, conforme anunciado na ordem de serviço d"&amp;"a Agência Estadual de Força de Trabalho e em outras fontes de anúncios de vagas H2B, de acordo com os requisitos de recrutamento dos empregadores para trabalhadores em potencial no âmbito do programa H2B; os turnos podem variar: das 6h às 23h. Classificaç"&amp;"ão do Cargo: 53-7062.00 - Operários e Movimentadores de Carga, Estoque e Materiais. A classificação e descrição do cargo/setor inclui informações gerais sobre a posição, de acordo com o ONET/OES e o Sistema de Classificação Industrial da América do Norte."&amp;" Consulte as Funções e a Ordem de Serviço para obter mais informações. Requisitos do Cargo Experiência Necessária: Não. Requisitos Especiais: APROVAÇÃO NA VERIFICAÇÃO DE ANTECEDENTES CRIMINAIS PRÉ-ADMISSÃO. HABILIDADE DE SE COMUNICAR EM INGLÊS; TESTE DE D"&amp;"ROGAS PÓS-ADMISSÃO. O EMPREGADOR EXIGE QUE A VERIFICAÇÃO DE ANTECEDENTES CRIMINAIS PRÉ-ADMISSÃO E O TESTE DE DROGAS PÓS-ADMISSÃO SEJAM REALIZADOS IGUALMENTE PARA OS TRABALHADORES AMERICANOS E OS TRABALHADORES COM VISTO H-2B. Número de horas por semana: 35"&amp;". Horário de trabalho (início/término): 6h às 23h.")</f>
        <v>Montar e desmontar todos os eventos, funções e banquetes de acordo com as especificações do evento; arrumar as mesas; repor o estoque de roupas de mesa limpas, talheres, copos e pratos; abastecer o bar de serviço; montar pistas de dança e palcos. Continuação da Seção F.a.5 abaixo: 35 horas semanais; o trabalho pode ser realizado em qualquer dia da semana, de segunda a domingo. Turnos variáveis ​​ao longo de 7 dias da semana, que podem variar conforme a necessidade, conforme anunciado na ordem de serviço da Agência Estadual de Força de Trabalho e em outras fontes de anúncios de vagas H2B, de acordo com os requisitos de recrutamento dos empregadores para trabalhadores em potencial no âmbito do programa H2B; os turnos podem variar: das 6h às 23h. Classificação do Cargo: 53-7062.00 - Operários e Movimentadores de Carga, Estoque e Materiais. A classificação e descrição do cargo/setor inclui informações gerais sobre a posição, de acordo com o ONET/OES e o Sistema de Classificação Industrial da América do Norte. Consulte as Funções e a Ordem de Serviço para obter mais informações. Requisitos do Cargo Experiência Necessária: Não. Requisitos Especiais: APROVAÇÃO NA VERIFICAÇÃO DE ANTECEDENTES CRIMINAIS PRÉ-ADMISSÃO. HABILIDADE DE SE COMUNICAR EM INGLÊS; TESTE DE DROGAS PÓS-ADMISSÃO. O EMPREGADOR EXIGE QUE A VERIFICAÇÃO DE ANTECEDENTES CRIMINAIS PRÉ-ADMISSÃO E O TESTE DE DROGAS PÓS-ADMISSÃO SEJAM REALIZADOS IGUALMENTE PARA OS TRABALHADORES AMERICANOS E OS TRABALHADORES COM VISTO H-2B. Número de horas por semana: 35. Horário de trabalho (início/término): 6h às 23h.</v>
      </c>
    </row>
    <row r="2089" ht="20.25" customHeight="1">
      <c r="A2089" s="8" t="s">
        <v>9339</v>
      </c>
      <c r="B2089" s="8" t="s">
        <v>9144</v>
      </c>
      <c r="C2089" s="8" t="s">
        <v>8981</v>
      </c>
      <c r="D2089" s="8" t="s">
        <v>71</v>
      </c>
      <c r="E2089" s="9" t="s">
        <v>44</v>
      </c>
      <c r="F2089" s="9" t="s">
        <v>20</v>
      </c>
      <c r="G2089" s="9" t="s">
        <v>524</v>
      </c>
      <c r="H2089" s="8" t="s">
        <v>9145</v>
      </c>
      <c r="I2089" s="8" t="s">
        <v>9146</v>
      </c>
      <c r="J2089" s="9">
        <v>23.0</v>
      </c>
      <c r="K2089" s="9">
        <v>7.0</v>
      </c>
      <c r="L2089" s="8" t="s">
        <v>4654</v>
      </c>
      <c r="M2089" s="8" t="s">
        <v>9340</v>
      </c>
      <c r="N2089" s="7" t="str">
        <f>IFERROR(__xludf.DUMMYFUNCTION("GOOGLETRANSLATE(L2089, ""en"", ""pt"")"),"Capitão do servidor")</f>
        <v>Capitão do servidor</v>
      </c>
      <c r="O2089" s="7" t="str">
        <f>IFERROR(__xludf.DUMMYFUNCTION("IF(M2089="""","""",GOOGLETRANSLATE(M2089,""en"",""pt""))"),"Supervisionar a equipe de atendimento durante a preparação, o serviço e a limpeza; treinar novos garçons no salão; construir e manter um bom relacionamento com os membros do clube; assumir funções de garçom quando necessário, especialmente no atendimento "&amp;"a convidados de honra e VIPs; ser um exemplo a ser seguido e garantir o mais alto nível de serviço prestado pela equipe de atendimento do clube. Continuação da Seção F.a.5 abaixo: 35 horas semanais; o trabalho pode ser realizado em qualquer dia da semana,"&amp;" de segunda a domingo. Turnos variáveis ​​ao longo dos 7 dias da semana, que podem variar conforme a necessidade, de acordo com o anúncio da vaga na Agência Estadual de Força de Trabalho e em outras fontes de anúncios de vagas H2B, conforme os requisitos "&amp;"de recrutamento dos empregadores para trabalhadores em potencial no âmbito do programa H2B; os turnos podem variar: das 6h às 23h. Classificação do Cargo: 35-1012.00 - Supervisores de Primeira Linha de Preparadores e Servidores de Alimentos. A classificaç"&amp;"ão e a descrição do cargo/setor incluem informações gerais sobre a posição, de acordo com o ONET/OES e o Sistema de Classificação Industrial da América do Norte. Consulte as Funções e a Ordem de Serviço para obter mais informações. Requisitos da Vaga Expe"&amp;"riência Necessária: Sim Meses de Experiência Necessários: 6 Requisitos Especiais: APROVAÇÃO NA VERIFICAÇÃO DE ANTECEDENTES CRIMINAIS PRÉ-ADMISSÃO; CAPACIDADE DE SE COMUNICAR EM INGLÊS; TESTE DE DROGAS PÓS-ADMISSÃO. O EMPREGADOR EXIGE QUE A VERIFICAÇÃO DE "&amp;"ANTECEDENTES CRIMINAIS PRÉ-ADMISSÃO E O TESTE DE DROGAS PÓS-ADMISSÃO SEJAM REALIZADOS IGUALMENTE PARA OS TRABALHADORES AMERICANOS E OS TRABALHADORES COM VISTO H-2B. OS 6 MESES DE EXPERIÊNCIA EXIGIDOS NO QUADRANTE F.A.9 REFEREM-SE A 6 MESES DE EXPERIÊNCIA "&amp;"COMO GARÇOM OU GARÇOM SÊNIOR EM UM ESTABELECIMENTO DE HOSPITALIDADE. Número de Horas por Semana: 35 Horário de Trabalho (Início/Término): 6h00 - 23h00")</f>
        <v>Supervisionar a equipe de atendimento durante a preparação, o serviço e a limpeza; treinar novos garçons no salão; construir e manter um bom relacionamento com os membros do clube; assumir funções de garçom quando necessário, especialmente no atendimento a convidados de honra e VIPs; ser um exemplo a ser seguido e garantir o mais alto nível de serviço prestado pela equipe de atendimento do clube. Continuação da Seção F.a.5 abaixo: 35 horas semanais; o trabalho pode ser realizado em qualquer dia da semana, de segunda a domingo. Turnos variáveis ​​ao longo dos 7 dias da semana, que podem variar conforme a necessidade, de acordo com o anúncio da vaga na Agência Estadual de Força de Trabalho e em outras fontes de anúncios de vagas H2B, conforme os requisitos de recrutamento dos empregadores para trabalhadores em potencial no âmbito do programa H2B; os turnos podem variar: das 6h às 23h. Classificação do Cargo: 35-1012.00 - Supervisores de Primeira Linha de Preparadores e Servidores de Alimentos. A classificação e a descrição do cargo/setor incluem informações gerais sobre a posição, de acordo com o ONET/OES e o Sistema de Classificação Industrial da América do Norte. Consulte as Funções e a Ordem de Serviço para obter mais informações. Requisitos da Vaga Experiência Necessária: Sim Meses de Experiência Necessários: 6 Requisitos Especiais: APROVAÇÃO NA VERIFICAÇÃO DE ANTECEDENTES CRIMINAIS PRÉ-ADMISSÃO; CAPACIDADE DE SE COMUNICAR EM INGLÊS; TESTE DE DROGAS PÓS-ADMISSÃO. O EMPREGADOR EXIGE QUE A VERIFICAÇÃO DE ANTECEDENTES CRIMINAIS PRÉ-ADMISSÃO E O TESTE DE DROGAS PÓS-ADMISSÃO SEJAM REALIZADOS IGUALMENTE PARA OS TRABALHADORES AMERICANOS E OS TRABALHADORES COM VISTO H-2B. OS 6 MESES DE EXPERIÊNCIA EXIGIDOS NO QUADRANTE F.A.9 REFEREM-SE A 6 MESES DE EXPERIÊNCIA COMO GARÇOM OU GARÇOM SÊNIOR EM UM ESTABELECIMENTO DE HOSPITALIDADE. Número de Horas por Semana: 35 Horário de Trabalho (Início/Término): 6h00 - 23h00</v>
      </c>
    </row>
    <row r="2090" ht="20.25" customHeight="1">
      <c r="A2090" s="3" t="s">
        <v>9341</v>
      </c>
      <c r="B2090" s="3" t="s">
        <v>9144</v>
      </c>
      <c r="C2090" s="3" t="s">
        <v>8981</v>
      </c>
      <c r="D2090" s="3" t="s">
        <v>71</v>
      </c>
      <c r="E2090" s="4" t="s">
        <v>44</v>
      </c>
      <c r="F2090" s="4" t="s">
        <v>20</v>
      </c>
      <c r="G2090" s="4" t="s">
        <v>377</v>
      </c>
      <c r="H2090" s="3" t="s">
        <v>9145</v>
      </c>
      <c r="I2090" s="3" t="s">
        <v>9146</v>
      </c>
      <c r="J2090" s="4">
        <v>18.25</v>
      </c>
      <c r="K2090" s="4">
        <v>8.0</v>
      </c>
      <c r="L2090" s="3" t="s">
        <v>8996</v>
      </c>
      <c r="M2090" s="3" t="s">
        <v>9342</v>
      </c>
      <c r="N2090" s="7" t="str">
        <f>IFERROR(__xludf.DUMMYFUNCTION("GOOGLETRANSLATE(L2090, ""en"", ""pt"")"),"Trabalhadores de manutenção de campos de golfe")</f>
        <v>Trabalhadores de manutenção de campos de golfe</v>
      </c>
      <c r="O2090" s="7" t="str">
        <f>IFERROR(__xludf.DUMMYFUNCTION("IF(M2090="""","""",GOOGLETRANSLATE(M2090,""en"",""pt""))"),"Paisagismo e manutenção de terrenos de campos de golfe, utilizando ferramentas manuais ou elétricas. As responsabilidades podem incluir qualquer combinação das seguintes atividades: colocação de grama, corte, poda, plantio, rega, fertilização, escavação, "&amp;"rastelagem e instalação de aspersores. Continuação da Seção F.a.5 abaixo: 35 horas semanais; o trabalho pode ser realizado em qualquer dia da semana, de segunda a domingo. Turnos variáveis ​​ao longo dos 7 dias da semana, que podem variar conforme a neces"&amp;"sidade, de acordo com o anúncio da vaga na Agência Estadual de Força de Trabalho e em outras fontes de anúncios de vagas H2B, conforme os requisitos de recrutamento dos empregadores para trabalhadores em potencial no âmbito do programa H2B; os turnos pode"&amp;"m variar: das 6h às 23h. Classificação da vaga: 37-3011.00 - Trabalhadores de Paisagismo e Manutenção de Terrenos. A classificação e descrição da vaga/setor incluem informações gerais sobre o cargo, provenientes do ONET/OES e do Sistema de Classificação I"&amp;"ndustrial da América do Norte. Consulte as Funções e a Ordem de Serviço para obter mais informações. Requisitos da vaga Experiência necessária: Não Requisitos especiais: Aprovação na verificação de antecedentes criminais pré-admissional; capacidade de com"&amp;"unicação em inglês; teste toxicológico pós-admissional. O empregador exige que a verificação de antecedentes criminais pré-admissional e o teste toxicológico pós-admissional sejam realizados igualmente para trabalhadores americanos e trabalhadores com vis"&amp;"to H-2B. Número de horas por semana: 35 Horário de trabalho (início/término): 6h às 23h")</f>
        <v>Paisagismo e manutenção de terrenos de campos de golfe, utilizando ferramentas manuais ou elétricas. As responsabilidades podem incluir qualquer combinação das seguintes atividades: colocação de grama, corte, poda, plantio, rega, fertilização, escavação, rastelagem e instalação de aspersores. Continuação da Seção F.a.5 abaixo: 35 horas semanais; o trabalho pode ser realizado em qualquer dia da semana, de segunda a domingo. Turnos variáveis ​​ao longo dos 7 dias da semana, que podem variar conforme a necessidade, de acordo com o anúncio da vaga na Agência Estadual de Força de Trabalho e em outras fontes de anúncios de vagas H2B, conforme os requisitos de recrutamento dos empregadores para trabalhadores em potencial no âmbito do programa H2B; os turnos podem variar: das 6h às 23h. Classificação da vaga: 37-3011.00 - Trabalhadores de Paisagismo e Manutenção de Terrenos. A classificação e descrição da vaga/setor incluem informações gerais sobre o cargo, provenientes do ONET/OES e do Sistema de Classificação Industrial da América do Norte. Consulte as Funções e a Ordem de Serviço para obter mais informações. Requisitos da vaga Experiência necessária: Não Requisitos especiais: Aprovação na verificação de antecedentes criminais pré-admissional; capacidade de comunicação em inglês; teste toxicológico pós-admissional. O empregador exige que a verificação de antecedentes criminais pré-admissional e o teste toxicológico pós-admissional sejam realizados igualmente para trabalhadores americanos e trabalhadores com visto H-2B. Número de horas por semana: 35 Horário de trabalho (início/término): 6h às 23h</v>
      </c>
    </row>
    <row r="2091" ht="20.25" customHeight="1">
      <c r="A2091" s="8" t="s">
        <v>9343</v>
      </c>
      <c r="B2091" s="8" t="s">
        <v>9344</v>
      </c>
      <c r="C2091" s="8" t="s">
        <v>8981</v>
      </c>
      <c r="D2091" s="8" t="s">
        <v>71</v>
      </c>
      <c r="E2091" s="9" t="s">
        <v>19</v>
      </c>
      <c r="F2091" s="9" t="s">
        <v>20</v>
      </c>
      <c r="G2091" s="9" t="s">
        <v>524</v>
      </c>
      <c r="H2091" s="8" t="s">
        <v>9345</v>
      </c>
      <c r="I2091" s="8" t="s">
        <v>9346</v>
      </c>
      <c r="J2091" s="9">
        <v>20.0</v>
      </c>
      <c r="K2091" s="9">
        <v>11.0</v>
      </c>
      <c r="L2091" s="8" t="s">
        <v>2821</v>
      </c>
      <c r="M2091" s="8" t="s">
        <v>9347</v>
      </c>
      <c r="N2091" s="7" t="str">
        <f>IFERROR(__xludf.DUMMYFUNCTION("GOOGLETRANSLATE(L2091, ""en"", ""pt"")"),"Auxiliar de Recreação")</f>
        <v>Auxiliar de Recreação</v>
      </c>
      <c r="O2091" s="7" t="str">
        <f>IFERROR(__xludf.DUMMYFUNCTION("IF(M2091="""","""",GOOGLETRANSLATE(M2091,""en"",""pt""))"),"O funcionário poderá ser solicitado a executar qualquer uma das seguintes tarefas: monitorar as atividades no campo de golfe, complexo de tênis, complexo aquático, spa e academia; prestar assistência administrativa aos membros, incluindo verificação de ca"&amp;"rtões de membro, confirmação de reservas, organização de mercadorias e fornecimento de informações sobre as instalações; realizar limpeza básica de carrinhos e tacos de golfe. *Continuação da Seção F.a.5 abaixo: 40 horas semanais. Os turnos serão de 8 hor"&amp;"as, podendo variar conforme a necessidade, de acordo com o anúncio da vaga na Agência Estadual de Força de Trabalho e em outras fontes de anúncios de vagas H-2B, conforme os requisitos de recrutamento dos empregadores para candidatos ao programa H-2B. Tur"&amp;"nos variáveis ​​ao longo de 7 dias da semana. Os turnos podem variar das 7h às 22h. Classificação da vaga: 39-3091.00 - Atendentes de Diversão e Recreação. A classificação e descrição da vaga/setor incluem informações gerais sobre o cargo, conforme o ONET"&amp;"/OES e o Sistema de Classificação Industrial da América do Norte. Consulte as Funções e a Ordem de Serviço para obter mais informações. Requisitos da vaga Experiência necessária: Não Requisitos especiais: HABILIDADE DE SE COMUNICAR EM INGLÊS. Número de ho"&amp;"ras por semana: 40 Horário de trabalho (início/término): 7h às 22h")</f>
        <v>O funcionário poderá ser solicitado a executar qualquer uma das seguintes tarefas: monitorar as atividades no campo de golfe, complexo de tênis, complexo aquático, spa e academia; prestar assistência administrativa aos membros, incluindo verificação de cartões de membro, confirmação de reservas, organização de mercadorias e fornecimento de informações sobre as instalações; realizar limpeza básica de carrinhos e tacos de golfe. *Continuação da Seção F.a.5 abaixo: 40 horas semanais. Os turnos serão de 8 horas, podendo variar conforme a necessidade, de acordo com o anúncio da vaga na Agência Estadual de Força de Trabalho e em outras fontes de anúncios de vagas H-2B, conforme os requisitos de recrutamento dos empregadores para candidatos ao programa H-2B. Turnos variáveis ​​ao longo de 7 dias da semana. Os turnos podem variar das 7h às 22h. Classificação da vaga: 39-3091.00 - Atendentes de Diversão e Recreação. A classificação e descrição da vaga/setor incluem informações gerais sobre o cargo, conforme o ONET/OES e o Sistema de Classificação Industrial da América do Norte. Consulte as Funções e a Ordem de Serviço para obter mais informações. Requisitos da vaga Experiência necessária: Não Requisitos especiais: HABILIDADE DE SE COMUNICAR EM INGLÊS. Número de horas por semana: 40 Horário de trabalho (início/término): 7h às 22h</v>
      </c>
    </row>
    <row r="2092" ht="20.25" customHeight="1">
      <c r="A2092" s="3" t="s">
        <v>9348</v>
      </c>
      <c r="B2092" s="3" t="s">
        <v>9344</v>
      </c>
      <c r="C2092" s="3" t="s">
        <v>8981</v>
      </c>
      <c r="D2092" s="3" t="s">
        <v>71</v>
      </c>
      <c r="E2092" s="4" t="s">
        <v>19</v>
      </c>
      <c r="F2092" s="4" t="s">
        <v>20</v>
      </c>
      <c r="G2092" s="4" t="s">
        <v>524</v>
      </c>
      <c r="H2092" s="3" t="s">
        <v>9345</v>
      </c>
      <c r="I2092" s="3" t="s">
        <v>9346</v>
      </c>
      <c r="J2092" s="4">
        <v>20.0</v>
      </c>
      <c r="K2092" s="4">
        <v>30.0</v>
      </c>
      <c r="L2092" s="3" t="s">
        <v>5135</v>
      </c>
      <c r="M2092" s="3" t="s">
        <v>9349</v>
      </c>
      <c r="N2092" s="7" t="str">
        <f>IFERROR(__xludf.DUMMYFUNCTION("GOOGLETRANSLATE(L2092, ""en"", ""pt"")"),"Assistente de Garçom")</f>
        <v>Assistente de Garçom</v>
      </c>
      <c r="O2092" s="7" t="str">
        <f>IFERROR(__xludf.DUMMYFUNCTION("IF(M2092="""","""",GOOGLETRANSLATE(M2092,""en"",""pt""))"),"Auxiliar os garçons levando bebidas às mesas, reabastecendo as bebidas, recolhendo talheres/louças usados; limpando as áreas de serviço e os equipamentos; abastecendo todos os utensílios e equipamentos necessários para o serviço. *Continuação da Seção F.a"&amp;".5 abaixo: 40 horas semanais. Os turnos serão de 8 horas e podem variar conforme a necessidade, de acordo com o anúncio da vaga na Agência Estadual de Força de Trabalho e em outras fontes de anúncios de vagas H-2B, conforme os requisitos de recrutamento d"&amp;"os empregadores para trabalhadores em potencial no âmbito do programa H-2B. Turnos variáveis ​​ao longo de 7 dias da semana. Os turnos podem variar: das 7h às 22h. Classificação do Cargo: 35-9011.00 - Atendentes de Salão de Jantar e Cafeteria e Auxiliares"&amp;" de Barman. A classificação e a descrição do cargo/setor incluem informações gerais sobre a posição, de acordo com o ONET/OES e o Sistema de Classificação Industrial da América do Norte. Consulte as Funções e a Ordem de Serviço para obter mais informações"&amp;". Requisitos do Cargo Experiência Necessária: Não. Requisitos Especiais: HABILIDADE DE SE COMUNICAR EM INGLÊS. Número de horas por semana: 40 Horário de trabalho (início/término): 7h00 - 22h00")</f>
        <v>Auxiliar os garçons levando bebidas às mesas, reabastecendo as bebidas, recolhendo talheres/louças usados; limpando as áreas de serviço e os equipamentos; abastecendo todos os utensílios e equipamentos necessários para o serviço. *Continuação da Seção F.a.5 abaixo: 40 horas semanais. Os turnos serão de 8 horas e podem variar conforme a necessidade, de acordo com o anúncio da vaga na Agência Estadual de Força de Trabalho e em outras fontes de anúncios de vagas H-2B, conforme os requisitos de recrutamento dos empregadores para trabalhadores em potencial no âmbito do programa H-2B. Turnos variáveis ​​ao longo de 7 dias da semana. Os turnos podem variar: das 7h às 22h. Classificação do Cargo: 35-9011.00 - Atendentes de Salão de Jantar e Cafeteria e Auxiliares de Barman. A classificação e a descrição do cargo/setor incluem informações gerais sobre a posição, de acordo com o ONET/OES e o Sistema de Classificação Industrial da América do Norte. Consulte as Funções e a Ordem de Serviço para obter mais informações. Requisitos do Cargo Experiência Necessária: Não. Requisitos Especiais: HABILIDADE DE SE COMUNICAR EM INGLÊS. Número de horas por semana: 40 Horário de trabalho (início/término): 7h00 - 22h00</v>
      </c>
    </row>
    <row r="2093" ht="20.25" customHeight="1">
      <c r="A2093" s="8" t="s">
        <v>9350</v>
      </c>
      <c r="B2093" s="8" t="s">
        <v>9344</v>
      </c>
      <c r="C2093" s="8" t="s">
        <v>8981</v>
      </c>
      <c r="D2093" s="8" t="s">
        <v>71</v>
      </c>
      <c r="E2093" s="9" t="s">
        <v>19</v>
      </c>
      <c r="F2093" s="9" t="s">
        <v>20</v>
      </c>
      <c r="G2093" s="9" t="s">
        <v>524</v>
      </c>
      <c r="H2093" s="8" t="s">
        <v>9345</v>
      </c>
      <c r="I2093" s="8" t="s">
        <v>9346</v>
      </c>
      <c r="J2093" s="9">
        <v>20.0</v>
      </c>
      <c r="K2093" s="9">
        <v>32.0</v>
      </c>
      <c r="L2093" s="8" t="s">
        <v>387</v>
      </c>
      <c r="M2093" s="8" t="s">
        <v>9351</v>
      </c>
      <c r="N2093" s="7" t="str">
        <f>IFERROR(__xludf.DUMMYFUNCTION("GOOGLETRANSLATE(L2093, ""en"", ""pt"")"),"Ordem de serviço não disponível")</f>
        <v>Ordem de serviço não disponível</v>
      </c>
      <c r="O2093" s="7" t="str">
        <f>IFERROR(__xludf.DUMMYFUNCTION("IF(M2093="""","""",GOOGLETRANSLATE(M2093,""en"",""pt""))"),"Prepara, tempera e cozinha sopas, carnes, legumes, frutas, sobremesas e outros alimentos diversos para consumo. Planeja, prepara, organiza e oferece serviço de qualidade em todas as áreas de produção de alimentos para itens do cardápio e pratos especiais,"&amp;" de acordo com os padrões e especificações do guia de apresentação. Mantém a organização, limpeza e higienização da área de trabalho e dos equipamentos. *Continuação da Seção F.a.5 abaixo: 40 horas semanais. Os turnos serão de 8 horas e podem variar confo"&amp;"rme a necessidade, de acordo com o anúncio da vaga na Agência Estadual de Força de Trabalho e em outras fontes de anúncios de vagas H-2B, conforme os requisitos de recrutamento dos empregadores para trabalhadores em potencial sob o programa H-2B. Turnos v"&amp;"ariáveis ​​ao longo de 7 dias da semana. Os turnos podem variar: das 7h às 22h. Classificação do Cargo: 35-2014.00 - Cozinheiros, Restaurante. A classificação e descrição do cargo/setor inclui informações gerais sobre a posição, de acordo com o ONET/OES e"&amp;" o Sistema de Classificação Industrial da América do Norte. Consulte as Funções e a Ordem de Serviço para obter mais informações. Requisitos da vaga Experiência necessária: Não Requisitos especiais: HABILIDADE DE SE COMUNICAR EM INGLÊS. Número de horas po"&amp;"r semana: 40 Horário de trabalho (início/término): 7h às 22h")</f>
        <v>Prepara, tempera e cozinha sopas, carnes, legumes, frutas, sobremesas e outros alimentos diversos para consumo. Planeja, prepara, organiza e oferece serviço de qualidade em todas as áreas de produção de alimentos para itens do cardápio e pratos especiais, de acordo com os padrões e especificações do guia de apresentação. Mantém a organização, limpeza e higienização da área de trabalho e dos equipamentos. *Continuação da Seção F.a.5 abaixo: 40 horas semanais. Os turnos serão de 8 horas e podem variar conforme a necessidade, de acordo com o anúncio da vaga na Agência Estadual de Força de Trabalho e em outras fontes de anúncios de vagas H-2B, conforme os requisitos de recrutamento dos empregadores para trabalhadores em potencial sob o programa H-2B. Turnos variáveis ​​ao longo de 7 dias da semana. Os turnos podem variar: das 7h às 22h. Classificação do Cargo: 35-2014.00 - Cozinheiros, Restaurante. A classificação e descrição do cargo/setor inclui informações gerais sobre a posição, de acordo com o ONET/OES e o Sistema de Classificação Industrial da América do Norte. Consulte as Funções e a Ordem de Serviço para obter mais informações. Requisitos da vaga Experiência necessária: Não Requisitos especiais: HABILIDADE DE SE COMUNICAR EM INGLÊS. Número de horas por semana: 40 Horário de trabalho (início/término): 7h às 22h</v>
      </c>
    </row>
    <row r="2094" ht="20.25" customHeight="1">
      <c r="A2094" s="3" t="s">
        <v>9352</v>
      </c>
      <c r="B2094" s="3" t="s">
        <v>9344</v>
      </c>
      <c r="C2094" s="3" t="s">
        <v>8981</v>
      </c>
      <c r="D2094" s="3" t="s">
        <v>71</v>
      </c>
      <c r="E2094" s="4" t="s">
        <v>44</v>
      </c>
      <c r="F2094" s="4" t="s">
        <v>20</v>
      </c>
      <c r="G2094" s="4" t="s">
        <v>524</v>
      </c>
      <c r="H2094" s="3" t="s">
        <v>9345</v>
      </c>
      <c r="I2094" s="3" t="s">
        <v>9346</v>
      </c>
      <c r="J2094" s="4">
        <v>20.0</v>
      </c>
      <c r="K2094" s="4">
        <v>12.0</v>
      </c>
      <c r="L2094" s="3" t="s">
        <v>354</v>
      </c>
      <c r="M2094" s="3" t="s">
        <v>9353</v>
      </c>
      <c r="N2094" s="7" t="str">
        <f>IFERROR(__xludf.DUMMYFUNCTION("GOOGLETRANSLATE(L2094, ""en"", ""pt"")"),"Governanta")</f>
        <v>Governanta</v>
      </c>
      <c r="O2094" s="7" t="str">
        <f>IFERROR(__xludf.DUMMYFUNCTION("IF(M2094="""","""",GOOGLETRANSLATE(M2094,""en"",""pt""))"),"Limpar áreas comuns, corredores, quartos e vestiários, incluindo tirar o pó, passar pano leve, aspirar e, ocasionalmente, recolher lixo e roupa suja. Carregar, lavar e guardar roupas de cama e banho. As tarefas de lavanderia incluem especificamente lavar "&amp;"roupas de mesa de jantar, roupas de cama para hóspedes, roupas de cama das instalações, uniformes das instalações, toalhas, cortinas e tecidos decorativos, utilizando máquinas de lavar e secar de tamanho comercial. Isso envolve carregar as roupas de mesa "&amp;"de jantar, roupas de cama para hóspedes, roupas de cama das instalações, uniformes das instalações, toalhas, cortinas e tecidos decorativos nas máquinas de lavar e secar de tamanho comercial; ligar as máquinas de lavar e secar, secadoras ou extratoras de "&amp;"tamanho comercial e girar as válvulas ou alavancas para regular os processos da máquina e o volume de sabão, detergente, água, alvejante, goma e outros aditivos; retirar as peças lavadas das máquinas de lavar e secar de tamanho comercial, separar e contar"&amp;" as peças lavadas retiradas das máquinas de lavar e secar de tamanho comercial, e dobrá-las, embalá-las e pendurá-las. *Continuação da Seção F.a.5 abaixo: 40 horas semanais. Os turnos serão de 8 horas, podendo variar conforme a necessidade, de acordo com "&amp;"o anúncio de vaga da Agência Estadual de Força de Trabalho e outras fontes de anúncios de vagas H-2B, conforme os requisitos de recrutamento dos empregadores para candidatos ao programa H-2B. Turnos variáveis ​​ao longo de 7 dias da semana. Os turnos pode"&amp;"m variar das 7h às 22h. Classificação da vaga: 37-2012.00 - Empregadas Domésticas e Auxiliares de Limpeza. A classificação e descrição da vaga/setor incluem informações gerais sobre o cargo, de acordo com o ONET/OES e o Sistema de Classificação Industrial"&amp;" da América do Norte (NAICS). Consulte as Funções e a Ordem de Serviço para obter mais informações. Requisitos da vaga: Experiência exigida: Não. Requisitos especiais: HABILIDADE DE SE COMUNICAR EM INGLÊS. Número de horas por semana: 40. Horário de trabal"&amp;"ho (início/término): 7h às 22h.")</f>
        <v>Limpar áreas comuns, corredores, quartos e vestiários, incluindo tirar o pó, passar pano leve, aspirar e, ocasionalmente, recolher lixo e roupa suja. Carregar, lavar e guardar roupas de cama e banho. As tarefas de lavanderia incluem especificamente lavar roupas de mesa de jantar, roupas de cama para hóspedes, roupas de cama das instalações, uniformes das instalações, toalhas, cortinas e tecidos decorativos, utilizando máquinas de lavar e secar de tamanho comercial. Isso envolve carregar as roupas de mesa de jantar, roupas de cama para hóspedes, roupas de cama das instalações, uniformes das instalações, toalhas, cortinas e tecidos decorativos nas máquinas de lavar e secar de tamanho comercial; ligar as máquinas de lavar e secar, secadoras ou extratoras de tamanho comercial e girar as válvulas ou alavancas para regular os processos da máquina e o volume de sabão, detergente, água, alvejante, goma e outros aditivos; retirar as peças lavadas das máquinas de lavar e secar de tamanho comercial, separar e contar as peças lavadas retiradas das máquinas de lavar e secar de tamanho comercial, e dobrá-las, embalá-las e pendurá-las. *Continuação da Seção F.a.5 abaixo: 40 horas semanais. Os turnos serão de 8 horas, podendo variar conforme a necessidade, de acordo com o anúncio de vaga da Agência Estadual de Força de Trabalho e outras fontes de anúncios de vagas H-2B, conforme os requisitos de recrutamento dos empregadores para candidatos ao programa H-2B. Turnos variáveis ​​ao longo de 7 dias da semana. Os turnos podem variar das 7h às 22h. Classificação da vaga: 37-2012.00 - Empregadas Domésticas e Auxiliares de Limpeza. A classificação e descrição da vaga/setor incluem informações gerais sobre o cargo, de acordo com o ONET/OES e o Sistema de Classificação Industrial da América do Norte (NAICS). Consulte as Funções e a Ordem de Serviço para obter mais informações. Requisitos da vaga: Experiência exigida: Não. Requisitos especiais: HABILIDADE DE SE COMUNICAR EM INGLÊS. Número de horas por semana: 40. Horário de trabalho (início/término): 7h às 22h.</v>
      </c>
    </row>
    <row r="2095" ht="20.25" customHeight="1">
      <c r="A2095" s="8" t="s">
        <v>9354</v>
      </c>
      <c r="B2095" s="8" t="s">
        <v>9344</v>
      </c>
      <c r="C2095" s="8" t="s">
        <v>8981</v>
      </c>
      <c r="D2095" s="8" t="s">
        <v>71</v>
      </c>
      <c r="E2095" s="9" t="s">
        <v>44</v>
      </c>
      <c r="F2095" s="9" t="s">
        <v>20</v>
      </c>
      <c r="G2095" s="9" t="s">
        <v>524</v>
      </c>
      <c r="H2095" s="8" t="s">
        <v>9345</v>
      </c>
      <c r="I2095" s="8" t="s">
        <v>9346</v>
      </c>
      <c r="J2095" s="9">
        <v>20.0</v>
      </c>
      <c r="K2095" s="9">
        <v>90.0</v>
      </c>
      <c r="L2095" s="8" t="s">
        <v>8286</v>
      </c>
      <c r="M2095" s="8" t="s">
        <v>9355</v>
      </c>
      <c r="N2095" s="7" t="str">
        <f>IFERROR(__xludf.DUMMYFUNCTION("GOOGLETRANSLATE(L2095, ""en"", ""pt"")"),"Garçons e garçonetes")</f>
        <v>Garçons e garçonetes</v>
      </c>
      <c r="O2095" s="7" t="str">
        <f>IFERROR(__xludf.DUMMYFUNCTION("IF(M2095="""","""",GOOGLETRANSLATE(M2095,""en"",""pt""))"),"Servir refeições aos clientes em um ambiente formal; apresentar o cardápio, sugerir pratos/vinhos; responder a perguntas sobre o preparo dos alimentos; anotar o pedido na conta e repassá-lo à cozinha; servir os pratos da cozinha/bar; decorar os pratos ant"&amp;"es de servir; observar os clientes para atender a quaisquer solicitações e determinar quando a refeição foi concluída; manter a limpeza da mesa antes e depois da refeição; apresentar a conta para pagamento. *Continuação da Seção F.a.5 abaixo: 40 horas sem"&amp;"anais. Os turnos serão de 8 horas e podem variar conforme a necessidade, de acordo com o anúncio de vaga da Agência Estadual de Força de Trabalho e outras fontes de anúncios de emprego H-2B, conforme os requisitos de recrutamento dos empregadores para tra"&amp;"balhadores em potencial no âmbito do programa H-2B. Turnos variáveis ​​ao longo de 7 dias da semana. Os turnos podem variar: das 7h às 22h. Classificação da vaga: 35-3031.00 - Garçons e Garçonetes. A classificação e descrição da vaga/setor inclui informaç"&amp;"ões gerais sobre o cargo, provenientes do ONET/OES e do Sistema de Classificação Industrial da América do Norte. Consulte a descrição das funções e a ordem de serviço para obter mais informações. Requisitos da vaga: Experiência necessária: Não. Requisitos"&amp;" especiais: HABILIDADE DE SE COMUNICAR EM INGLÊS. Número de horas por semana: 40. Horário de trabalho (início/término): 7h às 22h.")</f>
        <v>Servir refeições aos clientes em um ambiente formal; apresentar o cardápio, sugerir pratos/vinhos; responder a perguntas sobre o preparo dos alimentos; anotar o pedido na conta e repassá-lo à cozinha; servir os pratos da cozinha/bar; decorar os pratos antes de servir; observar os clientes para atender a quaisquer solicitações e determinar quando a refeição foi concluída; manter a limpeza da mesa antes e depois da refeição; apresentar a conta para pagamento. *Continuação da Seção F.a.5 abaixo: 40 horas semanais. Os turnos serão de 8 horas e podem variar conforme a necessidade, de acordo com o anúncio de vaga da Agência Estadual de Força de Trabalho e outras fontes de anúncios de emprego H-2B, conforme os requisitos de recrutamento dos empregadores para trabalhadores em potencial no âmbito do programa H-2B. Turnos variáveis ​​ao longo de 7 dias da semana. Os turnos podem variar: das 7h às 22h. Classificação da vaga: 35-3031.00 - Garçons e Garçonetes. A classificação e descrição da vaga/setor inclui informações gerais sobre o cargo, provenientes do ONET/OES e do Sistema de Classificação Industrial da América do Norte. Consulte a descrição das funções e a ordem de serviço para obter mais informações. Requisitos da vaga: Experiência necessária: Não. Requisitos especiais: HABILIDADE DE SE COMUNICAR EM INGLÊS. Número de horas por semana: 40. Horário de trabalho (início/término): 7h às 22h.</v>
      </c>
    </row>
    <row r="2096" ht="20.25" customHeight="1">
      <c r="A2096" s="3" t="s">
        <v>9356</v>
      </c>
      <c r="B2096" s="3" t="s">
        <v>9357</v>
      </c>
      <c r="C2096" s="3" t="s">
        <v>8981</v>
      </c>
      <c r="D2096" s="3" t="s">
        <v>71</v>
      </c>
      <c r="E2096" s="4" t="s">
        <v>19</v>
      </c>
      <c r="F2096" s="4" t="s">
        <v>20</v>
      </c>
      <c r="G2096" s="4" t="s">
        <v>524</v>
      </c>
      <c r="H2096" s="3" t="s">
        <v>9358</v>
      </c>
      <c r="I2096" s="3" t="s">
        <v>9359</v>
      </c>
      <c r="J2096" s="4">
        <v>20.0</v>
      </c>
      <c r="K2096" s="4">
        <v>2.0</v>
      </c>
      <c r="L2096" s="3" t="s">
        <v>1684</v>
      </c>
      <c r="M2096" s="3" t="s">
        <v>9360</v>
      </c>
      <c r="N2096" s="7" t="str">
        <f>IFERROR(__xludf.DUMMYFUNCTION("GOOGLETRANSLATE(L2096, ""en"", ""pt"")"),"Barman")</f>
        <v>Barman</v>
      </c>
      <c r="O2096" s="7" t="str">
        <f>IFERROR(__xludf.DUMMYFUNCTION("IF(M2096="""","""",GOOGLETRANSLATE(M2096,""en"",""pt""))"),"Anotar pedidos de bebidas. Preparar e servir drinks. Limpar a área do bar. Poderá ser necessário anotar pedidos de comida e fazer recomendações sobre vinhos e outros produtos. Solicitar e exibir bebidas alcoólicas e suprimentos. Manter a área do bar limpa"&amp;" e trabalhar de acordo com as normas estaduais rigorosamente aplicadas. *Continuação da Seção F.a.5 abaixo: 40 horas semanais. Os turnos serão de 8 horas, podendo variar conforme a necessidade, de acordo com o anúncio da vaga na Agência Estadual de Força "&amp;"de Trabalho e em outras fontes de anúncios de vagas H-2B, conforme os requisitos de recrutamento dos empregadores para trabalhadores em potencial sob o programa H-2B. Turnos variáveis ​​ao longo de 7 dias da semana. Os turnos podem variar: das 6h às 23h. "&amp;"Classificação da vaga: 35-3011.00 - Bartenders. A classificação e descrição da vaga/setor incluem informações gerais sobre o cargo, de acordo com o ONET/OES e o Sistema de Classificação Industrial da América do Norte. Consulte as Funções e a Ordem de Serv"&amp;"iço para obter mais informações. Requisitos da vaga Experiência exigida: Não Requisitos especiais: O EMPREGADOR EXIGE QUE A VERIFICAÇÃO DE ANTECEDENTES CRIMINAIS E O TESTE DE DROGAS PRÉ-ADMISSÃO SEJAM REALIZADOS IGUALMENTE PARA OS TRABALHADORES AMERICANOS"&amp;" E PARA OS TRABALHADORES COM VISTO H-2B. HABILIDADE DE SE COMUNICAR EM INGLÊS. Número de horas por semana: 40 Horário de trabalho (início/término): 6h às 23h")</f>
        <v>Anotar pedidos de bebidas. Preparar e servir drinks. Limpar a área do bar. Poderá ser necessário anotar pedidos de comida e fazer recomendações sobre vinhos e outros produtos. Solicitar e exibir bebidas alcoólicas e suprimentos. Manter a área do bar limpa e trabalhar de acordo com as normas estaduais rigorosamente aplicadas. *Continuação da Seção F.a.5 abaixo: 40 horas semanais. Os turnos serão de 8 horas, podendo variar conforme a necessidade, de acordo com o anúncio da vaga na Agência Estadual de Força de Trabalho e em outras fontes de anúncios de vagas H-2B, conforme os requisitos de recrutamento dos empregadores para trabalhadores em potencial sob o programa H-2B. Turnos variáveis ​​ao longo de 7 dias da semana. Os turnos podem variar: das 6h às 23h. Classificação da vaga: 35-3011.00 - Bartenders. A classificação e descrição da vaga/setor incluem informações gerais sobre o cargo, de acordo com o ONET/OES e o Sistema de Classificação Industrial da América do Norte. Consulte as Funções e a Ordem de Serviço para obter mais informações. Requisitos da vaga Experiência exigida: Não Requisitos especiais: O EMPREGADOR EXIGE QUE A VERIFICAÇÃO DE ANTECEDENTES CRIMINAIS E O TESTE DE DROGAS PRÉ-ADMISSÃO SEJAM REALIZADOS IGUALMENTE PARA OS TRABALHADORES AMERICANOS E PARA OS TRABALHADORES COM VISTO H-2B. HABILIDADE DE SE COMUNICAR EM INGLÊS. Número de horas por semana: 40 Horário de trabalho (início/término): 6h às 23h</v>
      </c>
    </row>
    <row r="2097" ht="20.25" customHeight="1">
      <c r="A2097" s="8" t="s">
        <v>9361</v>
      </c>
      <c r="B2097" s="8" t="s">
        <v>9357</v>
      </c>
      <c r="C2097" s="8" t="s">
        <v>8981</v>
      </c>
      <c r="D2097" s="8" t="s">
        <v>71</v>
      </c>
      <c r="E2097" s="9" t="s">
        <v>19</v>
      </c>
      <c r="F2097" s="9" t="s">
        <v>20</v>
      </c>
      <c r="G2097" s="9" t="s">
        <v>524</v>
      </c>
      <c r="H2097" s="8" t="s">
        <v>9358</v>
      </c>
      <c r="I2097" s="8" t="s">
        <v>9359</v>
      </c>
      <c r="J2097" s="9">
        <v>19.0</v>
      </c>
      <c r="K2097" s="9">
        <v>9.0</v>
      </c>
      <c r="L2097" s="8" t="s">
        <v>1206</v>
      </c>
      <c r="M2097" s="8" t="s">
        <v>9362</v>
      </c>
      <c r="N2097" s="7" t="str">
        <f>IFERROR(__xludf.DUMMYFUNCTION("GOOGLETRANSLATE(L2097, ""en"", ""pt"")"),"Servidor")</f>
        <v>Servidor</v>
      </c>
      <c r="O2097" s="7" t="str">
        <f>IFERROR(__xludf.DUMMYFUNCTION("IF(M2097="""","""",GOOGLETRANSLATE(M2097,""en"",""pt""))"),"Receber e servir pedidos de comida e bebida; realizar a montagem e desmontagem de mesas e outras atividades diversas; poderá ser necessário trabalhar em ambientes externos e em eventos de banquetes; poderá ser necessário servir clientes utilizando carrinh"&amp;"o de golfe. *Continuação da Seção F.a.5 abaixo: 40 horas semanais. Os turnos serão de 8 horas e poderão variar conforme a necessidade, de acordo com o anúncio da vaga na Agência Estadual de Força de Trabalho e em outras fontes de anúncios de vagas H-2B, c"&amp;"onforme os requisitos de recrutamento dos empregadores para trabalhadores em potencial no âmbito do programa H-2B. Turnos variáveis ​​ao longo de 7 dias da semana. Os turnos podem variar: das 6h às 23h. Classificação da vaga: 35-3031.00 - Garçons e Garçon"&amp;"etes. A classificação e descrição da vaga/setor inclui informações gerais sobre o cargo, provenientes do ONET/OES e do Sistema de Classificação Industrial da América do Norte. Consulte as Funções e a Ordem de Serviço para obter mais informações. Requisito"&amp;"s da vaga Experiência exigida: Não Requisitos especiais: O EMPREGADOR EXIGE QUE A VERIFICAÇÃO DE ANTECEDENTES CRIMINAIS E O TESTE DE DROGAS PRÉ-ADMISSÃO SEJAM REALIZADOS IGUALMENTE PARA OS TRABALHADORES AMERICANOS E PARA OS TRABALHADORES COM VISTO H-2B. H"&amp;"ABILIDADE DE SE COMUNICAR EM INGLÊS. Número de horas por semana: 40 Horário de trabalho (início/término): 6h às 23h")</f>
        <v>Receber e servir pedidos de comida e bebida; realizar a montagem e desmontagem de mesas e outras atividades diversas; poderá ser necessário trabalhar em ambientes externos e em eventos de banquetes; poderá ser necessário servir clientes utilizando carrinho de golfe. *Continuação da Seção F.a.5 abaixo: 40 horas semanais. Os turnos serão de 8 horas e poderão variar conforme a necessidade, de acordo com o anúncio da vaga na Agência Estadual de Força de Trabalho e em outras fontes de anúncios de vagas H-2B, conforme os requisitos de recrutamento dos empregadores para trabalhadores em potencial no âmbito do programa H-2B. Turnos variáveis ​​ao longo de 7 dias da semana. Os turnos podem variar: das 6h às 23h. Classificação da vaga: 35-3031.00 - Garçons e Garçonetes. A classificação e descrição da vaga/setor inclui informações gerais sobre o cargo, provenientes do ONET/OES e do Sistema de Classificação Industrial da América do Norte. Consulte as Funções e a Ordem de Serviço para obter mais informações. Requisitos da vaga Experiência exigida: Não Requisitos especiais: O EMPREGADOR EXIGE QUE A VERIFICAÇÃO DE ANTECEDENTES CRIMINAIS E O TESTE DE DROGAS PRÉ-ADMISSÃO SEJAM REALIZADOS IGUALMENTE PARA OS TRABALHADORES AMERICANOS E PARA OS TRABALHADORES COM VISTO H-2B. HABILIDADE DE SE COMUNICAR EM INGLÊS. Número de horas por semana: 40 Horário de trabalho (início/término): 6h às 23h</v>
      </c>
    </row>
    <row r="2098" ht="20.25" customHeight="1">
      <c r="A2098" s="3" t="s">
        <v>9363</v>
      </c>
      <c r="B2098" s="3" t="s">
        <v>9357</v>
      </c>
      <c r="C2098" s="3" t="s">
        <v>8981</v>
      </c>
      <c r="D2098" s="3" t="s">
        <v>71</v>
      </c>
      <c r="E2098" s="4" t="s">
        <v>19</v>
      </c>
      <c r="F2098" s="4" t="s">
        <v>20</v>
      </c>
      <c r="G2098" s="4" t="s">
        <v>524</v>
      </c>
      <c r="H2098" s="3" t="s">
        <v>9358</v>
      </c>
      <c r="I2098" s="3" t="s">
        <v>9359</v>
      </c>
      <c r="J2098" s="4">
        <v>23.0</v>
      </c>
      <c r="K2098" s="4">
        <v>2.0</v>
      </c>
      <c r="L2098" s="3" t="s">
        <v>4654</v>
      </c>
      <c r="M2098" s="3" t="s">
        <v>9364</v>
      </c>
      <c r="N2098" s="7" t="str">
        <f>IFERROR(__xludf.DUMMYFUNCTION("GOOGLETRANSLATE(L2098, ""en"", ""pt"")"),"Capitão do servidor")</f>
        <v>Capitão do servidor</v>
      </c>
      <c r="O2098" s="7" t="str">
        <f>IFERROR(__xludf.DUMMYFUNCTION("IF(M2098="""","""",GOOGLETRANSLATE(M2098,""en"",""pt""))"),"Supervisionar a equipe de atendimento durante a preparação, o serviço e a limpeza; treinar novos garçons no salão; construir e manter um bom relacionamento com os membros do clube; assumir funções de garçom quando necessário, principalmente no atendimento"&amp;" a convidados de honra e VIPs; ser um exemplo a ser seguido e garantir o mais alto nível de serviço prestado pela equipe de atendimento do clube. *Continuação da Seção F.a.5 abaixo: 40 horas semanais. Os turnos serão de 8 horas e podem variar conforme a n"&amp;"ecessidade, de acordo com o anúncio da vaga na Agência Estadual de Força de Trabalho e em outras fontes de anúncios de vagas H-2B, conforme os requisitos de recrutamento dos empregadores para trabalhadores em potencial no âmbito do programa H-2B. Turnos v"&amp;"ariáveis ​​ao longo de 7 dias da semana. Os turnos podem variar das 6h às 23h. Classificação do Cargo: 35-1012.00 - Supervisores de Primeira Linha de Preparadores e Servidores de Alimentos. A classificação e a descrição do cargo/setor incluem informações "&amp;"gerais sobre a posição, de acordo com o ONET/OES e o Sistema de Classificação Industrial da América do Norte. Consulte as Funções e a Ordem de Serviço para obter mais informações. Requisitos da vaga Experiência necessária: Sim Meses de experiência necessá"&amp;"rios: 6 Requisitos especiais: O EMPREGADOR EXIGE QUE A VERIFICAÇÃO DE ANTECEDENTES CRIMINAIS E O TESTE DE DROGAS PRÉ-ADMISSÃO SEJAM REALIZADOS IGUALMENTE PARA OS TRABALHADORES AMERICANOS E PARA OS TRABALHADORES COM VISTO H-2B. HABILIDADE DE SE COMUNICAR E"&amp;"M INGLÊS. OS 6 MESES DE EXPERIÊNCIA EXIGIDOS NO CAMPO F.A.9 REFEREM A 6 MESES DE EXPERIÊNCIA COMO GARÇOM OU GARÇOM SÊNIOR EM UM ESTABELECIMENTO DE HOSPITALIDADE. Número de horas por semana: 40 Horário de trabalho (início/término): 6h00 - 23h00")</f>
        <v>Supervisionar a equipe de atendimento durante a preparação, o serviço e a limpeza; treinar novos garçons no salão; construir e manter um bom relacionamento com os membros do clube; assumir funções de garçom quando necessário, principalmente no atendimento a convidados de honra e VIPs; ser um exemplo a ser seguido e garantir o mais alto nível de serviço prestado pela equipe de atendimento do clube. *Continuação da Seção F.a.5 abaixo: 40 horas semanais. Os turnos serão de 8 horas e podem variar conforme a necessidade, de acordo com o anúncio da vaga na Agência Estadual de Força de Trabalho e em outras fontes de anúncios de vagas H-2B, conforme os requisitos de recrutamento dos empregadores para trabalhadores em potencial no âmbito do programa H-2B. Turnos variáveis ​​ao longo de 7 dias da semana. Os turnos podem variar das 6h às 23h. Classificação do Cargo: 35-1012.00 - Supervisores de Primeira Linha de Preparadores e Servidores de Alimentos. A classificação e a descrição do cargo/setor incluem informações gerais sobre a posição, de acordo com o ONET/OES e o Sistema de Classificação Industrial da América do Norte. Consulte as Funções e a Ordem de Serviço para obter mais informações. Requisitos da vaga Experiência necessária: Sim Meses de experiência necessários: 6 Requisitos especiais: O EMPREGADOR EXIGE QUE A VERIFICAÇÃO DE ANTECEDENTES CRIMINAIS E O TESTE DE DROGAS PRÉ-ADMISSÃO SEJAM REALIZADOS IGUALMENTE PARA OS TRABALHADORES AMERICANOS E PARA OS TRABALHADORES COM VISTO H-2B. HABILIDADE DE SE COMUNICAR EM INGLÊS. OS 6 MESES DE EXPERIÊNCIA EXIGIDOS NO CAMPO F.A.9 REFEREM A 6 MESES DE EXPERIÊNCIA COMO GARÇOM OU GARÇOM SÊNIOR EM UM ESTABELECIMENTO DE HOSPITALIDADE. Número de horas por semana: 40 Horário de trabalho (início/término): 6h00 - 23h00</v>
      </c>
    </row>
    <row r="2099" ht="20.25" customHeight="1">
      <c r="A2099" s="8" t="s">
        <v>9365</v>
      </c>
      <c r="B2099" s="8" t="s">
        <v>9357</v>
      </c>
      <c r="C2099" s="8" t="s">
        <v>8981</v>
      </c>
      <c r="D2099" s="8" t="s">
        <v>71</v>
      </c>
      <c r="E2099" s="9" t="s">
        <v>44</v>
      </c>
      <c r="F2099" s="9" t="s">
        <v>20</v>
      </c>
      <c r="G2099" s="9" t="s">
        <v>524</v>
      </c>
      <c r="H2099" s="8" t="s">
        <v>9358</v>
      </c>
      <c r="I2099" s="8" t="s">
        <v>9359</v>
      </c>
      <c r="J2099" s="9">
        <v>19.0</v>
      </c>
      <c r="K2099" s="9">
        <v>9.0</v>
      </c>
      <c r="L2099" s="8" t="s">
        <v>586</v>
      </c>
      <c r="M2099" s="8" t="s">
        <v>9366</v>
      </c>
      <c r="N2099" s="7" t="str">
        <f>IFERROR(__xludf.DUMMYFUNCTION("GOOGLETRANSLATE(L2099, ""en"", ""pt"")"),"Cozinheiro de linha")</f>
        <v>Cozinheiro de linha</v>
      </c>
      <c r="O2099" s="7" t="str">
        <f>IFERROR(__xludf.DUMMYFUNCTION("IF(M2099="""","""",GOOGLETRANSLATE(M2099,""en"",""pt""))"),"Prepara, tempera e cozinha sopas, carnes, legumes, frutas, sobremesas e outros alimentos diversos para consumo; observa as diretrizes da receita e os procedimentos de higiene. *Continuação da Seção F.a.5 abaixo: 40 horas semanais. Os turnos serão de 8 hor"&amp;"as e podem variar conforme a necessidade, de acordo com o anúncio da vaga na Agência Estadual de Força de Trabalho e em outras fontes de anúncios de vagas H-2B, conforme os requisitos de recrutamento dos empregadores para trabalhadores em potencial no âmb"&amp;"ito do programa H-2B. Turnos variáveis ​​ao longo de 7 dias da semana. Os turnos podem variar: das 6h às 23h. Classificação da vaga: 35-2014.00 - Cozinheiros, Restaurante. A classificação e a descrição da vaga/setor incluem informações gerais sobre o carg"&amp;"o, provenientes do ONET/OES e do Sistema de Classificação Industrial da América do Norte. Consulte as Funções e a Ordem de Serviço para obter mais informações. Requisitos da vaga Experiência exigida: Não Requisitos especiais: O EMPREGADOR EXIGE QUE A VERI"&amp;"FICAÇÃO DE ANTECEDENTES CRIMINAIS E O TESTE DE DROGAS PRÉ-ADMISSÃO SEJAM REALIZADOS IGUALMENTE PARA OS TRABALHADORES AMERICANOS E PARA OS TRABALHADORES COM VISTO H-2B. HABILIDADE DE SE COMUNICAR EM INGLÊS. Número de horas por semana: 40 Horário de trabalh"&amp;"o (início/término): 6h às 23h")</f>
        <v>Prepara, tempera e cozinha sopas, carnes, legumes, frutas, sobremesas e outros alimentos diversos para consumo; observa as diretrizes da receita e os procedimentos de higiene. *Continuação da Seção F.a.5 abaixo: 40 horas semanais. Os turnos serão de 8 horas e podem variar conforme a necessidade, de acordo com o anúncio da vaga na Agência Estadual de Força de Trabalho e em outras fontes de anúncios de vagas H-2B, conforme os requisitos de recrutamento dos empregadores para trabalhadores em potencial no âmbito do programa H-2B. Turnos variáveis ​​ao longo de 7 dias da semana. Os turnos podem variar: das 6h às 23h. Classificação da vaga: 35-2014.00 - Cozinheiros, Restaurante. A classificação e a descrição da vaga/setor incluem informações gerais sobre o cargo, provenientes do ONET/OES e do Sistema de Classificação Industrial da América do Norte. Consulte as Funções e a Ordem de Serviço para obter mais informações. Requisitos da vaga Experiência exigida: Não Requisitos especiais: O EMPREGADOR EXIGE QUE A VERIFICAÇÃO DE ANTECEDENTES CRIMINAIS E O TESTE DE DROGAS PRÉ-ADMISSÃO SEJAM REALIZADOS IGUALMENTE PARA OS TRABALHADORES AMERICANOS E PARA OS TRABALHADORES COM VISTO H-2B. HABILIDADE DE SE COMUNICAR EM INGLÊS. Número de horas por semana: 40 Horário de trabalho (início/término): 6h às 23h</v>
      </c>
    </row>
    <row r="2100" ht="20.25" customHeight="1">
      <c r="A2100" s="3" t="s">
        <v>9367</v>
      </c>
      <c r="B2100" s="3" t="s">
        <v>9368</v>
      </c>
      <c r="C2100" s="3" t="s">
        <v>7651</v>
      </c>
      <c r="D2100" s="3" t="s">
        <v>64</v>
      </c>
      <c r="E2100" s="4" t="s">
        <v>19</v>
      </c>
      <c r="F2100" s="4" t="s">
        <v>20</v>
      </c>
      <c r="G2100" s="4" t="s">
        <v>404</v>
      </c>
      <c r="H2100" s="3" t="s">
        <v>9369</v>
      </c>
      <c r="I2100" s="3" t="s">
        <v>9370</v>
      </c>
      <c r="J2100" s="4">
        <v>17.72</v>
      </c>
      <c r="K2100" s="4">
        <v>5.0</v>
      </c>
      <c r="L2100" s="3" t="s">
        <v>9371</v>
      </c>
      <c r="M2100" s="3" t="s">
        <v>9372</v>
      </c>
      <c r="N2100" s="7" t="str">
        <f>IFERROR(__xludf.DUMMYFUNCTION("GOOGLETRANSLATE(L2100, ""en"", ""pt"")"),"Operário da Construção Civil")</f>
        <v>Operário da Construção Civil</v>
      </c>
      <c r="O2100" s="7" t="str">
        <f>IFERROR(__xludf.DUMMYFUNCTION("IF(M2100="""","""",GOOGLETRANSLATE(M2100,""en"",""pt""))"),"Executar tarefas que envolvam trabalho físico em canteiros de obras. Pode operar ferramentas manuais e elétricas de todos os tipos: martelos pneumáticos, compactadores de solo, betoneiras, pequenos guindastes mecânicos, equipamentos de topografia e mediçã"&amp;"o, e uma variedade de outros equipamentos e instrumentos. Pode limpar e preparar locais, cavar valas, instalar escoras para sustentar as laterais das escavações, montar andaimes e limpar entulhos, detritos e outros materiais residuais. Pode auxiliar outro"&amp;"s trabalhadores especializados. Classificação da função: 47-2061.00 - Auxiliares de Construção. A classificação e descrição da função/setor inclui informações gerais sobre o cargo, de acordo com o ONET/OES e o Sistema de Classificação Industrial da Améric"&amp;"a do Norte (NAICS). Consulte as Funções e a Ordem de Serviço para obter mais informações. Requisitos da vaga: Experiência necessária: Sim. Meses de experiência necessários: 3. Requisitos especiais: Deve ser capaz de levantar e carregar 34 kg/75 jardas cúb"&amp;"icas. Trabalho em alguns fins de semana é necessário. Número de horas por semana: 50. Horário de trabalho (início/término): 7h às 17h.")</f>
        <v>Executar tarefas que envolvam trabalho físico em canteiros de obras. Pode operar ferramentas manuais e elétricas de todos os tipos: martelos pneumáticos, compactadores de solo, betoneiras, pequenos guindastes mecânicos, equipamentos de topografia e medição, e uma variedade de outros equipamentos e instrumentos. Pode limpar e preparar locais, cavar valas, instalar escoras para sustentar as laterais das escavações, montar andaimes e limpar entulhos, detritos e outros materiais residuais. Pode auxiliar outros trabalhadores especializados. Classificação da função: 47-2061.00 - Auxiliares de Construção. A classificação e descrição da função/setor inclui informações gerais sobre o cargo, de acordo com o ONET/OES e o Sistema de Classificação Industrial da América do Norte (NAICS). Consulte as Funções e a Ordem de Serviço para obter mais informações. Requisitos da vaga: Experiência necessária: Sim. Meses de experiência necessários: 3. Requisitos especiais: Deve ser capaz de levantar e carregar 34 kg/75 jardas cúbicas. Trabalho em alguns fins de semana é necessário. Número de horas por semana: 50. Horário de trabalho (início/término): 7h às 17h.</v>
      </c>
    </row>
    <row r="2101" ht="20.25" customHeight="1">
      <c r="A2101" s="8" t="s">
        <v>9373</v>
      </c>
      <c r="B2101" s="8" t="s">
        <v>9374</v>
      </c>
      <c r="C2101" s="8" t="s">
        <v>6024</v>
      </c>
      <c r="D2101" s="8" t="s">
        <v>64</v>
      </c>
      <c r="E2101" s="9" t="s">
        <v>19</v>
      </c>
      <c r="F2101" s="9" t="s">
        <v>20</v>
      </c>
      <c r="G2101" s="9" t="s">
        <v>1441</v>
      </c>
      <c r="H2101" s="8" t="s">
        <v>9375</v>
      </c>
      <c r="I2101" s="8" t="s">
        <v>9376</v>
      </c>
      <c r="J2101" s="9">
        <v>27.42</v>
      </c>
      <c r="K2101" s="9">
        <v>45.0</v>
      </c>
      <c r="L2101" s="8" t="s">
        <v>501</v>
      </c>
      <c r="M2101" s="8" t="s">
        <v>9377</v>
      </c>
      <c r="N2101" s="7" t="str">
        <f>IFERROR(__xludf.DUMMYFUNCTION("GOOGLETRANSLATE(L2101, ""en"", ""pt"")"),"Auxiliar de Manutenção")</f>
        <v>Auxiliar de Manutenção</v>
      </c>
      <c r="O2101" s="7" t="str">
        <f>IFERROR(__xludf.DUMMYFUNCTION("IF(M2101="""","""",GOOGLETRANSLATE(M2101,""en"",""pt""))"),"Auxiliar de mecânico: lixar, preparar, manter, montar, inspecionar, desmontar, limpar e lubrificar manualmente equipamentos de parques de diversões. Classificação da vaga: 51-9124.00 - Operadores, preparadores e auxiliares de máquinas de revestimento, pin"&amp;"tura e pulverização. A classificação e descrição da vaga/setor incluem informações gerais sobre o cargo, de acordo com o ONET/OES e o Sistema de Classificação Industrial da América do Norte (NAICS). Consulte as atribuições e a ordem de serviço para obter "&amp;"mais informações. Requisitos da vaga: Experiência necessária: Não. Requisitos especiais: Aprovação em exame toxicológico e verificação de antecedentes criminais após a contratação, pagos pelo empregador. Capacidade de levantar 23 kg. Horário, escala e dia"&amp;"s de trabalho variam bastante. Normalmente, de segunda a sexta, das 8h às 16h30. Geralmente de 35 a 40 horas semanais, sem previsão de horas extras. As necessidades de trabalho (ou seja, horário, dias, escala, local e funções) variam. Exames toxicológicos"&amp;" e verificação de antecedentes criminais aleatórios após a contratação podem ser exigidos pelo empregador, sem custo para o trabalhador. A vaga exige que o candidato seja qualificado, autorizado, esteja pronto, disposto, apto e disponível para trabalhar d"&amp;"urante todo o período de emprego nos locais de trabalho designados, mesmo em condições climáticas adversas; atenda aos nossos padrões de verificação ou testes; firme e cumpra qualquer contrato de trabalho e contrato de aluguel; siga as normas do local de "&amp;"trabalho, as regras de reclamação e as normas de moradia. O procedimento de reclamação exige que os trabalhadores relatem quaisquer ameaças ou descumprimento dos termos e condições de trabalho; e atendam aos padrões de desempenho do trabalho. Trabalho ext"&amp;"erno em todas as condições climáticas. A vaga exige que o candidato obtenha e apresente comprovante de todas as autorizações governamentais necessárias para trabalhar nesta função, como o visto de trabalho H-2B para trabalhadores estrangeiros. Qualquer vi"&amp;"sto de trabalho H-2B será emitido pelo consulado dos Estados Unidos no país de origem, após o qual o candidato será considerado contratado naquele momento e local. É necessário cooperar e preencher o formulário de inscrição e a entrevista, e todas as info"&amp;"rmações fornecidas devem ser verdadeiras e completas. É necessário cumprir os requisitos de apresentação pessoal e o código de vestimenta. É necessário estar disposto a trabalhar até 7 dias por semana. Sujeito a demissão por justa causa. Número de horas p"&amp;"or semana: 35 Horário de trabalho (início/término): 8h00 - 16h30")</f>
        <v>Auxiliar de mecânico: lixar, preparar, manter, montar, inspecionar, desmontar, limpar e lubrificar manualmente equipamentos de parques de diversões. Classificação da vaga: 51-9124.00 - Operadores, preparadores e auxiliares de máquinas de revestimento, pintura e pulverização. A classificação e descrição da vaga/setor incluem informações gerais sobre o cargo, de acordo com o ONET/OES e o Sistema de Classificação Industrial da América do Norte (NAICS). Consulte as atribuições e a ordem de serviço para obter mais informações. Requisitos da vaga: Experiência necessária: Não. Requisitos especiais: Aprovação em exame toxicológico e verificação de antecedentes criminais após a contratação, pagos pelo empregador. Capacidade de levantar 23 kg. Horário, escala e dias de trabalho variam bastante. Normalmente, de segunda a sexta, das 8h às 16h30. Geralmente de 35 a 40 horas semanais, sem previsão de horas extras. As necessidades de trabalho (ou seja, horário, dias, escala, local e funções) variam. Exames toxicológicos e verificação de antecedentes criminais aleatórios após a contratação podem ser exigidos pelo empregador, sem custo para o trabalhador. A vaga exige que o candidato seja qualificado, autorizado, esteja pronto, disposto, apto e disponível para trabalhar durante todo o período de emprego nos locais de trabalho designados, mesmo em condições climáticas adversas; atenda aos nossos padrões de verificação ou testes; firme e cumpra qualquer contrato de trabalho e contrato de aluguel; siga as normas do local de trabalho, as regras de reclamação e as normas de moradia. O procedimento de reclamação exige que os trabalhadores relatem quaisquer ameaças ou descumprimento dos termos e condições de trabalho; e atendam aos padrões de desempenho do trabalho. Trabalho externo em todas as condições climáticas. A vaga exige que o candidato obtenha e apresente comprovante de todas as autorizações governamentais necessárias para trabalhar nesta função, como o visto de trabalho H-2B para trabalhadores estrangeiros. Qualquer visto de trabalho H-2B será emitido pelo consulado dos Estados Unidos no país de origem, após o qual o candidato será considerado contratado naquele momento e local. É necessário cooperar e preencher o formulário de inscrição e a entrevista, e todas as informações fornecidas devem ser verdadeiras e completas. É necessário cumprir os requisitos de apresentação pessoal e o código de vestimenta. É necessário estar disposto a trabalhar até 7 dias por semana. Sujeito a demissão por justa causa. Número de horas por semana: 35 Horário de trabalho (início/término): 8h00 - 16h30</v>
      </c>
    </row>
    <row r="2102" ht="20.25" customHeight="1">
      <c r="A2102" s="3" t="s">
        <v>9378</v>
      </c>
      <c r="B2102" s="3" t="s">
        <v>9379</v>
      </c>
      <c r="C2102" s="3" t="s">
        <v>8628</v>
      </c>
      <c r="D2102" s="3" t="s">
        <v>36</v>
      </c>
      <c r="E2102" s="4" t="s">
        <v>44</v>
      </c>
      <c r="F2102" s="4" t="s">
        <v>20</v>
      </c>
      <c r="G2102" s="4" t="s">
        <v>155</v>
      </c>
      <c r="H2102" s="3" t="s">
        <v>9380</v>
      </c>
      <c r="I2102" s="3" t="s">
        <v>9381</v>
      </c>
      <c r="J2102" s="4">
        <v>16.0</v>
      </c>
      <c r="K2102" s="4">
        <v>1.0</v>
      </c>
      <c r="L2102" s="3" t="s">
        <v>387</v>
      </c>
      <c r="M2102" s="3" t="s">
        <v>9382</v>
      </c>
      <c r="N2102" s="7" t="str">
        <f>IFERROR(__xludf.DUMMYFUNCTION("GOOGLETRANSLATE(L2102, ""en"", ""pt"")"),"Ordem de serviço não disponível")</f>
        <v>Ordem de serviço não disponível</v>
      </c>
      <c r="O2102" s="7" t="str">
        <f>IFERROR(__xludf.DUMMYFUNCTION("IF(M2102="""","""",GOOGLETRANSLATE(M2102,""en"",""pt""))"),"Auxiliar no planejamento e desenvolvimento de um cardápio com uma variedade de pratos caribenhos; Preparar os ingredientes, temperos e molhos necessários para as receitas caribenhas, garantindo a fidelidade aos sabores e métodos de preparo autênticos; Dom"&amp;"inar técnicas culinárias específicas da culinária caribenha, incluindo grelhar, ensopar, marinar e fritar, para criar pratos deliciosos; Lavar, descascar e fatiar frutas e verduras para consumo; Cortar e aparar carnes; Inspecionar e higienizar as áreas de"&amp;" preparo de alimentos; Verificar se os alimentos estão armazenados e cozidos em temperaturas adequadas; Utilizar métodos de cozimento, grelhar, tostar e cozinhar no vapor para carnes, peixes, verduras e diversos alimentos; Garantir que todos os pratos ate"&amp;"ndam aos altos padrões de qualidade em sabor, aparência e tamanho das porções; Monitorar e gerenciar os níveis de estoque de ingredientes e suprimentos necessários para os pratos caribenhos; e trabalhar em estreita colaboração com a equipe da cozinha para"&amp;" coordenar o preparo dos alimentos e garantir um serviço ágil durante os horários de pico. Classificação da vaga: 35-2014.00 - Cozinheiros, Restaurante. A classificação e descrição da vaga/setor incluem informações gerais sobre o cargo, de acordo com o ON"&amp;"ET/OES e o Sistema de Classificação Industrial da América do Norte. Consulte as Funções e a Ordem de Serviço para obter mais informações. Requisitos da vaga Experiência necessária: Não Número de horas por semana: 40 Horário de trabalho (início/término): 9"&amp;"h às 17h")</f>
        <v>Auxiliar no planejamento e desenvolvimento de um cardápio com uma variedade de pratos caribenhos; Preparar os ingredientes, temperos e molhos necessários para as receitas caribenhas, garantindo a fidelidade aos sabores e métodos de preparo autênticos; Dominar técnicas culinárias específicas da culinária caribenha, incluindo grelhar, ensopar, marinar e fritar, para criar pratos deliciosos; Lavar, descascar e fatiar frutas e verduras para consumo; Cortar e aparar carnes; Inspecionar e higienizar as áreas de preparo de alimentos; Verificar se os alimentos estão armazenados e cozidos em temperaturas adequadas; Utilizar métodos de cozimento, grelhar, tostar e cozinhar no vapor para carnes, peixes, verduras e diversos alimentos; Garantir que todos os pratos atendam aos altos padrões de qualidade em sabor, aparência e tamanho das porções; Monitorar e gerenciar os níveis de estoque de ingredientes e suprimentos necessários para os pratos caribenhos; e trabalhar em estreita colaboração com a equipe da cozinha para coordenar o preparo dos alimentos e garantir um serviço ágil durante os horários de pico. Classificação da vaga: 35-2014.00 - Cozinheiros, Restaurante. A classificação e descrição da vaga/setor incluem informações gerais sobre o cargo, de acordo com o ONET/OES e o Sistema de Classificação Industrial da América do Norte. Consulte as Funções e a Ordem de Serviço para obter mais informações. Requisitos da vaga Experiência necessária: Não Número de horas por semana: 40 Horário de trabalho (início/término): 9h às 17h</v>
      </c>
    </row>
    <row r="2103" ht="20.25" customHeight="1">
      <c r="A2103" s="8" t="s">
        <v>9383</v>
      </c>
      <c r="B2103" s="8" t="s">
        <v>9384</v>
      </c>
      <c r="C2103" s="8" t="s">
        <v>9385</v>
      </c>
      <c r="D2103" s="8" t="s">
        <v>28</v>
      </c>
      <c r="E2103" s="9" t="s">
        <v>19</v>
      </c>
      <c r="F2103" s="9" t="s">
        <v>20</v>
      </c>
      <c r="G2103" s="9" t="s">
        <v>72</v>
      </c>
      <c r="H2103" s="8" t="s">
        <v>9386</v>
      </c>
      <c r="I2103" s="8" t="s">
        <v>9387</v>
      </c>
      <c r="J2103" s="9">
        <v>16.0</v>
      </c>
      <c r="K2103" s="9">
        <v>12.0</v>
      </c>
      <c r="L2103" s="8" t="s">
        <v>586</v>
      </c>
      <c r="M2103" s="8" t="s">
        <v>9388</v>
      </c>
      <c r="N2103" s="7" t="str">
        <f>IFERROR(__xludf.DUMMYFUNCTION("GOOGLETRANSLATE(L2103, ""en"", ""pt"")"),"Cozinheiro de linha")</f>
        <v>Cozinheiro de linha</v>
      </c>
      <c r="O2103" s="7" t="str">
        <f>IFERROR(__xludf.DUMMYFUNCTION("IF(M2103="""","""",GOOGLETRANSLATE(M2103,""en"",""pt""))"),"1. Preparo, Produção e Apresentação a. Preparar os itens do cardápio para o serviço (cortar legumes, preparar molhos, separar as proteínas, etc.). b. Degustar todos os itens do cardápio em sua estação antes e durante o serviço. c. Organizar e abastecer as"&amp;" estações de trabalho com todos os suprimentos necessários antes da chegada dos clientes. d. Cozinhar e apresentar os itens do cardápio de acordo com as especificações do chef e em cooperação com o restante da equipe. e. Manter a estação de trabalho, os e"&amp;"quipamentos e o chão limpos durante todo o serviço. f. Garantir que a comida seja preparada conforme o pedido, ser servida simultaneamente com as outras estações, com alta qualidade e em tempo hábil. g. Demonstrar técnicas corretas de culinária, manuseio "&amp;"de facas e procedimentos de segurança. h. Garantir que os alimentos sejam cozidos na temperatura adequada. i. Capacidade de seguir as instruções do chef executivo, chef de cozinha, sous-chefs, gerentes de salão e proprietários. j. Capacidade de trabalhar "&amp;"com calma e eficiência sob pressão. 2. Limpeza e Higiene a. Os padrões de higiene pessoal devem ser atendidos diariamente. b. Lavar as mãos repetidamente antes, durante e após o serviço. c. As estações de trabalho, os equipamentos de cozinha, os pisos da "&amp;"cozinha, as áreas de armazenamento refrigeradas e secas, os aventais e os panos de prato devem estar limpos e higienizados antes, durante e após o serviço. d. Baldes de higienização e colheres de degustação devem estar presentes nas estações de trabalho. "&amp;"3. Manuseio e Armazenamento Adequados de Alimentos a. Certifique-se de que os alimentos crus e cozidos sejam armazenados adequadamente, seguindo as diretrizes da tabela de temperatura e armazenamento. b. Cozinhe os alimentos crus até atingirem as temperat"&amp;"uras adequadas e certifique-se de que os alimentos cozidos sejam servidos imediatamente. c. Armazene os alimentos cozidos adequadamente e reaqueça-os até atingirem as temperaturas adequadas. d. Evite o contato entre alimentos crus e cozidos e a contaminaç"&amp;"ão cruzada de todos os alimentos. e. Siga todos os procedimentos de contaminação, manuseio de alimentos e cozimento ao cozinhar para um cliente com alergia. f. Garanta a rotação adequada dos itens alimentícios seguindo o procedimento FIFO (primeiro a entr"&amp;"ar, primeiro a sair). g. Datilografe e etiquete todos os itens alimentícios preparados. Classificação do Cargo: 35-2014.00 - Cozinheiros, Restaurante A classificação e descrição do cargo/setor incluem informações gerais sobre a posição da ONET/OES e do Si"&amp;"stema de Classificação Industrial da América do Norte. Consulte as Funções e a Ordem de Serviço para obter mais informações. Requisitos da Vaga Experiência Necessária: Sim Meses de Experiência Necessários: 12 Requisitos Especiais: Requisitos Especiais Mín"&amp;"imos: 1. 1 ano de experiência profissional como Cozinheiro(a) de Linha em cozinha de alto volume. 2. Fornecer referências de empregadores atuais e anteriores. 3. Idade mínima de 21 anos. Requisitos Especiais Adicionais: 1. Ser capaz de caminhar e ficar em"&amp;" pé durante todo o turno (de 8 a 12 horas por turno). 2. Ser capaz de empurrar, puxar ou levantar 23 kg. 3. Ser capaz de alcançar itens em diferentes alturas (em prateleiras, no chão, etc.). 4. Ser capaz de subir e descer três (3) lances de escada regular"&amp;"mente. 5. Outras tarefas conforme designadas. Semana de trabalho: Seg-Sex 8h-17h e 15h-2h. Sáb-Dom 6h-17h e 14h30-2h. De quarta a terça-feira, os turnos e dias de trabalho variam e são rotativos. Trabalho aos fins de semana, à noite, durante o dia, em tur"&amp;"nos divididos e em feriados é necessário. Benefícios: *O Commander's Palace oferece seguro saúde, odontológico e oftalmológico, disponíveis a partir do primeiro dia útil subsequente a 60 dias de trabalho. Os funcionários são responsáveis ​​por sua parte d"&amp;"os prêmios mensais. *Auxílio-doença disponível para funcionários em tempo integral durante o período de trabalho ativo. Um total de 9 dias de licença médica estarão disponíveis para uso durante o período de trabalho. Este benefício é pago a US$ 7,25/hora."&amp;" *Os funcionários receberão, sem custo ou depósito, todas as ferramentas, suprimentos e equipamentos necessários para o desempenho das funções atribuídas. Número de horas por semana: 35. Horário de trabalho (início/término): 8h às 17h.")</f>
        <v>1. Preparo, Produção e Apresentação a. Preparar os itens do cardápio para o serviço (cortar legumes, preparar molhos, separar as proteínas, etc.). b. Degustar todos os itens do cardápio em sua estação antes e durante o serviço. c. Organizar e abastecer as estações de trabalho com todos os suprimentos necessários antes da chegada dos clientes. d. Cozinhar e apresentar os itens do cardápio de acordo com as especificações do chef e em cooperação com o restante da equipe. e. Manter a estação de trabalho, os equipamentos e o chão limpos durante todo o serviço. f. Garantir que a comida seja preparada conforme o pedido, ser servida simultaneamente com as outras estações, com alta qualidade e em tempo hábil. g. Demonstrar técnicas corretas de culinária, manuseio de facas e procedimentos de segurança. h. Garantir que os alimentos sejam cozidos na temperatura adequada. i. Capacidade de seguir as instruções do chef executivo, chef de cozinha, sous-chefs, gerentes de salão e proprietários. j. Capacidade de trabalhar com calma e eficiência sob pressão. 2. Limpeza e Higiene a. Os padrões de higiene pessoal devem ser atendidos diariamente. b. Lavar as mãos repetidamente antes, durante e após o serviço. c. As estações de trabalho, os equipamentos de cozinha, os pisos da cozinha, as áreas de armazenamento refrigeradas e secas, os aventais e os panos de prato devem estar limpos e higienizados antes, durante e após o serviço. d. Baldes de higienização e colheres de degustação devem estar presentes nas estações de trabalho. 3. Manuseio e Armazenamento Adequados de Alimentos a. Certifique-se de que os alimentos crus e cozidos sejam armazenados adequadamente, seguindo as diretrizes da tabela de temperatura e armazenamento. b. Cozinhe os alimentos crus até atingirem as temperaturas adequadas e certifique-se de que os alimentos cozidos sejam servidos imediatamente. c. Armazene os alimentos cozidos adequadamente e reaqueça-os até atingirem as temperaturas adequadas. d. Evite o contato entre alimentos crus e cozidos e a contaminação cruzada de todos os alimentos. e. Siga todos os procedimentos de contaminação, manuseio de alimentos e cozimento ao cozinhar para um cliente com alergia. f. Garanta a rotação adequada dos itens alimentícios seguindo o procedimento FIFO (primeiro a entrar, primeiro a sair). g. Datilografe e etiquete todos os itens alimentícios preparados. Classificação do Cargo: 35-2014.00 - Cozinheiros, Restaurante A classificação e descrição do cargo/setor incluem informações gerais sobre a posição da ONET/OES e do Sistema de Classificação Industrial da América do Norte. Consulte as Funções e a Ordem de Serviço para obter mais informações. Requisitos da Vaga Experiência Necessária: Sim Meses de Experiência Necessários: 12 Requisitos Especiais: Requisitos Especiais Mínimos: 1. 1 ano de experiência profissional como Cozinheiro(a) de Linha em cozinha de alto volume. 2. Fornecer referências de empregadores atuais e anteriores. 3. Idade mínima de 21 anos. Requisitos Especiais Adicionais: 1. Ser capaz de caminhar e ficar em pé durante todo o turno (de 8 a 12 horas por turno). 2. Ser capaz de empurrar, puxar ou levantar 23 kg. 3. Ser capaz de alcançar itens em diferentes alturas (em prateleiras, no chão, etc.). 4. Ser capaz de subir e descer três (3) lances de escada regularmente. 5. Outras tarefas conforme designadas. Semana de trabalho: Seg-Sex 8h-17h e 15h-2h. Sáb-Dom 6h-17h e 14h30-2h. De quarta a terça-feira, os turnos e dias de trabalho variam e são rotativos. Trabalho aos fins de semana, à noite, durante o dia, em turnos divididos e em feriados é necessário. Benefícios: *O Commander's Palace oferece seguro saúde, odontológico e oftalmológico, disponíveis a partir do primeiro dia útil subsequente a 60 dias de trabalho. Os funcionários são responsáveis ​​por sua parte dos prêmios mensais. *Auxílio-doença disponível para funcionários em tempo integral durante o período de trabalho ativo. Um total de 9 dias de licença médica estarão disponíveis para uso durante o período de trabalho. Este benefício é pago a US$ 7,25/hora. *Os funcionários receberão, sem custo ou depósito, todas as ferramentas, suprimentos e equipamentos necessários para o desempenho das funções atribuídas. Número de horas por semana: 35. Horário de trabalho (início/término): 8h às 17h.</v>
      </c>
    </row>
    <row r="2104" ht="20.25" customHeight="1">
      <c r="A2104" s="3" t="s">
        <v>9389</v>
      </c>
      <c r="B2104" s="3" t="s">
        <v>7898</v>
      </c>
      <c r="C2104" s="3" t="s">
        <v>7651</v>
      </c>
      <c r="D2104" s="3" t="s">
        <v>71</v>
      </c>
      <c r="E2104" s="4" t="s">
        <v>19</v>
      </c>
      <c r="F2104" s="4" t="s">
        <v>20</v>
      </c>
      <c r="G2104" s="4" t="s">
        <v>377</v>
      </c>
      <c r="H2104" s="3" t="s">
        <v>7899</v>
      </c>
      <c r="I2104" s="3" t="s">
        <v>7900</v>
      </c>
      <c r="J2104" s="4">
        <v>21.37</v>
      </c>
      <c r="K2104" s="4">
        <v>20.0</v>
      </c>
      <c r="L2104" s="3" t="s">
        <v>7901</v>
      </c>
      <c r="M2104" s="3" t="s">
        <v>9390</v>
      </c>
      <c r="N2104" s="7" t="str">
        <f>IFERROR(__xludf.DUMMYFUNCTION("GOOGLETRANSLATE(L2104, ""en"", ""pt"")"),"Ajudantes de Operário da Construção")</f>
        <v>Ajudantes de Operário da Construção</v>
      </c>
      <c r="O2104" s="7" t="str">
        <f>IFERROR(__xludf.DUMMYFUNCTION("IF(M2104="""","""",GOOGLETRANSLATE(M2104,""en"",""pt""))"),"***Resposta à Solicitação de Informações*** O Ajudante de Operário da Construção Civil dará suporte a equipes de construção especializadas na montagem e instalação de sistemas de paredes metálicas pré-fabricadas de calibre leve, lajes metálicas e escorame"&amp;"nto temporário, sob supervisão direta. O trabalhador auxiliará na montagem de estruturas, instalação de paredes pré-fabricadas e tarefas gerais de construção, carregando, descarregando, organizando, separando e transportando manualmente perfis de aço de c"&amp;"alibre leve, trilhos metálicos, lajes metálicas onduladas, painéis de parede pré-fabricados e materiais de construção relacionados em todo o canteiro de obras. O trabalhador segurará e estabilizará os materiais enquanto os operários qualificados os posici"&amp;"onam e fixam, auxiliará no planejamento utilizando trenas e níveis a laser para verificar medidas e alinhamento, preparará as áreas de trabalho, organizará ferragens e materiais, removerá detritos, coletará sucata de aço e realizará a limpeza geral do loc"&amp;"al. O trabalhador também auxiliará na movimentação de escadas, ferramentas e equipamentos, conforme instruções. O uso de Equipamentos de Proteção Individual (EPI) é obrigatório e fornecido pelo empregador sem custo. As ferramentas e equipamentos utilizado"&amp;"s incluem trenas, níveis a laser, escadas, vassouras, pás, ferramentas manuais, capacetes, coletes de segurança, óculos de segurança, luvas e talabartes de proteção contra quedas. Os componentes estruturais pré-fabricados consistem em painéis de parede de"&amp;" aço leve, perfis de aço conformados a frio, trilhos de estrutura metálica, lajes de aço corrugado para pisos e telhados, componentes de escoramento temporário, contraventamento de madeira para paredes e componentes de estrutura metálica relacionados, uti"&amp;"lizados na construção de edifícios comerciais. Esses componentes são fabricados principalmente em aço galvanizado conformado a frio, com contraventamento temporário de madeira utilizado para estabilizar os sistemas de parede durante a instalação. O Ajudan"&amp;"te de Operário da Construção Civil auxilia no posicionamento, alinhamento e sustentação desses componentes pré-fabricados enquanto os trabalhadores qualificados os fixam permanentemente utilizando parafusos, pregos, ancoragens ou outros métodos de fixação"&amp;" apropriados para o projeto. ***Atribuições Originais*** Realizar o levantamento e a medição do local para auxiliar na construção de edifícios comerciais. Instalar escoramento temporário, contraventamento e guarda-corpos para garantir a conformidade com a"&amp;"s normas de segurança do canteiro de obras. Carregar e descarregar materiais e ferramentas de caminhões; Transportar materiais para as áreas de trabalho apropriadas usando equipamentos manuais ou motorizados. Operar ferramentas elétricas e manuais, inclui"&amp;"ndo serras, furadeiras, martelos e chaves de impacto, para auxiliar na montagem de estruturas, instalação de paredes pré-fabricadas e tarefas gerais de construção. Posicionar, alinhar e fixar componentes estruturais pré-fabricados usando parafusos, pregos"&amp;" ou adesivos. Instalar e operar geradores portáteis para fornecer energia temporária para ferramentas e equipamentos. Operar diversos equipamentos de canteiro de obras, incluindo empilhadeiras, plataformas elevatórias e tesouras elevatórias, de acordo com"&amp;" as normas da OSHA e os protocolos de segurança do local. Auxiliar profissionais qualificados, conforme necessário, em trabalhos de estruturação, demolição e acabamento. Manter o canteiro de obras limpo e organizado por meio de tarefas regulares de limpez"&amp;"a e remoção de detritos. Realizar verificações de estoque e manuseio de materiais para apoiar o andamento do trabalho e evitar atrasos. Atuar como sinalizador para direcionar o tráfego e manter a segurança durante entregas ou operações com guindaste. Clas"&amp;"sificação da função: 47-2061.00 - Auxiliares de Construção. A classificação e descrição da função/setor inclui informações gerais sobre o cargo, de acordo com o ONET/OES e o Sistema de Classificação Industrial da América do Norte (NAICS). Consulte a Descr"&amp;"ição das Funções e a Ordem de Serviço para obter mais informações. Requisitos da Vaga Experiência Necessária: Sim Meses de Experiência Necessários: 3 Requisitos Especiais: Deve ser capaz de levantar e carregar 34 kg/75 jardas (aproximadamente 69 m). Traba"&amp;"lho em alguns fins de semana será necessário. Número de Horas por Semana: 50 Horário de Trabalho (Início/Término): 8h às 17h")</f>
        <v>***Resposta à Solicitação de Informações*** O Ajudante de Operário da Construção Civil dará suporte a equipes de construção especializadas na montagem e instalação de sistemas de paredes metálicas pré-fabricadas de calibre leve, lajes metálicas e escoramento temporário, sob supervisão direta. O trabalhador auxiliará na montagem de estruturas, instalação de paredes pré-fabricadas e tarefas gerais de construção, carregando, descarregando, organizando, separando e transportando manualmente perfis de aço de calibre leve, trilhos metálicos, lajes metálicas onduladas, painéis de parede pré-fabricados e materiais de construção relacionados em todo o canteiro de obras. O trabalhador segurará e estabilizará os materiais enquanto os operários qualificados os posicionam e fixam, auxiliará no planejamento utilizando trenas e níveis a laser para verificar medidas e alinhamento, preparará as áreas de trabalho, organizará ferragens e materiais, removerá detritos, coletará sucata de aço e realizará a limpeza geral do local. O trabalhador também auxiliará na movimentação de escadas, ferramentas e equipamentos, conforme instruções. O uso de Equipamentos de Proteção Individual (EPI) é obrigatório e fornecido pelo empregador sem custo. As ferramentas e equipamentos utilizados incluem trenas, níveis a laser, escadas, vassouras, pás, ferramentas manuais, capacetes, coletes de segurança, óculos de segurança, luvas e talabartes de proteção contra quedas. Os componentes estruturais pré-fabricados consistem em painéis de parede de aço leve, perfis de aço conformados a frio, trilhos de estrutura metálica, lajes de aço corrugado para pisos e telhados, componentes de escoramento temporário, contraventamento de madeira para paredes e componentes de estrutura metálica relacionados, utilizados na construção de edifícios comerciais. Esses componentes são fabricados principalmente em aço galvanizado conformado a frio, com contraventamento temporário de madeira utilizado para estabilizar os sistemas de parede durante a instalação. O Ajudante de Operário da Construção Civil auxilia no posicionamento, alinhamento e sustentação desses componentes pré-fabricados enquanto os trabalhadores qualificados os fixam permanentemente utilizando parafusos, pregos, ancoragens ou outros métodos de fixação apropriados para o projeto. ***Atribuições Originais*** Realizar o levantamento e a medição do local para auxiliar na construção de edifícios comerciais. Instalar escoramento temporário, contraventamento e guarda-corpos para garantir a conformidade com as normas de segurança do canteiro de obras. Carregar e descarregar materiais e ferramentas de caminhões; Transportar materiais para as áreas de trabalho apropriadas usando equipamentos manuais ou motorizados. Operar ferramentas elétricas e manuais, incluindo serras, furadeiras, martelos e chaves de impacto, para auxiliar na montagem de estruturas, instalação de paredes pré-fabricadas e tarefas gerais de construção. Posicionar, alinhar e fixar componentes estruturais pré-fabricados usando parafusos, pregos ou adesivos. Instalar e operar geradores portáteis para fornecer energia temporária para ferramentas e equipamentos. Operar diversos equipamentos de canteiro de obras, incluindo empilhadeiras, plataformas elevatórias e tesouras elevatórias, de acordo com as normas da OSHA e os protocolos de segurança do local. Auxiliar profissionais qualificados, conforme necessário, em trabalhos de estruturação, demolição e acabamento. Manter o canteiro de obras limpo e organizado por meio de tarefas regulares de limpeza e remoção de detritos. Realizar verificações de estoque e manuseio de materiais para apoiar o andamento do trabalho e evitar atrasos. Atuar como sinalizador para direcionar o tráfego e manter a segurança durante entregas ou operações com guindaste. Classificação da função: 47-2061.00 - Auxiliares de Construção. A classificação e descrição da função/setor inclui informações gerais sobre o cargo, de acordo com o ONET/OES e o Sistema de Classificação Industrial da América do Norte (NAICS). Consulte a Descrição das Funções e a Ordem de Serviço para obter mais informações. Requisitos da Vaga Experiência Necessária: Sim Meses de Experiência Necessários: 3 Requisitos Especiais: Deve ser capaz de levantar e carregar 34 kg/75 jardas (aproximadamente 69 m). Trabalho em alguns fins de semana será necessário. Número de Horas por Semana: 50 Horário de Trabalho (Início/Término): 8h às 17h</v>
      </c>
    </row>
    <row r="2105" ht="20.25" customHeight="1">
      <c r="A2105" s="8" t="s">
        <v>9391</v>
      </c>
      <c r="B2105" s="8" t="s">
        <v>9392</v>
      </c>
      <c r="C2105" s="8" t="s">
        <v>9043</v>
      </c>
      <c r="D2105" s="8" t="s">
        <v>1051</v>
      </c>
      <c r="E2105" s="9" t="s">
        <v>44</v>
      </c>
      <c r="F2105" s="9" t="s">
        <v>20</v>
      </c>
      <c r="G2105" s="9" t="s">
        <v>236</v>
      </c>
      <c r="H2105" s="8" t="s">
        <v>9044</v>
      </c>
      <c r="I2105" s="8"/>
      <c r="J2105" s="9">
        <v>19.83</v>
      </c>
      <c r="K2105" s="9">
        <v>15.0</v>
      </c>
      <c r="L2105" s="8" t="s">
        <v>9393</v>
      </c>
      <c r="M2105" s="8" t="s">
        <v>9394</v>
      </c>
      <c r="N2105" s="7" t="str">
        <f>IFERROR(__xludf.DUMMYFUNCTION("GOOGLETRANSLATE(L2105, ""en"", ""pt"")"),"Coletor de Verduras")</f>
        <v>Coletor de Verduras</v>
      </c>
      <c r="O2105" s="7" t="str">
        <f>IFERROR(__xludf.DUMMYFUNCTION("IF(M2105="""","""",GOOGLETRANSLATE(M2105,""en"",""pt""))"),"***Resposta à Solicitação de Informações*** Colhe folhagens e vegetação natural em áreas florestais utilizando técnicas de corte manual, classificando e agrupando o material coletado em arranjos comercializáveis ​​que atendam aos padrões de qualidade e ta"&amp;"manho da empresa. Pode auxiliar na confecção de guirlandas e na embalagem de produtos florais e de folhagem. Os trabalhadores podem utilizar tesouras de poda manuais. O trabalho será realizado em áreas florestais ou outras áreas externas com folhagem e ve"&amp;"getação natural. ***Original*** Coleta folhagens e vegetação natural para arranjos florais e, em seguida, organiza-os em buquês comercializáveis. Esta é uma habilidade repetitiva. Este trabalho exige grande destreza manual. Os trabalhadores devem ser capa"&amp;"zes de levantar até 18 kg diversas vezes durante um turno de oito horas e por toda a duração do turno. Os trabalhadores podem auxiliar na confecção de guirlandas e na embalagem de produtos florais e de folhagem. Os trabalhadores devem ter três meses de ex"&amp;"periência trabalhando em áreas florestais. Classificação do Cargo: 45-4011.00 - Trabalhadores Florestais e de Conservação. A classificação e descrição do cargo/setor inclui informações gerais sobre a posição, provenientes do ONET/OES e do Sistema de Class"&amp;"ificação Industrial da América do Norte. Consulte a Descrição das Funções e a Ordem de Serviço para obter mais informações. Requisitos da Vaga Experiência Necessária: Sim Meses de Experiência Necessária: 3 Requisitos Especiais: os candidatos devem possuir"&amp;" três meses de experiência em trabalho em áreas florestais. Número de Horas por Semana: 40 Horário de Trabalho (Início/Término): 7h às 16h")</f>
        <v>***Resposta à Solicitação de Informações*** Colhe folhagens e vegetação natural em áreas florestais utilizando técnicas de corte manual, classificando e agrupando o material coletado em arranjos comercializáveis ​​que atendam aos padrões de qualidade e tamanho da empresa. Pode auxiliar na confecção de guirlandas e na embalagem de produtos florais e de folhagem. Os trabalhadores podem utilizar tesouras de poda manuais. O trabalho será realizado em áreas florestais ou outras áreas externas com folhagem e vegetação natural. ***Original*** Coleta folhagens e vegetação natural para arranjos florais e, em seguida, organiza-os em buquês comercializáveis. Esta é uma habilidade repetitiva. Este trabalho exige grande destreza manual. Os trabalhadores devem ser capazes de levantar até 18 kg diversas vezes durante um turno de oito horas e por toda a duração do turno. Os trabalhadores podem auxiliar na confecção de guirlandas e na embalagem de produtos florais e de folhagem. Os trabalhadores devem ter três meses de experiência trabalhando em áreas florestais. Classificação do Cargo: 45-4011.00 - Trabalhadores Florestais e de Conservação. A classificação e descrição do cargo/setor inclui informações gerais sobre a posição, provenientes do ONET/OES e do Sistema de Classificação Industrial da América do Norte. Consulte a Descrição das Funções e a Ordem de Serviço para obter mais informações. Requisitos da Vaga Experiência Necessária: Sim Meses de Experiência Necessária: 3 Requisitos Especiais: os candidatos devem possuir três meses de experiência em trabalho em áreas florestais. Número de Horas por Semana: 40 Horário de Trabalho (Início/Término): 7h às 16h</v>
      </c>
    </row>
    <row r="2106" ht="20.25" customHeight="1">
      <c r="A2106" s="3" t="s">
        <v>9395</v>
      </c>
      <c r="B2106" s="3" t="s">
        <v>9396</v>
      </c>
      <c r="C2106" s="3" t="s">
        <v>9397</v>
      </c>
      <c r="D2106" s="3" t="s">
        <v>271</v>
      </c>
      <c r="E2106" s="4" t="s">
        <v>19</v>
      </c>
      <c r="F2106" s="4" t="s">
        <v>20</v>
      </c>
      <c r="G2106" s="4" t="s">
        <v>80</v>
      </c>
      <c r="H2106" s="3" t="s">
        <v>9398</v>
      </c>
      <c r="I2106" s="3" t="s">
        <v>9399</v>
      </c>
      <c r="J2106" s="4">
        <v>19.42</v>
      </c>
      <c r="K2106" s="4">
        <v>40.0</v>
      </c>
      <c r="L2106" s="3" t="s">
        <v>59</v>
      </c>
      <c r="M2106" s="3" t="s">
        <v>9400</v>
      </c>
      <c r="N2106" s="7" t="str">
        <f>IFERROR(__xludf.DUMMYFUNCTION("GOOGLETRANSLATE(L2106, ""en"", ""pt"")"),"Trabalhador de paisagismo")</f>
        <v>Trabalhador de paisagismo</v>
      </c>
      <c r="O2106" s="7" t="str">
        <f>IFERROR(__xludf.DUMMYFUNCTION("IF(M2106="""","""",GOOGLETRANSLATE(M2106,""en"",""pt""))"),"Serão necessários trabalhadores para poda, fertilização, manutenção e reparo de sistemas de irrigação, procedimentos gerais de limpeza e instalação de blocos de concreto pré-moldado sem argamassa. Trabalho ao ar livre, trabalho físico. Classificação da va"&amp;"ga: 37-3011.00 - Trabalhadores de Paisagismo e Jardinagem. A classificação e descrição da vaga/setor incluem informações gerais sobre o cargo, de acordo com o ONET/OES e o Sistema de Classificação Industrial da América do Norte (NAICS). Consulte as Funçõe"&amp;"s e a Ordem de Serviço para obter mais informações. Requisitos da vaga: Experiência necessária: Sim. Meses de experiência necessários: 3. Requisitos especiais: O trabalho pode incluir fins de semana e feriados. Número de horas por semana: 40. Horário de t"&amp;"rabalho (início/término): 6h às 14h30.")</f>
        <v>Serão necessários trabalhadores para poda, fertilização, manutenção e reparo de sistemas de irrigação, procedimentos gerais de limpeza e instalação de blocos de concreto pré-moldado sem argamassa. Trabalho ao ar livre, trabalho físico. Classificação da vaga: 37-3011.00 - Trabalhadores de Paisagismo e Jardinagem. A classificação e descrição da vaga/setor incluem informações gerais sobre o cargo, de acordo com o ONET/OES e o Sistema de Classificação Industrial da América do Norte (NAICS). Consulte as Funções e a Ordem de Serviço para obter mais informações. Requisitos da vaga: Experiência necessária: Sim. Meses de experiência necessários: 3. Requisitos especiais: O trabalho pode incluir fins de semana e feriados. Número de horas por semana: 40. Horário de trabalho (início/término): 6h às 14h30.</v>
      </c>
    </row>
    <row r="2107" ht="20.25" customHeight="1">
      <c r="A2107" s="8" t="s">
        <v>9401</v>
      </c>
      <c r="B2107" s="8" t="s">
        <v>9402</v>
      </c>
      <c r="C2107" s="8" t="s">
        <v>1000</v>
      </c>
      <c r="D2107" s="8" t="s">
        <v>117</v>
      </c>
      <c r="E2107" s="9" t="s">
        <v>19</v>
      </c>
      <c r="F2107" s="9" t="s">
        <v>20</v>
      </c>
      <c r="G2107" s="9" t="s">
        <v>307</v>
      </c>
      <c r="H2107" s="8" t="s">
        <v>9403</v>
      </c>
      <c r="I2107" s="8" t="s">
        <v>9404</v>
      </c>
      <c r="J2107" s="9">
        <v>23.61</v>
      </c>
      <c r="K2107" s="9">
        <v>4.0</v>
      </c>
      <c r="L2107" s="8" t="s">
        <v>302</v>
      </c>
      <c r="M2107" s="8" t="s">
        <v>9405</v>
      </c>
      <c r="N2107" s="7" t="str">
        <f>IFERROR(__xludf.DUMMYFUNCTION("GOOGLETRANSLATE(L2107, ""en"", ""pt"")"),"Operários da construção civil")</f>
        <v>Operários da construção civil</v>
      </c>
      <c r="O2107" s="7" t="str">
        <f>IFERROR(__xludf.DUMMYFUNCTION("IF(M2107="""","""",GOOGLETRANSLATE(M2107,""en"",""pt""))"),"Construção de concreto residencial e comercial. Medir e demarcar sapatas e fundações. Escavar sapatas e nivelar o terreno de acordo com as especificações. Posicionar fôrmas de alumínio para paredes e aplicar todo o concreto. Limpar o canteiro de obras. Pr"&amp;"eparar o local para a concretagem, carregando e descarregando materiais, utilizando linhas de referência, cortando madeira com serra circular, utilizando marreta para cravar estacas no solo, cavando e nivelando o terreno com pás e compactadores de placa. "&amp;"Auxiliar na aplicação do concreto utilizando carrinhos de mão, rastelos de concreto e pás. Classificação da função: 47-2061.00 - Auxiliares de Construção. A classificação e descrição da função/setor incluem informações gerais sobre o cargo, de acordo com "&amp;"o ONET/OES e o Sistema de Classificação Industrial da América do Norte (NAICS). Consulte as Funções e a Ordem de Serviço para obter mais informações. Requisitos da vaga: Experiência necessária: Sim. Meses de experiência necessários: 3. Requisitos especiai"&amp;"s: Deve ser capaz de levantar e carregar 34 kg por 45 metros. Deve ser capaz de lidar com temperaturas extremas. Trabalho em alguns fins de semana. Número de horas por semana: 40 Horário de trabalho (início/término): 6h00 - 17h00")</f>
        <v>Construção de concreto residencial e comercial. Medir e demarcar sapatas e fundações. Escavar sapatas e nivelar o terreno de acordo com as especificações. Posicionar fôrmas de alumínio para paredes e aplicar todo o concreto. Limpar o canteiro de obras. Preparar o local para a concretagem, carregando e descarregando materiais, utilizando linhas de referência, cortando madeira com serra circular, utilizando marreta para cravar estacas no solo, cavando e nivelando o terreno com pás e compactadores de placa. Auxiliar na aplicação do concreto utilizando carrinhos de mão, rastelos de concreto e pás. Classificação da função: 47-2061.00 - Auxiliares de Construção. A classificação e descrição da função/setor incluem informações gerais sobre o cargo, de acordo com o ONET/OES e o Sistema de Classificação Industrial da América do Norte (NAICS). Consulte as Funções e a Ordem de Serviço para obter mais informações. Requisitos da vaga: Experiência necessária: Sim. Meses de experiência necessários: 3. Requisitos especiais: Deve ser capaz de levantar e carregar 34 kg por 45 metros. Deve ser capaz de lidar com temperaturas extremas. Trabalho em alguns fins de semana. Número de horas por semana: 40 Horário de trabalho (início/término): 6h00 - 17h00</v>
      </c>
    </row>
    <row r="2108" ht="20.25" customHeight="1">
      <c r="A2108" s="3" t="s">
        <v>9406</v>
      </c>
      <c r="B2108" s="3" t="s">
        <v>9407</v>
      </c>
      <c r="C2108" s="3" t="s">
        <v>8729</v>
      </c>
      <c r="D2108" s="3" t="s">
        <v>71</v>
      </c>
      <c r="E2108" s="4" t="s">
        <v>44</v>
      </c>
      <c r="F2108" s="4" t="s">
        <v>20</v>
      </c>
      <c r="G2108" s="4" t="s">
        <v>7174</v>
      </c>
      <c r="H2108" s="3" t="s">
        <v>9408</v>
      </c>
      <c r="I2108" s="3" t="s">
        <v>9409</v>
      </c>
      <c r="J2108" s="4">
        <v>27.88</v>
      </c>
      <c r="K2108" s="4">
        <v>1.0</v>
      </c>
      <c r="L2108" s="3" t="s">
        <v>9410</v>
      </c>
      <c r="M2108" s="3" t="s">
        <v>9411</v>
      </c>
      <c r="N2108" s="7" t="str">
        <f>IFERROR(__xludf.DUMMYFUNCTION("GOOGLETRANSLATE(L2108, ""en"", ""pt"")"),"Técnico de Serviço de Segurança III")</f>
        <v>Técnico de Serviço de Segurança III</v>
      </c>
      <c r="O2108" s="7" t="str">
        <f>IFERROR(__xludf.DUMMYFUNCTION("IF(M2108="""","""",GOOGLETRANSLATE(M2108,""en"",""pt""))"),"Instalar, configurar, programar e prestar assistência técnica a sistemas de segurança; programar, configurar e dar suporte a sistemas de videowall Hiperwall e sistemas de controle de áudio/vídeo QSC; trabalhar com redes baseadas em IP, incluindo VLANs, sw"&amp;"itches PoE e fibra óptica; testar e reparar circuitos e sensores, seguindo as especificações de fiação e do sistema; integrar sistemas de segurança e AV com as redes do cliente; ler e interpretar desenhos, esquemas e especificações do sistema; documentar "&amp;"configurações, alterações e atividades de serviço do sistema; fornecer comunicação clara e treinamento aos usuários finais quando necessário. Classificação da vaga: 49-2098.00 - Instaladores de Sistemas de Segurança e Alarme de Incêndio. A classificação e"&amp;" descrição da vaga/setor incluem informações gerais sobre o cargo, de acordo com o ONET/OES e o Sistema de Classificação Industrial da América do Norte (NAICS). Consulte as Funções e a Ordem de Serviço para obter mais informações. Requisitos da vaga: Expe"&amp;"riência necessária: Não. Requisitos especiais: Certificações Genetec, QSYS e Avigilon ACC e ACM. Carteira de habilitação válida e sem histórico de infrações de trânsito. Diploma de nível técnico em Engenharia de Sistemas ou Sistemas de Informação. Carga h"&amp;"orária semanal: 40 horas. Horário de trabalho (início e término): 8h às 17h.")</f>
        <v>Instalar, configurar, programar e prestar assistência técnica a sistemas de segurança; programar, configurar e dar suporte a sistemas de videowall Hiperwall e sistemas de controle de áudio/vídeo QSC; trabalhar com redes baseadas em IP, incluindo VLANs, switches PoE e fibra óptica; testar e reparar circuitos e sensores, seguindo as especificações de fiação e do sistema; integrar sistemas de segurança e AV com as redes do cliente; ler e interpretar desenhos, esquemas e especificações do sistema; documentar configurações, alterações e atividades de serviço do sistema; fornecer comunicação clara e treinamento aos usuários finais quando necessário. Classificação da vaga: 49-2098.00 - Instaladores de Sistemas de Segurança e Alarme de Incêndio. A classificação e descrição da vaga/setor incluem informações gerais sobre o cargo, de acordo com o ONET/OES e o Sistema de Classificação Industrial da América do Norte (NAICS). Consulte as Funções e a Ordem de Serviço para obter mais informações. Requisitos da vaga: Experiência necessária: Não. Requisitos especiais: Certificações Genetec, QSYS e Avigilon ACC e ACM. Carteira de habilitação válida e sem histórico de infrações de trânsito. Diploma de nível técnico em Engenharia de Sistemas ou Sistemas de Informação. Carga horária semanal: 40 horas. Horário de trabalho (início e término): 8h às 17h.</v>
      </c>
    </row>
    <row r="2109" ht="20.25" customHeight="1">
      <c r="A2109" s="8" t="s">
        <v>9412</v>
      </c>
      <c r="B2109" s="8" t="s">
        <v>9413</v>
      </c>
      <c r="C2109" s="8" t="s">
        <v>6228</v>
      </c>
      <c r="D2109" s="8" t="s">
        <v>833</v>
      </c>
      <c r="E2109" s="9" t="s">
        <v>44</v>
      </c>
      <c r="F2109" s="9" t="s">
        <v>20</v>
      </c>
      <c r="G2109" s="9" t="s">
        <v>56</v>
      </c>
      <c r="H2109" s="8" t="s">
        <v>9414</v>
      </c>
      <c r="I2109" s="8" t="s">
        <v>9415</v>
      </c>
      <c r="J2109" s="9">
        <v>31.76</v>
      </c>
      <c r="K2109" s="9">
        <v>8.0</v>
      </c>
      <c r="L2109" s="8" t="s">
        <v>262</v>
      </c>
      <c r="M2109" s="8" t="s">
        <v>9416</v>
      </c>
      <c r="N2109" s="7" t="str">
        <f>IFERROR(__xludf.DUMMYFUNCTION("GOOGLETRANSLATE(L2109, ""en"", ""pt"")"),"Operário da construção civil")</f>
        <v>Operário da construção civil</v>
      </c>
      <c r="O2109" s="7" t="str">
        <f>IFERROR(__xludf.DUMMYFUNCTION("IF(M2109="""","""",GOOGLETRANSLATE(M2109,""en"",""pt""))"),"Executar tarefas manuais em canteiros de obras. As funções incluem limpeza do local, manuseio de materiais e auxílio em atividades gerais de construção. Os trabalhadores usarão ferramentas manuais e poderão auxiliar na operação de equipamentos básicos sob"&amp;" supervisão. O cargo de Auxiliar de Construção Civil executa o trabalho físico básico da construção em concreto — incluindo o despejo, espalhamento e acabamento do concreto em lajes, fundações, pisos e elementos estruturais. Os trabalhadores montam e desm"&amp;"ontam fôrmas, amarram vergalhões e garantem a colocação e cura adequadas do concreto. No canteiro de obras, trabalham sob a supervisão direta do encarregado, mantêm a área de trabalho limpa e segura e apoiam a equipe no cumprimento das metas de produção e"&amp;" dos padrões de qualidade. Ferramentas Manuais Utilizadas e Suas Finalidades: • Rastelo de Concreto – Puxa e espalha o concreto fresco uniformemente sobre a área moldada antes do nivelamento. • Desempenadeira de Cabo Longo – Uma ferramenta plana grande co"&amp;"m cabo longo, empurrada sobre o concreto úmido imediatamente após o nivelamento para alisar a superfície e trazer a umidade para a superfície. • Desempenadeira Manual / Desempenadeira de Magnésio – Utilizada para acabamento detalhado em bordas e áreas men"&amp;"ores da superfície para obter uma textura lisa e uniforme. • Desempenadeira de aço – Aplicada após o alisamento para criar um acabamento duro, denso e polido na superfície do concreto. • Desempenadeira de borda – Passada ao longo do perímetro da laje para"&amp;" criar uma borda arredondada e acabada que resiste a lascas. • Ferramenta de ranhura/junta – Cria juntas de controle no concreto fresco para controlar o surgimento de fissuras durante a cura da laje. • Martelo de borracha – Usado para bater e posicionar f"&amp;"ôrmas, estacas e réguas de nivelamento corretamente. • Arame de amarração e torcedor de arame – Usados ​​para conectar e fixar as barras de aço nas interseções antes da concretagem. • Cortador de vergalhão/cortador de armadura – Corta as barras de aço nos"&amp;" comprimentos necessários para a colocação da armadura. • Pá/pá quadrada – Move e distribui o concreto em áreas apertadas, limpa fôrmas e remove detritos. • Vassoura – Aplicada na superfície do concreto para criar uma textura escovada para maior aderência"&amp;", principalmente em calçadas e entradas de garagem. • Pranchas de joelho – Pranchas planas onde o operário se ajoelha para dar acabamento ao concreto fresco sem deixar marcas. Os trabalhadores auxiliam na operação de equipamentos básicos sob a supervisão "&amp;"direta de um encarregado ou membro experiente da equipe. Isso inclui: niveladoras de concreto (manuais e motorizadas), vibradores de concreto (usados ​​para eliminar bolhas de ar e garantir a consolidação adequada durante a concretagem) e minicarregadeira"&amp;"s ou carrinhos motorizados usados ​​para movimentar e transportar concreto para a área de trabalho. ""Auxiliar"" significa que o trabalhador executa tarefas como guiar mangueiras, posicionar equipamentos, monitorar a área de trabalho para garantir a segur"&amp;"ança e apoiar o operador do equipamento — mas não opera o equipamento de forma independente. Classificação da função: 47-2171.00 - Trabalhadores de Armaduras de Ferro e Vergalhões. A classificação e descrição da função/setor incluem informações gerais sob"&amp;"re o cargo, de acordo com o ONET/OES e o Sistema de Classificação Industrial da América do Norte (NAICS). Consulte as Funções e a Ordem de Serviço para obter mais informações. Requisitos da vaga: Experiência necessária: Sim. Meses de experiência necessári"&amp;"os: 6. Requisitos especiais: 6 meses de experiência relevante. Número de horas por semana: 40. Horário de trabalho (início/término): 6h. - 18h00")</f>
        <v>Executar tarefas manuais em canteiros de obras. As funções incluem limpeza do local, manuseio de materiais e auxílio em atividades gerais de construção. Os trabalhadores usarão ferramentas manuais e poderão auxiliar na operação de equipamentos básicos sob supervisão. O cargo de Auxiliar de Construção Civil executa o trabalho físico básico da construção em concreto — incluindo o despejo, espalhamento e acabamento do concreto em lajes, fundações, pisos e elementos estruturais. Os trabalhadores montam e desmontam fôrmas, amarram vergalhões e garantem a colocação e cura adequadas do concreto. No canteiro de obras, trabalham sob a supervisão direta do encarregado, mantêm a área de trabalho limpa e segura e apoiam a equipe no cumprimento das metas de produção e dos padrões de qualidade. Ferramentas Manuais Utilizadas e Suas Finalidades: • Rastelo de Concreto – Puxa e espalha o concreto fresco uniformemente sobre a área moldada antes do nivelamento. • Desempenadeira de Cabo Longo – Uma ferramenta plana grande com cabo longo, empurrada sobre o concreto úmido imediatamente após o nivelamento para alisar a superfície e trazer a umidade para a superfície. • Desempenadeira Manual / Desempenadeira de Magnésio – Utilizada para acabamento detalhado em bordas e áreas menores da superfície para obter uma textura lisa e uniforme. • Desempenadeira de aço – Aplicada após o alisamento para criar um acabamento duro, denso e polido na superfície do concreto. • Desempenadeira de borda – Passada ao longo do perímetro da laje para criar uma borda arredondada e acabada que resiste a lascas. • Ferramenta de ranhura/junta – Cria juntas de controle no concreto fresco para controlar o surgimento de fissuras durante a cura da laje. • Martelo de borracha – Usado para bater e posicionar fôrmas, estacas e réguas de nivelamento corretamente. • Arame de amarração e torcedor de arame – Usados ​​para conectar e fixar as barras de aço nas interseções antes da concretagem. • Cortador de vergalhão/cortador de armadura – Corta as barras de aço nos comprimentos necessários para a colocação da armadura. • Pá/pá quadrada – Move e distribui o concreto em áreas apertadas, limpa fôrmas e remove detritos. • Vassoura – Aplicada na superfície do concreto para criar uma textura escovada para maior aderência, principalmente em calçadas e entradas de garagem. • Pranchas de joelho – Pranchas planas onde o operário se ajoelha para dar acabamento ao concreto fresco sem deixar marcas. Os trabalhadores auxiliam na operação de equipamentos básicos sob a supervisão direta de um encarregado ou membro experiente da equipe. Isso inclui: niveladoras de concreto (manuais e motorizadas), vibradores de concreto (usados ​​para eliminar bolhas de ar e garantir a consolidação adequada durante a concretagem) e minicarregadeiras ou carrinhos motorizados usados ​​para movimentar e transportar concreto para a área de trabalho. "Auxiliar" significa que o trabalhador executa tarefas como guiar mangueiras, posicionar equipamentos, monitorar a área de trabalho para garantir a segurança e apoiar o operador do equipamento — mas não opera o equipamento de forma independente. Classificação da função: 47-2171.00 - Trabalhadores de Armaduras de Ferro e Vergalhões. A classificação e descrição da função/setor incluem informações gerais sobre o cargo, de acordo com o ONET/OES e o Sistema de Classificação Industrial da América do Norte (NAICS). Consulte as Funções e a Ordem de Serviço para obter mais informações. Requisitos da vaga: Experiência necessária: Sim. Meses de experiência necessários: 6. Requisitos especiais: 6 meses de experiência relevante. Número de horas por semana: 40. Horário de trabalho (início/término): 6h. - 18h00</v>
      </c>
    </row>
    <row r="2110" ht="20.25" customHeight="1">
      <c r="A2110" s="3" t="s">
        <v>9417</v>
      </c>
      <c r="B2110" s="3" t="s">
        <v>9418</v>
      </c>
      <c r="C2110" s="3" t="s">
        <v>6228</v>
      </c>
      <c r="D2110" s="3" t="s">
        <v>1297</v>
      </c>
      <c r="E2110" s="4" t="s">
        <v>19</v>
      </c>
      <c r="F2110" s="4" t="s">
        <v>20</v>
      </c>
      <c r="G2110" s="4" t="s">
        <v>307</v>
      </c>
      <c r="H2110" s="3" t="s">
        <v>9419</v>
      </c>
      <c r="I2110" s="3" t="s">
        <v>9420</v>
      </c>
      <c r="J2110" s="4">
        <v>17.04</v>
      </c>
      <c r="K2110" s="4">
        <v>7.0</v>
      </c>
      <c r="L2110" s="3" t="s">
        <v>9421</v>
      </c>
      <c r="M2110" s="3" t="s">
        <v>9422</v>
      </c>
      <c r="N2110" s="7" t="str">
        <f>IFERROR(__xludf.DUMMYFUNCTION("GOOGLETRANSLATE(L2110, ""en"", ""pt"")"),"Membro da Equipe de Paisagismo de Inverno")</f>
        <v>Membro da Equipe de Paisagismo de Inverno</v>
      </c>
      <c r="O2110" s="7" t="str">
        <f>IFERROR(__xludf.DUMMYFUNCTION("IF(M2110="""","""",GOOGLETRANSLATE(M2110,""en"",""pt""))"),"Paisagismo e manutenção de terrenos utilizando ferramentas manuais ou elétricas. Os trabalhadores geralmente executam uma variedade de tarefas, que podem incluir qualquer combinação das seguintes: colocação de grama, plantio, corte de grama, poda, plantio"&amp;", irrigação, fertilização, escavação e rastelagem. Nível inicial; requer supervisão. Os trabalhadores também realizarão tarefas de preparação para o inverno, como poda de plantas perenes e outras plantas, a fim de preparar adequadamente o gramado ou a pai"&amp;"sagem para o clima de inverno e o novo crescimento na primavera. Manutenção de sistemas de irrigação, incluindo a preparação dos sistemas para o inverno antes que as temperaturas caiam abaixo de zero para evitar danos. Pode ocasionalmente trabalhar aos sá"&amp;"bados. Classificação do Cargo: 37-3011.00 - Trabalhadores de Paisagismo e Manutenção de Terrenos. A classificação e descrição do cargo/setor inclui informações gerais sobre a posição de acordo com o ONET/OES e o Sistema de Classificação Industrial da Amér"&amp;"ica do Norte. Consulte as Funções e a Ordem de Serviço para obter mais informações. Requisitos do Cargo Experiência Necessária: Não. Requisitos Especiais: Deve ser capaz de levantar e carregar 23 kg, quando necessário. Possuir CNH categoria D ou equivalen"&amp;"te estrangeiro é preferencial. Caso o trabalhador possua uma CNH categoria D, é necessário ter proficiência básica em inglês. Número de horas por semana: 40. Horário de trabalho (início/término): 7h30 às 18h30.")</f>
        <v>Paisagismo e manutenção de terrenos utilizando ferramentas manuais ou elétricas. Os trabalhadores geralmente executam uma variedade de tarefas, que podem incluir qualquer combinação das seguintes: colocação de grama, plantio, corte de grama, poda, plantio, irrigação, fertilização, escavação e rastelagem. Nível inicial; requer supervisão. Os trabalhadores também realizarão tarefas de preparação para o inverno, como poda de plantas perenes e outras plantas, a fim de preparar adequadamente o gramado ou a paisagem para o clima de inverno e o novo crescimento na primavera. Manutenção de sistemas de irrigação, incluindo a preparação dos sistemas para o inverno antes que as temperaturas caiam abaixo de zero para evitar danos. Pode ocasionalmente trabalhar aos sábados. Classificação do Cargo: 37-3011.00 - Trabalhadores de Paisagismo e Manutenção de Terrenos. A classificação e descrição do cargo/setor inclui informações gerais sobre a posição de acordo com o ONET/OES e o Sistema de Classificação Industrial da América do Norte. Consulte as Funções e a Ordem de Serviço para obter mais informações. Requisitos do Cargo Experiência Necessária: Não. Requisitos Especiais: Deve ser capaz de levantar e carregar 23 kg, quando necessário. Possuir CNH categoria D ou equivalente estrangeiro é preferencial. Caso o trabalhador possua uma CNH categoria D, é necessário ter proficiência básica em inglês. Número de horas por semana: 40. Horário de trabalho (início/término): 7h30 às 18h30.</v>
      </c>
    </row>
    <row r="2111" ht="20.25" customHeight="1">
      <c r="A2111" s="8" t="s">
        <v>9423</v>
      </c>
      <c r="B2111" s="8" t="s">
        <v>9424</v>
      </c>
      <c r="C2111" s="8" t="s">
        <v>6228</v>
      </c>
      <c r="D2111" s="8" t="s">
        <v>64</v>
      </c>
      <c r="E2111" s="9" t="s">
        <v>44</v>
      </c>
      <c r="F2111" s="9" t="s">
        <v>20</v>
      </c>
      <c r="G2111" s="9" t="s">
        <v>29</v>
      </c>
      <c r="H2111" s="8" t="s">
        <v>9425</v>
      </c>
      <c r="I2111" s="8" t="s">
        <v>9426</v>
      </c>
      <c r="J2111" s="9">
        <v>15.98</v>
      </c>
      <c r="K2111" s="9">
        <v>8.0</v>
      </c>
      <c r="L2111" s="8" t="s">
        <v>9427</v>
      </c>
      <c r="M2111" s="8" t="s">
        <v>9428</v>
      </c>
      <c r="N2111" s="7" t="str">
        <f>IFERROR(__xludf.DUMMYFUNCTION("GOOGLETRANSLATE(L2111, ""en"", ""pt"")"),"Equipe da Cozinha de Produção")</f>
        <v>Equipe da Cozinha de Produção</v>
      </c>
      <c r="O2111" s="7" t="str">
        <f>IFERROR(__xludf.DUMMYFUNCTION("IF(M2111="""","""",GOOGLETRANSLATE(M2111,""en"",""pt""))"),"Executar tarefas conforme designadas pelo Supervisor de Cozinha. Abrir latas, tambores, sacos e recipientes, despejando o conteúdo na caldeira ou em recipientes de armazenamento; manter a limpeza e a higienização da área da cozinha; ler receitas e pesar o"&amp;"s ingredientes de acordo com as especificações da receita; medir o Brix, a consistência, a temperatura e o pH dos produtos; cozinhar os lotes conforme indicado nas receitas ou conforme as instruções do Supervisor de Cozinha; e preencher toda a documentaçã"&amp;"o, garantindo que esteja devidamente preenchida, incluindo formulários de Procedimentos Operacionais Padrão de Higiene (POPH), formulários de qualidade do produto, formulários de Controle de Qualidade e o relatório diário de lote. Desembalar, etiquetar, e"&amp;"mbalar e empilhar os produtos da nossa linha de produção automatizada. Não é necessário escolaridade. Treinamento no local de trabalho será fornecido. Classificação da vaga: 51-3092.00 - Preparador(a) de Lotes de Alimentos. A classificação e a descrição d"&amp;"a vaga/indústria incluem informações gerais sobre o cargo, de acordo com o ONET/OES e o Sistema de Classificação Industrial da América do Norte. Consulte as Funções e a Ordem de Serviço para obter mais informações. Requisitos da vaga Experiência necessári"&amp;"a: Sim Meses de experiência necessários: 3 Requisitos especiais: A vaga exige três (3) meses de experiência em processamento de alimentos, operação de máquinas/equipamentos ou áreas afins. É necessário ser capaz de levantar/carregar até 23 kg. Número de h"&amp;"oras por semana: 40 Horário de trabalho (início/término): 5h às 19h")</f>
        <v>Executar tarefas conforme designadas pelo Supervisor de Cozinha. Abrir latas, tambores, sacos e recipientes, despejando o conteúdo na caldeira ou em recipientes de armazenamento; manter a limpeza e a higienização da área da cozinha; ler receitas e pesar os ingredientes de acordo com as especificações da receita; medir o Brix, a consistência, a temperatura e o pH dos produtos; cozinhar os lotes conforme indicado nas receitas ou conforme as instruções do Supervisor de Cozinha; e preencher toda a documentação, garantindo que esteja devidamente preenchida, incluindo formulários de Procedimentos Operacionais Padrão de Higiene (POPH), formulários de qualidade do produto, formulários de Controle de Qualidade e o relatório diário de lote. Desembalar, etiquetar, embalar e empilhar os produtos da nossa linha de produção automatizada. Não é necessário escolaridade. Treinamento no local de trabalho será fornecido. Classificação da vaga: 51-3092.00 - Preparador(a) de Lotes de Alimentos. A classificação e a descrição da vaga/indústria incluem informações gerais sobre o cargo, de acordo com o ONET/OES e o Sistema de Classificação Industrial da América do Norte. Consulte as Funções e a Ordem de Serviço para obter mais informações. Requisitos da vaga Experiência necessária: Sim Meses de experiência necessários: 3 Requisitos especiais: A vaga exige três (3) meses de experiência em processamento de alimentos, operação de máquinas/equipamentos ou áreas afins. É necessário ser capaz de levantar/carregar até 23 kg. Número de horas por semana: 40 Horário de trabalho (início/término): 5h às 19h</v>
      </c>
    </row>
    <row r="2112" ht="20.25" customHeight="1">
      <c r="A2112" s="3" t="s">
        <v>9429</v>
      </c>
      <c r="B2112" s="3" t="s">
        <v>9232</v>
      </c>
      <c r="C2112" s="3" t="s">
        <v>7596</v>
      </c>
      <c r="D2112" s="3" t="s">
        <v>140</v>
      </c>
      <c r="E2112" s="4" t="s">
        <v>19</v>
      </c>
      <c r="F2112" s="4" t="s">
        <v>20</v>
      </c>
      <c r="G2112" s="4" t="s">
        <v>345</v>
      </c>
      <c r="H2112" s="3" t="s">
        <v>9233</v>
      </c>
      <c r="I2112" s="3" t="s">
        <v>9239</v>
      </c>
      <c r="J2112" s="4">
        <v>14.16</v>
      </c>
      <c r="K2112" s="4">
        <v>4.0</v>
      </c>
      <c r="L2112" s="3" t="s">
        <v>3666</v>
      </c>
      <c r="M2112" s="3" t="s">
        <v>9430</v>
      </c>
      <c r="N2112" s="7" t="str">
        <f>IFERROR(__xludf.DUMMYFUNCTION("GOOGLETRANSLATE(L2112, ""en"", ""pt"")"),"Auxiliar de Cozinha")</f>
        <v>Auxiliar de Cozinha</v>
      </c>
      <c r="O2112" s="7" t="str">
        <f>IFERROR(__xludf.DUMMYFUNCTION("IF(M2112="""","""",GOOGLETRANSLATE(M2112,""en"",""pt""))"),"Auxiliar os chefs em diversas tarefas conforme necessário e fornecer os itens necessários, incluindo ingredientes, utensílios, etc. Colocar pratos, copos e talheres na máquina de lavar louça. Lavar, descascar e cortar diversos alimentos, como frutas e leg"&amp;"umes, para prepará-los para o cozimento ou serviço. Preparar uma variedade de alimentos, como carnes, legumes ou sobremesas, de acordo com os pedidos dos clientes ou instruções dos supervisores, seguindo os procedimentos aprovados. As tarefas podem inclui"&amp;"r lavar, descascar, cortar, fatiar, marinar, temperar, empanar, misturar, porcionar, montar, assar, grelhar, fritar, tostar, cozinhar no vapor, refogar e empratar os alimentos para o serviço. O funcionário também pode preparar molhos, temperos, massas e s"&amp;"obremesas conforme orientação do chef. O(A) funcionário(a) utilizará diversos equipamentos e utensílios de cozinha industrial no processo de preparação e cozimento, incluindo facas, tábuas de corte, batedeiras, processadores de alimentos, liquidificadores"&amp;", fatiadores, grelhas, chapas, fornos, fornos de convecção, fogões, fritadeiras, vaporizadores, micro-ondas, refrigeradores, freezers, aquecedores de alimentos e dispositivos de monitoramento de temperatura. Auxiliará no serviço de alimentos e bebidas aos"&amp;" clientes e preparará ou servirá pratos especiais nas mesas, conforme necessário. Retirará pratos e copos das mesas e os levará para a cozinha para lavagem. Lavará e higienizará pratos, equipamentos e áreas de trabalho. Executará outras tarefas similares "&amp;"e relacionadas, conforme necessário. Classificação da vaga: 35-2014.00 - Cozinheiros(as), Restaurante. A classificação e descrição da vaga/setor incluem informações gerais sobre o cargo, de acordo com o ONET/OES e o Sistema de Classificação Industrial da "&amp;"América do Norte (NAICS). Consulte as Funções e a Ordem de Serviço para obter mais informações. Requisitos da vaga: Experiência exigida: Sim. Meses de experiência exigidos: 3. Requisitos especiais: Não há exigência de escolaridade mínima. A experiência de"&amp;"ve ser comprovada. Disponibilidade para trabalhar em turnos divididos, noturnos, fins de semana e feriados, conforme necessário. Mínimo de 35 horas semanais. Os turnos e horários variam entre 8h e 18h, 7 dias por semana. É imprescindível ter boa comunicaç"&amp;"ão em inglês. Número de horas semanais: 63. Horário de trabalho (início/término): 8h às 18h.")</f>
        <v>Auxiliar os chefs em diversas tarefas conforme necessário e fornecer os itens necessários, incluindo ingredientes, utensílios, etc. Colocar pratos, copos e talheres na máquina de lavar louça. Lavar, descascar e cortar diversos alimentos, como frutas e legumes, para prepará-los para o cozimento ou serviço. Preparar uma variedade de alimentos, como carnes, legumes ou sobremesas, de acordo com os pedidos dos clientes ou instruções dos supervisores, seguindo os procedimentos aprovados. As tarefas podem incluir lavar, descascar, cortar, fatiar, marinar, temperar, empanar, misturar, porcionar, montar, assar, grelhar, fritar, tostar, cozinhar no vapor, refogar e empratar os alimentos para o serviço. O funcionário também pode preparar molhos, temperos, massas e sobremesas conforme orientação do chef. O(A) funcionário(a) utilizará diversos equipamentos e utensílios de cozinha industrial no processo de preparação e cozimento, incluindo facas, tábuas de corte, batedeiras, processadores de alimentos, liquidificadores, fatiadores, grelhas, chapas, fornos, fornos de convecção, fogões, fritadeiras, vaporizadores, micro-ondas, refrigeradores, freezers, aquecedores de alimentos e dispositivos de monitoramento de temperatura. Auxiliará no serviço de alimentos e bebidas aos clientes e preparará ou servirá pratos especiais nas mesas, conforme necessário. Retirará pratos e copos das mesas e os levará para a cozinha para lavagem. Lavará e higienizará pratos, equipamentos e áreas de trabalho. Executará outras tarefas similares e relacionadas, conforme necessário. Classificação da vaga: 35-2014.00 - Cozinheiros(as), Restaurante. A classificação e descrição da vaga/setor incluem informações gerais sobre o cargo, de acordo com o ONET/OES e o Sistema de Classificação Industrial da América do Norte (NAICS). Consulte as Funções e a Ordem de Serviço para obter mais informações. Requisitos da vaga: Experiência exigida: Sim. Meses de experiência exigidos: 3. Requisitos especiais: Não há exigência de escolaridade mínima. A experiência deve ser comprovada. Disponibilidade para trabalhar em turnos divididos, noturnos, fins de semana e feriados, conforme necessário. Mínimo de 35 horas semanais. Os turnos e horários variam entre 8h e 18h, 7 dias por semana. É imprescindível ter boa comunicação em inglês. Número de horas semanais: 63. Horário de trabalho (início/término): 8h às 18h.</v>
      </c>
    </row>
    <row r="2113" ht="20.25" customHeight="1">
      <c r="A2113" s="8" t="s">
        <v>9431</v>
      </c>
      <c r="B2113" s="8" t="s">
        <v>9232</v>
      </c>
      <c r="C2113" s="8" t="s">
        <v>7596</v>
      </c>
      <c r="D2113" s="8" t="s">
        <v>140</v>
      </c>
      <c r="E2113" s="9" t="s">
        <v>19</v>
      </c>
      <c r="F2113" s="9" t="s">
        <v>20</v>
      </c>
      <c r="G2113" s="9" t="s">
        <v>345</v>
      </c>
      <c r="H2113" s="8" t="s">
        <v>9238</v>
      </c>
      <c r="I2113" s="8" t="s">
        <v>9239</v>
      </c>
      <c r="J2113" s="9">
        <v>21.22</v>
      </c>
      <c r="K2113" s="9">
        <v>2.0</v>
      </c>
      <c r="L2113" s="8" t="s">
        <v>9432</v>
      </c>
      <c r="M2113" s="8" t="s">
        <v>9433</v>
      </c>
      <c r="N2113" s="7" t="str">
        <f>IFERROR(__xludf.DUMMYFUNCTION("GOOGLETRANSLATE(L2113, ""en"", ""pt"")"),"Especialista em Bem-Estar")</f>
        <v>Especialista em Bem-Estar</v>
      </c>
      <c r="O2113" s="7" t="str">
        <f>IFERROR(__xludf.DUMMYFUNCTION("IF(M2113="""","""",GOOGLETRANSLATE(M2113,""en"",""pt""))"),"Executar diversas tarefas para planejar e fornecer programas de condicionamento físico e bem-estar seguros e eficazes para os hóspedes. As tarefas incluem: Avaliar as habilidades individuais e desenvolver, instruir e adaptar programas de exercícios e ativ"&amp;"idades de acordo com as necessidades. Observar os participantes e fornecer orientações corretivas, alternativas e modificações que levem em consideração o risco de lesões. Ensinar o uso correto dos equipamentos, regras de segurança, técnicas de respiração"&amp;" e níveis de esforço. Organizar aulas, atividades e eventos de condicionamento físico e recreação. Ajustar os programas de treino e fornecer variações para tratar lesões ou dores musculares. Executar outras tarefas similares e relacionadas, conforme neces"&amp;"sário. Classificação da vaga: 39-9031.00 - Instrutores de Exercícios e Instrutores de Ginástica em Grupo. A classificação e descrição da vaga/setor incluem informações gerais sobre o cargo, de acordo com o ONET/OES e o Sistema de Classificação Industrial "&amp;"da América do Norte. Consulte as Funções e a Ordem de Serviço para obter mais informações. Requisitos da vaga: Experiência necessária: Sim. Meses de experiência necessários: 3. Requisitos especiais: Não há exigência de escolaridade mínima. A experiência d"&amp;"eve ser comprovada. Disponibilidade para trabalhar em turnos divididos, noturnos, fins de semana e feriados, conforme necessário. Mínimo de 35 horas semanais. Os turnos e horários variam entre 8h e 18h, 7 dias por semana. É imprescindível ter boa comunica"&amp;"ção em inglês. Número de horas semanais: 63. Horário de trabalho (início/término): 8h às 18h.")</f>
        <v>Executar diversas tarefas para planejar e fornecer programas de condicionamento físico e bem-estar seguros e eficazes para os hóspedes. As tarefas incluem: Avaliar as habilidades individuais e desenvolver, instruir e adaptar programas de exercícios e atividades de acordo com as necessidades. Observar os participantes e fornecer orientações corretivas, alternativas e modificações que levem em consideração o risco de lesões. Ensinar o uso correto dos equipamentos, regras de segurança, técnicas de respiração e níveis de esforço. Organizar aulas, atividades e eventos de condicionamento físico e recreação. Ajustar os programas de treino e fornecer variações para tratar lesões ou dores musculares. Executar outras tarefas similares e relacionadas, conforme necessário. Classificação da vaga: 39-9031.00 - Instrutores de Exercícios e Instrutores de Ginástica em Grupo. A classificação e descrição da vaga/setor incluem informações gerais sobre o cargo, de acordo com o ONET/OES e o Sistema de Classificação Industrial da América do Norte. Consulte as Funções e a Ordem de Serviço para obter mais informações. Requisitos da vaga: Experiência necessária: Sim. Meses de experiência necessários: 3. Requisitos especiais: Não há exigência de escolaridade mínima. A experiência deve ser comprovada. Disponibilidade para trabalhar em turnos divididos, noturnos, fins de semana e feriados, conforme necessário. Mínimo de 35 horas semanais. Os turnos e horários variam entre 8h e 18h, 7 dias por semana. É imprescindível ter boa comunicação em inglês. Número de horas semanais: 63. Horário de trabalho (início/término): 8h às 18h.</v>
      </c>
    </row>
    <row r="2114" ht="20.25" customHeight="1">
      <c r="A2114" s="3" t="s">
        <v>9434</v>
      </c>
      <c r="B2114" s="3" t="s">
        <v>9435</v>
      </c>
      <c r="C2114" s="3" t="s">
        <v>9397</v>
      </c>
      <c r="D2114" s="3" t="s">
        <v>271</v>
      </c>
      <c r="E2114" s="4" t="s">
        <v>44</v>
      </c>
      <c r="F2114" s="4" t="s">
        <v>20</v>
      </c>
      <c r="G2114" s="4" t="s">
        <v>80</v>
      </c>
      <c r="H2114" s="3" t="s">
        <v>9436</v>
      </c>
      <c r="I2114" s="3" t="s">
        <v>9437</v>
      </c>
      <c r="J2114" s="4">
        <v>19.42</v>
      </c>
      <c r="K2114" s="4">
        <v>40.0</v>
      </c>
      <c r="L2114" s="3" t="s">
        <v>59</v>
      </c>
      <c r="M2114" s="3" t="s">
        <v>9438</v>
      </c>
      <c r="N2114" s="7" t="str">
        <f>IFERROR(__xludf.DUMMYFUNCTION("GOOGLETRANSLATE(L2114, ""en"", ""pt"")"),"Trabalhador de paisagismo")</f>
        <v>Trabalhador de paisagismo</v>
      </c>
      <c r="O2114" s="7" t="str">
        <f>IFERROR(__xludf.DUMMYFUNCTION("IF(M2114="""","""",GOOGLETRANSLATE(M2114,""en"",""pt""))"),"Paisagismo e manutenção de terrenos utilizando ferramentas manuais ou elétricas. Os trabalhadores geralmente executam uma variedade de tarefas, que podem incluir qualquer combinação das seguintes: colocação de grama, corte de grama, poda, plantio, irrigaç"&amp;"ão, fertilização, escavação, rastelagem, instalação de aspersores e instalação de blocos de concreto pré-moldados sem argamassa. Classificação da função: 37-3011.00 - Trabalhadores de Paisagismo e Manutenção de Terrenos. A classificação e descrição da fun"&amp;"ção/setor incluem informações gerais sobre o cargo, de acordo com o ONET/OES e o Sistema de Classificação Industrial da América do Norte (NAICS). Consulte as Funções e a Ordem de Serviço para obter mais informações. Requisitos da vaga: Experiência exigida"&amp;": Sim. Meses de experiência exigidos: 3. Número de horas por semana: 40. Horário de trabalho (início/término): 6h às 14h30.")</f>
        <v>Paisagismo e manutenção de terrenos utilizando ferramentas manuais ou elétricas. Os trabalhadores geralmente executam uma variedade de tarefas, que podem incluir qualquer combinação das seguintes: colocação de grama, corte de grama, poda, plantio, irrigação, fertilização, escavação, rastelagem, instalação de aspersores e instalação de blocos de concreto pré-moldados sem argamassa. Classificação da função: 37-3011.00 - Trabalhadores de Paisagismo e Manutenção de Terrenos. A classificação e descrição da função/setor incluem informações gerais sobre o cargo, de acordo com o ONET/OES e o Sistema de Classificação Industrial da América do Norte (NAICS). Consulte as Funções e a Ordem de Serviço para obter mais informações. Requisitos da vaga: Experiência exigida: Sim. Meses de experiência exigidos: 3. Número de horas por semana: 40. Horário de trabalho (início/término): 6h às 14h30.</v>
      </c>
    </row>
    <row r="2115" ht="20.25" customHeight="1">
      <c r="A2115" s="8" t="s">
        <v>9439</v>
      </c>
      <c r="B2115" s="8" t="s">
        <v>9440</v>
      </c>
      <c r="C2115" s="8" t="s">
        <v>9441</v>
      </c>
      <c r="D2115" s="8" t="s">
        <v>2222</v>
      </c>
      <c r="E2115" s="9" t="s">
        <v>19</v>
      </c>
      <c r="F2115" s="9" t="s">
        <v>20</v>
      </c>
      <c r="G2115" s="9" t="s">
        <v>377</v>
      </c>
      <c r="H2115" s="8" t="s">
        <v>9442</v>
      </c>
      <c r="I2115" s="8" t="s">
        <v>9443</v>
      </c>
      <c r="J2115" s="9">
        <v>17.6</v>
      </c>
      <c r="K2115" s="9">
        <v>9.0</v>
      </c>
      <c r="L2115" s="8" t="s">
        <v>9444</v>
      </c>
      <c r="M2115" s="8" t="s">
        <v>9445</v>
      </c>
      <c r="N2115" s="7" t="str">
        <f>IFERROR(__xludf.DUMMYFUNCTION("GOOGLETRANSLATE(L2115, ""en"", ""pt"")"),"Assistente de Produção")</f>
        <v>Assistente de Produção</v>
      </c>
      <c r="O2115" s="7" t="str">
        <f>IFERROR(__xludf.DUMMYFUNCTION("IF(M2115="""","""",GOOGLETRANSLATE(M2115,""en"",""pt""))"),"Título do Cargo: Auxiliar de Produção Departamento: Produção Reporta-se a: Supervisor de Produção Horário de Trabalho: 7h30 às 16h30 (incluindo 1 hora de almoço/intervalos não remunerados), de segunda a sexta-feira Principais Responsabilidades: Operar equ"&amp;"ipamentos que misturam, homogeneizam e preparam ingredientes utilizados na fabricação de doces/confeitaria: pipoca caramelizada e nozes de macadâmia caramelizadas. Sob a supervisão direta do supervisor de produção. Funções/Requisitos Essenciais do Cargo: "&amp;"● Preparar os ingredientes para a produção planejada na cozinha. ● Abastecer recipientes de processamento ou cozimento, como caldeiras ou fornos rotativos, com os ingredientes. ● Misturar ou homogeneizar os ingredientes, de acordo com as receitas, control"&amp;"ando os recipientes que aquecem e misturam os ingredientes para: ○ Cozinhar lotes de caramelo em misturadores a gás. ○ Estourar pipoca. ○ Torrar nozes aromatizadas e nozes de macadâmia cruas. ○ Fazer pipoca caramelizada e nozes de macadâmia caramelizadas."&amp;" ● Demonstrar conhecimento prático de misturadores a gás. ● Utilizar os controles para ligar o equipamento e ajustar a operação para manter a qualidade do produto. Outras funções/tarefas: ● Preparar diversos molhos para castanhas temperadas. ● Limpar e es"&amp;"terilizar caldeiras, panela giratória grande, utensílios de cozinha e áreas de processamento da fábrica. ● Manter a área de trabalho organizada, limpa e segura. ● Outras tarefas instruídas pelo supervisor de produção. Condições de trabalho: Trabalha em am"&amp;"biente fabril, em temperaturas moderadamente quentes, de 27°C a 38°C. Equipamentos utilizados: Panela giratória grande, misturador a gás, elevadores de caldeira, paleteira manual, esteiras de pipoca, forno de convecção, balanças, aplicador de fita adesiva"&amp;" manual. Exigências mentais: Requer atenção aos detalhes, precisão e bom senso em relação aos padrões de qualidade durante o preparo dos lotes. Exigências físicas: Requer longos períodos em pé e caminhadas frequentes em temperaturas altas. Requer levantar"&amp;" até 23 kg. Ocasionalmente, será necessário o uso de uma paleteira manual para movimentar itens de até 360 kg. Responsabilidades de Segurança e Saúde: Usar os equipamentos de proteção individual obrigatórios e observar todas as políticas e procedimentos d"&amp;"e Segurança, Higiene Pessoal e Boas Práticas de Fabricação (BPF). Qualificações Mínimas: Nenhuma. Qualificações Desejáveis: 3 meses de experiência em fabricação de doces. Habilidades básicas de leitura e comunicação verbal em inglês. Classificação da Vaga"&amp;": 51-3092.00 - Preparador de Lotes de Alimentos. A classificação e descrição da vaga/setor incluem informações gerais sobre o cargo, de acordo com o ONET/OES e o Sistema de Classificação Industrial da América do Norte (NAICS). Consulte as Funções e a Orde"&amp;"m de Serviço para obter mais informações. Requisitos da Vaga: Experiência Necessária: Não. Número de Horas por Semana: 40. Horário de Trabalho (Início/Término): 7h30 às 16h30.")</f>
        <v>Título do Cargo: Auxiliar de Produção Departamento: Produção Reporta-se a: Supervisor de Produção Horário de Trabalho: 7h30 às 16h30 (incluindo 1 hora de almoço/intervalos não remunerados), de segunda a sexta-feira Principais Responsabilidades: Operar equipamentos que misturam, homogeneizam e preparam ingredientes utilizados na fabricação de doces/confeitaria: pipoca caramelizada e nozes de macadâmia caramelizadas. Sob a supervisão direta do supervisor de produção. Funções/Requisitos Essenciais do Cargo: ● Preparar os ingredientes para a produção planejada na cozinha. ● Abastecer recipientes de processamento ou cozimento, como caldeiras ou fornos rotativos, com os ingredientes. ● Misturar ou homogeneizar os ingredientes, de acordo com as receitas, controlando os recipientes que aquecem e misturam os ingredientes para: ○ Cozinhar lotes de caramelo em misturadores a gás. ○ Estourar pipoca. ○ Torrar nozes aromatizadas e nozes de macadâmia cruas. ○ Fazer pipoca caramelizada e nozes de macadâmia caramelizadas. ● Demonstrar conhecimento prático de misturadores a gás. ● Utilizar os controles para ligar o equipamento e ajustar a operação para manter a qualidade do produto. Outras funções/tarefas: ● Preparar diversos molhos para castanhas temperadas. ● Limpar e esterilizar caldeiras, panela giratória grande, utensílios de cozinha e áreas de processamento da fábrica. ● Manter a área de trabalho organizada, limpa e segura. ● Outras tarefas instruídas pelo supervisor de produção. Condições de trabalho: Trabalha em ambiente fabril, em temperaturas moderadamente quentes, de 27°C a 38°C. Equipamentos utilizados: Panela giratória grande, misturador a gás, elevadores de caldeira, paleteira manual, esteiras de pipoca, forno de convecção, balanças, aplicador de fita adesiva manual. Exigências mentais: Requer atenção aos detalhes, precisão e bom senso em relação aos padrões de qualidade durante o preparo dos lotes. Exigências físicas: Requer longos períodos em pé e caminhadas frequentes em temperaturas altas. Requer levantar até 23 kg. Ocasionalmente, será necessário o uso de uma paleteira manual para movimentar itens de até 360 kg. Responsabilidades de Segurança e Saúde: Usar os equipamentos de proteção individual obrigatórios e observar todas as políticas e procedimentos de Segurança, Higiene Pessoal e Boas Práticas de Fabricação (BPF). Qualificações Mínimas: Nenhuma. Qualificações Desejáveis: 3 meses de experiência em fabricação de doces. Habilidades básicas de leitura e comunicação verbal em inglês. Classificação da Vaga: 51-3092.00 - Preparador de Lotes de Alimentos. A classificação e descrição da vaga/setor incluem informações gerais sobre o cargo, de acordo com o ONET/OES e o Sistema de Classificação Industrial da América do Norte (NAICS). Consulte as Funções e a Ordem de Serviço para obter mais informações. Requisitos da Vaga: Experiência Necessária: Não. Número de Horas por Semana: 40. Horário de Trabalho (Início/Término): 7h30 às 16h30.</v>
      </c>
    </row>
    <row r="2116" ht="20.25" customHeight="1">
      <c r="A2116" s="3" t="s">
        <v>9446</v>
      </c>
      <c r="B2116" s="3" t="s">
        <v>9447</v>
      </c>
      <c r="C2116" s="3" t="s">
        <v>9397</v>
      </c>
      <c r="D2116" s="3" t="s">
        <v>271</v>
      </c>
      <c r="E2116" s="4" t="s">
        <v>19</v>
      </c>
      <c r="F2116" s="4" t="s">
        <v>20</v>
      </c>
      <c r="G2116" s="4" t="s">
        <v>80</v>
      </c>
      <c r="H2116" s="3" t="s">
        <v>9448</v>
      </c>
      <c r="I2116" s="3" t="s">
        <v>9449</v>
      </c>
      <c r="J2116" s="4">
        <v>19.42</v>
      </c>
      <c r="K2116" s="4">
        <v>12.0</v>
      </c>
      <c r="L2116" s="3" t="s">
        <v>59</v>
      </c>
      <c r="M2116" s="3" t="s">
        <v>9450</v>
      </c>
      <c r="N2116" s="7" t="str">
        <f>IFERROR(__xludf.DUMMYFUNCTION("GOOGLETRANSLATE(L2116, ""en"", ""pt"")"),"Trabalhador de paisagismo")</f>
        <v>Trabalhador de paisagismo</v>
      </c>
      <c r="O2116" s="7" t="str">
        <f>IFERROR(__xludf.DUMMYFUNCTION("IF(M2116="""","""",GOOGLETRANSLATE(M2116,""en"",""pt""))"),"Serão necessários trabalhadores para cuidados com gramados, poda, fertilização, manutenção e reparo de sistemas de irrigação, limpeza geral e instalação de blocos de concreto pré-moldado sem argamassa. Classificação da vaga: 37-3011.00 - Trabalhadores de "&amp;"Paisagismo e Jardinagem. A classificação e descrição da vaga/setor incluem informações gerais sobre o cargo, de acordo com o ONET/OES e o Sistema de Classificação Industrial da América do Norte (NAICS). Consulte as Funções e a Ordem de Serviço para obter "&amp;"mais informações. Requisitos da vaga: Experiência necessária: Sim. Meses de experiência necessários: 3. Requisitos especiais: Os dias de trabalho podem incluir fins de semana e feriados. Capacidade de levantar 23 kg. Teste de drogas. O teste de drogas é a"&amp;"plicado antes e depois da contratação, de acordo com a política de drogas. Todos os testes de drogas serão realizados igualmente entre os trabalhadores americanos e os trabalhadores com visto H-2B. Número de horas por semana: 40. Horário de trabalho (iníc"&amp;"io/término): 6h às 14h30.")</f>
        <v>Serão necessários trabalhadores para cuidados com gramados, poda, fertilização, manutenção e reparo de sistemas de irrigação, limpeza geral e instalação de blocos de concreto pré-moldado sem argamassa. Classificação da vaga: 37-3011.00 - Trabalhadores de Paisagismo e Jardinagem. A classificação e descrição da vaga/setor incluem informações gerais sobre o cargo, de acordo com o ONET/OES e o Sistema de Classificação Industrial da América do Norte (NAICS). Consulte as Funções e a Ordem de Serviço para obter mais informações. Requisitos da vaga: Experiência necessária: Sim. Meses de experiência necessários: 3. Requisitos especiais: Os dias de trabalho podem incluir fins de semana e feriados. Capacidade de levantar 23 kg. Teste de drogas. O teste de drogas é aplicado antes e depois da contratação, de acordo com a política de drogas. Todos os testes de drogas serão realizados igualmente entre os trabalhadores americanos e os trabalhadores com visto H-2B. Número de horas por semana: 40. Horário de trabalho (início/término): 6h às 14h30.</v>
      </c>
    </row>
    <row r="2117" ht="20.25" customHeight="1">
      <c r="A2117" s="8" t="s">
        <v>9451</v>
      </c>
      <c r="B2117" s="8" t="s">
        <v>9452</v>
      </c>
      <c r="C2117" s="8" t="s">
        <v>6228</v>
      </c>
      <c r="D2117" s="8" t="s">
        <v>117</v>
      </c>
      <c r="E2117" s="9" t="s">
        <v>19</v>
      </c>
      <c r="F2117" s="9" t="s">
        <v>20</v>
      </c>
      <c r="G2117" s="9" t="s">
        <v>155</v>
      </c>
      <c r="H2117" s="8" t="s">
        <v>9453</v>
      </c>
      <c r="I2117" s="8" t="s">
        <v>9454</v>
      </c>
      <c r="J2117" s="9">
        <v>18.43</v>
      </c>
      <c r="K2117" s="9">
        <v>7.0</v>
      </c>
      <c r="L2117" s="8" t="s">
        <v>9455</v>
      </c>
      <c r="M2117" s="8" t="s">
        <v>9456</v>
      </c>
      <c r="N2117" s="7" t="str">
        <f>IFERROR(__xludf.DUMMYFUNCTION("GOOGLETRANSLATE(L2117, ""en"", ""pt"")"),"Removedores de neve")</f>
        <v>Removedores de neve</v>
      </c>
      <c r="O2117" s="7" t="str">
        <f>IFERROR(__xludf.DUMMYFUNCTION("IF(M2117="""","""",GOOGLETRANSLATE(M2117,""en"",""pt""))"),"Os trabalhadores realizarão tarefas físicas relacionadas à remoção de neve e gelo. Isso inclui empurrar, cavar, mover e limpar neve e gelo de calçadas, entradas de garagem e estacionamentos. Além disso, os trabalhadores espalharão sal, soluções para derre"&amp;"ter gelo e outros materiais sólidos. Os removedores de neve também farão a manutenção dos equipamentos, a limpeza e a remoção de detritos dos locais de trabalho. Para realizar as tarefas de empurrar, cavar, mover e limpar neve e gelo de calçadas, entradas"&amp;" de garagem e estacionamentos, os trabalhadores usarão as seguintes ferramentas e equipamentos: pás de neve, empurradores de neve, raspadores/trituradores de gelo, sopradores de neve, espalhadores de sal/areia, vassouras, pás para detritos, carrinhos de m"&amp;"ão, carrinhos utilitários e ferramentas manuais, incluindo chaves, soquetes, chaves de fenda, alicates e martelos. Os materiais utilizados podem incluir sal, areia e outros produtos para derreter gelo. As ferramentas manuais mencionadas anteriormente (cha"&amp;"ves, soquetes, chaves de fenda, alicates e martelos) também podem ser usadas para ajustar, montar, manter e realizar pequenos reparos em equipamentos de remoção de neve, necessários para a execução das tarefas atribuídas. Classificação da função: 37-2011."&amp;"00 - Zeladores e Faxineiros, exceto empregadas domésticas e faxineiras. A classificação e descrição da função/setor incluem informações gerais sobre o cargo, de acordo com o ONET/OES e o Sistema de Classificação Industrial da América do Norte. Consulte as"&amp;" Funções e a Ordem de Serviço para obter mais informações. Requisitos da função: Experiência necessária: Sim. Meses de experiência necessários: 3. Requisitos especiais: Três (3) meses de experiência em remoção de neve ou áreas afins. Deve ser capaz de lev"&amp;"antar e carregar até 23 kg. Número de horas por semana: 40. Horário de trabalho (início/término): 7h às 17h.")</f>
        <v>Os trabalhadores realizarão tarefas físicas relacionadas à remoção de neve e gelo. Isso inclui empurrar, cavar, mover e limpar neve e gelo de calçadas, entradas de garagem e estacionamentos. Além disso, os trabalhadores espalharão sal, soluções para derreter gelo e outros materiais sólidos. Os removedores de neve também farão a manutenção dos equipamentos, a limpeza e a remoção de detritos dos locais de trabalho. Para realizar as tarefas de empurrar, cavar, mover e limpar neve e gelo de calçadas, entradas de garagem e estacionamentos, os trabalhadores usarão as seguintes ferramentas e equipamentos: pás de neve, empurradores de neve, raspadores/trituradores de gelo, sopradores de neve, espalhadores de sal/areia, vassouras, pás para detritos, carrinhos de mão, carrinhos utilitários e ferramentas manuais, incluindo chaves, soquetes, chaves de fenda, alicates e martelos. Os materiais utilizados podem incluir sal, areia e outros produtos para derreter gelo. As ferramentas manuais mencionadas anteriormente (chaves, soquetes, chaves de fenda, alicates e martelos) também podem ser usadas para ajustar, montar, manter e realizar pequenos reparos em equipamentos de remoção de neve, necessários para a execução das tarefas atribuídas. Classificação da função: 37-2011.00 - Zeladores e Faxineiros, exceto empregadas domésticas e faxineiras. A classificação e descrição da função/setor incluem informações gerais sobre o cargo, de acordo com o ONET/OES e o Sistema de Classificação Industrial da América do Norte. Consulte as Funções e a Ordem de Serviço para obter mais informações. Requisitos da função: Experiência necessária: Sim. Meses de experiência necessários: 3. Requisitos especiais: Três (3) meses de experiência em remoção de neve ou áreas afins. Deve ser capaz de levantar e carregar até 23 kg. Número de horas por semana: 40. Horário de trabalho (início/término): 7h às 17h.</v>
      </c>
    </row>
    <row r="2118" ht="20.25" customHeight="1">
      <c r="A2118" s="3" t="s">
        <v>9457</v>
      </c>
      <c r="B2118" s="3" t="s">
        <v>9452</v>
      </c>
      <c r="C2118" s="3" t="s">
        <v>6228</v>
      </c>
      <c r="D2118" s="3" t="s">
        <v>117</v>
      </c>
      <c r="E2118" s="4" t="s">
        <v>44</v>
      </c>
      <c r="F2118" s="4" t="s">
        <v>20</v>
      </c>
      <c r="G2118" s="4" t="s">
        <v>155</v>
      </c>
      <c r="H2118" s="3" t="s">
        <v>9453</v>
      </c>
      <c r="I2118" s="3" t="s">
        <v>9454</v>
      </c>
      <c r="J2118" s="4">
        <v>18.47</v>
      </c>
      <c r="K2118" s="4">
        <v>12.0</v>
      </c>
      <c r="L2118" s="3" t="s">
        <v>9455</v>
      </c>
      <c r="M2118" s="3" t="s">
        <v>9458</v>
      </c>
      <c r="N2118" s="7" t="str">
        <f>IFERROR(__xludf.DUMMYFUNCTION("GOOGLETRANSLATE(L2118, ""en"", ""pt"")"),"Removedores de neve")</f>
        <v>Removedores de neve</v>
      </c>
      <c r="O2118" s="7" t="str">
        <f>IFERROR(__xludf.DUMMYFUNCTION("IF(M2118="""","""",GOOGLETRANSLATE(M2118,""en"",""pt""))"),"Os trabalhadores realizarão tarefas físicas relacionadas à remoção de neve e gelo. Isso inclui empurrar, cavar, mover e limpar neve e gelo de calçadas, entradas de garagem e estacionamentos. Além disso, os trabalhadores espalharão sal, soluções para derre"&amp;"ter gelo e outros produtos sólidos. Os removedores de neve também farão a manutenção dos equipamentos, a limpeza e a remoção de detritos dos locais de trabalho. Para remover neve e gelo de calçadas, entradas de garagem e estacionamentos, os trabalhadores "&amp;"empurrarão, cavarão, moverão e limparão a neve e o gelo acumulados, bem como espalharão sal e outros produtos para derreter gelo, a fim de melhorar a tração e reduzir o acúmulo de gelo. Para realizar essas tarefas, os trabalhadores usarão pás de neve, emp"&amp;"urradores de neve, raspadores/trituradores de gelo, sopradores de neve, espalhadores de sal/areia, vassouras, pás para detritos, carrinhos de mão e carrinhos utilitários. O empregador não utiliza limpa-neves para realizar essas tarefas. Quando necessário,"&amp;" os trabalhadores também realizarão pequenas manutenções nos equipamentos de remoção de neve para mantê-los operacionais durante os turnos designados. Isso inclui tarefas como apertar parafusos, ajustar configurações, substituir peças desgastadas e desobs"&amp;"truir ou remover bloqueios em sopradores e espalhadores de neve. As ferramentas manuais utilizadas para esse fim incluem chaves, soquetes, chaves de fenda, alicates e martelos. Quando necessário, os trabalhadores realizarão a limpeza do local e removerão "&amp;"detritos dos canteiros de obras, coletando e descartando detritos não perigosos gerados durante as operações de remoção de neve, utilizando vassouras, pás, carrinhos de mão e carrinhos de transporte. Os canteiros de obras incluem locais onde os trabalhado"&amp;"res prestam serviços de remoção de neve e gelo, como escritórios, condomínios residenciais, armazéns e outras propriedades comerciais. Os canteiros de obras também podem incluir canteiros de obras ativos onde a remoção de neve e gelo é necessária para man"&amp;"ter o acesso seguro para trabalhadores e visitantes. Classificação da função: 37-2011.00 - Zeladores e Faxineiros, exceto empregadas domésticas e faxineiras. A classificação e descrição da função/setor inclui informações gerais sobre o cargo, de acordo co"&amp;"m o ONET/OES e o Sistema de Classificação Industrial da América do Norte. Consulte as Funções e a Ordem de Serviço para obter mais informações. Requisitos da vaga Experiência necessária: Sim Meses de experiência necessários: 3 Requisitos especiais: Deve s"&amp;"er capaz de levantar e carregar até 23 kg (50 lbs). Número de horas por semana: 40 Horário de trabalho (início/término): 7h às 17h")</f>
        <v>Os trabalhadores realizarão tarefas físicas relacionadas à remoção de neve e gelo. Isso inclui empurrar, cavar, mover e limpar neve e gelo de calçadas, entradas de garagem e estacionamentos. Além disso, os trabalhadores espalharão sal, soluções para derreter gelo e outros produtos sólidos. Os removedores de neve também farão a manutenção dos equipamentos, a limpeza e a remoção de detritos dos locais de trabalho. Para remover neve e gelo de calçadas, entradas de garagem e estacionamentos, os trabalhadores empurrarão, cavarão, moverão e limparão a neve e o gelo acumulados, bem como espalharão sal e outros produtos para derreter gelo, a fim de melhorar a tração e reduzir o acúmulo de gelo. Para realizar essas tarefas, os trabalhadores usarão pás de neve, empurradores de neve, raspadores/trituradores de gelo, sopradores de neve, espalhadores de sal/areia, vassouras, pás para detritos, carrinhos de mão e carrinhos utilitários. O empregador não utiliza limpa-neves para realizar essas tarefas. Quando necessário, os trabalhadores também realizarão pequenas manutenções nos equipamentos de remoção de neve para mantê-los operacionais durante os turnos designados. Isso inclui tarefas como apertar parafusos, ajustar configurações, substituir peças desgastadas e desobstruir ou remover bloqueios em sopradores e espalhadores de neve. As ferramentas manuais utilizadas para esse fim incluem chaves, soquetes, chaves de fenda, alicates e martelos. Quando necessário, os trabalhadores realizarão a limpeza do local e removerão detritos dos canteiros de obras, coletando e descartando detritos não perigosos gerados durante as operações de remoção de neve, utilizando vassouras, pás, carrinhos de mão e carrinhos de transporte. Os canteiros de obras incluem locais onde os trabalhadores prestam serviços de remoção de neve e gelo, como escritórios, condomínios residenciais, armazéns e outras propriedades comerciais. Os canteiros de obras também podem incluir canteiros de obras ativos onde a remoção de neve e gelo é necessária para manter o acesso seguro para trabalhadores e visitantes. Classificação da função: 37-2011.00 - Zeladores e Faxineiros, exceto empregadas domésticas e faxineiras. A classificação e descrição da função/setor inclui informações gerais sobre o cargo, de acordo com o ONET/OES e o Sistema de Classificação Industrial da América do Norte. Consulte as Funções e a Ordem de Serviço para obter mais informações. Requisitos da vaga Experiência necessária: Sim Meses de experiência necessários: 3 Requisitos especiais: Deve ser capaz de levantar e carregar até 23 kg (50 lbs). Número de horas por semana: 40 Horário de trabalho (início/término): 7h às 17h</v>
      </c>
    </row>
    <row r="2119" ht="20.25" customHeight="1">
      <c r="A2119" s="8" t="s">
        <v>9459</v>
      </c>
      <c r="B2119" s="8" t="s">
        <v>9070</v>
      </c>
      <c r="C2119" s="8" t="s">
        <v>8537</v>
      </c>
      <c r="D2119" s="8" t="s">
        <v>1051</v>
      </c>
      <c r="E2119" s="9" t="s">
        <v>19</v>
      </c>
      <c r="F2119" s="9" t="s">
        <v>20</v>
      </c>
      <c r="G2119" s="9" t="s">
        <v>56</v>
      </c>
      <c r="H2119" s="8" t="s">
        <v>9071</v>
      </c>
      <c r="I2119" s="8" t="s">
        <v>9072</v>
      </c>
      <c r="J2119" s="9">
        <v>44.94</v>
      </c>
      <c r="K2119" s="9">
        <v>3.0</v>
      </c>
      <c r="L2119" s="8" t="s">
        <v>3563</v>
      </c>
      <c r="M2119" s="8" t="s">
        <v>9076</v>
      </c>
      <c r="N2119" s="7" t="str">
        <f>IFERROR(__xludf.DUMMYFUNCTION("GOOGLETRANSLATE(L2119, ""en"", ""pt"")"),"Capataz")</f>
        <v>Capataz</v>
      </c>
      <c r="O2119" s="7" t="str">
        <f>IFERROR(__xludf.DUMMYFUNCTION("IF(M2119="""","""",GOOGLETRANSLATE(M2119,""en"",""pt""))"),"***Resposta à Solicitação de Informações*** O trabalhador operará os equipamentos em caráter de treinamento, conforme necessário, para garantir que os demais membros da equipe sejam devidamente instruídos sobre o uso dos equipamentos. O trabalhador não op"&amp;"erará os equipamentos em sua capacidade de produção diária e os operará conforme necessário para dar suporte ao projeto – menos de 50% do dia, se necessário. Toda a operação dos equipamentos será realizada no local do projeto, portanto, não é necessária c"&amp;"arteira de habilitação comercial. Espera-se que qualquer escavação de valas associada ao projeto envolva valas com aproximadamente 66 a 122 cm de profundidade e 30 a 183 cm de largura em seus pontos mais largos. Modelos de equipamentos equivalentes podem "&amp;"ser utilizados, dependendo da disponibilidade. Os equipamentos que podem ser utilizados incluem: escavadeiras de valas de 75 a 95 HP, como a Ditch Witch RT75 ou a Vermeer RTX750, para escavar e aterrar valas de irrigação para instalação de tubulação princ"&amp;"ipal (tubulações de 10 a 25 cm); Arados vibratórios de 75 a 95 HP, como o Ditch Witch RT75 ou o Vermeer RTX750, para aração de linhas laterais de irrigação e fios a profundidades de aproximadamente 45 a 60 cm; escavadeiras de 4.500 a 11.000 kg, como a Joh"&amp;"n Deere 120 e a miniescavadeira Caterpillar 306, para escavar e aterrar valas para a instalação de tubulações de drenagem e irrigação em todo o campo de golfe; minicarregadeiras de 1.270 a 1.450 kg, como a Caterpillar 265, para movimentação e carregamento"&amp;" de materiais, aterro de valas e carregamento de cascalho e areia para bunkers em reboques Pronovost; caminhão basculante Wacker Neuson 3001 para transporte de entulho e suprimentos como cascalho e areia; rolos compactadores de tambor duplo liso de 2 a 3 "&amp;"toneladas, como o Dynapac CC1200 ou o Wacker Neuson, para compactação de valas ou nivelamento de linhas de aragem; Trator de 50 a 80 HP e reboques basculantes, como o John Deere 4066M e/ou John Deere 5077, para movimentação de materiais dentro do canteiro"&amp;" de obras e para puxar implementos fora de estrada; UTV para 2 a 4 ou 4 a 6 pessoas, como o Kubota RTV-X1140, para transporte da equipe e suprimentos; e empilhadeira/manipulador telescópico, como o modelo 8K JLG, para carga e descarga de tubos e outros ma"&amp;"teriais. ***Original*** Trabalho braçal prático em demarcação/layout, drenagem, bunkers, acabamento, greens e tees, operação de equipamentos, etc.; informa as equipes sobre as atividades planejadas para o dia e fornece as ferramentas e materiais necessári"&amp;"os; instrui, supervisiona e treina as equipes nas tarefas designadas, como instalação de irrigação, criação de tees e bunkers, plantio de grama, semeadura, demarcação/sinalização, operação e manutenção de equipamentos; gerencia o estoque de equipamentos, "&amp;"suprimentos, materiais e combustível; Identifica e elimina potenciais desperdícios que possam ocorrer durante a execução das tarefas atribuídas, incluindo desperdício de materiais como aspersores de irrigação, tubos e fios de irrigação, cascalho e mistura"&amp;" para gramados; garante que os equipamentos e ferramentas atribuídos sejam mantidos adequadamente por meio da execução de manutenção preventiva de rotina; auxilia na manutenção de registros do projeto, como comprovantes de entrega, ordens de compra e list"&amp;"as de reuniões de segurança; auxilia na criação de desenhos ""as-built""; e reporta potenciais problemas ao Superintendente do Projeto. Alojamento opcional fornecido pela empresa será oferecido gratuitamente para funcionários que residem fora da distância"&amp;" de deslocamento diário. Funcionários que não necessitarem ou não utilizarem o alojamento da empresa receberão um reembolso de moradia de US$ 231,00 por período de pagamento. Classificação da Função: 47-2073.00 - Operadores de Máquinas e Outros Operadores"&amp;" de Equipamentos de Construção. A classificação e descrição da função/setor inclui informações gerais sobre o cargo, conforme o ONET/OES e o Sistema de Classificação Industrial da América do Norte (NAICS). Consulte as Funções e a Ordem de Serviço para obt"&amp;"er mais informações. Requisitos da Vaga Experiência Necessária: Sim Meses de Experiência Necessários: 12 Requisitos Especiais: Necessário possuir certificação como Fundidor de Tubos Certificado por um fornecedor reconhecido, como ISCO, Ewing Irrigation ou"&amp;" ADS Hancor. 12 meses de experiência em construção e reforma de campos de golfe. Horas extras conforme necessário. Gostaríamos de esclarecer as informações do Item F.a.5. Durante a semana de trabalho, que vai de domingo a sábado, os funcionários têm uma j"&amp;"ornada de 40 horas semanais e recebem horas extras conforme necessário. O Item F.a.5 não permite inserir essa escala de trabalho. Se inserirmos 8 horas por dia, o sistema mostrará 56 horas semanais, o que não reflete com precisão a jornada de trabalho. Nú"&amp;"mero de Horas por Semana: 40 Horário de Trabalho (Início/Término): 7h00 - 15h30")</f>
        <v>***Resposta à Solicitação de Informações*** O trabalhador operará os equipamentos em caráter de treinamento, conforme necessário, para garantir que os demais membros da equipe sejam devidamente instruídos sobre o uso dos equipamentos. O trabalhador não operará os equipamentos em sua capacidade de produção diária e os operará conforme necessário para dar suporte ao projeto – menos de 50% do dia, se necessário. Toda a operação dos equipamentos será realizada no local do projeto, portanto, não é necessária carteira de habilitação comercial. Espera-se que qualquer escavação de valas associada ao projeto envolva valas com aproximadamente 66 a 122 cm de profundidade e 30 a 183 cm de largura em seus pontos mais largos. Modelos de equipamentos equivalentes podem ser utilizados, dependendo da disponibilidade. Os equipamentos que podem ser utilizados incluem: escavadeiras de valas de 75 a 95 HP, como a Ditch Witch RT75 ou a Vermeer RTX750, para escavar e aterrar valas de irrigação para instalação de tubulação principal (tubulações de 10 a 25 cm); Arados vibratórios de 75 a 95 HP, como o Ditch Witch RT75 ou o Vermeer RTX750, para aração de linhas laterais de irrigação e fios a profundidades de aproximadamente 45 a 60 cm; escavadeiras de 4.500 a 11.000 kg, como a John Deere 120 e a miniescavadeira Caterpillar 306, para escavar e aterrar valas para a instalação de tubulações de drenagem e irrigação em todo o campo de golfe; minicarregadeiras de 1.270 a 1.450 kg, como a Caterpillar 265, para movimentação e carregamento de materiais, aterro de valas e carregamento de cascalho e areia para bunkers em reboques Pronovost; caminhão basculante Wacker Neuson 3001 para transporte de entulho e suprimentos como cascalho e areia; rolos compactadores de tambor duplo liso de 2 a 3 toneladas, como o Dynapac CC1200 ou o Wacker Neuson, para compactação de valas ou nivelamento de linhas de aragem; Trator de 50 a 80 HP e reboques basculantes, como o John Deere 4066M e/ou John Deere 5077, para movimentação de materiais dentro do canteiro de obras e para puxar implementos fora de estrada; UTV para 2 a 4 ou 4 a 6 pessoas, como o Kubota RTV-X1140, para transporte da equipe e suprimentos; e empilhadeira/manipulador telescópico, como o modelo 8K JLG, para carga e descarga de tubos e outros materiais. ***Original*** Trabalho braçal prático em demarcação/layout, drenagem, bunkers, acabamento, greens e tees, operação de equipamentos, etc.; informa as equipes sobre as atividades planejadas para o dia e fornece as ferramentas e materiais necessários; instrui, supervisiona e treina as equipes nas tarefas designadas, como instalação de irrigação, criação de tees e bunkers, plantio de grama, semeadura, demarcação/sinalização, operação e manutenção de equipamentos; gerencia o estoque de equipamentos, suprimentos, materiais e combustível; Identifica e elimina potenciais desperdícios que possam ocorrer durante a execução das tarefas atribuídas, incluindo desperdício de materiais como aspersores de irrigação, tubos e fios de irrigação, cascalho e mistura para gramados; garante que os equipamentos e ferramentas atribuídos sejam mantidos adequadamente por meio da execução de manutenção preventiva de rotina; auxilia na manutenção de registros do projeto, como comprovantes de entrega, ordens de compra e listas de reuniões de segurança; auxilia na criação de desenhos "as-built"; e reporta potenciais problemas ao Superintendente do Projeto. Alojamento opcional fornecido pela empresa será oferecido gratuitamente para funcionários que residem fora da distância de deslocamento diário. Funcionários que não necessitarem ou não utilizarem o alojamento da empresa receberão um reembolso de moradia de US$ 231,00 por período de pagamento. Classificação da Função: 47-2073.00 - Operadores de Máquinas e Outros Operadores de Equipamentos de Construção. A classificação e descrição da função/setor inclui informações gerais sobre o cargo, conforme o ONET/OES e o Sistema de Classificação Industrial da América do Norte (NAICS). Consulte as Funções e a Ordem de Serviço para obter mais informações. Requisitos da Vaga Experiência Necessária: Sim Meses de Experiência Necessários: 12 Requisitos Especiais: Necessário possuir certificação como Fundidor de Tubos Certificado por um fornecedor reconhecido, como ISCO, Ewing Irrigation ou ADS Hancor. 12 meses de experiência em construção e reforma de campos de golfe. Horas extras conforme necessário. Gostaríamos de esclarecer as informações do Item F.a.5. Durante a semana de trabalho, que vai de domingo a sábado, os funcionários têm uma jornada de 40 horas semanais e recebem horas extras conforme necessário. O Item F.a.5 não permite inserir essa escala de trabalho. Se inserirmos 8 horas por dia, o sistema mostrará 56 horas semanais, o que não reflete com precisão a jornada de trabalho. Número de Horas por Semana: 40 Horário de Trabalho (Início/Término): 7h00 - 15h30</v>
      </c>
    </row>
    <row r="2120" ht="20.25" customHeight="1">
      <c r="A2120" s="3" t="s">
        <v>9460</v>
      </c>
      <c r="B2120" s="3" t="s">
        <v>9070</v>
      </c>
      <c r="C2120" s="3" t="s">
        <v>8537</v>
      </c>
      <c r="D2120" s="3" t="s">
        <v>1051</v>
      </c>
      <c r="E2120" s="4" t="s">
        <v>19</v>
      </c>
      <c r="F2120" s="4" t="s">
        <v>20</v>
      </c>
      <c r="G2120" s="4" t="s">
        <v>56</v>
      </c>
      <c r="H2120" s="3" t="s">
        <v>9071</v>
      </c>
      <c r="I2120" s="3" t="s">
        <v>9072</v>
      </c>
      <c r="J2120" s="4">
        <v>24.35</v>
      </c>
      <c r="K2120" s="4">
        <v>24.0</v>
      </c>
      <c r="L2120" s="3" t="s">
        <v>9073</v>
      </c>
      <c r="M2120" s="3" t="s">
        <v>9074</v>
      </c>
      <c r="N2120" s="7" t="str">
        <f>IFERROR(__xludf.DUMMYFUNCTION("GOOGLETRANSLATE(L2120, ""en"", ""pt"")"),"Trabalhador de paisagismo II")</f>
        <v>Trabalhador de paisagismo II</v>
      </c>
      <c r="O2120" s="7" t="str">
        <f>IFERROR(__xludf.DUMMYFUNCTION("IF(M2120="""","""",GOOGLETRANSLATE(M2120,""en"",""pt""))"),"Executa diversas tarefas de reforma de campos de golfe, incluindo a preparação e construção de greens, tees e bunkers; prepara componentes do sistema de irrigação, cola/funde conexões e interligações; instala tubulações, fios e aspersores de irrigação; ca"&amp;"va buracos e valas, utilizando ferramentas manuais para instalar drenagem e interligações; espalha e assenta materiais como sementes de grama, grama em placas, substrato para greens, cascalho e areia; opera equipamentos mecanizados para movimentar e insta"&amp;"lar materiais. O objetivo da vala, se necessário, será instalar componentes do sistema de irrigação do campo de golfe, como drenagem, tubulação lateral para aspersores e tubulação principal de abastecimento que se conecta à tubulação lateral. Os funcionár"&amp;"ios utilizarão uma escavadeira de valas de 85 cavalos de potência para tubulações principais (de 15 cm a 25 cm), um arado vibratório de 85 cavalos de potência para tubulação lateral (de 5 cm a 7,5 cm) para instalar aspersores, e pás e outras ferramentas m"&amp;"anuais para nivelar as linhas de vala e criar espaço para o equipamento de irrigação, conforme necessário. As valas, se necessárias, atingirão uma profundidade esperada de 66 cm a 112 cm e uma largura esperada de 20 cm a 46 cm em seus pontos mais largos. "&amp;"Alojamento opcional fornecido pela empresa será oferecido gratuitamente para funcionários que residem fora da distância de deslocamento diário. Funcionários que não necessitarem ou não utilizarem o alojamento da empresa receberão um reembolso de moradia d"&amp;"e US$ 231,00 por período de pagamento. Classificação do Cargo: 37-3011.00 - Trabalhadores de Paisagismo e Manutenção de Áreas Verdes. A classificação e descrição do cargo/setor incluem informações gerais sobre a posição, de acordo com o ONET/OES e o Siste"&amp;"ma de Classificação Industrial da América do Norte (NAICS). Consulte as Funções e a Ordem de Serviço para obter mais informações. Requisitos do Cargo Experiência Necessária: Sim Meses de Experiência Necessários: 3 Requisitos Especiais: Três meses de exper"&amp;"iência em construção de campos de golfe, instalação/manutenção de paisagismo ou áreas afins da construção civil, envolvendo preparação do terreno, nivelamento, drenagem ou instalação estrutural; conhecimento de sistemas de irrigação de campos de golfe, in"&amp;"cluindo a capacidade de instalar/reparar componentes-chave. Três meses de experiência operando qualquer um dos seguintes equipamentos: trator, minicarregadeira, arado/escavadeira. Horas extras conforme necessário. Gostaríamos de esclarecer as informações "&amp;"do Item F.a.5. Durante a semana de trabalho, que vai de domingo a sábado, os funcionários têm uma jornada de 40 horas semanais e recebem horas extras conforme necessário. O Item F.a.5 não nos permite inserir essa escala de trabalho. Se inserirmos 8 horas "&amp;"por dia, o sistema mostrará 56 horas semanais, o que não reflete com precisão a jornada de trabalho. Número de horas por semana: 40. Horário de trabalho (início/término): 7h00 - 15h30.")</f>
        <v>Executa diversas tarefas de reforma de campos de golfe, incluindo a preparação e construção de greens, tees e bunkers; prepara componentes do sistema de irrigação, cola/funde conexões e interligações; instala tubulações, fios e aspersores de irrigação; cava buracos e valas, utilizando ferramentas manuais para instalar drenagem e interligações; espalha e assenta materiais como sementes de grama, grama em placas, substrato para greens, cascalho e areia; opera equipamentos mecanizados para movimentar e instalar materiais. O objetivo da vala, se necessário, será instalar componentes do sistema de irrigação do campo de golfe, como drenagem, tubulação lateral para aspersores e tubulação principal de abastecimento que se conecta à tubulação lateral. Os funcionários utilizarão uma escavadeira de valas de 85 cavalos de potência para tubulações principais (de 15 cm a 25 cm), um arado vibratório de 85 cavalos de potência para tubulação lateral (de 5 cm a 7,5 cm) para instalar aspersores, e pás e outras ferramentas manuais para nivelar as linhas de vala e criar espaço para o equipamento de irrigação, conforme necessário. As valas, se necessárias, atingirão uma profundidade esperada de 66 cm a 112 cm e uma largura esperada de 20 cm a 46 cm em seus pontos mais largos. Alojamento opcional fornecido pela empresa será oferecido gratuitamente para funcionários que residem fora da distância de deslocamento diário. Funcionários que não necessitarem ou não utilizarem o alojamento da empresa receberão um reembolso de moradia de US$ 231,00 por período de pagamento. Classificação do Cargo: 37-3011.00 - Trabalhadores de Paisagismo e Manutenção de Áreas Verdes. A classificação e descrição do cargo/setor incluem informações gerais sobre a posição, de acordo com o ONET/OES e o Sistema de Classificação Industrial da América do Norte (NAICS). Consulte as Funções e a Ordem de Serviço para obter mais informações. Requisitos do Cargo Experiência Necessária: Sim Meses de Experiência Necessários: 3 Requisitos Especiais: Três meses de experiência em construção de campos de golfe, instalação/manutenção de paisagismo ou áreas afins da construção civil, envolvendo preparação do terreno, nivelamento, drenagem ou instalação estrutural; conhecimento de sistemas de irrigação de campos de golfe, incluindo a capacidade de instalar/reparar componentes-chave. Três meses de experiência operando qualquer um dos seguintes equipamentos: trator, minicarregadeira, arado/escavadeira. Horas extras conforme necessário. Gostaríamos de esclarecer as informações do Item F.a.5. Durante a semana de trabalho, que vai de domingo a sábado, os funcionários têm uma jornada de 40 horas semanais e recebem horas extras conforme necessário. O Item F.a.5 não nos permite inserir essa escala de trabalho. Se inserirmos 8 horas por dia, o sistema mostrará 56 horas semanais, o que não reflete com precisão a jornada de trabalho. Número de horas por semana: 40. Horário de trabalho (início/término): 7h00 - 15h30.</v>
      </c>
    </row>
    <row r="2121" ht="20.25" customHeight="1">
      <c r="A2121" s="8" t="s">
        <v>9461</v>
      </c>
      <c r="B2121" s="8" t="s">
        <v>9070</v>
      </c>
      <c r="C2121" s="8" t="s">
        <v>8537</v>
      </c>
      <c r="D2121" s="8" t="s">
        <v>133</v>
      </c>
      <c r="E2121" s="9" t="s">
        <v>44</v>
      </c>
      <c r="F2121" s="9" t="s">
        <v>20</v>
      </c>
      <c r="G2121" s="9" t="s">
        <v>56</v>
      </c>
      <c r="H2121" s="8" t="s">
        <v>9071</v>
      </c>
      <c r="I2121" s="8" t="s">
        <v>9072</v>
      </c>
      <c r="J2121" s="9">
        <v>34.54</v>
      </c>
      <c r="K2121" s="9">
        <v>2.0</v>
      </c>
      <c r="L2121" s="8" t="s">
        <v>3563</v>
      </c>
      <c r="M2121" s="8" t="s">
        <v>9076</v>
      </c>
      <c r="N2121" s="7" t="str">
        <f>IFERROR(__xludf.DUMMYFUNCTION("GOOGLETRANSLATE(L2121, ""en"", ""pt"")"),"Capataz")</f>
        <v>Capataz</v>
      </c>
      <c r="O2121" s="7" t="str">
        <f>IFERROR(__xludf.DUMMYFUNCTION("IF(M2121="""","""",GOOGLETRANSLATE(M2121,""en"",""pt""))"),"***Resposta à Solicitação de Informações*** O trabalhador operará os equipamentos em caráter de treinamento, conforme necessário, para garantir que os demais membros da equipe sejam devidamente instruídos sobre o uso dos equipamentos. O trabalhador não op"&amp;"erará os equipamentos em sua capacidade de produção diária e os operará conforme necessário para dar suporte ao projeto – menos de 50% do dia, se necessário. Toda a operação dos equipamentos será realizada no local do projeto, portanto, não é necessária c"&amp;"arteira de habilitação comercial. Espera-se que qualquer escavação de valas associada ao projeto envolva valas com aproximadamente 66 a 122 cm de profundidade e 30 a 183 cm de largura em seus pontos mais largos. Modelos de equipamentos equivalentes podem "&amp;"ser utilizados, dependendo da disponibilidade. Os equipamentos que podem ser utilizados incluem: escavadeiras de valas de 75 a 95 HP, como a Ditch Witch RT75 ou a Vermeer RTX750, para escavar e aterrar valas de irrigação para instalação de tubulação princ"&amp;"ipal (tubulações de 10 a 25 cm); Arados vibratórios de 75 a 95 HP, como o Ditch Witch RT75 ou o Vermeer RTX750, para aração de linhas laterais de irrigação e fios a profundidades de aproximadamente 45 a 60 cm; escavadeiras de 4.500 a 11.000 kg, como a Joh"&amp;"n Deere 120 e a miniescavadeira Caterpillar 306, para escavar e aterrar valas para a instalação de tubulações de drenagem e irrigação em todo o campo de golfe; minicarregadeiras de 1.270 a 1.450 kg, como a Caterpillar 265, para movimentação e carregamento"&amp;" de materiais, aterro de valas e carregamento de cascalho e areia para bunkers em reboques Pronovost; caminhão basculante Wacker Neuson 3001 para transporte de entulho e suprimentos como cascalho e areia; rolos compactadores de tambor duplo liso de 2 a 3 "&amp;"toneladas, como o Dynapac CC1200 ou o Wacker Neuson, para compactação de valas ou nivelamento de linhas de aragem; Trator de 50 a 80 HP e reboques basculantes, como o John Deere 4066M e/ou John Deere 5077, para movimentação de materiais dentro do canteiro"&amp;" de obras e para puxar implementos fora de estrada; UTV para 2 a 4 ou 4 a 6 pessoas, como o Kubota RTV-X1140, para transporte da equipe e suprimentos; e empilhadeira/manipulador telescópico, como o modelo 8K JLG, para carga e descarga de tubos e outros ma"&amp;"teriais. ***Original*** Trabalho braçal prático em demarcação/layout, drenagem, bunkers, acabamento, greens e tees, operação de equipamentos, etc.; informa as equipes sobre as atividades planejadas para o dia e fornece as ferramentas e materiais necessári"&amp;"os; instrui, supervisiona e treina as equipes nas tarefas designadas, como instalação de irrigação, criação de tees e bunkers, plantio de grama, semeadura, demarcação/sinalização, operação e manutenção de equipamentos; gerencia o estoque de equipamentos, "&amp;"suprimentos, materiais e combustível; Identifica e elimina potenciais desperdícios que possam ocorrer durante a execução das tarefas atribuídas, incluindo desperdício de materiais como aspersores de irrigação, tubos e fios de irrigação, cascalho e mistura"&amp;" para gramados; garante que os equipamentos e ferramentas atribuídos sejam mantidos adequadamente por meio da execução de manutenção preventiva de rotina; auxilia na manutenção de registros do projeto, como comprovantes de entrega, ordens de compra e list"&amp;"as de reuniões de segurança; auxilia na criação de desenhos ""as-built""; e reporta potenciais problemas ao Superintendente do Projeto. Alojamento opcional fornecido pela empresa será oferecido gratuitamente para funcionários que residem fora da distância"&amp;" de deslocamento diário. Funcionários que não necessitarem ou não utilizarem o alojamento da empresa receberão um reembolso de moradia de US$ 231,00 por período de pagamento. Classificação da Função: 47-2073.00 - Operadores de Máquinas e Outros Operadores"&amp;" de Equipamentos de Construção. A classificação e descrição da função/setor inclui informações gerais sobre o cargo, conforme o ONET/OES e o Sistema de Classificação Industrial da América do Norte (NAICS). Consulte as Funções e a Ordem de Serviço para obt"&amp;"er mais informações. Requisitos da Vaga Experiência Necessária: Sim Meses de Experiência Necessários: 12 Requisitos Especiais: Necessário possuir certificação como Fundidor de Tubos Certificado por um fornecedor reconhecido, como ISCO, Ewing Irrigation ou"&amp;" ADS Hancor. 12 meses de experiência em construção e reforma de campos de golfe. Horas extras conforme necessário. Gostaríamos de esclarecer as informações do Item F.a.5. Durante a semana de trabalho, que vai de domingo a sábado, os funcionários têm uma j"&amp;"ornada de 40 horas semanais e recebem horas extras conforme necessário. O Item F.a.5 não permite inserir essa escala de trabalho. Se inserirmos 8 horas por dia, o sistema mostrará 56 horas semanais, o que não reflete com precisão a jornada de trabalho. Nú"&amp;"mero de Horas por Semana: 40 Horário de Trabalho (Início/Término): 7h00 - 15h30")</f>
        <v>***Resposta à Solicitação de Informações*** O trabalhador operará os equipamentos em caráter de treinamento, conforme necessário, para garantir que os demais membros da equipe sejam devidamente instruídos sobre o uso dos equipamentos. O trabalhador não operará os equipamentos em sua capacidade de produção diária e os operará conforme necessário para dar suporte ao projeto – menos de 50% do dia, se necessário. Toda a operação dos equipamentos será realizada no local do projeto, portanto, não é necessária carteira de habilitação comercial. Espera-se que qualquer escavação de valas associada ao projeto envolva valas com aproximadamente 66 a 122 cm de profundidade e 30 a 183 cm de largura em seus pontos mais largos. Modelos de equipamentos equivalentes podem ser utilizados, dependendo da disponibilidade. Os equipamentos que podem ser utilizados incluem: escavadeiras de valas de 75 a 95 HP, como a Ditch Witch RT75 ou a Vermeer RTX750, para escavar e aterrar valas de irrigação para instalação de tubulação principal (tubulações de 10 a 25 cm); Arados vibratórios de 75 a 95 HP, como o Ditch Witch RT75 ou o Vermeer RTX750, para aração de linhas laterais de irrigação e fios a profundidades de aproximadamente 45 a 60 cm; escavadeiras de 4.500 a 11.000 kg, como a John Deere 120 e a miniescavadeira Caterpillar 306, para escavar e aterrar valas para a instalação de tubulações de drenagem e irrigação em todo o campo de golfe; minicarregadeiras de 1.270 a 1.450 kg, como a Caterpillar 265, para movimentação e carregamento de materiais, aterro de valas e carregamento de cascalho e areia para bunkers em reboques Pronovost; caminhão basculante Wacker Neuson 3001 para transporte de entulho e suprimentos como cascalho e areia; rolos compactadores de tambor duplo liso de 2 a 3 toneladas, como o Dynapac CC1200 ou o Wacker Neuson, para compactação de valas ou nivelamento de linhas de aragem; Trator de 50 a 80 HP e reboques basculantes, como o John Deere 4066M e/ou John Deere 5077, para movimentação de materiais dentro do canteiro de obras e para puxar implementos fora de estrada; UTV para 2 a 4 ou 4 a 6 pessoas, como o Kubota RTV-X1140, para transporte da equipe e suprimentos; e empilhadeira/manipulador telescópico, como o modelo 8K JLG, para carga e descarga de tubos e outros materiais. ***Original*** Trabalho braçal prático em demarcação/layout, drenagem, bunkers, acabamento, greens e tees, operação de equipamentos, etc.; informa as equipes sobre as atividades planejadas para o dia e fornece as ferramentas e materiais necessários; instrui, supervisiona e treina as equipes nas tarefas designadas, como instalação de irrigação, criação de tees e bunkers, plantio de grama, semeadura, demarcação/sinalização, operação e manutenção de equipamentos; gerencia o estoque de equipamentos, suprimentos, materiais e combustível; Identifica e elimina potenciais desperdícios que possam ocorrer durante a execução das tarefas atribuídas, incluindo desperdício de materiais como aspersores de irrigação, tubos e fios de irrigação, cascalho e mistura para gramados; garante que os equipamentos e ferramentas atribuídos sejam mantidos adequadamente por meio da execução de manutenção preventiva de rotina; auxilia na manutenção de registros do projeto, como comprovantes de entrega, ordens de compra e listas de reuniões de segurança; auxilia na criação de desenhos "as-built"; e reporta potenciais problemas ao Superintendente do Projeto. Alojamento opcional fornecido pela empresa será oferecido gratuitamente para funcionários que residem fora da distância de deslocamento diário. Funcionários que não necessitarem ou não utilizarem o alojamento da empresa receberão um reembolso de moradia de US$ 231,00 por período de pagamento. Classificação da Função: 47-2073.00 - Operadores de Máquinas e Outros Operadores de Equipamentos de Construção. A classificação e descrição da função/setor inclui informações gerais sobre o cargo, conforme o ONET/OES e o Sistema de Classificação Industrial da América do Norte (NAICS). Consulte as Funções e a Ordem de Serviço para obter mais informações. Requisitos da Vaga Experiência Necessária: Sim Meses de Experiência Necessários: 12 Requisitos Especiais: Necessário possuir certificação como Fundidor de Tubos Certificado por um fornecedor reconhecido, como ISCO, Ewing Irrigation ou ADS Hancor. 12 meses de experiência em construção e reforma de campos de golfe. Horas extras conforme necessário. Gostaríamos de esclarecer as informações do Item F.a.5. Durante a semana de trabalho, que vai de domingo a sábado, os funcionários têm uma jornada de 40 horas semanais e recebem horas extras conforme necessário. O Item F.a.5 não permite inserir essa escala de trabalho. Se inserirmos 8 horas por dia, o sistema mostrará 56 horas semanais, o que não reflete com precisão a jornada de trabalho. Número de Horas por Semana: 40 Horário de Trabalho (Início/Término): 7h00 - 15h30</v>
      </c>
    </row>
    <row r="2122" ht="20.25" customHeight="1">
      <c r="A2122" s="3" t="s">
        <v>9462</v>
      </c>
      <c r="B2122" s="3" t="s">
        <v>9463</v>
      </c>
      <c r="C2122" s="3" t="s">
        <v>7651</v>
      </c>
      <c r="D2122" s="3" t="s">
        <v>55</v>
      </c>
      <c r="E2122" s="4" t="s">
        <v>19</v>
      </c>
      <c r="F2122" s="4" t="s">
        <v>20</v>
      </c>
      <c r="G2122" s="4" t="s">
        <v>345</v>
      </c>
      <c r="H2122" s="3" t="s">
        <v>9464</v>
      </c>
      <c r="I2122" s="3" t="s">
        <v>9465</v>
      </c>
      <c r="J2122" s="4">
        <v>17.54</v>
      </c>
      <c r="K2122" s="4">
        <v>3.0</v>
      </c>
      <c r="L2122" s="3" t="s">
        <v>7496</v>
      </c>
      <c r="M2122" s="3" t="s">
        <v>9466</v>
      </c>
      <c r="N2122" s="7" t="str">
        <f>IFERROR(__xludf.DUMMYFUNCTION("GOOGLETRANSLATE(L2122, ""en"", ""pt"")"),"Zeladores")</f>
        <v>Zeladores</v>
      </c>
      <c r="O2122" s="7" t="str">
        <f>IFERROR(__xludf.DUMMYFUNCTION("IF(M2122="""","""",GOOGLETRANSLATE(M2122,""en"",""pt""))"),"Manter edifícios, instalações e áreas adjacentes limpos, seguros e organizados. Realizar limpeza pesada e serviços gerais de zeladoria em propriedades comerciais e residenciais. As tarefas incluem varrer, passar pano, aspirar, tirar o pó, higienizar banhe"&amp;"iros e áreas comuns, remover lixo e detritos, limpar janelas e entradas e manter a aparência geral da propriedade. Realizar a limpeza sazonal externa e a manutenção da propriedade durante o outono e a primavera, incluindo rastelar e remover folhas, limpar"&amp;" galhos, gravetos e detritos de tempestades, limpar estacionamentos e calçadas, transportar resíduos de jardim e manter as áreas comuns externas. As tarefas também incluem limpar calhas e entradas de detritos acumulados, varrer calçadas e auxiliar na prep"&amp;"aração e limpeza sazonal da propriedade usando pás, ancinhos, vassouras, sopradores de folhas e outras ferramentas manuais. Notificar a gerência sobre reparos necessários, condições inseguras, equipamentos danificados ou problemas de manutenção. Seguir os"&amp;" procedimentos de segurança e manter as ferramentas e equipamentos em boas condições de funcionamento. Classificação da Função: 37-2011.00 - Zeladores e Faxineiros, exceto Empregadas Domésticas e Auxiliares de Limpeza. A classificação e descrição da funçã"&amp;"o/setor inclui informações gerais sobre o cargo, de acordo com o ONET/OES e o Sistema de Classificação Industrial da América do Norte (NAICS). Consulte as Funções e a Ordem de Serviço para obter mais informações. Requisitos da Função Experiência Necessári"&amp;"a: Sim Meses de Experiência Necessários: 3 Requisitos Especiais: Capacidade de levantar e carregar até 23 kg. Permanecer em pé por longos períodos, caminhar em superfícies escorregadias e se locomover por grandes áreas. Flexionar-se, abaixar-se, ajoelhar-"&amp;"se, empurrar e puxar equipamentos pesados ​​com frequência. Subir escadas, destreza manual para manusear ferramentas e operar máquinas. Resistência física por longos períodos em diversas condições climáticas, incluindo ambientes frios e úmidos. Número de "&amp;"Horas por Semana: 40 Horário de Trabalho (Início/Término): 7h às 19h")</f>
        <v>Manter edifícios, instalações e áreas adjacentes limpos, seguros e organizados. Realizar limpeza pesada e serviços gerais de zeladoria em propriedades comerciais e residenciais. As tarefas incluem varrer, passar pano, aspirar, tirar o pó, higienizar banheiros e áreas comuns, remover lixo e detritos, limpar janelas e entradas e manter a aparência geral da propriedade. Realizar a limpeza sazonal externa e a manutenção da propriedade durante o outono e a primavera, incluindo rastelar e remover folhas, limpar galhos, gravetos e detritos de tempestades, limpar estacionamentos e calçadas, transportar resíduos de jardim e manter as áreas comuns externas. As tarefas também incluem limpar calhas e entradas de detritos acumulados, varrer calçadas e auxiliar na preparação e limpeza sazonal da propriedade usando pás, ancinhos, vassouras, sopradores de folhas e outras ferramentas manuais. Notificar a gerência sobre reparos necessários, condições inseguras, equipamentos danificados ou problemas de manutenção. Seguir os procedimentos de segurança e manter as ferramentas e equipamentos em boas condições de funcionamento. Classificação da Função: 37-2011.00 - Zeladores e Faxineiros, exceto Empregadas Domésticas e Auxiliares de Limpeza. A classificação e descrição da função/setor inclui informações gerais sobre o cargo, de acordo com o ONET/OES e o Sistema de Classificação Industrial da América do Norte (NAICS). Consulte as Funções e a Ordem de Serviço para obter mais informações. Requisitos da Função Experiência Necessária: Sim Meses de Experiência Necessários: 3 Requisitos Especiais: Capacidade de levantar e carregar até 23 kg. Permanecer em pé por longos períodos, caminhar em superfícies escorregadias e se locomover por grandes áreas. Flexionar-se, abaixar-se, ajoelhar-se, empurrar e puxar equipamentos pesados ​​com frequência. Subir escadas, destreza manual para manusear ferramentas e operar máquinas. Resistência física por longos períodos em diversas condições climáticas, incluindo ambientes frios e úmidos. Número de Horas por Semana: 40 Horário de Trabalho (Início/Término): 7h às 19h</v>
      </c>
    </row>
    <row r="2123" ht="20.25" customHeight="1">
      <c r="A2123" s="8" t="s">
        <v>9467</v>
      </c>
      <c r="B2123" s="8" t="s">
        <v>7285</v>
      </c>
      <c r="C2123" s="8" t="s">
        <v>9397</v>
      </c>
      <c r="D2123" s="8" t="s">
        <v>271</v>
      </c>
      <c r="E2123" s="9" t="s">
        <v>19</v>
      </c>
      <c r="F2123" s="9" t="s">
        <v>20</v>
      </c>
      <c r="G2123" s="9" t="s">
        <v>80</v>
      </c>
      <c r="H2123" s="8" t="s">
        <v>9468</v>
      </c>
      <c r="I2123" s="8" t="s">
        <v>7288</v>
      </c>
      <c r="J2123" s="9">
        <v>19.42</v>
      </c>
      <c r="K2123" s="9">
        <v>46.0</v>
      </c>
      <c r="L2123" s="8" t="s">
        <v>59</v>
      </c>
      <c r="M2123" s="8" t="s">
        <v>9469</v>
      </c>
      <c r="N2123" s="7" t="str">
        <f>IFERROR(__xludf.DUMMYFUNCTION("GOOGLETRANSLATE(L2123, ""en"", ""pt"")"),"Trabalhador de paisagismo")</f>
        <v>Trabalhador de paisagismo</v>
      </c>
      <c r="O2123" s="7" t="str">
        <f>IFERROR(__xludf.DUMMYFUNCTION("IF(M2123="""","""",GOOGLETRANSLATE(M2123,""en"",""pt""))"),"Paisagismo e manutenção de terrenos utilizando ferramentas manuais ou elétricas. Os trabalhadores geralmente executam uma variedade de tarefas, que podem incluir qualquer combinação das seguintes: colocação de grama, corte de grama, poda, plantio, irrigaç"&amp;"ão, fertilização, escavação, rastelagem, instalação de aspersores e instalação de blocos de concreto pré-moldados sem argamassa. Classificação da função: 37-3011.00 - Trabalhadores de Paisagismo e Manutenção de Terrenos. A classificação e descrição da fun"&amp;"ção/setor incluem informações gerais sobre o cargo, de acordo com o ONET/OES e o Sistema de Classificação Industrial da América do Norte (NAICS). Consulte as Funções e a Ordem de Serviço para obter mais informações. Requisitos da vaga: Experiência necessá"&amp;"ria: Sim. Meses de experiência necessários: 3. Requisitos especiais: Os dias de trabalho podem incluir fins de semana/feriados. Número de horas por semana: 40. Horário de trabalho (início/término): 7h às 15h30.")</f>
        <v>Paisagismo e manutenção de terrenos utilizando ferramentas manuais ou elétricas. Os trabalhadores geralmente executam uma variedade de tarefas, que podem incluir qualquer combinação das seguintes: colocação de grama, corte de grama, poda, plantio, irrigação, fertilização, escavação, rastelagem, instalação de aspersores e instalação de blocos de concreto pré-moldados sem argamassa. Classificação da função: 37-3011.00 - Trabalhadores de Paisagismo e Manutenção de Terrenos. A classificação e descrição da função/setor incluem informações gerais sobre o cargo, de acordo com o ONET/OES e o Sistema de Classificação Industrial da América do Norte (NAICS). Consulte as Funções e a Ordem de Serviço para obter mais informações. Requisitos da vaga: Experiência necessária: Sim. Meses de experiência necessários: 3. Requisitos especiais: Os dias de trabalho podem incluir fins de semana/feriados. Número de horas por semana: 40. Horário de trabalho (início/término): 7h às 15h30.</v>
      </c>
    </row>
    <row r="2124" ht="20.25" customHeight="1">
      <c r="A2124" s="3" t="s">
        <v>9470</v>
      </c>
      <c r="B2124" s="3" t="s">
        <v>9471</v>
      </c>
      <c r="C2124" s="3" t="s">
        <v>9472</v>
      </c>
      <c r="D2124" s="3" t="s">
        <v>18</v>
      </c>
      <c r="E2124" s="4" t="s">
        <v>44</v>
      </c>
      <c r="F2124" s="4" t="s">
        <v>20</v>
      </c>
      <c r="G2124" s="4" t="s">
        <v>94</v>
      </c>
      <c r="H2124" s="3" t="s">
        <v>9473</v>
      </c>
      <c r="I2124" s="3" t="s">
        <v>9474</v>
      </c>
      <c r="J2124" s="4">
        <v>13.0</v>
      </c>
      <c r="K2124" s="4">
        <v>6.0</v>
      </c>
      <c r="L2124" s="3" t="s">
        <v>262</v>
      </c>
      <c r="M2124" s="3" t="s">
        <v>9475</v>
      </c>
      <c r="N2124" s="7" t="str">
        <f>IFERROR(__xludf.DUMMYFUNCTION("GOOGLETRANSLATE(L2124, ""en"", ""pt"")"),"Operário da construção civil")</f>
        <v>Operário da construção civil</v>
      </c>
      <c r="O2124" s="7" t="str">
        <f>IFERROR(__xludf.DUMMYFUNCTION("IF(M2124="""","""",GOOGLETRANSLATE(M2124,""en"",""pt""))"),"Os trabalhadores realizarão serviços gerais de construção em projetos de infraestrutura subterrânea de serviços públicos e telecomunicações. As funções incluem escavação para auxiliar na localização de serviços públicos subterrâneos existentes, instalação"&amp;" de caixas de água e esgoto, auxílio em atividades de suporte à perfuração direcional horizontal, escavação, abertura de valas, reaterro, carga e descarga de materiais, preparação e limpeza dos locais de trabalho e auxílio na instalação, reparo e manutenç"&amp;"ão de linhas de serviços públicos subterrâneos, dutos e infraestrutura relacionada. Os trabalhadores podem usar ferramentas manuais básicas e pequenas ferramentas elétricas, conforme necessário, e podem dirigir veículos da empresa para transportar trabalh"&amp;"adores, ferramentas e materiais de e para os locais de trabalho. Os trabalhadores devem seguir todos os procedimentos de segurança e executar as tarefas de construção relacionadas, conforme atribuídas. Classificação do Cargo: 47-2061.00 - Trabalhadores da"&amp;" Construção Civil. A classificação e descrição do cargo/setor incluem informações gerais sobre a posição, de acordo com o ONET/OES e o Sistema de Classificação Industrial da América do Norte. Consulte as Funções e a Ordem de Serviço para obter mais inform"&amp;"ações. Requisitos do Cargo: Experiência Necessária: Sim. Meses de Experiência Necessários: 1. Requisitos Especiais: Os trabalhadores realizarão serviços gerais de construção em projetos de infraestrutura subterrânea de serviços públicos e telecomunicações"&amp;". As funções incluem escavação para auxiliar na localização de utilidades subterrâneas existentes, instalação de caixas de água e esgoto, auxílio em atividades de suporte à perfuração direcional horizontal, escavação, abertura de valas, reaterro, carga e "&amp;"descarga de materiais, preparação e limpeza de locais de trabalho e auxílio na instalação, reparo e manutenção de linhas de utilidades subterrâneas, conduítes e infraestrutura relacionada. Os trabalhadores podem usar ferramentas manuais básicas e pequenas"&amp;" ferramentas elétricas, conforme necessário, e podem dirigir veículos da empresa para transportar trabalhadores, ferramentas e materiais de e para os locais de trabalho. Os trabalhadores devem seguir todos os procedimentos de segurança e executar tarefas "&amp;"relacionadas à construção civil, conforme designado. Número de horas por semana: 53. Horário de trabalho (início/término): 7h às 16h.")</f>
        <v>Os trabalhadores realizarão serviços gerais de construção em projetos de infraestrutura subterrânea de serviços públicos e telecomunicações. As funções incluem escavação para auxiliar na localização de serviços públicos subterrâneos existentes, instalação de caixas de água e esgoto, auxílio em atividades de suporte à perfuração direcional horizontal, escavação, abertura de valas, reaterro, carga e descarga de materiais, preparação e limpeza dos locais de trabalho e auxílio na instalação, reparo e manutenção de linhas de serviços públicos subterrâneos, dutos e infraestrutura relacionada. Os trabalhadores podem usar ferramentas manuais básicas e pequenas ferramentas elétricas, conforme necessário, e podem dirigir veículos da empresa para transportar trabalhadores, ferramentas e materiais de e para os locais de trabalho. Os trabalhadores devem seguir todos os procedimentos de segurança e executar as tarefas de construção relacionadas, conforme atribuídas. Classificação do Cargo: 47-2061.00 - Trabalhadores da Construção Civil. A classificação e descrição do cargo/setor incluem informações gerais sobre a posição, de acordo com o ONET/OES e o Sistema de Classificação Industrial da América do Norte. Consulte as Funções e a Ordem de Serviço para obter mais informações. Requisitos do Cargo: Experiência Necessária: Sim. Meses de Experiência Necessários: 1. Requisitos Especiais: Os trabalhadores realizarão serviços gerais de construção em projetos de infraestrutura subterrânea de serviços públicos e telecomunicações. As funções incluem escavação para auxiliar na localização de utilidades subterrâneas existentes, instalação de caixas de água e esgoto, auxílio em atividades de suporte à perfuração direcional horizontal, escavação, abertura de valas, reaterro, carga e descarga de materiais, preparação e limpeza de locais de trabalho e auxílio na instalação, reparo e manutenção de linhas de utilidades subterrâneas, conduítes e infraestrutura relacionada. Os trabalhadores podem usar ferramentas manuais básicas e pequenas ferramentas elétricas, conforme necessário, e podem dirigir veículos da empresa para transportar trabalhadores, ferramentas e materiais de e para os locais de trabalho. Os trabalhadores devem seguir todos os procedimentos de segurança e executar tarefas relacionadas à construção civil, conforme designado. Número de horas por semana: 53. Horário de trabalho (início/término): 7h às 16h.</v>
      </c>
    </row>
    <row r="2125" ht="20.25" customHeight="1">
      <c r="A2125" s="8" t="s">
        <v>9476</v>
      </c>
      <c r="B2125" s="8" t="s">
        <v>9477</v>
      </c>
      <c r="C2125" s="8" t="s">
        <v>1000</v>
      </c>
      <c r="D2125" s="8" t="s">
        <v>299</v>
      </c>
      <c r="E2125" s="9" t="s">
        <v>19</v>
      </c>
      <c r="F2125" s="9" t="s">
        <v>20</v>
      </c>
      <c r="G2125" s="9" t="s">
        <v>307</v>
      </c>
      <c r="H2125" s="8" t="s">
        <v>9478</v>
      </c>
      <c r="I2125" s="8" t="s">
        <v>9479</v>
      </c>
      <c r="J2125" s="9">
        <v>20.23</v>
      </c>
      <c r="K2125" s="9">
        <v>16.0</v>
      </c>
      <c r="L2125" s="8" t="s">
        <v>1720</v>
      </c>
      <c r="M2125" s="8" t="s">
        <v>9480</v>
      </c>
      <c r="N2125" s="7" t="str">
        <f>IFERROR(__xludf.DUMMYFUNCTION("GOOGLETRANSLATE(L2125, ""en"", ""pt"")"),"Ajudantes de Carpinteiro")</f>
        <v>Ajudantes de Carpinteiro</v>
      </c>
      <c r="O2125" s="7" t="str">
        <f>IFERROR(__xludf.DUMMYFUNCTION("IF(M2125="""","""",GOOGLETRANSLATE(M2125,""en"",""pt""))"),"Preparar o canteiro de obras. Executar tarefas menores, incluindo carga e descarga de materiais de construção, disposição de madeira, instalação de treliças e outros componentes da estrutura. Auxiliar os carpinteiros líderes em tarefas básicas de carpinta"&amp;"ria, como segurar, cortar e pregar madeira, seguindo as instruções do carpinteiro líder. Classificação da vaga: 47-3012.00 - Ajudantes de Carpinteiro. A classificação e descrição da vaga/setor incluem informações gerais sobre o cargo, de acordo com o ONET"&amp;"/OES e o Sistema de Classificação Industrial da América do Norte (NAICS). Consulte as Funções e a Ordem de Serviço para obter mais informações. Requisitos da vaga: Experiência necessária: Não. Requisitos especiais: Capacidade de levantar e carregar 34 kg "&amp;"por 45 metros. Capacidade de suportar temperaturas extremas. Trabalho em alguns fins de semana. Deslocamento para locais de trabalho dentro da área de atuação. Número de horas por semana: 40. Horário de trabalho (início/término): 7h às 17h.")</f>
        <v>Preparar o canteiro de obras. Executar tarefas menores, incluindo carga e descarga de materiais de construção, disposição de madeira, instalação de treliças e outros componentes da estrutura. Auxiliar os carpinteiros líderes em tarefas básicas de carpintaria, como segurar, cortar e pregar madeira, seguindo as instruções do carpinteiro líder. Classificação da vaga: 47-3012.00 - Ajudantes de Carpinteiro. A classificação e descrição da vaga/setor incluem informações gerais sobre o cargo, de acordo com o ONET/OES e o Sistema de Classificação Industrial da América do Norte (NAICS). Consulte as Funções e a Ordem de Serviço para obter mais informações. Requisitos da vaga: Experiência necessária: Não. Requisitos especiais: Capacidade de levantar e carregar 34 kg por 45 metros. Capacidade de suportar temperaturas extremas. Trabalho em alguns fins de semana. Deslocamento para locais de trabalho dentro da área de atuação. Número de horas por semana: 40. Horário de trabalho (início/término): 7h às 17h.</v>
      </c>
    </row>
    <row r="2126" ht="20.25" customHeight="1">
      <c r="A2126" s="3" t="s">
        <v>9481</v>
      </c>
      <c r="B2126" s="3" t="s">
        <v>9482</v>
      </c>
      <c r="C2126" s="3" t="s">
        <v>6228</v>
      </c>
      <c r="D2126" s="3" t="s">
        <v>64</v>
      </c>
      <c r="E2126" s="4" t="s">
        <v>44</v>
      </c>
      <c r="F2126" s="4" t="s">
        <v>20</v>
      </c>
      <c r="G2126" s="4" t="s">
        <v>146</v>
      </c>
      <c r="H2126" s="3" t="s">
        <v>9483</v>
      </c>
      <c r="I2126" s="3" t="s">
        <v>9484</v>
      </c>
      <c r="J2126" s="4">
        <v>26.34</v>
      </c>
      <c r="K2126" s="4">
        <v>18.0</v>
      </c>
      <c r="L2126" s="3" t="s">
        <v>262</v>
      </c>
      <c r="M2126" s="3" t="s">
        <v>9485</v>
      </c>
      <c r="N2126" s="7" t="str">
        <f>IFERROR(__xludf.DUMMYFUNCTION("GOOGLETRANSLATE(L2126, ""en"", ""pt"")"),"Operário da construção civil")</f>
        <v>Operário da construção civil</v>
      </c>
      <c r="O2126" s="7" t="str">
        <f>IFERROR(__xludf.DUMMYFUNCTION("IF(M2126="""","""",GOOGLETRANSLATE(M2126,""en"",""pt""))"),"***Resposta à Solicitação de Informações*** O trabalhador operará os seguintes equipamentos motorizados: Minicarregadeira, tipo: Minicarregadeira; Marca/Modelo: Bobcat S770; Dimensões: 334 cm de altura do pino de articulação; Peso: 4.228 kg; Potência: 92 "&amp;"HP. Utilizada para escavar, nivelar, aterrar, carregar, transportar e movimentar terra, cascalho, concreto, entulho de demolição e outros materiais de construção, além de preparar canteiros de obras. Serra de Corte Rápido/Serra para Concreto, tipo: Serra "&amp;"de Corte a Gasolina Manual; Marca/Modelo: STIHL TS 420; Dimensões: Lâmina de 35,5 cm; Peso: 9,7 kg; Potência: 4,4 HP. Utilizada para cortar concreto, asfalto, alvenaria, tijolo, bloco, tubulação e juntas de dilatação. Serra de Concreto Manual, tipo: Serra"&amp;" de Concreto Manual; Marca/Modelo: Husqvarna FS 400 LV; Tamanho: Lâmina de 20 polegadas; Peso: aproximadamente 220 libras; Potência: 11,7 HP. Utilizada para cortar lajes de concreto, calçadas, entradas de garagem, estradas, juntas de dilatação, valas para"&amp;" serviços públicos e áreas de reparo que exigem cortes retos e profundos. Mini escavadeira, tipo: Escavadeira compacta; Marca/Modelo: Bobcat E42 2019; Tamanho: Profundidade máxima de escavação de aproximadamente 10,5 pés; Peso: 9.246 libras; Potência: 42,"&amp;"7 HP. Utilizada para escavação, abertura de valas, nivelamento, aterro, preparação do terreno, drenagem, instalação de serviços públicos e demolição em pequena escala. O operador mede o aço de reforço (vergalhão) com uma trena e marca os comprimentos nece"&amp;"ssários de acordo com as especificações do projeto. O vergalhão é cortado com cortadores manuais ou hidráulicos e, quando necessário, dobrado com dobradores manuais ou mecânicos para obter o formato desejado. O trabalhador posiciona a armadura de aço de a"&amp;"cordo com os projetos, amarra as barras que se cruzam usando arame de amarração e alicates para amarrar vergalhões, verifica o alinhamento, espaçamento e suporte adequados antes da concretagem e instala espaçadores e espaçadores para manter o posicionamen"&amp;"to correto da armadura. O trabalhador também pode levantar, carregar e posicionar armaduras de aço e materiais de reforço como parte das tarefas gerais de construção. As ferramentas, equipamentos e materiais usados ​​para cortar e instalar vergalhões incl"&amp;"uem trenas, linhas de giz ou ferramentas de marcação, cortadores de vergalhão manuais ou hidráulicos, dobradores de vergalhão manuais ou mecânicos, alicates ou ferramentas para amarrar vergalhões, arame de amarração, espaçadores, níveis e os equipamentos "&amp;"de proteção individual necessários. ***Atribuições Originais*** Executar tarefas que envolvam trabalho físico em canteiros de obras. Pode operar ferramentas manuais e elétricas de todos os tipos: trena, martelo, nível, desempenadeira, ranhuradora de concr"&amp;"eto, alicate, pá, aplicador de concreto, carretel de arame, serra circular elétrica, furadeira manual, furadeira de impacto, serra para concreto (diferentes tamanhos), vibrador de concreto, esmerilhadeira, compactador de placa vibratória, polia de impacto"&amp;", minicarregadeira e uma variedade de outros equipamentos e instrumentos. Descarregar materiais e levá-los até o local da fôrma. Limpar e preparar o terreno, cavar valas, instalar escoras para sustentar as laterais das escavações, identificar e cortar mad"&amp;"eira conforme a necessidade. Alisar ou dar acabamento ao cimento ou concreto recém-lançado. Após o concreto ser lançado e curado, remover toda a fôrma e limpar a madeira para reutilização. O trabalhador deve cortar, instalar, armar, nivelar e dar acabamen"&amp;"to com segurança, de acordo com as necessidades. O trabalhador também aplicará composto de cura no concreto. Alisar ou dar acabamento ao cimento ou concreto recém-lançado. Após o concreto ser lançado e curado, o trabalhador removerá toda a fôrma e limpará"&amp;" a madeira para reutilização. O trabalhador deve cortar, instalar, reforçar com vergalhões, nivelar e dar acabamento com segurança, de acordo com as necessidades, e realizar a limpeza geral do local de trabalho diariamente para mantê-lo seguro. Classifica"&amp;"ção da função: 47-2073.00 - Operadores de Máquinas e Outros Operadores de Equipamentos de Construção. A classificação e descrição da função/setor inclui informações gerais sobre o cargo, de acordo com o ONET/OES e o Sistema de Classificação Industrial da "&amp;"América do Norte (NAICS). Consulte as Funções e a Ordem de Serviço para obter mais informações. Requisitos da vaga: Experiência necessária: Não. Número de horas por semana: 40. Horário de trabalho (início/término): 7h às 17h.")</f>
        <v>***Resposta à Solicitação de Informações*** O trabalhador operará os seguintes equipamentos motorizados: Minicarregadeira, tipo: Minicarregadeira; Marca/Modelo: Bobcat S770; Dimensões: 334 cm de altura do pino de articulação; Peso: 4.228 kg; Potência: 92 HP. Utilizada para escavar, nivelar, aterrar, carregar, transportar e movimentar terra, cascalho, concreto, entulho de demolição e outros materiais de construção, além de preparar canteiros de obras. Serra de Corte Rápido/Serra para Concreto, tipo: Serra de Corte a Gasolina Manual; Marca/Modelo: STIHL TS 420; Dimensões: Lâmina de 35,5 cm; Peso: 9,7 kg; Potência: 4,4 HP. Utilizada para cortar concreto, asfalto, alvenaria, tijolo, bloco, tubulação e juntas de dilatação. Serra de Concreto Manual, tipo: Serra de Concreto Manual; Marca/Modelo: Husqvarna FS 400 LV; Tamanho: Lâmina de 20 polegadas; Peso: aproximadamente 220 libras; Potência: 11,7 HP. Utilizada para cortar lajes de concreto, calçadas, entradas de garagem, estradas, juntas de dilatação, valas para serviços públicos e áreas de reparo que exigem cortes retos e profundos. Mini escavadeira, tipo: Escavadeira compacta; Marca/Modelo: Bobcat E42 2019; Tamanho: Profundidade máxima de escavação de aproximadamente 10,5 pés; Peso: 9.246 libras; Potência: 42,7 HP. Utilizada para escavação, abertura de valas, nivelamento, aterro, preparação do terreno, drenagem, instalação de serviços públicos e demolição em pequena escala. O operador mede o aço de reforço (vergalhão) com uma trena e marca os comprimentos necessários de acordo com as especificações do projeto. O vergalhão é cortado com cortadores manuais ou hidráulicos e, quando necessário, dobrado com dobradores manuais ou mecânicos para obter o formato desejado. O trabalhador posiciona a armadura de aço de acordo com os projetos, amarra as barras que se cruzam usando arame de amarração e alicates para amarrar vergalhões, verifica o alinhamento, espaçamento e suporte adequados antes da concretagem e instala espaçadores e espaçadores para manter o posicionamento correto da armadura. O trabalhador também pode levantar, carregar e posicionar armaduras de aço e materiais de reforço como parte das tarefas gerais de construção. As ferramentas, equipamentos e materiais usados ​​para cortar e instalar vergalhões incluem trenas, linhas de giz ou ferramentas de marcação, cortadores de vergalhão manuais ou hidráulicos, dobradores de vergalhão manuais ou mecânicos, alicates ou ferramentas para amarrar vergalhões, arame de amarração, espaçadores, níveis e os equipamentos de proteção individual necessários. ***Atribuições Originais*** Executar tarefas que envolvam trabalho físico em canteiros de obras. Pode operar ferramentas manuais e elétricas de todos os tipos: trena, martelo, nível, desempenadeira, ranhuradora de concreto, alicate, pá, aplicador de concreto, carretel de arame, serra circular elétrica, furadeira manual, furadeira de impacto, serra para concreto (diferentes tamanhos), vibrador de concreto, esmerilhadeira, compactador de placa vibratória, polia de impacto, minicarregadeira e uma variedade de outros equipamentos e instrumentos. Descarregar materiais e levá-los até o local da fôrma. Limpar e preparar o terreno, cavar valas, instalar escoras para sustentar as laterais das escavações, identificar e cortar madeira conforme a necessidade. Alisar ou dar acabamento ao cimento ou concreto recém-lançado. Após o concreto ser lançado e curado, remover toda a fôrma e limpar a madeira para reutilização. O trabalhador deve cortar, instalar, armar, nivelar e dar acabamento com segurança, de acordo com as necessidades. O trabalhador também aplicará composto de cura no concreto. Alisar ou dar acabamento ao cimento ou concreto recém-lançado. Após o concreto ser lançado e curado, o trabalhador removerá toda a fôrma e limpará a madeira para reutilização. O trabalhador deve cortar, instalar, reforçar com vergalhões, nivelar e dar acabamento com segurança, de acordo com as necessidades, e realizar a limpeza geral do local de trabalho diariamente para mantê-lo seguro. Classificação da função: 47-2073.00 - Operadores de Máquinas e Outros Operadores de Equipamentos de Construção. A classificação e descrição da função/setor inclui informações gerais sobre o cargo, de acordo com o ONET/OES e o Sistema de Classificação Industrial da América do Norte (NAICS). Consulte as Funções e a Ordem de Serviço para obter mais informações. Requisitos da vaga: Experiência necessária: Não. Número de horas por semana: 40. Horário de trabalho (início/término): 7h às 17h.</v>
      </c>
    </row>
    <row r="2127" ht="20.25" customHeight="1">
      <c r="A2127" s="8" t="s">
        <v>9486</v>
      </c>
      <c r="B2127" s="8" t="s">
        <v>9487</v>
      </c>
      <c r="C2127" s="8" t="s">
        <v>9013</v>
      </c>
      <c r="D2127" s="8" t="s">
        <v>71</v>
      </c>
      <c r="E2127" s="9" t="s">
        <v>19</v>
      </c>
      <c r="F2127" s="9" t="s">
        <v>20</v>
      </c>
      <c r="G2127" s="9" t="s">
        <v>345</v>
      </c>
      <c r="H2127" s="8" t="s">
        <v>9488</v>
      </c>
      <c r="I2127" s="8" t="s">
        <v>9489</v>
      </c>
      <c r="J2127" s="9">
        <v>18.57</v>
      </c>
      <c r="K2127" s="9">
        <v>13.0</v>
      </c>
      <c r="L2127" s="8" t="s">
        <v>3876</v>
      </c>
      <c r="M2127" s="8" t="s">
        <v>9490</v>
      </c>
      <c r="N2127" s="7" t="str">
        <f>IFERROR(__xludf.DUMMYFUNCTION("GOOGLETRANSLATE(L2127, ""en"", ""pt"")"),"tratador de cavalos para exposições equestres")</f>
        <v>tratador de cavalos para exposições equestres</v>
      </c>
      <c r="O2127" s="7" t="str">
        <f>IFERROR(__xludf.DUMMYFUNCTION("IF(M2127="""","""",GOOGLETRANSLATE(M2127,""en"",""pt""))"),"TRATADOR DE CAVALOS DE EXPOSIÇÃO: Será responsável pelos cuidados de cavalos de exposição de alto nível, incluindo escovação, alimentação, hidratação, banho, tosa e soltura supervisionada. Manterá as baias e a área de trabalho limpas e organizadas diariam"&amp;"ente. Inspecionará, observará e relatará diariamente a condição física dos cavalos ao proprietário. Outras responsabilidades incluem cuidados com os cascos e aplicação de bandagens nas patas, conforme necessário. O tratador será responsável pelos cuidados"&amp;" de 3 a 5 cavalos por vez, o que inclui selar e verificar o ajuste correto de bridões, martingales, selas e outros equipamentos. Classificação da vaga: 39-2021.00 - Cuidadores de Animais. A classificação e descrição da vaga/setor inclui informações gerais"&amp;" sobre o cargo, de acordo com o ONET/OES e o Sistema de Classificação Industrial da América do Norte. Consulte as Funções e a Ordem de Serviço para obter mais informações. Requisitos da vaga: Experiência necessária: Sim. Meses de experiência necessários: "&amp;"3. Número de horas por semana: 48. Horário de trabalho (início/término): 6h às 18h.")</f>
        <v>TRATADOR DE CAVALOS DE EXPOSIÇÃO: Será responsável pelos cuidados de cavalos de exposição de alto nível, incluindo escovação, alimentação, hidratação, banho, tosa e soltura supervisionada. Manterá as baias e a área de trabalho limpas e organizadas diariamente. Inspecionará, observará e relatará diariamente a condição física dos cavalos ao proprietário. Outras responsabilidades incluem cuidados com os cascos e aplicação de bandagens nas patas, conforme necessário. O tratador será responsável pelos cuidados de 3 a 5 cavalos por vez, o que inclui selar e verificar o ajuste correto de bridões, martingales, selas e outros equipamentos. Classificação da vaga: 39-2021.00 - Cuidadores de Animais. A classificação e descrição da vaga/setor inclui informações gerais sobre o cargo, de acordo com o ONET/OES e o Sistema de Classificação Industrial da América do Norte. Consulte as Funções e a Ordem de Serviço para obter mais informações. Requisitos da vaga: Experiência necessária: Sim. Meses de experiência necessários: 3. Número de horas por semana: 48. Horário de trabalho (início/término): 6h às 18h.</v>
      </c>
    </row>
    <row r="2128" ht="20.25" customHeight="1">
      <c r="A2128" s="3" t="s">
        <v>9491</v>
      </c>
      <c r="B2128" s="3" t="s">
        <v>9492</v>
      </c>
      <c r="C2128" s="3" t="s">
        <v>6228</v>
      </c>
      <c r="D2128" s="3" t="s">
        <v>28</v>
      </c>
      <c r="E2128" s="4" t="s">
        <v>19</v>
      </c>
      <c r="F2128" s="4" t="s">
        <v>20</v>
      </c>
      <c r="G2128" s="4" t="s">
        <v>56</v>
      </c>
      <c r="H2128" s="3" t="s">
        <v>9493</v>
      </c>
      <c r="I2128" s="3" t="s">
        <v>9494</v>
      </c>
      <c r="J2128" s="4">
        <v>26.02</v>
      </c>
      <c r="K2128" s="4">
        <v>10.0</v>
      </c>
      <c r="L2128" s="3" t="s">
        <v>6563</v>
      </c>
      <c r="M2128" s="3" t="s">
        <v>9495</v>
      </c>
      <c r="N2128" s="7" t="str">
        <f>IFERROR(__xludf.DUMMYFUNCTION("GOOGLETRANSLATE(L2128, ""en"", ""pt"")"),"Acabador de concreto")</f>
        <v>Acabador de concreto</v>
      </c>
      <c r="O2128" s="7" t="str">
        <f>IFERROR(__xludf.DUMMYFUNCTION("IF(M2128="""","""",GOOGLETRANSLATE(M2128,""en"",""pt""))"),"Os trabalhadores executarão tarefas relacionadas à preparação e fechamento de obras de concreto/construção para o inverno, incluindo a manutenção e conservação durante essa estação, como garantir que o local da obra esteja livre de neve e gelo antes do in"&amp;"ício dos trabalhos, devido às baixas temperaturas. Eles removerão o gelo e aplicarão sal quando as condições climáticas estiverem congelantes. Além das tarefas de preparação para o inverno, os trabalhadores realizarão tarefas que envolvem trabalho físico "&amp;"em canteiros de obras. Como acabadores de concreto, os trabalhadores realizarão tarefas que envolvem trabalho físico em canteiros de obras. Eles misturarão, despejarão ou espalharão concreto, utilizando betoneiras portáteis. Alisarão e darão acabamento às"&amp;" superfícies de concreto despejado, como pisos, calçadas, ruas ou meio-fios, utilizando uma variedade de ferramentas manuais e elétricas, como desempenadeiras, colheres de pedreiro, réguas de nivelamento ou ferramentas elétricas para acabamento de concret"&amp;"o. Posicionarão e desmontarão formas para despejar concreto, utilizando serras, martelos, pregos ou parafusos. Operarão ferramentas manuais e elétricas de todos os tipos: martelos pneumáticos, compactadores de solo, betoneiras, pequenos guindastes mecânic"&amp;"os, equipamentos de topografia e medição, e uma variedade de outros equipamentos e instrumentos. Os trabalhadores medirão e farão o layout de edifícios comerciais. Os trabalhadores cuidarão de bombas, compressores ou geradores para fornecer energia para f"&amp;"erramentas, máquinas ou outros equipamentos. Eles operarão betoneiras, britadeiras, serras e furadeiras para quebrar concreto ou pavimento. Posicionarão, unirão, alinharão ou selarão componentes estruturais, como seções de paredes de concreto ou tubulaçõe"&amp;"s. Realizarão tarefas de preparação do canteiro de obras, como montagem de andaimes, barricadas e escoras. Descarregarão materiais, limparão e prepararão os locais, cavarão valas, instalarão escoras para sustentar as laterais das escavações, montarão anda"&amp;"imes e fôrmas de alumínio para paredes e limparão entulhos, detritos e outros resíduos. Classificação da função: 47-2051.00 - Pedreiros e Acabadores de Concreto. A classificação e descrição da função/setor inclui informações gerais sobre o cargo, conforme"&amp;" o ONET/OES e o Sistema de Classificação Industrial da América do Norte (NAICS). Consulte as Funções e a Ordem de Serviço para obter mais informações. Requisitos da vaga Experiência necessária: Sim Meses de experiência necessários: 6 Requisitos especiais:"&amp;" Deve ser capaz de levantar e carregar 34 kg por 68 metros ao longo do dia. O empregador realizará exames toxicológicos aleatórios, pagos pela empresa. Número de horas por semana: 40 Horário de trabalho (início/término): 8h às 17h")</f>
        <v>Os trabalhadores executarão tarefas relacionadas à preparação e fechamento de obras de concreto/construção para o inverno, incluindo a manutenção e conservação durante essa estação, como garantir que o local da obra esteja livre de neve e gelo antes do início dos trabalhos, devido às baixas temperaturas. Eles removerão o gelo e aplicarão sal quando as condições climáticas estiverem congelantes. Além das tarefas de preparação para o inverno, os trabalhadores realizarão tarefas que envolvem trabalho físico em canteiros de obras. Como acabadores de concreto, os trabalhadores realizarão tarefas que envolvem trabalho físico em canteiros de obras. Eles misturarão, despejarão ou espalharão concreto, utilizando betoneiras portáteis. Alisarão e darão acabamento às superfícies de concreto despejado, como pisos, calçadas, ruas ou meio-fios, utilizando uma variedade de ferramentas manuais e elétricas, como desempenadeiras, colheres de pedreiro, réguas de nivelamento ou ferramentas elétricas para acabamento de concreto. Posicionarão e desmontarão formas para despejar concreto, utilizando serras, martelos, pregos ou parafusos. Operarão ferramentas manuais e elétricas de todos os tipos: martelos pneumáticos, compactadores de solo, betoneiras, pequenos guindastes mecânicos, equipamentos de topografia e medição, e uma variedade de outros equipamentos e instrumentos. Os trabalhadores medirão e farão o layout de edifícios comerciais. Os trabalhadores cuidarão de bombas, compressores ou geradores para fornecer energia para ferramentas, máquinas ou outros equipamentos. Eles operarão betoneiras, britadeiras, serras e furadeiras para quebrar concreto ou pavimento. Posicionarão, unirão, alinharão ou selarão componentes estruturais, como seções de paredes de concreto ou tubulações. Realizarão tarefas de preparação do canteiro de obras, como montagem de andaimes, barricadas e escoras. Descarregarão materiais, limparão e prepararão os locais, cavarão valas, instalarão escoras para sustentar as laterais das escavações, montarão andaimes e fôrmas de alumínio para paredes e limparão entulhos, detritos e outros resíduos. Classificação da função: 47-2051.00 - Pedreiros e Acabadores de Concreto. A classificação e descrição da função/setor inclui informações gerais sobre o cargo, conforme o ONET/OES e o Sistema de Classificação Industrial da América do Norte (NAICS). Consulte as Funções e a Ordem de Serviço para obter mais informações. Requisitos da vaga Experiência necessária: Sim Meses de experiência necessários: 6 Requisitos especiais: Deve ser capaz de levantar e carregar 34 kg por 68 metros ao longo do dia. O empregador realizará exames toxicológicos aleatórios, pagos pela empresa. Número de horas por semana: 40 Horário de trabalho (início/término): 8h às 17h</v>
      </c>
    </row>
    <row r="2129" ht="20.25" customHeight="1">
      <c r="A2129" s="8" t="s">
        <v>9496</v>
      </c>
      <c r="B2129" s="8" t="s">
        <v>9497</v>
      </c>
      <c r="C2129" s="8" t="s">
        <v>9441</v>
      </c>
      <c r="D2129" s="8" t="s">
        <v>2222</v>
      </c>
      <c r="E2129" s="9" t="s">
        <v>19</v>
      </c>
      <c r="F2129" s="9" t="s">
        <v>20</v>
      </c>
      <c r="G2129" s="9" t="s">
        <v>377</v>
      </c>
      <c r="H2129" s="8" t="s">
        <v>9498</v>
      </c>
      <c r="I2129" s="8" t="s">
        <v>9499</v>
      </c>
      <c r="J2129" s="9">
        <v>17.62</v>
      </c>
      <c r="K2129" s="9">
        <v>4.0</v>
      </c>
      <c r="L2129" s="8" t="s">
        <v>9500</v>
      </c>
      <c r="M2129" s="8" t="s">
        <v>9501</v>
      </c>
      <c r="N2129" s="7" t="str">
        <f>IFERROR(__xludf.DUMMYFUNCTION("GOOGLETRANSLATE(L2129, ""en"", ""pt"")"),"Trabalhador de utilidades de fábrica")</f>
        <v>Trabalhador de utilidades de fábrica</v>
      </c>
      <c r="O2129" s="7" t="str">
        <f>IFERROR(__xludf.DUMMYFUNCTION("IF(M2129="""","""",GOOGLETRANSLATE(M2129,""en"",""pt""))"),"Título da Vaga: Auxiliar de Produção Supervisores Imediatos: Gerente da Unidade de Processamento Requisitos Essenciais: Horário de Trabalho: 7h às 15h30, de segunda a sexta-feira Descrição: Capacidade de trabalhar de forma independente, sem supervisão con"&amp;"stante. O auxiliar de produção realiza atividades de apoio aos gerentes e operadores da unidade. As atividades de apoio incluem, entre outras: 1. Preparar caixas e sacos; 2. Embalar produtos de acordo com as diretrizes especificadas; 3. Paletizar produtos"&amp;"/operações de armazém; 4. Separar nozes utilizando máquina de triagem para remover defeitos; 5. Monitorar máquinas; 6. Limpar as instalações ou executar tarefas conforme especificado pelo gerente da unidade; 7. Higienizar equipamentos antes do início das "&amp;"operações; 8. Realizar a manutenção geral de equipamentos e instalações durante períodos de inatividade; 9. Participar de algumas atividades de inicialização e desligamento da unidade. Espera-se também que o profissional realize outras tarefas relacionada"&amp;"s à empresa, conforme considerado apropriado e designado pelos gerentes de departamento. Essas tarefas podem incluir trabalho braçal. Detalhes: O auxiliar de produção deve estar preparado para receber diferentes atribuições de trabalho regularmente – poss"&amp;"ivelmente por hora. Grande parte do trabalho pode ser repetitivo. Condições de trabalho: Trabalha em ambiente interno na fábrica, em temperaturas elevadas. Trabalha ocasionalmente fora da fábrica. Exigências mentais: Requer atenção aos detalhes, precisão "&amp;"e bom senso em relação aos padrões de qualidade. Requisitos físicos: 1. Deve ser capaz de levantar e carregar até 23 kg. 2. Deve ser capaz de ficar em pé ou caminhar sobre superfícies de concreto por longos períodos. 3. Deve ser capaz de subir escadas e e"&amp;"scadas de mão. 4. Boa saúde geral e resistência para suportar 8 horas de atividade moderada a vigorosa. Responsabilidades de segurança e saúde: Usar os equipamentos de proteção individual obrigatórios e observar todas as normas de segurança e higiene pess"&amp;"oal. Qualificações mínimas: Nenhuma. Qualificações desejáveis: Habilidades básicas de leitura, contagem e comunicação verbal em inglês. Classificação do cargo: 51-9111.00 - Operadores e Auxiliares de Máquinas de Embalagem e Enchimento. A classificação e d"&amp;"escrição do cargo/setor incluem informações gerais sobre a posição, conforme o ONET/OES e o Sistema de Classificação Industrial da América do Norte (NAICS). Consulte as Funções e a Ordem de Serviço para obter mais informações. Requisitos da vaga Experiênc"&amp;"ia necessária: Não Número de horas por semana: 40 Horário de trabalho (início/término): 7h00 - 15h30")</f>
        <v>Título da Vaga: Auxiliar de Produção Supervisores Imediatos: Gerente da Unidade de Processamento Requisitos Essenciais: Horário de Trabalho: 7h às 15h30, de segunda a sexta-feira Descrição: Capacidade de trabalhar de forma independente, sem supervisão constante. O auxiliar de produção realiza atividades de apoio aos gerentes e operadores da unidade. As atividades de apoio incluem, entre outras: 1. Preparar caixas e sacos; 2. Embalar produtos de acordo com as diretrizes especificadas; 3. Paletizar produtos/operações de armazém; 4. Separar nozes utilizando máquina de triagem para remover defeitos; 5. Monitorar máquinas; 6. Limpar as instalações ou executar tarefas conforme especificado pelo gerente da unidade; 7. Higienizar equipamentos antes do início das operações; 8. Realizar a manutenção geral de equipamentos e instalações durante períodos de inatividade; 9. Participar de algumas atividades de inicialização e desligamento da unidade. Espera-se também que o profissional realize outras tarefas relacionadas à empresa, conforme considerado apropriado e designado pelos gerentes de departamento. Essas tarefas podem incluir trabalho braçal. Detalhes: O auxiliar de produção deve estar preparado para receber diferentes atribuições de trabalho regularmente – possivelmente por hora. Grande parte do trabalho pode ser repetitivo. Condições de trabalho: Trabalha em ambiente interno na fábrica, em temperaturas elevadas. Trabalha ocasionalmente fora da fábrica. Exigências mentais: Requer atenção aos detalhes, precisão e bom senso em relação aos padrões de qualidade. Requisitos físicos: 1. Deve ser capaz de levantar e carregar até 23 kg. 2. Deve ser capaz de ficar em pé ou caminhar sobre superfícies de concreto por longos períodos. 3. Deve ser capaz de subir escadas e escadas de mão. 4. Boa saúde geral e resistência para suportar 8 horas de atividade moderada a vigorosa. Responsabilidades de segurança e saúde: Usar os equipamentos de proteção individual obrigatórios e observar todas as normas de segurança e higiene pessoal. Qualificações mínimas: Nenhuma. Qualificações desejáveis: Habilidades básicas de leitura, contagem e comunicação verbal em inglês. Classificação do cargo: 51-9111.00 - Operadores e Auxiliares de Máquinas de Embalagem e Enchimento. A classificação e descrição do cargo/setor incluem informações gerais sobre a posição, conforme o ONET/OES e o Sistema de Classificação Industrial da América do Norte (NAICS). Consulte as Funções e a Ordem de Serviço para obter mais informações. Requisitos da vaga Experiência necessária: Não Número de horas por semana: 40 Horário de trabalho (início/término): 7h00 - 15h30</v>
      </c>
    </row>
    <row r="2130" ht="20.25" customHeight="1">
      <c r="A2130" s="3" t="s">
        <v>9502</v>
      </c>
      <c r="B2130" s="3" t="s">
        <v>9503</v>
      </c>
      <c r="C2130" s="3" t="s">
        <v>9504</v>
      </c>
      <c r="D2130" s="3" t="s">
        <v>64</v>
      </c>
      <c r="E2130" s="4" t="s">
        <v>19</v>
      </c>
      <c r="F2130" s="4" t="s">
        <v>20</v>
      </c>
      <c r="G2130" s="4" t="s">
        <v>384</v>
      </c>
      <c r="H2130" s="3" t="s">
        <v>9505</v>
      </c>
      <c r="I2130" s="3" t="s">
        <v>9506</v>
      </c>
      <c r="J2130" s="4">
        <v>50.45</v>
      </c>
      <c r="K2130" s="4">
        <v>16.0</v>
      </c>
      <c r="L2130" s="3" t="s">
        <v>9507</v>
      </c>
      <c r="M2130" s="3" t="s">
        <v>9508</v>
      </c>
      <c r="N2130" s="7" t="str">
        <f>IFERROR(__xludf.DUMMYFUNCTION("GOOGLETRANSLATE(L2130, ""en"", ""pt"")"),"Montador de Torre Ehv I (680309.000169)")</f>
        <v>Montador de Torre Ehv I (680309.000169)</v>
      </c>
      <c r="O2130" s="7" t="str">
        <f>IFERROR(__xludf.DUMMYFUNCTION("IF(M2130="""","""",GOOGLETRANSLATE(M2130,""en"",""pt""))"),"O Montador de Torres de Extra Alta Tensão I é um profissional qualificado responsável pela montagem, instalação, modificação e desmontagem de torres de transmissão de extra alta tensão (EAT) em aço treliçado, incluindo sistemas operando a 400 kV e acima. "&amp;"O profissional deve trabalhar com segurança durante a montagem, instalação, escalada e modificação de torres de transmissão de EAT em aço treliçado, incluindo sistemas de 400 kV ou mais. Lidera as atividades de montagem de torres treliçadas sob a supervis"&amp;"ão de um Encarregado ou Encarregado Geral. Aplica conhecimento prático de sequenciamento de montagem de torres treliçadas, panelização e métodos de construção de seções. Escala e trabalha em torres treliçadas em todas as alturas, utilizando equipamentos d"&amp;"e proteção contra quedas e técnicas de escalada aprovadas. Monta componentes de aço treliçado, incluindo pernas, contraventamentos, painéis, braços, cumeeiras, extensões e ferragens. Executa operações de aparafusamento de acordo com desenhos, especificaçõ"&amp;"es e requisitos de torque. Aplica os procedimentos corretos de orientação, aperto e torque final dos parafusos. Trabalha frequentemente em alturas extremas, exigindo conhecimento avançado de proteção contra quedas e práticas seguras de escalada. Manter-se"&amp;" atento e controlar os riscos de queda de objetos associados à montagem de estruturas treliçadas. Auxiliar na amarração, içamento, operação de guindastes de mastro e içamento de seções de torres treliçadas. Trabalhar com riscos de tensão induzida associad"&amp;"os a estruturas treliçadas de extra-alta tensão (EAT). Cumprir os requisitos de aterramento para a montagem de torres treliçadas adjacentes a linhas de EAT energizadas. Amarrar cargas e direcionar os sinais do guindaste ou talha durante o içamento de seçõ"&amp;"es treliçadas. Interpretar desenhos de montagem de torres treliçadas, layouts de painéis e tabelas de parafusos. Orientar montadores menos experientes em técnicas adequadas de montagem de treliças. Manter as ferramentas da empresa, equipamentos de escalad"&amp;"a, ferramentas de torque e EPIs em boas condições de funcionamento. Trabalhar em altura e/ou em áreas confinadas dentro de estruturas treliçadas montadas. Instalar e remover corretamente os EPIs e sistemas de proteção contra quedas. Executar todas as outr"&amp;"as tarefas relacionadas, conforme necessário para a conclusão do trabalho. Seguir as normas de segurança da empresa e todas as demais políticas da empresa. O trabalho poderá ser realizado em locais não previstos no Texas, dependendo do desenvolvimento do "&amp;"projeto. Classificação da Função: 49-9051.00 - Instaladores e Reparadores de Linhas de Transmissão de Energia Elétrica. A classificação e descrição da função/setor inclui informações gerais sobre o cargo, conforme o ONET/OES e o Sistema de Classificação I"&amp;"ndustrial da América do Norte (NAICS). Consulte as Funções e a Ordem de Serviço para obter mais informações. Requisitos da Função Experiência Necessária: Sim Meses de Experiência Necessários: 60 Requisitos Especiais: O cargo exige pelo menos cinco anos de"&amp;" experiência em montagem de torres de transmissão treliçadas. Experiência com treliças de extra-alta tensão (400kV+) é obrigatória. Disponibilidade para viagens de longa distância com pouco aviso prévio, quando necessário. Disponibilidade para trabalhar p"&amp;"or períodos prolongados em diferentes locais, quando necessário. Capacidade de levantar mais de 23 kg. Disponibilidade para trabalhar fora do horário normal, incluindo fins de semana e feriados, conforme necessário para o cargo. Necessário trabalhar ao ar"&amp;" livre, frequentemente em condições climáticas adversas. Capacidade para realizar trabalho físico intenso. Aprovação em exame toxicológico pré-admissional, verificação de antecedentes e/ou verificação do histórico de condução. Para cargos que envolvam dir"&amp;"eção ou trabalho regulamentado pelo DOT (Departamento de Transportes dos EUA), os funcionários também devem ser aprovados em um exame físico do DOT, incluindo teste toxicológico. Número de horas por semana: 40. Horário de trabalho (início/término): 8h às "&amp;"16h30.")</f>
        <v>O Montador de Torres de Extra Alta Tensão I é um profissional qualificado responsável pela montagem, instalação, modificação e desmontagem de torres de transmissão de extra alta tensão (EAT) em aço treliçado, incluindo sistemas operando a 400 kV e acima. O profissional deve trabalhar com segurança durante a montagem, instalação, escalada e modificação de torres de transmissão de EAT em aço treliçado, incluindo sistemas de 400 kV ou mais. Lidera as atividades de montagem de torres treliçadas sob a supervisão de um Encarregado ou Encarregado Geral. Aplica conhecimento prático de sequenciamento de montagem de torres treliçadas, panelização e métodos de construção de seções. Escala e trabalha em torres treliçadas em todas as alturas, utilizando equipamentos de proteção contra quedas e técnicas de escalada aprovadas. Monta componentes de aço treliçado, incluindo pernas, contraventamentos, painéis, braços, cumeeiras, extensões e ferragens. Executa operações de aparafusamento de acordo com desenhos, especificações e requisitos de torque. Aplica os procedimentos corretos de orientação, aperto e torque final dos parafusos. Trabalha frequentemente em alturas extremas, exigindo conhecimento avançado de proteção contra quedas e práticas seguras de escalada. Manter-se atento e controlar os riscos de queda de objetos associados à montagem de estruturas treliçadas. Auxiliar na amarração, içamento, operação de guindastes de mastro e içamento de seções de torres treliçadas. Trabalhar com riscos de tensão induzida associados a estruturas treliçadas de extra-alta tensão (EAT). Cumprir os requisitos de aterramento para a montagem de torres treliçadas adjacentes a linhas de EAT energizadas. Amarrar cargas e direcionar os sinais do guindaste ou talha durante o içamento de seções treliçadas. Interpretar desenhos de montagem de torres treliçadas, layouts de painéis e tabelas de parafusos. Orientar montadores menos experientes em técnicas adequadas de montagem de treliças. Manter as ferramentas da empresa, equipamentos de escalada, ferramentas de torque e EPIs em boas condições de funcionamento. Trabalhar em altura e/ou em áreas confinadas dentro de estruturas treliçadas montadas. Instalar e remover corretamente os EPIs e sistemas de proteção contra quedas. Executar todas as outras tarefas relacionadas, conforme necessário para a conclusão do trabalho. Seguir as normas de segurança da empresa e todas as demais políticas da empresa. O trabalho poderá ser realizado em locais não previstos no Texas, dependendo do desenvolvimento do projeto. Classificação da Função: 49-9051.00 - Instaladores e Reparadores de Linhas de Transmissão de Energia Elétrica. A classificação e descrição da função/setor inclui informações gerais sobre o cargo, conforme o ONET/OES e o Sistema de Classificação Industrial da América do Norte (NAICS). Consulte as Funções e a Ordem de Serviço para obter mais informações. Requisitos da Função Experiência Necessária: Sim Meses de Experiência Necessários: 60 Requisitos Especiais: O cargo exige pelo menos cinco anos de experiência em montagem de torres de transmissão treliçadas. Experiência com treliças de extra-alta tensão (400kV+) é obrigatória. Disponibilidade para viagens de longa distância com pouco aviso prévio, quando necessário. Disponibilidade para trabalhar por períodos prolongados em diferentes locais, quando necessário. Capacidade de levantar mais de 23 kg. Disponibilidade para trabalhar fora do horário normal, incluindo fins de semana e feriados, conforme necessário para o cargo. Necessário trabalhar ao ar livre, frequentemente em condições climáticas adversas. Capacidade para realizar trabalho físico intenso. Aprovação em exame toxicológico pré-admissional, verificação de antecedentes e/ou verificação do histórico de condução. Para cargos que envolvam direção ou trabalho regulamentado pelo DOT (Departamento de Transportes dos EUA), os funcionários também devem ser aprovados em um exame físico do DOT, incluindo teste toxicológico. Número de horas por semana: 40. Horário de trabalho (início/término): 8h às 16h30.</v>
      </c>
    </row>
    <row r="2131" ht="20.25" customHeight="1">
      <c r="A2131" s="8" t="s">
        <v>9509</v>
      </c>
      <c r="B2131" s="8" t="s">
        <v>9503</v>
      </c>
      <c r="C2131" s="8" t="s">
        <v>9504</v>
      </c>
      <c r="D2131" s="8" t="s">
        <v>64</v>
      </c>
      <c r="E2131" s="9" t="s">
        <v>19</v>
      </c>
      <c r="F2131" s="9" t="s">
        <v>20</v>
      </c>
      <c r="G2131" s="9" t="s">
        <v>384</v>
      </c>
      <c r="H2131" s="8" t="s">
        <v>9505</v>
      </c>
      <c r="I2131" s="8" t="s">
        <v>9506</v>
      </c>
      <c r="J2131" s="9">
        <v>58.01</v>
      </c>
      <c r="K2131" s="9">
        <v>22.0</v>
      </c>
      <c r="L2131" s="8" t="s">
        <v>9510</v>
      </c>
      <c r="M2131" s="8" t="s">
        <v>9511</v>
      </c>
      <c r="N2131" s="7" t="str">
        <f>IFERROR(__xludf.DUMMYFUNCTION("GOOGLETRANSLATE(L2131, ""en"", ""pt"")"),"Ehv A Lineworker - Transmissão (680309.000167)")</f>
        <v>Ehv A Lineworker - Transmissão (680309.000167)</v>
      </c>
      <c r="O2131" s="7" t="str">
        <f>IFERROR(__xludf.DUMMYFUNCTION("IF(M2131="""","""",GOOGLETRANSLATE(M2131,""en"",""pt""))"),"Esta é uma posição altamente especializada na construção, manutenção e reparo de sistemas de transmissão de energia elétrica de alta e extra-alta tensão (EAT), incluindo sistemas operando a 400 kV e acima. O profissional deverá trabalhar com segurança dur"&amp;"ante a construção, manutenção ou reparo de sistemas de transmissão energizados e desenergizados, incluindo circuitos de 400 kV ou mais. Deverá ser capaz de orientar membros da equipe na ausência do responsável em projetos de transmissão e EAT. Suas respon"&amp;"sabilidades incluem a instalação de condutores aéreos, incluindo condutores agrupados usados ​​em linhas de transmissão EAT; a montagem de torres treliçadas, postes, estruturas, fundações e ancoragens para sistemas de alta e extra-alta tensão; e a resoluç"&amp;"ão de problemas em sistemas de transmissão e EAT. O trabalho envolve frequentemente o manuseio de sistemas energizados de alta e extra-alta tensão, exigindo habilidade avançada, precisão e estrita adesão aos procedimentos de segurança para proteger a vida"&amp;" do profissional e de terceiros. O profissional também deverá manter os veículos, equipamentos e ferramentas da empresa em boas condições de funcionamento. Trabalho com luvas, vara de manobra e/ou com as mãos nuas em linhas de transmissão de alta tensão e"&amp;" extra-alta tensão (EAT), conforme qualificação. Identificar tensões primárias e secundárias em circuitos padrão e de EAT. Adquirir conhecimento em trabalho com as mãos nuas e com vara de manobra em linhas energizadas de alta tensão e EAT. Compreender e i"&amp;"nterpretar plantas, desenhos estruturais e projetos de construção de EAT. Aplicar corretamente a flecha em condutores, incluindo operações de flecha em grandes vãos e em linhas de alta tensão de EAT. Instruir a equipe na montagem e instalação de postes e "&amp;"estruturas treliçadas ou monopolares em todas as alturas. Realizar operações de aterramento e flecha em todos os tipos de condutores, incluindo condutores de EAT. Executar trabalhos em linhas energizadas em sistemas de condutores. Operar guindaste perfura"&amp;"dor e equipamentos utilizados na construção de EAT. Escalar postes e torres, incluindo estruturas treliçadas de aço e monopolares de EAT. Realizar içamento e amarração de cargas pesadas para trabalhos de transmissão e EAT. Trabalhar com tensão induzida, i"&amp;"ncluindo a indução aumentada comum em sistemas de EAT. Executar procedimentos de aterramento para linhas de transmissão e EAT. Trabalho em altura e/ou espaços confinados. Instalação e remoção adequadas de EPIs e vestimentas de proteção para extra-alta ten"&amp;"são (EAT). Escalada em diferentes tipos de estruturas (madeira, aço, treliça, monopolo, etc.) e utilização das ferramentas necessárias. Desativação de linhas com o uso correto de bastões de faseamento em circuitos de alta tensão e EAT. Identificação e loc"&amp;"alização de conjuntos de puxadores e tensionadores adequados para instalações de condutores de EAT. Planejamento de trabalho seguro com base em um projeto ou ordem de serviço, incluindo riscos e distâncias de segurança específicos para EAT. Obtenção de au"&amp;"torização única para operação de religador. Cumprimento da distância mínima de aproximação, incluindo requisitos de DMA estendida para tensões de EAT. Utilização de procedimentos de sinalização e etiquetagem. Execução de resgate/escape básico em cesto aér"&amp;"eo. Condução eficaz de reuniões prévias ou de segurança. Execução segura de trabalhos de recondução, incluindo projetos de recondução de EAT. Instalação e remoção segura de jumpers mecânicos em sistemas de alta tensão e EAT. Inspecionar corretamente equip"&amp;"amentos de borracha, capas e EPIs classificados para aplicações de transmissão e EHV (Extra Alta Tensão). Seguir as normas de segurança da empresa e todas as demais políticas da empresa. Executar todas as demais tarefas relacionadas, conforme necessário p"&amp;"ara a conclusão do trabalho. O trabalho será realizado em locais não previstos no Texas, dependendo do desenvolvimento do projeto. Classificação da vaga: 49-9051.00 - Instaladores e Reparadores de Linhas de Transmissão de Energia Elétrica. A classificação"&amp;" e a descrição da vaga/setor incluem informações gerais sobre o cargo, de acordo com o ONET/OES e o Sistema de Classificação Industrial da América do Norte (NAICS). Consulte as Funções e a Ordem de Serviço para obter mais informações. Requisitos da vaga: "&amp;"Experiência necessária: Sim. Meses de experiência necessários: 60. Requisitos especiais: A vaga exige pelo menos cinco anos de experiência recente em campo em linhas de transmissão ou áreas afins. Disponibilidade para viajar longas distâncias com pouco av"&amp;"iso prévio, quando necessário. Disponibilidade para trabalhar por períodos prolongados em diversos locais, quando necessário. Capacidade de levantar mais de 23 kg. Disponibilidade para trabalhar fora do horário normal de trabalho, incluindo fins de semana"&amp;" e feriados, conforme necessário para a função. Necessário trabalhar ao ar livre, frequentemente em condições climáticas adversas. Capacidade para realizar trabalho físico intenso. O candidato deve ser aprovado em exame toxicológico pré-admissional, verif"&amp;"icação de antecedentes e/ou consulta ao histórico de condução (MVR). Para cargos que envolvam direção ou trabalho regulamentado pelo DOT (Departamento de Transportes dos EUA), os funcionários também devem ser aprovados em exame físico do DOT, incluindo ex"&amp;"ame toxicológico. Número de horas semanais: 40. Horário de trabalho (início/término): 8h às 16h30.")</f>
        <v>Esta é uma posição altamente especializada na construção, manutenção e reparo de sistemas de transmissão de energia elétrica de alta e extra-alta tensão (EAT), incluindo sistemas operando a 400 kV e acima. O profissional deverá trabalhar com segurança durante a construção, manutenção ou reparo de sistemas de transmissão energizados e desenergizados, incluindo circuitos de 400 kV ou mais. Deverá ser capaz de orientar membros da equipe na ausência do responsável em projetos de transmissão e EAT. Suas responsabilidades incluem a instalação de condutores aéreos, incluindo condutores agrupados usados ​​em linhas de transmissão EAT; a montagem de torres treliçadas, postes, estruturas, fundações e ancoragens para sistemas de alta e extra-alta tensão; e a resolução de problemas em sistemas de transmissão e EAT. O trabalho envolve frequentemente o manuseio de sistemas energizados de alta e extra-alta tensão, exigindo habilidade avançada, precisão e estrita adesão aos procedimentos de segurança para proteger a vida do profissional e de terceiros. O profissional também deverá manter os veículos, equipamentos e ferramentas da empresa em boas condições de funcionamento. Trabalho com luvas, vara de manobra e/ou com as mãos nuas em linhas de transmissão de alta tensão e extra-alta tensão (EAT), conforme qualificação. Identificar tensões primárias e secundárias em circuitos padrão e de EAT. Adquirir conhecimento em trabalho com as mãos nuas e com vara de manobra em linhas energizadas de alta tensão e EAT. Compreender e interpretar plantas, desenhos estruturais e projetos de construção de EAT. Aplicar corretamente a flecha em condutores, incluindo operações de flecha em grandes vãos e em linhas de alta tensão de EAT. Instruir a equipe na montagem e instalação de postes e estruturas treliçadas ou monopolares em todas as alturas. Realizar operações de aterramento e flecha em todos os tipos de condutores, incluindo condutores de EAT. Executar trabalhos em linhas energizadas em sistemas de condutores. Operar guindaste perfurador e equipamentos utilizados na construção de EAT. Escalar postes e torres, incluindo estruturas treliçadas de aço e monopolares de EAT. Realizar içamento e amarração de cargas pesadas para trabalhos de transmissão e EAT. Trabalhar com tensão induzida, incluindo a indução aumentada comum em sistemas de EAT. Executar procedimentos de aterramento para linhas de transmissão e EAT. Trabalho em altura e/ou espaços confinados. Instalação e remoção adequadas de EPIs e vestimentas de proteção para extra-alta tensão (EAT). Escalada em diferentes tipos de estruturas (madeira, aço, treliça, monopolo, etc.) e utilização das ferramentas necessárias. Desativação de linhas com o uso correto de bastões de faseamento em circuitos de alta tensão e EAT. Identificação e localização de conjuntos de puxadores e tensionadores adequados para instalações de condutores de EAT. Planejamento de trabalho seguro com base em um projeto ou ordem de serviço, incluindo riscos e distâncias de segurança específicos para EAT. Obtenção de autorização única para operação de religador. Cumprimento da distância mínima de aproximação, incluindo requisitos de DMA estendida para tensões de EAT. Utilização de procedimentos de sinalização e etiquetagem. Execução de resgate/escape básico em cesto aéreo. Condução eficaz de reuniões prévias ou de segurança. Execução segura de trabalhos de recondução, incluindo projetos de recondução de EAT. Instalação e remoção segura de jumpers mecânicos em sistemas de alta tensão e EAT. Inspecionar corretamente equipamentos de borracha, capas e EPIs classificados para aplicações de transmissão e EHV (Extra Alta Tensão). Seguir as normas de segurança da empresa e todas as demais políticas da empresa. Executar todas as demais tarefas relacionadas, conforme necessário para a conclusão do trabalho. O trabalho será realizado em locais não previstos no Texas, dependendo do desenvolvimento do projeto. Classificação da vaga: 49-9051.00 - Instaladores e Reparadores de Linhas de Transmissão de Energia Elétrica. A classificação e a descrição da vaga/setor incluem informações gerais sobre o cargo, de acordo com o ONET/OES e o Sistema de Classificação Industrial da América do Norte (NAICS). Consulte as Funções e a Ordem de Serviço para obter mais informações. Requisitos da vaga: Experiência necessária: Sim. Meses de experiência necessários: 60. Requisitos especiais: A vaga exige pelo menos cinco anos de experiência recente em campo em linhas de transmissão ou áreas afins. Disponibilidade para viajar longas distâncias com pouco aviso prévio, quando necessário. Disponibilidade para trabalhar por períodos prolongados em diversos locais, quando necessário. Capacidade de levantar mais de 23 kg. Disponibilidade para trabalhar fora do horário normal de trabalho, incluindo fins de semana e feriados, conforme necessário para a função. Necessário trabalhar ao ar livre, frequentemente em condições climáticas adversas. Capacidade para realizar trabalho físico intenso. O candidato deve ser aprovado em exame toxicológico pré-admissional, verificação de antecedentes e/ou consulta ao histórico de condução (MVR). Para cargos que envolvam direção ou trabalho regulamentado pelo DOT (Departamento de Transportes dos EUA), os funcionários também devem ser aprovados em exame físico do DOT, incluindo exame toxicológico. Número de horas semanais: 40. Horário de trabalho (início/término): 8h às 16h30.</v>
      </c>
    </row>
    <row r="2132" ht="20.25" customHeight="1">
      <c r="A2132" s="3" t="s">
        <v>9512</v>
      </c>
      <c r="B2132" s="3" t="s">
        <v>9503</v>
      </c>
      <c r="C2132" s="3" t="s">
        <v>9504</v>
      </c>
      <c r="D2132" s="3" t="s">
        <v>64</v>
      </c>
      <c r="E2132" s="4" t="s">
        <v>44</v>
      </c>
      <c r="F2132" s="4" t="s">
        <v>20</v>
      </c>
      <c r="G2132" s="4" t="s">
        <v>384</v>
      </c>
      <c r="H2132" s="3" t="s">
        <v>9505</v>
      </c>
      <c r="I2132" s="3" t="s">
        <v>9506</v>
      </c>
      <c r="J2132" s="4">
        <v>61.79</v>
      </c>
      <c r="K2132" s="4">
        <v>6.0</v>
      </c>
      <c r="L2132" s="3" t="s">
        <v>9513</v>
      </c>
      <c r="M2132" s="3" t="s">
        <v>9514</v>
      </c>
      <c r="N2132" s="7" t="str">
        <f>IFERROR(__xludf.DUMMYFUNCTION("GOOGLETRANSLATE(L2132, ""en"", ""pt"")"),"Funcionário da Ehv responsável pela transmissão (680309.000168)")</f>
        <v>Funcionário da Ehv responsável pela transmissão (680309.000168)</v>
      </c>
      <c r="O2132" s="7" t="str">
        <f>IFERROR(__xludf.DUMMYFUNCTION("IF(M2132="""","""",GOOGLETRANSLATE(M2132,""en"",""pt""))"),"O Encarregado de EHV (Extra Alta Tensão) é um cargo de liderança altamente especializado na construção, manutenção e reparo de sistemas de transmissão de energia elétrica de alta e extra alta tensão (EHV), incluindo sistemas operando a 400kV e acima. O pr"&amp;"ofissional deverá trabalhar com segurança durante a construção, manutenção ou reparo de sistemas de transmissão energizados e desenergizados, incluindo circuitos de 400kV+. Suas responsabilidades incluem coordenar e inspecionar o trabalho dos membros da e"&amp;"quipe, orientar os membros da equipe utilizando conhecimentos de liderança e gestão, treinar funcionários menos experientes em procedimentos de trabalho seguros e produtivos específicos para transmissão e EHV, e instruir e ensinar o trabalho com vara de m"&amp;"anobra em linhas energizadas de alta e extra alta tensão. O profissional também deverá realizar reuniões de pré-trabalho ou reuniões de segurança com ênfase nos riscos de EHV, distâncias de segurança e planejamento do trabalho, além de instalar cabos aére"&amp;"os, incluindo condutores de EHV agrupados e de longo alcance. Por fim, deverá instalar torres treliçadas, postes, estruturas e ancoragens para sistemas de transmissão e EHV. Instalar equipamentos relacionados à transmissão, incluindo cruzetas, isoladores,"&amp;" chaves, painéis de distribuição e aparelhos correlatos associados a sistemas de alta tensão e extra-alta tensão (EAT). Solucionar problemas e orientar as equipes de solução de problemas em sistemas de transmissão e EAT. Coordenar e direcionar ações corre"&amp;"tivas relacionadas a falhas no sistema, interrupções e atividades de recondução. Trabalhar frequentemente com sistemas energizados de alta e extra-alta tensão, exigindo habilidades avançadas, liderança e rigoroso cumprimento das normas de segurança para p"&amp;"roteger a vida própria e de terceiros. Manter os veículos, equipamentos e ferramentas da empresa em boas condições de funcionamento. Identificar a tensão primária e secundária em circuitos de transmissão e EAT. Trabalhar com tensão induzida, incluindo a i"&amp;"ndução elevada associada a linhas de transmissão EAT. Aplicar corretamente a flecha do condutor, incluindo operações de flecha e tensionamento em EAT. Fasear corretamente um circuito em uma subestação ou sistema de transmissão, incluindo aplicações em EAT"&amp;". Identificar e localizar configurações de puxadores e tensionadores adequadas para instalações de condutores em EAT. Executar os procedimentos de aterramento EPZ para sistemas de transmissão e EAT. Trabalhar em altura e/ou espaços confinados. Instalar e "&amp;"remover corretamente os EPIs e as proteções de alta tensão (EAT). Escalar diferentes tipos de estruturas (madeira, aço, treliçadas, monopolo, etc.) e possuir as ferramentas necessárias para tal. Operar com segurança os equipamentos utilizados na construçã"&amp;"o de linhas de transmissão e EAT. Realizar o desfasamento de uma linha utilizando bastões de faseamento em circuitos de alta tensão e EAT. Planejar o trabalho com segurança com base em um projeto ou ordem de serviço, incluindo os riscos específicos de EAT"&amp;" e as distâncias mínimas de aproximação. Obter autorização para operação única em um religador. Executar e orientar com segurança um trabalho de recondução, incluindo projetos de recondução de EAT. Instalar e remover com segurança jumpers mecânicos em sis"&amp;"temas de transmissão e EAT. Utilizar uma ferramenta de interrupção de carga. Solicitar, receber e liberar corretamente as autorizações de linha junto aos operadores do sistema para circuitos de transmissão e EAT. Identificar e localizar os equipamentos de"&amp;" tração e tensionamento. Compreender os procedimentos de sinalização e etiquetagem. Cumprir os procedimentos de relatório da empresa e preencher a documentação necessária. Seguir as normas de segurança da empresa e todas as demais políticas da empresa. O "&amp;"trabalho poderá ser realizado em locais não previstos no Texas, dependendo do desenvolvimento do projeto. Classificação da Função: 49-9051.00 - Instaladores e Reparadores de Linhas de Energia Elétrica. A classificação e descrição da função/setor inclui in"&amp;"formações gerais sobre o cargo, de acordo com o ONET/OES e o Sistema de Classificação Industrial da América do Norte (NAICS). Consulte as Funções e a Ordem de Serviço para obter mais informações. Requisitos da Função Experiência Necessária: Sim Meses de E"&amp;"xperiência Necessários: 60 Requisitos Especiais: A função exige pelo menos cinco anos de experiência. Disponibilidade para viajar longas distâncias com pouco aviso prévio, quando necessário. Disponibilidade para trabalhar por períodos prolongados em difer"&amp;"entes locais, quando necessário. Capacidade de levantar mais de 23 kg. Disponibilidade para trabalhar fora do horário normal de trabalho, incluindo fins de semana e feriados, conforme necessário para a função. Capacidade para realizar trabalho físico inte"&amp;"nso. Necessário trabalhar ao ar livre, frequentemente em condições climáticas adversas. Aprovação em exame toxicológico pré-admissional, verificação de antecedentes e/ou verificação do histórico de condução (MVR). Para cargos que envolvam direção ou traba"&amp;"lho regulamentado pelo DOT (Departamento de Transportes dos EUA), os funcionários também devem ser aprovados em um exame físico do DOT, incluindo exame toxicológico. Número de horas por semana: 40 Horário de trabalho (início/término): 8h00 - 16h30")</f>
        <v>O Encarregado de EHV (Extra Alta Tensão) é um cargo de liderança altamente especializado na construção, manutenção e reparo de sistemas de transmissão de energia elétrica de alta e extra alta tensão (EHV), incluindo sistemas operando a 400kV e acima. O profissional deverá trabalhar com segurança durante a construção, manutenção ou reparo de sistemas de transmissão energizados e desenergizados, incluindo circuitos de 400kV+. Suas responsabilidades incluem coordenar e inspecionar o trabalho dos membros da equipe, orientar os membros da equipe utilizando conhecimentos de liderança e gestão, treinar funcionários menos experientes em procedimentos de trabalho seguros e produtivos específicos para transmissão e EHV, e instruir e ensinar o trabalho com vara de manobra em linhas energizadas de alta e extra alta tensão. O profissional também deverá realizar reuniões de pré-trabalho ou reuniões de segurança com ênfase nos riscos de EHV, distâncias de segurança e planejamento do trabalho, além de instalar cabos aéreos, incluindo condutores de EHV agrupados e de longo alcance. Por fim, deverá instalar torres treliçadas, postes, estruturas e ancoragens para sistemas de transmissão e EHV. Instalar equipamentos relacionados à transmissão, incluindo cruzetas, isoladores, chaves, painéis de distribuição e aparelhos correlatos associados a sistemas de alta tensão e extra-alta tensão (EAT). Solucionar problemas e orientar as equipes de solução de problemas em sistemas de transmissão e EAT. Coordenar e direcionar ações corretivas relacionadas a falhas no sistema, interrupções e atividades de recondução. Trabalhar frequentemente com sistemas energizados de alta e extra-alta tensão, exigindo habilidades avançadas, liderança e rigoroso cumprimento das normas de segurança para proteger a vida própria e de terceiros. Manter os veículos, equipamentos e ferramentas da empresa em boas condições de funcionamento. Identificar a tensão primária e secundária em circuitos de transmissão e EAT. Trabalhar com tensão induzida, incluindo a indução elevada associada a linhas de transmissão EAT. Aplicar corretamente a flecha do condutor, incluindo operações de flecha e tensionamento em EAT. Fasear corretamente um circuito em uma subestação ou sistema de transmissão, incluindo aplicações em EAT. Identificar e localizar configurações de puxadores e tensionadores adequadas para instalações de condutores em EAT. Executar os procedimentos de aterramento EPZ para sistemas de transmissão e EAT. Trabalhar em altura e/ou espaços confinados. Instalar e remover corretamente os EPIs e as proteções de alta tensão (EAT). Escalar diferentes tipos de estruturas (madeira, aço, treliçadas, monopolo, etc.) e possuir as ferramentas necessárias para tal. Operar com segurança os equipamentos utilizados na construção de linhas de transmissão e EAT. Realizar o desfasamento de uma linha utilizando bastões de faseamento em circuitos de alta tensão e EAT. Planejar o trabalho com segurança com base em um projeto ou ordem de serviço, incluindo os riscos específicos de EAT e as distâncias mínimas de aproximação. Obter autorização para operação única em um religador. Executar e orientar com segurança um trabalho de recondução, incluindo projetos de recondução de EAT. Instalar e remover com segurança jumpers mecânicos em sistemas de transmissão e EAT. Utilizar uma ferramenta de interrupção de carga. Solicitar, receber e liberar corretamente as autorizações de linha junto aos operadores do sistema para circuitos de transmissão e EAT. Identificar e localizar os equipamentos de tração e tensionamento. Compreender os procedimentos de sinalização e etiquetagem. Cumprir os procedimentos de relatório da empresa e preencher a documentação necessária. Seguir as normas de segurança da empresa e todas as demais políticas da empresa. O trabalho poderá ser realizado em locais não previstos no Texas, dependendo do desenvolvimento do projeto. Classificação da Função: 49-9051.00 - Instaladores e Reparadores de Linhas de Energia Elétrica. A classificação e descrição da função/setor inclui informações gerais sobre o cargo, de acordo com o ONET/OES e o Sistema de Classificação Industrial da América do Norte (NAICS). Consulte as Funções e a Ordem de Serviço para obter mais informações. Requisitos da Função Experiência Necessária: Sim Meses de Experiência Necessários: 60 Requisitos Especiais: A função exige pelo menos cinco anos de experiência. Disponibilidade para viajar longas distâncias com pouco aviso prévio, quando necessário. Disponibilidade para trabalhar por períodos prolongados em diferentes locais, quando necessário. Capacidade de levantar mais de 23 kg. Disponibilidade para trabalhar fora do horário normal de trabalho, incluindo fins de semana e feriados, conforme necessário para a função. Capacidade para realizar trabalho físico intenso. Necessário trabalhar ao ar livre, frequentemente em condições climáticas adversas. Aprovação em exame toxicológico pré-admissional, verificação de antecedentes e/ou verificação do histórico de condução (MVR). Para cargos que envolvam direção ou trabalho regulamentado pelo DOT (Departamento de Transportes dos EUA), os funcionários também devem ser aprovados em um exame físico do DOT, incluindo exame toxicológico. Número de horas por semana: 40 Horário de trabalho (início/término): 8h00 - 16h30</v>
      </c>
    </row>
    <row r="2133" ht="20.25" customHeight="1">
      <c r="A2133" s="8" t="s">
        <v>9515</v>
      </c>
      <c r="B2133" s="8" t="s">
        <v>9516</v>
      </c>
      <c r="C2133" s="8" t="s">
        <v>9397</v>
      </c>
      <c r="D2133" s="8" t="s">
        <v>271</v>
      </c>
      <c r="E2133" s="9" t="s">
        <v>19</v>
      </c>
      <c r="F2133" s="9" t="s">
        <v>20</v>
      </c>
      <c r="G2133" s="9" t="s">
        <v>80</v>
      </c>
      <c r="H2133" s="8" t="s">
        <v>9517</v>
      </c>
      <c r="I2133" s="8" t="s">
        <v>9518</v>
      </c>
      <c r="J2133" s="9">
        <v>19.42</v>
      </c>
      <c r="K2133" s="9">
        <v>83.0</v>
      </c>
      <c r="L2133" s="8" t="s">
        <v>59</v>
      </c>
      <c r="M2133" s="8" t="s">
        <v>9519</v>
      </c>
      <c r="N2133" s="7" t="str">
        <f>IFERROR(__xludf.DUMMYFUNCTION("GOOGLETRANSLATE(L2133, ""en"", ""pt"")"),"Trabalhador de paisagismo")</f>
        <v>Trabalhador de paisagismo</v>
      </c>
      <c r="O2133" s="7" t="str">
        <f>IFERROR(__xludf.DUMMYFUNCTION("IF(M2133="""","""",GOOGLETRANSLATE(M2133,""en"",""pt""))"),"Serão necessários trabalhadores para cuidados com gramados, poda, fertilização, manutenção e reparo de sistemas de irrigação, além de procedimentos gerais de limpeza em propriedades. Trabalho externo, trabalho físico. Classificação da vaga: 37-3011.00 - T"&amp;"rabalhadores de Paisagismo e Jardinagem. A classificação e descrição da vaga/setor incluem informações gerais sobre o cargo, de acordo com o ONET/OES e o Sistema de Classificação Industrial da América do Norte (NAICS). Consulte as Funções e a Ordem de Ser"&amp;"viço para obter mais informações. Requisitos da vaga: Experiência necessária: Sim. Meses de experiência necessários: 3. Requisitos especiais: O trabalho pode incluir fins de semana e feriados. Número de horas por semana: 40. Horário de trabalho (início/té"&amp;"rmino): 6h às 14h30.")</f>
        <v>Serão necessários trabalhadores para cuidados com gramados, poda, fertilização, manutenção e reparo de sistemas de irrigação, além de procedimentos gerais de limpeza em propriedades. Trabalho externo, trabalho físico. Classificação da vaga: 37-3011.00 - Trabalhadores de Paisagismo e Jardinagem. A classificação e descrição da vaga/setor incluem informações gerais sobre o cargo, de acordo com o ONET/OES e o Sistema de Classificação Industrial da América do Norte (NAICS). Consulte as Funções e a Ordem de Serviço para obter mais informações. Requisitos da vaga: Experiência necessária: Sim. Meses de experiência necessários: 3. Requisitos especiais: O trabalho pode incluir fins de semana e feriados. Número de horas por semana: 40. Horário de trabalho (início/término): 6h às 14h30.</v>
      </c>
    </row>
    <row r="2134" ht="20.25" customHeight="1">
      <c r="A2134" s="3" t="s">
        <v>9520</v>
      </c>
      <c r="B2134" s="3" t="s">
        <v>9521</v>
      </c>
      <c r="C2134" s="3" t="s">
        <v>9522</v>
      </c>
      <c r="D2134" s="3" t="s">
        <v>532</v>
      </c>
      <c r="E2134" s="4" t="s">
        <v>44</v>
      </c>
      <c r="F2134" s="4" t="s">
        <v>20</v>
      </c>
      <c r="G2134" s="4" t="s">
        <v>9523</v>
      </c>
      <c r="H2134" s="3" t="s">
        <v>9524</v>
      </c>
      <c r="I2134" s="3"/>
      <c r="J2134" s="4">
        <v>65.77</v>
      </c>
      <c r="K2134" s="4">
        <v>5.0</v>
      </c>
      <c r="L2134" s="3" t="s">
        <v>9525</v>
      </c>
      <c r="M2134" s="3" t="s">
        <v>9526</v>
      </c>
      <c r="N2134" s="7" t="str">
        <f>IFERROR(__xludf.DUMMYFUNCTION("GOOGLETRANSLATE(L2134, ""en"", ""pt"")"),"Especialista - Energia")</f>
        <v>Especialista - Energia</v>
      </c>
      <c r="O2134" s="7" t="str">
        <f>IFERROR(__xludf.DUMMYFUNCTION("IF(M2134="""","""",GOOGLETRANSLATE(M2134,""en"",""pt""))"),"Responsável pelo planejamento, supervisão técnica e entrega de soluções temporárias de energia e climatização (HVAC) para os Jogos Olímpicos e Paralímpicos de Los Angeles 2028. Esta função trabalha em estreita colaboração com a LA28 Energy, as partes inte"&amp;"ressadas dos locais de competição e as equipes internas do programa olímpico para traduzir estratégias de energia de alto nível em projetos executáveis ​​e planos operacionais. A posição abrange desde a fase inicial de projeto e integração até a instalaçã"&amp;"o nos locais de competição e as operações durante os Jogos, garantindo o fornecimento de energia confiável, em conformidade com as normas e resiliente em um ambiente olímpico com múltiplos locais de competição. Atua como um elo técnico e operacional sênio"&amp;"r entre a Sunbelt Rentals e a LA28 Energy, garantindo o alinhamento com as estratégias de energia olímpicas, os padrões de redundância e os protocolos operacionais durante os Jogos. Contribui com orientação especializada durante a fase de projeto olímpico"&amp;", assessorando na geração, distribuição, cabeamento e gerenciamento de carga de energia temporária, em consonância com as melhores práticas de Jogos Olímpicos anteriores. Apoia o desenvolvimento e a execução do plano diretor integrado de energia olímpica "&amp;"para locais de competição, não competição e áreas de apoio. Traduz conceitos de projeto de nível olímpico em escopos, cronogramas e planos logísticos executáveis, em coordenação com as equipes de Gerenciamento de Programas, Planejamento, Logística e Compr"&amp;"as. Supervisionar orçamentos, tabelas de preços, alterações de escopo e ordens de alteração durante as fases de projeto, construção e operação. Identificar e mitigar riscos de entrega associados às operações de energia durante os Jogos, incluindo planejam"&amp;"ento de contingência, redundância e estratégias de resiliência. Realizar revisões de controle de qualidade durante o desenvolvimento e a implementação para garantir a conformidade com os padrões da Sunbelt Rentals e da LA28. Apoiar o recrutamento, a integ"&amp;"ração e a liderança de equipes operacionais de energia com experiência em Olimpíadas durante a instalação e as operações durante os Jogos. Realizar viagens regulares à cidade-sede dos Jogos Olímpicos durante as fases iniciais do projeto. Passará a residir"&amp;" em tempo integral no local à medida que os Jogos Olímpicos se aproximam e durante os Jogos. Outras atribuições conforme designadas pelo gerente. Todas as tarefas devem ser executadas de acordo com as políticas e diretrizes de segurança da Sunbelt. A posi"&amp;"ção permite trabalho remoto. Classificação da vaga: 17-2071.00 - Engenheiros Elétricos. A classificação e a descrição da vaga/setor incluem informações gerais sobre a posição, de acordo com o ONET/OES e o Sistema de Classificação Industrial da América do "&amp;"Norte. Consulte as Atribuições e a Ordem de Serviço para obter mais informações. Requisitos da Vaga Experiência Necessária: Sim Meses de Experiência Necessários: 60 Requisitos Especiais: Requer conhecimento em trabalho dentro de estruturas de comitês orga"&amp;"nizadores, federações internacionais e equipes de entrega multinacionais. Requer conhecimento em liderança de fornecimento de energia em múltiplos locais, sob prazos apertados e alto risco operacional. Requer conhecimento abrangente dos princípios de proj"&amp;"eto elétrico e da aplicação de sistemas de energia temporários em ambientes complexos com múltiplos locais. Requer sólido conhecimento de ferramentas de gerenciamento de projetos e plataformas de colaboração, incluindo planilhas e softwares de planejament"&amp;"o. Requer fortes habilidades de liderança com experiência comprovada na condução de equipes multifuncionais e distribuídas. Requer habilidades interpessoais e de comunicação excepcionais, com capacidade de colaborar efetivamente com diversos grupos de sta"&amp;"keholders. Requer habilidades avançadas de resolução de problemas, incluindo a capacidade de avaliar problemas, analisar opções e implementar soluções eficazes. Requer habilidades eficazes de delegação e coordenação de equipe para garantir a distribuição "&amp;"eficiente de tarefas e o gerenciamento do fluxo de trabalho. Requer excelentes habilidades analíticas, com alto nível de precisão, atenção aos detalhes e tomada de decisões baseada em dados. Requer fortes habilidades de organização e gerenciamento de temp"&amp;"o, com capacidade de priorizar tarefas em ambientes dinâmicos. Requer a capacidade de tomar decisões acertadas e oportunas, além de exercer bom senso sob pressão. Requer a capacidade de trabalhar com eficiência em ambientes dinâmicos e de alta pressão, ma"&amp;"ntendo o ritmo do projeto. Requer a capacidade de utilizar softwares de gerenciamento de projetos, planilhas e ferramentas digitais colaborativas para acompanhar o progresso e apoiar a comunicação da equipe. Deve ser capaz de se curvar, agachar, abaixar e"&amp;"/ou alcançar e levantar até 11 kg ou mais, conforme exigido pela função. Deve passar por exame toxicológico e verificação de antecedentes. Gerenciamento do fornecimento temporário de energia para grandes eventos esportivos internacionais com múltiplas ins"&amp;"talações, como Jogos Olímpicos, Copa do Mundo da FIFA, Copa do Mundo de Críquete, Jogos Pan-Americanos, edições anteriores dos Jogos Olímpicos ou experiências similares. Realiza viagens regulares à cidade-sede dos Jogos Olímpicos (Los Angeles, CA) durante"&amp;" as fases iniciais do projeto. Número de horas por semana: 40. Horário de trabalho (início/término): 8h às 16h30.")</f>
        <v>Responsável pelo planejamento, supervisão técnica e entrega de soluções temporárias de energia e climatização (HVAC) para os Jogos Olímpicos e Paralímpicos de Los Angeles 2028. Esta função trabalha em estreita colaboração com a LA28 Energy, as partes interessadas dos locais de competição e as equipes internas do programa olímpico para traduzir estratégias de energia de alto nível em projetos executáveis ​​e planos operacionais. A posição abrange desde a fase inicial de projeto e integração até a instalação nos locais de competição e as operações durante os Jogos, garantindo o fornecimento de energia confiável, em conformidade com as normas e resiliente em um ambiente olímpico com múltiplos locais de competição. Atua como um elo técnico e operacional sênior entre a Sunbelt Rentals e a LA28 Energy, garantindo o alinhamento com as estratégias de energia olímpicas, os padrões de redundância e os protocolos operacionais durante os Jogos. Contribui com orientação especializada durante a fase de projeto olímpico, assessorando na geração, distribuição, cabeamento e gerenciamento de carga de energia temporária, em consonância com as melhores práticas de Jogos Olímpicos anteriores. Apoia o desenvolvimento e a execução do plano diretor integrado de energia olímpica para locais de competição, não competição e áreas de apoio. Traduz conceitos de projeto de nível olímpico em escopos, cronogramas e planos logísticos executáveis, em coordenação com as equipes de Gerenciamento de Programas, Planejamento, Logística e Compras. Supervisionar orçamentos, tabelas de preços, alterações de escopo e ordens de alteração durante as fases de projeto, construção e operação. Identificar e mitigar riscos de entrega associados às operações de energia durante os Jogos, incluindo planejamento de contingência, redundância e estratégias de resiliência. Realizar revisões de controle de qualidade durante o desenvolvimento e a implementação para garantir a conformidade com os padrões da Sunbelt Rentals e da LA28. Apoiar o recrutamento, a integração e a liderança de equipes operacionais de energia com experiência em Olimpíadas durante a instalação e as operações durante os Jogos. Realizar viagens regulares à cidade-sede dos Jogos Olímpicos durante as fases iniciais do projeto. Passará a residir em tempo integral no local à medida que os Jogos Olímpicos se aproximam e durante os Jogos. Outras atribuições conforme designadas pelo gerente. Todas as tarefas devem ser executadas de acordo com as políticas e diretrizes de segurança da Sunbelt. A posição permite trabalho remoto. Classificação da vaga: 17-2071.00 - Engenheiros Elétricos. A classificação e a descrição da vaga/setor incluem informações gerais sobre a posição, de acordo com o ONET/OES e o Sistema de Classificação Industrial da América do Norte. Consulte as Atribuições e a Ordem de Serviço para obter mais informações. Requisitos da Vaga Experiência Necessária: Sim Meses de Experiência Necessários: 60 Requisitos Especiais: Requer conhecimento em trabalho dentro de estruturas de comitês organizadores, federações internacionais e equipes de entrega multinacionais. Requer conhecimento em liderança de fornecimento de energia em múltiplos locais, sob prazos apertados e alto risco operacional. Requer conhecimento abrangente dos princípios de projeto elétrico e da aplicação de sistemas de energia temporários em ambientes complexos com múltiplos locais. Requer sólido conhecimento de ferramentas de gerenciamento de projetos e plataformas de colaboração, incluindo planilhas e softwares de planejamento. Requer fortes habilidades de liderança com experiência comprovada na condução de equipes multifuncionais e distribuídas. Requer habilidades interpessoais e de comunicação excepcionais, com capacidade de colaborar efetivamente com diversos grupos de stakeholders. Requer habilidades avançadas de resolução de problemas, incluindo a capacidade de avaliar problemas, analisar opções e implementar soluções eficazes. Requer habilidades eficazes de delegação e coordenação de equipe para garantir a distribuição eficiente de tarefas e o gerenciamento do fluxo de trabalho. Requer excelentes habilidades analíticas, com alto nível de precisão, atenção aos detalhes e tomada de decisões baseada em dados. Requer fortes habilidades de organização e gerenciamento de tempo, com capacidade de priorizar tarefas em ambientes dinâmicos. Requer a capacidade de tomar decisões acertadas e oportunas, além de exercer bom senso sob pressão. Requer a capacidade de trabalhar com eficiência em ambientes dinâmicos e de alta pressão, mantendo o ritmo do projeto. Requer a capacidade de utilizar softwares de gerenciamento de projetos, planilhas e ferramentas digitais colaborativas para acompanhar o progresso e apoiar a comunicação da equipe. Deve ser capaz de se curvar, agachar, abaixar e/ou alcançar e levantar até 11 kg ou mais, conforme exigido pela função. Deve passar por exame toxicológico e verificação de antecedentes. Gerenciamento do fornecimento temporário de energia para grandes eventos esportivos internacionais com múltiplas instalações, como Jogos Olímpicos, Copa do Mundo da FIFA, Copa do Mundo de Críquete, Jogos Pan-Americanos, edições anteriores dos Jogos Olímpicos ou experiências similares. Realiza viagens regulares à cidade-sede dos Jogos Olímpicos (Los Angeles, CA) durante as fases iniciais do projeto. Número de horas por semana: 40. Horário de trabalho (início/término): 8h às 16h30.</v>
      </c>
    </row>
    <row r="2135" ht="20.25" customHeight="1">
      <c r="A2135" s="8" t="s">
        <v>9527</v>
      </c>
      <c r="B2135" s="8" t="s">
        <v>9521</v>
      </c>
      <c r="C2135" s="8" t="s">
        <v>9522</v>
      </c>
      <c r="D2135" s="8" t="s">
        <v>532</v>
      </c>
      <c r="E2135" s="9" t="s">
        <v>44</v>
      </c>
      <c r="F2135" s="9" t="s">
        <v>20</v>
      </c>
      <c r="G2135" s="9" t="s">
        <v>9523</v>
      </c>
      <c r="H2135" s="8" t="s">
        <v>9524</v>
      </c>
      <c r="I2135" s="8"/>
      <c r="J2135" s="9">
        <v>64.74</v>
      </c>
      <c r="K2135" s="9">
        <v>2.0</v>
      </c>
      <c r="L2135" s="8" t="s">
        <v>9528</v>
      </c>
      <c r="M2135" s="8" t="s">
        <v>9529</v>
      </c>
      <c r="N2135" s="7" t="str">
        <f>IFERROR(__xludf.DUMMYFUNCTION("GOOGLETRANSLATE(L2135, ""en"", ""pt"")"),"Gerente de Programação Olímpica")</f>
        <v>Gerente de Programação Olímpica</v>
      </c>
      <c r="O2135" s="7" t="str">
        <f>IFERROR(__xludf.DUMMYFUNCTION("IF(M2135="""","""",GOOGLETRANSLATE(M2135,""en"",""pt""))"),"O(A) Gerente de Programação Olímpica é responsável pela supervisão e coordenação do cronograma de execução dos projetos olímpicos da Sunbelt Rentals. Essa função liderará uma pequena equipe encarregada de desenvolver, atualizar e acompanhar as atividades "&amp;"para garantir a entrega bem-sucedida de projetos comerciais, bem como o alinhamento com os objetivos corporativos gerais (plano diretor) vinculados aos Jogos Olímpicos. Os resultados dessa equipe serão totalmente integrados ao cronograma de construção de "&amp;"instalações e infraestrutura da LA28, ao cronograma de fornecimento de energia da LA28 e a outros cronogramas das áreas funcionais da LA28, quando necessário, e serão relatados trimestralmente aos especialistas do Comitê Olímpico Internacional (COI) para "&amp;"revisão e avaliação. A função tem contato direto com a liderança da LA28 e com as unidades de negócios internas da Sunbelt Rentals, exigindo forte experiência em gerenciamento de programas, planejamento e construção de relacionamentos. Liderar e gerenciar"&amp;" uma pequena equipe responsável pelo desenvolvimento, atualização, integração e relatórios de cronogramas para projetos relacionados aos Jogos Olímpicos. Manter e supervisionar o plano diretor olímpico da Sunbelt, garantindo que as atividades estejam alin"&amp;"hadas aos objetivos corporativos e aos requisitos dos Jogos. Coordenar a integração dos cronogramas da Sunbelt aos cronogramas oficiais de instalações e infraestrutura e de energia da LA28. Atuar como principal ponto de contato com a equipe de Instalações"&amp;" e Infraestrutura da LA28, a equipe de Energia e os especialistas em cronograma do COI. Colaborar com as divisões internas da Sunbelt (Linhas de Negócios, Marketing, etc.) para garantir que todas as entregas do projeto e da empresa sejam rastreadas e alin"&amp;"hadas. Desenvolver e gerenciar a frequência de relatórios para a liderança da Sunbelt e da LA28, incluindo atualizações sobre o status do projeto, acompanhamento de riscos e análise de variações de cronograma. Fornecer recomendações especializadas sobre e"&amp;"stratégias de cronograma e entrega de construções temporárias para garantir resultados bem-sucedidos em múltiplos esportes e instalações. Coordenar a integração da entrega de projetos comerciais com a conformidade, governança e acompanhamento do desempenh"&amp;"o financeiro. Representar a Sunbelt Rentals em reuniões externas relacionadas aos Jogos Olímpicos e manter uma presença profissional e voltada para o cliente. Garantir o planejamento de projetos olímpicos de terceiros, não pertencentes à LA28, em coordena"&amp;"ção com o cronograma geral de entrega, para fornecer visibilidade antecipada dos riscos de entrega. Todas as funções devem ser executadas de acordo com as políticas e diretrizes de segurança da Sunbelt. Será necessário viajar com frequência para dar supor"&amp;"te ao projeto. Outras funções conforme necessário para a entrega bem-sucedida do projeto. A vaga é para o escritório de Fort Mill, SC, com viagens regulares para Los Angeles, CA. Classificação da vaga: 11-9021.00 - Gerentes de Construção. A classificação "&amp;"e descrição da vaga/setor incluem informações gerais sobre o cargo, de acordo com o ONET/OES e o Sistema de Classificação Industrial da América do Norte (NAICS). Consulte as atribuições e a descrição da vaga para obter mais informações. Requisitos da vaga"&amp;": Experiência necessária: Sim. Meses de experiência necessários: 120. Requisitos especiais: Bacharelado em Gerenciamento de Construção, Engenharia Civil, Gestão de Instalações, Gerenciamento de Operações ou áreas afins, ou uma combinação de formação acadê"&amp;"mica e experiência relevante. Requer as seguintes habilidades: Experiência comprovada em gerenciamento de programas/cronogramas em ambientes de alta pressão e com contato direto com o cliente. Sólido conhecimento de operações de grandes eventos e logístic"&amp;"a de construção. Proficiência em Microsoft Project. Experiência com Primavera P6. Pacote MS Office (Excel, PowerPoint, Word). Deve ser capaz de se curvar, agachar, abaixar e/ou alcançar e levantar até 11 kg ou mais, conforme exigido pela função. Deve ser "&amp;"aprovado em exame toxicológico e verificação de antecedentes criminais. Execução e/ou gestão de obras (temporárias/permanentes) para programas de eventos de grande escala com múltiplos locais e múltiplas modalidades esportivas (Olimpíadas, Copas do Mundo,"&amp;" Exposições Virtuais ou similares). Será necessário viajar com frequência para dar suporte ao projeto. Número de horas por semana: 40. Horário de trabalho (início/término): 8h às 16h30.")</f>
        <v>O(A) Gerente de Programação Olímpica é responsável pela supervisão e coordenação do cronograma de execução dos projetos olímpicos da Sunbelt Rentals. Essa função liderará uma pequena equipe encarregada de desenvolver, atualizar e acompanhar as atividades para garantir a entrega bem-sucedida de projetos comerciais, bem como o alinhamento com os objetivos corporativos gerais (plano diretor) vinculados aos Jogos Olímpicos. Os resultados dessa equipe serão totalmente integrados ao cronograma de construção de instalações e infraestrutura da LA28, ao cronograma de fornecimento de energia da LA28 e a outros cronogramas das áreas funcionais da LA28, quando necessário, e serão relatados trimestralmente aos especialistas do Comitê Olímpico Internacional (COI) para revisão e avaliação. A função tem contato direto com a liderança da LA28 e com as unidades de negócios internas da Sunbelt Rentals, exigindo forte experiência em gerenciamento de programas, planejamento e construção de relacionamentos. Liderar e gerenciar uma pequena equipe responsável pelo desenvolvimento, atualização, integração e relatórios de cronogramas para projetos relacionados aos Jogos Olímpicos. Manter e supervisionar o plano diretor olímpico da Sunbelt, garantindo que as atividades estejam alinhadas aos objetivos corporativos e aos requisitos dos Jogos. Coordenar a integração dos cronogramas da Sunbelt aos cronogramas oficiais de instalações e infraestrutura e de energia da LA28. Atuar como principal ponto de contato com a equipe de Instalações e Infraestrutura da LA28, a equipe de Energia e os especialistas em cronograma do COI. Colaborar com as divisões internas da Sunbelt (Linhas de Negócios, Marketing, etc.) para garantir que todas as entregas do projeto e da empresa sejam rastreadas e alinhadas. Desenvolver e gerenciar a frequência de relatórios para a liderança da Sunbelt e da LA28, incluindo atualizações sobre o status do projeto, acompanhamento de riscos e análise de variações de cronograma. Fornecer recomendações especializadas sobre estratégias de cronograma e entrega de construções temporárias para garantir resultados bem-sucedidos em múltiplos esportes e instalações. Coordenar a integração da entrega de projetos comerciais com a conformidade, governança e acompanhamento do desempenho financeiro. Representar a Sunbelt Rentals em reuniões externas relacionadas aos Jogos Olímpicos e manter uma presença profissional e voltada para o cliente. Garantir o planejamento de projetos olímpicos de terceiros, não pertencentes à LA28, em coordenação com o cronograma geral de entrega, para fornecer visibilidade antecipada dos riscos de entrega. Todas as funções devem ser executadas de acordo com as políticas e diretrizes de segurança da Sunbelt. Será necessário viajar com frequência para dar suporte ao projeto. Outras funções conforme necessário para a entrega bem-sucedida do projeto. A vaga é para o escritório de Fort Mill, SC, com viagens regulares para Los Angeles, CA. Classificação da vaga: 11-9021.00 - Gerentes de Construção. A classificação e descrição da vaga/setor incluem informações gerais sobre o cargo, de acordo com o ONET/OES e o Sistema de Classificação Industrial da América do Norte (NAICS). Consulte as atribuições e a descrição da vaga para obter mais informações. Requisitos da vaga: Experiência necessária: Sim. Meses de experiência necessários: 120. Requisitos especiais: Bacharelado em Gerenciamento de Construção, Engenharia Civil, Gestão de Instalações, Gerenciamento de Operações ou áreas afins, ou uma combinação de formação acadêmica e experiência relevante. Requer as seguintes habilidades: Experiência comprovada em gerenciamento de programas/cronogramas em ambientes de alta pressão e com contato direto com o cliente. Sólido conhecimento de operações de grandes eventos e logística de construção. Proficiência em Microsoft Project. Experiência com Primavera P6. Pacote MS Office (Excel, PowerPoint, Word). Deve ser capaz de se curvar, agachar, abaixar e/ou alcançar e levantar até 11 kg ou mais, conforme exigido pela função. Deve ser aprovado em exame toxicológico e verificação de antecedentes criminais. Execução e/ou gestão de obras (temporárias/permanentes) para programas de eventos de grande escala com múltiplos locais e múltiplas modalidades esportivas (Olimpíadas, Copas do Mundo, Exposições Virtuais ou similares). Será necessário viajar com frequência para dar suporte ao projeto. Número de horas por semana: 40. Horário de trabalho (início/término): 8h às 16h30.</v>
      </c>
    </row>
    <row r="2136" ht="20.25" customHeight="1">
      <c r="A2136" s="3" t="s">
        <v>9530</v>
      </c>
      <c r="B2136" s="3" t="s">
        <v>9521</v>
      </c>
      <c r="C2136" s="3" t="s">
        <v>9522</v>
      </c>
      <c r="D2136" s="3" t="s">
        <v>87</v>
      </c>
      <c r="E2136" s="4" t="s">
        <v>19</v>
      </c>
      <c r="F2136" s="4" t="s">
        <v>20</v>
      </c>
      <c r="G2136" s="4" t="s">
        <v>9523</v>
      </c>
      <c r="H2136" s="3" t="s">
        <v>9524</v>
      </c>
      <c r="I2136" s="3"/>
      <c r="J2136" s="4">
        <v>81.25</v>
      </c>
      <c r="K2136" s="4">
        <v>1.0</v>
      </c>
      <c r="L2136" s="3" t="s">
        <v>9531</v>
      </c>
      <c r="M2136" s="3" t="s">
        <v>9532</v>
      </c>
      <c r="N2136" s="7" t="str">
        <f>IFERROR(__xludf.DUMMYFUNCTION("GOOGLETRANSLATE(L2136, ""en"", ""pt"")"),"Gerente Sênior de Gestão do Programa Olímpico")</f>
        <v>Gerente Sênior de Gestão do Programa Olímpico</v>
      </c>
      <c r="O2136" s="7" t="str">
        <f>IFERROR(__xludf.DUMMYFUNCTION("IF(M2136="""","""",GOOGLETRANSLATE(M2136,""en"",""pt""))"),"**Resposta à Solicitação de Informações** O(A) Gerente Sênior de Gerenciamento de Programas Olímpicos dirige um Escritório de Gerenciamento de Projetos (PMO) que administra o trabalho da Sunbelt Rentals para as Olimpíadas de 2028. A posição supervisiona d"&amp;"uas equipes: uma que elabora os cronogramas dos projetos do início ao fim (incluindo construção das instalações, cronogramas de fabricação, prazos corporativos e desmontagem pós-Jogos Olímpicos) e outra que acompanha o progresso da entrega, conversa com o"&amp;"s clientes e garante que todos cumpram sua parte do contrato. O trabalho abrange mais de 150 instalações, além de projetos externos com grupos como a Equipe dos EUA, agências governamentais, federações esportivas e outros fornecedores. A área de atuação i"&amp;"nclui a região de Los Angeles, Oklahoma City e todos os 50 estados para o Revezamento da Tocha. A posição é responsável por solucionar problemas e manter a equipe no caminho certo em meio a tantas variáveis. **Original** O(A) Gerente Sênior de Gerenciamen"&amp;"to de Programas Olímpicos é responsável por supervisionar os aspectos contratuais e de cronograma dos programas comerciais olímpicos da Sunbelt Rentals. Isso inclui garantir o cumprimento de todas as obrigações contratuais de equipamentos e serviços para "&amp;"a LA28, suas entidades, clientes terceirizados patrocinados pela LA28 e clientes olímpicos não pertencentes à LA28, bem como gerenciar os parceiros fornecedores da Sunbelt envolvidos na execução dos Jogos Olímpicos. A função também lidera a supervisão e a"&amp;" integração do cronograma do programa de execução dos Jogos Olímpicos da Sunbelt nos cronogramas mestres da LA28, garantindo o alinhamento com os requisitos dos Jogos e os objetivos corporativos da Sunbelt. Esta posição tem contato direto com a liderança "&amp;"da LA28, especialistas do COI e partes interessadas internas da Sunbelt, exigindo forte experiência em gestão de contratos, gestão de programas, planejamento e liderança. Liderar, gerenciar e integrar as funções de gestão de contratos e planejamento de pr"&amp;"ogramas para projetos de execução dos Jogos Olímpicos. Supervisionar o ciclo de vida dos contratos relacionados aos Jogos Olímpicos, incluindo suporte à negociação, implementação, acompanhamento da conformidade e encerramento. Garantir que as obrigações c"&amp;"ontratuais da Sunbelt para equipamentos e serviços sejam cumpridas para a LA28, entidades patrocinadas pela LA28 e clientes olímpicos terceirizados. Supervisionar o desempenho de subcontratados e parceiros fornecedores para garantir a adesão aos termos co"&amp;"ntratuais e aos padrões da Sunbelt. Liderar uma equipe responsável pelo desenvolvimento, atualização, integração e relatórios de cronogramas para projetos relacionados aos Jogos Olímpicos. Manter e supervisionar o plano diretor olímpico da Sunbelt, garant"&amp;"indo sua integração aos cronogramas de Infraestrutura e Energia da LA28. Identificar, avaliar e escalar riscos relacionados ao cumprimento do contrato e ao desempenho do cronograma; desenvolver estratégias de mitigação. Ser o principal ponto de contato co"&amp;"m as equipes de Infraestrutura e Energia da LA28 e com os especialistas em cronograma do COI. Coordenar a integração da entrega comercial do projeto com a conformidade, a governança e o acompanhamento do desempenho financeiro. Desenvolver e apresentar rel"&amp;"atórios periódicos à liderança da Sunbelt, à LA28 e aos especialistas do COI sobre o desempenho do contrato, o status do programa, os riscos e as variações de cronograma. Colaborar com as divisões da Sunbelt (Linhas de Negócios, Marketing, Jurídico, Finan"&amp;"ças, etc.) para garantir o alinhamento das entregas do projeto e da empresa. Representar a Sunbelt Rentals em reuniões externas relacionadas aos Jogos Olímpicos e manter uma postura profissional e voltada para o cliente. Todas as tarefas devem ser executa"&amp;"das de acordo com as políticas e diretrizes de segurança da Sunbelt. Será necessário viajar com frequência para dar suporte ao projeto, incluindo para os locais de trabalho em Los Angeles, CA e Fort Mill, SC. Classificação da Função: 11-1021.00 - Gerentes"&amp;" Gerais e de Operações. A classificação e descrição da função/setor inclui informações gerais sobre o cargo, de acordo com o ONET/OES e o Sistema de Classificação Industrial da América do Norte (NAICS). Consulte as Funções e a Ordem de Serviço para obter "&amp;"mais informações. Requisitos da Função Experiência Necessária: Sim Meses de Experiência Necessários: 120 Requisitos Especiais: Requer experiência com as seguintes habilidades: Experiência em gestão de subcontratados e fornecedores terceirizados em projeto"&amp;"s de alta pressão e com prazos definidos. Capacidade de operacionalizar contratos e cronogramas em planos de entrega executáveis ​​em ambientes complexos e com múltiplas partes interessadas. Microsoft Project, Primavera P6, Pacote MS Office (Excel, PowerP"&amp;"oint, Word). Habilidades analíticas e de elaboração de relatórios para acompanhamento do desempenho de contratos, custos e cronogramas. Liderança comprovada e gestão de equipes em ambientes dinâmicos e com prazos apertados. Habilidades organizacionais, an"&amp;"alíticas e de comunicação (escrita e verbal). Capacidade de colaborar efetivamente com operações, fornecedores, clientes e parceiros externos. Consciência de riscos e capacidade de resolução proativa de problemas com atenção aos detalhes. Postura profissi"&amp;"onal com fortes habilidades de relacionamento interpessoal com stakeholders internos e externos. Necessário ser capaz de se curvar, agachar, ajoelhar e/ou alcançar e levantar até 11 kg ou mais, conforme exigido pela função. Aprovação em exame toxicológico"&amp;" e verificação de antecedentes criminais obrigatória. Número de horas semanais: 40. Horário de trabalho (início/término): 8h às 16h30.")</f>
        <v>**Resposta à Solicitação de Informações** O(A) Gerente Sênior de Gerenciamento de Programas Olímpicos dirige um Escritório de Gerenciamento de Projetos (PMO) que administra o trabalho da Sunbelt Rentals para as Olimpíadas de 2028. A posição supervisiona duas equipes: uma que elabora os cronogramas dos projetos do início ao fim (incluindo construção das instalações, cronogramas de fabricação, prazos corporativos e desmontagem pós-Jogos Olímpicos) e outra que acompanha o progresso da entrega, conversa com os clientes e garante que todos cumpram sua parte do contrato. O trabalho abrange mais de 150 instalações, além de projetos externos com grupos como a Equipe dos EUA, agências governamentais, federações esportivas e outros fornecedores. A área de atuação inclui a região de Los Angeles, Oklahoma City e todos os 50 estados para o Revezamento da Tocha. A posição é responsável por solucionar problemas e manter a equipe no caminho certo em meio a tantas variáveis. **Original** O(A) Gerente Sênior de Gerenciamento de Programas Olímpicos é responsável por supervisionar os aspectos contratuais e de cronograma dos programas comerciais olímpicos da Sunbelt Rentals. Isso inclui garantir o cumprimento de todas as obrigações contratuais de equipamentos e serviços para a LA28, suas entidades, clientes terceirizados patrocinados pela LA28 e clientes olímpicos não pertencentes à LA28, bem como gerenciar os parceiros fornecedores da Sunbelt envolvidos na execução dos Jogos Olímpicos. A função também lidera a supervisão e a integração do cronograma do programa de execução dos Jogos Olímpicos da Sunbelt nos cronogramas mestres da LA28, garantindo o alinhamento com os requisitos dos Jogos e os objetivos corporativos da Sunbelt. Esta posição tem contato direto com a liderança da LA28, especialistas do COI e partes interessadas internas da Sunbelt, exigindo forte experiência em gestão de contratos, gestão de programas, planejamento e liderança. Liderar, gerenciar e integrar as funções de gestão de contratos e planejamento de programas para projetos de execução dos Jogos Olímpicos. Supervisionar o ciclo de vida dos contratos relacionados aos Jogos Olímpicos, incluindo suporte à negociação, implementação, acompanhamento da conformidade e encerramento. Garantir que as obrigações contratuais da Sunbelt para equipamentos e serviços sejam cumpridas para a LA28, entidades patrocinadas pela LA28 e clientes olímpicos terceirizados. Supervisionar o desempenho de subcontratados e parceiros fornecedores para garantir a adesão aos termos contratuais e aos padrões da Sunbelt. Liderar uma equipe responsável pelo desenvolvimento, atualização, integração e relatórios de cronogramas para projetos relacionados aos Jogos Olímpicos. Manter e supervisionar o plano diretor olímpico da Sunbelt, garantindo sua integração aos cronogramas de Infraestrutura e Energia da LA28. Identificar, avaliar e escalar riscos relacionados ao cumprimento do contrato e ao desempenho do cronograma; desenvolver estratégias de mitigação. Ser o principal ponto de contato com as equipes de Infraestrutura e Energia da LA28 e com os especialistas em cronograma do COI. Coordenar a integração da entrega comercial do projeto com a conformidade, a governança e o acompanhamento do desempenho financeiro. Desenvolver e apresentar relatórios periódicos à liderança da Sunbelt, à LA28 e aos especialistas do COI sobre o desempenho do contrato, o status do programa, os riscos e as variações de cronograma. Colaborar com as divisões da Sunbelt (Linhas de Negócios, Marketing, Jurídico, Finanças, etc.) para garantir o alinhamento das entregas do projeto e da empresa. Representar a Sunbelt Rentals em reuniões externas relacionadas aos Jogos Olímpicos e manter uma postura profissional e voltada para o cliente. Todas as tarefas devem ser executadas de acordo com as políticas e diretrizes de segurança da Sunbelt. Será necessário viajar com frequência para dar suporte ao projeto, incluindo para os locais de trabalho em Los Angeles, CA e Fort Mill, SC. Classificação da Função: 11-1021.00 - Gerentes Gerais e de Operações. A classificação e descrição da função/setor inclui informações gerais sobre o cargo, de acordo com o ONET/OES e o Sistema de Classificação Industrial da América do Norte (NAICS). Consulte as Funções e a Ordem de Serviço para obter mais informações. Requisitos da Função Experiência Necessária: Sim Meses de Experiência Necessários: 120 Requisitos Especiais: Requer experiência com as seguintes habilidades: Experiência em gestão de subcontratados e fornecedores terceirizados em projetos de alta pressão e com prazos definidos. Capacidade de operacionalizar contratos e cronogramas em planos de entrega executáveis ​​em ambientes complexos e com múltiplas partes interessadas. Microsoft Project, Primavera P6, Pacote MS Office (Excel, PowerPoint, Word). Habilidades analíticas e de elaboração de relatórios para acompanhamento do desempenho de contratos, custos e cronogramas. Liderança comprovada e gestão de equipes em ambientes dinâmicos e com prazos apertados. Habilidades organizacionais, analíticas e de comunicação (escrita e verbal). Capacidade de colaborar efetivamente com operações, fornecedores, clientes e parceiros externos. Consciência de riscos e capacidade de resolução proativa de problemas com atenção aos detalhes. Postura profissional com fortes habilidades de relacionamento interpessoal com stakeholders internos e externos. Necessário ser capaz de se curvar, agachar, ajoelhar e/ou alcançar e levantar até 11 kg ou mais, conforme exigido pela função. Aprovação em exame toxicológico e verificação de antecedentes criminais obrigatória. Número de horas semanais: 40. Horário de trabalho (início/término): 8h às 16h30.</v>
      </c>
    </row>
    <row r="2137" ht="20.25" customHeight="1">
      <c r="A2137" s="8" t="s">
        <v>9533</v>
      </c>
      <c r="B2137" s="8" t="s">
        <v>9521</v>
      </c>
      <c r="C2137" s="8" t="s">
        <v>9522</v>
      </c>
      <c r="D2137" s="8" t="s">
        <v>87</v>
      </c>
      <c r="E2137" s="9" t="s">
        <v>44</v>
      </c>
      <c r="F2137" s="9" t="s">
        <v>20</v>
      </c>
      <c r="G2137" s="9" t="s">
        <v>9523</v>
      </c>
      <c r="H2137" s="8" t="s">
        <v>9524</v>
      </c>
      <c r="I2137" s="8"/>
      <c r="J2137" s="9">
        <v>58.46</v>
      </c>
      <c r="K2137" s="9">
        <v>1.0</v>
      </c>
      <c r="L2137" s="8" t="s">
        <v>9534</v>
      </c>
      <c r="M2137" s="8" t="s">
        <v>9535</v>
      </c>
      <c r="N2137" s="7" t="str">
        <f>IFERROR(__xludf.DUMMYFUNCTION("GOOGLETRANSLATE(L2137, ""en"", ""pt"")"),"Gestão de Contratos Olímpicos, Gerente")</f>
        <v>Gestão de Contratos Olímpicos, Gerente</v>
      </c>
      <c r="O2137" s="7" t="str">
        <f>IFERROR(__xludf.DUMMYFUNCTION("IF(M2137="""","""",GOOGLETRANSLATE(M2137,""en"",""pt""))"),"Coordenar a cadeia de suprimentos de ponta a ponta para contratos comerciais olímpicos e paralímpicos, atendendo à LA28, suas entidades relacionadas, clientes terceirizados patrocinados pela LA28 e outros clientes olímpicos. Alinhar os compromissos comerc"&amp;"iais da Sunbelt com a entrega operacional para garantir que os equipamentos e serviços contratados cheguem no prazo e em conformidade com as Declarações de Trabalho, Ordens de Compra, Contratos de Locação, Acordos de Nível de Serviço e requisitos de segur"&amp;"ança aplicáveis. Processar pedidos relacionados aos Jogos Olímpicos e coordenar com a equipe de campo, equipes de programa, parceiros fornecedores e partes interessadas internas para executar a entrega, instalação, teste, rastreamento e encerramento de eq"&amp;"uipamentos e serviços em locais olímpicos e paralímpicos. Apoiar diversas linhas de negócios, incluindo Energia, HVAC, Ferramentas Gerais e Equipamentos Pesados, Andaimes, Cercas e Proteção de Solo e Pistas. Planejar e coordenar a distribuição de estoque,"&amp;" acompanhar os cronogramas de produção de OEMs e fornecedores e alinhar os prazos de fabricação e entrega com os marcos do projeto. Direcionar o fluxo de equipamentos e mão de obra para o Depósito Olímpico da Sunbelt para transbordo, preparação e testes, "&amp;"e coordenar a entrega final aos locais de competição, conforme o Cronograma de Entregas dos Locais de Competição LA28. Verificar se os equipamentos de cada local de competição foram entregues, testados, documentados e aceitos de acordo com os requisitos c"&amp;"ontratuais. Servir como ponto de contato para os Gerentes dos Locais de Competição em relação a adições, movimentações, alterações e pedidos de compra de campo relacionados. Monitorar o desempenho de fornecedores e subcontratados para garantir a conformid"&amp;"ade com os termos contratuais e os níveis de serviço. Colaborar com as equipes de programa e planejamento para sincronizar os requisitos contratuais com os marcos operacionais. Identificar e avaliar os riscos da cadeia de suprimentos, escalar problemas co"&amp;"nforme necessário e desenvolver estratégias de mitigação para reduzir a exposição comercial e operacional. Coordenar com as equipes jurídicas, de compras e financeiras a interpretação de contratos, problemas com fornecedores, faturamento, validação de cus"&amp;"tos e resolução de disputas. Manter registros centralizados de contratos comerciais, acordos com fornecedores, pedidos de compra, documentação de alterações e dados de desempenho. Apoiar a validação de custos, a conciliação de faturamento, a previsão de d"&amp;"emanda e a elaboração de relatórios periódicos sobre o desempenho do contrato, a conformidade e o status de entrega para a liderança da Sunbelt e as partes interessadas olímpicas. Será necessário viajar com frequência para dar suporte ao projeto, incluind"&amp;"o para locais de trabalho em Los Angeles, Califórnia e Fort Mill, Carolina do Sul. Classificação da vaga: 11-3071.04 - Gerentes da Cadeia de Suprimentos. A classificação e descrição da vaga/setor incluem informações gerais sobre o cargo, de acordo com o O"&amp;"NET/OES e o Sistema de Classificação Industrial da América do Norte (NAICS). Consulte as Atribuições e a Ordem de Serviço para obter mais informações. Requisitos da vaga: Experiência necessária: Sim. Meses de experiência necessários: 48. Requisitos especi"&amp;"ais: Requer experiência com as seguintes habilidades: Experiência em gestão de contratos de entrega de eventos, levantamento de quantidades ou estimativa de custos. Experiência em gestão de subcontratados e fornecedores terceirizados em projetos sob press"&amp;"ão e com prazos definidos. Capacidade comprovada de operacionalizar contratos comerciais em planos de projeto executáveis. Pacote Microsoft Office (Word, Excel, PowerPoint). Ferramentas de planejamento de projetos (Microsoft Project ou Primavera P6). Habi"&amp;"lidades analíticas e de elaboração de relatórios para acompanhamento do desempenho de contratos e custos. Visão comercial com capacidade de supervisionar a responsabilidade financeira dos contratos. Mentalidade focada na execução para garantir que as obri"&amp;"gações de entrega sejam cumpridas dentro do prazo e do escopo. Habilidades sólidas em gestão de stakeholders e comunicação. Capacidade de trabalhar em colaboração com as áreas de operações, fornecedores e clientes. Consciência de riscos e capacidade de re"&amp;"solução proativa de problemas. Necessário ser capaz de se curvar, agachar, abaixar e/ou alcançar e levantar até 11 kg ou mais, conforme exigido pela função. Aprovação em exame toxicológico e verificação de antecedentes criminais obrigatória. Número de hor"&amp;"as semanais: 40. Horário de trabalho (início/término): 8h às 16h30.")</f>
        <v>Coordenar a cadeia de suprimentos de ponta a ponta para contratos comerciais olímpicos e paralímpicos, atendendo à LA28, suas entidades relacionadas, clientes terceirizados patrocinados pela LA28 e outros clientes olímpicos. Alinhar os compromissos comerciais da Sunbelt com a entrega operacional para garantir que os equipamentos e serviços contratados cheguem no prazo e em conformidade com as Declarações de Trabalho, Ordens de Compra, Contratos de Locação, Acordos de Nível de Serviço e requisitos de segurança aplicáveis. Processar pedidos relacionados aos Jogos Olímpicos e coordenar com a equipe de campo, equipes de programa, parceiros fornecedores e partes interessadas internas para executar a entrega, instalação, teste, rastreamento e encerramento de equipamentos e serviços em locais olímpicos e paralímpicos. Apoiar diversas linhas de negócios, incluindo Energia, HVAC, Ferramentas Gerais e Equipamentos Pesados, Andaimes, Cercas e Proteção de Solo e Pistas. Planejar e coordenar a distribuição de estoque, acompanhar os cronogramas de produção de OEMs e fornecedores e alinhar os prazos de fabricação e entrega com os marcos do projeto. Direcionar o fluxo de equipamentos e mão de obra para o Depósito Olímpico da Sunbelt para transbordo, preparação e testes, e coordenar a entrega final aos locais de competição, conforme o Cronograma de Entregas dos Locais de Competição LA28. Verificar se os equipamentos de cada local de competição foram entregues, testados, documentados e aceitos de acordo com os requisitos contratuais. Servir como ponto de contato para os Gerentes dos Locais de Competição em relação a adições, movimentações, alterações e pedidos de compra de campo relacionados. Monitorar o desempenho de fornecedores e subcontratados para garantir a conformidade com os termos contratuais e os níveis de serviço. Colaborar com as equipes de programa e planejamento para sincronizar os requisitos contratuais com os marcos operacionais. Identificar e avaliar os riscos da cadeia de suprimentos, escalar problemas conforme necessário e desenvolver estratégias de mitigação para reduzir a exposição comercial e operacional. Coordenar com as equipes jurídicas, de compras e financeiras a interpretação de contratos, problemas com fornecedores, faturamento, validação de custos e resolução de disputas. Manter registros centralizados de contratos comerciais, acordos com fornecedores, pedidos de compra, documentação de alterações e dados de desempenho. Apoiar a validação de custos, a conciliação de faturamento, a previsão de demanda e a elaboração de relatórios periódicos sobre o desempenho do contrato, a conformidade e o status de entrega para a liderança da Sunbelt e as partes interessadas olímpicas. Será necessário viajar com frequência para dar suporte ao projeto, incluindo para locais de trabalho em Los Angeles, Califórnia e Fort Mill, Carolina do Sul. Classificação da vaga: 11-3071.04 - Gerentes da Cadeia de Suprimentos. A classificação e descrição da vaga/setor incluem informações gerais sobre o cargo, de acordo com o ONET/OES e o Sistema de Classificação Industrial da América do Norte (NAICS). Consulte as Atribuições e a Ordem de Serviço para obter mais informações. Requisitos da vaga: Experiência necessária: Sim. Meses de experiência necessários: 48. Requisitos especiais: Requer experiência com as seguintes habilidades: Experiência em gestão de contratos de entrega de eventos, levantamento de quantidades ou estimativa de custos. Experiência em gestão de subcontratados e fornecedores terceirizados em projetos sob pressão e com prazos definidos. Capacidade comprovada de operacionalizar contratos comerciais em planos de projeto executáveis. Pacote Microsoft Office (Word, Excel, PowerPoint). Ferramentas de planejamento de projetos (Microsoft Project ou Primavera P6). Habilidades analíticas e de elaboração de relatórios para acompanhamento do desempenho de contratos e custos. Visão comercial com capacidade de supervisionar a responsabilidade financeira dos contratos. Mentalidade focada na execução para garantir que as obrigações de entrega sejam cumpridas dentro do prazo e do escopo. Habilidades sólidas em gestão de stakeholders e comunicação. Capacidade de trabalhar em colaboração com as áreas de operações, fornecedores e clientes. Consciência de riscos e capacidade de resolução proativa de problemas. Necessário ser capaz de se curvar, agachar, abaixar e/ou alcançar e levantar até 11 kg ou mais, conforme exigido pela função. Aprovação em exame toxicológico e verificação de antecedentes criminais obrigatória. Número de horas semanais: 40. Horário de trabalho (início/término): 8h às 16h30.</v>
      </c>
    </row>
    <row r="2138" ht="20.25" customHeight="1">
      <c r="A2138" s="3" t="s">
        <v>9536</v>
      </c>
      <c r="B2138" s="3" t="s">
        <v>9537</v>
      </c>
      <c r="C2138" s="3" t="s">
        <v>1000</v>
      </c>
      <c r="D2138" s="3" t="s">
        <v>344</v>
      </c>
      <c r="E2138" s="4" t="s">
        <v>44</v>
      </c>
      <c r="F2138" s="4" t="s">
        <v>20</v>
      </c>
      <c r="G2138" s="4" t="s">
        <v>307</v>
      </c>
      <c r="H2138" s="3" t="s">
        <v>9538</v>
      </c>
      <c r="I2138" s="3" t="s">
        <v>9539</v>
      </c>
      <c r="J2138" s="4">
        <v>19.58</v>
      </c>
      <c r="K2138" s="4">
        <v>40.0</v>
      </c>
      <c r="L2138" s="3" t="s">
        <v>1720</v>
      </c>
      <c r="M2138" s="3" t="s">
        <v>9540</v>
      </c>
      <c r="N2138" s="7" t="str">
        <f>IFERROR(__xludf.DUMMYFUNCTION("GOOGLETRANSLATE(L2138, ""en"", ""pt"")"),"Ajudantes de Carpinteiro")</f>
        <v>Ajudantes de Carpinteiro</v>
      </c>
      <c r="O2138" s="7" t="str">
        <f>IFERROR(__xludf.DUMMYFUNCTION("IF(M2138="""","""",GOOGLETRANSLATE(M2138,""en"",""pt""))"),"Auxiliar carpinteiros carregando ferramentas e madeira, fazendo cortes simples, pregando peças de madeira, utilizando ferramentas elétricas e limpando o local de trabalho. Classificação da vaga: 47-3012.00 - Ajudantes de Carpinteiro. A classificação e des"&amp;"crição da vaga/setor inclui informações gerais sobre a posição, de acordo com o ONET/OES e o Sistema de Classificação Industrial da América do Norte (NAICS). Consulte as Funções e a Ordem de Serviço para obter mais informações. Requisitos da vaga: Experiê"&amp;"ncia necessária: Sim. Meses de experiência necessários: 3. Requisitos especiais: Capacidade de levantar e carregar 36 kg por 18 metros. Uso correto e preciso de trena. Exposição a alturas, temperaturas extremas, atividades físicas intensas e movimentos re"&amp;"petitivos. Trabalho em alguns fins de semana. Deslocamento para locais de trabalho dentro da área de atuação. Número de horas por semana: 40. Horário de trabalho (início/término): 7h às 18h.")</f>
        <v>Auxiliar carpinteiros carregando ferramentas e madeira, fazendo cortes simples, pregando peças de madeira, utilizando ferramentas elétricas e limpando o local de trabalho. Classificação da vaga: 47-3012.00 - Ajudantes de Carpinteiro. A classificação e descrição da vaga/setor inclui informações gerais sobre a posição, de acordo com o ONET/OES e o Sistema de Classificação Industrial da América do Norte (NAICS). Consulte as Funções e a Ordem de Serviço para obter mais informações. Requisitos da vaga: Experiência necessária: Sim. Meses de experiência necessários: 3. Requisitos especiais: Capacidade de levantar e carregar 36 kg por 18 metros. Uso correto e preciso de trena. Exposição a alturas, temperaturas extremas, atividades físicas intensas e movimentos repetitivos. Trabalho em alguns fins de semana. Deslocamento para locais de trabalho dentro da área de atuação. Número de horas por semana: 40. Horário de trabalho (início/término): 7h às 18h.</v>
      </c>
    </row>
    <row r="2139" ht="20.25" customHeight="1">
      <c r="A2139" s="8" t="s">
        <v>9541</v>
      </c>
      <c r="B2139" s="8" t="s">
        <v>9542</v>
      </c>
      <c r="C2139" s="8" t="s">
        <v>8981</v>
      </c>
      <c r="D2139" s="8" t="s">
        <v>71</v>
      </c>
      <c r="E2139" s="9" t="s">
        <v>19</v>
      </c>
      <c r="F2139" s="9" t="s">
        <v>20</v>
      </c>
      <c r="G2139" s="9" t="s">
        <v>524</v>
      </c>
      <c r="H2139" s="8" t="s">
        <v>9543</v>
      </c>
      <c r="I2139" s="8" t="s">
        <v>9544</v>
      </c>
      <c r="J2139" s="9">
        <v>19.07</v>
      </c>
      <c r="K2139" s="9">
        <v>3.0</v>
      </c>
      <c r="L2139" s="8" t="s">
        <v>1684</v>
      </c>
      <c r="M2139" s="8" t="s">
        <v>9545</v>
      </c>
      <c r="N2139" s="7" t="str">
        <f>IFERROR(__xludf.DUMMYFUNCTION("GOOGLETRANSLATE(L2139, ""en"", ""pt"")"),"Barman")</f>
        <v>Barman</v>
      </c>
      <c r="O2139" s="7" t="str">
        <f>IFERROR(__xludf.DUMMYFUNCTION("IF(M2139="""","""",GOOGLETRANSLATE(M2139,""en"",""pt""))"),"Anotar pedidos de bebidas; preparar e servir drinques; limpar a área do bar; poderá ser necessário anotar pedidos de comida e fazer recomendações sobre vinhos e outros produtos; solicitar e exibir bebidas alcoólicas e suprimentos; manter a área do bar lim"&amp;"pa e trabalhar de acordo com as normas estaduais rigorosamente aplicadas. *Continuação da Seção F.a.5 abaixo: 40 horas semanais. Os turnos serão de 8 horas e podem variar conforme a necessidade, de acordo com o anúncio da vaga na Agência Estadual de Força"&amp;" de Trabalho e em outras fontes de anúncios de vagas H-2B, conforme os requisitos de recrutamento dos empregadores para trabalhadores em potencial no âmbito do programa H-2B. Turnos variáveis ​​ao longo de 7 dias da semana. Os turnos podem variar: das 6h "&amp;"às 23h. Classificação da vaga: 35-3011.00 - Bartenders. A classificação e descrição da vaga/setor incluem informações gerais sobre o cargo, provenientes do ONET/OES e do Sistema de Classificação Industrial da América do Norte. Consulte as Funções e a Orde"&amp;"m de Serviço para obter mais informações. Requisitos da vaga Experiência exigida: Não Requisitos especiais: O EMPREGADOR EXIGE QUE A VERIFICAÇÃO DE ANTECEDENTES E O TESTE DE DROGAS PRÉ-ADMISSÃO SEJAM REALIZADOS IGUALMENTE PARA TRABALHADORES AMERICANOS E T"&amp;"RABALHADORES COM VISTO H-2B. Capacidade de se comunicar em inglês. Número de horas por semana: 40 Horário de trabalho (início/término): 6h às 23h")</f>
        <v>Anotar pedidos de bebidas; preparar e servir drinques; limpar a área do bar; poderá ser necessário anotar pedidos de comida e fazer recomendações sobre vinhos e outros produtos; solicitar e exibir bebidas alcoólicas e suprimentos; manter a área do bar limpa e trabalhar de acordo com as normas estaduais rigorosamente aplicadas. *Continuação da Seção F.a.5 abaixo: 40 horas semanais. Os turnos serão de 8 horas e podem variar conforme a necessidade, de acordo com o anúncio da vaga na Agência Estadual de Força de Trabalho e em outras fontes de anúncios de vagas H-2B, conforme os requisitos de recrutamento dos empregadores para trabalhadores em potencial no âmbito do programa H-2B. Turnos variáveis ​​ao longo de 7 dias da semana. Os turnos podem variar: das 6h às 23h. Classificação da vaga: 35-3011.00 - Bartenders. A classificação e descrição da vaga/setor incluem informações gerais sobre o cargo, provenientes do ONET/OES e do Sistema de Classificação Industrial da América do Norte. Consulte as Funções e a Ordem de Serviço para obter mais informações. Requisitos da vaga Experiência exigida: Não Requisitos especiais: O EMPREGADOR EXIGE QUE A VERIFICAÇÃO DE ANTECEDENTES E O TESTE DE DROGAS PRÉ-ADMISSÃO SEJAM REALIZADOS IGUALMENTE PARA TRABALHADORES AMERICANOS E TRABALHADORES COM VISTO H-2B. Capacidade de se comunicar em inglês. Número de horas por semana: 40 Horário de trabalho (início/término): 6h às 23h</v>
      </c>
    </row>
    <row r="2140" ht="20.25" customHeight="1">
      <c r="A2140" s="3" t="s">
        <v>9546</v>
      </c>
      <c r="B2140" s="3" t="s">
        <v>9542</v>
      </c>
      <c r="C2140" s="3" t="s">
        <v>8981</v>
      </c>
      <c r="D2140" s="3" t="s">
        <v>71</v>
      </c>
      <c r="E2140" s="4" t="s">
        <v>19</v>
      </c>
      <c r="F2140" s="4" t="s">
        <v>20</v>
      </c>
      <c r="G2140" s="4" t="s">
        <v>524</v>
      </c>
      <c r="H2140" s="3" t="s">
        <v>9543</v>
      </c>
      <c r="I2140" s="3" t="s">
        <v>9544</v>
      </c>
      <c r="J2140" s="4">
        <v>18.5</v>
      </c>
      <c r="K2140" s="4">
        <v>3.0</v>
      </c>
      <c r="L2140" s="3" t="s">
        <v>586</v>
      </c>
      <c r="M2140" s="3" t="s">
        <v>9547</v>
      </c>
      <c r="N2140" s="7" t="str">
        <f>IFERROR(__xludf.DUMMYFUNCTION("GOOGLETRANSLATE(L2140, ""en"", ""pt"")"),"Cozinheiro de linha")</f>
        <v>Cozinheiro de linha</v>
      </c>
      <c r="O2140" s="7" t="str">
        <f>IFERROR(__xludf.DUMMYFUNCTION("IF(M2140="""","""",GOOGLETRANSLATE(M2140,""en"",""pt""))"),"Prepara, tempera e cozinha sopas, carnes, legumes, frutas, sobremesas e outros alimentos diversos para consumo; observa as diretrizes da receita e os procedimentos de higiene. *Continuação da Seção F.a.5 abaixo: 40 horas semanais. Os turnos serão de 8 hor"&amp;"as e podem variar conforme a necessidade, de acordo com o anúncio da vaga na Agência Estadual de Força de Trabalho e em outras fontes de anúncios de vagas H-2B, conforme os requisitos de recrutamento dos empregadores para trabalhadores em potencial no âmb"&amp;"ito do programa H-2B. Turnos variáveis ​​ao longo de 7 dias da semana. Os turnos podem variar: das 6h às 23h. Classificação da vaga: 35-2014.00 - Cozinheiros, Restaurante. A classificação e a descrição da vaga/setor incluem informações gerais sobre o carg"&amp;"o, provenientes do ONET/OES e do Sistema de Classificação Industrial da América do Norte. Consulte as Funções e a Ordem de Serviço para obter mais informações. Requisitos da vaga Experiência exigida: Não Requisitos especiais: O EMPREGADOR EXIGE QUE A VERI"&amp;"FICAÇÃO DE ANTECEDENTES E O TESTE DE DROGAS PRÉ-ADMISSÃO SEJAM REALIZADOS IGUALMENTE PARA TRABALHADORES AMERICANOS E TRABALHADORES COM VISTO H-2B. Capacidade de se comunicar em inglês. Número de horas por semana: 40 Horário de trabalho (início/término): 6"&amp;"h às 23h")</f>
        <v>Prepara, tempera e cozinha sopas, carnes, legumes, frutas, sobremesas e outros alimentos diversos para consumo; observa as diretrizes da receita e os procedimentos de higiene. *Continuação da Seção F.a.5 abaixo: 40 horas semanais. Os turnos serão de 8 horas e podem variar conforme a necessidade, de acordo com o anúncio da vaga na Agência Estadual de Força de Trabalho e em outras fontes de anúncios de vagas H-2B, conforme os requisitos de recrutamento dos empregadores para trabalhadores em potencial no âmbito do programa H-2B. Turnos variáveis ​​ao longo de 7 dias da semana. Os turnos podem variar: das 6h às 23h. Classificação da vaga: 35-2014.00 - Cozinheiros, Restaurante. A classificação e a descrição da vaga/setor incluem informações gerais sobre o cargo, provenientes do ONET/OES e do Sistema de Classificação Industrial da América do Norte. Consulte as Funções e a Ordem de Serviço para obter mais informações. Requisitos da vaga Experiência exigida: Não Requisitos especiais: O EMPREGADOR EXIGE QUE A VERIFICAÇÃO DE ANTECEDENTES E O TESTE DE DROGAS PRÉ-ADMISSÃO SEJAM REALIZADOS IGUALMENTE PARA TRABALHADORES AMERICANOS E TRABALHADORES COM VISTO H-2B. Capacidade de se comunicar em inglês. Número de horas por semana: 40 Horário de trabalho (início/término): 6h às 23h</v>
      </c>
    </row>
    <row r="2141" ht="20.25" customHeight="1">
      <c r="A2141" s="8" t="s">
        <v>9548</v>
      </c>
      <c r="B2141" s="8" t="s">
        <v>9542</v>
      </c>
      <c r="C2141" s="8" t="s">
        <v>8981</v>
      </c>
      <c r="D2141" s="8" t="s">
        <v>71</v>
      </c>
      <c r="E2141" s="9" t="s">
        <v>19</v>
      </c>
      <c r="F2141" s="9" t="s">
        <v>20</v>
      </c>
      <c r="G2141" s="9" t="s">
        <v>524</v>
      </c>
      <c r="H2141" s="8" t="s">
        <v>9543</v>
      </c>
      <c r="I2141" s="8" t="s">
        <v>9544</v>
      </c>
      <c r="J2141" s="9">
        <v>18.74</v>
      </c>
      <c r="K2141" s="9">
        <v>13.0</v>
      </c>
      <c r="L2141" s="8" t="s">
        <v>1206</v>
      </c>
      <c r="M2141" s="8" t="s">
        <v>9549</v>
      </c>
      <c r="N2141" s="7" t="str">
        <f>IFERROR(__xludf.DUMMYFUNCTION("GOOGLETRANSLATE(L2141, ""en"", ""pt"")"),"Servidor")</f>
        <v>Servidor</v>
      </c>
      <c r="O2141" s="7" t="str">
        <f>IFERROR(__xludf.DUMMYFUNCTION("IF(M2141="""","""",GOOGLETRANSLATE(M2141,""en"",""pt""))"),"Receber e servir pedidos de comida e bebida; realizar a montagem e desmontagem de mesas e outras atividades diversas; poderá ser necessário trabalhar em ambientes externos e em eventos de banquetes; poderá ser necessário servir clientes utilizando carrinh"&amp;"o de golfe. *Continuação da Seção F.a.5 abaixo: 40 horas semanais. Os turnos serão de 8 horas e poderão variar conforme a necessidade, de acordo com o anúncio da vaga na Agência Estadual de Força de Trabalho e em outras fontes de anúncios de vagas H-2B, c"&amp;"onforme os requisitos de recrutamento dos empregadores para trabalhadores em potencial no âmbito do programa H-2B. Turnos variáveis ​​ao longo de 7 dias da semana. Os turnos podem variar: das 6h às 23h. Classificação da vaga: 35-3031.00 - Garçons e Garçon"&amp;"etes. A classificação e descrição da vaga/setor inclui informações gerais sobre o cargo, provenientes do ONET/OES e do Sistema de Classificação Industrial da América do Norte. Consulte as Funções e a Ordem de Serviço para obter mais informações. Requisito"&amp;"s da vaga Experiência exigida: Não Requisitos especiais: O EMPREGADOR EXIGE QUE A VERIFICAÇÃO DE ANTECEDENTES E O TESTE DE DROGAS PRÉ-ADMISSÃO SEJAM REALIZADOS IGUALMENTE PARA TRABALHADORES AMERICANOS E TRABALHADORES COM VISTO H-2B. Capacidade de se comun"&amp;"icar em inglês. Número de horas por semana: 40 Horário de trabalho (início/término): 6h às 23h")</f>
        <v>Receber e servir pedidos de comida e bebida; realizar a montagem e desmontagem de mesas e outras atividades diversas; poderá ser necessário trabalhar em ambientes externos e em eventos de banquetes; poderá ser necessário servir clientes utilizando carrinho de golfe. *Continuação da Seção F.a.5 abaixo: 40 horas semanais. Os turnos serão de 8 horas e poderão variar conforme a necessidade, de acordo com o anúncio da vaga na Agência Estadual de Força de Trabalho e em outras fontes de anúncios de vagas H-2B, conforme os requisitos de recrutamento dos empregadores para trabalhadores em potencial no âmbito do programa H-2B. Turnos variáveis ​​ao longo de 7 dias da semana. Os turnos podem variar: das 6h às 23h. Classificação da vaga: 35-3031.00 - Garçons e Garçonetes. A classificação e descrição da vaga/setor inclui informações gerais sobre o cargo, provenientes do ONET/OES e do Sistema de Classificação Industrial da América do Norte. Consulte as Funções e a Ordem de Serviço para obter mais informações. Requisitos da vaga Experiência exigida: Não Requisitos especiais: O EMPREGADOR EXIGE QUE A VERIFICAÇÃO DE ANTECEDENTES E O TESTE DE DROGAS PRÉ-ADMISSÃO SEJAM REALIZADOS IGUALMENTE PARA TRABALHADORES AMERICANOS E TRABALHADORES COM VISTO H-2B. Capacidade de se comunicar em inglês. Número de horas por semana: 40 Horário de trabalho (início/término): 6h às 23h</v>
      </c>
    </row>
    <row r="2142" ht="20.25" customHeight="1">
      <c r="A2142" s="3" t="s">
        <v>9550</v>
      </c>
      <c r="B2142" s="3" t="s">
        <v>9542</v>
      </c>
      <c r="C2142" s="3" t="s">
        <v>8981</v>
      </c>
      <c r="D2142" s="3" t="s">
        <v>71</v>
      </c>
      <c r="E2142" s="4" t="s">
        <v>19</v>
      </c>
      <c r="F2142" s="4" t="s">
        <v>20</v>
      </c>
      <c r="G2142" s="4" t="s">
        <v>524</v>
      </c>
      <c r="H2142" s="3" t="s">
        <v>9543</v>
      </c>
      <c r="I2142" s="3" t="s">
        <v>9544</v>
      </c>
      <c r="J2142" s="4">
        <v>18.0</v>
      </c>
      <c r="K2142" s="4">
        <v>2.0</v>
      </c>
      <c r="L2142" s="3" t="s">
        <v>3312</v>
      </c>
      <c r="M2142" s="3" t="s">
        <v>9551</v>
      </c>
      <c r="N2142" s="7" t="str">
        <f>IFERROR(__xludf.DUMMYFUNCTION("GOOGLETRANSLATE(L2142, ""en"", ""pt"")"),"Anfitrião/anfitriã")</f>
        <v>Anfitrião/anfitriã</v>
      </c>
      <c r="O2142" s="7" t="str">
        <f>IFERROR(__xludf.DUMMYFUNCTION("IF(M2142="""","""",GOOGLETRANSLATE(M2142,""en"",""pt""))"),"Recepciona, acompanha e entrega os cardápios aos clientes; auxilia na limpeza/polimento, etc., conforme necessário. *Continuação da Seção F.a.5 abaixo: 40 horas semanais. Os turnos serão de 8 horas, podendo variar conforme a necessidade, de acordo com o a"&amp;"núncio da vaga na Agência Estadual de Força de Trabalho e em outras fontes de anúncios de vagas H-2B, conforme os requisitos de recrutamento dos empregadores para trabalhadores em potencial no âmbito do programa H-2B. Turnos variáveis ​​ao longo de 7 dias"&amp;" da semana. Os turnos podem variar: das 6h às 23h. Classificação da vaga: 35-9031.00 - Recepcionistas, Restaurante, Bar e Cafeteria. A classificação e descrição da vaga/setor incluem informações gerais sobre o cargo, provenientes do ONET/OES e do Sistema "&amp;"de Classificação Industrial da América do Norte (NAICS). Consulte as Funções e a Ordem de Serviço para obter mais informações. Requisitos da vaga Experiência exigida: Não Requisitos especiais: O EMPREGADOR EXIGE QUE A VERIFICAÇÃO DE ANTECEDENTES E O TESTE"&amp;" DE DROGAS PRÉ-ADMISSÃO SEJAM REALIZADOS IGUALMENTE PARA TRABALHADORES AMERICANOS E TRABALHADORES COM VISTO H-2B. Capacidade de se comunicar em inglês. Número de horas por semana: 40 Horário de trabalho (início/término): 6h às 23h")</f>
        <v>Recepciona, acompanha e entrega os cardápios aos clientes; auxilia na limpeza/polimento, etc., conforme necessário. *Continuação da Seção F.a.5 abaixo: 40 horas semanais. Os turnos serão de 8 horas, podendo variar conforme a necessidade, de acordo com o anúncio da vaga na Agência Estadual de Força de Trabalho e em outras fontes de anúncios de vagas H-2B, conforme os requisitos de recrutamento dos empregadores para trabalhadores em potencial no âmbito do programa H-2B. Turnos variáveis ​​ao longo de 7 dias da semana. Os turnos podem variar: das 6h às 23h. Classificação da vaga: 35-9031.00 - Recepcionistas, Restaurante, Bar e Cafeteria. A classificação e descrição da vaga/setor incluem informações gerais sobre o cargo, provenientes do ONET/OES e do Sistema de Classificação Industrial da América do Norte (NAICS). Consulte as Funções e a Ordem de Serviço para obter mais informações. Requisitos da vaga Experiência exigida: Não Requisitos especiais: O EMPREGADOR EXIGE QUE A VERIFICAÇÃO DE ANTECEDENTES E O TESTE DE DROGAS PRÉ-ADMISSÃO SEJAM REALIZADOS IGUALMENTE PARA TRABALHADORES AMERICANOS E TRABALHADORES COM VISTO H-2B. Capacidade de se comunicar em inglês. Número de horas por semana: 40 Horário de trabalho (início/término): 6h às 23h</v>
      </c>
    </row>
    <row r="2143" ht="20.25" customHeight="1">
      <c r="A2143" s="8" t="s">
        <v>9552</v>
      </c>
      <c r="B2143" s="8" t="s">
        <v>9553</v>
      </c>
      <c r="C2143" s="8" t="s">
        <v>169</v>
      </c>
      <c r="D2143" s="8" t="s">
        <v>249</v>
      </c>
      <c r="E2143" s="9" t="s">
        <v>19</v>
      </c>
      <c r="F2143" s="9" t="s">
        <v>20</v>
      </c>
      <c r="G2143" s="9" t="s">
        <v>307</v>
      </c>
      <c r="H2143" s="8" t="s">
        <v>9554</v>
      </c>
      <c r="I2143" s="8"/>
      <c r="J2143" s="9">
        <v>19.55</v>
      </c>
      <c r="K2143" s="9">
        <v>5.0</v>
      </c>
      <c r="L2143" s="8" t="s">
        <v>9555</v>
      </c>
      <c r="M2143" s="8" t="s">
        <v>9556</v>
      </c>
      <c r="N2143" s="7" t="str">
        <f>IFERROR(__xludf.DUMMYFUNCTION("GOOGLETRANSLATE(L2143, ""en"", ""pt"")"),"Operário de manutenção/instalação de paisagismo")</f>
        <v>Operário de manutenção/instalação de paisagismo</v>
      </c>
      <c r="O2143" s="7" t="str">
        <f>IFERROR(__xludf.DUMMYFUNCTION("IF(M2143="""","""",GOOGLETRANSLATE(M2143,""en"",""pt""))"),"Os trabalhadores desempenham uma variedade de funções em apoio à gestão de gramados e campos de grama, incluindo o cuidado com gramados já estabelecidos por meio de cobertura morta, aeração, capina, remoção de tocos, remoção de palha morta ou aparar e cor"&amp;"tar as bordas ao redor de canteiros de flores, calçadas ou muros. Os trabalhadores também podem realizar paisagismo ou manutenção de terrenos da propriedade usando ferramentas manuais ou elétricas. Os trabalhadores normalmente executam uma variedade de ta"&amp;"refas, que podem incluir qualquer combinação das seguintes: colocação/remoção de grama em placas, corte de grama, poda, colocação de torrões de terra para transplante de árvores, plantio, irrigação, fertilização, escavação, rastelagem, instalação de asper"&amp;"sores e instalação de blocos de concreto segmentados sem argamassa para muros/caminhos. Classificação do Cargo: 37-3011.00 - Trabalhadores de Paisagismo e Manutenção de Terrenos. A classificação e descrição do cargo/setor inclui informações gerais sobre a"&amp;" posição, de acordo com o ONET/OES e o Sistema de Classificação Industrial da América do Norte. Consulte as Funções e a Ordem de Serviço para obter mais informações. Requisitos da Vaga Experiência Necessária: Sim Meses de Experiência Necessários: 3 Requis"&amp;"itos Especiais: Requer três meses de experiência prévia em paisagismo. Deve ser capaz de levantar/carregar 23 kg, quando necessário. Trabalho aos sábados e domingos, quando necessário. O empregador poderá oferecer mais horas de trabalho do que as estipula"&amp;"das, dependendo do clima, das necessidades da empresa e de outras condições. Calor extremo, frio, chuva ou seca podem afetar o horário de trabalho exato. Número de Horas por Semana: 40 Horário de Trabalho (Início/Término): 8h00 - 16h30")</f>
        <v>Os trabalhadores desempenham uma variedade de funções em apoio à gestão de gramados e campos de grama, incluindo o cuidado com gramados já estabelecidos por meio de cobertura morta, aeração, capina, remoção de tocos, remoção de palha morta ou aparar e cortar as bordas ao redor de canteiros de flores, calçadas ou muros. Os trabalhadores também podem realizar paisagismo ou manutenção de terrenos da propriedade usando ferramentas manuais ou elétricas. Os trabalhadores normalmente executam uma variedade de tarefas, que podem incluir qualquer combinação das seguintes: colocação/remoção de grama em placas, corte de grama, poda, colocação de torrões de terra para transplante de árvores, plantio, irrigação, fertilização, escavação, rastelagem, instalação de aspersores e instalação de blocos de concreto segmentados sem argamassa para muros/caminhos. Classificação do Cargo: 37-3011.00 - Trabalhadores de Paisagismo e Manutenção de Terrenos. A classificação e descrição do cargo/setor inclui informações gerais sobre a posição, de acordo com o ONET/OES e o Sistema de Classificação Industrial da América do Norte. Consulte as Funções e a Ordem de Serviço para obter mais informações. Requisitos da Vaga Experiência Necessária: Sim Meses de Experiência Necessários: 3 Requisitos Especiais: Requer três meses de experiência prévia em paisagismo. Deve ser capaz de levantar/carregar 23 kg, quando necessário. Trabalho aos sábados e domingos, quando necessário. O empregador poderá oferecer mais horas de trabalho do que as estipuladas, dependendo do clima, das necessidades da empresa e de outras condições. Calor extremo, frio, chuva ou seca podem afetar o horário de trabalho exato. Número de Horas por Semana: 40 Horário de Trabalho (Início/Término): 8h00 - 16h30</v>
      </c>
    </row>
    <row r="2144" ht="20.25" customHeight="1">
      <c r="A2144" s="3" t="s">
        <v>9557</v>
      </c>
      <c r="B2144" s="3" t="s">
        <v>9558</v>
      </c>
      <c r="C2144" s="3" t="s">
        <v>9397</v>
      </c>
      <c r="D2144" s="3" t="s">
        <v>271</v>
      </c>
      <c r="E2144" s="4" t="s">
        <v>19</v>
      </c>
      <c r="F2144" s="4" t="s">
        <v>20</v>
      </c>
      <c r="G2144" s="4" t="s">
        <v>80</v>
      </c>
      <c r="H2144" s="3" t="s">
        <v>9559</v>
      </c>
      <c r="I2144" s="3" t="s">
        <v>9560</v>
      </c>
      <c r="J2144" s="4">
        <v>19.42</v>
      </c>
      <c r="K2144" s="4">
        <v>20.0</v>
      </c>
      <c r="L2144" s="3" t="s">
        <v>59</v>
      </c>
      <c r="M2144" s="3" t="s">
        <v>9561</v>
      </c>
      <c r="N2144" s="7" t="str">
        <f>IFERROR(__xludf.DUMMYFUNCTION("GOOGLETRANSLATE(L2144, ""en"", ""pt"")"),"Trabalhador de paisagismo")</f>
        <v>Trabalhador de paisagismo</v>
      </c>
      <c r="O2144" s="7" t="str">
        <f>IFERROR(__xludf.DUMMYFUNCTION("IF(M2144="""","""",GOOGLETRANSLATE(M2144,""en"",""pt""))"),"Serão necessários trabalhadores para cuidados com gramados, poda, fertilização, manutenção e reparo de sistemas de irrigação, limpeza geral e instalação de blocos de concreto pré-moldado sem argamassa. Classificação da vaga: 37-3011.00 - Trabalhadores de "&amp;"Paisagismo e Jardinagem. A classificação e descrição da vaga/setor incluem informações gerais sobre o cargo, de acordo com o ONET/OES e o Sistema de Classificação Industrial da América do Norte (NAICS). Consulte as Funções e a Ordem de Serviço para obter "&amp;"mais informações. Requisitos da vaga: Experiência necessária: Sim. Meses de experiência necessários: 3. Requisitos especiais: Os dias de trabalho podem incluir fins de semana e feriados. Número de horas por semana: 40. Horário de trabalho (início/término)"&amp;": 6h às 14h30.")</f>
        <v>Serão necessários trabalhadores para cuidados com gramados, poda, fertilização, manutenção e reparo de sistemas de irrigação, limpeza geral e instalação de blocos de concreto pré-moldado sem argamassa. Classificação da vaga: 37-3011.00 - Trabalhadores de Paisagismo e Jardinagem. A classificação e descrição da vaga/setor incluem informações gerais sobre o cargo, de acordo com o ONET/OES e o Sistema de Classificação Industrial da América do Norte (NAICS). Consulte as Funções e a Ordem de Serviço para obter mais informações. Requisitos da vaga: Experiência necessária: Sim. Meses de experiência necessários: 3. Requisitos especiais: Os dias de trabalho podem incluir fins de semana e feriados. Número de horas por semana: 40. Horário de trabalho (início/término): 6h às 14h30.</v>
      </c>
    </row>
    <row r="2145" ht="20.25" customHeight="1">
      <c r="A2145" s="8" t="s">
        <v>9562</v>
      </c>
      <c r="B2145" s="8" t="s">
        <v>9563</v>
      </c>
      <c r="C2145" s="8" t="s">
        <v>7651</v>
      </c>
      <c r="D2145" s="8" t="s">
        <v>71</v>
      </c>
      <c r="E2145" s="9" t="s">
        <v>19</v>
      </c>
      <c r="F2145" s="9" t="s">
        <v>20</v>
      </c>
      <c r="G2145" s="9" t="s">
        <v>437</v>
      </c>
      <c r="H2145" s="8" t="s">
        <v>9564</v>
      </c>
      <c r="I2145" s="8" t="s">
        <v>9565</v>
      </c>
      <c r="J2145" s="9">
        <v>17.78</v>
      </c>
      <c r="K2145" s="9">
        <v>10.0</v>
      </c>
      <c r="L2145" s="8" t="s">
        <v>9566</v>
      </c>
      <c r="M2145" s="8" t="s">
        <v>9567</v>
      </c>
      <c r="N2145" s="7" t="str">
        <f>IFERROR(__xludf.DUMMYFUNCTION("GOOGLETRANSLATE(L2145, ""en"", ""pt"")"),"Membro da Equipe de Manutenção de Paisagismo")</f>
        <v>Membro da Equipe de Manutenção de Paisagismo</v>
      </c>
      <c r="O2145" s="7" t="str">
        <f>IFERROR(__xludf.DUMMYFUNCTION("IF(M2145="""","""",GOOGLETRANSLATE(M2145,""en"",""pt""))"),"Executa tarefas de manutenção do terreno (por exemplo, arrancar ervas daninhas, recolher folhas, varrer calçadas e limpar detritos); limpa valas, cava buracos e realiza trabalhos manuais conforme necessário, utilizando picareta, pá ou outras ferramentas m"&amp;"anuais (por exemplo, pá, ancinho, vassoura, tesoura de poda); irriga a vegetação com mangueira; limpa canais, drenos e canteiros de árvores; Opera equipamentos leves de jardinagem (por exemplo, cortadores de grama de 21”, 36”, 52”, 60” e 72”, sopradores d"&amp;"e folhas, roçadeiras, aparadores de borda, tesouras de poda e aparadores de cerca viva); mantém as ferramentas e equipamentos em boas condições de segurança; reporta ao Líder da Equipe qualquer equipamento faltante, danificado ou com defeito; participa at"&amp;"ivamente das reuniões de segurança; serve de exemplo no uso de EPIs; usa o uniforme completo, incluindo o boné da empresa; planta vegetação conforme instruções; utiliza as ferramentas e equipamentos designados com segurança; auxilia na manutenção da segur"&amp;"ança do local de trabalho para o público e funcionários da empresa; contribui ativamente para o alcance das metas de desempenho (por exemplo, qualidade do trabalho, segurança, atendimento ao cliente); cumpre todas as políticas e procedimentos de segurança"&amp;" da empresa; trabalha de forma eficaz em equipe; segue as orientações do Encarregado e as instruções; comunica-se de forma eficaz com o Encarregado e colegas de trabalho; mantém gramados e canteiros conforme as instruções do Encarregado; trabalha de forma"&amp;" eficiente para concluir as tarefas designadas sem supervisão; reporta imediatamente ao Encarregado quaisquer condições inseguras ou equipamentos defeituosos; demonstra práticas adequadas de jardinagem. Demonstra conhecimento básico sobre pragas de planta"&amp;"s e o pesticida apropriado a ser aplicado; demonstra conhecimento básico de como realizar reparos em sistemas de irrigação; capaz de identificar visualmente pelo menos 10 plantas pelo nome; realiza vários tipos de poda (por exemplo, poda drástica, poda na"&amp;"tural, poda formal); prepara adequadamente o solo e instala flores anuais, plantas e árvores; instala corretamente estacas e amarras para árvores; presta um serviço excelente. Classificação da Função: 37-3011.00 - Trabalhadores de Paisagismo e Manutenção "&amp;"de Áreas Verdes. A classificação e descrição da função/setor incluem informações gerais sobre o cargo, de acordo com o ONET/OES e o Sistema de Classificação Industrial da América do Norte. Consulte as Funções e a Ordem de Serviço para obter mais informaçõ"&amp;"es. Requisitos da Função Experiência Necessária: Sim Meses de Experiência Necessários: 3 Requisitos Especiais: Capacidade de levantar e carregar até 23 kg. Permanecer em pé por longos períodos, caminhar em superfícies escorregadias e se locomover por gran"&amp;"des áreas. Flexionar-se, abaixar-se, ajoelhar-se, empurrar e puxar equipamentos pesados ​​com frequência. Subir escadas, destreza manual para Manuseio de ferramentas e operação de máquinas. Resistência física para trabalhar por longos períodos em diversas"&amp;" condições climáticas. Número de horas por semana: 40. Horário de trabalho (início/término): 6h30 às 17h.")</f>
        <v>Executa tarefas de manutenção do terreno (por exemplo, arrancar ervas daninhas, recolher folhas, varrer calçadas e limpar detritos); limpa valas, cava buracos e realiza trabalhos manuais conforme necessário, utilizando picareta, pá ou outras ferramentas manuais (por exemplo, pá, ancinho, vassoura, tesoura de poda); irriga a vegetação com mangueira; limpa canais, drenos e canteiros de árvores; Opera equipamentos leves de jardinagem (por exemplo, cortadores de grama de 21”, 36”, 52”, 60” e 72”, sopradores de folhas, roçadeiras, aparadores de borda, tesouras de poda e aparadores de cerca viva); mantém as ferramentas e equipamentos em boas condições de segurança; reporta ao Líder da Equipe qualquer equipamento faltante, danificado ou com defeito; participa ativamente das reuniões de segurança; serve de exemplo no uso de EPIs; usa o uniforme completo, incluindo o boné da empresa; planta vegetação conforme instruções; utiliza as ferramentas e equipamentos designados com segurança; auxilia na manutenção da segurança do local de trabalho para o público e funcionários da empresa; contribui ativamente para o alcance das metas de desempenho (por exemplo, qualidade do trabalho, segurança, atendimento ao cliente); cumpre todas as políticas e procedimentos de segurança da empresa; trabalha de forma eficaz em equipe; segue as orientações do Encarregado e as instruções; comunica-se de forma eficaz com o Encarregado e colegas de trabalho; mantém gramados e canteiros conforme as instruções do Encarregado; trabalha de forma eficiente para concluir as tarefas designadas sem supervisão; reporta imediatamente ao Encarregado quaisquer condições inseguras ou equipamentos defeituosos; demonstra práticas adequadas de jardinagem. Demonstra conhecimento básico sobre pragas de plantas e o pesticida apropriado a ser aplicado; demonstra conhecimento básico de como realizar reparos em sistemas de irrigação; capaz de identificar visualmente pelo menos 10 plantas pelo nome; realiza vários tipos de poda (por exemplo, poda drástica, poda natural, poda formal); prepara adequadamente o solo e instala flores anuais, plantas e árvores; instala corretamente estacas e amarras para árvores; presta um serviço excelente. Classificação da Função: 37-3011.00 - Trabalhadores de Paisagismo e Manutenção de Áreas Verdes. A classificação e descrição da função/setor incluem informações gerais sobre o cargo, de acordo com o ONET/OES e o Sistema de Classificação Industrial da América do Norte. Consulte as Funções e a Ordem de Serviço para obter mais informações. Requisitos da Função Experiência Necessária: Sim Meses de Experiência Necessários: 3 Requisitos Especiais: Capacidade de levantar e carregar até 23 kg. Permanecer em pé por longos períodos, caminhar em superfícies escorregadias e se locomover por grandes áreas. Flexionar-se, abaixar-se, ajoelhar-se, empurrar e puxar equipamentos pesados ​​com frequência. Subir escadas, destreza manual para Manuseio de ferramentas e operação de máquinas. Resistência física para trabalhar por longos períodos em diversas condições climáticas. Número de horas por semana: 40. Horário de trabalho (início/término): 6h30 às 17h.</v>
      </c>
    </row>
    <row r="2146" ht="20.25" customHeight="1">
      <c r="A2146" s="3" t="s">
        <v>9568</v>
      </c>
      <c r="B2146" s="3" t="s">
        <v>9569</v>
      </c>
      <c r="C2146" s="3" t="s">
        <v>8981</v>
      </c>
      <c r="D2146" s="3" t="s">
        <v>71</v>
      </c>
      <c r="E2146" s="4" t="s">
        <v>19</v>
      </c>
      <c r="F2146" s="4" t="s">
        <v>20</v>
      </c>
      <c r="G2146" s="4" t="s">
        <v>524</v>
      </c>
      <c r="H2146" s="3" t="s">
        <v>9570</v>
      </c>
      <c r="I2146" s="3" t="s">
        <v>9571</v>
      </c>
      <c r="J2146" s="4">
        <v>20.0</v>
      </c>
      <c r="K2146" s="4">
        <v>20.0</v>
      </c>
      <c r="L2146" s="3" t="s">
        <v>586</v>
      </c>
      <c r="M2146" s="3" t="s">
        <v>9572</v>
      </c>
      <c r="N2146" s="7" t="str">
        <f>IFERROR(__xludf.DUMMYFUNCTION("GOOGLETRANSLATE(L2146, ""en"", ""pt"")"),"Cozinheiro de linha")</f>
        <v>Cozinheiro de linha</v>
      </c>
      <c r="O2146" s="7" t="str">
        <f>IFERROR(__xludf.DUMMYFUNCTION("IF(M2146="""","""",GOOGLETRANSLATE(M2146,""en"",""pt""))"),"Prepara, tempera e cozinha sopas, carnes, legumes, frutas, sobremesas e outros alimentos diversos para consumo; observa as diretrizes da receita e os procedimentos de higiene. *Continuação da Seção F.a.5 abaixo: 40 horas semanais. Os turnos serão de 8 hor"&amp;"as e podem variar conforme a necessidade, de acordo com o anúncio da vaga na Agência Estadual de Força de Trabalho e em outras fontes de anúncios de vagas H-2B, conforme os requisitos de recrutamento dos empregadores para trabalhadores em potencial no âmb"&amp;"ito do programa H-2B. Turnos variáveis ​​ao longo de 7 dias da semana. Os turnos podem variar: das 6h às 23h. Classificação da vaga: 35-2014.00 - Cozinheiros, Restaurante. A classificação e a descrição da vaga/setor incluem informações gerais sobre o carg"&amp;"o, provenientes do ONET/OES e do Sistema de Classificação Industrial da América do Norte. Consulte as Funções e a Ordem de Serviço para obter mais informações. Requisitos da vaga Experiência exigida: Não Requisitos especiais: O EMPREGADOR EXIGE QUE A VERI"&amp;"FICAÇÃO DE ANTECEDENTES CRIMINAIS PRÉ-ADMISSÃO E O TESTE DE DROGAS PÓS-ADMISSÃO SEJAM REALIZADOS IGUALMENTE PARA OS TRABALHADORES AMERICANOS E PARA OS TRABALHADORES COM VISTO H-2B. Habilidade de se comunicar em inglês. Número de horas por semana: 40 Horár"&amp;"io de trabalho (início/término): 6h às 23h")</f>
        <v>Prepara, tempera e cozinha sopas, carnes, legumes, frutas, sobremesas e outros alimentos diversos para consumo; observa as diretrizes da receita e os procedimentos de higiene. *Continuação da Seção F.a.5 abaixo: 40 horas semanais. Os turnos serão de 8 horas e podem variar conforme a necessidade, de acordo com o anúncio da vaga na Agência Estadual de Força de Trabalho e em outras fontes de anúncios de vagas H-2B, conforme os requisitos de recrutamento dos empregadores para trabalhadores em potencial no âmbito do programa H-2B. Turnos variáveis ​​ao longo de 7 dias da semana. Os turnos podem variar: das 6h às 23h. Classificação da vaga: 35-2014.00 - Cozinheiros, Restaurante. A classificação e a descrição da vaga/setor incluem informações gerais sobre o cargo, provenientes do ONET/OES e do Sistema de Classificação Industrial da América do Norte. Consulte as Funções e a Ordem de Serviço para obter mais informações. Requisitos da vaga Experiência exigida: Não Requisitos especiais: O EMPREGADOR EXIGE QUE A VERIFICAÇÃO DE ANTECEDENTES CRIMINAIS PRÉ-ADMISSÃO E O TESTE DE DROGAS PÓS-ADMISSÃO SEJAM REALIZADOS IGUALMENTE PARA OS TRABALHADORES AMERICANOS E PARA OS TRABALHADORES COM VISTO H-2B. Habilidade de se comunicar em inglês. Número de horas por semana: 40 Horário de trabalho (início/término): 6h às 23h</v>
      </c>
    </row>
    <row r="2147" ht="20.25" customHeight="1">
      <c r="A2147" s="8" t="s">
        <v>9573</v>
      </c>
      <c r="B2147" s="8" t="s">
        <v>9569</v>
      </c>
      <c r="C2147" s="8" t="s">
        <v>8981</v>
      </c>
      <c r="D2147" s="8" t="s">
        <v>71</v>
      </c>
      <c r="E2147" s="9" t="s">
        <v>19</v>
      </c>
      <c r="F2147" s="9" t="s">
        <v>20</v>
      </c>
      <c r="G2147" s="9" t="s">
        <v>524</v>
      </c>
      <c r="H2147" s="8" t="s">
        <v>9570</v>
      </c>
      <c r="I2147" s="8" t="s">
        <v>9571</v>
      </c>
      <c r="J2147" s="9">
        <v>18.5</v>
      </c>
      <c r="K2147" s="9">
        <v>5.0</v>
      </c>
      <c r="L2147" s="8" t="s">
        <v>1684</v>
      </c>
      <c r="M2147" s="8" t="s">
        <v>9574</v>
      </c>
      <c r="N2147" s="7" t="str">
        <f>IFERROR(__xludf.DUMMYFUNCTION("GOOGLETRANSLATE(L2147, ""en"", ""pt"")"),"Barman")</f>
        <v>Barman</v>
      </c>
      <c r="O2147" s="7" t="str">
        <f>IFERROR(__xludf.DUMMYFUNCTION("IF(M2147="""","""",GOOGLETRANSLATE(M2147,""en"",""pt""))"),"Anotar pedidos de bebidas. Preparar e servir drinks. Limpar a área do bar. Poderá ser necessário anotar pedidos de comida e fazer recomendações sobre vinhos e outros produtos. Solicitar e exibir bebidas alcoólicas e suprimentos. Manter a área do bar limpa"&amp;" e trabalhar de acordo com as normas estaduais rigorosamente aplicadas. *Continuação da Seção F.a.5 abaixo: 40 horas semanais. Os turnos serão de 8 horas, podendo variar conforme a necessidade, de acordo com o anúncio da vaga na Agência Estadual de Força "&amp;"de Trabalho e em outras fontes de anúncios de vagas H-2B, conforme os requisitos de recrutamento dos empregadores para trabalhadores em potencial no âmbito do programa H-2B. Turnos variáveis ​​ao longo de 7 dias da semana. Os turnos podem variar das 6h às"&amp;" 23h. Classificação da vaga: 35-3011.00 - Bartenders. A classificação e descrição da vaga/setor incluem informações gerais sobre o cargo, provenientes do ONET/OES e do Sistema de Classificação Industrial da América do Norte. Consulte as Funções e a Ordem "&amp;"de Serviço para obter mais informações. Requisitos da vaga Experiência exigida: Não Requisitos especiais: O EMPREGADOR EXIGE QUE A VERIFICAÇÃO DE ANTECEDENTES CRIMINAIS PRÉ-ADMISSÃO E O TESTE DE DROGAS PÓS-ADMISSÃO SEJAM REALIZADOS IGUALMENTE PARA OS TRAB"&amp;"ALHADORES AMERICANOS E PARA OS TRABALHADORES COM VISTO H-2B. Capacidade de se comunicar em inglês. Número de horas por semana: 40 Horário de trabalho (início/término): 6h às 23h")</f>
        <v>Anotar pedidos de bebidas. Preparar e servir drinks. Limpar a área do bar. Poderá ser necessário anotar pedidos de comida e fazer recomendações sobre vinhos e outros produtos. Solicitar e exibir bebidas alcoólicas e suprimentos. Manter a área do bar limpa e trabalhar de acordo com as normas estaduais rigorosamente aplicadas. *Continuação da Seção F.a.5 abaixo: 40 horas semanais. Os turnos serão de 8 horas, podendo variar conforme a necessidade, de acordo com o anúncio da vaga na Agência Estadual de Força de Trabalho e em outras fontes de anúncios de vagas H-2B, conforme os requisitos de recrutamento dos empregadores para trabalhadores em potencial no âmbito do programa H-2B. Turnos variáveis ​​ao longo de 7 dias da semana. Os turnos podem variar das 6h às 23h. Classificação da vaga: 35-3011.00 - Bartenders. A classificação e descrição da vaga/setor incluem informações gerais sobre o cargo, provenientes do ONET/OES e do Sistema de Classificação Industrial da América do Norte. Consulte as Funções e a Ordem de Serviço para obter mais informações. Requisitos da vaga Experiência exigida: Não Requisitos especiais: O EMPREGADOR EXIGE QUE A VERIFICAÇÃO DE ANTECEDENTES CRIMINAIS PRÉ-ADMISSÃO E O TESTE DE DROGAS PÓS-ADMISSÃO SEJAM REALIZADOS IGUALMENTE PARA OS TRABALHADORES AMERICANOS E PARA OS TRABALHADORES COM VISTO H-2B. Capacidade de se comunicar em inglês. Número de horas por semana: 40 Horário de trabalho (início/término): 6h às 23h</v>
      </c>
    </row>
    <row r="2148" ht="20.25" customHeight="1">
      <c r="A2148" s="3" t="s">
        <v>9575</v>
      </c>
      <c r="B2148" s="3" t="s">
        <v>9569</v>
      </c>
      <c r="C2148" s="3" t="s">
        <v>8981</v>
      </c>
      <c r="D2148" s="3" t="s">
        <v>71</v>
      </c>
      <c r="E2148" s="4" t="s">
        <v>44</v>
      </c>
      <c r="F2148" s="4" t="s">
        <v>20</v>
      </c>
      <c r="G2148" s="4" t="s">
        <v>524</v>
      </c>
      <c r="H2148" s="3" t="s">
        <v>9570</v>
      </c>
      <c r="I2148" s="3" t="s">
        <v>9571</v>
      </c>
      <c r="J2148" s="4">
        <v>18.5</v>
      </c>
      <c r="K2148" s="4">
        <v>23.0</v>
      </c>
      <c r="L2148" s="3" t="s">
        <v>1206</v>
      </c>
      <c r="M2148" s="3" t="s">
        <v>9576</v>
      </c>
      <c r="N2148" s="7" t="str">
        <f>IFERROR(__xludf.DUMMYFUNCTION("GOOGLETRANSLATE(L2148, ""en"", ""pt"")"),"Servidor")</f>
        <v>Servidor</v>
      </c>
      <c r="O2148" s="7" t="str">
        <f>IFERROR(__xludf.DUMMYFUNCTION("IF(M2148="""","""",GOOGLETRANSLATE(M2148,""en"",""pt""))"),"Receber e servir pedidos de comida e bebida; realizar a montagem e desmontagem de mesas e outras atividades diversas; poderá ser necessário trabalhar em ambientes externos e em eventos de banquetes; poderá ser necessário servir clientes utilizando carrinh"&amp;"o de golfe. *Continuação da Seção F.a.5 abaixo: 40 horas semanais. Os turnos serão de 8 horas e poderão variar conforme a necessidade, de acordo com o anúncio da vaga na Agência Estadual de Força de Trabalho e em outras fontes de anúncios de vagas H-2B, c"&amp;"onforme os requisitos de recrutamento dos empregadores para trabalhadores em potencial no âmbito do programa H-2B. Turnos variáveis ​​ao longo de 7 dias da semana. Os turnos podem variar: das 6h às 23h. Classificação da vaga: 35-3031.00 - Garçons e Garçon"&amp;"etes. A classificação e descrição da vaga/setor inclui informações gerais sobre o cargo, provenientes do ONET/OES e do Sistema de Classificação Industrial da América do Norte. Consulte as Funções e a Ordem de Serviço para obter mais informações. Requisito"&amp;"s da vaga Experiência exigida: Não Requisitos especiais: O EMPREGADOR EXIGE QUE A VERIFICAÇÃO DE ANTECEDENTES CRIMINAIS PRÉ-ADMISSÃO E O TESTE DE DROGAS PÓS-ADMISSÃO SEJAM REALIZADOS IGUALMENTE PARA OS TRABALHADORES AMERICANOS E PARA OS TRABALHADORES COM "&amp;"VISTO H-2B. Capacidade de se comunicar em inglês. Número de horas por semana: 40 Horário de trabalho (início/término): 6h às 23h")</f>
        <v>Receber e servir pedidos de comida e bebida; realizar a montagem e desmontagem de mesas e outras atividades diversas; poderá ser necessário trabalhar em ambientes externos e em eventos de banquetes; poderá ser necessário servir clientes utilizando carrinho de golfe. *Continuação da Seção F.a.5 abaixo: 40 horas semanais. Os turnos serão de 8 horas e poderão variar conforme a necessidade, de acordo com o anúncio da vaga na Agência Estadual de Força de Trabalho e em outras fontes de anúncios de vagas H-2B, conforme os requisitos de recrutamento dos empregadores para trabalhadores em potencial no âmbito do programa H-2B. Turnos variáveis ​​ao longo de 7 dias da semana. Os turnos podem variar: das 6h às 23h. Classificação da vaga: 35-3031.00 - Garçons e Garçonetes. A classificação e descrição da vaga/setor inclui informações gerais sobre o cargo, provenientes do ONET/OES e do Sistema de Classificação Industrial da América do Norte. Consulte as Funções e a Ordem de Serviço para obter mais informações. Requisitos da vaga Experiência exigida: Não Requisitos especiais: O EMPREGADOR EXIGE QUE A VERIFICAÇÃO DE ANTECEDENTES CRIMINAIS PRÉ-ADMISSÃO E O TESTE DE DROGAS PÓS-ADMISSÃO SEJAM REALIZADOS IGUALMENTE PARA OS TRABALHADORES AMERICANOS E PARA OS TRABALHADORES COM VISTO H-2B. Capacidade de se comunicar em inglês. Número de horas por semana: 40 Horário de trabalho (início/término): 6h às 23h</v>
      </c>
    </row>
    <row r="2149" ht="20.25" customHeight="1">
      <c r="A2149" s="8" t="s">
        <v>9577</v>
      </c>
      <c r="B2149" s="8" t="s">
        <v>9569</v>
      </c>
      <c r="C2149" s="8" t="s">
        <v>8981</v>
      </c>
      <c r="D2149" s="8" t="s">
        <v>71</v>
      </c>
      <c r="E2149" s="9" t="s">
        <v>44</v>
      </c>
      <c r="F2149" s="9" t="s">
        <v>20</v>
      </c>
      <c r="G2149" s="9" t="s">
        <v>524</v>
      </c>
      <c r="H2149" s="8" t="s">
        <v>9570</v>
      </c>
      <c r="I2149" s="8" t="s">
        <v>9571</v>
      </c>
      <c r="J2149" s="9">
        <v>24.75</v>
      </c>
      <c r="K2149" s="9">
        <v>5.0</v>
      </c>
      <c r="L2149" s="8" t="s">
        <v>4654</v>
      </c>
      <c r="M2149" s="8" t="s">
        <v>9578</v>
      </c>
      <c r="N2149" s="7" t="str">
        <f>IFERROR(__xludf.DUMMYFUNCTION("GOOGLETRANSLATE(L2149, ""en"", ""pt"")"),"Capitão do servidor")</f>
        <v>Capitão do servidor</v>
      </c>
      <c r="O2149" s="7" t="str">
        <f>IFERROR(__xludf.DUMMYFUNCTION("IF(M2149="""","""",GOOGLETRANSLATE(M2149,""en"",""pt""))"),"Receber e servir pedidos de comida e bebida; realizar atividades de montagem e desmontagem de mesas e outros eventos; pode ser necessário trabalhar em ambientes externos e em banquetes; pode ser necessário servir clientes em carrinhos de golfe; supervisio"&amp;"nar a equipe de serviço durante a montagem; treinar novos garçons; construir e manter um bom relacionamento com os membros do clube; ser um exemplo a ser seguido e garantir que a equipe de serviço do clube ofereça o mais alto nível de atendimento. *Contin"&amp;"uação da Seção F.a.5 abaixo: 40 horas semanais. Os turnos serão de 8 horas e podem variar conforme a necessidade, de acordo com o anúncio de vaga da Agência Estadual de Força de Trabalho e outras fontes de anúncios de emprego H-2B, conforme os requisitos "&amp;"de recrutamento dos empregadores para trabalhadores em potencial no âmbito do programa H-2B. Turnos variáveis ​​ao longo de 7 dias da semana. Os turnos podem variar das 6h às 23h. Classificação da Função: 35-1012.00 - Supervisores de Primeira Linha de Pre"&amp;"paradores e Servidores de Alimentos. A classificação e descrição da função/setor inclui informações gerais sobre o cargo, conforme o ONET/OES e o Sistema de Classificação Industrial da América do Norte (NAICS). Consulte as Funções e a Ordem de Serviço par"&amp;"a obter mais informações. Requisitos da Função Experiência Necessária: Sim Meses de Experiência Necessários: 6 Requisitos Especiais: O EMPREGADOR EXIGE A VERIFICAÇÃO DE ANTECEDENTES CRIMINAIS PRÉ-ADMISSÃO E O TESTE DE DROGAS PÓS-ADMISSÃO, IGUALMENTE PARA "&amp;"TRABALHADORES AMERICANOS E TRABALHADORES COM VISTO H-2B. Habilidade de se comunicar em inglês. Os 6 meses de experiência exigidos no Quadro F.A.9 referem-se a 6 meses de experiência como garçom/garçonete ou garçom/garçonete sênior em um ambiente de hotela"&amp;"ria. Número de horas por semana: 40 Horário de trabalho (início/término): 6h00 - 23h00")</f>
        <v>Receber e servir pedidos de comida e bebida; realizar atividades de montagem e desmontagem de mesas e outros eventos; pode ser necessário trabalhar em ambientes externos e em banquetes; pode ser necessário servir clientes em carrinhos de golfe; supervisionar a equipe de serviço durante a montagem; treinar novos garçons; construir e manter um bom relacionamento com os membros do clube; ser um exemplo a ser seguido e garantir que a equipe de serviço do clube ofereça o mais alto nível de atendimento. *Continuação da Seção F.a.5 abaixo: 40 horas semanais. Os turnos serão de 8 horas e podem variar conforme a necessidade, de acordo com o anúncio de vaga da Agência Estadual de Força de Trabalho e outras fontes de anúncios de emprego H-2B, conforme os requisitos de recrutamento dos empregadores para trabalhadores em potencial no âmbito do programa H-2B. Turnos variáveis ​​ao longo de 7 dias da semana. Os turnos podem variar das 6h às 23h. Classificação da Função: 35-1012.00 - Supervisores de Primeira Linha de Preparadores e Servidores de Alimentos. A classificação e descrição da função/setor inclui informações gerais sobre o cargo, conforme o ONET/OES e o Sistema de Classificação Industrial da América do Norte (NAICS). Consulte as Funções e a Ordem de Serviço para obter mais informações. Requisitos da Função Experiência Necessária: Sim Meses de Experiência Necessários: 6 Requisitos Especiais: O EMPREGADOR EXIGE A VERIFICAÇÃO DE ANTECEDENTES CRIMINAIS PRÉ-ADMISSÃO E O TESTE DE DROGAS PÓS-ADMISSÃO, IGUALMENTE PARA TRABALHADORES AMERICANOS E TRABALHADORES COM VISTO H-2B. Habilidade de se comunicar em inglês. Os 6 meses de experiência exigidos no Quadro F.A.9 referem-se a 6 meses de experiência como garçom/garçonete ou garçom/garçonete sênior em um ambiente de hotelaria. Número de horas por semana: 40 Horário de trabalho (início/término): 6h00 - 23h00</v>
      </c>
    </row>
    <row r="2150" ht="20.25" customHeight="1">
      <c r="A2150" s="3" t="s">
        <v>9579</v>
      </c>
      <c r="B2150" s="3" t="s">
        <v>9580</v>
      </c>
      <c r="C2150" s="3"/>
      <c r="D2150" s="3" t="s">
        <v>87</v>
      </c>
      <c r="E2150" s="4" t="s">
        <v>19</v>
      </c>
      <c r="F2150" s="4" t="s">
        <v>20</v>
      </c>
      <c r="G2150" s="4" t="s">
        <v>524</v>
      </c>
      <c r="H2150" s="3" t="s">
        <v>9581</v>
      </c>
      <c r="I2150" s="3" t="s">
        <v>9582</v>
      </c>
      <c r="J2150" s="4">
        <v>14.93</v>
      </c>
      <c r="K2150" s="4">
        <v>10.0</v>
      </c>
      <c r="L2150" s="3" t="s">
        <v>527</v>
      </c>
      <c r="M2150" s="3" t="s">
        <v>9583</v>
      </c>
      <c r="N2150" s="7" t="str">
        <f>IFERROR(__xludf.DUMMYFUNCTION("GOOGLETRANSLATE(L2150, ""en"", ""pt"")"),"máquina de lavar louça")</f>
        <v>máquina de lavar louça</v>
      </c>
      <c r="O2150" s="7" t="str">
        <f>IFERROR(__xludf.DUMMYFUNCTION("IF(M2150="""","""",GOOGLETRANSLATE(M2150,""en"",""pt""))"),"Lavar pratos, copos, talheres, panelas e frigideiras, usando lava-louças ou à mão. Guardar os pratos, utensílios e equipamentos de cozinha limpos nos locais apropriados. Separar e descartar o lixo, colocando-o nas áreas de coleta designadas. Varrer ou esf"&amp;"regar o chão e manter as áreas de trabalho da cozinha, equipamentos e utensílios limpos e organizados. Classificação da vaga: 35-9021.00 - Lavador(a) de Louças. A classificação e descrição da vaga/setor inclui informações gerais sobre o cargo, de acordo c"&amp;"om o ONET/OES e o Sistema de Classificação Industrial da América do Norte (NAICS). Consulte as Funções e a Ordem de Serviço para obter mais informações. Requisitos da vaga: Experiência necessária: Sim. Meses de experiência necessários: 3. Número de horas "&amp;"por semana: 40. Horário de trabalho (início/término): 15h às 23h.")</f>
        <v>Lavar pratos, copos, talheres, panelas e frigideiras, usando lava-louças ou à mão. Guardar os pratos, utensílios e equipamentos de cozinha limpos nos locais apropriados. Separar e descartar o lixo, colocando-o nas áreas de coleta designadas. Varrer ou esfregar o chão e manter as áreas de trabalho da cozinha, equipamentos e utensílios limpos e organizados. Classificação da vaga: 35-9021.00 - Lavador(a) de Louças. A classificação e descrição da vaga/setor inclui informações gerais sobre o cargo, de acordo com o ONET/OES e o Sistema de Classificação Industrial da América do Norte (NAICS). Consulte as Funções e a Ordem de Serviço para obter mais informações. Requisitos da vaga: Experiência necessária: Sim. Meses de experiência necessários: 3. Número de horas por semana: 40. Horário de trabalho (início/término): 15h às 23h.</v>
      </c>
    </row>
    <row r="2151" ht="20.25" customHeight="1">
      <c r="A2151" s="8" t="s">
        <v>9584</v>
      </c>
      <c r="B2151" s="8" t="s">
        <v>9585</v>
      </c>
      <c r="C2151" s="8" t="s">
        <v>9586</v>
      </c>
      <c r="D2151" s="8" t="s">
        <v>28</v>
      </c>
      <c r="E2151" s="9" t="s">
        <v>19</v>
      </c>
      <c r="F2151" s="9" t="s">
        <v>20</v>
      </c>
      <c r="G2151" s="9" t="s">
        <v>377</v>
      </c>
      <c r="H2151" s="8" t="s">
        <v>9587</v>
      </c>
      <c r="I2151" s="8" t="s">
        <v>9588</v>
      </c>
      <c r="J2151" s="9">
        <v>13.57</v>
      </c>
      <c r="K2151" s="9">
        <v>30.0</v>
      </c>
      <c r="L2151" s="8" t="s">
        <v>9589</v>
      </c>
      <c r="M2151" s="8" t="s">
        <v>9590</v>
      </c>
      <c r="N2151" s="7" t="str">
        <f>IFERROR(__xludf.DUMMYFUNCTION("GOOGLETRANSLATE(L2151, ""en"", ""pt"")"),"Operários de armazém")</f>
        <v>Operários de armazém</v>
      </c>
      <c r="O2151" s="7" t="str">
        <f>IFERROR(__xludf.DUMMYFUNCTION("IF(M2151="""","""",GOOGLETRANSLATE(M2151,""en"",""pt""))"),"O funcionário responsável pela abertura de ostras no armazém prepara as conchas para a abertura, selecionando, lavando, classificando-as em um tambor rotativo e abrindo-as para remover a ostra da concha, limpá-las, pesá-las, embalá-las, etiquetá-las, pale"&amp;"tizá-las e armazená-las. O funcionário também mantém a área de trabalho limpa, recolhendo e descartando as conchas vazias. Classificação da vaga: 51-3022.00 - Cortadores e aparadores de carne, aves e peixes. A classificação e descrição da vaga/setor inclu"&amp;"em informações gerais sobre o cargo, de acordo com o ONET/OES e o Sistema de Classificação Industrial da América do Norte (NAICS). Consulte as atribuições e a ordem de serviço para obter mais informações. Requisitos da vaga: Experiência necessária: Não. R"&amp;"equisitos especiais: Capacidade de levantar 23 kg ou mais, pois os sacos de ostras pesam 23 kg ou um pouco mais. Número de horas por semana: 36. Horário de trabalho (início/término): 6h às 14h.")</f>
        <v>O funcionário responsável pela abertura de ostras no armazém prepara as conchas para a abertura, selecionando, lavando, classificando-as em um tambor rotativo e abrindo-as para remover a ostra da concha, limpá-las, pesá-las, embalá-las, etiquetá-las, paletizá-las e armazená-las. O funcionário também mantém a área de trabalho limpa, recolhendo e descartando as conchas vazias. Classificação da vaga: 51-3022.00 - Cortadores e aparadores de carne, aves e peixes. A classificação e descrição da vaga/setor incluem informações gerais sobre o cargo, de acordo com o ONET/OES e o Sistema de Classificação Industrial da América do Norte (NAICS). Consulte as atribuições e a ordem de serviço para obter mais informações. Requisitos da vaga: Experiência necessária: Não. Requisitos especiais: Capacidade de levantar 23 kg ou mais, pois os sacos de ostras pesam 23 kg ou um pouco mais. Número de horas por semana: 36. Horário de trabalho (início/término): 6h às 14h.</v>
      </c>
    </row>
    <row r="2152" ht="20.25" customHeight="1">
      <c r="A2152" s="3" t="s">
        <v>9591</v>
      </c>
      <c r="B2152" s="3" t="s">
        <v>9592</v>
      </c>
      <c r="C2152" s="3" t="s">
        <v>6228</v>
      </c>
      <c r="D2152" s="3" t="s">
        <v>117</v>
      </c>
      <c r="E2152" s="4" t="s">
        <v>19</v>
      </c>
      <c r="F2152" s="4" t="s">
        <v>20</v>
      </c>
      <c r="G2152" s="4" t="s">
        <v>146</v>
      </c>
      <c r="H2152" s="3" t="s">
        <v>9593</v>
      </c>
      <c r="I2152" s="3" t="s">
        <v>9594</v>
      </c>
      <c r="J2152" s="4">
        <v>23.76</v>
      </c>
      <c r="K2152" s="4">
        <v>20.0</v>
      </c>
      <c r="L2152" s="3" t="s">
        <v>262</v>
      </c>
      <c r="M2152" s="3" t="s">
        <v>9595</v>
      </c>
      <c r="N2152" s="7" t="str">
        <f>IFERROR(__xludf.DUMMYFUNCTION("GOOGLETRANSLATE(L2152, ""en"", ""pt"")"),"Operário da construção civil")</f>
        <v>Operário da construção civil</v>
      </c>
      <c r="O2152" s="7" t="str">
        <f>IFERROR(__xludf.DUMMYFUNCTION("IF(M2152="""","""",GOOGLETRANSLATE(M2152,""en"",""pt""))"),"O trabalhador executará tarefas que envolvem trabalho físico em canteiros de obras, utilizando ferramentas manuais e elétricas, como martelos pneumáticos, compactadores de solo, betoneiras e pás, para preparar o terreno para a concretagem, carregando e de"&amp;"scarregando materiais, cavando e nivelando o solo. O trabalhador posicionará materiais de reforço para o concreto e levantará, carregará e instalará fôrmas de concreto. O trabalhador limpará os resíduos e manterá os canteiros de obras organizados. Durante"&amp;" os meses de inverno e as condições climáticas frias comuns em Kalona, ​​IA, o trabalhador também poderá ser solicitado a remover neve e gelo dos canteiros de obras, equipamentos e áreas de acesso para manter condições de trabalho seguras; auxiliar no deg"&amp;"elo do solo, preparação do terreno e proteção das áreas de trabalho para a concretagem; instalar e manter estruturas temporárias, aquecedores ou isolamento para suportar o trabalho com concreto em clima frio; manusear e armazenar materiais para evitar con"&amp;"gelamento ou danos relacionados ao clima; auxiliar na manutenção e preparação de equipamentos para o inverno; e realizar a limpeza, preparação do terreno e outras tarefas de construção dependentes do clima, conforme instruções. O trabalho pode incluir aux"&amp;"iliar nas atividades de concretagem e acabamento em condições climáticas frias, quando viável e sob supervisão adequada. O trabalhador executará outras tarefas correlatas, conforme designado. Classificação da função: 47-2061.00 - Auxiliares de Construção "&amp;"Civil. A classificação e descrição da função/setor incluem informações gerais sobre o cargo, de acordo com o ONET/OES e o Sistema de Classificação Industrial da América do Norte (NAICS). Consulte as Funções e a Ordem de Serviço para obter mais informações"&amp;". Requisitos da vaga: Experiência exigida: Sim. Meses de experiência exigidos: 3. Requisitos especiais: Deve ser capaz de levantar e carregar 34 kg por uma distância de 68 metros. O empregador reserva-se o direito de realizar testes antidrogas e verificaç"&amp;"ão de antecedentes criminais antes da contratação, bem como testes antidrogas aleatórios após a contratação. Número de horas por semana: 45. Horário de trabalho (início/término): 6h às 17h.")</f>
        <v>O trabalhador executará tarefas que envolvem trabalho físico em canteiros de obras, utilizando ferramentas manuais e elétricas, como martelos pneumáticos, compactadores de solo, betoneiras e pás, para preparar o terreno para a concretagem, carregando e descarregando materiais, cavando e nivelando o solo. O trabalhador posicionará materiais de reforço para o concreto e levantará, carregará e instalará fôrmas de concreto. O trabalhador limpará os resíduos e manterá os canteiros de obras organizados. Durante os meses de inverno e as condições climáticas frias comuns em Kalona, ​​IA, o trabalhador também poderá ser solicitado a remover neve e gelo dos canteiros de obras, equipamentos e áreas de acesso para manter condições de trabalho seguras; auxiliar no degelo do solo, preparação do terreno e proteção das áreas de trabalho para a concretagem; instalar e manter estruturas temporárias, aquecedores ou isolamento para suportar o trabalho com concreto em clima frio; manusear e armazenar materiais para evitar congelamento ou danos relacionados ao clima; auxiliar na manutenção e preparação de equipamentos para o inverno; e realizar a limpeza, preparação do terreno e outras tarefas de construção dependentes do clima, conforme instruções. O trabalho pode incluir auxiliar nas atividades de concretagem e acabamento em condições climáticas frias, quando viável e sob supervisão adequada. O trabalhador executará outras tarefas correlatas, conforme designado. Classificação da função: 47-2061.00 - Auxiliares de Construção Civil. A classificação e descrição da função/setor incluem informações gerais sobre o cargo, de acordo com o ONET/OES e o Sistema de Classificação Industrial da América do Norte (NAICS). Consulte as Funções e a Ordem de Serviço para obter mais informações. Requisitos da vaga: Experiência exigida: Sim. Meses de experiência exigidos: 3. Requisitos especiais: Deve ser capaz de levantar e carregar 34 kg por uma distância de 68 metros. O empregador reserva-se o direito de realizar testes antidrogas e verificação de antecedentes criminais antes da contratação, bem como testes antidrogas aleatórios após a contratação. Número de horas por semana: 45. Horário de trabalho (início/término): 6h às 17h.</v>
      </c>
    </row>
    <row r="2153" ht="20.25" customHeight="1">
      <c r="A2153" s="8" t="s">
        <v>9596</v>
      </c>
      <c r="B2153" s="8" t="s">
        <v>9597</v>
      </c>
      <c r="C2153" s="8" t="s">
        <v>9586</v>
      </c>
      <c r="D2153" s="8" t="s">
        <v>64</v>
      </c>
      <c r="E2153" s="9" t="s">
        <v>19</v>
      </c>
      <c r="F2153" s="9" t="s">
        <v>20</v>
      </c>
      <c r="G2153" s="9" t="s">
        <v>377</v>
      </c>
      <c r="H2153" s="8" t="s">
        <v>9598</v>
      </c>
      <c r="I2153" s="8" t="s">
        <v>9599</v>
      </c>
      <c r="J2153" s="9">
        <v>14.84</v>
      </c>
      <c r="K2153" s="9">
        <v>75.0</v>
      </c>
      <c r="L2153" s="8" t="s">
        <v>9600</v>
      </c>
      <c r="M2153" s="8" t="s">
        <v>9601</v>
      </c>
      <c r="N2153" s="7" t="str">
        <f>IFERROR(__xludf.DUMMYFUNCTION("GOOGLETRANSLATE(L2153, ""en"", ""pt"")"),"Operário de armazém")</f>
        <v>Operário de armazém</v>
      </c>
      <c r="O2153" s="7" t="str">
        <f>IFERROR(__xludf.DUMMYFUNCTION("IF(M2153="""","""",GOOGLETRANSLATE(M2153,""en"",""pt""))"),"O funcionário responsável pela abertura de ostras no armazém prepara as conchas para a abertura, selecionando, lavando, classificando-as em um tambor rotativo e abrindo-as para remover a ostra da concha, limpá-las, pesá-las, embalá-las, etiquetá-las, pale"&amp;"tizá-las e armazená-las. O funcionário também mantém a área de trabalho limpa, recolhendo e descartando as conchas vazias. Classificação da vaga: 51-3022.00 - Cortadores e Aparadores de Carnes, Aves e Peixes. A classificação e descrição da vaga/setor incl"&amp;"uem informações gerais sobre o cargo, de acordo com o ONET/OES e o Sistema de Classificação Industrial da América do Norte (NAICS). Consulte as Funções e a Ordem de Serviço para obter mais informações. Requisitos da vaga: Experiência necessária: Não. Requ"&amp;"isitos especiais: Capacidade de levantar mais de 22 kg, pois as ostras vêm em sacos com peso de até 22 kg ou um pouco mais. Número de horas por semana: 35. Horário de trabalho (início/término): 6h às 14h.")</f>
        <v>O funcionário responsável pela abertura de ostras no armazém prepara as conchas para a abertura, selecionando, lavando, classificando-as em um tambor rotativo e abrindo-as para remover a ostra da concha, limpá-las, pesá-las, embalá-las, etiquetá-las, paletizá-las e armazená-las. O funcionário também mantém a área de trabalho limpa, recolhendo e descartando as conchas vazias. Classificação da vaga: 51-3022.00 - Cortadores e Aparadores de Carnes, Aves e Peixes. A classificação e descrição da vaga/setor incluem informações gerais sobre o cargo, de acordo com o ONET/OES e o Sistema de Classificação Industrial da América do Norte (NAICS). Consulte as Funções e a Ordem de Serviço para obter mais informações. Requisitos da vaga: Experiência necessária: Não. Requisitos especiais: Capacidade de levantar mais de 22 kg, pois as ostras vêm em sacos com peso de até 22 kg ou um pouco mais. Número de horas por semana: 35. Horário de trabalho (início/término): 6h às 14h.</v>
      </c>
    </row>
    <row r="2154" ht="20.25" customHeight="1">
      <c r="A2154" s="3" t="s">
        <v>9602</v>
      </c>
      <c r="B2154" s="3" t="s">
        <v>9597</v>
      </c>
      <c r="C2154" s="3" t="s">
        <v>9586</v>
      </c>
      <c r="D2154" s="3" t="s">
        <v>64</v>
      </c>
      <c r="E2154" s="4" t="s">
        <v>44</v>
      </c>
      <c r="F2154" s="4" t="s">
        <v>20</v>
      </c>
      <c r="G2154" s="4" t="s">
        <v>377</v>
      </c>
      <c r="H2154" s="3" t="s">
        <v>9598</v>
      </c>
      <c r="I2154" s="3" t="s">
        <v>9599</v>
      </c>
      <c r="J2154" s="4">
        <v>17.68</v>
      </c>
      <c r="K2154" s="4">
        <v>150.0</v>
      </c>
      <c r="L2154" s="3" t="s">
        <v>9600</v>
      </c>
      <c r="M2154" s="3" t="s">
        <v>9603</v>
      </c>
      <c r="N2154" s="7" t="str">
        <f>IFERROR(__xludf.DUMMYFUNCTION("GOOGLETRANSLATE(L2154, ""en"", ""pt"")"),"Operário de armazém")</f>
        <v>Operário de armazém</v>
      </c>
      <c r="O2154" s="7" t="str">
        <f>IFERROR(__xludf.DUMMYFUNCTION("IF(M2154="""","""",GOOGLETRANSLATE(M2154,""en"",""pt""))"),"O funcionário responsável pela abertura de ostras no armazém prepara as conchas para a abertura, selecionando, lavando, classificando-as em um tambor rotativo e abrindo-as para remover a ostra da concha, limpá-las, pesá-las, embalá-las, etiquetá-las, pale"&amp;"tizá-las e armazená-las. O funcionário também mantém a área de trabalho limpa, recolhendo e descartando as conchas vazias. Classificação da vaga: 51-3022.00 - Cortadores e aparadores de carne, aves e peixes. A classificação e descrição da vaga/setor inclu"&amp;"em informações gerais sobre o cargo, de acordo com o ONET/OES e o Sistema de Classificação Industrial da América do Norte (NAICS). Consulte as atribuições e a ordem de serviço para obter mais informações. Requisitos da vaga: Experiência necessária: Não. R"&amp;"equisitos especiais: Capacidade de levantar mais de 22 kg, pois os sacos de ostras pesam 22 kg ou um pouco mais. Número de horas por semana: 35. Horário de trabalho (início/término): 6h às 14h.")</f>
        <v>O funcionário responsável pela abertura de ostras no armazém prepara as conchas para a abertura, selecionando, lavando, classificando-as em um tambor rotativo e abrindo-as para remover a ostra da concha, limpá-las, pesá-las, embalá-las, etiquetá-las, paletizá-las e armazená-las. O funcionário também mantém a área de trabalho limpa, recolhendo e descartando as conchas vazias. Classificação da vaga: 51-3022.00 - Cortadores e aparadores de carne, aves e peixes. A classificação e descrição da vaga/setor incluem informações gerais sobre o cargo, de acordo com o ONET/OES e o Sistema de Classificação Industrial da América do Norte (NAICS). Consulte as atribuições e a ordem de serviço para obter mais informações. Requisitos da vaga: Experiência necessária: Não. Requisitos especiais: Capacidade de levantar mais de 22 kg, pois os sacos de ostras pesam 22 kg ou um pouco mais. Número de horas por semana: 35. Horário de trabalho (início/término): 6h às 14h.</v>
      </c>
    </row>
    <row r="2155" ht="20.25" customHeight="1">
      <c r="A2155" s="8" t="s">
        <v>9604</v>
      </c>
      <c r="B2155" s="8" t="s">
        <v>9597</v>
      </c>
      <c r="C2155" s="8" t="s">
        <v>9586</v>
      </c>
      <c r="D2155" s="8" t="s">
        <v>64</v>
      </c>
      <c r="E2155" s="9" t="s">
        <v>44</v>
      </c>
      <c r="F2155" s="9" t="s">
        <v>20</v>
      </c>
      <c r="G2155" s="9" t="s">
        <v>377</v>
      </c>
      <c r="H2155" s="8" t="s">
        <v>9598</v>
      </c>
      <c r="I2155" s="8" t="s">
        <v>9599</v>
      </c>
      <c r="J2155" s="9">
        <v>17.18</v>
      </c>
      <c r="K2155" s="9">
        <v>210.0</v>
      </c>
      <c r="L2155" s="8" t="s">
        <v>447</v>
      </c>
      <c r="M2155" s="8" t="s">
        <v>9605</v>
      </c>
      <c r="N2155" s="7" t="str">
        <f>IFERROR(__xludf.DUMMYFUNCTION("GOOGLETRANSLATE(L2155, ""en"", ""pt"")"),"Marinheiro de convés de barco de ostras")</f>
        <v>Marinheiro de convés de barco de ostras</v>
      </c>
      <c r="O2155" s="7" t="str">
        <f>IFERROR(__xludf.DUMMYFUNCTION("IF(M2155="""","""",GOOGLETRANSLATE(M2155,""en"",""pt""))"),"Os marinheiros embarcarão diariamente nos barcos e navegarão até as baías costeiras para realizar atividades de pesca. Eles coletarão ostras nos rios, braços de mar e baías para consumo humano. Os trabalhadores selecionarão, devolverão à água as capturas "&amp;"indesejáveis, limparão, ensacarão, etiquetarão, descarregarão e armazenarão a pesca. A limpeza da área de trabalho ao final do expediente também é necessária. Classificação da função: 45-3031.00 - Trabalhadores da Pesca e Caça. A classificação e descrição"&amp;" da função/setor incluem informações gerais sobre o cargo, de acordo com o ONET/OES e o Sistema de Classificação Industrial da América do Norte. Consulte as Funções e a Ordem de Serviço para obter mais informações. Requisitos da vaga: Experiência necessár"&amp;"ia: Sim. Meses de experiência necessários: 1. Requisitos especiais: Capacidade de levantar 23 kg ou mais, pois os sacos de ostras pesam 23 kg ou um pouco mais. Número de horas por semana: 35. Horário de trabalho (início/término): 6h às 14h.")</f>
        <v>Os marinheiros embarcarão diariamente nos barcos e navegarão até as baías costeiras para realizar atividades de pesca. Eles coletarão ostras nos rios, braços de mar e baías para consumo humano. Os trabalhadores selecionarão, devolverão à água as capturas indesejáveis, limparão, ensacarão, etiquetarão, descarregarão e armazenarão a pesca. A limpeza da área de trabalho ao final do expediente também é necessária. Classificação da função: 45-3031.00 - Trabalhadores da Pesca e Caça. A classificação e descrição da função/setor incluem informações gerais sobre o cargo, de acordo com o ONET/OES e o Sistema de Classificação Industrial da América do Norte. Consulte as Funções e a Ordem de Serviço para obter mais informações. Requisitos da vaga: Experiência necessária: Sim. Meses de experiência necessários: 1. Requisitos especiais: Capacidade de levantar 23 kg ou mais, pois os sacos de ostras pesam 23 kg ou um pouco mais. Número de horas por semana: 35. Horário de trabalho (início/término): 6h às 14h.</v>
      </c>
    </row>
    <row r="2156" ht="20.25" customHeight="1">
      <c r="A2156" s="3" t="s">
        <v>9606</v>
      </c>
      <c r="B2156" s="3" t="s">
        <v>9607</v>
      </c>
      <c r="C2156" s="3"/>
      <c r="D2156" s="3" t="s">
        <v>71</v>
      </c>
      <c r="E2156" s="4" t="s">
        <v>19</v>
      </c>
      <c r="F2156" s="4" t="s">
        <v>20</v>
      </c>
      <c r="G2156" s="4" t="s">
        <v>377</v>
      </c>
      <c r="H2156" s="3" t="s">
        <v>9608</v>
      </c>
      <c r="I2156" s="3" t="s">
        <v>9609</v>
      </c>
      <c r="J2156" s="4">
        <v>15.31</v>
      </c>
      <c r="K2156" s="4">
        <v>55.0</v>
      </c>
      <c r="L2156" s="3" t="s">
        <v>9610</v>
      </c>
      <c r="M2156" s="3" t="s">
        <v>9611</v>
      </c>
      <c r="N2156" s="7" t="str">
        <f>IFERROR(__xludf.DUMMYFUNCTION("GOOGLETRANSLATE(L2156, ""en"", ""pt"")"),"Auxiliar de Garçom")</f>
        <v>Auxiliar de Garçom</v>
      </c>
      <c r="O2156" s="7" t="str">
        <f>IFERROR(__xludf.DUMMYFUNCTION("IF(M2156="""","""",GOOGLETRANSLATE(M2156,""en"",""pt""))"),"Um auxiliar de garçom é responsável por arrumar e limpar as mesas em um restaurante, garantindo um ambiente limpo e organizado para os clientes. Suas funções incluem retirar pratos usados, repor talheres e servir bebidas. Classificação da vaga: 35-9011.00"&amp;" - Auxiliares de Salão e Cafeteria e Auxiliares de Bar. A classificação e descrição da vaga/setor incluem informações gerais sobre o cargo, de acordo com o ONET/OES e o Sistema de Classificação Industrial da América do Norte (NAICS). Consulte as Funções e"&amp;" a Ordem de Serviço para obter mais informações. Requisitos da vaga: Experiência necessária: Não. Número de horas por semana: 36. Horário de trabalho (início/término): 8h30 às 17h.")</f>
        <v>Um auxiliar de garçom é responsável por arrumar e limpar as mesas em um restaurante, garantindo um ambiente limpo e organizado para os clientes. Suas funções incluem retirar pratos usados, repor talheres e servir bebidas. Classificação da vaga: 35-9011.00 - Auxiliares de Salão e Cafeteria e Auxiliares de Bar. A classificação e descrição da vaga/setor incluem informações gerais sobre o cargo, de acordo com o ONET/OES e o Sistema de Classificação Industrial da América do Norte (NAICS). Consulte as Funções e a Ordem de Serviço para obter mais informações. Requisitos da vaga: Experiência necessária: Não. Número de horas por semana: 36. Horário de trabalho (início/término): 8h30 às 17h.</v>
      </c>
    </row>
    <row r="2157" ht="20.25" customHeight="1">
      <c r="A2157" s="8" t="s">
        <v>9612</v>
      </c>
      <c r="B2157" s="8" t="s">
        <v>9392</v>
      </c>
      <c r="C2157" s="8" t="s">
        <v>9043</v>
      </c>
      <c r="D2157" s="8" t="s">
        <v>1051</v>
      </c>
      <c r="E2157" s="9" t="s">
        <v>19</v>
      </c>
      <c r="F2157" s="9" t="s">
        <v>20</v>
      </c>
      <c r="G2157" s="9" t="s">
        <v>236</v>
      </c>
      <c r="H2157" s="8" t="s">
        <v>9044</v>
      </c>
      <c r="I2157" s="8"/>
      <c r="J2157" s="9">
        <v>20.88</v>
      </c>
      <c r="K2157" s="9">
        <v>15.0</v>
      </c>
      <c r="L2157" s="8" t="s">
        <v>9393</v>
      </c>
      <c r="M2157" s="8" t="s">
        <v>9613</v>
      </c>
      <c r="N2157" s="7" t="str">
        <f>IFERROR(__xludf.DUMMYFUNCTION("GOOGLETRANSLATE(L2157, ""en"", ""pt"")"),"Coletor de Verduras")</f>
        <v>Coletor de Verduras</v>
      </c>
      <c r="O2157" s="7" t="str">
        <f>IFERROR(__xludf.DUMMYFUNCTION("IF(M2157="""","""",GOOGLETRANSLATE(M2157,""en"",""pt""))"),"***Resposta à Solicitação de Informações*** Colhe folhagens e vegetação natural em áreas florestais utilizando técnicas de corte manual, classificando e agrupando o material coletado em arranjos comercializáveis ​​que atendam aos padrões de qualidade e ta"&amp;"manho da empresa. Pode auxiliar na confecção de guirlandas e na embalagem de produtos florais e de folhagem. Os trabalhadores podem utilizar tesouras de poda manuais. O trabalho será realizado em áreas florestais ou outras áreas externas com folhagem e ve"&amp;"getação natural. ***Original*** Coleta folhagens e vegetação natural para arranjos florais e, em seguida, organiza-os em buquês comercializáveis. Esta é uma habilidade repetitiva. Este trabalho exige grande destreza manual. Os trabalhadores devem ser capa"&amp;"zes de levantar até 18 kg diversas vezes durante um turno de oito horas e por toda a duração do turno. Os trabalhadores podem auxiliar na confecção de guirlandas e na embalagem de produtos florais e de folhagem. Os trabalhadores devem ter três meses de ex"&amp;"periência trabalhando em áreas florestais. Classificação do Cargo: 45-4011.00 - Trabalhadores Florestais e de Conservação. A classificação e descrição do cargo/setor inclui informações gerais sobre a posição, provenientes do ONET/OES e do Sistema de Class"&amp;"ificação Industrial da América do Norte. Consulte a Descrição das Funções e a Ordem de Serviço para obter mais informações. Requisitos da Vaga Experiência Necessária: Sim Meses de Experiência Necessários: 3 Requisitos Especiais: 3 meses de experiência em "&amp;"trabalho em áreas florestais. Número de Horas por Semana: 40 Horário de Trabalho (Início/Término): 7h às 16h")</f>
        <v>***Resposta à Solicitação de Informações*** Colhe folhagens e vegetação natural em áreas florestais utilizando técnicas de corte manual, classificando e agrupando o material coletado em arranjos comercializáveis ​​que atendam aos padrões de qualidade e tamanho da empresa. Pode auxiliar na confecção de guirlandas e na embalagem de produtos florais e de folhagem. Os trabalhadores podem utilizar tesouras de poda manuais. O trabalho será realizado em áreas florestais ou outras áreas externas com folhagem e vegetação natural. ***Original*** Coleta folhagens e vegetação natural para arranjos florais e, em seguida, organiza-os em buquês comercializáveis. Esta é uma habilidade repetitiva. Este trabalho exige grande destreza manual. Os trabalhadores devem ser capazes de levantar até 18 kg diversas vezes durante um turno de oito horas e por toda a duração do turno. Os trabalhadores podem auxiliar na confecção de guirlandas e na embalagem de produtos florais e de folhagem. Os trabalhadores devem ter três meses de experiência trabalhando em áreas florestais. Classificação do Cargo: 45-4011.00 - Trabalhadores Florestais e de Conservação. A classificação e descrição do cargo/setor inclui informações gerais sobre a posição, provenientes do ONET/OES e do Sistema de Classificação Industrial da América do Norte. Consulte a Descrição das Funções e a Ordem de Serviço para obter mais informações. Requisitos da Vaga Experiência Necessária: Sim Meses de Experiência Necessários: 3 Requisitos Especiais: 3 meses de experiência em trabalho em áreas florestais. Número de Horas por Semana: 40 Horário de Trabalho (Início/Término): 7h às 16h</v>
      </c>
    </row>
    <row r="2158" ht="20.25" customHeight="1">
      <c r="A2158" s="3" t="s">
        <v>9614</v>
      </c>
      <c r="B2158" s="3" t="s">
        <v>9392</v>
      </c>
      <c r="C2158" s="3" t="s">
        <v>9043</v>
      </c>
      <c r="D2158" s="3" t="s">
        <v>1051</v>
      </c>
      <c r="E2158" s="4" t="s">
        <v>19</v>
      </c>
      <c r="F2158" s="4" t="s">
        <v>20</v>
      </c>
      <c r="G2158" s="4" t="s">
        <v>56</v>
      </c>
      <c r="H2158" s="3" t="s">
        <v>9044</v>
      </c>
      <c r="I2158" s="3"/>
      <c r="J2158" s="4">
        <v>20.71</v>
      </c>
      <c r="K2158" s="4">
        <v>80.0</v>
      </c>
      <c r="L2158" s="3" t="s">
        <v>9615</v>
      </c>
      <c r="M2158" s="3" t="s">
        <v>9616</v>
      </c>
      <c r="N2158" s="7" t="str">
        <f>IFERROR(__xludf.DUMMYFUNCTION("GOOGLETRANSLATE(L2158, ""en"", ""pt"")"),"Cortador de galhos")</f>
        <v>Cortador de galhos</v>
      </c>
      <c r="O2158" s="7" t="str">
        <f>IFERROR(__xludf.DUMMYFUNCTION("IF(M2158="""","""",GOOGLETRANSLATE(M2158,""en"",""pt""))"),"O trabalhador cortará galhos nobres de árvores que crescem em áreas florestais, no tamanho apropriado para a confecção de guirlandas. Os galhos serão avaliados para garantir que sejam adequados para a confecção de guirlandas. Será tomado cuidado para não "&amp;"danificar os galhos cortados. O trabalhador usará elásticos, tesouras de poda manuais, cortadores de galhos e barbante. O trabalhador levará esses feixes para um local de recebimento, um caminhão próximo ao local de trabalho. Ele precisará ser capaz de re"&amp;"alizar essas tarefas usando capa de chuva. Classificação do Cargo: 45-4011.00 - Trabalhadores Florestais e de Conservação. A classificação e descrição do cargo/setor incluem informações gerais sobre a posição, de acordo com o ONET/OES e o Sistema de Class"&amp;"ificação Industrial da América do Norte. Consulte as Funções e a Ordem de Serviço para obter mais informações. Requisitos do Cargo Experiência Necessária: Sim Meses de Experiência Necessários: 1 Requisitos Especiais: o trabalhador deve possuir um mês de e"&amp;"xperiência trabalhando em áreas florestais. Número de Horas por Semana: 40 Horário de Trabalho (Início/Término): 7h00 - 16h00")</f>
        <v>O trabalhador cortará galhos nobres de árvores que crescem em áreas florestais, no tamanho apropriado para a confecção de guirlandas. Os galhos serão avaliados para garantir que sejam adequados para a confecção de guirlandas. Será tomado cuidado para não danificar os galhos cortados. O trabalhador usará elásticos, tesouras de poda manuais, cortadores de galhos e barbante. O trabalhador levará esses feixes para um local de recebimento, um caminhão próximo ao local de trabalho. Ele precisará ser capaz de realizar essas tarefas usando capa de chuva. Classificação do Cargo: 45-4011.00 - Trabalhadores Florestais e de Conservação. A classificação e descrição do cargo/setor incluem informações gerais sobre a posição, de acordo com o ONET/OES e o Sistema de Classificação Industrial da América do Norte. Consulte as Funções e a Ordem de Serviço para obter mais informações. Requisitos do Cargo Experiência Necessária: Sim Meses de Experiência Necessários: 1 Requisitos Especiais: o trabalhador deve possuir um mês de experiência trabalhando em áreas florestais. Número de Horas por Semana: 40 Horário de Trabalho (Início/Término): 7h00 - 16h00</v>
      </c>
    </row>
    <row r="2159" ht="20.25" customHeight="1">
      <c r="A2159" s="8" t="s">
        <v>9617</v>
      </c>
      <c r="B2159" s="8" t="s">
        <v>9618</v>
      </c>
      <c r="C2159" s="8" t="s">
        <v>9043</v>
      </c>
      <c r="D2159" s="8" t="s">
        <v>36</v>
      </c>
      <c r="E2159" s="9" t="s">
        <v>19</v>
      </c>
      <c r="F2159" s="9" t="s">
        <v>20</v>
      </c>
      <c r="G2159" s="9" t="s">
        <v>1459</v>
      </c>
      <c r="H2159" s="8" t="s">
        <v>9044</v>
      </c>
      <c r="I2159" s="8" t="s">
        <v>9045</v>
      </c>
      <c r="J2159" s="9">
        <v>13.86</v>
      </c>
      <c r="K2159" s="9">
        <v>15.0</v>
      </c>
      <c r="L2159" s="8" t="s">
        <v>9619</v>
      </c>
      <c r="M2159" s="8" t="s">
        <v>9620</v>
      </c>
      <c r="N2159" s="7" t="str">
        <f>IFERROR(__xludf.DUMMYFUNCTION("GOOGLETRANSLATE(L2159, ""en"", ""pt"")"),"Cortador de folhagens decorativas")</f>
        <v>Cortador de folhagens decorativas</v>
      </c>
      <c r="O2159" s="7" t="str">
        <f>IFERROR(__xludf.DUMMYFUNCTION("IF(M2159="""","""",GOOGLETRANSLATE(M2159,""en"",""pt""))"),"Cortar diversos ramos de coníferas e outras folhagens no tamanho adequado para a confecção de coroas, guirlandas e arranjos de mesa. Esta é uma habilidade repetitiva. Os funcionários devem usar arame para fixar as folhagens. Aparar o material usando tesou"&amp;"ras de poda, modeladores, arame, alfinetes, fita floral, espuma e outros materiais. Classificação da Função: 27-1023.00 - Designers Florais. A classificação e descrição da função/setor inclui informações gerais sobre o cargo, de acordo com o ONET/OES e o "&amp;"Sistema de Classificação Industrial da América do Norte. Consulte as Funções e a Ordem de Serviço para obter mais informações. Requisitos da Função: Experiência Necessária: Sim. Meses de Experiência Necessários: 1. Requisitos Especiais: Os funcionários de"&amp;"vem possuir pelo menos um mês de experiência com design floral ou confecção de coroas. Os funcionários devem ser capazes de levantar caixas de até 18 kg (40 lb) até 30 vezes em um turno de oito horas, e durante toda a duração do turno. Número de Horas por"&amp;" Semana: 40. Horário de Trabalho (Início/Término): 7h às 16h.")</f>
        <v>Cortar diversos ramos de coníferas e outras folhagens no tamanho adequado para a confecção de coroas, guirlandas e arranjos de mesa. Esta é uma habilidade repetitiva. Os funcionários devem usar arame para fixar as folhagens. Aparar o material usando tesouras de poda, modeladores, arame, alfinetes, fita floral, espuma e outros materiais. Classificação da Função: 27-1023.00 - Designers Florais. A classificação e descrição da função/setor inclui informações gerais sobre o cargo, de acordo com o ONET/OES e o Sistema de Classificação Industrial da América do Norte. Consulte as Funções e a Ordem de Serviço para obter mais informações. Requisitos da Função: Experiência Necessária: Sim. Meses de Experiência Necessários: 1. Requisitos Especiais: Os funcionários devem possuir pelo menos um mês de experiência com design floral ou confecção de coroas. Os funcionários devem ser capazes de levantar caixas de até 18 kg (40 lb) até 30 vezes em um turno de oito horas, e durante toda a duração do turno. Número de Horas por Semana: 40. Horário de Trabalho (Início/Término): 7h às 16h.</v>
      </c>
    </row>
    <row r="2160" ht="20.25" customHeight="1">
      <c r="A2160" s="3" t="s">
        <v>9621</v>
      </c>
      <c r="B2160" s="3" t="s">
        <v>9622</v>
      </c>
      <c r="C2160" s="3" t="s">
        <v>9586</v>
      </c>
      <c r="D2160" s="3" t="s">
        <v>102</v>
      </c>
      <c r="E2160" s="4" t="s">
        <v>44</v>
      </c>
      <c r="F2160" s="4" t="s">
        <v>20</v>
      </c>
      <c r="G2160" s="4" t="s">
        <v>377</v>
      </c>
      <c r="H2160" s="3" t="s">
        <v>9623</v>
      </c>
      <c r="I2160" s="3" t="s">
        <v>9624</v>
      </c>
      <c r="J2160" s="4">
        <v>12.39</v>
      </c>
      <c r="K2160" s="4">
        <v>12.0</v>
      </c>
      <c r="L2160" s="3" t="s">
        <v>9625</v>
      </c>
      <c r="M2160" s="3" t="s">
        <v>9626</v>
      </c>
      <c r="N2160" s="7" t="str">
        <f>IFERROR(__xludf.DUMMYFUNCTION("GOOGLETRANSLATE(L2160, ""en"", ""pt"")"),"Abridor de Ostras/Trabalhador de Armazém")</f>
        <v>Abridor de Ostras/Trabalhador de Armazém</v>
      </c>
      <c r="O2160" s="7" t="str">
        <f>IFERROR(__xludf.DUMMYFUNCTION("IF(M2160="""","""",GOOGLETRANSLATE(M2160,""en"",""pt""))"),"O(A) funcionário(a) do armazém de abertura de ostras/abridor(a) de ostras preparará as ostras para abertura, lavando-as, separando-as com um tambor rotativo e abrindo-as para remover a carne, limpá-las, pesá-las, embalá-las, etiquetá-las e armazená-las. O"&amp;"(A) abridor(a) de ostras moverá os sacos de ostras dos refrigeradores e os colocará sobre as mesas, abrirá as ostras removendo a carne com uma faca própria, lavará a carne, pesará-la, etiquetá-la e armazená-la. O(A) abridor(a) de ostras manterá a área de "&amp;"trabalho limpa, reembalando e descartando as conchas vazias. Classificação da função: 51-3022.00 - Cortadores e Aparadores de Carne, Aves e Peixes. A classificação e descrição da função/indústria incluem informações gerais sobre o cargo, de acordo com o O"&amp;"NET/OES e o Sistema de Classificação Industrial da América do Norte. Consulte as Funções e a Ordem de Serviço para obter mais informações. Requisitos da vaga Experiência necessária: Sim Meses de experiência necessários: 1 Requisitos especiais: Capacidade "&amp;"de levantar 23 kg ou mais, pois os sacos de ostras pesam 23 kg ou um pouco mais Número de horas por semana: 35 Horário de trabalho (início/término): 6h às 14h")</f>
        <v>O(A) funcionário(a) do armazém de abertura de ostras/abridor(a) de ostras preparará as ostras para abertura, lavando-as, separando-as com um tambor rotativo e abrindo-as para remover a carne, limpá-las, pesá-las, embalá-las, etiquetá-las e armazená-las. O(A) abridor(a) de ostras moverá os sacos de ostras dos refrigeradores e os colocará sobre as mesas, abrirá as ostras removendo a carne com uma faca própria, lavará a carne, pesará-la, etiquetá-la e armazená-la. O(A) abridor(a) de ostras manterá a área de trabalho limpa, reembalando e descartando as conchas vazias. Classificação da função: 51-3022.00 - Cortadores e Aparadores de Carne, Aves e Peixes. A classificação e descrição da função/indústria incluem informações gerais sobre o cargo, de acordo com o ONET/OES e o Sistema de Classificação Industrial da América do Norte. Consulte as Funções e a Ordem de Serviço para obter mais informações. Requisitos da vaga Experiência necessária: Sim Meses de experiência necessários: 1 Requisitos especiais: Capacidade de levantar 23 kg ou mais, pois os sacos de ostras pesam 23 kg ou um pouco mais Número de horas por semana: 35 Horário de trabalho (início/término): 6h às 14h</v>
      </c>
    </row>
    <row r="2161" ht="20.25" customHeight="1">
      <c r="A2161" s="8" t="s">
        <v>9627</v>
      </c>
      <c r="B2161" s="8" t="s">
        <v>9232</v>
      </c>
      <c r="C2161" s="8" t="s">
        <v>7596</v>
      </c>
      <c r="D2161" s="8" t="s">
        <v>140</v>
      </c>
      <c r="E2161" s="9" t="s">
        <v>44</v>
      </c>
      <c r="F2161" s="9" t="s">
        <v>20</v>
      </c>
      <c r="G2161" s="9" t="s">
        <v>345</v>
      </c>
      <c r="H2161" s="8" t="s">
        <v>9238</v>
      </c>
      <c r="I2161" s="8" t="s">
        <v>9239</v>
      </c>
      <c r="J2161" s="9">
        <v>14.65</v>
      </c>
      <c r="K2161" s="9">
        <v>4.0</v>
      </c>
      <c r="L2161" s="8" t="s">
        <v>354</v>
      </c>
      <c r="M2161" s="8" t="s">
        <v>9628</v>
      </c>
      <c r="N2161" s="7" t="str">
        <f>IFERROR(__xludf.DUMMYFUNCTION("GOOGLETRANSLATE(L2161, ""en"", ""pt"")"),"Governanta")</f>
        <v>Governanta</v>
      </c>
      <c r="O2161" s="7" t="str">
        <f>IFERROR(__xludf.DUMMYFUNCTION("IF(M2161="""","""",GOOGLETRANSLATE(M2161,""en"",""pt""))"),"Executar diversas tarefas para manter a limpeza das acomodações dos hóspedes e garantir seu conforto e satisfação. Limpar e manter os quartos, áreas comuns, espaços para eventos e banheiros, incluindo tirar o pó e limpar os móveis. Varrer, passar pano lev"&amp;"emente e aspirar o chão. Esfregar e desinfetar os banheiros. Ajudar a recolher roupas de cama para lavar, organizar móveis, pendurar cortinas e enrolar tapetes — remoção do lixo. Repor suprimentos, roupas de cama e toalhas. Poderá ser solicitado a auxilia"&amp;"r na montagem e desmontagem de mesas e cadeiras em espaços para eventos. Se necessário, a montagem e desmontagem de mesas e cadeiras será feita manualmente, incluindo dobrar e desdobrar os pés, empilhar e desempilhar manualmente, reposicionar mesas e/ou c"&amp;"adeiras manualmente para a preparação ou limpeza após eventos especiais. Além disso, cadeiras e/ou outros móveis podem precisar ser levemente movidos ou empilhados temporariamente para limpar embaixo e ao redor deles. As tarefas de montagem e desmontagem "&amp;"de mesas não exigirão o uso de ferramentas ou equipamentos. Classificação da Função: 37-2011.00 - Zeladores e Faxineiros, exceto Empregadas Domésticas e Faxineiros. A classificação e descrição da função/setor inclui informações gerais sobre o cargo, de ac"&amp;"ordo com o ONET/OES e o Sistema de Classificação Industrial da América do Norte (NAICS). Consulte as Funções e a Ordem de Serviço para obter mais informações. Requisitos da Função Experiência Necessária: Não. Requisitos Especiais: Não há exigência de esco"&amp;"laridade mínima. Não é necessária experiência prévia. Deve ser capaz de levantar e carregar pelo menos 11 kg. Deve ser capaz de ficar em pé e caminhar por longos períodos sem se sentar. Deve ter disponibilidade para trabalhar em turnos divididos, noturnos"&amp;", fins de semana e feriados, conforme necessário. Mínimo de 35 horas semanais. Os turnos e horários variam entre 8h e 17h, 5 dias por semana. Número de Horas por Semana: 45. Horário de Trabalho (Início/Término): 8h às 17h.")</f>
        <v>Executar diversas tarefas para manter a limpeza das acomodações dos hóspedes e garantir seu conforto e satisfação. Limpar e manter os quartos, áreas comuns, espaços para eventos e banheiros, incluindo tirar o pó e limpar os móveis. Varrer, passar pano levemente e aspirar o chão. Esfregar e desinfetar os banheiros. Ajudar a recolher roupas de cama para lavar, organizar móveis, pendurar cortinas e enrolar tapetes — remoção do lixo. Repor suprimentos, roupas de cama e toalhas. Poderá ser solicitado a auxiliar na montagem e desmontagem de mesas e cadeiras em espaços para eventos. Se necessário, a montagem e desmontagem de mesas e cadeiras será feita manualmente, incluindo dobrar e desdobrar os pés, empilhar e desempilhar manualmente, reposicionar mesas e/ou cadeiras manualmente para a preparação ou limpeza após eventos especiais. Além disso, cadeiras e/ou outros móveis podem precisar ser levemente movidos ou empilhados temporariamente para limpar embaixo e ao redor deles. As tarefas de montagem e desmontagem de mesas não exigirão o uso de ferramentas ou equipamentos. Classificação da Função: 37-2011.00 - Zeladores e Faxineiros, exceto Empregadas Domésticas e Faxineiros. A classificação e descrição da função/setor inclui informações gerais sobre o cargo, de acordo com o ONET/OES e o Sistema de Classificação Industrial da América do Norte (NAICS). Consulte as Funções e a Ordem de Serviço para obter mais informações. Requisitos da Função Experiência Necessária: Não. Requisitos Especiais: Não há exigência de escolaridade mínima. Não é necessária experiência prévia. Deve ser capaz de levantar e carregar pelo menos 11 kg. Deve ser capaz de ficar em pé e caminhar por longos períodos sem se sentar. Deve ter disponibilidade para trabalhar em turnos divididos, noturnos, fins de semana e feriados, conforme necessário. Mínimo de 35 horas semanais. Os turnos e horários variam entre 8h e 17h, 5 dias por semana. Número de Horas por Semana: 45. Horário de Trabalho (Início/Término): 8h às 17h.</v>
      </c>
    </row>
    <row r="2162" ht="20.25" customHeight="1">
      <c r="A2162" s="3" t="s">
        <v>9629</v>
      </c>
      <c r="B2162" s="3" t="s">
        <v>9630</v>
      </c>
      <c r="C2162" s="3" t="s">
        <v>9631</v>
      </c>
      <c r="D2162" s="3" t="s">
        <v>505</v>
      </c>
      <c r="E2162" s="4" t="s">
        <v>19</v>
      </c>
      <c r="F2162" s="4" t="s">
        <v>20</v>
      </c>
      <c r="G2162" s="4" t="s">
        <v>369</v>
      </c>
      <c r="H2162" s="3" t="s">
        <v>9632</v>
      </c>
      <c r="I2162" s="3" t="s">
        <v>9633</v>
      </c>
      <c r="J2162" s="4">
        <v>18.54</v>
      </c>
      <c r="K2162" s="4">
        <v>30.0</v>
      </c>
      <c r="L2162" s="3" t="s">
        <v>165</v>
      </c>
      <c r="M2162" s="3" t="s">
        <v>9634</v>
      </c>
      <c r="N2162" s="7" t="str">
        <f>IFERROR(__xludf.DUMMYFUNCTION("GOOGLETRANSLATE(L2162, ""en"", ""pt"")"),"Trabalhador de remoção de neve")</f>
        <v>Trabalhador de remoção de neve</v>
      </c>
      <c r="O2162" s="7" t="str">
        <f>IFERROR(__xludf.DUMMYFUNCTION("IF(M2162="""","""",GOOGLETRANSLATE(M2162,""en"",""pt""))"),"Nossos trabalhadores de remoção de neve irão limpar acúmulos de neve e gelo de áreas designadas nos locais dos clientes, utilizando pás, sopradores de neve e espalhadores de sal para aplicar produtos descongelantes ensacados. Eles irão empilhar ou empurra"&amp;"r a neve para locais designados ou aprovados. Devem documentar e relatar quaisquer obstáculos nos locais. Utilizarão pás de neve de vários tamanhos, espalhadores de sal manuais e sopradores de neve manuais, como o Toro Grandstand Multi Force 60 Mower and "&amp;"Plow (o Toro Grandstand é um soprador de neve que opera com uma variedade de tamanhos de arados de neve, até 60 polegadas). Não operarão nenhum equipamento maior que o Toro Grandstand, nem caminhões ou outros veículos com arado. Classificação da função: 3"&amp;"7-2011.00 - Zeladores e Faxineiros, exceto empregadas domésticas e faxineiras. A classificação e descrição da função/setor inclui informações gerais sobre o cargo, de acordo com o ONET/OES e o Sistema de Classificação Industrial da América do Norte. Consu"&amp;"lte as Funções e a Ordem de Serviço para obter mais informações. Requisitos da vaga Experiência necessária: Não Requisitos especiais: Deve ser capaz de levantar e carregar 23 kg. Número de horas por semana: 50 Horário de trabalho (início/término): 7h às 1"&amp;"5h30")</f>
        <v>Nossos trabalhadores de remoção de neve irão limpar acúmulos de neve e gelo de áreas designadas nos locais dos clientes, utilizando pás, sopradores de neve e espalhadores de sal para aplicar produtos descongelantes ensacados. Eles irão empilhar ou empurrar a neve para locais designados ou aprovados. Devem documentar e relatar quaisquer obstáculos nos locais. Utilizarão pás de neve de vários tamanhos, espalhadores de sal manuais e sopradores de neve manuais, como o Toro Grandstand Multi Force 60 Mower and Plow (o Toro Grandstand é um soprador de neve que opera com uma variedade de tamanhos de arados de neve, até 60 polegadas). Não operarão nenhum equipamento maior que o Toro Grandstand, nem caminhões ou outros veículos com arado. Classificação da função: 37-2011.00 - Zeladores e Faxineiros, exceto empregadas domésticas e faxineiras. A classificação e descrição da função/setor inclui informações gerais sobre o cargo, de acordo com o ONET/OES e o Sistema de Classificação Industrial da América do Norte. Consulte as Funções e a Ordem de Serviço para obter mais informações. Requisitos da vaga Experiência necessária: Não Requisitos especiais: Deve ser capaz de levantar e carregar 23 kg. Número de horas por semana: 50 Horário de trabalho (início/término): 7h às 15h30</v>
      </c>
    </row>
    <row r="2163" ht="20.25" customHeight="1">
      <c r="A2163" s="8" t="s">
        <v>9635</v>
      </c>
      <c r="B2163" s="8" t="s">
        <v>9636</v>
      </c>
      <c r="C2163" s="8" t="s">
        <v>5625</v>
      </c>
      <c r="D2163" s="8" t="s">
        <v>4521</v>
      </c>
      <c r="E2163" s="9" t="s">
        <v>19</v>
      </c>
      <c r="F2163" s="9" t="s">
        <v>20</v>
      </c>
      <c r="G2163" s="9" t="s">
        <v>345</v>
      </c>
      <c r="H2163" s="8" t="s">
        <v>9637</v>
      </c>
      <c r="I2163" s="8" t="s">
        <v>9638</v>
      </c>
      <c r="J2163" s="9">
        <v>20.98</v>
      </c>
      <c r="K2163" s="9">
        <v>5.0</v>
      </c>
      <c r="L2163" s="8" t="s">
        <v>586</v>
      </c>
      <c r="M2163" s="8" t="s">
        <v>9639</v>
      </c>
      <c r="N2163" s="7" t="str">
        <f>IFERROR(__xludf.DUMMYFUNCTION("GOOGLETRANSLATE(L2163, ""en"", ""pt"")"),"Cozinheiro de linha")</f>
        <v>Cozinheiro de linha</v>
      </c>
      <c r="O2163" s="7" t="str">
        <f>IFERROR(__xludf.DUMMYFUNCTION("IF(M2163="""","""",GOOGLETRANSLATE(M2163,""en"",""pt""))"),"O restaurante Matterhorn, localizado em Stowe, Vermont, busca cozinheiros de linha temporários em tempo integral, com a descrição e os requisitos abaixo. Os cozinheiros de linha são responsáveis ​​pelo preparo, tempero e cozimento de uma variedade de iten"&amp;"s do cardápio, incluindo, entre outros, pizzas, sushi, sanduíches, hambúrgueres, sopas, carnes, legumes e sobremesas. As funções incluem a organização das estações de trabalho, o preparo dos ingredientes e a garantia da limpeza antes, durante e após o ser"&amp;"viço, incluindo a lavagem de pratos e utensílios utilizados no preparo dos alimentos. Os cozinheiros de linha criarão pratos especiais diários, auxiliarão no pedido de estoque, gerenciarão o recebimento e o recebimento de pedidos e realizarão a coleta de "&amp;"lixo. Eles também servirão como elo entre a cozinha e o salão, comunicando informações sobre ingredientes, disponibilidade e tempo de preparo dos pratos à equipe de atendimento. Os cozinheiros de linha devem manter uma postura profissional e constante dur"&amp;"ante os períodos de maior movimento. Devem se reportar ao proprietário, ao chef e ao gerente quando necessário e seguir todos os protocolos da cozinha. Classificação da vaga: 35-2014.00 - Cozinheiros(as), Restaurante. A classificação e descrição da vaga/s"&amp;"etor inclui informações gerais sobre a posição, de acordo com o ONET/OES e o Sistema de Classificação Industrial da América do Norte (NAICS). Consulte as Funções e a Ordem de Serviço para obter mais informações. Requisitos da vaga: Experiência necessária:"&amp;" Sim. Meses de experiência necessários: 3. Requisitos especiais: 1. Aprovação na verificação de antecedentes pré-emprego. 2. Capacidade de fornecer pelo menos uma referência para experiência profissional anterior. 3. Capacidade de se comunicar em inglês. "&amp;"A data prevista para início é ----- e a data de término é -----. A área geográfica de atuação é Stowe, Vermont. Treinamento no local de trabalho será fornecido. O empregador fará todos os descontos exigidos por lei no contracheque do(a) trabalhador(a). Se"&amp;" o(a) trabalhador(a) completar 50% do período do contrato de trabalho, o empregador pagará diretamente e/ou reembolsará o(a) trabalhador(a) pelos custos de transporte e alimentação do local de recrutamento até o local de trabalho. Ao término do contrato d"&amp;"e trabalho ou em caso de demissão antecipada, o empregador fornecerá ou pagará os custos razoáveis ​​de transporte e alimentação do trabalhador para seu retorno ao domicílio ou ao local de onde partiu para trabalhar, exceto nos casos em que o trabalhador "&amp;"não retornar devido a um novo emprego com outro empregador. O empregador pagará diretamente e/ou reembolsará o trabalhador por todos os custos razoáveis ​​de transporte e alimentação de ida durante a primeira semana de trabalho. O empregador pagará direta"&amp;"mente e/ou reembolsará o trabalhador por todos os custos razoáveis ​​de transporte e alimentação de ida durante a última semana de trabalho. O valor do pagamento ou reembolso do transporte será equivalente ao da transportadora mais econômica e razoável pa"&amp;"ra as distâncias envolvidas. Será fornecida uma diária de alimentação no valor de US$ 16,78 por dia durante o deslocamento, até um máximo de US$ 68,00 por dia, mediante apresentação de recibos. O empregador garante oferecer trabalho por um número de horas"&amp;" equivalente a pelo menos três quartos dos dias úteis em cada período de 12 semanas do período total de emprego. O empregador reembolsará o trabalhador na primeira semana de trabalho por todas as taxas de visto, processamento de visto, travessia de fronte"&amp;"ira e outras taxas relacionadas, incluindo aquelas exigidas pelo governo, incorridas pelo trabalhador. O empregador também fornecerá aos trabalhadores com visto H-2B, sem custo ou depósito, todas as ferramentas, suprimentos e equipamentos necessários para"&amp;" o desempenho das funções atribuídas. Número de horas por semana: 39. Horário de trabalho (início/término): 16h00 - 01h00.")</f>
        <v>O restaurante Matterhorn, localizado em Stowe, Vermont, busca cozinheiros de linha temporários em tempo integral, com a descrição e os requisitos abaixo. Os cozinheiros de linha são responsáveis ​​pelo preparo, tempero e cozimento de uma variedade de itens do cardápio, incluindo, entre outros, pizzas, sushi, sanduíches, hambúrgueres, sopas, carnes, legumes e sobremesas. As funções incluem a organização das estações de trabalho, o preparo dos ingredientes e a garantia da limpeza antes, durante e após o serviço, incluindo a lavagem de pratos e utensílios utilizados no preparo dos alimentos. Os cozinheiros de linha criarão pratos especiais diários, auxiliarão no pedido de estoque, gerenciarão o recebimento e o recebimento de pedidos e realizarão a coleta de lixo. Eles também servirão como elo entre a cozinha e o salão, comunicando informações sobre ingredientes, disponibilidade e tempo de preparo dos pratos à equipe de atendimento. Os cozinheiros de linha devem manter uma postura profissional e constante durante os períodos de maior movimento. Devem se reportar ao proprietário, ao chef e ao gerente quando necessário e seguir todos os protocolos da cozinha. Classificação da vaga: 35-2014.00 - Cozinheiros(as), Restaurante. A classificação e descrição da vaga/setor inclui informações gerais sobre a posição, de acordo com o ONET/OES e o Sistema de Classificação Industrial da América do Norte (NAICS). Consulte as Funções e a Ordem de Serviço para obter mais informações. Requisitos da vaga: Experiência necessária: Sim. Meses de experiência necessários: 3. Requisitos especiais: 1. Aprovação na verificação de antecedentes pré-emprego. 2. Capacidade de fornecer pelo menos uma referência para experiência profissional anterior. 3. Capacidade de se comunicar em inglês. A data prevista para início é ----- e a data de término é -----. A área geográfica de atuação é Stowe, Vermont. Treinamento no local de trabalho será fornecido. O empregador fará todos os descontos exigidos por lei no contracheque do(a) trabalhador(a). Se o(a) trabalhador(a) completar 50% do período do contrato de trabalho, o empregador pagará diretamente e/ou reembolsará o(a) trabalhador(a) pelos custos de transporte e alimentação do local de recrutamento até o local de trabalho. Ao término do contrato de trabalho ou em caso de demissão antecipada, o empregador fornecerá ou pagará os custos razoáveis ​​de transporte e alimentação do trabalhador para seu retorno ao domicílio ou ao local de onde partiu para trabalhar, exceto nos casos em que o trabalhador não retornar devido a um novo emprego com outro empregador. O empregador pagará diretamente e/ou reembolsará o trabalhador por todos os custos razoáveis ​​de transporte e alimentação de ida durante a primeira semana de trabalho. O empregador pagará diretamente e/ou reembolsará o trabalhador por todos os custos razoáveis ​​de transporte e alimentação de ida durante a última semana de trabalho. O valor do pagamento ou reembolso do transporte será equivalente ao da transportadora mais econômica e razoável para as distâncias envolvidas. Será fornecida uma diária de alimentação no valor de US$ 16,78 por dia durante o deslocamento, até um máximo de US$ 68,00 por dia, mediante apresentação de recibos. O empregador garante oferecer trabalho por um número de horas equivalente a pelo menos três quartos dos dias úteis em cada período de 12 semanas do período total de emprego. O empregador reembolsará o trabalhador na primeira semana de trabalho por todas as taxas de visto, processamento de visto, travessia de fronteira e outras taxas relacionadas, incluindo aquelas exigidas pelo governo, incorridas pelo trabalhador. O empregador também fornecerá aos trabalhadores com visto H-2B, sem custo ou depósito, todas as ferramentas, suprimentos e equipamentos necessários para o desempenho das funções atribuídas. Número de horas por semana: 39. Horário de trabalho (início/término): 16h00 - 01h00.</v>
      </c>
    </row>
    <row r="2164" ht="20.25" customHeight="1">
      <c r="A2164" s="3" t="s">
        <v>9640</v>
      </c>
      <c r="B2164" s="3" t="s">
        <v>9641</v>
      </c>
      <c r="C2164" s="3" t="s">
        <v>7869</v>
      </c>
      <c r="D2164" s="3" t="s">
        <v>344</v>
      </c>
      <c r="E2164" s="4" t="s">
        <v>44</v>
      </c>
      <c r="F2164" s="4" t="s">
        <v>20</v>
      </c>
      <c r="G2164" s="4" t="s">
        <v>80</v>
      </c>
      <c r="H2164" s="3" t="s">
        <v>9642</v>
      </c>
      <c r="I2164" s="3" t="s">
        <v>9643</v>
      </c>
      <c r="J2164" s="4">
        <v>19.22</v>
      </c>
      <c r="K2164" s="4">
        <v>40.0</v>
      </c>
      <c r="L2164" s="3" t="s">
        <v>9644</v>
      </c>
      <c r="M2164" s="3" t="s">
        <v>9645</v>
      </c>
      <c r="N2164" s="7" t="str">
        <f>IFERROR(__xludf.DUMMYFUNCTION("GOOGLETRANSLATE(L2164, ""en"", ""pt"")"),"Atendente de loja de alimentos")</f>
        <v>Atendente de loja de alimentos</v>
      </c>
      <c r="O2164" s="7" t="str">
        <f>IFERROR(__xludf.DUMMYFUNCTION("IF(M2164="""","""",GOOGLETRANSLATE(M2164,""en"",""pt""))"),"Descarregar mercadorias na loja. Atendimento ao cliente. Controlar as mercadorias vendidas. Manter o ambiente limpo. Manter os alimentos expostos, abastecendo as prateleiras com produtos para os clientes comprarem. Classificação do Cargo: 53-7065.00 - Rep"&amp;"ositores e Separadores de Pedidos. A classificação e descrição do cargo/setor inclui informações gerais sobre a posição, de acordo com o ONET/OES e o Sistema de Classificação Industrial da América do Norte (NAICS). Consulte as Funções e a Ordem de Serviço"&amp;" para obter mais informações. Requisitos do Cargo: Experiência Necessária: Não. Número de Horas por Semana: 40. Horário de Trabalho (Início/Término): 10:00 - 18:00.")</f>
        <v>Descarregar mercadorias na loja. Atendimento ao cliente. Controlar as mercadorias vendidas. Manter o ambiente limpo. Manter os alimentos expostos, abastecendo as prateleiras com produtos para os clientes comprarem. Classificação do Cargo: 53-7065.00 - Repositores e Separadores de Pedidos. A classificação e descrição do cargo/setor inclui informações gerais sobre a posição, de acordo com o ONET/OES e o Sistema de Classificação Industrial da América do Norte (NAICS). Consulte as Funções e a Ordem de Serviço para obter mais informações. Requisitos do Cargo: Experiência Necessária: Não. Número de Horas por Semana: 40. Horário de Trabalho (Início/Término): 10:00 - 18:00.</v>
      </c>
    </row>
    <row r="2165" ht="20.25" customHeight="1">
      <c r="A2165" s="8" t="s">
        <v>9646</v>
      </c>
      <c r="B2165" s="8" t="s">
        <v>9647</v>
      </c>
      <c r="C2165" s="8" t="s">
        <v>9397</v>
      </c>
      <c r="D2165" s="8" t="s">
        <v>271</v>
      </c>
      <c r="E2165" s="9" t="s">
        <v>19</v>
      </c>
      <c r="F2165" s="9" t="s">
        <v>20</v>
      </c>
      <c r="G2165" s="9" t="s">
        <v>80</v>
      </c>
      <c r="H2165" s="8" t="s">
        <v>9648</v>
      </c>
      <c r="I2165" s="8" t="s">
        <v>9649</v>
      </c>
      <c r="J2165" s="9">
        <v>19.42</v>
      </c>
      <c r="K2165" s="9">
        <v>15.0</v>
      </c>
      <c r="L2165" s="8" t="s">
        <v>59</v>
      </c>
      <c r="M2165" s="8" t="s">
        <v>9438</v>
      </c>
      <c r="N2165" s="7" t="str">
        <f>IFERROR(__xludf.DUMMYFUNCTION("GOOGLETRANSLATE(L2165, ""en"", ""pt"")"),"Trabalhador de paisagismo")</f>
        <v>Trabalhador de paisagismo</v>
      </c>
      <c r="O2165" s="7" t="str">
        <f>IFERROR(__xludf.DUMMYFUNCTION("IF(M2165="""","""",GOOGLETRANSLATE(M2165,""en"",""pt""))"),"Paisagismo e manutenção de terrenos utilizando ferramentas manuais ou elétricas. Os trabalhadores geralmente executam uma variedade de tarefas, que podem incluir qualquer combinação das seguintes: colocação de grama, corte de grama, poda, plantio, irrigaç"&amp;"ão, fertilização, escavação, rastelagem, instalação de aspersores e instalação de blocos de concreto pré-moldados sem argamassa. Classificação da função: 37-3011.00 - Trabalhadores de Paisagismo e Manutenção de Terrenos. A classificação e descrição da fun"&amp;"ção/setor incluem informações gerais sobre o cargo, de acordo com o ONET/OES e o Sistema de Classificação Industrial da América do Norte (NAICS). Consulte as Funções e a Ordem de Serviço para obter mais informações. Requisitos da vaga: Experiência exigida"&amp;": Sim. Meses de experiência exigidos: 3. Número de horas por semana: 40. Horário de trabalho (início/término): 6h às 14h30.")</f>
        <v>Paisagismo e manutenção de terrenos utilizando ferramentas manuais ou elétricas. Os trabalhadores geralmente executam uma variedade de tarefas, que podem incluir qualquer combinação das seguintes: colocação de grama, corte de grama, poda, plantio, irrigação, fertilização, escavação, rastelagem, instalação de aspersores e instalação de blocos de concreto pré-moldados sem argamassa. Classificação da função: 37-3011.00 - Trabalhadores de Paisagismo e Manutenção de Terrenos. A classificação e descrição da função/setor incluem informações gerais sobre o cargo, de acordo com o ONET/OES e o Sistema de Classificação Industrial da América do Norte (NAICS). Consulte as Funções e a Ordem de Serviço para obter mais informações. Requisitos da vaga: Experiência exigida: Sim. Meses de experiência exigidos: 3. Número de horas por semana: 40. Horário de trabalho (início/término): 6h às 14h30.</v>
      </c>
    </row>
    <row r="2166" ht="20.25" customHeight="1">
      <c r="A2166" s="3" t="s">
        <v>9650</v>
      </c>
      <c r="B2166" s="3" t="s">
        <v>9070</v>
      </c>
      <c r="C2166" s="3" t="s">
        <v>8537</v>
      </c>
      <c r="D2166" s="3" t="s">
        <v>133</v>
      </c>
      <c r="E2166" s="4" t="s">
        <v>44</v>
      </c>
      <c r="F2166" s="4" t="s">
        <v>20</v>
      </c>
      <c r="G2166" s="4" t="s">
        <v>56</v>
      </c>
      <c r="H2166" s="3" t="s">
        <v>9071</v>
      </c>
      <c r="I2166" s="3" t="s">
        <v>9072</v>
      </c>
      <c r="J2166" s="4">
        <v>19.64</v>
      </c>
      <c r="K2166" s="4">
        <v>24.0</v>
      </c>
      <c r="L2166" s="3" t="s">
        <v>9073</v>
      </c>
      <c r="M2166" s="3" t="s">
        <v>9074</v>
      </c>
      <c r="N2166" s="7" t="str">
        <f>IFERROR(__xludf.DUMMYFUNCTION("GOOGLETRANSLATE(L2166, ""en"", ""pt"")"),"Trabalhador de paisagismo II")</f>
        <v>Trabalhador de paisagismo II</v>
      </c>
      <c r="O2166" s="7" t="str">
        <f>IFERROR(__xludf.DUMMYFUNCTION("IF(M2166="""","""",GOOGLETRANSLATE(M2166,""en"",""pt""))"),"Executa diversas tarefas de reforma de campos de golfe, incluindo a preparação e construção de greens, tees e bunkers; prepara componentes do sistema de irrigação, cola/funde conexões e interligações; instala tubulações, fios e aspersores de irrigação; ca"&amp;"va buracos e valas, utilizando ferramentas manuais para instalar drenagem e interligações; espalha e assenta materiais como sementes de grama, grama em placas, substrato para greens, cascalho e areia; opera equipamentos mecanizados para movimentar e insta"&amp;"lar materiais. O objetivo da vala, se necessário, será instalar componentes do sistema de irrigação do campo de golfe, como drenagem, tubulação lateral para aspersores e tubulação principal de abastecimento que se conecta à tubulação lateral. Os funcionár"&amp;"ios utilizarão uma escavadeira de valas de 85 cavalos de potência para tubulações principais (de 15 cm a 25 cm), um arado vibratório de 85 cavalos de potência para tubulação lateral (de 5 cm a 7,5 cm) para instalar aspersores, e pás e outras ferramentas m"&amp;"anuais para nivelar as linhas de vala e criar espaço para o equipamento de irrigação, conforme necessário. As valas, se necessárias, atingirão uma profundidade esperada de 66 cm a 112 cm e uma largura esperada de 20 cm a 46 cm em seus pontos mais largos. "&amp;"Alojamento opcional fornecido pela empresa será oferecido gratuitamente para funcionários que residem fora da distância de deslocamento diário. Funcionários que não necessitarem ou não utilizarem o alojamento da empresa receberão um reembolso de moradia d"&amp;"e US$ 231,00 por período de pagamento. Classificação do Cargo: 37-3011.00 - Trabalhadores de Paisagismo e Manutenção de Áreas Verdes. A classificação e descrição do cargo/setor incluem informações gerais sobre a posição, de acordo com o ONET/OES e o Siste"&amp;"ma de Classificação Industrial da América do Norte (NAICS). Consulte as Funções e a Ordem de Serviço para obter mais informações. Requisitos do Cargo Experiência Necessária: Sim Meses de Experiência Necessários: 3 Requisitos Especiais: Três meses de exper"&amp;"iência em construção de campos de golfe, instalação/manutenção de paisagismo ou áreas afins da construção civil, envolvendo preparação do terreno, nivelamento, drenagem ou instalação estrutural; conhecimento de sistemas de irrigação de campos de golfe, in"&amp;"cluindo a capacidade de instalar/reparar componentes-chave. Três meses de experiência operando qualquer um dos seguintes equipamentos: trator, minicarregadeira, arado/escavadeira. Horas extras conforme necessário. Gostaríamos de esclarecer as informações "&amp;"do Item F.a.5. Durante a semana de trabalho, que vai de domingo a sábado, os funcionários têm uma jornada de 40 horas semanais e recebem horas extras conforme necessário. O Item F.a.5 não nos permite inserir essa escala de trabalho. Se inserirmos 8 horas "&amp;"por dia, o sistema mostrará 56 horas semanais, o que não reflete com precisão a jornada de trabalho. Número de horas por semana: 40. Horário de trabalho (início/término): 7h00 - 15h30.")</f>
        <v>Executa diversas tarefas de reforma de campos de golfe, incluindo a preparação e construção de greens, tees e bunkers; prepara componentes do sistema de irrigação, cola/funde conexões e interligações; instala tubulações, fios e aspersores de irrigação; cava buracos e valas, utilizando ferramentas manuais para instalar drenagem e interligações; espalha e assenta materiais como sementes de grama, grama em placas, substrato para greens, cascalho e areia; opera equipamentos mecanizados para movimentar e instalar materiais. O objetivo da vala, se necessário, será instalar componentes do sistema de irrigação do campo de golfe, como drenagem, tubulação lateral para aspersores e tubulação principal de abastecimento que se conecta à tubulação lateral. Os funcionários utilizarão uma escavadeira de valas de 85 cavalos de potência para tubulações principais (de 15 cm a 25 cm), um arado vibratório de 85 cavalos de potência para tubulação lateral (de 5 cm a 7,5 cm) para instalar aspersores, e pás e outras ferramentas manuais para nivelar as linhas de vala e criar espaço para o equipamento de irrigação, conforme necessário. As valas, se necessárias, atingirão uma profundidade esperada de 66 cm a 112 cm e uma largura esperada de 20 cm a 46 cm em seus pontos mais largos. Alojamento opcional fornecido pela empresa será oferecido gratuitamente para funcionários que residem fora da distância de deslocamento diário. Funcionários que não necessitarem ou não utilizarem o alojamento da empresa receberão um reembolso de moradia de US$ 231,00 por período de pagamento. Classificação do Cargo: 37-3011.00 - Trabalhadores de Paisagismo e Manutenção de Áreas Verdes. A classificação e descrição do cargo/setor incluem informações gerais sobre a posição, de acordo com o ONET/OES e o Sistema de Classificação Industrial da América do Norte (NAICS). Consulte as Funções e a Ordem de Serviço para obter mais informações. Requisitos do Cargo Experiência Necessária: Sim Meses de Experiência Necessários: 3 Requisitos Especiais: Três meses de experiência em construção de campos de golfe, instalação/manutenção de paisagismo ou áreas afins da construção civil, envolvendo preparação do terreno, nivelamento, drenagem ou instalação estrutural; conhecimento de sistemas de irrigação de campos de golfe, incluindo a capacidade de instalar/reparar componentes-chave. Três meses de experiência operando qualquer um dos seguintes equipamentos: trator, minicarregadeira, arado/escavadeira. Horas extras conforme necessário. Gostaríamos de esclarecer as informações do Item F.a.5. Durante a semana de trabalho, que vai de domingo a sábado, os funcionários têm uma jornada de 40 horas semanais e recebem horas extras conforme necessário. O Item F.a.5 não nos permite inserir essa escala de trabalho. Se inserirmos 8 horas por dia, o sistema mostrará 56 horas semanais, o que não reflete com precisão a jornada de trabalho. Número de horas por semana: 40. Horário de trabalho (início/término): 7h00 - 15h30.</v>
      </c>
    </row>
    <row r="2167" ht="20.25" customHeight="1">
      <c r="A2167" s="8" t="s">
        <v>9651</v>
      </c>
      <c r="B2167" s="8" t="s">
        <v>9652</v>
      </c>
      <c r="C2167" s="8" t="s">
        <v>391</v>
      </c>
      <c r="D2167" s="8" t="s">
        <v>64</v>
      </c>
      <c r="E2167" s="9" t="s">
        <v>19</v>
      </c>
      <c r="F2167" s="9" t="s">
        <v>20</v>
      </c>
      <c r="G2167" s="9" t="s">
        <v>9653</v>
      </c>
      <c r="H2167" s="8" t="s">
        <v>9654</v>
      </c>
      <c r="I2167" s="8" t="s">
        <v>9655</v>
      </c>
      <c r="J2167" s="9">
        <v>22.93</v>
      </c>
      <c r="K2167" s="9">
        <v>60.0</v>
      </c>
      <c r="L2167" s="8" t="s">
        <v>6043</v>
      </c>
      <c r="M2167" s="8" t="s">
        <v>6044</v>
      </c>
      <c r="N2167" s="7" t="str">
        <f>IFERROR(__xludf.DUMMYFUNCTION("GOOGLETRANSLATE(L2167, ""en"", ""pt"")"),"Ajustador")</f>
        <v>Ajustador</v>
      </c>
      <c r="O2167" s="7" t="str">
        <f>IFERROR(__xludf.DUMMYFUNCTION("IF(M2167="""","""",GOOGLETRANSLATE(M2167,""en"",""pt""))"),"Interpretar desenhos de engenharia, plantas e especificações para determinar o layout e os procedimentos de montagem. Medir, cortar, ajustar e moldar componentes de tubos e chapas de aço usando ferramentas manuais e elétricas, incluindo serras, maçaricos "&amp;"e cortadores de plasma. Realizar o layout e o ajuste de elementos estruturais de aço, incluindo vigas, colunas, contraventamentos, tubos e chapas, de acordo com os requisitos do projeto. Alinhar e ajustar componentes estruturais e de tubos de aço usando t"&amp;"écnicas como soldagem, aparafusamento e rebitagem para garantir o alinhamento adequado e a integridade estrutural. Verificar as dimensões e o alinhamento dos componentes montados usando níveis, esquadros e outras ferramentas de medição. Fabricar, instalar"&amp;" e soldar estruturas de suporte temporárias, conforme necessário, para manter os componentes de aço no lugar durante a montagem. Colaborar com soldadores, operadores de guindaste e outros membros da equipe para coordenar o fluxo de trabalho e garantir a e"&amp;"xecução eficiente do projeto. Seguir os protocolos de segurança e todas as normas e diretrizes de segurança da OSHA para manter um ambiente de trabalho seguro para si e para os outros. Inspecionar e testar o trabalho concluído para garantir que os padrões"&amp;" de qualidade sejam atendidos e fazer os ajustes necessários. Manter as ferramentas, os equipamentos e a área de trabalho limpos e organizados. É imprescindível ter conhecimento prático de fabricação modular, incluindo montagem em oficina de módulos estru"&amp;"turais e de tubulação pré-fabricados, interpretação de desenhos de módulos e pontos de conexão, controle dimensional e os métodos utilizados para transportar e montar os módulos concluídos nos locais de instalação final. O empregador oferecerá um mínimo d"&amp;"e 40 horas de trabalho por semana. O trabalhador atuará em um dos dois turnos: das 7h às 15h30 ou das 15h30 às 00h, em dias variáveis ​​da semana, de segunda a domingo, de acordo com a necessidade do cliente. Os turnos incluem 30 minutos de intervalo não "&amp;"remunerado. Os dias, horários e turnos de trabalho podem variar dependendo das condições climáticas. O empregador poderá aumentar o salário ou oferecer bônus com base na experiência, desempenho, tempo de serviço e/ou condições de mercado. Se aplicável, se"&amp;"rá pago adicional por hora extra, conforme exigido pelas leis federais, estaduais ou locais, incluindo hora e meia após 40 horas semanais. Horas extras podem ser remuneradas com um adicional de US$ 34,40 por hora. Classificação da Função: 47-2221.00 - Ope"&amp;"rários de Estruturas Metálicas. A classificação e descrição da função/setor inclui informações gerais sobre o cargo, de acordo com o ONET/OES e o Sistema de Classificação Industrial da América do Norte (NAICS). Consulte as Funções e a Ordem de Serviço par"&amp;"a obter mais informações. Requisitos da Função Experiência Necessária: Sim Meses de Experiência Necessários: 12 Requisitos Especiais: Exame toxicológico pré-admissional obrigatório, com o custo pago pelo empregador e aplicado igualmente a todos os trabalh"&amp;"adores. Exame médico pré-admissional obrigatório, com o custo pago pelo empregador e aplicado igualmente a todos os trabalhadores. O candidato deve ser aprovado em um teste escrito e prático, administrado no local de trabalho do projeto no Texas, às custa"&amp;"s do empregador. Deve ser capaz de levantar e/ou mover um mínimo de 23 kg. Deve estar disposto e apto a subir e trabalhar em locais altos, que podem exceder 60 metros de altura, e em espaços confinados. O candidato deve preencher uma ficha de inscrição de"&amp;" emprego. Número de Horas por Semana: 40 Horário de Trabalho (Início/Término): 7h00 - 15h30")</f>
        <v>Interpretar desenhos de engenharia, plantas e especificações para determinar o layout e os procedimentos de montagem. Medir, cortar, ajustar e moldar componentes de tubos e chapas de aço usando ferramentas manuais e elétricas, incluindo serras, maçaricos e cortadores de plasma. Realizar o layout e o ajuste de elementos estruturais de aço, incluindo vigas, colunas, contraventamentos, tubos e chapas, de acordo com os requisitos do projeto. Alinhar e ajustar componentes estruturais e de tubos de aço usando técnicas como soldagem, aparafusamento e rebitagem para garantir o alinhamento adequado e a integridade estrutural. Verificar as dimensões e o alinhamento dos componentes montados usando níveis, esquadros e outras ferramentas de medição. Fabricar, instalar e soldar estruturas de suporte temporárias, conforme necessário, para manter os componentes de aço no lugar durante a montagem. Colaborar com soldadores, operadores de guindaste e outros membros da equipe para coordenar o fluxo de trabalho e garantir a execução eficiente do projeto. Seguir os protocolos de segurança e todas as normas e diretrizes de segurança da OSHA para manter um ambiente de trabalho seguro para si e para os outros. Inspecionar e testar o trabalho concluído para garantir que os padrões de qualidade sejam atendidos e fazer os ajustes necessários. Manter as ferramentas, os equipamentos e a área de trabalho limpos e organizados. É imprescindível ter conhecimento prático de fabricação modular, incluindo montagem em oficina de módulos estruturais e de tubulação pré-fabricados, interpretação de desenhos de módulos e pontos de conexão, controle dimensional e os métodos utilizados para transportar e montar os módulos concluídos nos locais de instalação final. O empregador oferecerá um mínimo de 40 horas de trabalho por semana. O trabalhador atuará em um dos dois turnos: das 7h às 15h30 ou das 15h30 às 00h, em dias variáveis ​​da semana, de segunda a domingo, de acordo com a necessidade do cliente. Os turnos incluem 30 minutos de intervalo não remunerado. Os dias, horários e turnos de trabalho podem variar dependendo das condições climáticas. O empregador poderá aumentar o salário ou oferecer bônus com base na experiência, desempenho, tempo de serviço e/ou condições de mercado. Se aplicável, será pago adicional por hora extra, conforme exigido pelas leis federais, estaduais ou locais, incluindo hora e meia após 40 horas semanais. Horas extras podem ser remuneradas com um adicional de US$ 34,40 por hora. Classificação da Função: 47-2221.00 - Operários de Estruturas Metálicas. A classificação e descrição da função/setor inclui informações gerais sobre o cargo, de acordo com o ONET/OES e o Sistema de Classificação Industrial da América do Norte (NAICS). Consulte as Funções e a Ordem de Serviço para obter mais informações. Requisitos da Função Experiência Necessária: Sim Meses de Experiência Necessários: 12 Requisitos Especiais: Exame toxicológico pré-admissional obrigatório, com o custo pago pelo empregador e aplicado igualmente a todos os trabalhadores. Exame médico pré-admissional obrigatório, com o custo pago pelo empregador e aplicado igualmente a todos os trabalhadores. O candidato deve ser aprovado em um teste escrito e prático, administrado no local de trabalho do projeto no Texas, às custas do empregador. Deve ser capaz de levantar e/ou mover um mínimo de 23 kg. Deve estar disposto e apto a subir e trabalhar em locais altos, que podem exceder 60 metros de altura, e em espaços confinados. O candidato deve preencher uma ficha de inscrição de emprego. Número de Horas por Semana: 40 Horário de Trabalho (Início/Término): 7h00 - 15h30</v>
      </c>
    </row>
    <row r="2168" ht="20.25" customHeight="1">
      <c r="A2168" s="3" t="s">
        <v>9656</v>
      </c>
      <c r="B2168" s="3" t="s">
        <v>9652</v>
      </c>
      <c r="C2168" s="3" t="s">
        <v>391</v>
      </c>
      <c r="D2168" s="3" t="s">
        <v>64</v>
      </c>
      <c r="E2168" s="4" t="s">
        <v>19</v>
      </c>
      <c r="F2168" s="4" t="s">
        <v>20</v>
      </c>
      <c r="G2168" s="4" t="s">
        <v>9653</v>
      </c>
      <c r="H2168" s="3" t="s">
        <v>9654</v>
      </c>
      <c r="I2168" s="3" t="s">
        <v>9655</v>
      </c>
      <c r="J2168" s="4">
        <v>26.55</v>
      </c>
      <c r="K2168" s="4">
        <v>55.0</v>
      </c>
      <c r="L2168" s="3" t="s">
        <v>6175</v>
      </c>
      <c r="M2168" s="3" t="s">
        <v>9657</v>
      </c>
      <c r="N2168" s="7" t="str">
        <f>IFERROR(__xludf.DUMMYFUNCTION("GOOGLETRANSLATE(L2168, ""en"", ""pt"")"),"Soldador")</f>
        <v>Soldador</v>
      </c>
      <c r="O2168" s="7" t="str">
        <f>IFERROR(__xludf.DUMMYFUNCTION("IF(M2168="""","""",GOOGLETRANSLATE(M2168,""en"",""pt""))"),"Soldar componentes de tubos e chapas metálicas em posições planas, verticais ou sobrecabeças para aplicações industriais estruturais e de tubulação, conforme definido pelas especificações do projeto, desenhos e procedimentos de soldagem. Configurar, utili"&amp;"zar, solucionar problemas e operar corretamente o equipamento de soldagem, com experiência em processos FCAW (soldagem a arco com arame tubular), RMD (deposição de metal regulada), GTAW (soldagem a arco com gás tungstênio) e SMAW (soldagem a arco com elet"&amp;"rodo revestido). Preparar, ajustar, posicionar, alinhar e fixar peças e componentes antes da montagem, utilizando réguas, esquadros combinados, paquímetros, pinos de alinhamento de flanges, guias de fixação, localizadores de centro e réguas. Fixar, segura"&amp;"r, pontear, dobrar a quente, esmerilhar ou aparafusar componentes para ajustar corretamente a chapa e o tubo, obtendo a configuração e as posições necessárias para a soldagem. Soldar com o mínimo de defeitos, conforme definido na norma ASME B31.3. Cumprir"&amp;" todas as normas e diretrizes de segurança da empresa e da OSHA. Ler e interpretar plantas, desenhos e especificações para determinar o processo de soldagem e os materiais apropriados. O empregador oferecerá um mínimo de 40 horas de trabalho por semana. O"&amp;" trabalhador trabalhará em um dos dois turnos: das 7h às 15h30 ou das 15h30 às 00h, em dias variáveis ​​da semana, de segunda a domingo, de acordo com a necessidade do cliente. Os turnos incluem 30 minutos de intervalo não remunerado. Os dias de trabalho,"&amp;" horários e turnos podem variar dependendo das condições climáticas. O empregador poderá aumentar o salário ou oferecer bônus com base na experiência, desempenho, tempo de serviço e/ou condições de mercado. Se aplicável, será pago adicional por horas extr"&amp;"as quando exigido por lei federal, estadual ou local, incluindo hora e meia após 40 horas semanais. Horas extras podem estar disponíveis a US$ 39,83 por hora. Classificação da vaga: 51-4121.00 - Soldadores, Cortadores, Soldadores de Estanho e Brasadores. "&amp;"A classificação e descrição da vaga/setor incluem informações gerais sobre o cargo, de acordo com o ONET/OES e o Sistema de Classificação Industrial da América do Norte (NAICS). Consulte as Funções e a Ordem de Serviço para obter mais informações. Requisi"&amp;"tos da Vaga Experiência Necessária: Sim Meses de Experiência Necessários: 12 Requisitos Especiais: Exame toxicológico pré-admissional obrigatório, com o custo pago pelo empregador e aplicado igualmente a todos os funcionários. Exame médico pré-admissional"&amp;" obrigatório, com o custo pago pelo empregador e aplicado igualmente a todos os funcionários. O candidato deve ser aprovado em um teste escrito e prático, administrado no local de trabalho do projeto no Texas, às custas do empregador. Deve ser capaz de le"&amp;"vantar e/ou mover um mínimo de 23 kg. Deve estar disposto e apto a subir e trabalhar em locais altos, que podem exceder 60 metros de altura, e em espaços confinados. O candidato deve preencher uma ficha de emprego. Número de Horas por Semana: 40 Horário d"&amp;"e Trabalho (Início/Término): 7h00 - 15h30")</f>
        <v>Soldar componentes de tubos e chapas metálicas em posições planas, verticais ou sobrecabeças para aplicações industriais estruturais e de tubulação, conforme definido pelas especificações do projeto, desenhos e procedimentos de soldagem. Configurar, utilizar, solucionar problemas e operar corretamente o equipamento de soldagem, com experiência em processos FCAW (soldagem a arco com arame tubular), RMD (deposição de metal regulada), GTAW (soldagem a arco com gás tungstênio) e SMAW (soldagem a arco com eletrodo revestido). Preparar, ajustar, posicionar, alinhar e fixar peças e componentes antes da montagem, utilizando réguas, esquadros combinados, paquímetros, pinos de alinhamento de flanges, guias de fixação, localizadores de centro e réguas. Fixar, segurar, pontear, dobrar a quente, esmerilhar ou aparafusar componentes para ajustar corretamente a chapa e o tubo, obtendo a configuração e as posições necessárias para a soldagem. Soldar com o mínimo de defeitos, conforme definido na norma ASME B31.3. Cumprir todas as normas e diretrizes de segurança da empresa e da OSHA. Ler e interpretar plantas, desenhos e especificações para determinar o processo de soldagem e os materiais apropriados. O empregador oferecerá um mínimo de 40 horas de trabalho por semana. O trabalhador trabalhará em um dos dois turnos: das 7h às 15h30 ou das 15h30 às 00h, em dias variáveis ​​da semana, de segunda a domingo, de acordo com a necessidade do cliente. Os turnos incluem 30 minutos de intervalo não remunerado. Os dias de trabalho, horários e turnos podem variar dependendo das condições climáticas. O empregador poderá aumentar o salário ou oferecer bônus com base na experiência, desempenho, tempo de serviço e/ou condições de mercado. Se aplicável, será pago adicional por horas extras quando exigido por lei federal, estadual ou local, incluindo hora e meia após 40 horas semanais. Horas extras podem estar disponíveis a US$ 39,83 por hora. Classificação da vaga: 51-4121.00 - Soldadores, Cortadores, Soldadores de Estanho e Brasadores. A classificação e descrição da vaga/setor incluem informações gerais sobre o cargo, de acordo com o ONET/OES e o Sistema de Classificação Industrial da América do Norte (NAICS). Consulte as Funções e a Ordem de Serviço para obter mais informações. Requisitos da Vaga Experiência Necessária: Sim Meses de Experiência Necessários: 12 Requisitos Especiais: Exame toxicológico pré-admissional obrigatório, com o custo pago pelo empregador e aplicado igualmente a todos os funcionários. Exame médico pré-admissional obrigatório, com o custo pago pelo empregador e aplicado igualmente a todos os funcionários. O candidato deve ser aprovado em um teste escrito e prático, administrado no local de trabalho do projeto no Texas, às custas do empregador. Deve ser capaz de levantar e/ou mover um mínimo de 23 kg. Deve estar disposto e apto a subir e trabalhar em locais altos, que podem exceder 60 metros de altura, e em espaços confinados. O candidato deve preencher uma ficha de emprego. Número de Horas por Semana: 40 Horário de Trabalho (Início/Término): 7h00 - 15h30</v>
      </c>
    </row>
    <row r="2169" ht="20.25" customHeight="1">
      <c r="A2169" s="8" t="s">
        <v>9658</v>
      </c>
      <c r="B2169" s="8" t="s">
        <v>9659</v>
      </c>
      <c r="C2169" s="8" t="s">
        <v>6228</v>
      </c>
      <c r="D2169" s="8" t="s">
        <v>64</v>
      </c>
      <c r="E2169" s="9" t="s">
        <v>19</v>
      </c>
      <c r="F2169" s="9" t="s">
        <v>20</v>
      </c>
      <c r="G2169" s="9" t="s">
        <v>56</v>
      </c>
      <c r="H2169" s="8" t="s">
        <v>9660</v>
      </c>
      <c r="I2169" s="8" t="s">
        <v>9661</v>
      </c>
      <c r="J2169" s="9">
        <v>17.14</v>
      </c>
      <c r="K2169" s="9">
        <v>10.0</v>
      </c>
      <c r="L2169" s="8" t="s">
        <v>1021</v>
      </c>
      <c r="M2169" s="8" t="s">
        <v>9662</v>
      </c>
      <c r="N2169" s="7" t="str">
        <f>IFERROR(__xludf.DUMMYFUNCTION("GOOGLETRANSLATE(L2169, ""en"", ""pt"")"),"Paisagista")</f>
        <v>Paisagista</v>
      </c>
      <c r="O2169" s="7" t="str">
        <f>IFERROR(__xludf.DUMMYFUNCTION("IF(M2169="""","""",GOOGLETRANSLATE(M2169,""en"",""pt""))"),"Responsável por tarefas rotineiras de paisagismo e manutenção de jardins, incluindo capina, corte de grama, poda, acabamento de bordas e coleta de lixo. Opera equipamentos padrão de paisagismo, como cortadores de grama, sopradores de folhas, aparadores de"&amp;" grama e tesouras de poda. As tarefas podem incluir plantio, rega, adubação, colocação de grama em placas, escavação, rastelagem, limpeza do jardim, instalação ou substituição de cobertura morta e remoção de folhas. Todas as tarefas se limitam ao paisagis"&amp;"mo e à manutenção de áreas verdes. Esta posição não realiza ou auxilia na instalação ou manutenção de cercas, instalação de pátios, instalação de divisórias, muros de arrimo, alvenaria, trabalhos em pedra, instalação de pavimentos ou quaisquer outras ativ"&amp;"idades relacionadas à construção ou paisagismo. O trabalho é realizado ao ar livre sob supervisão, utilizando ferramentas manuais padrão de paisagismo, como pás, ancinhos, carrinhos de mão e tesouras de poda. Classificação da Função: 37-3011.00 - Trabalha"&amp;"dores de Paisagismo e Manutenção de Áreas Verdes. A classificação e descrição da função/setor inclui informações gerais sobre o cargo, de acordo com o ONET/OES e o Sistema de Classificação Industrial da América do Norte. Consulte as Funções e a Ordem de S"&amp;"erviço para obter mais informações. Requisitos da Função Experiência Necessária: Sim Meses de Experiência Necessários: 1 Requisitos Especiais: Capacidade de carregar e operar equipamentos de paisagismo por longos períodos, permanecer em pé por longos perí"&amp;"odos, levantar e carregar até 23 kg, suportar condições de trabalho ao ar livre, incluindo calor, e manusear materiais comuns de paisagismo. É necessário um (1) mês de experiência comprovada em paisagismo. Número de Horas por Semana: 40 Horário de Trabalh"&amp;"o (Início/Término): 7h00 - 18h00")</f>
        <v>Responsável por tarefas rotineiras de paisagismo e manutenção de jardins, incluindo capina, corte de grama, poda, acabamento de bordas e coleta de lixo. Opera equipamentos padrão de paisagismo, como cortadores de grama, sopradores de folhas, aparadores de grama e tesouras de poda. As tarefas podem incluir plantio, rega, adubação, colocação de grama em placas, escavação, rastelagem, limpeza do jardim, instalação ou substituição de cobertura morta e remoção de folhas. Todas as tarefas se limitam ao paisagismo e à manutenção de áreas verdes. Esta posição não realiza ou auxilia na instalação ou manutenção de cercas, instalação de pátios, instalação de divisórias, muros de arrimo, alvenaria, trabalhos em pedra, instalação de pavimentos ou quaisquer outras atividades relacionadas à construção ou paisagismo. O trabalho é realizado ao ar livre sob supervisão, utilizando ferramentas manuais padrão de paisagismo, como pás, ancinhos, carrinhos de mão e tesouras de poda. Classificação da Função: 37-3011.00 - Trabalhadores de Paisagismo e Manutenção de Áreas Verdes. A classificação e descrição da função/setor inclui informações gerais sobre o cargo, de acordo com o ONET/OES e o Sistema de Classificação Industrial da América do Norte. Consulte as Funções e a Ordem de Serviço para obter mais informações. Requisitos da Função Experiência Necessária: Sim Meses de Experiência Necessários: 1 Requisitos Especiais: Capacidade de carregar e operar equipamentos de paisagismo por longos períodos, permanecer em pé por longos períodos, levantar e carregar até 23 kg, suportar condições de trabalho ao ar livre, incluindo calor, e manusear materiais comuns de paisagismo. É necessário um (1) mês de experiência comprovada em paisagismo. Número de Horas por Semana: 40 Horário de Trabalho (Início/Término): 7h00 - 18h00</v>
      </c>
    </row>
    <row r="2170" ht="20.25" customHeight="1">
      <c r="A2170" s="20" t="s">
        <v>9663</v>
      </c>
      <c r="B2170" s="20" t="s">
        <v>9664</v>
      </c>
      <c r="C2170" s="20" t="s">
        <v>7533</v>
      </c>
      <c r="D2170" s="20" t="s">
        <v>306</v>
      </c>
      <c r="E2170" s="21" t="s">
        <v>19</v>
      </c>
      <c r="F2170" s="21" t="s">
        <v>20</v>
      </c>
      <c r="G2170" s="21" t="s">
        <v>345</v>
      </c>
      <c r="H2170" s="22" t="s">
        <v>9665</v>
      </c>
      <c r="I2170" s="20" t="s">
        <v>9666</v>
      </c>
      <c r="J2170" s="21">
        <v>17.41</v>
      </c>
      <c r="K2170" s="21">
        <v>28.0</v>
      </c>
      <c r="L2170" s="20" t="s">
        <v>1653</v>
      </c>
      <c r="M2170" s="20" t="s">
        <v>9667</v>
      </c>
      <c r="N2170" s="7" t="str">
        <f>IFERROR(__xludf.DUMMYFUNCTION("GOOGLETRANSLATE(L2170, ""en"", ""pt"")"),"Removedor de neve")</f>
        <v>Removedor de neve</v>
      </c>
      <c r="O2170" s="7" t="str">
        <f>IFERROR(__xludf.DUMMYFUNCTION("IF(M2170="""","""",GOOGLETRANSLATE(M2170,""en"",""pt""))"),"Remover depósitos de neve acumulados continuamente em condições climáticas extremas em diversas propriedades comerciais. É necessário levantar até 23 kg. Classificação da função: 37-2011.00 - Zeladores e Faxineiros, exceto empregadas domésticas e faxineir"&amp;"as. A classificação e descrição da função/setor incluem informações gerais sobre o cargo, de acordo com o ONET/OES e o Sistema de Classificação Industrial da América do Norte (NAICS). Consulte as atribuições e a ordem de serviço para obter mais informaçõe"&amp;"s. Requisitos da vaga: Experiência necessária: Não. Número de horas por semana: 40. Horário de trabalho (início/término): 7h às 18h.")</f>
        <v>Remover depósitos de neve acumulados continuamente em condições climáticas extremas em diversas propriedades comerciais. É necessário levantar até 23 kg. Classificação da função: 37-2011.00 - Zeladores e Faxineiros, exceto empregadas domésticas e faxineiras. A classificação e descrição da função/setor incluem informações gerais sobre o cargo, de acordo com o ONET/OES e o Sistema de Classificação Industrial da América do Norte (NAICS). Consulte as atribuições e a ordem de serviço para obter mais informações. Requisitos da vaga: Experiência necessária: Não. Número de horas por semana: 40. Horário de trabalho (início/término): 7h às 18h.</v>
      </c>
    </row>
    <row r="2171" ht="20.25" customHeight="1">
      <c r="A2171" s="8" t="s">
        <v>9668</v>
      </c>
      <c r="B2171" s="8" t="s">
        <v>9669</v>
      </c>
      <c r="C2171" s="8" t="s">
        <v>1030</v>
      </c>
      <c r="D2171" s="8" t="s">
        <v>64</v>
      </c>
      <c r="E2171" s="9" t="s">
        <v>19</v>
      </c>
      <c r="F2171" s="9" t="s">
        <v>20</v>
      </c>
      <c r="G2171" s="9" t="s">
        <v>94</v>
      </c>
      <c r="H2171" s="14" t="s">
        <v>9670</v>
      </c>
      <c r="I2171" s="8" t="s">
        <v>9671</v>
      </c>
      <c r="J2171" s="9">
        <v>18.42</v>
      </c>
      <c r="K2171" s="9">
        <v>8.0</v>
      </c>
      <c r="L2171" s="8" t="s">
        <v>59</v>
      </c>
      <c r="M2171" s="8" t="s">
        <v>9672</v>
      </c>
      <c r="N2171" s="7" t="str">
        <f>IFERROR(__xludf.DUMMYFUNCTION("GOOGLETRANSLATE(L2171, ""en"", ""pt"")"),"Trabalhador de paisagismo")</f>
        <v>Trabalhador de paisagismo</v>
      </c>
      <c r="O2171" s="7" t="str">
        <f>IFERROR(__xludf.DUMMYFUNCTION("IF(M2171="""","""",GOOGLETRANSLATE(M2171,""en"",""pt""))"),"Desembalar, inspecionar e testar luzes e decorações, substituindo lâmpadas quando necessário. Instalar luzes em áreas externas, como jardins e edifícios. Realizar manutenção/reparos em luzes e decorações quebradas ou que apresentem defeito. Remover luzes "&amp;"e decorações, inspecioná-las e embalá-las para armazenamento. Limpar folhas e manter a aparência da propriedade conforme necessário antes da instalação, utilizando cortadores de grama, aparadores de borda, roçadeiras, ancinhos, sopradores de folhas e ferr"&amp;"amentas manuais. Envolve carregar e descarregar ferramentas, suprimentos e equipamentos com peso de até 23 kg. Envolve trabalho ao ar livre em todos os tipos de clima. Envolve ficar em pé, sentado ou caminhando por longos períodos. Envolve agachar-se ou c"&amp;"urvar-se com frequência. Envolve movimentos repetitivos. Possibilidade de aumento salarial com base no desempenho, bônus, horas extras e trabalho aos sábados, conforme necessário. Transporte fornecido para diversos locais de trabalho a partir da localizaç"&amp;"ão central em Wylie, TX. O horário de trabalho diário pode variar entre os horários de início e término listados, dependendo do clima ou das tarefas atribuídas. Classificação da Função: 37-3011.00 - Trabalhadores de Paisagismo e Manutenção de Jardins. A c"&amp;"lassificação e descrição da função/setor inclui informações gerais sobre o cargo, conforme o ONET/OES e o Sistema de Classificação Industrial da América do Norte (NAICS). Consulte as Funções e a Ordem de Serviço para obter mais informações. Requisitos da "&amp;"Função: Experiência Necessária: Não. Requisitos Especiais: Nenhum. Número de Horas por Semana: 40. Horário de Trabalho (Início/Término): 7h00 - 19h00.")</f>
        <v>Desembalar, inspecionar e testar luzes e decorações, substituindo lâmpadas quando necessário. Instalar luzes em áreas externas, como jardins e edifícios. Realizar manutenção/reparos em luzes e decorações quebradas ou que apresentem defeito. Remover luzes e decorações, inspecioná-las e embalá-las para armazenamento. Limpar folhas e manter a aparência da propriedade conforme necessário antes da instalação, utilizando cortadores de grama, aparadores de borda, roçadeiras, ancinhos, sopradores de folhas e ferramentas manuais. Envolve carregar e descarregar ferramentas, suprimentos e equipamentos com peso de até 23 kg. Envolve trabalho ao ar livre em todos os tipos de clima. Envolve ficar em pé, sentado ou caminhando por longos períodos. Envolve agachar-se ou curvar-se com frequência. Envolve movimentos repetitivos. Possibilidade de aumento salarial com base no desempenho, bônus, horas extras e trabalho aos sábados, conforme necessário. Transporte fornecido para diversos locais de trabalho a partir da localização central em Wylie, TX. O horário de trabalho diário pode variar entre os horários de início e término listados, dependendo do clima ou das tarefas atribuídas. Classificação da Função: 37-3011.00 - Trabalhadores de Paisagismo e Manutenção de Jardins. A classificação e descrição da função/setor inclui informações gerais sobre o cargo, conforme o ONET/OES e o Sistema de Classificação Industrial da América do Norte (NAICS). Consulte as Funções e a Ordem de Serviço para obter mais informações. Requisitos da Função: Experiência Necessária: Não. Requisitos Especiais: Nenhum. Número de Horas por Semana: 40. Horário de Trabalho (Início/Término): 7h00 - 19h00.</v>
      </c>
    </row>
    <row r="2172" ht="20.25" customHeight="1">
      <c r="A2172" s="3" t="s">
        <v>9673</v>
      </c>
      <c r="B2172" s="3" t="s">
        <v>9674</v>
      </c>
      <c r="C2172" s="3" t="s">
        <v>9675</v>
      </c>
      <c r="D2172" s="3" t="s">
        <v>154</v>
      </c>
      <c r="E2172" s="4" t="s">
        <v>44</v>
      </c>
      <c r="F2172" s="4" t="s">
        <v>20</v>
      </c>
      <c r="G2172" s="4" t="s">
        <v>146</v>
      </c>
      <c r="H2172" s="3" t="s">
        <v>9676</v>
      </c>
      <c r="I2172" s="3" t="s">
        <v>9677</v>
      </c>
      <c r="J2172" s="4">
        <v>24.16</v>
      </c>
      <c r="K2172" s="4">
        <v>15.0</v>
      </c>
      <c r="L2172" s="3" t="s">
        <v>9678</v>
      </c>
      <c r="M2172" s="3" t="s">
        <v>9679</v>
      </c>
      <c r="N2172" s="7" t="str">
        <f>IFERROR(__xludf.DUMMYFUNCTION("GOOGLETRANSLATE(L2172, ""en"", ""pt"")"),"Instalador de forro acústico")</f>
        <v>Instalador de forro acústico</v>
      </c>
      <c r="O2172" s="7" t="str">
        <f>IFERROR(__xludf.DUMMYFUNCTION("IF(M2172="""","""",GOOGLETRANSLATE(M2172,""en"",""pt""))"),"O Instalador de Forros é responsável pela instalação e reparo de forros suspensos ou acústicos em edifícios residenciais e comerciais; mede e corta placas e painéis, fixa-os no lugar e garante um acabamento liso. O instalador também pode ser solicitado a "&amp;"remendar e reparar forros existentes. Deve ser capaz de levantar 23 kg. Classificação da Função: 47-2081.00 - Instaladores de Drywall e Placas de Forro. A classificação e descrição da função/setor incluem informações gerais sobre o cargo, de acordo com o "&amp;"ONET/OES e o Sistema de Classificação Industrial da América do Norte (NAICS). Consulte as Funções e a Ordem de Serviço para obter mais informações. Requisitos da Função: Experiência Necessária: Sim. Meses de Experiência Necessários: 3. Requisitos Especiai"&amp;"s: Deve ser capaz de levantar 23 kg. Capacidade de se curvar, ficar em pé e caminhar por longos períodos. Trabalho aos sábados, quando necessário. Número de Horas por Semana: 40. Horário de Trabalho (Início/Término): 7h às 17h.")</f>
        <v>O Instalador de Forros é responsável pela instalação e reparo de forros suspensos ou acústicos em edifícios residenciais e comerciais; mede e corta placas e painéis, fixa-os no lugar e garante um acabamento liso. O instalador também pode ser solicitado a remendar e reparar forros existentes. Deve ser capaz de levantar 23 kg. Classificação da Função: 47-2081.00 - Instaladores de Drywall e Placas de Forro. A classificação e descrição da função/setor incluem informações gerais sobre o cargo, de acordo com o ONET/OES e o Sistema de Classificação Industrial da América do Norte (NAICS). Consulte as Funções e a Ordem de Serviço para obter mais informações. Requisitos da Função: Experiência Necessária: Sim. Meses de Experiência Necessários: 3. Requisitos Especiais: Deve ser capaz de levantar 23 kg. Capacidade de se curvar, ficar em pé e caminhar por longos períodos. Trabalho aos sábados, quando necessário. Número de Horas por Semana: 40. Horário de Trabalho (Início/Término): 7h às 17h.</v>
      </c>
    </row>
    <row r="2173" ht="20.25" customHeight="1">
      <c r="A2173" s="8" t="s">
        <v>9680</v>
      </c>
      <c r="B2173" s="8" t="s">
        <v>9681</v>
      </c>
      <c r="C2173" s="8"/>
      <c r="D2173" s="8" t="s">
        <v>71</v>
      </c>
      <c r="E2173" s="9" t="s">
        <v>44</v>
      </c>
      <c r="F2173" s="9" t="s">
        <v>20</v>
      </c>
      <c r="G2173" s="9" t="s">
        <v>377</v>
      </c>
      <c r="H2173" s="8" t="s">
        <v>9682</v>
      </c>
      <c r="I2173" s="8" t="s">
        <v>9683</v>
      </c>
      <c r="J2173" s="9">
        <v>17.69</v>
      </c>
      <c r="K2173" s="9">
        <v>50.0</v>
      </c>
      <c r="L2173" s="8" t="s">
        <v>586</v>
      </c>
      <c r="M2173" s="8" t="s">
        <v>9684</v>
      </c>
      <c r="N2173" s="7" t="str">
        <f>IFERROR(__xludf.DUMMYFUNCTION("GOOGLETRANSLATE(L2173, ""en"", ""pt"")"),"Cozinheiro de linha")</f>
        <v>Cozinheiro de linha</v>
      </c>
      <c r="O2173" s="7" t="str">
        <f>IFERROR(__xludf.DUMMYFUNCTION("IF(M2173="""","""",GOOGLETRANSLATE(M2173,""en"",""pt""))"),"Preparar e abastecer os itens alimentícios e outros suprimentos necessários. Preparar os itens alimentícios cortando, picando, misturando e preparando molhos. Cozinhar os itens alimentícios grelhando, fritando, refogando e utilizando outros métodos de coz"&amp;"imento, seguindo as receitas e padrões especificados. Manter a limpeza e cumprir os requisitos de higiene alimentar, manuseando os alimentos adequadamente e garantindo o armazenamento correto. Verificar a qualidade dos ingredientes e dos itens alimentício"&amp;"s. Monitorar o estoque e fazer pedidos quando houver falta de produtos. Garantir que as áreas de preparação e armazenamento de alimentos atendam aos padrões de saúde e segurança. Limpar a área da cozinha e os utensílios de cozinha. Auxiliar na manutenção "&amp;"regular dos equipamentos de cozinha. Classificação do Cargo: 35-2014.00 - Cozinheiros, Restaurante. A classificação e a descrição do cargo/setor incluem informações gerais sobre a posição, de acordo com o ONET/OES e o Sistema de Classificação Industrial d"&amp;"a América do Norte. Consulte as Funções e a Ordem de Serviço para obter mais informações. Requisitos do Cargo: Experiência Necessária: Não. Número de Horas por Semana: 36. Horário de Trabalho (Início/Término): 8h30 - 17h.")</f>
        <v>Preparar e abastecer os itens alimentícios e outros suprimentos necessários. Preparar os itens alimentícios cortando, picando, misturando e preparando molhos. Cozinhar os itens alimentícios grelhando, fritando, refogando e utilizando outros métodos de cozimento, seguindo as receitas e padrões especificados. Manter a limpeza e cumprir os requisitos de higiene alimentar, manuseando os alimentos adequadamente e garantindo o armazenamento correto. Verificar a qualidade dos ingredientes e dos itens alimentícios. Monitorar o estoque e fazer pedidos quando houver falta de produtos. Garantir que as áreas de preparação e armazenamento de alimentos atendam aos padrões de saúde e segurança. Limpar a área da cozinha e os utensílios de cozinha. Auxiliar na manutenção regular dos equipamentos de cozinha. Classificação do Cargo: 35-2014.00 - Cozinheiros, Restaurante. A classificação e a descrição do cargo/setor incluem informações gerais sobre a posição, de acordo com o ONET/OES e o Sistema de Classificação Industrial da América do Norte. Consulte as Funções e a Ordem de Serviço para obter mais informações. Requisitos do Cargo: Experiência Necessária: Não. Número de Horas por Semana: 36. Horário de Trabalho (Início/Término): 8h30 - 17h.</v>
      </c>
    </row>
    <row r="2174" ht="20.25" customHeight="1">
      <c r="A2174" s="3" t="s">
        <v>9685</v>
      </c>
      <c r="B2174" s="3" t="s">
        <v>9686</v>
      </c>
      <c r="C2174" s="3" t="s">
        <v>9687</v>
      </c>
      <c r="D2174" s="3" t="s">
        <v>271</v>
      </c>
      <c r="E2174" s="4" t="s">
        <v>19</v>
      </c>
      <c r="F2174" s="4" t="s">
        <v>20</v>
      </c>
      <c r="G2174" s="4" t="s">
        <v>524</v>
      </c>
      <c r="H2174" s="3" t="s">
        <v>9688</v>
      </c>
      <c r="I2174" s="3" t="s">
        <v>9689</v>
      </c>
      <c r="J2174" s="4">
        <v>19.56</v>
      </c>
      <c r="K2174" s="4">
        <v>11.0</v>
      </c>
      <c r="L2174" s="3" t="s">
        <v>387</v>
      </c>
      <c r="M2174" s="3" t="s">
        <v>9690</v>
      </c>
      <c r="N2174" s="7" t="str">
        <f>IFERROR(__xludf.DUMMYFUNCTION("GOOGLETRANSLATE(L2174, ""en"", ""pt"")"),"Ordem de serviço não disponível")</f>
        <v>Ordem de serviço não disponível</v>
      </c>
      <c r="O2174" s="7" t="str">
        <f>IFERROR(__xludf.DUMMYFUNCTION("IF(M2174="""","""",GOOGLETRANSLATE(M2174,""en"",""pt""))"),"Preparar, temperar e cozinhar pratos como sopas, carnes, legumes ou sobremesas em restaurantes. Pode incluir encomendar suprimentos, manter registros e contas, precificar itens no cardápio ou planejar o cardápio. Classificação da vaga: 35-2014.00 - Cozinh"&amp;"eiros, Restaurante. A classificação e descrição da vaga/setor inclui informações gerais sobre o cargo, de acordo com o ONET/OES e o Sistema de Classificação Industrial da América do Norte (NAICS). Consulte as Funções e a Ordem de Serviço para obter mais i"&amp;"nformações. Requisitos da vaga: Experiência exigida: Sim. Meses de experiência exigidos: 3. Requisitos especiais: Teste de drogas. O teste de drogas é obrigatório antes da contratação. Todos os testes de drogas serão realizados igualmente entre os trabalh"&amp;"adores americanos e os trabalhadores com visto H-2B. Turno diurno, turno noturno, turno rotativo. 40 horas/semana (6h-14h, 16h-22h); vários turnos; de segunda a sexta-feira, podendo incluir fins de semana/feriados. Capacidade de levantar 9 kg. Número de h"&amp;"oras por semana: 40 Horário de trabalho (início/término): 6h00 - 14h00")</f>
        <v>Preparar, temperar e cozinhar pratos como sopas, carnes, legumes ou sobremesas em restaurantes. Pode incluir encomendar suprimentos, manter registros e contas, precificar itens no cardápio ou planejar o cardápio. Classificação da vaga: 35-2014.00 - Cozinheiros, Restaurante. A classificação e descrição da vaga/setor inclui informações gerais sobre o cargo, de acordo com o ONET/OES e o Sistema de Classificação Industrial da América do Norte (NAICS). Consulte as Funções e a Ordem de Serviço para obter mais informações. Requisitos da vaga: Experiência exigida: Sim. Meses de experiência exigidos: 3. Requisitos especiais: Teste de drogas. O teste de drogas é obrigatório antes da contratação. Todos os testes de drogas serão realizados igualmente entre os trabalhadores americanos e os trabalhadores com visto H-2B. Turno diurno, turno noturno, turno rotativo. 40 horas/semana (6h-14h, 16h-22h); vários turnos; de segunda a sexta-feira, podendo incluir fins de semana/feriados. Capacidade de levantar 9 kg. Número de horas por semana: 40 Horário de trabalho (início/término): 6h00 - 14h00</v>
      </c>
    </row>
    <row r="2175" ht="20.25" customHeight="1">
      <c r="A2175" s="8" t="s">
        <v>9691</v>
      </c>
      <c r="B2175" s="8" t="s">
        <v>9686</v>
      </c>
      <c r="C2175" s="8" t="s">
        <v>9397</v>
      </c>
      <c r="D2175" s="8" t="s">
        <v>271</v>
      </c>
      <c r="E2175" s="9" t="s">
        <v>19</v>
      </c>
      <c r="F2175" s="9" t="s">
        <v>20</v>
      </c>
      <c r="G2175" s="9" t="s">
        <v>524</v>
      </c>
      <c r="H2175" s="8" t="s">
        <v>9688</v>
      </c>
      <c r="I2175" s="8" t="s">
        <v>9689</v>
      </c>
      <c r="J2175" s="9">
        <v>23.73</v>
      </c>
      <c r="K2175" s="9">
        <v>10.0</v>
      </c>
      <c r="L2175" s="8" t="s">
        <v>9692</v>
      </c>
      <c r="M2175" s="8" t="s">
        <v>9693</v>
      </c>
      <c r="N2175" s="7" t="str">
        <f>IFERROR(__xludf.DUMMYFUNCTION("GOOGLETRANSLATE(L2175, ""en"", ""pt"")"),"Garçom/Garçonetes")</f>
        <v>Garçom/Garçonetes</v>
      </c>
      <c r="O2175" s="7" t="str">
        <f>IFERROR(__xludf.DUMMYFUNCTION("IF(M2175="""","""",GOOGLETRANSLATE(M2175,""en"",""pt""))"),"Receber pedidos e servir comidas e bebidas aos clientes em mesas de um restaurante sofisticado. Classificação da vaga: 35-3031.00 - Garçons e Garçonetes. A classificação e descrição da vaga/setor inclui informações gerais sobre o cargo, de acordo com o ON"&amp;"ET/OES e o Sistema de Classificação Industrial da América do Norte (NAICS). Consulte as Funções e a Ordem de Serviço para obter mais informações. Requisitos da vaga: Experiência necessária: Sim. Meses de experiência necessários: 3. Requisitos especiais: T"&amp;"este de drogas. O teste de drogas é obrigatório antes da contratação. Todos os testes de drogas serão realizados igualmente entre os trabalhadores americanos e os trabalhadores com visto H-2B. Turnos diurnos, noturnos e rotativos. 40 horas/semana (6h às 1"&amp;"4h e 16h às 22h); vários turnos; de segunda a sexta-feira, podendo incluir fins de semana e feriados. Capacidade de levantar 9 kg. Número de horas por semana: 40. Horário de trabalho (início/término): 6h às 14h.")</f>
        <v>Receber pedidos e servir comidas e bebidas aos clientes em mesas de um restaurante sofisticado. Classificação da vaga: 35-3031.00 - Garçons e Garçonetes. A classificação e descrição da vaga/setor inclui informações gerais sobre o cargo, de acordo com o ONET/OES e o Sistema de Classificação Industrial da América do Norte (NAICS). Consulte as Funções e a Ordem de Serviço para obter mais informações. Requisitos da vaga: Experiência necessária: Sim. Meses de experiência necessários: 3. Requisitos especiais: Teste de drogas. O teste de drogas é obrigatório antes da contratação. Todos os testes de drogas serão realizados igualmente entre os trabalhadores americanos e os trabalhadores com visto H-2B. Turnos diurnos, noturnos e rotativos. 40 horas/semana (6h às 14h e 16h às 22h); vários turnos; de segunda a sexta-feira, podendo incluir fins de semana e feriados. Capacidade de levantar 9 kg. Número de horas por semana: 40. Horário de trabalho (início/término): 6h às 14h.</v>
      </c>
    </row>
    <row r="2176" ht="20.25" customHeight="1">
      <c r="A2176" s="3" t="s">
        <v>9694</v>
      </c>
      <c r="B2176" s="3" t="s">
        <v>9686</v>
      </c>
      <c r="C2176" s="3" t="s">
        <v>9397</v>
      </c>
      <c r="D2176" s="3" t="s">
        <v>271</v>
      </c>
      <c r="E2176" s="4" t="s">
        <v>19</v>
      </c>
      <c r="F2176" s="4" t="s">
        <v>20</v>
      </c>
      <c r="G2176" s="4" t="s">
        <v>524</v>
      </c>
      <c r="H2176" s="3" t="s">
        <v>9688</v>
      </c>
      <c r="I2176" s="3" t="s">
        <v>9689</v>
      </c>
      <c r="J2176" s="4">
        <v>17.66</v>
      </c>
      <c r="K2176" s="4">
        <v>6.0</v>
      </c>
      <c r="L2176" s="3" t="s">
        <v>177</v>
      </c>
      <c r="M2176" s="3" t="s">
        <v>9695</v>
      </c>
      <c r="N2176" s="7" t="str">
        <f>IFERROR(__xludf.DUMMYFUNCTION("GOOGLETRANSLATE(L2176, ""en"", ""pt"")"),"Empregadas domésticas")</f>
        <v>Empregadas domésticas</v>
      </c>
      <c r="O2176" s="7" t="str">
        <f>IFERROR(__xludf.DUMMYFUNCTION("IF(M2176="""","""",GOOGLETRANSLATE(M2176,""en"",""pt""))"),"Esses trabalhadores serão necessários para limpar os quartos de hóspedes diariamente, incluindo a limpeza de banheiros, banheiras, pisos, paredes, espelhos e móveis. Trocar os lençóis diariamente e arrumar de 30 a 36 camas por dia. Este é um trabalho fisi"&amp;"camente exigente. A pessoa deve ter uma atitude positiva, ser confiável e capaz de trabalhar de forma independente. Classificação do Cargo: 37-2012.00 - Camareiras e Auxiliares de Limpeza. A classificação e descrição do cargo/setor inclui informações gera"&amp;"is sobre a posição, de acordo com o ONET/OES e o Sistema de Classificação Industrial da América do Norte (NAICS). Consulte as Funções e a Ordem de Serviço para obter mais informações. Requisitos do Cargo: Experiência Necessária: Sim. Meses de Experiência "&amp;"Necessários: 3. Requisitos Especiais: Teste de drogas. O teste de drogas é obrigatório antes da contratação. Todos os testes de drogas serão realizados igualmente entre os trabalhadores americanos e os trabalhadores com visto H-2B. Turnos diurnos, noturno"&amp;"s e rotativos. 40 horas/semana (6h às 14h e 16h às 22h); vários turnos; de segunda a sexta-feira, podendo incluir fins de semana e feriados. Capacidade de levantar 9 kg. Número de horas por semana: 40. Horário de trabalho (início/término): 6h às 14h.")</f>
        <v>Esses trabalhadores serão necessários para limpar os quartos de hóspedes diariamente, incluindo a limpeza de banheiros, banheiras, pisos, paredes, espelhos e móveis. Trocar os lençóis diariamente e arrumar de 30 a 36 camas por dia. Este é um trabalho fisicamente exigente. A pessoa deve ter uma atitude positiva, ser confiável e capaz de trabalhar de forma independente. Classificação do Cargo: 37-2012.00 - Camareiras e Auxiliares de Limpeza. A classificação e descrição do cargo/setor inclui informações gerais sobre a posição, de acordo com o ONET/OES e o Sistema de Classificação Industrial da América do Norte (NAICS). Consulte as Funções e a Ordem de Serviço para obter mais informações. Requisitos do Cargo: Experiência Necessária: Sim. Meses de Experiência Necessários: 3. Requisitos Especiais: Teste de drogas. O teste de drogas é obrigatório antes da contratação. Todos os testes de drogas serão realizados igualmente entre os trabalhadores americanos e os trabalhadores com visto H-2B. Turnos diurnos, noturnos e rotativos. 40 horas/semana (6h às 14h e 16h às 22h); vários turnos; de segunda a sexta-feira, podendo incluir fins de semana e feriados. Capacidade de levantar 9 kg. Número de horas por semana: 40. Horário de trabalho (início/término): 6h às 14h.</v>
      </c>
    </row>
    <row r="2177" ht="20.25" customHeight="1">
      <c r="A2177" s="8" t="s">
        <v>9696</v>
      </c>
      <c r="B2177" s="8" t="s">
        <v>9697</v>
      </c>
      <c r="C2177" s="8"/>
      <c r="D2177" s="8" t="s">
        <v>102</v>
      </c>
      <c r="E2177" s="9" t="s">
        <v>44</v>
      </c>
      <c r="F2177" s="9" t="s">
        <v>20</v>
      </c>
      <c r="G2177" s="9" t="s">
        <v>229</v>
      </c>
      <c r="H2177" s="8" t="s">
        <v>9698</v>
      </c>
      <c r="I2177" s="8" t="s">
        <v>9699</v>
      </c>
      <c r="J2177" s="9">
        <v>22.41</v>
      </c>
      <c r="K2177" s="9">
        <v>20.0</v>
      </c>
      <c r="L2177" s="8" t="s">
        <v>3465</v>
      </c>
      <c r="M2177" s="8" t="s">
        <v>9700</v>
      </c>
      <c r="N2177" s="7" t="str">
        <f>IFERROR(__xludf.DUMMYFUNCTION("GOOGLETRANSLATE(L2177, ""en"", ""pt"")"),"Montador")</f>
        <v>Montador</v>
      </c>
      <c r="O2177" s="7" t="str">
        <f>IFERROR(__xludf.DUMMYFUNCTION("IF(M2177="""","""",GOOGLETRANSLATE(M2177,""en"",""pt""))"),"***Resposta à Solicitação de Informações*** O trabalho é realizado em canteiros de obras comerciais e residenciais na região metropolitana de Birmingham, Alabama. A Southeast Truss Erectors é uma empresa de construção civil desde 2015, com mais de 10 anos"&amp;" de experiência especializada na fabricação e instalação de treliças de metal e madeira de bitola leve, telhas, painéis de parede, compensado e sistemas de piso de aço para projetos comerciais. Portanto, as instalações ou estabelecimentos onde o trabalho "&amp;"descrito é realizado estão localizados nas dependências de nossos clientes. Os montadores operam máquinas elétricas para fabricar e montar treliças de telhado e suportes estruturais similares utilizados na construção civil. As tarefas específicas incluem:"&amp;" posicionar componentes pré-cortados de metal ou madeira no gabarito de montagem; colocar placas de conexão de metal sobre as juntas; operar ferramentas elétricas para fixar e unir os componentes; verificar as dimensões usando réguas e calibradores; e ins"&amp;"pecionar as treliças finalizadas para garantir a precisão. As ferramentas utilizadas incluem ferramentas para telhados de junta vertical, laminadores de borda, parafusadeiras, martelos, alicates, cortadores de arame, martelos de aplainamento, esmerilhadei"&amp;"ras angulares, guilhotinas turbo, controladores de torque e ferramentas de tensão. As treliças de telhado são feitas de aço leve e madeira. As máquinas utilizadas incluem ferramentas para telhados com juntas de encaixe e laminadoras de borda, usadas espec"&amp;"ificamente para dobrar, moldar e unir painéis de metal para telhados e componentes de treliças. Essas máquinas não envolvem serragem. As tarefas de corte são realizadas com ferramentas manuais, removendo-se apenas frações de polegada para um encaixe perfe"&amp;"ito na instalação do revestimento ou de blocos estruturais, como tesouras turbo, em vez de serras mecânicas. Os montadores produzem ou auxiliam na produção de componentes de treliças, medindo e verificando peças pré-cortadas, encaixando-as de acordo com a"&amp;"s instruções de montagem e fixando placas de conexão de metal nas juntas usando ferramentas manuais e elétricas. As ferramentas utilizadas incluem máquinas de costura manuais, chaves de impacto, martelos, martelos de aplainamento, alicates, cortadores de "&amp;"arame, controladores de torque e parafusadeiras. Os componentes produzidos incluem conjuntos de treliças de metal leve e madeira, painéis de telhado e suportes estruturais usados ​​na construção de edifícios comerciais e residenciais. Os montadores movem "&amp;"as treliças acabadas e os materiais manualmente ou com carrinhos para a área de trabalho ou local de armazenamento apropriado ao final do expediente, mantendo a área limpa e livre de peças perigosas. As tarefas incluem puxar placas de conexão de metal, em"&amp;"pilhar as treliças acabadas, cintar e marcar os materiais e empurrar os carrinhos carregados para a posição correta. As ferramentas e equipamentos utilizados incluem carrinhos de mão, ferramentas de cintagem e materiais de marcação. Os trabalhadores auxil"&amp;"iam no posicionamento de treliças mais pesadas utilizando guindastes de braço. Os trabalhadores não operam guindastes de forma independente, mas auxiliam na orientação e posicionamento das cargas sob a supervisão de um supervisor. ***Original*** O montado"&amp;"r de treliças irá montar materiais pré-cortados, verificar o tamanho de cada peça pré-cortada, a precisão da montagem, utilizando régua e calibradores, encaixando as peças, colocando placas de reforço de metal sobre as juntas de conexão e conectando as pe"&amp;"ças nas juntas, podendo produzir ou auxiliar na produção de componentes de acordo com as instruções. O montador utiliza uma variedade de ferramentas manuais e elétricas para cortar, dobrar, fixar e unir painéis de cobertura metálica. As ferramentas manuai"&amp;"s comuns incluem alicates de corte manual, tesouras de corte de metal, tesouras turbo, chaves de impacto, parafusadeiras, ferramentas de tensão, martelos, controladores de torque, alicates, cortadores de arame, martelos de aplainamento, esmerilhadeiras an"&amp;"gulares e tesouras. Máquinas elétricas para construir treliças e suportes similares usados ​​para telhados, como ferramentas para telhados de junta vertical e laminadores de borda, são usadas para tarefas específicas na construção civil. Pode ser responsá"&amp;"vel por puxar chapas, empilhar o produto acabado, cintar e marcar materiais, e empurrar os produtos para a posição correta manualmente ou com guindaste em carrinhos para a área de trabalho apropriada ou armazená-los no final do dia de trabalho para manter"&amp;" a área limpa e livre de peças perigosas. Classificação do Cargo: 51-2041.00 - Fabricantes e Montadores de Estruturas Metálicas. A classificação e descrição do cargo/setor inclui informações gerais sobre a posição da ONET/OES e do Sistema de Classificação"&amp;" Industrial da América do Norte. Consulte as Funções e a Ordem de Serviço para obter mais informações. Requisitos da Vaga Experiência Necessária: Sim Meses de Experiência Necessários: 3 Requisitos Especiais: Três meses de experiência como montador de trel"&amp;"iças em construções residenciais ou comerciais. Deve ser capaz de se abaixar, levantar e suportar até 23 kg, além de trabalhar em condições climáticas de calor extremo. Não é necessário viajar para fora da região metropolitana, não há treinamento no local"&amp;" de trabalho disponível e não é exigida escolaridade. Exame toxicológico pós-contratação obrigatório, pago pelo empregador. Todos os trabalhadores, americanos e estrangeiros, serão submetidos ao exame da mesma forma. Número de Horas por Semana: 40 Horário"&amp;" de Trabalho (Início/Término): 7h00 - 15h30")</f>
        <v>***Resposta à Solicitação de Informações*** O trabalho é realizado em canteiros de obras comerciais e residenciais na região metropolitana de Birmingham, Alabama. A Southeast Truss Erectors é uma empresa de construção civil desde 2015, com mais de 10 anos de experiência especializada na fabricação e instalação de treliças de metal e madeira de bitola leve, telhas, painéis de parede, compensado e sistemas de piso de aço para projetos comerciais. Portanto, as instalações ou estabelecimentos onde o trabalho descrito é realizado estão localizados nas dependências de nossos clientes. Os montadores operam máquinas elétricas para fabricar e montar treliças de telhado e suportes estruturais similares utilizados na construção civil. As tarefas específicas incluem: posicionar componentes pré-cortados de metal ou madeira no gabarito de montagem; colocar placas de conexão de metal sobre as juntas; operar ferramentas elétricas para fixar e unir os componentes; verificar as dimensões usando réguas e calibradores; e inspecionar as treliças finalizadas para garantir a precisão. As ferramentas utilizadas incluem ferramentas para telhados de junta vertical, laminadores de borda, parafusadeiras, martelos, alicates, cortadores de arame, martelos de aplainamento, esmerilhadeiras angulares, guilhotinas turbo, controladores de torque e ferramentas de tensão. As treliças de telhado são feitas de aço leve e madeira. As máquinas utilizadas incluem ferramentas para telhados com juntas de encaixe e laminadoras de borda, usadas especificamente para dobrar, moldar e unir painéis de metal para telhados e componentes de treliças. Essas máquinas não envolvem serragem. As tarefas de corte são realizadas com ferramentas manuais, removendo-se apenas frações de polegada para um encaixe perfeito na instalação do revestimento ou de blocos estruturais, como tesouras turbo, em vez de serras mecânicas. Os montadores produzem ou auxiliam na produção de componentes de treliças, medindo e verificando peças pré-cortadas, encaixando-as de acordo com as instruções de montagem e fixando placas de conexão de metal nas juntas usando ferramentas manuais e elétricas. As ferramentas utilizadas incluem máquinas de costura manuais, chaves de impacto, martelos, martelos de aplainamento, alicates, cortadores de arame, controladores de torque e parafusadeiras. Os componentes produzidos incluem conjuntos de treliças de metal leve e madeira, painéis de telhado e suportes estruturais usados ​​na construção de edifícios comerciais e residenciais. Os montadores movem as treliças acabadas e os materiais manualmente ou com carrinhos para a área de trabalho ou local de armazenamento apropriado ao final do expediente, mantendo a área limpa e livre de peças perigosas. As tarefas incluem puxar placas de conexão de metal, empilhar as treliças acabadas, cintar e marcar os materiais e empurrar os carrinhos carregados para a posição correta. As ferramentas e equipamentos utilizados incluem carrinhos de mão, ferramentas de cintagem e materiais de marcação. Os trabalhadores auxiliam no posicionamento de treliças mais pesadas utilizando guindastes de braço. Os trabalhadores não operam guindastes de forma independente, mas auxiliam na orientação e posicionamento das cargas sob a supervisão de um supervisor. ***Original*** O montador de treliças irá montar materiais pré-cortados, verificar o tamanho de cada peça pré-cortada, a precisão da montagem, utilizando régua e calibradores, encaixando as peças, colocando placas de reforço de metal sobre as juntas de conexão e conectando as peças nas juntas, podendo produzir ou auxiliar na produção de componentes de acordo com as instruções. O montador utiliza uma variedade de ferramentas manuais e elétricas para cortar, dobrar, fixar e unir painéis de cobertura metálica. As ferramentas manuais comuns incluem alicates de corte manual, tesouras de corte de metal, tesouras turbo, chaves de impacto, parafusadeiras, ferramentas de tensão, martelos, controladores de torque, alicates, cortadores de arame, martelos de aplainamento, esmerilhadeiras angulares e tesouras. Máquinas elétricas para construir treliças e suportes similares usados ​​para telhados, como ferramentas para telhados de junta vertical e laminadores de borda, são usadas para tarefas específicas na construção civil. Pode ser responsável por puxar chapas, empilhar o produto acabado, cintar e marcar materiais, e empurrar os produtos para a posição correta manualmente ou com guindaste em carrinhos para a área de trabalho apropriada ou armazená-los no final do dia de trabalho para manter a área limpa e livre de peças perigosas. Classificação do Cargo: 51-2041.00 - Fabricantes e Montadores de Estruturas Metálicas. A classificação e descrição do cargo/setor inclui informações gerais sobre a posição da ONET/OES e do Sistema de Classificação Industrial da América do Norte. Consulte as Funções e a Ordem de Serviço para obter mais informações. Requisitos da Vaga Experiência Necessária: Sim Meses de Experiência Necessários: 3 Requisitos Especiais: Três meses de experiência como montador de treliças em construções residenciais ou comerciais. Deve ser capaz de se abaixar, levantar e suportar até 23 kg, além de trabalhar em condições climáticas de calor extremo. Não é necessário viajar para fora da região metropolitana, não há treinamento no local de trabalho disponível e não é exigida escolaridade. Exame toxicológico pós-contratação obrigatório, pago pelo empregador. Todos os trabalhadores, americanos e estrangeiros, serão submetidos ao exame da mesma forma. Número de Horas por Semana: 40 Horário de Trabalho (Início/Término): 7h00 - 15h30</v>
      </c>
    </row>
    <row r="2178" ht="20.25" customHeight="1">
      <c r="A2178" s="3" t="s">
        <v>9701</v>
      </c>
      <c r="B2178" s="3" t="s">
        <v>9702</v>
      </c>
      <c r="C2178" s="3"/>
      <c r="D2178" s="3" t="s">
        <v>71</v>
      </c>
      <c r="E2178" s="4" t="s">
        <v>19</v>
      </c>
      <c r="F2178" s="4" t="s">
        <v>20</v>
      </c>
      <c r="G2178" s="4" t="s">
        <v>524</v>
      </c>
      <c r="H2178" s="3" t="s">
        <v>9703</v>
      </c>
      <c r="I2178" s="3" t="s">
        <v>9704</v>
      </c>
      <c r="J2178" s="4">
        <v>23.26</v>
      </c>
      <c r="K2178" s="4">
        <v>3.0</v>
      </c>
      <c r="L2178" s="3" t="s">
        <v>9705</v>
      </c>
      <c r="M2178" s="3" t="s">
        <v>9706</v>
      </c>
      <c r="N2178" s="7" t="str">
        <f>IFERROR(__xludf.DUMMYFUNCTION("GOOGLETRANSLATE(L2178, ""en"", ""pt"")"),"Supervisor de Cozinha 1")</f>
        <v>Supervisor de Cozinha 1</v>
      </c>
      <c r="O2178" s="7" t="str">
        <f>IFERROR(__xludf.DUMMYFUNCTION("IF(M2178="""","""",GOOGLETRANSLATE(M2178,""en"",""pt""))"),"• Gerenciar operações de serviço de alimentação ou partes delas. • Ser capaz de trabalhar com sucesso em todas as estações de cozinha. • Comunicar-se com os clientes para resolver reclamações ou garantir a satisfação. • Cortar alimentos cozidos ou crus. •"&amp;" Ser capaz de executar todas as tarefas e deveres de maneira profissional, pontual e diligente. • Tratar todos os funcionários e tarefas com respeito e espírito de equipe. • Inspecionar a cozinha, os equipamentos e os suprimentos para garantir a conformid"&amp;"ade com os padrões. • Preparar alimentos para cozinhar ou servir. • Treinar a equipe de preparação ou serviço de alimentos. • Limpar áreas de preparação de alimentos, instalações e equipamentos. • Auxiliar os clientes com a disposição das mesas. • Apresen"&amp;"tar informações sobre alimentos e bebidas ou cardápios aos clientes. • A função envolve treinar a equipe, monitorar as operações de serviço de alimentação e realizar atividades de recursos humanos. • Coordenar as atividades da equipe de serviço de aliment"&amp;"ação. • Manter o controle de estoque de alimentos, bebidas e equipamentos. • Coordenar o cronograma das atividades de produção de alimentos. • Monitorar as operações de serviço de alimentação para garantir que os procedimentos sejam seguidos. • Registrar "&amp;"dados operacionais ou de produção. • Estimar as necessidades de suprimentos, ingredientes ou pessoal para as atividades de preparação de alimentos. • Encomendar materiais, suprimentos ou equipamentos. • Agendar a manutenção de equipamentos. • Planejar opç"&amp;"ões de cardápio. • Avaliar a qualidade de materiais ou produtos. Classificação da Função: 35-1012.00 - Supervisores de Primeira Linha de Preparadores e Servidores de Alimentos. A classificação e descrição da função/setor inclui informações gerais sobre o "&amp;"cargo, de acordo com o ONET/OES e o Sistema de Classificação Industrial da América do Norte (NAICS). Consulte as Funções e a Ordem de Serviço para obter mais informações. Requisitos da Função Experiência Necessária: Sim Meses de Experiência Necessários: 1"&amp;"2 Requisitos Especiais: Esta função opera em um clube privado. O funcionário também trabalha em um ambiente quente, úmido e barulhento. O funcionário pode estar exposto a riscos, incluindo, entre outros, cortes, escorregões, tropeções, quedas e queimadura"&amp;"s. A lavagem frequente das mãos é obrigatória. Ao desempenhar as funções deste cargo, o funcionário precisa falar e ouvir regularmente. Esta função é muito ativa e exige ficar em pé e se movimentar por longos períodos. Também exige caminhar, curvar-se, aj"&amp;"oelhar-se, abaixar-se, subir, agachar-se, torcer o corpo ou alcançar, empurrar, puxar ou levantar até 23 kg. Movimentos repetitivos contínuos. Todos os candidatos devem passar por testes de drogas e verificação de antecedentes, incluindo funcionários naci"&amp;"onais e portadores de visto H2B em cargos sazonais, de tempo integral e anuais. Esta vaga exige pelo menos um ano de experiência em cozinha. Número de horas por semana: 35. Horário de trabalho (início/término): 7h às 15h.")</f>
        <v>• Gerenciar operações de serviço de alimentação ou partes delas. • Ser capaz de trabalhar com sucesso em todas as estações de cozinha. • Comunicar-se com os clientes para resolver reclamações ou garantir a satisfação. • Cortar alimentos cozidos ou crus. • Ser capaz de executar todas as tarefas e deveres de maneira profissional, pontual e diligente. • Tratar todos os funcionários e tarefas com respeito e espírito de equipe. • Inspecionar a cozinha, os equipamentos e os suprimentos para garantir a conformidade com os padrões. • Preparar alimentos para cozinhar ou servir. • Treinar a equipe de preparação ou serviço de alimentos. • Limpar áreas de preparação de alimentos, instalações e equipamentos. • Auxiliar os clientes com a disposição das mesas. • Apresentar informações sobre alimentos e bebidas ou cardápios aos clientes. • A função envolve treinar a equipe, monitorar as operações de serviço de alimentação e realizar atividades de recursos humanos. • Coordenar as atividades da equipe de serviço de alimentação. • Manter o controle de estoque de alimentos, bebidas e equipamentos. • Coordenar o cronograma das atividades de produção de alimentos. • Monitorar as operações de serviço de alimentação para garantir que os procedimentos sejam seguidos. • Registrar dados operacionais ou de produção. • Estimar as necessidades de suprimentos, ingredientes ou pessoal para as atividades de preparação de alimentos. • Encomendar materiais, suprimentos ou equipamentos. • Agendar a manutenção de equipamentos. • Planejar opções de cardápio. • Avaliar a qualidade de materiais ou produtos. Classificação da Função: 35-1012.00 - Supervisores de Primeira Linha de Preparadores e Servidores de Alimentos. A classificação e descrição da função/setor inclui informações gerais sobre o cargo, de acordo com o ONET/OES e o Sistema de Classificação Industrial da América do Norte (NAICS). Consulte as Funções e a Ordem de Serviço para obter mais informações. Requisitos da Função Experiência Necessária: Sim Meses de Experiência Necessários: 12 Requisitos Especiais: Esta função opera em um clube privado. O funcionário também trabalha em um ambiente quente, úmido e barulhento. O funcionário pode estar exposto a riscos, incluindo, entre outros, cortes, escorregões, tropeções, quedas e queimaduras. A lavagem frequente das mãos é obrigatória. Ao desempenhar as funções deste cargo, o funcionário precisa falar e ouvir regularmente. Esta função é muito ativa e exige ficar em pé e se movimentar por longos períodos. Também exige caminhar, curvar-se, ajoelhar-se, abaixar-se, subir, agachar-se, torcer o corpo ou alcançar, empurrar, puxar ou levantar até 23 kg. Movimentos repetitivos contínuos. Todos os candidatos devem passar por testes de drogas e verificação de antecedentes, incluindo funcionários nacionais e portadores de visto H2B em cargos sazonais, de tempo integral e anuais. Esta vaga exige pelo menos um ano de experiência em cozinha. Número de horas por semana: 35. Horário de trabalho (início/término): 7h às 15h.</v>
      </c>
    </row>
    <row r="2179" ht="20.25" customHeight="1">
      <c r="A2179" s="8" t="s">
        <v>9707</v>
      </c>
      <c r="B2179" s="8" t="s">
        <v>9702</v>
      </c>
      <c r="C2179" s="8"/>
      <c r="D2179" s="8" t="s">
        <v>71</v>
      </c>
      <c r="E2179" s="9" t="s">
        <v>19</v>
      </c>
      <c r="F2179" s="9" t="s">
        <v>20</v>
      </c>
      <c r="G2179" s="9" t="s">
        <v>524</v>
      </c>
      <c r="H2179" s="8" t="s">
        <v>9703</v>
      </c>
      <c r="I2179" s="8" t="s">
        <v>9704</v>
      </c>
      <c r="J2179" s="9">
        <v>24.46</v>
      </c>
      <c r="K2179" s="9">
        <v>1.0</v>
      </c>
      <c r="L2179" s="8" t="s">
        <v>9708</v>
      </c>
      <c r="M2179" s="8" t="s">
        <v>9709</v>
      </c>
      <c r="N2179" s="7" t="str">
        <f>IFERROR(__xludf.DUMMYFUNCTION("GOOGLETRANSLATE(L2179, ""en"", ""pt"")"),"Comissário Executivo")</f>
        <v>Comissário Executivo</v>
      </c>
      <c r="O2179" s="7" t="str">
        <f>IFERROR(__xludf.DUMMYFUNCTION("IF(M2179="""","""",GOOGLETRANSLATE(M2179,""en"",""pt""))"),"• Supervisionar todas as operações de limpeza e higienização para garantir a limpeza, a higiene e a organização em cozinhas, áreas de armazenamento e instalações de apoio. • Garantir o pleno cumprimento das normas de saúde, segurança e higiene (locais, es"&amp;"taduais e federais). • Gerenciar, treinar, programar e avaliar a equipe de limpeza e higienização para manter a eficiência operacional e altos padrões de qualidade. • Manter o controle do estoque de louças, copos, talheres, equipamentos de cozinha e mater"&amp;"iais de limpeza. • Controlar os custos operacionais e de mão de obra da equipe de limpeza e higienização, mantendo os padrões de qualidade. • Coordenar com o Chef Executivo e a liderança de Alimentos e Bebidas para apoiar as operações diárias e eventos es"&amp;"peciais. • Desenvolver e implementar cronogramas de limpeza, procedimentos de higienização e programas de manutenção preventiva. • Supervisionar o manuseio, o armazenamento e o descarte adequados de resíduos, materiais recicláveis ​​e materiais perigosos."&amp;" • Inspecionar regularmente as cozinhas e as áreas de apoio e corrigir prontamente as deficiências. • Garantir o uso, o cuidado e o armazenamento adequados de todos os equipamentos para minimizar quebras e perdas. • Auxiliar na montagem e desmontagem de b"&amp;"anquetes, eventos e pontos de venda, conforme necessário. • Apoiar auditorias, inspeções sanitárias e revisões internas de garantia da qualidade. Classificação da Função: 35-1012.00 - Supervisores de Primeira Linha de Auxiliares de Preparo e Serviço de Al"&amp;"imentos. A classificação e descrição da função/setor inclui informações gerais sobre o cargo, de acordo com o ONET/OES e o Sistema de Classificação Industrial da América do Norte (NAICS). Consulte as Funções e a Ordem de Serviço para obter mais informaçõe"&amp;"s. Requisitos da Função Experiência Necessária: Não. Requisitos Especiais: Esta função opera em um clube privado, dentro de uma cozinha comercial. O funcionário também trabalha em um ambiente quente, úmido e barulhento. Ao desempenhar as funções deste car"&amp;"go, o funcionário está ocasionalmente exposto a condições úmidas (não relacionadas ao clima), vapores ou partículas em suspensão no ar e produtos químicos tóxicos ou cáusticos. O piso da cozinha pode estar escorregadio devido à umidade e à gordura. Esta f"&amp;"unção utiliza rotineiramente pias, lava-louças e utensílios para limpar equipamentos de cozinha. Os funcionários nesta função estão frequentemente expostos a água quente, trituradores de lixo e produtos químicos de limpeza. O funcionário pode estar expost"&amp;"o a riscos, incluindo, entre outros, cortes, escorregões, tropeções, quedas e queimaduras. A lavagem frequente das mãos é obrigatória. Poderá ser necessário deslocar-se dentro e fora do ambiente de trabalho durante o turno. O nível de ruído no ambiente de"&amp;" trabalho é geralmente moderado. Ao desempenhar as funções deste cargo, o funcionário deverá ficar em pé, caminhar, usar as mãos, alcançar com as mãos e os braços, falar, ouvir e, ocasionalmente, provar ou cheirar. O funcionário poderá ocasionalmente sent"&amp;"ar-se, subir, equilibrar-se, curvar-se, ajoelhar-se, agachar-se ou rastejar. A função envolve frequentemente levantar e/ou mover até 23 kg, incluindo suprimentos e equipamentos de cozinha. As habilidades visuais específicas exigidas incluem visão de perto"&amp;", visão de longe, visão de cores, visão periférica, percepção de profundidade e capacidade de ajustar o foco. Os dias e horários de trabalho variam de acordo com a necessidade. É necessário trabalhar de manhã cedo, frequentemente à noite e nos fins de sem"&amp;"ana, incluindo feriados. Todos os candidatos, incluindo portadores de visto H2B e funcionários em cargos sazonais, de tempo integral e anuais, devem passar por testes de drogas e verificação de antecedentes. Esses padrões se aplicam a todos os candidatos,"&amp;" independentemente de nacionalidade, raça ou sexo. Número de horas por semana: 35. Horário de trabalho (início/término): 7h. - 15h00")</f>
        <v>• Supervisionar todas as operações de limpeza e higienização para garantir a limpeza, a higiene e a organização em cozinhas, áreas de armazenamento e instalações de apoio. • Garantir o pleno cumprimento das normas de saúde, segurança e higiene (locais, estaduais e federais). • Gerenciar, treinar, programar e avaliar a equipe de limpeza e higienização para manter a eficiência operacional e altos padrões de qualidade. • Manter o controle do estoque de louças, copos, talheres, equipamentos de cozinha e materiais de limpeza. • Controlar os custos operacionais e de mão de obra da equipe de limpeza e higienização, mantendo os padrões de qualidade. • Coordenar com o Chef Executivo e a liderança de Alimentos e Bebidas para apoiar as operações diárias e eventos especiais. • Desenvolver e implementar cronogramas de limpeza, procedimentos de higienização e programas de manutenção preventiva. • Supervisionar o manuseio, o armazenamento e o descarte adequados de resíduos, materiais recicláveis ​​e materiais perigosos. • Inspecionar regularmente as cozinhas e as áreas de apoio e corrigir prontamente as deficiências. • Garantir o uso, o cuidado e o armazenamento adequados de todos os equipamentos para minimizar quebras e perdas. • Auxiliar na montagem e desmontagem de banquetes, eventos e pontos de venda, conforme necessário. • Apoiar auditorias, inspeções sanitárias e revisões internas de garantia da qualidade. Classificação da Função: 35-1012.00 - Supervisores de Primeira Linha de Auxiliares de Preparo e Serviço de Alimentos. A classificação e descrição da função/setor inclui informações gerais sobre o cargo, de acordo com o ONET/OES e o Sistema de Classificação Industrial da América do Norte (NAICS). Consulte as Funções e a Ordem de Serviço para obter mais informações. Requisitos da Função Experiência Necessária: Não. Requisitos Especiais: Esta função opera em um clube privado, dentro de uma cozinha comercial. O funcionário também trabalha em um ambiente quente, úmido e barulhento. Ao desempenhar as funções deste cargo, o funcionário está ocasionalmente exposto a condições úmidas (não relacionadas ao clima), vapores ou partículas em suspensão no ar e produtos químicos tóxicos ou cáusticos. O piso da cozinha pode estar escorregadio devido à umidade e à gordura. Esta função utiliza rotineiramente pias, lava-louças e utensílios para limpar equipamentos de cozinha. Os funcionários nesta função estão frequentemente expostos a água quente, trituradores de lixo e produtos químicos de limpeza. O funcionário pode estar exposto a riscos, incluindo, entre outros, cortes, escorregões, tropeções, quedas e queimaduras. A lavagem frequente das mãos é obrigatória. Poderá ser necessário deslocar-se dentro e fora do ambiente de trabalho durante o turno. O nível de ruído no ambiente de trabalho é geralmente moderado. Ao desempenhar as funções deste cargo, o funcionário deverá ficar em pé, caminhar, usar as mãos, alcançar com as mãos e os braços, falar, ouvir e, ocasionalmente, provar ou cheirar. O funcionário poderá ocasionalmente sentar-se, subir, equilibrar-se, curvar-se, ajoelhar-se, agachar-se ou rastejar. A função envolve frequentemente levantar e/ou mover até 23 kg, incluindo suprimentos e equipamentos de cozinha. As habilidades visuais específicas exigidas incluem visão de perto, visão de longe, visão de cores, visão periférica, percepção de profundidade e capacidade de ajustar o foco. Os dias e horários de trabalho variam de acordo com a necessidade. É necessário trabalhar de manhã cedo, frequentemente à noite e nos fins de semana, incluindo feriados. Todos os candidatos, incluindo portadores de visto H2B e funcionários em cargos sazonais, de tempo integral e anuais, devem passar por testes de drogas e verificação de antecedentes. Esses padrões se aplicam a todos os candidatos, independentemente de nacionalidade, raça ou sexo. Número de horas por semana: 35. Horário de trabalho (início/término): 7h. - 15h00</v>
      </c>
    </row>
    <row r="2180" ht="20.25" customHeight="1">
      <c r="A2180" s="3" t="s">
        <v>9710</v>
      </c>
      <c r="B2180" s="3" t="s">
        <v>9702</v>
      </c>
      <c r="C2180" s="3"/>
      <c r="D2180" s="3" t="s">
        <v>71</v>
      </c>
      <c r="E2180" s="4" t="s">
        <v>19</v>
      </c>
      <c r="F2180" s="4" t="s">
        <v>20</v>
      </c>
      <c r="G2180" s="4" t="s">
        <v>524</v>
      </c>
      <c r="H2180" s="3" t="s">
        <v>9703</v>
      </c>
      <c r="I2180" s="3" t="s">
        <v>9704</v>
      </c>
      <c r="J2180" s="4">
        <v>17.39</v>
      </c>
      <c r="K2180" s="4">
        <v>5.0</v>
      </c>
      <c r="L2180" s="3" t="s">
        <v>527</v>
      </c>
      <c r="M2180" s="3" t="s">
        <v>9711</v>
      </c>
      <c r="N2180" s="7" t="str">
        <f>IFERROR(__xludf.DUMMYFUNCTION("GOOGLETRANSLATE(L2180, ""en"", ""pt"")"),"máquina de lavar louça")</f>
        <v>máquina de lavar louça</v>
      </c>
      <c r="O2180" s="7" t="str">
        <f>IFERROR(__xludf.DUMMYFUNCTION("IF(M2180="""","""",GOOGLETRANSLATE(M2180,""en"",""pt""))"),"***Resposta à Solicitação de Informações*** O suporte relacionado à limpeza/cozinha se refere apenas à higienização: limpar superfícies de aço inoxidável, balcões, prateleiras e a parte externa de equipamentos; limpar ralos e tapetes; reabastecer estações"&amp;" de lavagem de mãos; limpar superfícies/pisos de banheiros conforme instruções; remover lixo, materiais recicláveis ​​e restos de comida. Não inclui preparo de alimentos, cozimento, empratamento, montagem ou atendimento ao público. As tarefas em eventos s"&amp;"e limitam à lavagem de louça e ao suporte à higienização: transportar pratos, copos, talheres e travessas limpos para as áreas de montagem do evento; organizar bacias de recolhimento, escorredores de pratos e baldes com desinfetante; coletar, separar, lav"&amp;"ar e armazenar utensílios usados ​​durante e após os eventos; limpar áreas de lavagem de louça e lavar o chão; remover lixo/restos de comida. Ferramentas/equipamentos: máquinas de lavar louça, pias, bicos de pulverização, escorredores de pratos, bacias de"&amp;" recolhimento, carrinhos, escovas de limpeza, desinfetante, desengordurantes, esfregões, vassouras, luvas, lixeiras. O trabalho é realizado em cozinhas comerciais de clubes privados, áreas de lavagem de louça, espaços de apoio adjacentes e para coleta de "&amp;"eventos em salões de banquetes, salas de jantar e áreas de eventos ao ar livre. ***Original*** • Separar, raspar e enxaguar pratos, copos, talheres, panelas, frigideiras e utensílios de cozinha sujos. • Colocar os itens nas máquinas de lavar louça ou lavá"&amp;"-los à mão, conforme necessário. • Descarregar, empilhar e armazenar adequadamente pratos, utensílios e equipamentos de cozinha limpos. • Lavar novamente os itens que não estiverem devidamente limpos antes de serem armazenados ou usados. • Trocar a água e"&amp;" as soluções de limpeza da máquina de lavar louça conforme necessário. • Lavar panelas, frigideiras, bandejas e utensílios de cozinha à mão. • Manter a limpeza da área de lavagem de louça, incluindo pias, máquinas, escorredores e pisos. • Limpar e enrolar"&amp;" ou desenrolar os tapetes de chão. • Montar e desmontar a estação de lavagem de louça no início e no final dos turnos atribuídos. • Limpar e trocar a água e as soluções de limpeza da máquina de lavar louça pelo menos uma vez por hora ou com mais frequênci"&amp;"a, conforme exigido pelas normas de higiene. • Encher e esvaziar tanques de imersão com soluções de limpeza e desinfecção. • Varrer e lavar o chão da cozinha e limpar derramamentos para evitar riscos de escorregamento. • Remover o lixo e os resíduos para "&amp;"as lixeiras designadas. • Manter a área ao redor das lixeiras limpa e organizada para garantir segurança e higiene. • Executar tarefas gerais de limpeza na cozinha, refeitório ou banheiros, conforme instruções. • Montar e desmontar equipamentos de lavagem"&amp;" de louça para limpeza. • Monitorar as temperaturas da máquina de lavar louça e relatar problemas à gerência. • Seguir todos os procedimentos de sanitização, higiene e segurança, incluindo a lavagem adequada das mãos. • Executar outras tarefas de limpeza "&amp;"e apoio à cozinha, conforme designado. • Auxiliar na montagem, serviço e desmontagem de eventos de alimentos e bebidas e eventos privados. Classificação do Cargo: 37-2011.00 - Zeladores e Faxineiros, Exceto Empregadas Domésticas e Faxineiras. A classifica"&amp;"ção e descrição do cargo/setor inclui informações gerais sobre a posição, de acordo com o ONET/OES e o Sistema de Classificação Industrial da América do Norte. Consulte as Funções e a Ordem de Serviço para obter mais informações. Requisitos da Vaga Experi"&amp;"ência Necessária: Não Requisitos Especiais: Esta posição opera em um clube privado, dentro de uma cozinha comercial. O funcionário também trabalha em um ambiente quente, úmido e barulhento. Ao desempenhar as funções deste cargo, o funcionário está ocasion"&amp;"almente exposto a condições úmidas (não relacionadas ao clima), vapores ou partículas em suspensão no ar e produtos químicos tóxicos ou cáusticos. O piso da cozinha pode estar escorregadio devido à umidade e à gordura. Esta função utiliza rotineiramente p"&amp;"ias, lava-louças e utensílios para limpar os equipamentos da cozinha. Os funcionários nesta função estão frequentemente expostos a água quente, pisos potencialmente escorregadios, triturador de lixo e produtos químicos de limpeza. O funcionário pode estar"&amp;" exposto a riscos, incluindo, entre outros, cortes, escorregões, tropeções, quedas e queimaduras. A lavagem frequente das mãos é necessária. O nível de ruído no ambiente de trabalho é geralmente moderado. Ao desempenhar as funções deste cargo, o funcionár"&amp;"io precisa falar e ouvir regularmente. Esta posição é muito ativa e exige ficar em pé e se movimentar por longos períodos. A função também exige caminhar, curvar-se, ajoelhar-se, inclinar-se, subir, agachar-se, torcer o corpo, alcançar objetos e realizar "&amp;"movimentos repetitivos contínuos. Pode ser necessário levantar até 23 kg e empurrar ou puxar até 34 kg em um carrinho com rodas. Pode exigir deslocamento entre ambientes internos e externos e alcance frequente de objetos acima da cabeça. A força e a coord"&amp;"enação dos braços devem ser suficientes para carregar pratos de comida, copos e garrafas e servir em bandejas grandes. Todos os candidatos, incluindo portadores de visto H2B e funcionários em cargos sazonais, de tempo integral e anuais, devem passar por t"&amp;"estes de drogas e verificação de antecedentes. Esses padrões se aplicam a todos os candidatos, independentemente de nacionalidade, raça ou sexo. Número de horas por semana: 35. Horário de trabalho (início/término): 7h às 15h.")</f>
        <v>***Resposta à Solicitação de Informações*** O suporte relacionado à limpeza/cozinha se refere apenas à higienização: limpar superfícies de aço inoxidável, balcões, prateleiras e a parte externa de equipamentos; limpar ralos e tapetes; reabastecer estações de lavagem de mãos; limpar superfícies/pisos de banheiros conforme instruções; remover lixo, materiais recicláveis ​​e restos de comida. Não inclui preparo de alimentos, cozimento, empratamento, montagem ou atendimento ao público. As tarefas em eventos se limitam à lavagem de louça e ao suporte à higienização: transportar pratos, copos, talheres e travessas limpos para as áreas de montagem do evento; organizar bacias de recolhimento, escorredores de pratos e baldes com desinfetante; coletar, separar, lavar e armazenar utensílios usados ​​durante e após os eventos; limpar áreas de lavagem de louça e lavar o chão; remover lixo/restos de comida. Ferramentas/equipamentos: máquinas de lavar louça, pias, bicos de pulverização, escorredores de pratos, bacias de recolhimento, carrinhos, escovas de limpeza, desinfetante, desengordurantes, esfregões, vassouras, luvas, lixeiras. O trabalho é realizado em cozinhas comerciais de clubes privados, áreas de lavagem de louça, espaços de apoio adjacentes e para coleta de eventos em salões de banquetes, salas de jantar e áreas de eventos ao ar livre. ***Original*** • Separar, raspar e enxaguar pratos, copos, talheres, panelas, frigideiras e utensílios de cozinha sujos. • Colocar os itens nas máquinas de lavar louça ou lavá-los à mão, conforme necessário. • Descarregar, empilhar e armazenar adequadamente pratos, utensílios e equipamentos de cozinha limpos. • Lavar novamente os itens que não estiverem devidamente limpos antes de serem armazenados ou usados. • Trocar a água e as soluções de limpeza da máquina de lavar louça conforme necessário. • Lavar panelas, frigideiras, bandejas e utensílios de cozinha à mão. • Manter a limpeza da área de lavagem de louça, incluindo pias, máquinas, escorredores e pisos. • Limpar e enrolar ou desenrolar os tapetes de chão. • Montar e desmontar a estação de lavagem de louça no início e no final dos turnos atribuídos. • Limpar e trocar a água e as soluções de limpeza da máquina de lavar louça pelo menos uma vez por hora ou com mais frequência, conforme exigido pelas normas de higiene. • Encher e esvaziar tanques de imersão com soluções de limpeza e desinfecção. • Varrer e lavar o chão da cozinha e limpar derramamentos para evitar riscos de escorregamento. • Remover o lixo e os resíduos para as lixeiras designadas. • Manter a área ao redor das lixeiras limpa e organizada para garantir segurança e higiene. • Executar tarefas gerais de limpeza na cozinha, refeitório ou banheiros, conforme instruções. • Montar e desmontar equipamentos de lavagem de louça para limpeza. • Monitorar as temperaturas da máquina de lavar louça e relatar problemas à gerência. • Seguir todos os procedimentos de sanitização, higiene e segurança, incluindo a lavagem adequada das mãos. • Executar outras tarefas de limpeza e apoio à cozinha, conforme designado. • Auxiliar na montagem, serviço e desmontagem de eventos de alimentos e bebidas e eventos privados. Classificação do Cargo: 37-2011.00 - Zeladores e Faxineiros, Exceto Empregadas Domésticas e Faxineiras. A classificação e descrição do cargo/setor inclui informações gerais sobre a posição, de acordo com o ONET/OES e o Sistema de Classificação Industrial da América do Norte. Consulte as Funções e a Ordem de Serviço para obter mais informações. Requisitos da Vaga Experiência Necessária: Não Requisitos Especiais: Esta posição opera em um clube privado, dentro de uma cozinha comercial. O funcionário também trabalha em um ambiente quente, úmido e barulhento. Ao desempenhar as funções deste cargo, o funcionário está ocasionalmente exposto a condições úmidas (não relacionadas ao clima), vapores ou partículas em suspensão no ar e produtos químicos tóxicos ou cáusticos. O piso da cozinha pode estar escorregadio devido à umidade e à gordura. Esta função utiliza rotineiramente pias, lava-louças e utensílios para limpar os equipamentos da cozinha. Os funcionários nesta função estão frequentemente expostos a água quente, pisos potencialmente escorregadios, triturador de lixo e produtos químicos de limpeza. O funcionário pode estar exposto a riscos, incluindo, entre outros, cortes, escorregões, tropeções, quedas e queimaduras. A lavagem frequente das mãos é necessária. O nível de ruído no ambiente de trabalho é geralmente moderado. Ao desempenhar as funções deste cargo, o funcionário precisa falar e ouvir regularmente. Esta posição é muito ativa e exige ficar em pé e se movimentar por longos períodos. A função também exige caminhar, curvar-se, ajoelhar-se, inclinar-se, subir, agachar-se, torcer o corpo, alcançar objetos e realizar movimentos repetitivos contínuos. Pode ser necessário levantar até 23 kg e empurrar ou puxar até 34 kg em um carrinho com rodas. Pode exigir deslocamento entre ambientes internos e externos e alcance frequente de objetos acima da cabeça. A força e a coordenação dos braços devem ser suficientes para carregar pratos de comida, copos e garrafas e servir em bandejas grandes. Todos os candidatos, incluindo portadores de visto H2B e funcionários em cargos sazonais, de tempo integral e anuais, devem passar por testes de drogas e verificação de antecedentes. Esses padrões se aplicam a todos os candidatos, independentemente de nacionalidade, raça ou sexo. Número de horas por semana: 35. Horário de trabalho (início/término): 7h às 15h.</v>
      </c>
    </row>
    <row r="2181" ht="20.25" customHeight="1">
      <c r="A2181" s="8" t="s">
        <v>9712</v>
      </c>
      <c r="B2181" s="8" t="s">
        <v>9702</v>
      </c>
      <c r="C2181" s="8"/>
      <c r="D2181" s="8" t="s">
        <v>71</v>
      </c>
      <c r="E2181" s="9" t="s">
        <v>19</v>
      </c>
      <c r="F2181" s="9" t="s">
        <v>20</v>
      </c>
      <c r="G2181" s="9" t="s">
        <v>524</v>
      </c>
      <c r="H2181" s="8" t="s">
        <v>9703</v>
      </c>
      <c r="I2181" s="8" t="s">
        <v>9704</v>
      </c>
      <c r="J2181" s="9">
        <v>21.48</v>
      </c>
      <c r="K2181" s="9">
        <v>7.0</v>
      </c>
      <c r="L2181" s="8" t="s">
        <v>1684</v>
      </c>
      <c r="M2181" s="8" t="s">
        <v>9713</v>
      </c>
      <c r="N2181" s="7" t="str">
        <f>IFERROR(__xludf.DUMMYFUNCTION("GOOGLETRANSLATE(L2181, ""en"", ""pt"")"),"Barman")</f>
        <v>Barman</v>
      </c>
      <c r="O2181" s="7" t="str">
        <f>IFERROR(__xludf.DUMMYFUNCTION("IF(M2181="""","""",GOOGLETRANSLATE(M2181,""en"",""pt""))"),"Atenda os sócios e convidados, anotando os pedidos de bebidas e preparando-as de acordo com as receitas padronizadas. Comunique-se com os sócios e convidados de maneira profissional para oferecer um serviço de alimentos e bebidas eficaz. Trabalhe em conju"&amp;"nto com a equipe do Clube para manter um ambiente agradável e um serviço de alimentos e bebidas eficiente. Abasteça o bar com cerveja, vinho, bebidas destiladas e suprimentos relacionados, como gelo, copos, guardanapos e canudos. Misture bebidas destilada"&amp;"s, refrigerante, água, açúcar e bitters para preparar coquetéis e outras bebidas. Anote os pedidos de bebidas feitos pela equipe de atendimento ou diretamente dos clientes. Prepare acompanhamentos básicos, como picles, queijo e frios, conforme necessário."&amp;" Insira os pedidos de alimentos e bebidas com precisão no sistema de ponto de venda antes do preparo. Organize garrafas e copos para manter uma apresentação atraente, de acordo com os padrões do Clube. Limpe copos, utensílios e equipamentos do bar. Sirva "&amp;"bebidas alcoólicas de forma responsável, em conformidade com as leis locais e da Flórida sobre o serviço de bebidas alcoólicas. Mantenha as contas do bar abertas para os clientes durante o serviço e, geralmente, as coloque à frente deles. Aprenda os nomes"&amp;", profissões e bebidas favoritas dos sócios e convidados para tornar o Clube um lugar especial para eles. Executar as tarefas de abertura e fechamento conforme atribuídas. Antecipar as necessidades dos clientes. Seguir a regra de um terço ao oferecer outr"&amp;"a bebida. Estar atento aos sinais dos clientes (levantar a mão, fazer contato visual, etc.) e reconhecer a presença deles para que saibam que o barman os atenderá em breve. Aprender os nomes, profissões e bebidas favoritas dos clientes para tornar o Clube"&amp;" um lugar especial para eles. Executar outras tarefas relacionadas, conforme atribuídas, que sejam compatíveis com a função de Barman. Classificação da Função: 35-3011.00 - Barmans. A classificação e descrição da função/setor incluem informações gerais so"&amp;"bre o cargo, de acordo com o ONET/OES e o Sistema de Classificação Industrial da América do Norte. Consulte as Funções e a Ordem de Serviço para obter mais informações. Requisitos da Função: Experiência Necessária: Não. Requisitos Especiais: Esta função o"&amp;"pera em um clube privado. O funcionário fica exposto às condições climáticas enquanto serve os clientes ao ar livre. As áreas de trabalho podem ser movimentadas e barulhentas. O funcionário pode fazer viagens frequentes à cozinha, onde o ar pode ser úmido"&amp;", quente e com odor de alimentos sendo preparados. O piso pode estar escorregadio devido à umidade e à gordura. O funcionário pode estar exposto a riscos, incluindo, entre outros, cortes, escorregões, tropeções, quedas e queimaduras. A lavagem frequente d"&amp;"as mãos é obrigatória. Deve ser capaz de trabalhar em um ambiente externo sem ar-condicionado. Este trabalho é realizado atrás do balcão do bar e pode envolver proximidade com colegas de trabalho. O nível de ruído no ambiente de trabalho pode ser alto. Ao"&amp;" desempenhar as funções deste cargo, o funcionário precisa falar e ouvir regularmente. Esta posição é muito ativa e exige ficar em pé e se movimentar por longos períodos. Há constante deslocamento entre ambientes internos e externos. Esta posição exige ca"&amp;"minhar, curvar-se, ajoelhar-se, inclinar-se e agachar-se. O trabalho pode exigir o transporte/levantamento ocasional de até 23 kg e o empurrar e puxar de até 34 kg sem ajuda, com alcance frequente acima da cabeça. A força e a coordenação dos braços devem "&amp;"ser suficientes para carregar pratos de comida, copos e garrafas e servir em bandejas grandes. Boa visão de perto e de longe e capacidade de ajustar o foco entre as duas. Esta posição exige regularmente longas jornadas de trabalho e trabalho frequente nos"&amp;" fins de semana e feriados. Todos os candidatos devem passar por testes de drogas e verificação de antecedentes, incluindo vistos nacionais e H2B. As vagas são para funcionários temporários, em tempo integral e anuais. Esses padrões se aplicam a todos os "&amp;"candidatos, independentemente de nacionalidade, raça ou sexo. Número de horas por semana: 35. Horário de trabalho (início/término): 7h às 15h.")</f>
        <v>Atenda os sócios e convidados, anotando os pedidos de bebidas e preparando-as de acordo com as receitas padronizadas. Comunique-se com os sócios e convidados de maneira profissional para oferecer um serviço de alimentos e bebidas eficaz. Trabalhe em conjunto com a equipe do Clube para manter um ambiente agradável e um serviço de alimentos e bebidas eficiente. Abasteça o bar com cerveja, vinho, bebidas destiladas e suprimentos relacionados, como gelo, copos, guardanapos e canudos. Misture bebidas destiladas, refrigerante, água, açúcar e bitters para preparar coquetéis e outras bebidas. Anote os pedidos de bebidas feitos pela equipe de atendimento ou diretamente dos clientes. Prepare acompanhamentos básicos, como picles, queijo e frios, conforme necessário. Insira os pedidos de alimentos e bebidas com precisão no sistema de ponto de venda antes do preparo. Organize garrafas e copos para manter uma apresentação atraente, de acordo com os padrões do Clube. Limpe copos, utensílios e equipamentos do bar. Sirva bebidas alcoólicas de forma responsável, em conformidade com as leis locais e da Flórida sobre o serviço de bebidas alcoólicas. Mantenha as contas do bar abertas para os clientes durante o serviço e, geralmente, as coloque à frente deles. Aprenda os nomes, profissões e bebidas favoritas dos sócios e convidados para tornar o Clube um lugar especial para eles. Executar as tarefas de abertura e fechamento conforme atribuídas. Antecipar as necessidades dos clientes. Seguir a regra de um terço ao oferecer outra bebida. Estar atento aos sinais dos clientes (levantar a mão, fazer contato visual, etc.) e reconhecer a presença deles para que saibam que o barman os atenderá em breve. Aprender os nomes, profissões e bebidas favoritas dos clientes para tornar o Clube um lugar especial para eles. Executar outras tarefas relacionadas, conforme atribuídas, que sejam compatíveis com a função de Barman. Classificação da Função: 35-3011.00 - Barmans. A classificação e descrição da função/setor incluem informações gerais sobre o cargo, de acordo com o ONET/OES e o Sistema de Classificação Industrial da América do Norte. Consulte as Funções e a Ordem de Serviço para obter mais informações. Requisitos da Função: Experiência Necessária: Não. Requisitos Especiais: Esta função opera em um clube privado. O funcionário fica exposto às condições climáticas enquanto serve os clientes ao ar livre. As áreas de trabalho podem ser movimentadas e barulhentas. O funcionário pode fazer viagens frequentes à cozinha, onde o ar pode ser úmido, quente e com odor de alimentos sendo preparados. O piso pode estar escorregadio devido à umidade e à gordura. O funcionário pode estar exposto a riscos, incluindo, entre outros, cortes, escorregões, tropeções, quedas e queimaduras. A lavagem frequente das mãos é obrigatória. Deve ser capaz de trabalhar em um ambiente externo sem ar-condicionado. Este trabalho é realizado atrás do balcão do bar e pode envolver proximidade com colegas de trabalho. O nível de ruído no ambiente de trabalho pode ser alto. Ao desempenhar as funções deste cargo, o funcionário precisa falar e ouvir regularmente. Esta posição é muito ativa e exige ficar em pé e se movimentar por longos períodos. Há constante deslocamento entre ambientes internos e externos. Esta posição exige caminhar, curvar-se, ajoelhar-se, inclinar-se e agachar-se. O trabalho pode exigir o transporte/levantamento ocasional de até 23 kg e o empurrar e puxar de até 34 kg sem ajuda, com alcance frequente acima da cabeça. A força e a coordenação dos braços devem ser suficientes para carregar pratos de comida, copos e garrafas e servir em bandejas grandes. Boa visão de perto e de longe e capacidade de ajustar o foco entre as duas. Esta posição exige regularmente longas jornadas de trabalho e trabalho frequente nos fins de semana e feriados. Todos os candidatos devem passar por testes de drogas e verificação de antecedentes, incluindo vistos nacionais e H2B. As vagas são para funcionários temporários, em tempo integral e anuais. Esses padrões se aplicam a todos os candidatos, independentemente de nacionalidade, raça ou sexo. Número de horas por semana: 35. Horário de trabalho (início/término): 7h às 15h.</v>
      </c>
    </row>
    <row r="2182" ht="20.25" customHeight="1">
      <c r="A2182" s="3" t="s">
        <v>9714</v>
      </c>
      <c r="B2182" s="3" t="s">
        <v>9702</v>
      </c>
      <c r="C2182" s="3"/>
      <c r="D2182" s="3" t="s">
        <v>71</v>
      </c>
      <c r="E2182" s="4" t="s">
        <v>19</v>
      </c>
      <c r="F2182" s="4" t="s">
        <v>20</v>
      </c>
      <c r="G2182" s="4" t="s">
        <v>524</v>
      </c>
      <c r="H2182" s="3" t="s">
        <v>9703</v>
      </c>
      <c r="I2182" s="3" t="s">
        <v>9704</v>
      </c>
      <c r="J2182" s="4">
        <v>17.39</v>
      </c>
      <c r="K2182" s="4">
        <v>11.0</v>
      </c>
      <c r="L2182" s="3" t="s">
        <v>9715</v>
      </c>
      <c r="M2182" s="3" t="s">
        <v>9716</v>
      </c>
      <c r="N2182" s="7" t="str">
        <f>IFERROR(__xludf.DUMMYFUNCTION("GOOGLETRANSLATE(L2182, ""en"", ""pt"")"),"Atendente de Alimentos e Bebidas")</f>
        <v>Atendente de Alimentos e Bebidas</v>
      </c>
      <c r="O2182" s="7" t="str">
        <f>IFERROR(__xludf.DUMMYFUNCTION("IF(M2182="""","""",GOOGLETRANSLATE(M2182,""en"",""pt""))"),"***Resposta à Solicitação de Informações*** As solicitações dos hóspedes se limitam a serviços básicos, como fornecer guardanapos extras, utensílios, condimentos, talheres, pão, manteiga, biscoitos, repor água/bebidas não alcoólicas, buscar cadeiras altas"&amp;"/assentos elevatórios, retirar pratos/copos usados, direcionar os hóspedes para as áreas comuns e transmitir pedidos especiais ao garçom ou à cozinha. Ferramentas/equipamentos: bandejas de servir, bacias de apoio, jarras de água, garrafas térmicas para be"&amp;"bidas, porta-condimentos, panos de limpeza, desinfetante. O acesso ao sistema de ponto de venda (PDV) é feito somente sob supervisão direta do garçom, após este anotar o pedido; o funcionário não anota pedidos ou processa pagamentos de forma independente."&amp;" O trabalho é realizado em salas de jantar privativas do clube, áreas de serviço à beira da piscina/praia e salões de banquetes/eventos. As tarefas em banquetes/eventos incluem mover/posicionar mesas e cadeiras dobráveis, colocar toalhas de mesa, dispor i"&amp;"tens de buffet, sinalização e decoração, retirar utensílios/toalhas de mesa, limpar e desinfetar mesas/equipamentos, guardar itens no depósito e varrer/lavar as áreas do evento. Equipamentos/materiais: mesas dobráveis, cadeiras empilháveis, carrinhos de m"&amp;"ão, carrinhos com rodinhas, rechauds, utensílios para servir, dispensadores de bebidas, toalhas de mesa, prendedores de mesa, suportes para sinalização, bacias de limpeza, vassouras, esfregões. ***Original*** O Atendente de Alimentos e Bebidas apoia o dep"&amp;"artamento de alimentos e bebidas, auxiliando garçons e equipe de serviço nas operações do salão de jantar, área da piscina, banquetes e eventos. As funções incluem limpar e preparar mesas, levar comida, repor suprimentos, assistência básica aos hóspedes e"&amp;" manter a limpeza e organização das áreas de serviço. O cargo também auxilia os garçons com funções limitadas relacionadas ao serviço, sob supervisão. • Limpar mesas e descarregar bandejas na cozinha, separando adequadamente pratos, talheres e toalhas de "&amp;"mesa. • Retirar pratos das mesas entre os pratos e preparar as mesas conforme necessário. • Ajudar a servir comida, carregar bandejas, reabastecer copos de água e bebidas não alcoólicas. • Atuar como elo de ligação entre a equipe do salão de jantar e a eq"&amp;"uipe da cozinha para garantir um serviço rápido e preciso. • Lidar com solicitações rotineiras e improvisadas de membros e hóspedes de maneira cortês. • Auxiliar os garçons, inserindo os pedidos com precisão no sistema de ponto de venda (PDV) e confirmand"&amp;"o o envio dos pedidos para a cozinha ou bar. • Responder às perguntas dos clientes sobre os itens do cardápio de forma informativa e prestativa. • Auxiliar na preparação das mesas antes do serviço, com os utensílios, guardanapos, toalhas de mesa e decoraç"&amp;"ões adequados. • Organizar e reorganizar mesas e cadeiras para acomodar refeições regulares, grupos grandes e eventos de banquete. • Auxiliar na montagem de estações de buffet, mesas, sinalização e decorações. • Auxiliar na movimentação, montagem e desmon"&amp;"tagem de mesas de banquete e do salão de jantar, bem como de equipamentos de alimentos e bebidas para eventos e funções privadas. • Auxiliar na remoção, armazenamento e limpeza de equipamentos de banquete após os eventos. • Auxiliar na coleta de toalhas d"&amp;"e piscina, pratos e lixo usados ​​nas áreas da piscina ou praia. • Esvaziar os recipientes de toalhas usadas, abastecer os recipientes de toalhas limpas e entregar as toalhas usadas à equipe de limpeza. • Preparar cadeiras de piscina, mesas, móveis de esp"&amp;"reguiçadeira e toalhas para o serviço de alimentos e bebidas na piscina ou praia. • Separar, polir e guardar talheres e copos limpos. • Garantir que as áreas de refeição estejam devidamente abastecidas com utensílios, guardanapos, copos, toalhas de mesa, "&amp;"decorações e itens de serviço, como pão, manteiga ou biscoitos. • Limpar a poeira de móveis de madeira, lavar espelhos, aspirar carpetes, limpar e encerar pisos e auxiliar na limpeza de derramamentos. • Manter um ambiente de serviço limpo, seguro e organi"&amp;"zado em todos os momentos. • Outras tarefas conforme atribuídas. Classificação do Cargo: 37-2011.00 - Zeladores e Faxineiros, exceto Empregadas Domésticas e Faxineiras. A classificação e descrição do cargo/setor inclui informações gerais sobre a posição, "&amp;"de acordo com o ONET/OES e o Sistema de Classificação Industrial da América do Norte. Consulte as Funções e a Ordem de Serviço para obter mais informações. Requisitos do Cargo Experiência Necessária: Não Requisitos Especiais: Esta posição opera em um club"&amp;"e privado. As áreas de trabalho podem ser lotadas e barulhentas. As condições de trabalho são frequentemente quentes, úmidas, escorregadias e molhadas. Capacidade de tolerar o cheiro de cloro e a exposição frequente a produtos de limpeza. O funcionário fi"&amp;"ca exposto às condições climáticas ao atender os clientes ao ar livre. O funcionário faz viagens frequentes à cozinha, onde o ar pode ser úmido, quente e com odores provenientes do preparo de alimentos ou de piscinas. O piso da cozinha pode estar escorreg"&amp;"adio devido à umidade e à gordura. O funcionário pode estar exposto a riscos, incluindo, entre outros, cortes, escorregões, tropeções, quedas e queimaduras. A lavagem frequente das mãos é obrigatória. Uso frequente de escadas, diariamente. Ao desempenhar "&amp;"as funções deste cargo, o funcionário precisa falar e ouvir regularmente. Esta posição é ativa e exige ficar em pé, caminhar, curvar-se, ajoelhar-se, inclinar-se, esticar-se, torcer o corpo ou alcançar objetos, subir escadas, manter o equilíbrio e agachar"&amp;"-se – movimentos repetitivos contínuos. Esforço físico por longos períodos. A posição pode exigir o levantamento ocasional de produtos com peso superior a 23 kg e o empurrar ou puxar um carrinho com rodas de até 34 kg, além de alcançar objetos acima da ca"&amp;"beça com frequência. Esta posição exige regularmente longas jornadas de trabalho e trabalho frequente nos fins de semana e feriados. Todos os candidatos devem ser aprovados em testes de drogas e verificação de antecedentes, incluindo funcionários nacionai"&amp;"s e com visto H2B em cargos sazonais, de tempo integral ou anuais. Essas normas se aplicam a todos os candidatos, independentemente de nacionalidade, raça ou gênero. Número de horas por semana: 35. Horário de trabalho (início/término): 7h às 15h.")</f>
        <v>***Resposta à Solicitação de Informações*** As solicitações dos hóspedes se limitam a serviços básicos, como fornecer guardanapos extras, utensílios, condimentos, talheres, pão, manteiga, biscoitos, repor água/bebidas não alcoólicas, buscar cadeiras altas/assentos elevatórios, retirar pratos/copos usados, direcionar os hóspedes para as áreas comuns e transmitir pedidos especiais ao garçom ou à cozinha. Ferramentas/equipamentos: bandejas de servir, bacias de apoio, jarras de água, garrafas térmicas para bebidas, porta-condimentos, panos de limpeza, desinfetante. O acesso ao sistema de ponto de venda (PDV) é feito somente sob supervisão direta do garçom, após este anotar o pedido; o funcionário não anota pedidos ou processa pagamentos de forma independente. O trabalho é realizado em salas de jantar privativas do clube, áreas de serviço à beira da piscina/praia e salões de banquetes/eventos. As tarefas em banquetes/eventos incluem mover/posicionar mesas e cadeiras dobráveis, colocar toalhas de mesa, dispor itens de buffet, sinalização e decoração, retirar utensílios/toalhas de mesa, limpar e desinfetar mesas/equipamentos, guardar itens no depósito e varrer/lavar as áreas do evento. Equipamentos/materiais: mesas dobráveis, cadeiras empilháveis, carrinhos de mão, carrinhos com rodinhas, rechauds, utensílios para servir, dispensadores de bebidas, toalhas de mesa, prendedores de mesa, suportes para sinalização, bacias de limpeza, vassouras, esfregões. ***Original*** O Atendente de Alimentos e Bebidas apoia o departamento de alimentos e bebidas, auxiliando garçons e equipe de serviço nas operações do salão de jantar, área da piscina, banquetes e eventos. As funções incluem limpar e preparar mesas, levar comida, repor suprimentos, assistência básica aos hóspedes e manter a limpeza e organização das áreas de serviço. O cargo também auxilia os garçons com funções limitadas relacionadas ao serviço, sob supervisão. • Limpar mesas e descarregar bandejas na cozinha, separando adequadamente pratos, talheres e toalhas de mesa. • Retirar pratos das mesas entre os pratos e preparar as mesas conforme necessário. • Ajudar a servir comida, carregar bandejas, reabastecer copos de água e bebidas não alcoólicas. • Atuar como elo de ligação entre a equipe do salão de jantar e a equipe da cozinha para garantir um serviço rápido e preciso. • Lidar com solicitações rotineiras e improvisadas de membros e hóspedes de maneira cortês. • Auxiliar os garçons, inserindo os pedidos com precisão no sistema de ponto de venda (PDV) e confirmando o envio dos pedidos para a cozinha ou bar. • Responder às perguntas dos clientes sobre os itens do cardápio de forma informativa e prestativa. • Auxiliar na preparação das mesas antes do serviço, com os utensílios, guardanapos, toalhas de mesa e decorações adequados. • Organizar e reorganizar mesas e cadeiras para acomodar refeições regulares, grupos grandes e eventos de banquete. • Auxiliar na montagem de estações de buffet, mesas, sinalização e decorações. • Auxiliar na movimentação, montagem e desmontagem de mesas de banquete e do salão de jantar, bem como de equipamentos de alimentos e bebidas para eventos e funções privadas. • Auxiliar na remoção, armazenamento e limpeza de equipamentos de banquete após os eventos. • Auxiliar na coleta de toalhas de piscina, pratos e lixo usados ​​nas áreas da piscina ou praia. • Esvaziar os recipientes de toalhas usadas, abastecer os recipientes de toalhas limpas e entregar as toalhas usadas à equipe de limpeza. • Preparar cadeiras de piscina, mesas, móveis de espreguiçadeira e toalhas para o serviço de alimentos e bebidas na piscina ou praia. • Separar, polir e guardar talheres e copos limpos. • Garantir que as áreas de refeição estejam devidamente abastecidas com utensílios, guardanapos, copos, toalhas de mesa, decorações e itens de serviço, como pão, manteiga ou biscoitos. • Limpar a poeira de móveis de madeira, lavar espelhos, aspirar carpetes, limpar e encerar pisos e auxiliar na limpeza de derramamentos. • Manter um ambiente de serviço limpo, seguro e organizado em todos os momentos. • Outras tarefas conforme atribuídas. Classificação do Cargo: 37-2011.00 - Zeladores e Faxineiros, exceto Empregadas Domésticas e Faxineiras. A classificação e descrição do cargo/setor inclui informações gerais sobre a posição, de acordo com o ONET/OES e o Sistema de Classificação Industrial da América do Norte. Consulte as Funções e a Ordem de Serviço para obter mais informações. Requisitos do Cargo Experiência Necessária: Não Requisitos Especiais: Esta posição opera em um clube privado. As áreas de trabalho podem ser lotadas e barulhentas. As condições de trabalho são frequentemente quentes, úmidas, escorregadias e molhadas. Capacidade de tolerar o cheiro de cloro e a exposição frequente a produtos de limpeza. O funcionário fica exposto às condições climáticas ao atender os clientes ao ar livre. O funcionário faz viagens frequentes à cozinha, onde o ar pode ser úmido, quente e com odores provenientes do preparo de alimentos ou de piscinas. O piso da cozinha pode estar escorregadio devido à umidade e à gordura. O funcionário pode estar exposto a riscos, incluindo, entre outros, cortes, escorregões, tropeções, quedas e queimaduras. A lavagem frequente das mãos é obrigatória. Uso frequente de escadas, diariamente. Ao desempenhar as funções deste cargo, o funcionário precisa falar e ouvir regularmente. Esta posição é ativa e exige ficar em pé, caminhar, curvar-se, ajoelhar-se, inclinar-se, esticar-se, torcer o corpo ou alcançar objetos, subir escadas, manter o equilíbrio e agachar-se – movimentos repetitivos contínuos. Esforço físico por longos períodos. A posição pode exigir o levantamento ocasional de produtos com peso superior a 23 kg e o empurrar ou puxar um carrinho com rodas de até 34 kg, além de alcançar objetos acima da cabeça com frequência. Esta posição exige regularmente longas jornadas de trabalho e trabalho frequente nos fins de semana e feriados. Todos os candidatos devem ser aprovados em testes de drogas e verificação de antecedentes, incluindo funcionários nacionais e com visto H2B em cargos sazonais, de tempo integral ou anuais. Essas normas se aplicam a todos os candidatos, independentemente de nacionalidade, raça ou gênero. Número de horas por semana: 35. Horário de trabalho (início/término): 7h às 15h.</v>
      </c>
    </row>
    <row r="2183" ht="20.25" customHeight="1">
      <c r="A2183" s="8" t="s">
        <v>9717</v>
      </c>
      <c r="B2183" s="8" t="s">
        <v>9702</v>
      </c>
      <c r="C2183" s="8"/>
      <c r="D2183" s="8" t="s">
        <v>71</v>
      </c>
      <c r="E2183" s="9" t="s">
        <v>44</v>
      </c>
      <c r="F2183" s="9" t="s">
        <v>20</v>
      </c>
      <c r="G2183" s="9" t="s">
        <v>524</v>
      </c>
      <c r="H2183" s="8" t="s">
        <v>9703</v>
      </c>
      <c r="I2183" s="8" t="s">
        <v>9704</v>
      </c>
      <c r="J2183" s="9">
        <v>35.73</v>
      </c>
      <c r="K2183" s="9">
        <v>3.0</v>
      </c>
      <c r="L2183" s="8" t="s">
        <v>2826</v>
      </c>
      <c r="M2183" s="8" t="s">
        <v>9718</v>
      </c>
      <c r="N2183" s="7" t="str">
        <f>IFERROR(__xludf.DUMMYFUNCTION("GOOGLETRANSLATE(L2183, ""en"", ""pt"")"),"Supervisor de Cozinha")</f>
        <v>Supervisor de Cozinha</v>
      </c>
      <c r="O2183" s="7" t="str">
        <f>IFERROR(__xludf.DUMMYFUNCTION("IF(M2183="""","""",GOOGLETRANSLATE(M2183,""en"",""pt""))"),"Supervisionar a equipe durante os turnos designados para garantir um fluxo de trabalho eficiente e a produção de alimentos em tempo hábil. Atribuir tarefas e estações diárias na cozinha, conforme orientação da liderança culinária sênior. Monitorar as ativ"&amp;"idades de preparação e cozimento de alimentos para garantir a conformidade com as receitas, padrões de porções e diretrizes de apresentação. Coordenar o tempo de produção de alimentos para garantir a execução tranquila do serviço. Auxiliar em qualquer est"&amp;"ação de cozinha, conforme necessário, durante o serviço. Ser um exemplo de profissionalismo, trabalho em equipe e atitude positiva. Preparar, cozinhar, empratar e decorar os alimentos de acordo com as receitas padronizadas, controles de porções e diretriz"&amp;"es de apresentação. Trabalhar com sucesso em todas as estações de cozinha designadas (grelha, refogar, fritar, preparar, etc.). Cortar, aparar e preparar carnes, aves, frutos do mar, vegetais e outros alimentos crus ou cozidos. Auxiliar na preparação de a"&amp;"limentos para períodos de serviço, banquetes e eventos do clube. Garantir que a qualidade, a temperatura, o sabor e a aparência dos alimentos atendam aos padrões do clube. Coordenar o tempo de produção de alimentos durante o serviço para garantir a entreg"&amp;"a rápida. Manter a estação de trabalho limpa, organizada e higienizada em todos os momentos. Limpar e higienizar as áreas de preparação de alimentos, equipamentos e utensílios em conformidade com as normas sanitárias. Inspecionar equipamentos e suprimento"&amp;"s de cozinha para garantir condições de operação seguras e adequadas. Seguir todos os procedimentos de segurança alimentar, higiene e segurança no trabalho. Planejar os itens do cardápio e garantir que todos os equipamentos, alimentos e funcionários neces"&amp;"sários sejam suficientes. Orientar e direcionar as tarefas dos membros da equipe da cozinha durante os turnos designados. Apresentar recomendações à gerência para decisões de RH ou folha de pagamento referentes aos funcionários. Desempenhar funções de sup"&amp;"ervisão para folha de pagamento e recursos humanos, conforme necessário. Dar um exemplo positivo por meio de profissionalismo, trabalho em equipe e adesão às políticas do clube. Comunicar-se profissionalmente com a equipe de atendimento para garantir um f"&amp;"luxo de serviço eficiente. Auxiliar na resolução de problemas dos clientes relacionados à qualidade dos alimentos ou ao serviço durante o horário de funcionamento. Apoiar as necessidades de acomodação ou serviço de alimentação durante períodos de grande m"&amp;"ovimento, conforme orientação. Auxiliar os chefs no monitoramento dos níveis de estoque de alimentos e notificar a gerência sobre baixos estoques. Registrar dados básicos de produção ou operacionais conforme instruções (por exemplo, listas de preparo, reg"&amp;"istros de desperdício). Estimar as necessidades de suprimentos, ingredientes ou pessoal para as atividades de preparo de alimentos e solicitar materiais, suprimentos ou equipamentos de acordo. Auxiliar no recebimento e armazenamento de entregas de aliment"&amp;"os de acordo com os procedimentos de segurança. Reportar imediatamente problemas com equipamentos, necessidades de manutenção ou riscos à segurança. Garantir que a equipe da cozinha siga as normas de segurança alimentar, higiene e segurança no trabalho. M"&amp;"anter as estações de trabalho limpas e organizadas durante todo o turno. Inspecionar os equipamentos e utensílios da cozinha quanto à limpeza e prontidão operacional. Reportar à gerência qualquer mau funcionamento de equipamentos, problemas de manutenção "&amp;"ou riscos à segurança. Garantir o armazenamento, a rotulagem e a rotação adequados dos produtos alimentícios. Comunicar-se profissionalmente com a equipe de atendimento para apoiar o fluxo de serviço. Auxiliar na resolução de problemas de sócios ou convid"&amp;"ados relacionados à qualidade dos alimentos durante o horário de serviço. Apoiar eventos especiais e funções do clube conforme solicitado. Auxiliar os clientes com a acomodação em mesas. Aprender todos os itens do cardápio e bebidas e explicar as informaç"&amp;"ões à equipe, aos sócios e aos convidados. Classificação do Cargo: 35-1011.00 - Chefs e Cozinheiros Chefes. A classificação e a descrição do cargo/setor incluem informações gerais sobre a posição, de acordo com o ONET/OES e o Sistema de Classificação Indu"&amp;"strial da América do Norte. Consulte as Funções e a Ordem de Serviço para obter mais informações. Requisitos do Cargo Experiência Necessária: Sim Meses de Experiência Necessários: 36 Requisitos Especiais: Esta posição opera em um clube privado. O funcioná"&amp;"rio fica exposto às condições climáticas enquanto atende os clientes ao ar livre. As áreas de trabalho podem ser movimentadas e barulhentas. O funcionário pode estar exposto a riscos, incluindo, entre outros, cortes, escorregões, tropeções, quedas e queim"&amp;"aduras. O funcionário pode fazer viagens frequentes à cozinha, onde o ar pode ser úmido, quente e com odor de alimentos sendo preparados. O piso pode estar escorregadio devido à umidade e à gordura. A lavagem frequente das mãos é necessária. É necessário "&amp;"ser capaz de trabalhar em um ambiente externo sem ar-condicionado. Este trabalho é realizado atrás do balcão do bar e pode envolver trabalho próximo a colegas. O nível de ruído no ambiente de trabalho pode ser alto. Ao desempenhar as funções deste cargo, "&amp;"o funcionário precisa falar e ouvir regularmente. Esta posição é muito ativa e exige ficar em pé e se movimentar por longos períodos. Também exige caminhar, curvar-se, ajoelhar-se, abaixar-se, subir, agachar-se, torcer o corpo ou alcançar, agarrar, levant"&amp;"ar, empurrar, puxar ou levantar até 23 kg e empurrar/puxar um carrinho com rodas de até 34 kg. Movimentos repetitivos contínuos. Todos os candidatos devem passar por testes de drogas e verificação de antecedentes, incluindo funcionários nacionais e portad"&amp;"ores de visto H2B em cargos sazonais, de tempo integral e anuais. Número de horas por semana: 35. Horário de trabalho (início/término): 7h às 15h.")</f>
        <v>Supervisionar a equipe durante os turnos designados para garantir um fluxo de trabalho eficiente e a produção de alimentos em tempo hábil. Atribuir tarefas e estações diárias na cozinha, conforme orientação da liderança culinária sênior. Monitorar as atividades de preparação e cozimento de alimentos para garantir a conformidade com as receitas, padrões de porções e diretrizes de apresentação. Coordenar o tempo de produção de alimentos para garantir a execução tranquila do serviço. Auxiliar em qualquer estação de cozinha, conforme necessário, durante o serviço. Ser um exemplo de profissionalismo, trabalho em equipe e atitude positiva. Preparar, cozinhar, empratar e decorar os alimentos de acordo com as receitas padronizadas, controles de porções e diretrizes de apresentação. Trabalhar com sucesso em todas as estações de cozinha designadas (grelha, refogar, fritar, preparar, etc.). Cortar, aparar e preparar carnes, aves, frutos do mar, vegetais e outros alimentos crus ou cozidos. Auxiliar na preparação de alimentos para períodos de serviço, banquetes e eventos do clube. Garantir que a qualidade, a temperatura, o sabor e a aparência dos alimentos atendam aos padrões do clube. Coordenar o tempo de produção de alimentos durante o serviço para garantir a entrega rápida. Manter a estação de trabalho limpa, organizada e higienizada em todos os momentos. Limpar e higienizar as áreas de preparação de alimentos, equipamentos e utensílios em conformidade com as normas sanitárias. Inspecionar equipamentos e suprimentos de cozinha para garantir condições de operação seguras e adequadas. Seguir todos os procedimentos de segurança alimentar, higiene e segurança no trabalho. Planejar os itens do cardápio e garantir que todos os equipamentos, alimentos e funcionários necessários sejam suficientes. Orientar e direcionar as tarefas dos membros da equipe da cozinha durante os turnos designados. Apresentar recomendações à gerência para decisões de RH ou folha de pagamento referentes aos funcionários. Desempenhar funções de supervisão para folha de pagamento e recursos humanos, conforme necessário. Dar um exemplo positivo por meio de profissionalismo, trabalho em equipe e adesão às políticas do clube. Comunicar-se profissionalmente com a equipe de atendimento para garantir um fluxo de serviço eficiente. Auxiliar na resolução de problemas dos clientes relacionados à qualidade dos alimentos ou ao serviço durante o horário de funcionamento. Apoiar as necessidades de acomodação ou serviço de alimentação durante períodos de grande movimento, conforme orientação. Auxiliar os chefs no monitoramento dos níveis de estoque de alimentos e notificar a gerência sobre baixos estoques. Registrar dados básicos de produção ou operacionais conforme instruções (por exemplo, listas de preparo, registros de desperdício). Estimar as necessidades de suprimentos, ingredientes ou pessoal para as atividades de preparo de alimentos e solicitar materiais, suprimentos ou equipamentos de acordo. Auxiliar no recebimento e armazenamento de entregas de alimentos de acordo com os procedimentos de segurança. Reportar imediatamente problemas com equipamentos, necessidades de manutenção ou riscos à segurança. Garantir que a equipe da cozinha siga as normas de segurança alimentar, higiene e segurança no trabalho. Manter as estações de trabalho limpas e organizadas durante todo o turno. Inspecionar os equipamentos e utensílios da cozinha quanto à limpeza e prontidão operacional. Reportar à gerência qualquer mau funcionamento de equipamentos, problemas de manutenção ou riscos à segurança. Garantir o armazenamento, a rotulagem e a rotação adequados dos produtos alimentícios. Comunicar-se profissionalmente com a equipe de atendimento para apoiar o fluxo de serviço. Auxiliar na resolução de problemas de sócios ou convidados relacionados à qualidade dos alimentos durante o horário de serviço. Apoiar eventos especiais e funções do clube conforme solicitado. Auxiliar os clientes com a acomodação em mesas. Aprender todos os itens do cardápio e bebidas e explicar as informações à equipe, aos sócios e aos convidados. Classificação do Cargo: 35-1011.00 - Chefs e Cozinheiros Chefes. A classificação e a descrição do cargo/setor incluem informações gerais sobre a posição, de acordo com o ONET/OES e o Sistema de Classificação Industrial da América do Norte. Consulte as Funções e a Ordem de Serviço para obter mais informações. Requisitos do Cargo Experiência Necessária: Sim Meses de Experiência Necessários: 36 Requisitos Especiais: Esta posição opera em um clube privado. O funcionário fica exposto às condições climáticas enquanto atende os clientes ao ar livre. As áreas de trabalho podem ser movimentadas e barulhentas. O funcionário pode estar exposto a riscos, incluindo, entre outros, cortes, escorregões, tropeções, quedas e queimaduras. O funcionário pode fazer viagens frequentes à cozinha, onde o ar pode ser úmido, quente e com odor de alimentos sendo preparados. O piso pode estar escorregadio devido à umidade e à gordura. A lavagem frequente das mãos é necessária. É necessário ser capaz de trabalhar em um ambiente externo sem ar-condicionado. Este trabalho é realizado atrás do balcão do bar e pode envolver trabalho próximo a colegas. O nível de ruído no ambiente de trabalho pode ser alto. Ao desempenhar as funções deste cargo, o funcionário precisa falar e ouvir regularmente. Esta posição é muito ativa e exige ficar em pé e se movimentar por longos períodos. Também exige caminhar, curvar-se, ajoelhar-se, abaixar-se, subir, agachar-se, torcer o corpo ou alcançar, agarrar, levantar, empurrar, puxar ou levantar até 23 kg e empurrar/puxar um carrinho com rodas de até 34 kg. Movimentos repetitivos contínuos. Todos os candidatos devem passar por testes de drogas e verificação de antecedentes, incluindo funcionários nacionais e portadores de visto H2B em cargos sazonais, de tempo integral e anuais. Número de horas por semana: 35. Horário de trabalho (início/término): 7h às 15h.</v>
      </c>
    </row>
    <row r="2184" ht="20.25" customHeight="1">
      <c r="A2184" s="3" t="s">
        <v>9719</v>
      </c>
      <c r="B2184" s="3" t="s">
        <v>9702</v>
      </c>
      <c r="C2184" s="3"/>
      <c r="D2184" s="3" t="s">
        <v>71</v>
      </c>
      <c r="E2184" s="4" t="s">
        <v>44</v>
      </c>
      <c r="F2184" s="4" t="s">
        <v>20</v>
      </c>
      <c r="G2184" s="4" t="s">
        <v>524</v>
      </c>
      <c r="H2184" s="3" t="s">
        <v>9703</v>
      </c>
      <c r="I2184" s="3" t="s">
        <v>9704</v>
      </c>
      <c r="J2184" s="4">
        <v>23.53</v>
      </c>
      <c r="K2184" s="4">
        <v>2.0</v>
      </c>
      <c r="L2184" s="3" t="s">
        <v>2101</v>
      </c>
      <c r="M2184" s="3" t="s">
        <v>9720</v>
      </c>
      <c r="N2184" s="7" t="str">
        <f>IFERROR(__xludf.DUMMYFUNCTION("GOOGLETRANSLATE(L2184, ""en"", ""pt"")"),"Técnico de Manutenção")</f>
        <v>Técnico de Manutenção</v>
      </c>
      <c r="O2184" s="7" t="str">
        <f>IFERROR(__xludf.DUMMYFUNCTION("IF(M2184="""","""",GOOGLETRANSLATE(M2184,""en"",""pt""))"),"***Resposta à Solicitação de Informações*** Tarefas de encanamento: substituição de torneiras, chuveiros, válvulas de descarga, tubulações de abastecimento, anéis de cera e válvulas de retenção; desentupimento de ralos com desentupidores e serpentinas; su"&amp;"bstituição de válvulas de fechamento e conexões; limpeza de aquecedores de água instantâneos conforme instruções do fabricante; limpeza de filtros de bombas de recalque e teste de interruptores de bóia; substituição de seções de tubulação com vazamento po"&amp;"r conexões de encaixe rápido/compressão; aplicação de fita veda-rosca e selante. Toda a manutenção de rotina não exige licença. Ferramentas: chaves de cano, chaves ajustáveis, alicates, desentupidores, serpentinas de drenagem, fita veda-rosca, selante, ci"&amp;"mento PVC, conexões, válvulas, kits para torneiras, chaves de fenda, estiletes, baldes. Tarefas de carpintaria/pintura: reparo de drywall com massa corrida; substituição de rodapés, guarnições e ferragens de portas; reinstalação de portas; pintura de pare"&amp;"des, tetos, guarnições e exteriores; aplicação de selante em janelas/portas; lavagem de calçadas, decks de piscina, pátios e exteriores com lavadora de alta pressão; substituição de placas de teto. Ferramentas: martelo, fita métrica, nível, serra, furadei"&amp;"ra, espátulas, lixa, massa corrida, selante, pincéis, rolos, pistola de calafetagem, lavadora de alta pressão. O suporte a eventos consiste apenas na preparação incidental das instalações: movimentação de mesas, cadeiras, palcos e equipamentos conforme in"&amp;"struções; instalação de extensões elétricas; desmontagem pós-evento e devolução dos itens ao armazenamento. Não inclui preparação de alimentos, serviço de alimentos/bebidas ou funções com atendimento ao público. Ferramentas: carrinhos de mão, carrinhos de"&amp;" transporte, carrinho de golfe, extensões elétricas, ferramentas manuais. Lavanderia: transporte de roupas de cama, toalhas e panos de limpeza sujos para a lavanderia no local utilizando um carrinho de golfe; carregamento/descarregamento de lavadoras e se"&amp;"cadoras; devolução dos itens limpos ao armazenamento. Transporte de produtos químicos: entrega de produtos químicos para piscina, agentes de limpeza e sanitizantes entre as propriedades. O funcionário dirige um carrinho de golfe da empresa nas dependência"&amp;"s do clube e uma caminhonete da empresa em vias públicas entre as propriedades. ***Original*** O Técnico de Manutenção realiza manutenção rotineira, preventiva e corretiva nas instalações de um clube privado para garantir ambientes internos e externos seg"&amp;"uros, funcionais e bem conservados. Esta posição exige habilidades práticas em hidráulica e manutenção geral, com responsabilidades adicionais em elétrica básica, climatização (HVAC), manutenção de piscinas, limpeza e serviços de apoio à manutenção das ár"&amp;"eas externas. Os horários de trabalho variam de acordo com as necessidades operacionais. As principais funções e responsabilidades incluem o seguinte. Outras tarefas podem ser atribuídas. Instalar, manter, inspecionar e reparar instalações e sistemas hidr"&amp;"áulicos padrão, incluindo tubulações de água, aquecedores de água instantâneos, mini bombas de recalque e componentes relacionados. Inspecionar instalações e sistemas hidráulicos quanto à segurança e conformidade com as normas gerais, e reportar problemas"&amp;" à gerência. Realizar reparos básicos envolvendo sistemas elétricos de menor complexidade, sistemas de aquecimento e controles associados em estruturas residenciais e comerciais. Realizar manutenção básica e rotineira em: o Iluminação interna e externa o "&amp;"Luminárias e tomadas elétricas o Sistemas de climatização (HVAC) de menor complexidade em aparelhos e controles. Realizar pequenos trabalhos de carpintaria, remendos, pintura, lavagem de alta pressão e reparos prediais de menor porte. Operar um carrinho d"&amp;"e golfe para se deslocar com segurança entre edifícios, áreas de manutenção e outras propriedades do clube enquanto executa as tarefas atribuídas. Transportar ferramentas, equipamentos, suprimentos, roupas e produtos químicos utilizando um carrinho de gol"&amp;"fe, conforme necessário. Seguir todos os procedimentos de segurança do clube e as normas afixadas ao operar um carrinho de golfe. Realizar manutenção de rotina em piscinas, incluindo testes químicos, inspeções, aspiração e limpeza (treinamento fornecido, "&amp;"se necessário). Auxiliar nos serviços de lavanderia e no transporte de produtos químicos entre as propriedades, conforme necessário. Auxiliar na montagem, serviço e desmontagem para eventos de alimentação e bebidas e funções privadas. Contatar e coordenar"&amp;" fornecedores e prestadores de serviços externos para reparos e emergências que estejam além do escopo da manutenção de rotina. Manter registros de manutenção, cronogramas e relatórios de serviço indicando o trabalho concluído e as necessidades de serviço"&amp;" futuras. Executar todas as tarefas de forma segura e identificar condições inseguras. Tomar as medidas apropriadas para proteger a segurança própria, de colegas de trabalho, membros, convidados e fornecedores. Classificação do Cargo: 49-9071.00 - Trabalh"&amp;"adores de Manutenção e Reparos, Geral. A classificação e descrição do cargo/setor inclui informações gerais sobre a posição, de acordo com o ONET/OES e o Sistema de Classificação Industrial da América do Norte. Consulte as Funções e a Ordem de Serviço par"&amp;"a obter mais informações. Requisitos do Cargo Experiência Necessária: Não. Requisitos Especiais: É necessário possuir carteira de habilitação válida para operar veículos da empresa, incluindo carrinhos de golfe. Esta posição opera em um clube privado. As "&amp;"áreas de trabalho podem ser movimentadas e barulhentas. O funcionário trabalha em diversos ambientes, incluindo escritórios, instalações do clube, chalés, residências, áreas de manutenção, áreas de armazenamento e espaços externos. A temperatura e a umida"&amp;"de podem variar. Os níveis de ruído variam de baixo a moderadamente alto. Pode haver exposição a produtos de limpeza, produtos químicos para piscinas e ferramentas de manutenção, com treinamento adequado e equipamentos de segurança fornecidos. Há exposiçã"&amp;"o a odores de cozinha e calor. O funcionário é frequentemente exposto a calor, vapor e fogo. Os pisos podem estar escorregadios devido à umidade e à gordura. O funcionário pode estar exposto a riscos, incluindo, entre outros, cortes, escorregões, tropeçõe"&amp;"s, quedas e queimaduras. A lavagem frequente das mãos é necessária. Pode ser necessário subir escadas diariamente. O funcionário pode estar exposto às condições climáticas externas. Ao desempenhar as funções deste cargo, o funcionário precisa falar e ouvi"&amp;"r regularmente. Esta posição é muito ativa e exige ficar em pé, caminhar, curvar-se, ajoelhar-se, abaixar-se, rastejar e subir escadas durante todo o dia. O funcionário deve frequentemente levantar e/ou mover itens com mais de 23 kg, empurrar ou puxar até"&amp;" 34 kg. As habilidades visuais específicas exigidas para este trabalho incluem visão de perto, visão de longe, visão de cores, visão periférica, percepção de profundidade e capacidade de ajustar o foco. O horário de trabalho e os dias variam de acordo com"&amp;" as necessidades operacionais, incluindo manhãs, fins de semana, feriados ou horários noturnos. Pode ser necessário viajar entre instalações. A oferta de emprego está condicionada à conclusão de uma verificação de antecedentes e exame toxicológico. Todos "&amp;"os candidatos devem ser aprovados em exames toxicológicos e verificações de antecedentes, incluindo vistos nacionais e H2B. Há vagas para funcionários sazonais, de tempo integral e anuais. Esses padrões se aplicam a todos os candidatos, independentemente "&amp;"de nacionalidade, raça ou sexo. Número de horas por semana: 35. Horário de trabalho (início/término): 7h às 15h.")</f>
        <v>***Resposta à Solicitação de Informações*** Tarefas de encanamento: substituição de torneiras, chuveiros, válvulas de descarga, tubulações de abastecimento, anéis de cera e válvulas de retenção; desentupimento de ralos com desentupidores e serpentinas; substituição de válvulas de fechamento e conexões; limpeza de aquecedores de água instantâneos conforme instruções do fabricante; limpeza de filtros de bombas de recalque e teste de interruptores de bóia; substituição de seções de tubulação com vazamento por conexões de encaixe rápido/compressão; aplicação de fita veda-rosca e selante. Toda a manutenção de rotina não exige licença. Ferramentas: chaves de cano, chaves ajustáveis, alicates, desentupidores, serpentinas de drenagem, fita veda-rosca, selante, cimento PVC, conexões, válvulas, kits para torneiras, chaves de fenda, estiletes, baldes. Tarefas de carpintaria/pintura: reparo de drywall com massa corrida; substituição de rodapés, guarnições e ferragens de portas; reinstalação de portas; pintura de paredes, tetos, guarnições e exteriores; aplicação de selante em janelas/portas; lavagem de calçadas, decks de piscina, pátios e exteriores com lavadora de alta pressão; substituição de placas de teto. Ferramentas: martelo, fita métrica, nível, serra, furadeira, espátulas, lixa, massa corrida, selante, pincéis, rolos, pistola de calafetagem, lavadora de alta pressão. O suporte a eventos consiste apenas na preparação incidental das instalações: movimentação de mesas, cadeiras, palcos e equipamentos conforme instruções; instalação de extensões elétricas; desmontagem pós-evento e devolução dos itens ao armazenamento. Não inclui preparação de alimentos, serviço de alimentos/bebidas ou funções com atendimento ao público. Ferramentas: carrinhos de mão, carrinhos de transporte, carrinho de golfe, extensões elétricas, ferramentas manuais. Lavanderia: transporte de roupas de cama, toalhas e panos de limpeza sujos para a lavanderia no local utilizando um carrinho de golfe; carregamento/descarregamento de lavadoras e secadoras; devolução dos itens limpos ao armazenamento. Transporte de produtos químicos: entrega de produtos químicos para piscina, agentes de limpeza e sanitizantes entre as propriedades. O funcionário dirige um carrinho de golfe da empresa nas dependências do clube e uma caminhonete da empresa em vias públicas entre as propriedades. ***Original*** O Técnico de Manutenção realiza manutenção rotineira, preventiva e corretiva nas instalações de um clube privado para garantir ambientes internos e externos seguros, funcionais e bem conservados. Esta posição exige habilidades práticas em hidráulica e manutenção geral, com responsabilidades adicionais em elétrica básica, climatização (HVAC), manutenção de piscinas, limpeza e serviços de apoio à manutenção das áreas externas. Os horários de trabalho variam de acordo com as necessidades operacionais. As principais funções e responsabilidades incluem o seguinte. Outras tarefas podem ser atribuídas. Instalar, manter, inspecionar e reparar instalações e sistemas hidráulicos padrão, incluindo tubulações de água, aquecedores de água instantâneos, mini bombas de recalque e componentes relacionados. Inspecionar instalações e sistemas hidráulicos quanto à segurança e conformidade com as normas gerais, e reportar problemas à gerência. Realizar reparos básicos envolvendo sistemas elétricos de menor complexidade, sistemas de aquecimento e controles associados em estruturas residenciais e comerciais. Realizar manutenção básica e rotineira em: o Iluminação interna e externa o Luminárias e tomadas elétricas o Sistemas de climatização (HVAC) de menor complexidade em aparelhos e controles. Realizar pequenos trabalhos de carpintaria, remendos, pintura, lavagem de alta pressão e reparos prediais de menor porte. Operar um carrinho de golfe para se deslocar com segurança entre edifícios, áreas de manutenção e outras propriedades do clube enquanto executa as tarefas atribuídas. Transportar ferramentas, equipamentos, suprimentos, roupas e produtos químicos utilizando um carrinho de golfe, conforme necessário. Seguir todos os procedimentos de segurança do clube e as normas afixadas ao operar um carrinho de golfe. Realizar manutenção de rotina em piscinas, incluindo testes químicos, inspeções, aspiração e limpeza (treinamento fornecido, se necessário). Auxiliar nos serviços de lavanderia e no transporte de produtos químicos entre as propriedades, conforme necessário. Auxiliar na montagem, serviço e desmontagem para eventos de alimentação e bebidas e funções privadas. Contatar e coordenar fornecedores e prestadores de serviços externos para reparos e emergências que estejam além do escopo da manutenção de rotina. Manter registros de manutenção, cronogramas e relatórios de serviço indicando o trabalho concluído e as necessidades de serviço futuras. Executar todas as tarefas de forma segura e identificar condições inseguras. Tomar as medidas apropriadas para proteger a segurança própria, de colegas de trabalho, membros, convidados e fornecedores. Classificação do Cargo: 49-9071.00 - Trabalhadores de Manutenção e Reparos, Geral. A classificação e descrição do cargo/setor inclui informações gerais sobre a posição, de acordo com o ONET/OES e o Sistema de Classificação Industrial da América do Norte. Consulte as Funções e a Ordem de Serviço para obter mais informações. Requisitos do Cargo Experiência Necessária: Não. Requisitos Especiais: É necessário possuir carteira de habilitação válida para operar veículos da empresa, incluindo carrinhos de golfe. Esta posição opera em um clube privado. As áreas de trabalho podem ser movimentadas e barulhentas. O funcionário trabalha em diversos ambientes, incluindo escritórios, instalações do clube, chalés, residências, áreas de manutenção, áreas de armazenamento e espaços externos. A temperatura e a umidade podem variar. Os níveis de ruído variam de baixo a moderadamente alto. Pode haver exposição a produtos de limpeza, produtos químicos para piscinas e ferramentas de manutenção, com treinamento adequado e equipamentos de segurança fornecidos. Há exposição a odores de cozinha e calor. O funcionário é frequentemente exposto a calor, vapor e fogo. Os pisos podem estar escorregadios devido à umidade e à gordura. O funcionário pode estar exposto a riscos, incluindo, entre outros, cortes, escorregões, tropeções, quedas e queimaduras. A lavagem frequente das mãos é necessária. Pode ser necessário subir escadas diariamente. O funcionário pode estar exposto às condições climáticas externas. Ao desempenhar as funções deste cargo, o funcionário precisa falar e ouvir regularmente. Esta posição é muito ativa e exige ficar em pé, caminhar, curvar-se, ajoelhar-se, abaixar-se, rastejar e subir escadas durante todo o dia. O funcionário deve frequentemente levantar e/ou mover itens com mais de 23 kg, empurrar ou puxar até 34 kg. As habilidades visuais específicas exigidas para este trabalho incluem visão de perto, visão de longe, visão de cores, visão periférica, percepção de profundidade e capacidade de ajustar o foco. O horário de trabalho e os dias variam de acordo com as necessidades operacionais, incluindo manhãs, fins de semana, feriados ou horários noturnos. Pode ser necessário viajar entre instalações. A oferta de emprego está condicionada à conclusão de uma verificação de antecedentes e exame toxicológico. Todos os candidatos devem ser aprovados em exames toxicológicos e verificações de antecedentes, incluindo vistos nacionais e H2B. Há vagas para funcionários sazonais, de tempo integral e anuais. Esses padrões se aplicam a todos os candidatos, independentemente de nacionalidade, raça ou sexo. Número de horas por semana: 35. Horário de trabalho (início/término): 7h às 15h.</v>
      </c>
    </row>
    <row r="2185" ht="20.25" customHeight="1">
      <c r="A2185" s="8" t="s">
        <v>9721</v>
      </c>
      <c r="B2185" s="8" t="s">
        <v>9702</v>
      </c>
      <c r="C2185" s="8"/>
      <c r="D2185" s="8" t="s">
        <v>71</v>
      </c>
      <c r="E2185" s="9" t="s">
        <v>44</v>
      </c>
      <c r="F2185" s="9" t="s">
        <v>20</v>
      </c>
      <c r="G2185" s="9" t="s">
        <v>524</v>
      </c>
      <c r="H2185" s="8" t="s">
        <v>9703</v>
      </c>
      <c r="I2185" s="8" t="s">
        <v>9704</v>
      </c>
      <c r="J2185" s="9">
        <v>17.42</v>
      </c>
      <c r="K2185" s="9">
        <v>7.0</v>
      </c>
      <c r="L2185" s="8" t="s">
        <v>4944</v>
      </c>
      <c r="M2185" s="8" t="s">
        <v>9722</v>
      </c>
      <c r="N2185" s="7" t="str">
        <f>IFERROR(__xludf.DUMMYFUNCTION("GOOGLETRANSLATE(L2185, ""en"", ""pt"")"),"Auxiliar de limpeza")</f>
        <v>Auxiliar de limpeza</v>
      </c>
      <c r="O2185" s="7" t="str">
        <f>IFERROR(__xludf.DUMMYFUNCTION("IF(M2185="""","""",GOOGLETRANSLATE(M2185,""en"",""pt""))"),"***Resposta à Solicitação de Informações*** Carregar e descarregar máquinas de lavar e secar roupa, incluindo adicionar detergente e selecionar os ciclos; passar, dobrar e organizar roupas de cama, cobertores, protetores de colchão, toalhas de banho, toal"&amp;"has de mesa, guardanapos e roupões de banho lavados, tanto para uso exclusivo do clube quanto para hóspedes. Auxiliar na montagem e desmontagem básica de eventos, movendo ou substituindo toalhas de mesa, limpando e higienizando mesas, cadeiras ou áreas de"&amp;" apoio, incluindo a organização de mesas, cadeiras e áreas de apoio para limpeza e higienização antes e depois de eventos e banquetes nos espaços do clube, para reconfigurar salas ou outros móveis (púlpitos, TVs, placas de sinalização de eventos), conform"&amp;"e instruções. Auxiliar na preparação das áreas do clube para reuniões, removendo o lixo, limpando e higienizando antes de banquetes, eventos sociais ou funções especiais. Auxiliar outras áreas do clube (lobbies, vestiários, academia, áreas comuns, lojas d"&amp;"e artigos esportivos, escritórios e espaços similares) com limpeza geral para higienizar e desinfetar, ou tarefas de organização para restaurar o ambiente aos padrões, conforme necessário e designado. Auxiliar na manutenção da limpeza da área de lavagem d"&amp;"e louça, removendo os pratos para limpeza profunda da máquina de lavar louça nas cozinhas do clube e áreas de apoio da cozinha, como ao redor da máquina de lavar louça, incluindo armários ou áreas de armazenamento nas cozinhas do clube, para suporte perió"&amp;"dico à limpeza profunda. ***Original F.a.2*** • Limpar e higienizar quartos de hóspedes, corredores, lobbies, lounges, banheiros, vestiários, escadas, elevadores, chalés e outras áreas designadas. • Varrer, passar pano, esfregar, encerar e polir pisos. • "&amp;"Limpar tapetes, carpetes, móveis estofados e cortinas. • Tirar o pó e polir móveis, acessórios e equipamentos. • Desinfetar equipamentos e suprimentos usando agentes e procedimentos de limpeza aprovados (Ex: germicidas, ferramentas a vapor, etc.). etc.) •"&amp;" Lavar paredes, tetos, madeiras, janelas, painéis de portas e peitoris. • Repor suprimentos de banheiro, roupas de cama, toalhas, copos e outras comodidades para hóspedes. • Esvaziar lixeiras e cinzeiros; transportar lixo e resíduos para as áreas de desca"&amp;"rte designadas. • Auxiliar em qualquer atividade que envolva a limpeza ou organização dos clubes ou chalés, como repor suprimentos de banheiro, copos e materiais de escrita. • Separar, contar, etiquetar e guardar roupas de cama limpas em armários designad"&amp;"os. • Carregar e descarregar lavadoras e secadoras; passar, dobrar e organizar as peças lavadas. • Transportar roupas de cama, toalhas, itens essenciais de banheiro e produtos de limpeza usando carrinhos com rodas. • Transportar suprimentos e equipamentos"&amp;" de limpeza com segurança pelas áreas de trabalho. • Trocar lâmpadas conforme necessário. • Operar equipamentos de limpeza de acordo com o treinamento e os padrões de segurança. • Operar um carrinho de golfe para transportar suprimentos de limpeza e acess"&amp;"ar as áreas de trabalho conforme designado. • Seguir todos os procedimentos de segurança, direção e operação ao operar os carrinhos do clube. • Auxiliar na montagem e desmontagem básica de eventos, incluindo a organização de mesas, cadeiras e palcos. • Au"&amp;"xiliar na limpeza e organização de áreas, ou outros móveis, conforme instruções. • Auxiliar na preparação das áreas do clube para reuniões, banquetes, eventos sociais ou funções especiais. • Auxiliar na organização e arrumação das salas e áreas comuns apó"&amp;"s os eventos, mantendo a limpeza e a ordem. • Auxiliar outras áreas do clube com tarefas gerais de limpeza ou organização, conforme necessário e designado. Lavagem de Louça e Apoio na Cozinha (Serviços Ocasionais) • Auxiliar na lavagem e higienização de e"&amp;"quipamentos, utensílios, pratos e panelas de cozinha, conforme necessário. • Operar equipamentos comerciais de lavagem de louça de acordo com as normas de segurança e higiene. • Auxiliar na manutenção da limpeza da área de lavagem de louça e das áreas de "&amp;"apoio da cozinha. As tarefas de lavagem de louça são apenas um apoio ocasional. Esta função não envolve preparação de alimentos, cozimento, serviço de alimentação, serviço de bebidas alcoólicas ou supervisão de cozinha. Classificação da Função: 37-2012.00"&amp;" - Empregadas Domésticas e Auxiliares de Limpeza A classificação e descrição da função/setor inclui informações gerais sobre a posição, de acordo com o ONET/OES e o Sistema de Classificação Industrial da América do Norte. Consulte as Funções e a Ordem de "&amp;"Serviço para obter mais informações. Requisitos da Função Experiência Necessária: Sim Meses Experiência exigida: 3 anos. Requisitos especiais: Esta posição opera em um clube privado. Ao desempenhar as funções deste cargo, o funcionário está ocasionalmente"&amp;" exposto a condições úmidas, vapores ou partículas em suspensão no ar e produtos químicos tóxicos ou cáusticos. O nível de ruído no ambiente de trabalho é geralmente moderado. O funcionário pode estar exposto a riscos, incluindo, entre outros, cortes, esc"&amp;"orregões, tropeções, quedas e queimaduras. A lavagem frequente das mãos é obrigatória. Ao desempenhar as funções deste cargo, o funcionário precisa falar e ouvir regularmente. Esta posição é muito ativa e exige ficar em pé e caminhar por longos períodos. "&amp;"Também exige flexão, ajoelhamento, inclinação, escalada, agachamento, torção, alcance, empurrar, puxar ou levantar até 23 kg (50 libras) – movimentos repetitivos contínuos. O horário de trabalho pode incluir fins de semana, turnos noturnos, feriados e tur"&amp;"nos prolongados, de acordo com as necessidades da empresa. Todos os candidatos devem passar por testes de drogas e verificação de antecedentes, incluindo portadores de visto H2B e nacionais. Aplicam-se a funcionários em cargos sazonais, de tempo integral "&amp;"e anuais. Essas normas se aplicam a todos. Candidatos independentemente de nacionalidade, raça ou gênero. Número de horas por semana: 35. Horário de trabalho (início/término): 7h às 15h.")</f>
        <v>***Resposta à Solicitação de Informações*** Carregar e descarregar máquinas de lavar e secar roupa, incluindo adicionar detergente e selecionar os ciclos; passar, dobrar e organizar roupas de cama, cobertores, protetores de colchão, toalhas de banho, toalhas de mesa, guardanapos e roupões de banho lavados, tanto para uso exclusivo do clube quanto para hóspedes. Auxiliar na montagem e desmontagem básica de eventos, movendo ou substituindo toalhas de mesa, limpando e higienizando mesas, cadeiras ou áreas de apoio, incluindo a organização de mesas, cadeiras e áreas de apoio para limpeza e higienização antes e depois de eventos e banquetes nos espaços do clube, para reconfigurar salas ou outros móveis (púlpitos, TVs, placas de sinalização de eventos), conforme instruções. Auxiliar na preparação das áreas do clube para reuniões, removendo o lixo, limpando e higienizando antes de banquetes, eventos sociais ou funções especiais. Auxiliar outras áreas do clube (lobbies, vestiários, academia, áreas comuns, lojas de artigos esportivos, escritórios e espaços similares) com limpeza geral para higienizar e desinfetar, ou tarefas de organização para restaurar o ambiente aos padrões, conforme necessário e designado. Auxiliar na manutenção da limpeza da área de lavagem de louça, removendo os pratos para limpeza profunda da máquina de lavar louça nas cozinhas do clube e áreas de apoio da cozinha, como ao redor da máquina de lavar louça, incluindo armários ou áreas de armazenamento nas cozinhas do clube, para suporte periódico à limpeza profunda. ***Original F.a.2*** • Limpar e higienizar quartos de hóspedes, corredores, lobbies, lounges, banheiros, vestiários, escadas, elevadores, chalés e outras áreas designadas. • Varrer, passar pano, esfregar, encerar e polir pisos. • Limpar tapetes, carpetes, móveis estofados e cortinas. • Tirar o pó e polir móveis, acessórios e equipamentos. • Desinfetar equipamentos e suprimentos usando agentes e procedimentos de limpeza aprovados (Ex: germicidas, ferramentas a vapor, etc.). etc.) • Lavar paredes, tetos, madeiras, janelas, painéis de portas e peitoris. • Repor suprimentos de banheiro, roupas de cama, toalhas, copos e outras comodidades para hóspedes. • Esvaziar lixeiras e cinzeiros; transportar lixo e resíduos para as áreas de descarte designadas. • Auxiliar em qualquer atividade que envolva a limpeza ou organização dos clubes ou chalés, como repor suprimentos de banheiro, copos e materiais de escrita. • Separar, contar, etiquetar e guardar roupas de cama limpas em armários designados. • Carregar e descarregar lavadoras e secadoras; passar, dobrar e organizar as peças lavadas. • Transportar roupas de cama, toalhas, itens essenciais de banheiro e produtos de limpeza usando carrinhos com rodas. • Transportar suprimentos e equipamentos de limpeza com segurança pelas áreas de trabalho. • Trocar lâmpadas conforme necessário. • Operar equipamentos de limpeza de acordo com o treinamento e os padrões de segurança. • Operar um carrinho de golfe para transportar suprimentos de limpeza e acessar as áreas de trabalho conforme designado. • Seguir todos os procedimentos de segurança, direção e operação ao operar os carrinhos do clube. • Auxiliar na montagem e desmontagem básica de eventos, incluindo a organização de mesas, cadeiras e palcos. • Auxiliar na limpeza e organização de áreas, ou outros móveis, conforme instruções. • Auxiliar na preparação das áreas do clube para reuniões, banquetes, eventos sociais ou funções especiais. • Auxiliar na organização e arrumação das salas e áreas comuns após os eventos, mantendo a limpeza e a ordem. • Auxiliar outras áreas do clube com tarefas gerais de limpeza ou organização, conforme necessário e designado. Lavagem de Louça e Apoio na Cozinha (Serviços Ocasionais) • Auxiliar na lavagem e higienização de equipamentos, utensílios, pratos e panelas de cozinha, conforme necessário. • Operar equipamentos comerciais de lavagem de louça de acordo com as normas de segurança e higiene. • Auxiliar na manutenção da limpeza da área de lavagem de louça e das áreas de apoio da cozinha. As tarefas de lavagem de louça são apenas um apoio ocasional. Esta função não envolve preparação de alimentos, cozimento, serviço de alimentação, serviço de bebidas alcoólicas ou supervisão de cozinha. Classificação da Função: 37-2012.00 - Empregadas Domésticas e Auxiliares de Limpeza A classificação e descrição da função/setor inclui informações gerais sobre a posição, de acordo com o ONET/OES e o Sistema de Classificação Industrial da América do Norte. Consulte as Funções e a Ordem de Serviço para obter mais informações. Requisitos da Função Experiência Necessária: Sim Meses Experiência exigida: 3 anos. Requisitos especiais: Esta posição opera em um clube privado. Ao desempenhar as funções deste cargo, o funcionário está ocasionalmente exposto a condições úmidas, vapores ou partículas em suspensão no ar e produtos químicos tóxicos ou cáusticos. O nível de ruído no ambiente de trabalho é geralmente moderado. O funcionário pode estar exposto a riscos, incluindo, entre outros, cortes, escorregões, tropeções, quedas e queimaduras. A lavagem frequente das mãos é obrigatória. Ao desempenhar as funções deste cargo, o funcionário precisa falar e ouvir regularmente. Esta posição é muito ativa e exige ficar em pé e caminhar por longos períodos. Também exige flexão, ajoelhamento, inclinação, escalada, agachamento, torção, alcance, empurrar, puxar ou levantar até 23 kg (50 libras) – movimentos repetitivos contínuos. O horário de trabalho pode incluir fins de semana, turnos noturnos, feriados e turnos prolongados, de acordo com as necessidades da empresa. Todos os candidatos devem passar por testes de drogas e verificação de antecedentes, incluindo portadores de visto H2B e nacionais. Aplicam-se a funcionários em cargos sazonais, de tempo integral e anuais. Essas normas se aplicam a todos. Candidatos independentemente de nacionalidade, raça ou gênero. Número de horas por semana: 35. Horário de trabalho (início/término): 7h às 15h.</v>
      </c>
    </row>
    <row r="2186" ht="20.25" customHeight="1">
      <c r="A2186" s="3" t="s">
        <v>9723</v>
      </c>
      <c r="B2186" s="3" t="s">
        <v>9702</v>
      </c>
      <c r="C2186" s="3"/>
      <c r="D2186" s="3" t="s">
        <v>71</v>
      </c>
      <c r="E2186" s="4" t="s">
        <v>44</v>
      </c>
      <c r="F2186" s="4" t="s">
        <v>20</v>
      </c>
      <c r="G2186" s="4" t="s">
        <v>524</v>
      </c>
      <c r="H2186" s="3" t="s">
        <v>9724</v>
      </c>
      <c r="I2186" s="3" t="s">
        <v>9704</v>
      </c>
      <c r="J2186" s="4">
        <v>19.88</v>
      </c>
      <c r="K2186" s="4">
        <v>23.0</v>
      </c>
      <c r="L2186" s="3" t="s">
        <v>387</v>
      </c>
      <c r="M2186" s="3" t="s">
        <v>9725</v>
      </c>
      <c r="N2186" s="7" t="str">
        <f>IFERROR(__xludf.DUMMYFUNCTION("GOOGLETRANSLATE(L2186, ""en"", ""pt"")"),"Ordem de serviço não disponível")</f>
        <v>Ordem de serviço não disponível</v>
      </c>
      <c r="O2186" s="7" t="str">
        <f>IFERROR(__xludf.DUMMYFUNCTION("IF(M2186="""","""",GOOGLETRANSLATE(M2186,""en"",""pt""))"),"• Preparar, cozinhar, grelhar e montar alimentos como carnes, frutos do mar, aves, legumes, sopas, saladas e sanduíches, de acordo com as receitas e instruções estabelecidas. • Executar tarefas de preparação de alimentos, incluindo lavar, cortar, misturar"&amp;", medir e porcionar ingredientes. • Coordenar a preparação e o tempo dos alimentos para garantir que as refeições sejam concluídas simultaneamente. • Montar, manter e desmontar as estações de cozinha designadas. • Operar equipamentos de cozinha padrão, co"&amp;"mo fornos, grelhas, batedeiras, caldeiras a vapor, fatiadores e facas. • Seguir todas as normas de segurança alimentar, higiene e higiene pessoal. • Garantir que as áreas de trabalho, utensílios e equipamentos estejam sempre limpos e higienizados. • Cobri"&amp;"r, etiquetar, datar e armazenar os alimentos adequadamente, de acordo com as diretrizes de segurança alimentar. • Medir e combinar ingredientes utilizando os procedimentos aprovados. • Assar e cozinhar alimentos utilizando fornos ou grelhas de produção, m"&amp;"onitorando os tempos e temperaturas de cozimento. • Minimizar o desperdício de alimentos e utilizar corretamente os suprimentos e equipamentos de cozinha. • Adaptar as receitas às solicitações de membros/convidados em relação a alergias e substituições. •"&amp;" Seguir todas as normas de segurança de equipamentos como diretriz e reportar quaisquer problemas com os equipamentos à gerência. • Cozinhar, assar e decorar alimentos salgados e doces em um ambiente de cozinha profissional. Classificação do Cargo: 35-201"&amp;"4.00 - Cozinheiros, Restaurante. A classificação e descrição do cargo/setor inclui informações gerais sobre a posição, de acordo com o ONET/OES e o Sistema de Classificação Industrial da América do Norte. Consulte as Funções e a Ordem de Serviço para obte"&amp;"r mais informações. Requisitos do Cargo Experiência Necessária: Não. Requisitos Especiais: Esta posição opera em um clube privado. As áreas de trabalho podem ser movimentadas e barulhentas. O trabalho é realizado em um ambiente de cozinha comercial, onde "&amp;"o ar pode ser úmido, quente e com odor devido ao preparo de alimentos com equipamentos como forno, fogão, lava-louças, fatiadores, máquinas de café, vaporizadores, batedeiras e facas de chef. O funcionário é frequentemente exposto a calor, vapor e fogo. O"&amp;" piso da cozinha pode ser escorregadio devido à umidade e gordura. O funcionário pode estar exposto a riscos, incluindo, entre outros, cortes, escorregões, tropeções, quedas e queimaduras. A lavagem frequente das mãos é obrigatória. Pode ser necessário su"&amp;"bir escadas diariamente. O funcionário pode ficar exposto às condições climáticas ao transportar alimentos de diferentes áreas. Adaptações razoáveis ​​podem ser feitas para permitir que pessoas com deficiência desempenhem as funções essenciais. O funcioná"&amp;"rio deve levantar e/ou mover regularmente até 4,5 kg e ocasionalmente levantar e/ou mover de 11 a 23 kg. As habilidades visuais específicas exigidas para este trabalho incluem visão de perto, visão de longe, visão periférica, percepção de profundidade e c"&amp;"apacidade de ajustar o foco. Ao desempenhar as funções deste trabalho, o funcionário deve ficar em pé regularmente; caminhar; usar as mãos para manipular ou sentir objetos; falar, ouvir, degustar e cheirar. O funcionário deve ocasionalmente sentar, estend"&amp;"er os braços e as mãos, abaixar-se, ajoelhar-se e agachar-se. Movimentos repetitivos contínuos. Trabalho em ambiente quente, úmido e barulhento. Todos os candidatos devem passar por testes de drogas e verificação de antecedentes, incluindo funcionários na"&amp;"cionais e com visto H2B em cargos sazonais, de tempo integral e anuais. Esses padrões são aplicados a todos os candidatos, independentemente de nacionalidade, raça ou sexo. Número de horas por semana: 35 Horário de trabalho (início/término): 7h00 - 15h00")</f>
        <v>• Preparar, cozinhar, grelhar e montar alimentos como carnes, frutos do mar, aves, legumes, sopas, saladas e sanduíches, de acordo com as receitas e instruções estabelecidas. • Executar tarefas de preparação de alimentos, incluindo lavar, cortar, misturar, medir e porcionar ingredientes. • Coordenar a preparação e o tempo dos alimentos para garantir que as refeições sejam concluídas simultaneamente. • Montar, manter e desmontar as estações de cozinha designadas. • Operar equipamentos de cozinha padrão, como fornos, grelhas, batedeiras, caldeiras a vapor, fatiadores e facas. • Seguir todas as normas de segurança alimentar, higiene e higiene pessoal. • Garantir que as áreas de trabalho, utensílios e equipamentos estejam sempre limpos e higienizados. • Cobrir, etiquetar, datar e armazenar os alimentos adequadamente, de acordo com as diretrizes de segurança alimentar. • Medir e combinar ingredientes utilizando os procedimentos aprovados. • Assar e cozinhar alimentos utilizando fornos ou grelhas de produção, monitorando os tempos e temperaturas de cozimento. • Minimizar o desperdício de alimentos e utilizar corretamente os suprimentos e equipamentos de cozinha. • Adaptar as receitas às solicitações de membros/convidados em relação a alergias e substituições. • Seguir todas as normas de segurança de equipamentos como diretriz e reportar quaisquer problemas com os equipamentos à gerência. • Cozinhar, assar e decorar alimentos salgados e doces em um ambiente de cozinha profissional. Classificação do Cargo: 35-2014.00 - Cozinheiros, Restaurante. A classificação e descrição do cargo/setor inclui informações gerais sobre a posição, de acordo com o ONET/OES e o Sistema de Classificação Industrial da América do Norte. Consulte as Funções e a Ordem de Serviço para obter mais informações. Requisitos do Cargo Experiência Necessária: Não. Requisitos Especiais: Esta posição opera em um clube privado. As áreas de trabalho podem ser movimentadas e barulhentas. O trabalho é realizado em um ambiente de cozinha comercial, onde o ar pode ser úmido, quente e com odor devido ao preparo de alimentos com equipamentos como forno, fogão, lava-louças, fatiadores, máquinas de café, vaporizadores, batedeiras e facas de chef. O funcionário é frequentemente exposto a calor, vapor e fogo. O piso da cozinha pode ser escorregadio devido à umidade e gordura. O funcionário pode estar exposto a riscos, incluindo, entre outros, cortes, escorregões, tropeções, quedas e queimaduras. A lavagem frequente das mãos é obrigatória. Pode ser necessário subir escadas diariamente. O funcionário pode ficar exposto às condições climáticas ao transportar alimentos de diferentes áreas. Adaptações razoáveis ​​podem ser feitas para permitir que pessoas com deficiência desempenhem as funções essenciais. O funcionário deve levantar e/ou mover regularmente até 4,5 kg e ocasionalmente levantar e/ou mover de 11 a 23 kg. As habilidades visuais específicas exigidas para este trabalho incluem visão de perto, visão de longe, visão periférica, percepção de profundidade e capacidade de ajustar o foco. Ao desempenhar as funções deste trabalho, o funcionário deve ficar em pé regularmente; caminhar; usar as mãos para manipular ou sentir objetos; falar, ouvir, degustar e cheirar. O funcionário deve ocasionalmente sentar, estender os braços e as mãos, abaixar-se, ajoelhar-se e agachar-se. Movimentos repetitivos contínuos. Trabalho em ambiente quente, úmido e barulhento. Todos os candidatos devem passar por testes de drogas e verificação de antecedentes, incluindo funcionários nacionais e com visto H2B em cargos sazonais, de tempo integral e anuais. Esses padrões são aplicados a todos os candidatos, independentemente de nacionalidade, raça ou sexo. Número de horas por semana: 35 Horário de trabalho (início/término): 7h00 - 15h00</v>
      </c>
    </row>
    <row r="2187" ht="20.25" customHeight="1">
      <c r="A2187" s="8" t="s">
        <v>9726</v>
      </c>
      <c r="B2187" s="8" t="s">
        <v>9702</v>
      </c>
      <c r="C2187" s="8"/>
      <c r="D2187" s="8" t="s">
        <v>71</v>
      </c>
      <c r="E2187" s="9" t="s">
        <v>44</v>
      </c>
      <c r="F2187" s="9" t="s">
        <v>20</v>
      </c>
      <c r="G2187" s="9" t="s">
        <v>524</v>
      </c>
      <c r="H2187" s="8" t="s">
        <v>9703</v>
      </c>
      <c r="I2187" s="8" t="s">
        <v>9704</v>
      </c>
      <c r="J2187" s="9">
        <v>20.13</v>
      </c>
      <c r="K2187" s="9">
        <v>19.0</v>
      </c>
      <c r="L2187" s="8" t="s">
        <v>1206</v>
      </c>
      <c r="M2187" s="8" t="s">
        <v>9727</v>
      </c>
      <c r="N2187" s="7" t="str">
        <f>IFERROR(__xludf.DUMMYFUNCTION("GOOGLETRANSLATE(L2187, ""en"", ""pt"")"),"Servidor")</f>
        <v>Servidor</v>
      </c>
      <c r="O2187" s="7" t="str">
        <f>IFERROR(__xludf.DUMMYFUNCTION("IF(M2187="""","""",GOOGLETRANSLATE(M2187,""en"",""pt""))"),"***Resposta à Solicitação de Informações*** O trabalho é realizado em um clube privado para membros, em salas de jantar internas, áreas de bar/lounge, áreas de serviço à beira da piscina e da praia, e espaços para banquetes/eventos. Os pedidos de comida e"&amp;" bebida são recebidos e entregues em todos esses locais usando tablets e sistemas de ponto de venda (PDV). Os ""equipamentos de serviço"" incluem bandejas de servir, jarras de água, porta-condimentos, bacias de limpeza, recipientes para toalhas, refrigera"&amp;"dores portáteis para bebidas e cardápios/expositores de cardápio. As tarefas de manutenção incluem limpar e higienizar os equipamentos com panos de limpeza e desinfetante próprio para alimentos, repor toalhas e cardápios, repor gelo, organizar as estações"&amp;" e recolher pratos, copos e toalhas usados. As tarefas relacionadas a eventos incluem montagem, serviço e desmontagem para reuniões, banquetes, eventos sociais e funções privadas em salas de jantar, salões de banquetes, áreas da piscina e da praia. As tar"&amp;"efas incluem posicionar mesas e cadeiras, colocar toalhas de mesa, arrumar os lugares à mesa, organizar a decoração, abastecer o buffet e os pontos de venda de bebidas, anotar pedidos, servir comidas e bebidas, levar os pratos, repor bebidas, limpar as me"&amp;"sas, desmontar as estruturas, transportar itens usando carrinhos de golfe ou carrinhos de mão e limpar superfícies. ***Original*** Oferecer serviços de alimentação e bebidas profissionais, corteses e ágeis aos membros e convidados de maneira amigável e en"&amp;"tusiasmada. Receber os convidados calorosamente e manter uma postura amigável e profissional em todos os momentos. Concentrar-se nas necessidades dos convidados, mantendo a calma e a cortesia em um ambiente dinâmico. Aprender e seguir rigorosamente os pad"&amp;"rões e procedimentos de serviço do restaurante, da praia e da piscina. Preparar a praia com cadeiras, guarda-sóis e toalhas, e garantir que os convidados sempre tenham toalhas limpas à disposição. Preparar as mesas para as refeições, incluindo a disposiçã"&amp;"o de itens como toalhas de mesa, talheres e copos. Possuir conhecimento detalhado dos cardápios de comidas e bebidas, pratos do dia, promoções, guarnições, ingredientes e métodos de preparo. Responder às perguntas dos clientes sobre os itens do cardápio d"&amp;"e forma informativa e prestativa. Anotar os pedidos de comida e bebida dos sócios em dispositivos portáteis ou tablets e entregar os pedidos aos sócios e convidados. Inserir os pedidos com precisão no sistema de ponto de venda (PDV) e verificar a transmis"&amp;"são do pedido com a cozinha ou o bar. Conhecer o serviço de café/chá, a lista de bebidas, as promoções, todos os itens do cardápio, guarnições, ingredientes e métodos de preparo. Montar e manter as estações de serviço da praia e da piscina, incluindo cade"&amp;"iras, guarda-sóis, toalhas e equipamentos de serviço. Garantir que os clientes sempre tenham toalhas limpas e assentos devidamente organizados. Auxiliar na entrega dos pedidos de comida e bebida para as mesas designadas e outros funcionários. Seguir todas"&amp;" as normas de segurança e higiene ao manusear alimentos e bebidas. Entregar os pedidos de comida e bebida para as mesas designadas e outros funcionários. Operar um carrinho de golfe para transportar suprimentos e equipamentos, como cadeiras, mesas, roupas"&amp;" de cama, toalhas e decoração para eventos na praia, piscina ou eventos especiais. Auxiliar na montagem, serviço e desmontagem de eventos de alimentação e bebidas e funções privadas. Seguir todas as normas de segurança alimentar, higiene, saúde e seguranç"&amp;"a no trabalho. Manter a área de trabalho limpa, organizada e profissional durante todo o serviço. Classificação do Cargo: 35-3031.00 - Garçons e Garçonetes. A classificação e descrição do cargo/setor inclui informações gerais sobre a posição, de acordo co"&amp;"m o ONET/OES e o Sistema de Classificação Industrial da América do Norte. Consulte as Funções e a Ordem de Serviço para obter mais informações. Requisitos do Cargo: Experiência Necessária: Não. Requisitos Especiais: Capacidade de realizar multitarefas sem"&amp;" se estressar. Experiência em atendimento ao cliente. Facilidade para se comunicar com os clientes. Capacidade de lidar bem com pressão. Capacidade de se adaptar rapidamente a mudanças. Disposição e capacidade para ficar em pé por mais de 8 horas. Vender "&amp;"pratos especiais do cardápio ou ofertas por tempo limitado. Outras Habilidades e Requisitos Especiais: É necessário possuir carteira de habilitação válida para operar carrinhos de golfe. É necessário um Certificado de Manipulador de Alimentos válido para "&amp;"esta posição, a fim de garantir a conformidade com as normas de segurança alimentar e manter altos padrões de higiene e serviço. Para membros da equipe que servem bebidas alcoólicas, é necessário um Certificado de Servidor de Bebidas Alcoólicas válido (po"&amp;"r exemplo, RBS ou equivalente), em conformidade com as regulamentações estaduais e locais. Esta posição opera em um clube privado. O funcionário fica exposto às condições climáticas ao servir os clientes ao ar livre. As áreas de trabalho podem ser movimen"&amp;"tadas e barulhentas. O funcionário faz viagens frequentes à cozinha, onde o ar pode ser úmido, quente e com odor de alimentos sendo preparados. O piso da cozinha pode estar escorregadio devido à umidade e à gordura. O funcionário pode estar exposto a risc"&amp;"os, incluindo, entre outros, cortes, escorregões, tropeções, quedas e queimaduras. A lavagem frequente das mãos é obrigatória. Uso frequente de escadas, diariamente. Ao desempenhar as funções deste cargo, o funcionário precisa falar e ouvir regularmente. "&amp;"Esta posição é muito ativa e exige ficar em pé e se movimentar por longos períodos. Há constante deslocamento entre ambientes internos e externos. Esta posição exige caminhar, curvar-se, ajoelhar-se, abaixar-se e agachar-se. O trabalho pode exigir ocasion"&amp;"almente carregar/levantar até 23 kg, pesar até 9 kg e empurrar e puxar até 34 kg sem ajuda, frequentemente alcançando objetos acima da cabeça. A força e a coordenação dos braços devem ser suficientes para carregar pratos de comida, copos e garrafas, e ser"&amp;"vir em bandejas grandes. Todos os candidatos devem passar por testes de drogas e verificação de antecedentes, incluindo vistos nacionais e H2B, e para funcionários em cargos sazonais, de tempo integral e anuais. Esses padrões se aplicam a todos os candida"&amp;"tos, independentemente de nacionalidade, raça ou sexo. Número de horas por semana: 35. Horário de trabalho (início/término): 7h às 15h.")</f>
        <v>***Resposta à Solicitação de Informações*** O trabalho é realizado em um clube privado para membros, em salas de jantar internas, áreas de bar/lounge, áreas de serviço à beira da piscina e da praia, e espaços para banquetes/eventos. Os pedidos de comida e bebida são recebidos e entregues em todos esses locais usando tablets e sistemas de ponto de venda (PDV). Os "equipamentos de serviço" incluem bandejas de servir, jarras de água, porta-condimentos, bacias de limpeza, recipientes para toalhas, refrigeradores portáteis para bebidas e cardápios/expositores de cardápio. As tarefas de manutenção incluem limpar e higienizar os equipamentos com panos de limpeza e desinfetante próprio para alimentos, repor toalhas e cardápios, repor gelo, organizar as estações e recolher pratos, copos e toalhas usados. As tarefas relacionadas a eventos incluem montagem, serviço e desmontagem para reuniões, banquetes, eventos sociais e funções privadas em salas de jantar, salões de banquetes, áreas da piscina e da praia. As tarefas incluem posicionar mesas e cadeiras, colocar toalhas de mesa, arrumar os lugares à mesa, organizar a decoração, abastecer o buffet e os pontos de venda de bebidas, anotar pedidos, servir comidas e bebidas, levar os pratos, repor bebidas, limpar as mesas, desmontar as estruturas, transportar itens usando carrinhos de golfe ou carrinhos de mão e limpar superfícies. ***Original*** Oferecer serviços de alimentação e bebidas profissionais, corteses e ágeis aos membros e convidados de maneira amigável e entusiasmada. Receber os convidados calorosamente e manter uma postura amigável e profissional em todos os momentos. Concentrar-se nas necessidades dos convidados, mantendo a calma e a cortesia em um ambiente dinâmico. Aprender e seguir rigorosamente os padrões e procedimentos de serviço do restaurante, da praia e da piscina. Preparar a praia com cadeiras, guarda-sóis e toalhas, e garantir que os convidados sempre tenham toalhas limpas à disposição. Preparar as mesas para as refeições, incluindo a disposição de itens como toalhas de mesa, talheres e copos. Possuir conhecimento detalhado dos cardápios de comidas e bebidas, pratos do dia, promoções, guarnições, ingredientes e métodos de preparo. Responder às perguntas dos clientes sobre os itens do cardápio de forma informativa e prestativa. Anotar os pedidos de comida e bebida dos sócios em dispositivos portáteis ou tablets e entregar os pedidos aos sócios e convidados. Inserir os pedidos com precisão no sistema de ponto de venda (PDV) e verificar a transmissão do pedido com a cozinha ou o bar. Conhecer o serviço de café/chá, a lista de bebidas, as promoções, todos os itens do cardápio, guarnições, ingredientes e métodos de preparo. Montar e manter as estações de serviço da praia e da piscina, incluindo cadeiras, guarda-sóis, toalhas e equipamentos de serviço. Garantir que os clientes sempre tenham toalhas limpas e assentos devidamente organizados. Auxiliar na entrega dos pedidos de comida e bebida para as mesas designadas e outros funcionários. Seguir todas as normas de segurança e higiene ao manusear alimentos e bebidas. Entregar os pedidos de comida e bebida para as mesas designadas e outros funcionários. Operar um carrinho de golfe para transportar suprimentos e equipamentos, como cadeiras, mesas, roupas de cama, toalhas e decoração para eventos na praia, piscina ou eventos especiais. Auxiliar na montagem, serviço e desmontagem de eventos de alimentação e bebidas e funções privadas. Seguir todas as normas de segurança alimentar, higiene, saúde e segurança no trabalho. Manter a área de trabalho limpa, organizada e profissional durante todo o serviço. Classificação do Cargo: 35-3031.00 - Garçons e Garçonetes. A classificação e descrição do cargo/setor inclui informações gerais sobre a posição, de acordo com o ONET/OES e o Sistema de Classificação Industrial da América do Norte. Consulte as Funções e a Ordem de Serviço para obter mais informações. Requisitos do Cargo: Experiência Necessária: Não. Requisitos Especiais: Capacidade de realizar multitarefas sem se estressar. Experiência em atendimento ao cliente. Facilidade para se comunicar com os clientes. Capacidade de lidar bem com pressão. Capacidade de se adaptar rapidamente a mudanças. Disposição e capacidade para ficar em pé por mais de 8 horas. Vender pratos especiais do cardápio ou ofertas por tempo limitado. Outras Habilidades e Requisitos Especiais: É necessário possuir carteira de habilitação válida para operar carrinhos de golfe. É necessário um Certificado de Manipulador de Alimentos válido para esta posição, a fim de garantir a conformidade com as normas de segurança alimentar e manter altos padrões de higiene e serviço. Para membros da equipe que servem bebidas alcoólicas, é necessário um Certificado de Servidor de Bebidas Alcoólicas válido (por exemplo, RBS ou equivalente), em conformidade com as regulamentações estaduais e locais. Esta posição opera em um clube privado. O funcionário fica exposto às condições climáticas ao servir os clientes ao ar livre. As áreas de trabalho podem ser movimentadas e barulhentas. O funcionário faz viagens frequentes à cozinha, onde o ar pode ser úmido, quente e com odor de alimentos sendo preparados. O piso da cozinha pode estar escorregadio devido à umidade e à gordura. O funcionário pode estar exposto a riscos, incluindo, entre outros, cortes, escorregões, tropeções, quedas e queimaduras. A lavagem frequente das mãos é obrigatória. Uso frequente de escadas, diariamente. Ao desempenhar as funções deste cargo, o funcionário precisa falar e ouvir regularmente. Esta posição é muito ativa e exige ficar em pé e se movimentar por longos períodos. Há constante deslocamento entre ambientes internos e externos. Esta posição exige caminhar, curvar-se, ajoelhar-se, abaixar-se e agachar-se. O trabalho pode exigir ocasionalmente carregar/levantar até 23 kg, pesar até 9 kg e empurrar e puxar até 34 kg sem ajuda, frequentemente alcançando objetos acima da cabeça. A força e a coordenação dos braços devem ser suficientes para carregar pratos de comida, copos e garrafas, e servir em bandejas grandes. Todos os candidatos devem passar por testes de drogas e verificação de antecedentes, incluindo vistos nacionais e H2B, e para funcionários em cargos sazonais, de tempo integral e anuais. Esses padrões se aplicam a todos os candidatos, independentemente de nacionalidade, raça ou sexo. Número de horas por semana: 35. Horário de trabalho (início/término): 7h às 15h.</v>
      </c>
    </row>
    <row r="2188" ht="20.25" customHeight="1">
      <c r="A2188" s="3" t="s">
        <v>9728</v>
      </c>
      <c r="B2188" s="3" t="s">
        <v>9729</v>
      </c>
      <c r="C2188" s="3" t="s">
        <v>9586</v>
      </c>
      <c r="D2188" s="3" t="s">
        <v>102</v>
      </c>
      <c r="E2188" s="4" t="s">
        <v>19</v>
      </c>
      <c r="F2188" s="4" t="s">
        <v>20</v>
      </c>
      <c r="G2188" s="4" t="s">
        <v>377</v>
      </c>
      <c r="H2188" s="3" t="s">
        <v>9730</v>
      </c>
      <c r="I2188" s="3" t="s">
        <v>9731</v>
      </c>
      <c r="J2188" s="4">
        <v>17.04</v>
      </c>
      <c r="K2188" s="4">
        <v>12.0</v>
      </c>
      <c r="L2188" s="3" t="s">
        <v>9732</v>
      </c>
      <c r="M2188" s="3" t="s">
        <v>9733</v>
      </c>
      <c r="N2188" s="7" t="str">
        <f>IFERROR(__xludf.DUMMYFUNCTION("GOOGLETRANSLATE(L2188, ""en"", ""pt"")"),"Abridor/embalador de ostras")</f>
        <v>Abridor/embalador de ostras</v>
      </c>
      <c r="O2188" s="7" t="str">
        <f>IFERROR(__xludf.DUMMYFUNCTION("IF(M2188="""","""",GOOGLETRANSLATE(M2188,""en"",""pt""))"),"O trabalho exige que os abridores de ostras carreguem e descarreguem ostras do transporte. Após o descarregamento, os abridores processam as ostras, selecionando-as, removendo-as da concha, lavando, pesando, embalando, etiquetando, paletizando e armazenan"&amp;"do. Os abridores devem manter a área de trabalho limpa e livre de contaminantes. Classificação do Cargo: 53-7062.00 - Operários e Movimentadores de Carga, Estoque e Materiais. A classificação e descrição do cargo/setor incluem informações gerais sobre a p"&amp;"osição, de acordo com o ONET/OES e o Sistema de Classificação Industrial da América do Norte (NAICS). Consulte as Funções e a Ordem de Serviço para obter mais informações. Requisitos do Cargo Experiência Necessária: Sim Meses de Experiência Necessários: 1"&amp;" Requisitos Especiais: capacidade de levantar 23 kg ou mais, visto que os sacos de ostras pesam 23 kg ou um pouco mais. Número de Horas por Semana: 35 Horário de Trabalho (Início/Término): 6h às 14h")</f>
        <v>O trabalho exige que os abridores de ostras carreguem e descarreguem ostras do transporte. Após o descarregamento, os abridores processam as ostras, selecionando-as, removendo-as da concha, lavando, pesando, embalando, etiquetando, paletizando e armazenando. Os abridores devem manter a área de trabalho limpa e livre de contaminantes. Classificação do Cargo: 53-7062.00 - Operários e Movimentadores de Carga, Estoque e Materiais. A classificação e descrição do cargo/setor incluem informações gerais sobre a posição, de acordo com o ONET/OES e o Sistema de Classificação Industrial da América do Norte (NAICS). Consulte as Funções e a Ordem de Serviço para obter mais informações. Requisitos do Cargo Experiência Necessária: Sim Meses de Experiência Necessários: 1 Requisitos Especiais: capacidade de levantar 23 kg ou mais, visto que os sacos de ostras pesam 23 kg ou um pouco mais. Número de Horas por Semana: 35 Horário de Trabalho (Início/Término): 6h às 14h</v>
      </c>
    </row>
    <row r="2189" ht="20.25" customHeight="1">
      <c r="A2189" s="8" t="s">
        <v>9734</v>
      </c>
      <c r="B2189" s="8" t="s">
        <v>9537</v>
      </c>
      <c r="C2189" s="8" t="s">
        <v>1000</v>
      </c>
      <c r="D2189" s="8" t="s">
        <v>344</v>
      </c>
      <c r="E2189" s="9" t="s">
        <v>19</v>
      </c>
      <c r="F2189" s="9" t="s">
        <v>20</v>
      </c>
      <c r="G2189" s="9" t="s">
        <v>307</v>
      </c>
      <c r="H2189" s="8" t="s">
        <v>9538</v>
      </c>
      <c r="I2189" s="8" t="s">
        <v>9539</v>
      </c>
      <c r="J2189" s="9">
        <v>29.74</v>
      </c>
      <c r="K2189" s="9">
        <v>10.0</v>
      </c>
      <c r="L2189" s="8" t="s">
        <v>9735</v>
      </c>
      <c r="M2189" s="8" t="s">
        <v>9736</v>
      </c>
      <c r="N2189" s="7" t="str">
        <f>IFERROR(__xludf.DUMMYFUNCTION("GOOGLETRANSLATE(L2189, ""en"", ""pt"")"),"Carpinteiro")</f>
        <v>Carpinteiro</v>
      </c>
      <c r="O2189" s="7" t="str">
        <f>IFERROR(__xludf.DUMMYFUNCTION("IF(M2189="""","""",GOOGLETRANSLATE(M2189,""en"",""pt""))"),"Ler e seguir plantas e medidas para construir, erguer, instalar ou reparar estruturas; estruturas de edifícios, incluindo paredes, telhados, vigas, caibros, caibros de janelas e portas. Instalar revestimento metálico, janelas, placas de teto e isolamento."&amp;" Instruir trabalhadores menos qualificados sobre as tarefas do trabalho. Estará exposto a alturas, temperaturas extremas, atividade física extenuante e movimentos repetitivos. É necessário o uso correto e preciso de trena. Classificação do Cargo: 47-2031."&amp;"00 - Carpinteiros. A classificação e descrição do cargo/setor inclui informações gerais sobre a posição, de acordo com o ONET/OES e o Sistema de Classificação Industrial da América do Norte. Consulte as Funções do Cargo e a Ordem de Serviço para obter mai"&amp;"s informações. Requisitos do Cargo Experiência Necessária: Sim Meses de Experiência Necessários: 12 Requisitos Especiais: Deve ser capaz de levantar e carregar 36 kg por 18 metros. Deve ser capaz de lidar com temperaturas extremas. Trabalho em alguns fins"&amp;" de semana. Número de Horas por Semana: 40 Horário de Trabalho (Início/Término): 7h00. - 18h00")</f>
        <v>Ler e seguir plantas e medidas para construir, erguer, instalar ou reparar estruturas; estruturas de edifícios, incluindo paredes, telhados, vigas, caibros, caibros de janelas e portas. Instalar revestimento metálico, janelas, placas de teto e isolamento. Instruir trabalhadores menos qualificados sobre as tarefas do trabalho. Estará exposto a alturas, temperaturas extremas, atividade física extenuante e movimentos repetitivos. É necessário o uso correto e preciso de trena. Classificação do Cargo: 47-2031.00 - Carpinteiros. A classificação e descrição do cargo/setor inclui informações gerais sobre a posição, de acordo com o ONET/OES e o Sistema de Classificação Industrial da América do Norte. Consulte as Funções do Cargo e a Ordem de Serviço para obter mais informações. Requisitos do Cargo Experiência Necessária: Sim Meses de Experiência Necessários: 12 Requisitos Especiais: Deve ser capaz de levantar e carregar 36 kg por 18 metros. Deve ser capaz de lidar com temperaturas extremas. Trabalho em alguns fins de semana. Número de Horas por Semana: 40 Horário de Trabalho (Início/Término): 7h00. - 18h00</v>
      </c>
    </row>
    <row r="2190" ht="20.25" customHeight="1">
      <c r="A2190" s="3" t="s">
        <v>9737</v>
      </c>
      <c r="B2190" s="3" t="s">
        <v>9738</v>
      </c>
      <c r="C2190" s="3" t="s">
        <v>9739</v>
      </c>
      <c r="D2190" s="3" t="s">
        <v>71</v>
      </c>
      <c r="E2190" s="4" t="s">
        <v>19</v>
      </c>
      <c r="F2190" s="4" t="s">
        <v>20</v>
      </c>
      <c r="G2190" s="4" t="s">
        <v>377</v>
      </c>
      <c r="H2190" s="3" t="s">
        <v>9740</v>
      </c>
      <c r="I2190" s="3" t="s">
        <v>9741</v>
      </c>
      <c r="J2190" s="4">
        <v>15.86</v>
      </c>
      <c r="K2190" s="4">
        <v>19.0</v>
      </c>
      <c r="L2190" s="3" t="s">
        <v>7229</v>
      </c>
      <c r="M2190" s="3" t="s">
        <v>9742</v>
      </c>
      <c r="N2190" s="7" t="str">
        <f>IFERROR(__xludf.DUMMYFUNCTION("GOOGLETRANSLATE(L2190, ""en"", ""pt"")"),"Mensageiro")</f>
        <v>Mensageiro</v>
      </c>
      <c r="O2190" s="7" t="str">
        <f>IFERROR(__xludf.DUMMYFUNCTION("IF(M2190="""","""",GOOGLETRANSLATE(M2190,""en"",""pt""))"),"***Resposta à Solicitação de Informações (RFI)*** Deve ser capaz de trabalhar sob pressão, operando veículos de hóspedes e residentes com segurança. Movimentar e posicionar brevemente os veículos de hóspedes/residentes, exclusivamente para auxiliar os hós"&amp;"pedes com a bagagem durante chegadas e partidas, dentro da entrada de veículos e áreas de estacionamento designadas do empregador, a fim de facilitar o carregamento/descarregamento de bagagem e a coordenação de chegadas e partidas. Não há serviço de trans"&amp;"porte ou condução fora das instalações. Ser a primeira e a última impressão, auxiliando nas chegadas e partidas, incluindo recepcionar os hóspedes que chegam, abrir portas e auxiliar no descarregamento e transporte de bagagem para os quartos ou áreas de a"&amp;"rmazenamento. Na partida, buscar e carregar a bagagem nos veículos. Carregar e entregar pacotes, incluindo mantimentos, jornais, presentes, encomendas e flores; manusear bagagem para hóspedes e/ou residentes; deve ser capaz de caminhar, ficar em pé e corr"&amp;"er (aproximadamente 14 a 19 km por turno) durante um turno de 8 a 9 horas. ***Original F.a.2*** Deve ser capaz de trabalhar sob pressão, operando veículos de hóspedes e residentes com segurança. Ser a primeira e a última impressão; auxiliar nas chegadas e"&amp;" partidas; Transportar e entregar encomendas, incluindo compras de supermercado, jornais, presentes, pacotes e flores; manusear bagagens de hóspedes e/ou residentes; ser capaz de caminhar, ficar em pé e correr (aproximadamente 14 a 19 km por turno) durant"&amp;"e um turno de 8 a 9 horas. Requisitos: Ser elegível para carteira de habilitação da Flórida, possuir histórico de direção dos últimos 3 anos e ter 18 anos de idade. O Breakers pagará antecipadamente a sua carteira de habilitação da Flórida e esse valor se"&amp;"rá descontado no próximo pagamento. Salário: US$ 10,98 + gorjeta; salário por hora de US$ 21,00 a US$ 24,00. O empregador garante que o salário não será inferior ao salário vigente de US$ 15,86/hora. Horas extras disponíveis, pagas a US$ 23,79/hora. O sal"&amp;"ário varia conforme a unidade. Turnos: Vários turnos (5 dias rotativos, incluindo fins de semana e feriados) 5h-15h; 10h-18h; 12h-20h; 18h-2h; Das 19h às 7h. Classificação da vaga: 39-6011.00 - Carregadores de bagagem e mensageiros. A classificação e desc"&amp;"rição da vaga/setor incluem informações gerais sobre o cargo, de acordo com o ONET/OES e o Sistema de Classificação Industrial da América do Norte. Consulte as Funções e a Ordem de Serviço para obter mais informações. Requisitos da vaga: Experiência neces"&amp;"sária: Não. Requisitos especiais: Deve ser elegível para carteira de habilitação da Flórida, possuir histórico de direção dos últimos 3 anos e ter 18 anos de idade. O Breakers pagará antecipadamente a sua carteira de habilitação da Flórida e esse valor se"&amp;"rá descontado no próximo pagamento. Deve ser capaz de caminhar, ficar em pé e correr (aproximadamente 14 a 19 km por turno) durante um turno de 8 a 9 horas. Deve ser capaz de trabalhar sob pressão, operando veículos de hóspedes e residentes com segurança."&amp;" Número de horas por semana: 35. Horário de trabalho (início/término): 5h às 15h.")</f>
        <v>***Resposta à Solicitação de Informações (RFI)*** Deve ser capaz de trabalhar sob pressão, operando veículos de hóspedes e residentes com segurança. Movimentar e posicionar brevemente os veículos de hóspedes/residentes, exclusivamente para auxiliar os hóspedes com a bagagem durante chegadas e partidas, dentro da entrada de veículos e áreas de estacionamento designadas do empregador, a fim de facilitar o carregamento/descarregamento de bagagem e a coordenação de chegadas e partidas. Não há serviço de transporte ou condução fora das instalações. Ser a primeira e a última impressão, auxiliando nas chegadas e partidas, incluindo recepcionar os hóspedes que chegam, abrir portas e auxiliar no descarregamento e transporte de bagagem para os quartos ou áreas de armazenamento. Na partida, buscar e carregar a bagagem nos veículos. Carregar e entregar pacotes, incluindo mantimentos, jornais, presentes, encomendas e flores; manusear bagagem para hóspedes e/ou residentes; deve ser capaz de caminhar, ficar em pé e correr (aproximadamente 14 a 19 km por turno) durante um turno de 8 a 9 horas. ***Original F.a.2*** Deve ser capaz de trabalhar sob pressão, operando veículos de hóspedes e residentes com segurança. Ser a primeira e a última impressão; auxiliar nas chegadas e partidas; Transportar e entregar encomendas, incluindo compras de supermercado, jornais, presentes, pacotes e flores; manusear bagagens de hóspedes e/ou residentes; ser capaz de caminhar, ficar em pé e correr (aproximadamente 14 a 19 km por turno) durante um turno de 8 a 9 horas. Requisitos: Ser elegível para carteira de habilitação da Flórida, possuir histórico de direção dos últimos 3 anos e ter 18 anos de idade. O Breakers pagará antecipadamente a sua carteira de habilitação da Flórida e esse valor será descontado no próximo pagamento. Salário: US$ 10,98 + gorjeta; salário por hora de US$ 21,00 a US$ 24,00. O empregador garante que o salário não será inferior ao salário vigente de US$ 15,86/hora. Horas extras disponíveis, pagas a US$ 23,79/hora. O salário varia conforme a unidade. Turnos: Vários turnos (5 dias rotativos, incluindo fins de semana e feriados) 5h-15h; 10h-18h; 12h-20h; 18h-2h; Das 19h às 7h. Classificação da vaga: 39-6011.00 - Carregadores de bagagem e mensageiros. A classificação e descrição da vaga/setor incluem informações gerais sobre o cargo, de acordo com o ONET/OES e o Sistema de Classificação Industrial da América do Norte. Consulte as Funções e a Ordem de Serviço para obter mais informações. Requisitos da vaga: Experiência necessária: Não. Requisitos especiais: Deve ser elegível para carteira de habilitação da Flórida, possuir histórico de direção dos últimos 3 anos e ter 18 anos de idade. O Breakers pagará antecipadamente a sua carteira de habilitação da Flórida e esse valor será descontado no próximo pagamento. Deve ser capaz de caminhar, ficar em pé e correr (aproximadamente 14 a 19 km por turno) durante um turno de 8 a 9 horas. Deve ser capaz de trabalhar sob pressão, operando veículos de hóspedes e residentes com segurança. Número de horas por semana: 35. Horário de trabalho (início/término): 5h às 15h.</v>
      </c>
    </row>
    <row r="2191" ht="20.25" customHeight="1">
      <c r="A2191" s="8" t="s">
        <v>9743</v>
      </c>
      <c r="B2191" s="8" t="s">
        <v>9738</v>
      </c>
      <c r="C2191" s="8" t="s">
        <v>9739</v>
      </c>
      <c r="D2191" s="8" t="s">
        <v>71</v>
      </c>
      <c r="E2191" s="9" t="s">
        <v>19</v>
      </c>
      <c r="F2191" s="9" t="s">
        <v>20</v>
      </c>
      <c r="G2191" s="9" t="s">
        <v>377</v>
      </c>
      <c r="H2191" s="8" t="s">
        <v>9740</v>
      </c>
      <c r="I2191" s="8" t="s">
        <v>9741</v>
      </c>
      <c r="J2191" s="9">
        <v>17.91</v>
      </c>
      <c r="K2191" s="9">
        <v>80.0</v>
      </c>
      <c r="L2191" s="8" t="s">
        <v>9744</v>
      </c>
      <c r="M2191" s="8" t="s">
        <v>9745</v>
      </c>
      <c r="N2191" s="7" t="str">
        <f>IFERROR(__xludf.DUMMYFUNCTION("GOOGLETRANSLATE(L2191, ""en"", ""pt"")"),"Assistente de Alimentos e Bebidas II")</f>
        <v>Assistente de Alimentos e Bebidas II</v>
      </c>
      <c r="O2191" s="7" t="str">
        <f>IFERROR(__xludf.DUMMYFUNCTION("IF(M2191="""","""",GOOGLETRANSLATE(M2191,""en"",""pt""))"),"***Resposta à Solicitação de Informações*** Obter suprimentos da cozinha, manter a área de refeições/buffet limpa e organizada; organizar e garantir que a área de refeições/buffet funcione de maneira eficiente e que um serviço de excelência seja oferecido"&amp;" diariamente; obter equipamentos e suprimentos operacionais eficientes das áreas da cozinha; manter os equipamentos limpos na área de refeições/buffet; limpar as mesas e levar a louça suja para a cozinha; garantir que o aparador esteja abastecido com bebi"&amp;"das; servir bebidas e pratos principais aos clientes conforme necessário, incluindo: (Sensibilidade: Confidencial) prestar apoio incidental ao serviço ao cliente, entregando bebidas e alimentos pré-preparados às mesas, reabastecendo bebidas e recolhendo u"&amp;"tensílios de serviço usados, a fim de manter a área de refeições organizada; auxiliar a gerência em outras questões. Por fim, confirmo que os funcionários do Auxiliar de Alimentos e Bebidas II não recebem pedidos de comida ou bebida dos clientes/hóspedes."&amp;" ***Resposta à Solicitação de Informações Original 2*** Obter suprimentos da cozinha, manter a área de refeições/buffet limpa e organizada; organizar e garantir que a área de refeições/buffet funcione de maneira eficiente e que um serviço de excelência se"&amp;"ja oferecido diariamente; obter equipamentos e suprimentos operacionais eficientes das áreas da cozinha; Manter os equipamentos limpos na área de refeições/buffet; limpar as mesas e levar a louça suja para a cozinha; garantir que o aparador esteja abastec"&amp;"ido com bebidas; servir bebidas e pratos principais aos clientes, conforme necessário; auxiliar a gerência em outras tarefas. Requisitos: Mínimo de 1 mês de experiência na função. É necessário saber ler e escrever em inglês corretamente. Salário: De US$ 2"&amp;"1,00 a US$ 26,00 por hora; ou de US$ 2,35 a US$ 6,00 por hora + taxa de serviço. O empregador garante que o salário por hora não será inferior ao salário vigente de US$ 17,91/hora. Horas extras disponíveis, pagas a US$ 26,87/hora, exceto para pessoas isen"&amp;"tas de horas extras de acordo com a Seção 7(i) da FLSA. O salário varia conforme a unidade. Turnos: Vários turnos (5 dias rotativos, incluindo fins de semana e feriados): 4h às 11h; 11h às 18h; 18h à 1h; 22h às 6h. Pode ser necessário trabalhar em diferen"&amp;"tes locais em PBC, FL. Classificação da Função: 35-9011.00 - Atendentes de Refeitório e Cafeteria e Auxiliares de Barman. A classificação e descrição da função/setor inclui informações gerais sobre o cargo, de acordo com o ONET/OES e o Sistema de Classifi"&amp;"cação Industrial da América do Norte (NAICS). Consulte as Funções e a Ordem de Serviço para obter mais informações. Requisitos da Função Experiência Necessária: Sim Meses de Experiência Necessários: 1 Requisitos Especiais: Mínimo de 1 mês de experiência n"&amp;"a função. Deve ser capaz de ler e escrever em inglês corretamente. Número de Horas por Semana: 35 Horário de Trabalho (Início/Término): 4h00 - 11h00")</f>
        <v>***Resposta à Solicitação de Informações*** Obter suprimentos da cozinha, manter a área de refeições/buffet limpa e organizada; organizar e garantir que a área de refeições/buffet funcione de maneira eficiente e que um serviço de excelência seja oferecido diariamente; obter equipamentos e suprimentos operacionais eficientes das áreas da cozinha; manter os equipamentos limpos na área de refeições/buffet; limpar as mesas e levar a louça suja para a cozinha; garantir que o aparador esteja abastecido com bebidas; servir bebidas e pratos principais aos clientes conforme necessário, incluindo: (Sensibilidade: Confidencial) prestar apoio incidental ao serviço ao cliente, entregando bebidas e alimentos pré-preparados às mesas, reabastecendo bebidas e recolhendo utensílios de serviço usados, a fim de manter a área de refeições organizada; auxiliar a gerência em outras questões. Por fim, confirmo que os funcionários do Auxiliar de Alimentos e Bebidas II não recebem pedidos de comida ou bebida dos clientes/hóspedes. ***Resposta à Solicitação de Informações Original 2*** Obter suprimentos da cozinha, manter a área de refeições/buffet limpa e organizada; organizar e garantir que a área de refeições/buffet funcione de maneira eficiente e que um serviço de excelência seja oferecido diariamente; obter equipamentos e suprimentos operacionais eficientes das áreas da cozinha; Manter os equipamentos limpos na área de refeições/buffet; limpar as mesas e levar a louça suja para a cozinha; garantir que o aparador esteja abastecido com bebidas; servir bebidas e pratos principais aos clientes, conforme necessário; auxiliar a gerência em outras tarefas. Requisitos: Mínimo de 1 mês de experiência na função. É necessário saber ler e escrever em inglês corretamente. Salário: De US$ 21,00 a US$ 26,00 por hora; ou de US$ 2,35 a US$ 6,00 por hora + taxa de serviço. O empregador garante que o salário por hora não será inferior ao salário vigente de US$ 17,91/hora. Horas extras disponíveis, pagas a US$ 26,87/hora, exceto para pessoas isentas de horas extras de acordo com a Seção 7(i) da FLSA. O salário varia conforme a unidade. Turnos: Vários turnos (5 dias rotativos, incluindo fins de semana e feriados): 4h às 11h; 11h às 18h; 18h à 1h; 22h às 6h. Pode ser necessário trabalhar em diferentes locais em PBC, FL. Classificação da Função: 35-9011.00 - Atendentes de Refeitório e Cafeteria e Auxiliares de Barman. A classificação e descrição da função/setor inclui informações gerais sobre o cargo, de acordo com o ONET/OES e o Sistema de Classificação Industrial da América do Norte (NAICS). Consulte as Funções e a Ordem de Serviço para obter mais informações. Requisitos da Função Experiência Necessária: Sim Meses de Experiência Necessários: 1 Requisitos Especiais: Mínimo de 1 mês de experiência na função. Deve ser capaz de ler e escrever em inglês corretamente. Número de Horas por Semana: 35 Horário de Trabalho (Início/Término): 4h00 - 11h00</v>
      </c>
    </row>
    <row r="2192" ht="20.25" customHeight="1">
      <c r="A2192" s="3" t="s">
        <v>9746</v>
      </c>
      <c r="B2192" s="3" t="s">
        <v>9738</v>
      </c>
      <c r="C2192" s="3" t="s">
        <v>9739</v>
      </c>
      <c r="D2192" s="3" t="s">
        <v>71</v>
      </c>
      <c r="E2192" s="4" t="s">
        <v>19</v>
      </c>
      <c r="F2192" s="4" t="s">
        <v>20</v>
      </c>
      <c r="G2192" s="4" t="s">
        <v>377</v>
      </c>
      <c r="H2192" s="3" t="s">
        <v>9740</v>
      </c>
      <c r="I2192" s="3" t="s">
        <v>9741</v>
      </c>
      <c r="J2192" s="4">
        <v>21.0</v>
      </c>
      <c r="K2192" s="4">
        <v>57.0</v>
      </c>
      <c r="L2192" s="3" t="s">
        <v>9747</v>
      </c>
      <c r="M2192" s="3" t="s">
        <v>9748</v>
      </c>
      <c r="N2192" s="7" t="str">
        <f>IFERROR(__xludf.DUMMYFUNCTION("GOOGLETRANSLATE(L2192, ""en"", ""pt"")"),"Auxiliar de Cozinha")</f>
        <v>Auxiliar de Cozinha</v>
      </c>
      <c r="O2192" s="7" t="str">
        <f>IFERROR(__xludf.DUMMYFUNCTION("IF(M2192="""","""",GOOGLETRANSLATE(M2192,""en"",""pt""))"),"Responsabilidades: Utilizar a temperatura adequada para conservar os alimentos, executar os métodos corretos de recebimento, proteger contra contaminação cruzada; armazenar e manusear alimentos, limpar/higienizar estações de trabalho/equipamentos; seguir "&amp;"as instruções do chef, as políticas e os procedimentos da empresa; ter conhecimento em fritura, refogado, preparo básico de ovos e/ou confeitaria; utilizar diversos utensílios e equipamentos de cozinha, como batedeiras, fornos de convecção, moedores, fati"&amp;"adores e amaciadores de carne; operar equipamentos de cozinha (ex.: processador de alimentos, batedeiras, caçarola, caldeiras a vapor, vaporizadores de pressão, fornos de convecção, etc.), incluindo o manuseio e a limpeza adequados; trabalhar em uma cozin"&amp;"ha profissional, de alto volume e ritmo acelerado, orientada para o trabalho em equipe; preparar os alimentos de forma consistente e dentro dos padrões estabelecidos, seguindo as receitas, empratando, recebendo/armazenando os alimentos e manuseando-os cor"&amp;"retamente; limpar e higienizar áreas de trabalho, equipamentos, utensílios, pratos e talheres; armazenar os alimentos em recipientes e áreas de armazenamento designados para evitar deterioração. Medir e registrar a temperatura dos alimentos e das áreas de"&amp;" armazenamento, como geladeiras e freezers; preparar uma variedade de alimentos, como carnes, legumes ou sobremesas, de acordo com os pedidos dos clientes ou instruções dos supervisores, seguindo os procedimentos aprovados; auxiliar no preparo de peixe, c"&amp;"arne bovina, frango, carne suína, cordeiro, legumes, grãos e sopas. Requisitos: Mínimo de 1 mês de experiência na função. Deve ser capaz de ler e escrever em inglês corretamente. Salário: US$ 21,00 - US$ 27,00 por hora. Horas extras disponíveis, pagas a U"&amp;"S$ 31,50 - US$ 40,50 por hora. Turnos: Vários turnos (5 dias rotativos, incluindo fins de semana e feriados) 4h–11h; 11h–18h; 18h–1h; 1h–8h. Pode trabalhar em vários locais em PBC, FL. Classificação da vaga: 35-2014.00 - Cozinheiros, Restaurante. A classi"&amp;"ficação e descrição da vaga/setor inclui informações gerais sobre a posição, de acordo com o ONET/OES e o Sistema de Classificação Industrial da América do Norte. Consulte a Descrição das Funções e a Ordem de Serviço para obter mais informações. Requisito"&amp;"s da Vaga Experiência Necessária: Sim Meses de Experiência Necessários: 1 Requisitos Especiais: Mínimo de 1 mês de experiência na função. Deve ser capaz de ler e escrever em inglês corretamente. Número de Horas por Semana: 35 Horário de Trabalho (Início/T"&amp;"érmino): 4h00 - 11h00")</f>
        <v>Responsabilidades: Utilizar a temperatura adequada para conservar os alimentos, executar os métodos corretos de recebimento, proteger contra contaminação cruzada; armazenar e manusear alimentos, limpar/higienizar estações de trabalho/equipamentos; seguir as instruções do chef, as políticas e os procedimentos da empresa; ter conhecimento em fritura, refogado, preparo básico de ovos e/ou confeitaria; utilizar diversos utensílios e equipamentos de cozinha, como batedeiras, fornos de convecção, moedores, fatiadores e amaciadores de carne; operar equipamentos de cozinha (ex.: processador de alimentos, batedeiras, caçarola, caldeiras a vapor, vaporizadores de pressão, fornos de convecção, etc.), incluindo o manuseio e a limpeza adequados; trabalhar em uma cozinha profissional, de alto volume e ritmo acelerado, orientada para o trabalho em equipe; preparar os alimentos de forma consistente e dentro dos padrões estabelecidos, seguindo as receitas, empratando, recebendo/armazenando os alimentos e manuseando-os corretamente; limpar e higienizar áreas de trabalho, equipamentos, utensílios, pratos e talheres; armazenar os alimentos em recipientes e áreas de armazenamento designados para evitar deterioração. Medir e registrar a temperatura dos alimentos e das áreas de armazenamento, como geladeiras e freezers; preparar uma variedade de alimentos, como carnes, legumes ou sobremesas, de acordo com os pedidos dos clientes ou instruções dos supervisores, seguindo os procedimentos aprovados; auxiliar no preparo de peixe, carne bovina, frango, carne suína, cordeiro, legumes, grãos e sopas. Requisitos: Mínimo de 1 mês de experiência na função. Deve ser capaz de ler e escrever em inglês corretamente. Salário: US$ 21,00 - US$ 27,00 por hora. Horas extras disponíveis, pagas a US$ 31,50 - US$ 40,50 por hora. Turnos: Vários turnos (5 dias rotativos, incluindo fins de semana e feriados) 4h–11h; 11h–18h; 18h–1h; 1h–8h. Pode trabalhar em vários locais em PBC, FL. Classificação da vaga: 35-2014.00 - Cozinheiros, Restaurante. A classificação e descrição da vaga/setor inclui informações gerais sobre a posição, de acordo com o ONET/OES e o Sistema de Classificação Industrial da América do Norte. Consulte a Descrição das Funções e a Ordem de Serviço para obter mais informações. Requisitos da Vaga Experiência Necessária: Sim Meses de Experiência Necessários: 1 Requisitos Especiais: Mínimo de 1 mês de experiência na função. Deve ser capaz de ler e escrever em inglês corretamente. Número de Horas por Semana: 35 Horário de Trabalho (Início/Término): 4h00 - 11h00</v>
      </c>
    </row>
    <row r="2193" ht="20.25" customHeight="1">
      <c r="A2193" s="8" t="s">
        <v>9749</v>
      </c>
      <c r="B2193" s="8" t="s">
        <v>9738</v>
      </c>
      <c r="C2193" s="8" t="s">
        <v>9739</v>
      </c>
      <c r="D2193" s="8" t="s">
        <v>71</v>
      </c>
      <c r="E2193" s="9" t="s">
        <v>19</v>
      </c>
      <c r="F2193" s="9" t="s">
        <v>20</v>
      </c>
      <c r="G2193" s="9" t="s">
        <v>377</v>
      </c>
      <c r="H2193" s="8" t="s">
        <v>9740</v>
      </c>
      <c r="I2193" s="8" t="s">
        <v>9741</v>
      </c>
      <c r="J2193" s="9">
        <v>18.94</v>
      </c>
      <c r="K2193" s="9">
        <v>44.0</v>
      </c>
      <c r="L2193" s="8" t="s">
        <v>9750</v>
      </c>
      <c r="M2193" s="8" t="s">
        <v>9751</v>
      </c>
      <c r="N2193" s="7" t="str">
        <f>IFERROR(__xludf.DUMMYFUNCTION("GOOGLETRANSLATE(L2193, ""en"", ""pt"")"),"Assistente de Alimentos e Bebidas I")</f>
        <v>Assistente de Alimentos e Bebidas I</v>
      </c>
      <c r="O2193" s="7" t="str">
        <f>IFERROR(__xludf.DUMMYFUNCTION("IF(M2193="""","""",GOOGLETRANSLATE(M2193,""en"",""pt""))"),"***Resposta à Solicitação de Informações (RFI)*** Monitorar áreas em busca de detritos, esfregar, varrer, esvaziar baldes e lidar com derramamentos; identificar pratos, copos e talheres; operar máquinas corretamente, incluindo lava-louças industriais, lav"&amp;"a-copos, esfregões, aspiradores de água e utensílios de higienização para limpar e manter itens de serviço e áreas de trabalho; estar familiarizado com procedimentos de polimento de prata; preparar corretamente a pia com agentes sanitizantes e de limpeza;"&amp;" auxiliar na higienização, incluindo a remoção de lixo; manter os pisos da área de trabalho limpos, secos e seguros; entregar, montar e remover itens de eventos; auxiliar na montagem e desmontagem de espaços para eventos; auxiliar nas operações conforme n"&amp;"ecessário, incluindo o transporte de pratos e suprimentos, a montagem e desmontagem de espaços para eventos, o carregamento/descarregamento de materiais e a organização de mesas e equipamentos; outras tarefas relacionadas, incluindo a remoção de detritos,"&amp;" o esvaziamento de lixo e a manutenção de áreas de trabalho limpas e seguras. ***Original F.a.2*** Monitorar áreas em busca de detritos, esfregar, varrer, esvaziar baldes e lidar com derramamentos; identificar pratos, copos e talheres; operar máquinas cor"&amp;"retamente; estar familiarizado com procedimentos de polimento de prata; preparar corretamente a pia com agentes sanitizantes e de limpeza; Auxiliar na higienização, incluindo a remoção de lixo; manter os pisos da área de trabalho limpos, secos e seguros; "&amp;"entrega, montagem e remoção de itens para eventos; auxiliar na montagem e desmontagem de espaços para eventos; auxiliar nas operações conforme necessário; outras tarefas relacionadas. Requisitos: Mínimo de 1 mês de experiência na função. Deve ser capaz de"&amp;" ler e escrever em inglês corretamente. Remuneração: De US$ 21,00 a US$ 26,00 por hora; ou de US$ 5,75 a US$ 9,00 por hora mais taxa de serviço. O empregador garante que a remuneração por hora não será inferior ao salário vigente, de US$ 18,94/hora. Horas"&amp;" extras disponíveis, pagas a US$ 28,41/hora, exceto para aqueles isentos de horas extras de acordo com a Seção 7(i) da FLSA. A remuneração varia conforme a unidade. Turnos: Vários turnos (5 dias rotativos, incluindo fins de semana e feriados) 4h–11h; 11h–"&amp;"18h; 18h–1h; 22h–6h. Pode trabalhar em vários locais em PBC, FL. Classificação da Função: 53-7062.00 - Operários e Movimentadores de Carga, Estoque e Materiais. A classificação e descrição da função/setor inclui informações gerais sobre o cargo, de acordo"&amp;" com o ONET/OES e o Sistema de Classificação Industrial da América do Norte (NAICS). Consulte as Funções e a Ordem de Serviço para obter mais informações. Requisitos da Função Experiência Necessária: Sim Meses de Experiência Necessários: 1 Requisitos Espe"&amp;"ciais: Mínimo de 1 mês de experiência na função. Deve ser capaz de ler e escrever em inglês corretamente. Número de Horas por Semana: 35 Horário de Trabalho (Início/Término): 4h00 - 11h00")</f>
        <v>***Resposta à Solicitação de Informações (RFI)*** Monitorar áreas em busca de detritos, esfregar, varrer, esvaziar baldes e lidar com derramamentos; identificar pratos, copos e talheres; operar máquinas corretamente, incluindo lava-louças industriais, lava-copos, esfregões, aspiradores de água e utensílios de higienização para limpar e manter itens de serviço e áreas de trabalho; estar familiarizado com procedimentos de polimento de prata; preparar corretamente a pia com agentes sanitizantes e de limpeza; auxiliar na higienização, incluindo a remoção de lixo; manter os pisos da área de trabalho limpos, secos e seguros; entregar, montar e remover itens de eventos; auxiliar na montagem e desmontagem de espaços para eventos; auxiliar nas operações conforme necessário, incluindo o transporte de pratos e suprimentos, a montagem e desmontagem de espaços para eventos, o carregamento/descarregamento de materiais e a organização de mesas e equipamentos; outras tarefas relacionadas, incluindo a remoção de detritos, o esvaziamento de lixo e a manutenção de áreas de trabalho limpas e seguras. ***Original F.a.2*** Monitorar áreas em busca de detritos, esfregar, varrer, esvaziar baldes e lidar com derramamentos; identificar pratos, copos e talheres; operar máquinas corretamente; estar familiarizado com procedimentos de polimento de prata; preparar corretamente a pia com agentes sanitizantes e de limpeza; Auxiliar na higienização, incluindo a remoção de lixo; manter os pisos da área de trabalho limpos, secos e seguros; entrega, montagem e remoção de itens para eventos; auxiliar na montagem e desmontagem de espaços para eventos; auxiliar nas operações conforme necessário; outras tarefas relacionadas. Requisitos: Mínimo de 1 mês de experiência na função. Deve ser capaz de ler e escrever em inglês corretamente. Remuneração: De US$ 21,00 a US$ 26,00 por hora; ou de US$ 5,75 a US$ 9,00 por hora mais taxa de serviço. O empregador garante que a remuneração por hora não será inferior ao salário vigente, de US$ 18,94/hora. Horas extras disponíveis, pagas a US$ 28,41/hora, exceto para aqueles isentos de horas extras de acordo com a Seção 7(i) da FLSA. A remuneração varia conforme a unidade. Turnos: Vários turnos (5 dias rotativos, incluindo fins de semana e feriados) 4h–11h; 11h–18h; 18h–1h; 22h–6h. Pode trabalhar em vários locais em PBC, FL. Classificação da Função: 53-7062.00 - Operários e Movimentadores de Carga, Estoque e Materiais. A classificação e descrição da função/setor inclui informações gerais sobre o cargo, de acordo com o ONET/OES e o Sistema de Classificação Industrial da América do Norte (NAICS). Consulte as Funções e a Ordem de Serviço para obter mais informações. Requisitos da Função Experiência Necessária: Sim Meses de Experiência Necessários: 1 Requisitos Especiais: Mínimo de 1 mês de experiência na função. Deve ser capaz de ler e escrever em inglês corretamente. Número de Horas por Semana: 35 Horário de Trabalho (Início/Término): 4h00 - 11h00</v>
      </c>
    </row>
    <row r="2194" ht="20.25" customHeight="1">
      <c r="A2194" s="3" t="s">
        <v>9752</v>
      </c>
      <c r="B2194" s="3" t="s">
        <v>9738</v>
      </c>
      <c r="C2194" s="3" t="s">
        <v>9739</v>
      </c>
      <c r="D2194" s="3" t="s">
        <v>71</v>
      </c>
      <c r="E2194" s="4" t="s">
        <v>19</v>
      </c>
      <c r="F2194" s="4" t="s">
        <v>20</v>
      </c>
      <c r="G2194" s="4" t="s">
        <v>377</v>
      </c>
      <c r="H2194" s="3" t="s">
        <v>9740</v>
      </c>
      <c r="I2194" s="3" t="s">
        <v>9741</v>
      </c>
      <c r="J2194" s="4">
        <v>21.0</v>
      </c>
      <c r="K2194" s="4">
        <v>44.0</v>
      </c>
      <c r="L2194" s="3" t="s">
        <v>4724</v>
      </c>
      <c r="M2194" s="3" t="s">
        <v>9753</v>
      </c>
      <c r="N2194" s="7" t="str">
        <f>IFERROR(__xludf.DUMMYFUNCTION("GOOGLETRANSLATE(L2194, ""en"", ""pt"")"),"Camareira")</f>
        <v>Camareira</v>
      </c>
      <c r="O2194" s="7" t="str">
        <f>IFERROR(__xludf.DUMMYFUNCTION("IF(M2194="""","""",GOOGLETRANSLATE(M2194,""en"",""pt""))"),"Funções: Limpar os quartos de hotel e áreas comuns designadas de acordo com os procedimentos da empresa; concluir as tarefas/manter os quartos e áreas comuns limpos e organizados; fazer com que os hóspedes se sintam confortáveis, arrumando as camas e perf"&amp;"umando os quartos; entregar objetos perdidos ao inspetor; ter boa comunicação em inglês; manter o carrinho organizado e reabastecer os armários e carrinhos; e outras tarefas relacionadas. Requisitos: Mínimo de 1 mês de experiência na função. Salário: US$ "&amp;"21,00 - US$ 27,00/hora. Horas extras disponíveis, pagas a US$ 31,50 - US$ 40,50/hora. Turnos: Vários turnos (5 dias rotativos, incluindo fins de semana e feriados) 8h30-15h30, 12h-19h, 15h-22h. Classificação da função: 37-2012.00 - Camareiras e Auxiliares"&amp;" de Limpeza. A classificação e descrição da função/setor inclui informações gerais sobre a posição, de acordo com o ONET/OES e o Sistema de Classificação Industrial da América do Norte. Consulte as Funções e a Ordem de Serviço para obter mais informações."&amp;" Requisitos da vaga Experiência necessária: Sim Meses de experiência necessários: 1 Requisitos especiais: Mínimo de 1 mês de experiência na função. Número de horas por semana: 35 Horário de trabalho (início/término): 8h30 às 15h30")</f>
        <v>Funções: Limpar os quartos de hotel e áreas comuns designadas de acordo com os procedimentos da empresa; concluir as tarefas/manter os quartos e áreas comuns limpos e organizados; fazer com que os hóspedes se sintam confortáveis, arrumando as camas e perfumando os quartos; entregar objetos perdidos ao inspetor; ter boa comunicação em inglês; manter o carrinho organizado e reabastecer os armários e carrinhos; e outras tarefas relacionadas. Requisitos: Mínimo de 1 mês de experiência na função. Salário: US$ 21,00 - US$ 27,00/hora. Horas extras disponíveis, pagas a US$ 31,50 - US$ 40,50/hora. Turnos: Vários turnos (5 dias rotativos, incluindo fins de semana e feriados) 8h30-15h30, 12h-19h, 15h-22h. Classificação da função: 37-2012.00 - Camareiras e Auxiliares de Limpeza. A classificação e descrição da função/setor inclui informações gerais sobre a posição, de acordo com o ONET/OES e o Sistema de Classificação Industrial da América do Norte. Consulte as Funções e a Ordem de Serviço para obter mais informações. Requisitos da vaga Experiência necessária: Sim Meses de experiência necessários: 1 Requisitos especiais: Mínimo de 1 mês de experiência na função. Número de horas por semana: 35 Horário de trabalho (início/término): 8h30 às 15h30</v>
      </c>
    </row>
    <row r="2195" ht="20.25" customHeight="1">
      <c r="A2195" s="8" t="s">
        <v>9754</v>
      </c>
      <c r="B2195" s="8" t="s">
        <v>9738</v>
      </c>
      <c r="C2195" s="8" t="s">
        <v>9739</v>
      </c>
      <c r="D2195" s="8" t="s">
        <v>71</v>
      </c>
      <c r="E2195" s="9" t="s">
        <v>19</v>
      </c>
      <c r="F2195" s="9" t="s">
        <v>20</v>
      </c>
      <c r="G2195" s="9" t="s">
        <v>377</v>
      </c>
      <c r="H2195" s="8" t="s">
        <v>9740</v>
      </c>
      <c r="I2195" s="8" t="s">
        <v>9741</v>
      </c>
      <c r="J2195" s="9">
        <v>16.51</v>
      </c>
      <c r="K2195" s="9">
        <v>5.0</v>
      </c>
      <c r="L2195" s="8" t="s">
        <v>9755</v>
      </c>
      <c r="M2195" s="8" t="s">
        <v>9756</v>
      </c>
      <c r="N2195" s="7" t="str">
        <f>IFERROR(__xludf.DUMMYFUNCTION("GOOGLETRANSLATE(L2195, ""en"", ""pt"")"),"Atendente de Spa")</f>
        <v>Atendente de Spa</v>
      </c>
      <c r="O2195" s="7" t="str">
        <f>IFERROR(__xludf.DUMMYFUNCTION("IF(M2195="""","""",GOOGLETRANSLATE(M2195,""en"",""pt""))"),"Responsabilidades: Receber e orientar os hóspedes de forma cordial e atenciosa; Manter o inventário de todos os itens do Spa; Manter e rotacionar um estoque adequado de roupas de cama e toalhas limpas; Entregar roupas de cama e outros itens conforme neces"&amp;"sário; Manter todas as áreas do Spa, incluindo as áreas de armazenamento, limpas e organizadas; Realizar as atividades diárias de limpeza (antes, durante e depois do turno); Reportar à gerência quaisquer itens danificados ou faltantes, ou necessidades de "&amp;"manutenção; Garantir que o acesso às instalações por hóspedes autorizados do Spa seja seguro em todos os momentos; Lidar com as dúvidas e preocupações dos hóspedes de forma profissional e cortês; Garantir a total satisfação dos hóspedes; Manter uma atitud"&amp;"e positiva e contribuir para um ambiente de trabalho de qualidade; Reportar à gerência quaisquer ocorrências envolvendo funcionários ou hóspedes no Spa que exijam atenção; Outras tarefas relacionadas. Requisitos: Mínimo de 1 mês de experiência em função s"&amp;"imilar; Excelentes habilidades de comunicação; Ser detalhista, ter foco em pessoas e oferecer um atendimento genuíno ao cliente; Capacidade de priorizar tarefas com eficiência; Deve ser capaz de ler e escrever em inglês corretamente. Remuneração: De US$ 1"&amp;"5,00 a US$ 17,00 por hora, mais gorjetas (variável diariamente). O empregador garante que o salário não será inferior ao salário vigente de US$ 16,51/hora. Horas extras disponíveis conforme necessário, a US$ 24,77/hora. Turnos: Vários turnos (5 dias rotat"&amp;"ivos, incluindo fins de semana e feriados): 7h30 às 15h; 9h às 18h30; 12h às 21h. Classificação do Cargo: 39-3093.00 - Atendentes de Vestiário, Guarda-Volumes e Provadores. A classificação e descrição do cargo/setor incluem informações gerais sobre a posi"&amp;"ção, de acordo com o ONET/OES e o Sistema de Classificação Industrial da América do Norte (NAICS). Consulte as Funções e a Ordem de Serviço para obter mais informações. Requisitos do Cargo: Experiência Necessária: Sim. Meses de Experiência Necessários: 1."&amp;" Requisitos Especiais: Mínimo de 1 mês de experiência em função similar; Excelentes habilidades de comunicação; Ser detalhista, ter foco em atendimento ao cliente e priorizar tarefas com eficiência. É necessário saber ler e escrever em inglês corretamente"&amp;". Número de horas por semana: 35 Horário de trabalho (início/término): 7h30 - 15h00")</f>
        <v>Responsabilidades: Receber e orientar os hóspedes de forma cordial e atenciosa; Manter o inventário de todos os itens do Spa; Manter e rotacionar um estoque adequado de roupas de cama e toalhas limpas; Entregar roupas de cama e outros itens conforme necessário; Manter todas as áreas do Spa, incluindo as áreas de armazenamento, limpas e organizadas; Realizar as atividades diárias de limpeza (antes, durante e depois do turno); Reportar à gerência quaisquer itens danificados ou faltantes, ou necessidades de manutenção; Garantir que o acesso às instalações por hóspedes autorizados do Spa seja seguro em todos os momentos; Lidar com as dúvidas e preocupações dos hóspedes de forma profissional e cortês; Garantir a total satisfação dos hóspedes; Manter uma atitude positiva e contribuir para um ambiente de trabalho de qualidade; Reportar à gerência quaisquer ocorrências envolvendo funcionários ou hóspedes no Spa que exijam atenção; Outras tarefas relacionadas. Requisitos: Mínimo de 1 mês de experiência em função similar; Excelentes habilidades de comunicação; Ser detalhista, ter foco em pessoas e oferecer um atendimento genuíno ao cliente; Capacidade de priorizar tarefas com eficiência; Deve ser capaz de ler e escrever em inglês corretamente. Remuneração: De US$ 15,00 a US$ 17,00 por hora, mais gorjetas (variável diariamente). O empregador garante que o salário não será inferior ao salário vigente de US$ 16,51/hora. Horas extras disponíveis conforme necessário, a US$ 24,77/hora. Turnos: Vários turnos (5 dias rotativos, incluindo fins de semana e feriados): 7h30 às 15h; 9h às 18h30; 12h às 21h. Classificação do Cargo: 39-3093.00 - Atendentes de Vestiário, Guarda-Volumes e Provadores. A classificação e descrição do cargo/setor incluem informações gerais sobre a posição, de acordo com o ONET/OES e o Sistema de Classificação Industrial da América do Norte (NAICS). Consulte as Funções e a Ordem de Serviço para obter mais informações. Requisitos do Cargo: Experiência Necessária: Sim. Meses de Experiência Necessários: 1. Requisitos Especiais: Mínimo de 1 mês de experiência em função similar; Excelentes habilidades de comunicação; Ser detalhista, ter foco em atendimento ao cliente e priorizar tarefas com eficiência. É necessário saber ler e escrever em inglês corretamente. Número de horas por semana: 35 Horário de trabalho (início/término): 7h30 - 15h00</v>
      </c>
    </row>
    <row r="2196" ht="20.25" customHeight="1">
      <c r="A2196" s="3" t="s">
        <v>9757</v>
      </c>
      <c r="B2196" s="3" t="s">
        <v>9738</v>
      </c>
      <c r="C2196" s="3" t="s">
        <v>9739</v>
      </c>
      <c r="D2196" s="3" t="s">
        <v>71</v>
      </c>
      <c r="E2196" s="4" t="s">
        <v>19</v>
      </c>
      <c r="F2196" s="4" t="s">
        <v>20</v>
      </c>
      <c r="G2196" s="4" t="s">
        <v>377</v>
      </c>
      <c r="H2196" s="3" t="s">
        <v>9740</v>
      </c>
      <c r="I2196" s="3" t="s">
        <v>9741</v>
      </c>
      <c r="J2196" s="4">
        <v>24.02</v>
      </c>
      <c r="K2196" s="4">
        <v>3.0</v>
      </c>
      <c r="L2196" s="3" t="s">
        <v>9758</v>
      </c>
      <c r="M2196" s="3" t="s">
        <v>9759</v>
      </c>
      <c r="N2196" s="7" t="str">
        <f>IFERROR(__xludf.DUMMYFUNCTION("GOOGLETRANSLATE(L2196, ""en"", ""pt"")"),"Massagista")</f>
        <v>Massagista</v>
      </c>
      <c r="O2196" s="7" t="str">
        <f>IFERROR(__xludf.DUMMYFUNCTION("IF(M2196="""","""",GOOGLETRANSLATE(M2196,""en"",""pt""))"),"Realizar massagens e/ou tratamentos corporais de acordo com os protocolos estabelecidos pelo hotel; Utilizar, manter e controlar o estoque de suprimentos e produtos; Manter a limpeza da área de trabalho; Manter registros conforme exigido pelas normas fede"&amp;"rais, estaduais, locais e do hotel; Responder às solicitações dos hóspedes e resolver problemas de atendimento de forma rápida, amigável e eficiente; Outras tarefas relacionadas. Requisitos: Mínimo de 1 mês de experiência na função. Deve ser capaz de ler "&amp;"e escrever em inglês corretamente. Deve ser elegível para a Licença de Massoterapia do Estado da Flórida e a Licença de Massoterapia do Condado de Palm Beach, por conta própria. O empregador cobrirá o custo da licença da cidade de Palm Beach, em aproximad"&amp;"amente US$ 500,00. Remuneração: US$ 0,01/hora mais comissão mínima de 17% a 22% e gorjeta de 15%. O empregador garante que o salário não será inferior ao salário vigente de US$ 24,02/hora. Isento de horas extras de acordo com a Seção 7(i) da FLSA. Turnos:"&amp;" Vários turnos (5 dias rotativos, incluindo fins de semana e feriados) 8h-17h; 9h-18h; 10h-19h; 11h-20h. Classificação da vaga: 31-9011.00 - Massoterapeutas. A classificação e descrição da vaga/setor incluem informações gerais sobre o cargo, de acordo com"&amp;" o ONET/OES e o Sistema de Classificação Industrial da América do Norte (NAICS). Consulte as atribuições e a descrição da vaga para obter mais informações. Requisitos da vaga: Experiência necessária: Sim. Meses de experiência necessários: 1. Requisitos es"&amp;"peciais: Mínimo de 1 mês de experiência na função. Deve ser capaz de ler e escrever em inglês corretamente. Deve ser elegível para a Licença de Massoterapia do Estado da Flórida e a Licença de Massoterapia do Condado de Palm Beach, por conta própria. O em"&amp;"pregador cobrirá o custo da licença da cidade de Palm Beach, aproximadamente US$ 500,00. Número de horas por semana: 35. Horário de trabalho (início/término): 8h às 17h.")</f>
        <v>Realizar massagens e/ou tratamentos corporais de acordo com os protocolos estabelecidos pelo hotel; Utilizar, manter e controlar o estoque de suprimentos e produtos; Manter a limpeza da área de trabalho; Manter registros conforme exigido pelas normas federais, estaduais, locais e do hotel; Responder às solicitações dos hóspedes e resolver problemas de atendimento de forma rápida, amigável e eficiente; Outras tarefas relacionadas. Requisitos: Mínimo de 1 mês de experiência na função. Deve ser capaz de ler e escrever em inglês corretamente. Deve ser elegível para a Licença de Massoterapia do Estado da Flórida e a Licença de Massoterapia do Condado de Palm Beach, por conta própria. O empregador cobrirá o custo da licença da cidade de Palm Beach, em aproximadamente US$ 500,00. Remuneração: US$ 0,01/hora mais comissão mínima de 17% a 22% e gorjeta de 15%. O empregador garante que o salário não será inferior ao salário vigente de US$ 24,02/hora. Isento de horas extras de acordo com a Seção 7(i) da FLSA. Turnos: Vários turnos (5 dias rotativos, incluindo fins de semana e feriados) 8h-17h; 9h-18h; 10h-19h; 11h-20h. Classificação da vaga: 31-9011.00 - Massoterapeutas. A classificação e descrição da vaga/setor incluem informações gerais sobre o cargo, de acordo com o ONET/OES e o Sistema de Classificação Industrial da América do Norte (NAICS). Consulte as atribuições e a descrição da vaga para obter mais informações. Requisitos da vaga: Experiência necessária: Sim. Meses de experiência necessários: 1. Requisitos especiais: Mínimo de 1 mês de experiência na função. Deve ser capaz de ler e escrever em inglês corretamente. Deve ser elegível para a Licença de Massoterapia do Estado da Flórida e a Licença de Massoterapia do Condado de Palm Beach, por conta própria. O empregador cobrirá o custo da licença da cidade de Palm Beach, aproximadamente US$ 500,00. Número de horas por semana: 35. Horário de trabalho (início/término): 8h às 17h.</v>
      </c>
    </row>
    <row r="2197" ht="20.25" customHeight="1">
      <c r="A2197" s="8" t="s">
        <v>9760</v>
      </c>
      <c r="B2197" s="8" t="s">
        <v>9738</v>
      </c>
      <c r="C2197" s="8" t="s">
        <v>9739</v>
      </c>
      <c r="D2197" s="8" t="s">
        <v>71</v>
      </c>
      <c r="E2197" s="9" t="s">
        <v>19</v>
      </c>
      <c r="F2197" s="9" t="s">
        <v>20</v>
      </c>
      <c r="G2197" s="9" t="s">
        <v>377</v>
      </c>
      <c r="H2197" s="8" t="s">
        <v>9740</v>
      </c>
      <c r="I2197" s="8" t="s">
        <v>9741</v>
      </c>
      <c r="J2197" s="9">
        <v>18.71</v>
      </c>
      <c r="K2197" s="9">
        <v>14.0</v>
      </c>
      <c r="L2197" s="8" t="s">
        <v>2531</v>
      </c>
      <c r="M2197" s="8" t="s">
        <v>9761</v>
      </c>
      <c r="N2197" s="7" t="str">
        <f>IFERROR(__xludf.DUMMYFUNCTION("GOOGLETRANSLATE(L2197, ""en"", ""pt"")"),"Garçom/Garçonete")</f>
        <v>Garçom/Garçonete</v>
      </c>
      <c r="O2197" s="7" t="str">
        <f>IFERROR(__xludf.DUMMYFUNCTION("IF(M2197="""","""",GOOGLETRANSLATE(M2197,""en"",""pt""))"),"Responsabilidades: Verificar com os clientes se estão satisfeitos com as refeições e bebidas; tomar medidas para corrigir problemas; receber pagamentos; anotar os pedidos de comida e bebida dos clientes em comandas, memorizar os pedidos ou digitá-los no c"&amp;"omputador para transmissão à equipe da cozinha; preparar contas que discriminem e totalizem os custos da refeição e os impostos sobre vendas; anotar os pedidos de comida e bebida dos clientes; verificar a identificação dos clientes para garantir que atend"&amp;"am aos requisitos de idade mínima para o consumo de bebidas alcoólicas; servir comida e bebida aos clientes e preparar ou servir pratos especiais nas mesas, conforme necessário; apresentar o cardápio, responder a perguntas sobre os itens do cardápio e faz"&amp;"er recomendações quando solicitado; limpar mesas, balcões e/ou área de convivência após os clientes terminarem de comer; preparar bebidas quentes, frias e mistas para os clientes e gelar garrafas de vinho; e outras tarefas relacionadas. Requisitos: Mínimo"&amp;" de 1 mês de experiência na função. Deve ser capaz de ler e escrever em inglês corretamente. Remuneração: De US$ 2,35 a US$ 3,50 por hora + taxa de serviço; ou de US$ 15,00 a US$ 17,00 por hora + taxa de serviço + gorjetas. ou de US$ 21,00 a US$ 24,00 por"&amp;" hora. O empregador garante que o salário por hora não será inferior ao salário vigente de US$ 18,71/hora. Horas extras disponíveis, pagas a US$ 28,07/hora, exceto para aqueles isentos de horas extras de acordo com a Seção 7(i) da FLSA. A remuneração vari"&amp;"a conforme o estabelecimento de alimentação e bebidas. Turnos: Vários turnos (5 dias rotativos, incluindo fins de semana e feriados) 5h às 13h; 10h às 17h; 14h às 21h; 18h à 1h. Pode haver necessidade de trabalhar em diferentes locais em PBC, FL. Classifi"&amp;"cação da vaga: 35-3031.00 - Garçons e Garçonetes. A classificação e descrição da vaga/setor incluem informações gerais sobre o cargo, conforme o ONET/OES e o Sistema de Classificação Industrial da América do Norte. Consulte as atribuições e a ordem de ser"&amp;"viço para obter mais informações. Requisitos da vaga Experiência necessária: Sim Meses de experiência necessários: 1 Requisitos especiais: Mínimo de 1 mês de experiência na função. Deve ser capaz de ler e escrever em inglês corretamente. Número de horas p"&amp;"or semana: 35 Horário de trabalho (início/término): 5h às 13h")</f>
        <v>Responsabilidades: Verificar com os clientes se estão satisfeitos com as refeições e bebidas; tomar medidas para corrigir problemas; receber pagamentos; anotar os pedidos de comida e bebida dos clientes em comandas, memorizar os pedidos ou digitá-los no computador para transmissão à equipe da cozinha; preparar contas que discriminem e totalizem os custos da refeição e os impostos sobre vendas; anotar os pedidos de comida e bebida dos clientes; verificar a identificação dos clientes para garantir que atendam aos requisitos de idade mínima para o consumo de bebidas alcoólicas; servir comida e bebida aos clientes e preparar ou servir pratos especiais nas mesas, conforme necessário; apresentar o cardápio, responder a perguntas sobre os itens do cardápio e fazer recomendações quando solicitado; limpar mesas, balcões e/ou área de convivência após os clientes terminarem de comer; preparar bebidas quentes, frias e mistas para os clientes e gelar garrafas de vinho; e outras tarefas relacionadas. Requisitos: Mínimo de 1 mês de experiência na função. Deve ser capaz de ler e escrever em inglês corretamente. Remuneração: De US$ 2,35 a US$ 3,50 por hora + taxa de serviço; ou de US$ 15,00 a US$ 17,00 por hora + taxa de serviço + gorjetas. ou de US$ 21,00 a US$ 24,00 por hora. O empregador garante que o salário por hora não será inferior ao salário vigente de US$ 18,71/hora. Horas extras disponíveis, pagas a US$ 28,07/hora, exceto para aqueles isentos de horas extras de acordo com a Seção 7(i) da FLSA. A remuneração varia conforme o estabelecimento de alimentação e bebidas. Turnos: Vários turnos (5 dias rotativos, incluindo fins de semana e feriados) 5h às 13h; 10h às 17h; 14h às 21h; 18h à 1h. Pode haver necessidade de trabalhar em diferentes locais em PBC, FL. Classificação da vaga: 35-3031.00 - Garçons e Garçonetes. A classificação e descrição da vaga/setor incluem informações gerais sobre o cargo, conforme o ONET/OES e o Sistema de Classificação Industrial da América do Norte. Consulte as atribuições e a ordem de serviço para obter mais informações. Requisitos da vaga Experiência necessária: Sim Meses de experiência necessários: 1 Requisitos especiais: Mínimo de 1 mês de experiência na função. Deve ser capaz de ler e escrever em inglês corretamente. Número de horas por semana: 35 Horário de trabalho (início/término): 5h às 13h</v>
      </c>
    </row>
    <row r="2198" ht="20.25" customHeight="1">
      <c r="A2198" s="3" t="s">
        <v>9762</v>
      </c>
      <c r="B2198" s="3" t="s">
        <v>9738</v>
      </c>
      <c r="C2198" s="3" t="s">
        <v>9739</v>
      </c>
      <c r="D2198" s="3" t="s">
        <v>71</v>
      </c>
      <c r="E2198" s="4" t="s">
        <v>44</v>
      </c>
      <c r="F2198" s="4" t="s">
        <v>20</v>
      </c>
      <c r="G2198" s="4" t="s">
        <v>377</v>
      </c>
      <c r="H2198" s="3" t="s">
        <v>9740</v>
      </c>
      <c r="I2198" s="3" t="s">
        <v>9741</v>
      </c>
      <c r="J2198" s="4">
        <v>17.46</v>
      </c>
      <c r="K2198" s="4">
        <v>3.0</v>
      </c>
      <c r="L2198" s="3" t="s">
        <v>4275</v>
      </c>
      <c r="M2198" s="3" t="s">
        <v>9763</v>
      </c>
      <c r="N2198" s="7" t="str">
        <f>IFERROR(__xludf.DUMMYFUNCTION("GOOGLETRANSLATE(L2198, ""en"", ""pt"")"),"Técnica de unhas")</f>
        <v>Técnica de unhas</v>
      </c>
      <c r="O2198" s="7" t="str">
        <f>IFERROR(__xludf.DUMMYFUNCTION("IF(M2198="""","""",GOOGLETRANSLATE(M2198,""en"",""pt""))"),"Oferecer serviços excepcionais de manicure e pedicure aos clientes do Spa. Os serviços incluem manicures, pedicures e tratamentos especiais. Proporcionar uma experiência personalizada aos clientes, garantir que o espaço de trabalho esteja sempre limpo, ab"&amp;"astecer os postos de trabalho e o armário do salão com os suprimentos necessários, recepcionar e acompanhar os clientes no lounge do Spa de forma profissional e pontual, realizar uma consulta prévia ao serviço, seguir rigorosamente as diretrizes de higien"&amp;"ização do salão e dos equipamentos, participar de eventos do Spa para clientes e membros da equipe, comparecer às reuniões de equipe, instruir os clientes sobre o uso dos produtos para unhas e corpo e oferecer produtos para venda, caso haja interesse, aux"&amp;"iliar em outras áreas conforme necessário e seguir as políticas e procedimentos da empresa e do Spa. Manter uma licença ativa de manicure e pedicure na Flórida. Requisitos: Mínimo de 3 meses de experiência na função. Deve ser capaz de ler e escrever em in"&amp;"glês corretamente. Deve possuir uma licença ativa de manicure e pedicure no Estado da Flórida, paga pelo próprio cliente. O empregador cobrirá o custo da licença da cidade de Palm Beach, aproximadamente US$ 75,00 por ano. Remuneração: US$ 0,01/hora mais c"&amp;"omissão mínima de 33% a 38% e gorjeta de 15%. O empregador garante que o salário não será inferior ao salário vigente de US$ 17,46/hora. Isento de horas extras conforme a Seção 7(i) da FLSA. Turnos: Vários turnos (5 dias rotativos, incluindo fins de seman"&amp;"a e feriados) das 9h às 19h. Classificação da vaga: 39-5092.00 - Manicures e Pedicures. A classificação e descrição da vaga/setor incluem informações gerais sobre o cargo, de acordo com o ONET/OES e o Sistema de Classificação Industrial da América do Nort"&amp;"e (NAICS). Consulte as atribuições e a ordem de serviço para obter mais informações. Requisitos da vaga: Experiência exigida: Sim. Meses de experiência exigidos: 3. Requisitos especiais: Mínimo de 3 meses de experiência na função. Deve ser capaz de ler e "&amp;"escrever em inglês corretamente. Deve possuir uma licença ativa de manicure/pedicure do Estado da Flórida, paga pelo próprio funcionário. O empregador cobrirá o custo da licença da cidade de Palm Beach, de aproximadamente US$ 75,00 por ano. Número de hora"&amp;"s por semana: 35 Horário de trabalho (início/término): 9h00 - 19h00")</f>
        <v>Oferecer serviços excepcionais de manicure e pedicure aos clientes do Spa. Os serviços incluem manicures, pedicures e tratamentos especiais. Proporcionar uma experiência personalizada aos clientes, garantir que o espaço de trabalho esteja sempre limpo, abastecer os postos de trabalho e o armário do salão com os suprimentos necessários, recepcionar e acompanhar os clientes no lounge do Spa de forma profissional e pontual, realizar uma consulta prévia ao serviço, seguir rigorosamente as diretrizes de higienização do salão e dos equipamentos, participar de eventos do Spa para clientes e membros da equipe, comparecer às reuniões de equipe, instruir os clientes sobre o uso dos produtos para unhas e corpo e oferecer produtos para venda, caso haja interesse, auxiliar em outras áreas conforme necessário e seguir as políticas e procedimentos da empresa e do Spa. Manter uma licença ativa de manicure e pedicure na Flórida. Requisitos: Mínimo de 3 meses de experiência na função. Deve ser capaz de ler e escrever em inglês corretamente. Deve possuir uma licença ativa de manicure e pedicure no Estado da Flórida, paga pelo próprio cliente. O empregador cobrirá o custo da licença da cidade de Palm Beach, aproximadamente US$ 75,00 por ano. Remuneração: US$ 0,01/hora mais comissão mínima de 33% a 38% e gorjeta de 15%. O empregador garante que o salário não será inferior ao salário vigente de US$ 17,46/hora. Isento de horas extras conforme a Seção 7(i) da FLSA. Turnos: Vários turnos (5 dias rotativos, incluindo fins de semana e feriados) das 9h às 19h. Classificação da vaga: 39-5092.00 - Manicures e Pedicures. A classificação e descrição da vaga/setor incluem informações gerais sobre o cargo, de acordo com o ONET/OES e o Sistema de Classificação Industrial da América do Norte (NAICS). Consulte as atribuições e a ordem de serviço para obter mais informações. Requisitos da vaga: Experiência exigida: Sim. Meses de experiência exigidos: 3. Requisitos especiais: Mínimo de 3 meses de experiência na função. Deve ser capaz de ler e escrever em inglês corretamente. Deve possuir uma licença ativa de manicure/pedicure do Estado da Flórida, paga pelo próprio funcionário. O empregador cobrirá o custo da licença da cidade de Palm Beach, de aproximadamente US$ 75,00 por ano. Número de horas por semana: 35 Horário de trabalho (início/término): 9h00 - 19h00</v>
      </c>
    </row>
    <row r="2199" ht="20.25" customHeight="1">
      <c r="A2199" s="8" t="s">
        <v>9764</v>
      </c>
      <c r="B2199" s="8" t="s">
        <v>9765</v>
      </c>
      <c r="C2199" s="8" t="s">
        <v>9766</v>
      </c>
      <c r="D2199" s="8" t="s">
        <v>2222</v>
      </c>
      <c r="E2199" s="9" t="s">
        <v>44</v>
      </c>
      <c r="F2199" s="9" t="s">
        <v>20</v>
      </c>
      <c r="G2199" s="9" t="s">
        <v>377</v>
      </c>
      <c r="H2199" s="8" t="s">
        <v>9767</v>
      </c>
      <c r="I2199" s="8" t="s">
        <v>9768</v>
      </c>
      <c r="J2199" s="9">
        <v>17.4</v>
      </c>
      <c r="K2199" s="9">
        <v>1.0</v>
      </c>
      <c r="L2199" s="8" t="s">
        <v>9769</v>
      </c>
      <c r="M2199" s="8" t="s">
        <v>9770</v>
      </c>
      <c r="N2199" s="7" t="str">
        <f>IFERROR(__xludf.DUMMYFUNCTION("GOOGLETRANSLATE(L2199, ""en"", ""pt"")"),"Assistente de Cuidados Pessoais")</f>
        <v>Assistente de Cuidados Pessoais</v>
      </c>
      <c r="O2199" s="7" t="str">
        <f>IFERROR(__xludf.DUMMYFUNCTION("IF(M2199="""","""",GOOGLETRANSLATE(M2199,""en"",""pt""))"),"Prestar assistência a pessoas idosas, com deficiência ou enfermas que necessitem de ajuda com cuidados pessoais e atividades da vida diária, incluindo o preparo de refeições, limpeza da casa e lavagem de roupas. Classificação da vaga: 31-1122.00 - Auxilia"&amp;"res de Cuidados Pessoais. A classificação e descrição da vaga/setor incluem informações gerais sobre o cargo, de acordo com o ONET/OES e o Sistema de Classificação Industrial da América do Norte (NAICS). Consulte as atribuições e a descrição da vaga para "&amp;"obter mais informações. Requisitos da vaga: Experiência exigida: Não. Número de horas por semana: 40. Horário de trabalho (início/término): 6h30 às 15h30.")</f>
        <v>Prestar assistência a pessoas idosas, com deficiência ou enfermas que necessitem de ajuda com cuidados pessoais e atividades da vida diária, incluindo o preparo de refeições, limpeza da casa e lavagem de roupas. Classificação da vaga: 31-1122.00 - Auxiliares de Cuidados Pessoais. A classificação e descrição da vaga/setor incluem informações gerais sobre o cargo, de acordo com o ONET/OES e o Sistema de Classificação Industrial da América do Norte (NAICS). Consulte as atribuições e a descrição da vaga para obter mais informações. Requisitos da vaga: Experiência exigida: Não. Número de horas por semana: 40. Horário de trabalho (início/término): 6h30 às 15h30.</v>
      </c>
    </row>
    <row r="2200" ht="20.25" customHeight="1">
      <c r="A2200" s="3" t="s">
        <v>9771</v>
      </c>
      <c r="B2200" s="3" t="s">
        <v>9772</v>
      </c>
      <c r="C2200" s="3"/>
      <c r="D2200" s="3" t="s">
        <v>102</v>
      </c>
      <c r="E2200" s="4" t="s">
        <v>19</v>
      </c>
      <c r="F2200" s="4" t="s">
        <v>20</v>
      </c>
      <c r="G2200" s="4" t="s">
        <v>229</v>
      </c>
      <c r="H2200" s="3" t="s">
        <v>9773</v>
      </c>
      <c r="I2200" s="3" t="s">
        <v>9774</v>
      </c>
      <c r="J2200" s="4">
        <v>21.87</v>
      </c>
      <c r="K2200" s="4">
        <v>4.0</v>
      </c>
      <c r="L2200" s="3" t="s">
        <v>732</v>
      </c>
      <c r="M2200" s="3" t="s">
        <v>9775</v>
      </c>
      <c r="N2200" s="7" t="str">
        <f>IFERROR(__xludf.DUMMYFUNCTION("GOOGLETRANSLATE(L2200, ""en"", ""pt"")"),"Instalador de isolamento")</f>
        <v>Instalador de isolamento</v>
      </c>
      <c r="O2200" s="7" t="str">
        <f>IFERROR(__xludf.DUMMYFUNCTION("IF(M2200="""","""",GOOGLETRANSLATE(M2200,""en"",""pt""))"),"Revestir e cobrir estruturas com materiais isolantes. Pode trabalhar com isolamento em manta, rolo ou insuflado. As funções incluem medir e cortar materiais isolantes para se ajustarem a áreas específicas, como paredes, tetos e ao redor de tubulações; fix"&amp;"ar o isolamento no lugar com grampos, fita adesiva ou parafusos; remover o isolamento antigo quando necessário; analisar plantas para determinar o tipo e a quantidade de isolamento necessários; e aplicar materiais isolantes, como espuma de poliuretano exp"&amp;"andido ou fibra de vidro, para melhorar a eficiência energética em residências. É necessário ser trabalhador, carregando e descarregando caminhões com materiais na sede principal e nos edifícios. Classificação da função: 47-2131.00 - Trabalhadores de Isol"&amp;"amento, Piso, Teto e Parede. A classificação e descrição da função/setor inclui informações gerais sobre o cargo, de acordo com o ONET/OES e o Sistema de Classificação Industrial da América do Norte (NAICS). Consulte as Funções e a Ordem de Serviço para o"&amp;"bter mais informações. Requisitos da vaga: Experiência necessária: Sim. Meses de experiência necessários: 3. Requisitos especiais: Três meses de experiência como instalador de isolamento. Deve ser capaz de se abaixar, levantar e suportar até 23 kg, além d"&amp;"e trabalhar em condições climáticas extremas. Não é necessário viajar para fora da região metropolitana, não há treinamento no local de trabalho disponível e não é exigida escolaridade. É obrigatório o exame toxicológico pós-contratação, pago pelo emprega"&amp;"dor. Todos os funcionários, americanos e estrangeiros, serão submetidos ao mesmo exame. Número de horas por semana: 40. Horário de trabalho (início/término): 7h às 16h.")</f>
        <v>Revestir e cobrir estruturas com materiais isolantes. Pode trabalhar com isolamento em manta, rolo ou insuflado. As funções incluem medir e cortar materiais isolantes para se ajustarem a áreas específicas, como paredes, tetos e ao redor de tubulações; fixar o isolamento no lugar com grampos, fita adesiva ou parafusos; remover o isolamento antigo quando necessário; analisar plantas para determinar o tipo e a quantidade de isolamento necessários; e aplicar materiais isolantes, como espuma de poliuretano expandido ou fibra de vidro, para melhorar a eficiência energética em residências. É necessário ser trabalhador, carregando e descarregando caminhões com materiais na sede principal e nos edifícios. Classificação da função: 47-2131.00 - Trabalhadores de Isolamento, Piso, Teto e Parede. A classificação e descrição da função/setor inclui informações gerais sobre o cargo, de acordo com o ONET/OES e o Sistema de Classificação Industrial da América do Norte (NAICS). Consulte as Funções e a Ordem de Serviço para obter mais informações. Requisitos da vaga: Experiência necessária: Sim. Meses de experiência necessários: 3. Requisitos especiais: Três meses de experiência como instalador de isolamento. Deve ser capaz de se abaixar, levantar e suportar até 23 kg, além de trabalhar em condições climáticas extremas. Não é necessário viajar para fora da região metropolitana, não há treinamento no local de trabalho disponível e não é exigida escolaridade. É obrigatório o exame toxicológico pós-contratação, pago pelo empregador. Todos os funcionários, americanos e estrangeiros, serão submetidos ao mesmo exame. Número de horas por semana: 40. Horário de trabalho (início/término): 7h às 16h.</v>
      </c>
    </row>
    <row r="2201" ht="20.25" customHeight="1">
      <c r="A2201" s="8" t="s">
        <v>9776</v>
      </c>
      <c r="B2201" s="8" t="s">
        <v>9777</v>
      </c>
      <c r="C2201" s="8" t="s">
        <v>4011</v>
      </c>
      <c r="D2201" s="8" t="s">
        <v>249</v>
      </c>
      <c r="E2201" s="9" t="s">
        <v>19</v>
      </c>
      <c r="F2201" s="9" t="s">
        <v>20</v>
      </c>
      <c r="G2201" s="9" t="s">
        <v>229</v>
      </c>
      <c r="H2201" s="8" t="s">
        <v>9778</v>
      </c>
      <c r="I2201" s="8" t="s">
        <v>9779</v>
      </c>
      <c r="J2201" s="9">
        <v>24.36</v>
      </c>
      <c r="K2201" s="9">
        <v>3.0</v>
      </c>
      <c r="L2201" s="8" t="s">
        <v>9780</v>
      </c>
      <c r="M2201" s="8" t="s">
        <v>9781</v>
      </c>
      <c r="N2201" s="7" t="str">
        <f>IFERROR(__xludf.DUMMYFUNCTION("GOOGLETRANSLATE(L2201, ""en"", ""pt"")"),"Ajudante de pedreiro")</f>
        <v>Ajudante de pedreiro</v>
      </c>
      <c r="O2201" s="7" t="str">
        <f>IFERROR(__xludf.DUMMYFUNCTION("IF(M2201="""","""",GOOGLETRANSLATE(M2201,""en"",""pt""))"),"Auxiliar pedreiros, assentadores de blocos, pedreiros de pedra ou assentadores de azulejos e mármore, executando tarefas que exigem menos habilidade. As tarefas incluem usar, fornecer ou segurar materiais ou ferramentas, e limpar a área de trabalho e os e"&amp;"quipamentos. Os trabalhadores da construção civil que não auxiliam principalmente pedreiros, assentadores de blocos, pedreiros de pedra ou assentadores de azulejos e mármore são classificados como ""Trabalhadores da Construção Civil"" (47-2061). Os aprend"&amp;"izes são classificados na ocupação de ofício qualificado apropriado na construção civil (47-2011 a 47-2231). Classificação da Função: 47-3011.00 - Ajudantes - Pedreiros, Assentadores de Blocos, Pedreiros de Pedra e Assentadores de Azulejos e Mármore. A cl"&amp;"assificação e descrição da função/setor inclui informações gerais sobre o cargo, de acordo com o ONET/OES e o Sistema de Classificação Industrial da América do Norte. Consulte as Funções e a Ordem de Serviço para obter mais informações. Requisitos da Funç"&amp;"ão: Experiência Necessária: Não. Requisitos Especiais: CAPACIDADE DE LEVANTAR E CARREGAR 23 KG. DISPONIBILIDADE PARA HORAS EXTRAS E TRABALHO AOS FINS DE SEMANA. Jornada de trabalho de 8 horas. Número de horas por semana: 40. Horário de trabalho (início/té"&amp;"rmino): 8h às 17h.")</f>
        <v>Auxiliar pedreiros, assentadores de blocos, pedreiros de pedra ou assentadores de azulejos e mármore, executando tarefas que exigem menos habilidade. As tarefas incluem usar, fornecer ou segurar materiais ou ferramentas, e limpar a área de trabalho e os equipamentos. Os trabalhadores da construção civil que não auxiliam principalmente pedreiros, assentadores de blocos, pedreiros de pedra ou assentadores de azulejos e mármore são classificados como "Trabalhadores da Construção Civil" (47-2061). Os aprendizes são classificados na ocupação de ofício qualificado apropriado na construção civil (47-2011 a 47-2231). Classificação da Função: 47-3011.00 - Ajudantes - Pedreiros, Assentadores de Blocos, Pedreiros de Pedra e Assentadores de Azulejos e Mármore. A classificação e descrição da função/setor inclui informações gerais sobre o cargo, de acordo com o ONET/OES e o Sistema de Classificação Industrial da América do Norte. Consulte as Funções e a Ordem de Serviço para obter mais informações. Requisitos da Função: Experiência Necessária: Não. Requisitos Especiais: CAPACIDADE DE LEVANTAR E CARREGAR 23 KG. DISPONIBILIDADE PARA HORAS EXTRAS E TRABALHO AOS FINS DE SEMANA. Jornada de trabalho de 8 horas. Número de horas por semana: 40. Horário de trabalho (início/término): 8h às 17h.</v>
      </c>
    </row>
    <row r="2202" ht="20.25" customHeight="1">
      <c r="A2202" s="3" t="s">
        <v>9782</v>
      </c>
      <c r="B2202" s="3" t="s">
        <v>9580</v>
      </c>
      <c r="C2202" s="3"/>
      <c r="D2202" s="3" t="s">
        <v>87</v>
      </c>
      <c r="E2202" s="4" t="s">
        <v>19</v>
      </c>
      <c r="F2202" s="4" t="s">
        <v>20</v>
      </c>
      <c r="G2202" s="4" t="s">
        <v>524</v>
      </c>
      <c r="H2202" s="3" t="s">
        <v>9581</v>
      </c>
      <c r="I2202" s="3" t="s">
        <v>9582</v>
      </c>
      <c r="J2202" s="4">
        <v>17.47</v>
      </c>
      <c r="K2202" s="4">
        <v>25.0</v>
      </c>
      <c r="L2202" s="3" t="s">
        <v>387</v>
      </c>
      <c r="M2202" s="3" t="s">
        <v>9783</v>
      </c>
      <c r="N2202" s="7" t="str">
        <f>IFERROR(__xludf.DUMMYFUNCTION("GOOGLETRANSLATE(L2202, ""en"", ""pt"")"),"Ordem de serviço não disponível")</f>
        <v>Ordem de serviço não disponível</v>
      </c>
      <c r="O2202" s="7" t="str">
        <f>IFERROR(__xludf.DUMMYFUNCTION("IF(M2202="""","""",GOOGLETRANSLATE(M2202,""en"",""pt""))"),"Preparar, temperar e cozinhar sopas, carnes, legumes, sobremesas ou outros alimentos. Garantir que os alimentos sejam armazenados e cozidos na temperatura correta, regulando a temperatura de fornos, grelhas e assadeiras. Inspecionar e limpar as áreas de p"&amp;"reparação, como equipamentos e superfícies de trabalho, ou áreas de serviço, para garantir práticas seguras e higiênicas de manipulação de alimentos. Garantir o frescor dos alimentos e ingredientes, verificando a qualidade, controlando os itens novos e an"&amp;"tigos e fazendo o rodízio do estoque. Classificação da vaga: 35-2014.00 - Cozinheiros, Restaurante. A classificação e descrição da vaga/setor incluem informações gerais sobre o cargo, de acordo com o ONET/OES e o Sistema de Classificação Industrial da Amé"&amp;"rica do Norte. Consulte as Funções e a Ordem de Serviço para obter mais informações. Requisitos da vaga: Experiência necessária: Sim. Meses de experiência necessários: 3. Número de horas por semana: 40. Horário de trabalho (início/término): 15h às 23h.")</f>
        <v>Preparar, temperar e cozinhar sopas, carnes, legumes, sobremesas ou outros alimentos. Garantir que os alimentos sejam armazenados e cozidos na temperatura correta, regulando a temperatura de fornos, grelhas e assadeiras. Inspecionar e limpar as áreas de preparação, como equipamentos e superfícies de trabalho, ou áreas de serviço, para garantir práticas seguras e higiênicas de manipulação de alimentos. Garantir o frescor dos alimentos e ingredientes, verificando a qualidade, controlando os itens novos e antigos e fazendo o rodízio do estoque. Classificação da vaga: 35-2014.00 - Cozinheiros, Restaurante. A classificação e descrição da vaga/setor incluem informações gerais sobre o cargo, de acordo com o ONET/OES e o Sistema de Classificação Industrial da América do Norte. Consulte as Funções e a Ordem de Serviço para obter mais informações. Requisitos da vaga: Experiência necessária: Sim. Meses de experiência necessários: 3. Número de horas por semana: 40. Horário de trabalho (início/término): 15h às 23h.</v>
      </c>
    </row>
    <row r="2203" ht="20.25" customHeight="1">
      <c r="A2203" s="8" t="s">
        <v>9784</v>
      </c>
      <c r="B2203" s="8" t="s">
        <v>9580</v>
      </c>
      <c r="C2203" s="8"/>
      <c r="D2203" s="8" t="s">
        <v>87</v>
      </c>
      <c r="E2203" s="9" t="s">
        <v>19</v>
      </c>
      <c r="F2203" s="9" t="s">
        <v>20</v>
      </c>
      <c r="G2203" s="9" t="s">
        <v>524</v>
      </c>
      <c r="H2203" s="8" t="s">
        <v>9581</v>
      </c>
      <c r="I2203" s="8" t="s">
        <v>9582</v>
      </c>
      <c r="J2203" s="9">
        <v>15.92</v>
      </c>
      <c r="K2203" s="9">
        <v>10.0</v>
      </c>
      <c r="L2203" s="8" t="s">
        <v>4549</v>
      </c>
      <c r="M2203" s="8" t="s">
        <v>9785</v>
      </c>
      <c r="N2203" s="7" t="str">
        <f>IFERROR(__xludf.DUMMYFUNCTION("GOOGLETRANSLATE(L2203, ""en"", ""pt"")"),"Trabalhador de serviços de alimentação")</f>
        <v>Trabalhador de serviços de alimentação</v>
      </c>
      <c r="O2203" s="7" t="str">
        <f>IFERROR(__xludf.DUMMYFUNCTION("IF(M2203="""","""",GOOGLETRANSLATE(M2203,""en"",""pt""))"),"Preparar diariamente itens alimentícios como biscoitos e bolachas na cozinha, auxiliando o padeiro na pesagem dos ingredientes, registro da temperatura dos fornos, embalagem dos biscoitos e bolachas assados ​​e exposição dos produtos embalados para venda."&amp;" Os principais processos envolvem medir os ingredientes, informar o padeiro quando os fornos não estiverem funcionando corretamente, resfriar os itens assados ​​em grades e embalar os alimentos para exposição. Auxiliar no preparo da massa para assar, reti"&amp;"rar a massa dos fornos e embalar os biscoitos frescos, utilizando as devidas precauções de segurança e medidas sanitárias. Fornecer aos cozinheiros e à equipe da cozinha os itens necessários. Limpar e higienizar as áreas de trabalho, equipamentos, utensíl"&amp;"ios, pratos e talheres. Transportar suprimentos alimentícios, equipamentos e utensílios entre o armazenamento e as áreas de trabalho. Comunicar-se com os clientes sobre pedidos, comentários e reclamações. Os equipamentos básicos incluem fornos, balança, x"&amp;"ícaras e colheres de medida. As tarefas, deveres e/ou requisitos para desempenhar essas funções incluem ler a receita, reunir os ingredientes e garantir que todos os ingredientes necessários estejam frescos, e medir os ingredientes com precisão. Registrar"&amp;" a temperatura correta para garantir o cozimento adequado de biscoitos e wafers. Manter a área de trabalho da cozinha da padaria limpa e segura para evitar contaminação e garantir a qualidade do produto. Os requisitos incluem medição precisa dos ingredien"&amp;"tes, familiaridade com os equipamentos de panificação e limpeza das áreas de trabalho da cozinha da padaria. Classificação da vaga: 35-2021.00 - Auxiliares de Cozinha. A classificação e descrição da vaga/setor incluem informações gerais sobre o cargo, de "&amp;"acordo com o ONET/OES e o Sistema de Classificação Industrial da América do Norte (NAICS). Consulte as Funções e a Ordem de Serviço para obter mais informações. Requisitos da vaga: Experiência necessária: Sim. Meses de experiência necessários: 3. Número d"&amp;"e horas por semana: 40. Horário de trabalho (início/término): 8h às 16h.")</f>
        <v>Preparar diariamente itens alimentícios como biscoitos e bolachas na cozinha, auxiliando o padeiro na pesagem dos ingredientes, registro da temperatura dos fornos, embalagem dos biscoitos e bolachas assados ​​e exposição dos produtos embalados para venda. Os principais processos envolvem medir os ingredientes, informar o padeiro quando os fornos não estiverem funcionando corretamente, resfriar os itens assados ​​em grades e embalar os alimentos para exposição. Auxiliar no preparo da massa para assar, retirar a massa dos fornos e embalar os biscoitos frescos, utilizando as devidas precauções de segurança e medidas sanitárias. Fornecer aos cozinheiros e à equipe da cozinha os itens necessários. Limpar e higienizar as áreas de trabalho, equipamentos, utensílios, pratos e talheres. Transportar suprimentos alimentícios, equipamentos e utensílios entre o armazenamento e as áreas de trabalho. Comunicar-se com os clientes sobre pedidos, comentários e reclamações. Os equipamentos básicos incluem fornos, balança, xícaras e colheres de medida. As tarefas, deveres e/ou requisitos para desempenhar essas funções incluem ler a receita, reunir os ingredientes e garantir que todos os ingredientes necessários estejam frescos, e medir os ingredientes com precisão. Registrar a temperatura correta para garantir o cozimento adequado de biscoitos e wafers. Manter a área de trabalho da cozinha da padaria limpa e segura para evitar contaminação e garantir a qualidade do produto. Os requisitos incluem medição precisa dos ingredientes, familiaridade com os equipamentos de panificação e limpeza das áreas de trabalho da cozinha da padaria. Classificação da vaga: 35-2021.00 - Auxiliares de Cozinha. A classificação e descrição da vaga/setor incluem informações gerais sobre o cargo, de acordo com o ONET/OES e o Sistema de Classificação Industrial da América do Norte (NAICS). Consulte as Funções e a Ordem de Serviço para obter mais informações. Requisitos da vaga: Experiência necessária: Sim. Meses de experiência necessários: 3. Número de horas por semana: 40. Horário de trabalho (início/término): 8h às 16h.</v>
      </c>
    </row>
    <row r="2204" ht="20.25" customHeight="1">
      <c r="A2204" s="3" t="s">
        <v>9786</v>
      </c>
      <c r="B2204" s="3" t="s">
        <v>9787</v>
      </c>
      <c r="C2204" s="3"/>
      <c r="D2204" s="3" t="s">
        <v>64</v>
      </c>
      <c r="E2204" s="4" t="s">
        <v>44</v>
      </c>
      <c r="F2204" s="4" t="s">
        <v>20</v>
      </c>
      <c r="G2204" s="4" t="s">
        <v>155</v>
      </c>
      <c r="H2204" s="3" t="s">
        <v>9788</v>
      </c>
      <c r="I2204" s="3" t="s">
        <v>9789</v>
      </c>
      <c r="J2204" s="4">
        <v>24.01</v>
      </c>
      <c r="K2204" s="4">
        <v>50.0</v>
      </c>
      <c r="L2204" s="3" t="s">
        <v>9790</v>
      </c>
      <c r="M2204" s="3" t="s">
        <v>9791</v>
      </c>
      <c r="N2204" s="7" t="str">
        <f>IFERROR(__xludf.DUMMYFUNCTION("GOOGLETRANSLATE(L2204, ""en"", ""pt"")"),"Montador de andaimes")</f>
        <v>Montador de andaimes</v>
      </c>
      <c r="O2204" s="7" t="str">
        <f>IFERROR(__xludf.DUMMYFUNCTION("IF(M2204="""","""",GOOGLETRANSLATE(M2204,""en"",""pt""))"),"O Montador de Andaimes é responsável pela montagem, instalação, modificação e desmontagem seguras de estruturas de andaimes utilizadas para dar suporte a atividades de construção e manutenção. As funções incluem a montagem de andaimes de acordo com planta"&amp;"s, especificações do projeto e normas de segurança; a inspeção dos componentes dos andaimes quanto a defeitos ou danos antes e depois do uso; a garantia da estabilidade estrutural e da ancoragem adequada de todos os sistemas de andaimes; e o ajuste dos an"&amp;"daimes conforme necessário para atender às necessidades do projeto. O trabalhador deve seguir todas as normas de segurança da OSHA e os procedimentos de segurança da empresa, incluindo o uso de equipamentos de proteção individual (EPI). As responsabilidad"&amp;"es também incluem o carregamento, descarregamento e transporte de materiais e equipamentos de andaimes no local da obra. Os Montadores de Andaimes devem manter a área de trabalho limpa e organizada, auxiliar no manuseio de materiais e realizar inspeções d"&amp;"e rotina e pequenas manutenções nos componentes dos andaimes. Executa tarefas menores e eventuais relacionadas à montagem de andaimes, incluindo o uso de ferramentas básicas. Não é necessário conhecimento avançado em soldagem ou fabricação especializada d"&amp;"e metal. Todas as funções se limitam a atividades relacionadas a andaimes. Classificação da função: 47-2031.00 - Carpinteiros. A classificação e descrição da função/setor inclui informações gerais sobre o cargo, de acordo com o ONET/OES e o Sistema de Cla"&amp;"ssificação Industrial da América do Norte (NAICS). Consulte as Funções e a Ordem de Serviço para obter mais informações. Requisitos da vaga: Experiência necessária: Não. Número de horas por semana: 40. Horário de trabalho (início/término): 7h00 às 15h30.")</f>
        <v>O Montador de Andaimes é responsável pela montagem, instalação, modificação e desmontagem seguras de estruturas de andaimes utilizadas para dar suporte a atividades de construção e manutenção. As funções incluem a montagem de andaimes de acordo com plantas, especificações do projeto e normas de segurança; a inspeção dos componentes dos andaimes quanto a defeitos ou danos antes e depois do uso; a garantia da estabilidade estrutural e da ancoragem adequada de todos os sistemas de andaimes; e o ajuste dos andaimes conforme necessário para atender às necessidades do projeto. O trabalhador deve seguir todas as normas de segurança da OSHA e os procedimentos de segurança da empresa, incluindo o uso de equipamentos de proteção individual (EPI). As responsabilidades também incluem o carregamento, descarregamento e transporte de materiais e equipamentos de andaimes no local da obra. Os Montadores de Andaimes devem manter a área de trabalho limpa e organizada, auxiliar no manuseio de materiais e realizar inspeções de rotina e pequenas manutenções nos componentes dos andaimes. Executa tarefas menores e eventuais relacionadas à montagem de andaimes, incluindo o uso de ferramentas básicas. Não é necessário conhecimento avançado em soldagem ou fabricação especializada de metal. Todas as funções se limitam a atividades relacionadas a andaimes. Classificação da função: 47-2031.00 - Carpinteiros. A classificação e descrição da função/setor inclui informações gerais sobre o cargo, de acordo com o ONET/OES e o Sistema de Classificação Industrial da América do Norte (NAICS). Consulte as Funções e a Ordem de Serviço para obter mais informações. Requisitos da vaga: Experiência necessária: Não. Número de horas por semana: 40. Horário de trabalho (início/término): 7h00 às 15h30.</v>
      </c>
    </row>
    <row r="2205" ht="20.25" customHeight="1">
      <c r="A2205" s="8" t="s">
        <v>9792</v>
      </c>
      <c r="B2205" s="8" t="s">
        <v>9793</v>
      </c>
      <c r="C2205" s="8" t="s">
        <v>920</v>
      </c>
      <c r="D2205" s="8" t="s">
        <v>1103</v>
      </c>
      <c r="E2205" s="9" t="s">
        <v>19</v>
      </c>
      <c r="F2205" s="9" t="s">
        <v>20</v>
      </c>
      <c r="G2205" s="9" t="s">
        <v>72</v>
      </c>
      <c r="H2205" s="8" t="s">
        <v>9794</v>
      </c>
      <c r="I2205" s="8" t="s">
        <v>9795</v>
      </c>
      <c r="J2205" s="9">
        <v>15.63</v>
      </c>
      <c r="K2205" s="9">
        <v>145.0</v>
      </c>
      <c r="L2205" s="8" t="s">
        <v>3367</v>
      </c>
      <c r="M2205" s="8" t="s">
        <v>9796</v>
      </c>
      <c r="N2205" s="7" t="str">
        <f>IFERROR(__xludf.DUMMYFUNCTION("GOOGLETRANSLATE(L2205, ""en"", ""pt"")"),"Zelador")</f>
        <v>Zelador</v>
      </c>
      <c r="O2205" s="7" t="str">
        <f>IFERROR(__xludf.DUMMYFUNCTION("IF(M2205="""","""",GOOGLETRANSLATE(M2205,""en"",""pt""))"),"Manter os edifícios limpos e organizados. Executar tarefas de limpeza pesada, como limpeza de pisos, lavagem de carpetes, limpeza de paredes e vidros e remoção de lixo. As tarefas podem incluir o cuidado com a caldeira e o forno, a realização de atividade"&amp;"s de manutenção de rotina e a notificação da gerência sobre a necessidade de reparos. Classificação da vaga: 37-2011.00 - Zeladores e Faxineiros, exceto empregadas domésticas e faxineiras. A classificação e a descrição da vaga/setor incluem informações ge"&amp;"rais sobre o cargo, de acordo com o ONET/OES e o Sistema de Classificação Industrial da América do Norte. Consulte as Funções e a Ordem de Serviço para obter mais informações. Requisitos da vaga: Experiência necessária: Não. Número de horas por semana: 40"&amp;". Horário de trabalho (início/término): 8h às 17h.")</f>
        <v>Manter os edifícios limpos e organizados. Executar tarefas de limpeza pesada, como limpeza de pisos, lavagem de carpetes, limpeza de paredes e vidros e remoção de lixo. As tarefas podem incluir o cuidado com a caldeira e o forno, a realização de atividades de manutenção de rotina e a notificação da gerência sobre a necessidade de reparos. Classificação da vaga: 37-2011.00 - Zeladores e Faxineiros, exceto empregadas domésticas e faxineiras. A classificação e a descrição da vaga/setor incluem informações gerais sobre o cargo, de acordo com o ONET/OES e o Sistema de Classificação Industrial da América do Norte. Consulte as Funções e a Ordem de Serviço para obter mais informações. Requisitos da vaga: Experiência necessária: Não. Número de horas por semana: 40. Horário de trabalho (início/término): 8h às 17h.</v>
      </c>
    </row>
    <row r="2206" ht="20.25" customHeight="1">
      <c r="A2206" s="3" t="s">
        <v>9797</v>
      </c>
      <c r="B2206" s="3" t="s">
        <v>9798</v>
      </c>
      <c r="C2206" s="3" t="s">
        <v>6228</v>
      </c>
      <c r="D2206" s="3" t="s">
        <v>117</v>
      </c>
      <c r="E2206" s="4" t="s">
        <v>44</v>
      </c>
      <c r="F2206" s="4" t="s">
        <v>20</v>
      </c>
      <c r="G2206" s="4" t="s">
        <v>146</v>
      </c>
      <c r="H2206" s="3" t="s">
        <v>9799</v>
      </c>
      <c r="I2206" s="3" t="s">
        <v>9800</v>
      </c>
      <c r="J2206" s="4">
        <v>19.53</v>
      </c>
      <c r="K2206" s="4">
        <v>9.0</v>
      </c>
      <c r="L2206" s="3" t="s">
        <v>6583</v>
      </c>
      <c r="M2206" s="3" t="s">
        <v>9801</v>
      </c>
      <c r="N2206" s="7" t="str">
        <f>IFERROR(__xludf.DUMMYFUNCTION("GOOGLETRANSLATE(L2206, ""en"", ""pt"")"),"Trabalhador de paisagismo de inverno")</f>
        <v>Trabalhador de paisagismo de inverno</v>
      </c>
      <c r="O2206" s="7" t="str">
        <f>IFERROR(__xludf.DUMMYFUNCTION("IF(M2206="""","""",GOOGLETRANSLATE(M2206,""en"",""pt""))"),"Paisagismo e manutenção de terrenos utilizando ferramentas manuais ou elétricas. Os trabalhadores geralmente executam uma variedade de tarefas, que podem incluir qualquer combinação das seguintes: colocação de grama, nivelamento, corte de grama, poda, pla"&amp;"ntio, irrigação, fertilização, escavação, rastelagem, instalação de aspersores e instalação de blocos de concreto pré-moldados sem argamassa. Os trabalhadores também realizarão tarefas de preparação para o inverno, como a poda de plantas perenes, a fim de"&amp;" preparar adequadamente o gramado ou o jardim para o clima de inverno e o novo crescimento na primavera. Manutenção de sistemas de irrigação, incluindo a preparação dos sistemas para o inverno antes que as temperaturas caiam abaixo de zero para evitar dan"&amp;"os. Classificação da vaga: 37-3011.00 - Trabalhadores de Paisagismo e Manutenção de Terrenos. A classificação e descrição da vaga/setor incluem informações gerais sobre o cargo, de acordo com o ONET/OES e o Sistema de Classificação Industrial da América d"&amp;"o Norte. Consulte as Funções e a Ordem de Serviço para obter mais informações. Requisitos da vaga: Experiência necessária: Sim. Meses de experiência necessários: 1. Requisitos especiais: Os trabalhadores devem ter capacidade para levantar 27 kg. Os trabal"&amp;"hadores devem ser capazes de se curvar e agachar por períodos prolongados. Número de horas por semana: 40. Horário de trabalho (início/término): 7h às 16h.")</f>
        <v>Paisagismo e manutenção de terrenos utilizando ferramentas manuais ou elétricas. Os trabalhadores geralmente executam uma variedade de tarefas, que podem incluir qualquer combinação das seguintes: colocação de grama, nivelamento, corte de grama, poda, plantio, irrigação, fertilização, escavação, rastelagem, instalação de aspersores e instalação de blocos de concreto pré-moldados sem argamassa. Os trabalhadores também realizarão tarefas de preparação para o inverno, como a poda de plantas perenes, a fim de preparar adequadamente o gramado ou o jardim para o clima de inverno e o novo crescimento na primavera. Manutenção de sistemas de irrigação, incluindo a preparação dos sistemas para o inverno antes que as temperaturas caiam abaixo de zero para evitar danos. Classificação da vaga: 37-3011.00 - Trabalhadores de Paisagismo e Manutenção de Terrenos. A classificação e descrição da vaga/setor incluem informações gerais sobre o cargo, de acordo com o ONET/OES e o Sistema de Classificação Industrial da América do Norte. Consulte as Funções e a Ordem de Serviço para obter mais informações. Requisitos da vaga: Experiência necessária: Sim. Meses de experiência necessários: 1. Requisitos especiais: Os trabalhadores devem ter capacidade para levantar 27 kg. Os trabalhadores devem ser capazes de se curvar e agachar por períodos prolongados. Número de horas por semana: 40. Horário de trabalho (início/término): 7h às 16h.</v>
      </c>
    </row>
    <row r="2207" ht="20.25" customHeight="1">
      <c r="A2207" s="8" t="s">
        <v>9802</v>
      </c>
      <c r="B2207" s="8" t="s">
        <v>9803</v>
      </c>
      <c r="C2207" s="8" t="s">
        <v>9054</v>
      </c>
      <c r="D2207" s="8" t="s">
        <v>284</v>
      </c>
      <c r="E2207" s="9" t="s">
        <v>19</v>
      </c>
      <c r="F2207" s="9" t="s">
        <v>20</v>
      </c>
      <c r="G2207" s="9" t="s">
        <v>80</v>
      </c>
      <c r="H2207" s="8" t="s">
        <v>9804</v>
      </c>
      <c r="I2207" s="8" t="s">
        <v>9805</v>
      </c>
      <c r="J2207" s="9">
        <v>14.6</v>
      </c>
      <c r="K2207" s="9">
        <v>80.0</v>
      </c>
      <c r="L2207" s="8" t="s">
        <v>9806</v>
      </c>
      <c r="M2207" s="8" t="s">
        <v>9807</v>
      </c>
      <c r="N2207" s="7" t="str">
        <f>IFERROR(__xludf.DUMMYFUNCTION("GOOGLETRANSLATE(L2207, ""en"", ""pt"")"),"Processador de peixe")</f>
        <v>Processador de peixe</v>
      </c>
      <c r="O2207" s="7" t="str">
        <f>IFERROR(__xludf.DUMMYFUNCTION("IF(M2207="""","""",GOOGLETRANSLATE(M2207,""en"",""pt""))"),"Precisa-se de trabalhador geral para fábrica de peixe para processar e embalar peixe fresco e/ou congelado. O trabalhador poderá usar facas, serras de carne, serras de fita ou outros equipamentos para cortar e aparar o peixe. O trabalhador irá limpar, apa"&amp;"rar e fatiar o peixe para processamento futuro. Cortar e aparar o peixe para prepará-lo para embalagem. Remover partes como pele ou espinhas da carcaça. Inspecionar os produtos de peixe em busca de defeitos, hematomas ou manchas. O trabalhador irá process"&amp;"ar as partes primárias em cortes prontos para venda no varejo. Separar o peixe e os subprodutos em recipientes específicos. Pesar o peixe e etiquetar os recipientes com o peso e o conteúdo. Classificação do Cargo: 51-3022.00 - Cortadores e Aparadores de C"&amp;"arne, Aves e Peixe. A classificação e descrição do cargo/setor inclui informações gerais sobre a posição de acordo com o ONET/OES e o Sistema de Classificação Industrial da América do Norte. Consulte as Funções e a Ordem de Serviço para obter mais informa"&amp;"ções. Requisitos do Cargo Experiência Necessária: Sim Meses de Experiência Necessários: 1 Requisitos Especiais: O empregador fornecerá 2 semanas de treinamento obrigatório para a posição. O treinamento é oferecido gratuitamente aos trabalhadores. Os turno"&amp;"s/dias de trabalho podem variar a cada semana, mas os trabalhadores geralmente trabalham em turnos de 8 horas, cinco dias por semana. Número de horas por semana: 40. Horário de trabalho (início/término): 8h às 17h.")</f>
        <v>Precisa-se de trabalhador geral para fábrica de peixe para processar e embalar peixe fresco e/ou congelado. O trabalhador poderá usar facas, serras de carne, serras de fita ou outros equipamentos para cortar e aparar o peixe. O trabalhador irá limpar, aparar e fatiar o peixe para processamento futuro. Cortar e aparar o peixe para prepará-lo para embalagem. Remover partes como pele ou espinhas da carcaça. Inspecionar os produtos de peixe em busca de defeitos, hematomas ou manchas. O trabalhador irá processar as partes primárias em cortes prontos para venda no varejo. Separar o peixe e os subprodutos em recipientes específicos. Pesar o peixe e etiquetar os recipientes com o peso e o conteúdo. Classificação do Cargo: 51-3022.00 - Cortadores e Aparadores de Carne, Aves e Peixe. A classificação e descrição do cargo/setor inclui informações gerais sobre a posição de acordo com o ONET/OES e o Sistema de Classificação Industrial da América do Norte. Consulte as Funções e a Ordem de Serviço para obter mais informações. Requisitos do Cargo Experiência Necessária: Sim Meses de Experiência Necessários: 1 Requisitos Especiais: O empregador fornecerá 2 semanas de treinamento obrigatório para a posição. O treinamento é oferecido gratuitamente aos trabalhadores. Os turnos/dias de trabalho podem variar a cada semana, mas os trabalhadores geralmente trabalham em turnos de 8 horas, cinco dias por semana. Número de horas por semana: 40. Horário de trabalho (início/término): 8h às 17h.</v>
      </c>
    </row>
    <row r="2208" ht="20.25" customHeight="1">
      <c r="A2208" s="3" t="s">
        <v>9808</v>
      </c>
      <c r="B2208" s="3" t="s">
        <v>9809</v>
      </c>
      <c r="C2208" s="3" t="s">
        <v>7869</v>
      </c>
      <c r="D2208" s="3" t="s">
        <v>344</v>
      </c>
      <c r="E2208" s="4" t="s">
        <v>19</v>
      </c>
      <c r="F2208" s="4" t="s">
        <v>20</v>
      </c>
      <c r="G2208" s="4" t="s">
        <v>80</v>
      </c>
      <c r="H2208" s="3" t="s">
        <v>9642</v>
      </c>
      <c r="I2208" s="3" t="s">
        <v>9643</v>
      </c>
      <c r="J2208" s="4">
        <v>19.22</v>
      </c>
      <c r="K2208" s="4">
        <v>40.0</v>
      </c>
      <c r="L2208" s="3" t="s">
        <v>9644</v>
      </c>
      <c r="M2208" s="3" t="s">
        <v>9645</v>
      </c>
      <c r="N2208" s="7" t="str">
        <f>IFERROR(__xludf.DUMMYFUNCTION("GOOGLETRANSLATE(L2208, ""en"", ""pt"")"),"Atendente de loja de alimentos")</f>
        <v>Atendente de loja de alimentos</v>
      </c>
      <c r="O2208" s="7" t="str">
        <f>IFERROR(__xludf.DUMMYFUNCTION("IF(M2208="""","""",GOOGLETRANSLATE(M2208,""en"",""pt""))"),"Descarregar mercadorias na loja. Atendimento ao cliente. Controlar as mercadorias vendidas. Manter o ambiente limpo. Manter os alimentos expostos, abastecendo as prateleiras com produtos para os clientes comprarem. Classificação do Cargo: 53-7065.00 - Rep"&amp;"ositores e Separadores de Pedidos. A classificação e descrição do cargo/setor inclui informações gerais sobre a posição, de acordo com o ONET/OES e o Sistema de Classificação Industrial da América do Norte (NAICS). Consulte as Funções e a Ordem de Serviço"&amp;" para obter mais informações. Requisitos do Cargo: Experiência Necessária: Não. Número de Horas por Semana: 40. Horário de Trabalho (Início/Término): 10:00 - 18:00.")</f>
        <v>Descarregar mercadorias na loja. Atendimento ao cliente. Controlar as mercadorias vendidas. Manter o ambiente limpo. Manter os alimentos expostos, abastecendo as prateleiras com produtos para os clientes comprarem. Classificação do Cargo: 53-7065.00 - Repositores e Separadores de Pedidos. A classificação e descrição do cargo/setor inclui informações gerais sobre a posição, de acordo com o ONET/OES e o Sistema de Classificação Industrial da América do Norte (NAICS). Consulte as Funções e a Ordem de Serviço para obter mais informações. Requisitos do Cargo: Experiência Necessária: Não. Número de Horas por Semana: 40. Horário de Trabalho (Início/Término): 10:00 - 18:00.</v>
      </c>
    </row>
    <row r="2209" ht="20.25" customHeight="1">
      <c r="A2209" s="8" t="s">
        <v>9810</v>
      </c>
      <c r="B2209" s="8" t="s">
        <v>9811</v>
      </c>
      <c r="C2209" s="8" t="s">
        <v>9766</v>
      </c>
      <c r="D2209" s="8" t="s">
        <v>532</v>
      </c>
      <c r="E2209" s="9" t="s">
        <v>19</v>
      </c>
      <c r="F2209" s="9" t="s">
        <v>20</v>
      </c>
      <c r="G2209" s="9" t="s">
        <v>377</v>
      </c>
      <c r="H2209" s="8" t="s">
        <v>9812</v>
      </c>
      <c r="I2209" s="8" t="s">
        <v>9813</v>
      </c>
      <c r="J2209" s="9">
        <v>17.6</v>
      </c>
      <c r="K2209" s="9">
        <v>1.0</v>
      </c>
      <c r="L2209" s="8" t="s">
        <v>9769</v>
      </c>
      <c r="M2209" s="8" t="s">
        <v>9814</v>
      </c>
      <c r="N2209" s="7" t="str">
        <f>IFERROR(__xludf.DUMMYFUNCTION("GOOGLETRANSLATE(L2209, ""en"", ""pt"")"),"Assistente de Cuidados Pessoais")</f>
        <v>Assistente de Cuidados Pessoais</v>
      </c>
      <c r="O2209" s="7" t="str">
        <f>IFERROR(__xludf.DUMMYFUNCTION("IF(M2209="""","""",GOOGLETRANSLATE(M2209,""en"",""pt""))"),"Prestar assistência a idosos que necessitam de ajuda com cuidados pessoais e atividades da vida diária, como alimentação, banho, vestuário, higiene pessoal, uso do banheiro, locomoção, preparo de refeições, limpeza da casa e lavagem de roupas. Classificaç"&amp;"ão da vaga: 31-1122.00 - Auxiliares de Cuidados Pessoais. A classificação e descrição da vaga/setor incluem informações gerais sobre o cargo, de acordo com o ONET/OES e o Sistema de Classificação Industrial da América do Norte (NAICS). Consulte as atribui"&amp;"ções e a descrição da vaga para obter mais informações. Requisitos da vaga: Experiência necessária: Não. Número de horas por semana: 40. Horário de trabalho (início/término): 18h30 às 14h30.")</f>
        <v>Prestar assistência a idosos que necessitam de ajuda com cuidados pessoais e atividades da vida diária, como alimentação, banho, vestuário, higiene pessoal, uso do banheiro, locomoção, preparo de refeições, limpeza da casa e lavagem de roupas. Classificação da vaga: 31-1122.00 - Auxiliares de Cuidados Pessoais. A classificação e descrição da vaga/setor incluem informações gerais sobre o cargo, de acordo com o ONET/OES e o Sistema de Classificação Industrial da América do Norte (NAICS). Consulte as atribuições e a descrição da vaga para obter mais informações. Requisitos da vaga: Experiência necessária: Não. Número de horas por semana: 40. Horário de trabalho (início/término): 18h30 às 14h30.</v>
      </c>
    </row>
    <row r="2210" ht="20.25" customHeight="1">
      <c r="A2210" s="3" t="s">
        <v>9815</v>
      </c>
      <c r="B2210" s="3" t="s">
        <v>9816</v>
      </c>
      <c r="C2210" s="3" t="s">
        <v>7082</v>
      </c>
      <c r="D2210" s="3" t="s">
        <v>36</v>
      </c>
      <c r="E2210" s="4" t="s">
        <v>44</v>
      </c>
      <c r="F2210" s="4" t="s">
        <v>20</v>
      </c>
      <c r="G2210" s="4" t="s">
        <v>377</v>
      </c>
      <c r="H2210" s="3" t="s">
        <v>9817</v>
      </c>
      <c r="I2210" s="3" t="s">
        <v>9818</v>
      </c>
      <c r="J2210" s="4">
        <v>22.84</v>
      </c>
      <c r="K2210" s="4">
        <v>45.0</v>
      </c>
      <c r="L2210" s="3" t="s">
        <v>302</v>
      </c>
      <c r="M2210" s="3" t="s">
        <v>9819</v>
      </c>
      <c r="N2210" s="7" t="str">
        <f>IFERROR(__xludf.DUMMYFUNCTION("GOOGLETRANSLATE(L2210, ""en"", ""pt"")"),"Operários da construção civil")</f>
        <v>Operários da construção civil</v>
      </c>
      <c r="O2210" s="7" t="str">
        <f>IFERROR(__xludf.DUMMYFUNCTION("IF(M2210="""","""",GOOGLETRANSLATE(M2210,""en"",""pt""))"),"Auxiliará o superintendente nos serviços de utilidades subterrâneas, construção de redes de água/esgoto/utilidades públicas. Irá levantar, carregar e segurar materiais de construção, ferramentas e suprimentos, além de limpar ferramentas, equipamentos, mat"&amp;"eriais e áreas de trabalho. Os trabalhadores instalarão conduítes de PVC em valas subterrâneas. Utilizarão ferramentas manuais, pás, martelos e serras para concluir a tarefa. Cavarão valas, medirão, cortarão e instalarão os conduítes, e então farão o reat"&amp;"erro, utilizando apenas ferramentas manuais. Os trabalhadores poderão dirigir uma caminhonete ou van da empresa até o local de trabalho. Classificação da vaga: 47-2151.00 - Instaladores de Tubulações. A classificação e descrição da vaga/setor incluem info"&amp;"rmações gerais sobre o cargo, de acordo com o ONET/OES e o Sistema de Classificação Industrial da América do Norte (NAICS). Consulte as Funções e a Ordem de Serviço para obter mais informações. Requisitos da vaga: Experiência necessária: Não. Número de ho"&amp;"ras por semana: 40. Horário de trabalho (início/término): 8h às 16h.")</f>
        <v>Auxiliará o superintendente nos serviços de utilidades subterrâneas, construção de redes de água/esgoto/utilidades públicas. Irá levantar, carregar e segurar materiais de construção, ferramentas e suprimentos, além de limpar ferramentas, equipamentos, materiais e áreas de trabalho. Os trabalhadores instalarão conduítes de PVC em valas subterrâneas. Utilizarão ferramentas manuais, pás, martelos e serras para concluir a tarefa. Cavarão valas, medirão, cortarão e instalarão os conduítes, e então farão o reaterro, utilizando apenas ferramentas manuais. Os trabalhadores poderão dirigir uma caminhonete ou van da empresa até o local de trabalho. Classificação da vaga: 47-2151.00 - Instaladores de Tubulações. A classificação e descrição da vaga/setor incluem informações gerais sobre o cargo, de acordo com o ONET/OES e o Sistema de Classificação Industrial da América do Norte (NAICS). Consulte as Funções e a Ordem de Serviço para obter mais informações. Requisitos da vaga: Experiência necessária: Não. Número de horas por semana: 40. Horário de trabalho (início/término): 8h às 16h.</v>
      </c>
    </row>
    <row r="2211" ht="20.25" customHeight="1">
      <c r="A2211" s="8" t="s">
        <v>9820</v>
      </c>
      <c r="B2211" s="8" t="s">
        <v>9821</v>
      </c>
      <c r="C2211" s="8" t="s">
        <v>7082</v>
      </c>
      <c r="D2211" s="8" t="s">
        <v>36</v>
      </c>
      <c r="E2211" s="9" t="s">
        <v>19</v>
      </c>
      <c r="F2211" s="9" t="s">
        <v>20</v>
      </c>
      <c r="G2211" s="9" t="s">
        <v>377</v>
      </c>
      <c r="H2211" s="8" t="s">
        <v>9817</v>
      </c>
      <c r="I2211" s="8" t="s">
        <v>9822</v>
      </c>
      <c r="J2211" s="9">
        <v>23.22</v>
      </c>
      <c r="K2211" s="9">
        <v>40.0</v>
      </c>
      <c r="L2211" s="8" t="s">
        <v>302</v>
      </c>
      <c r="M2211" s="8" t="s">
        <v>9819</v>
      </c>
      <c r="N2211" s="7" t="str">
        <f>IFERROR(__xludf.DUMMYFUNCTION("GOOGLETRANSLATE(L2211, ""en"", ""pt"")"),"Operários da construção civil")</f>
        <v>Operários da construção civil</v>
      </c>
      <c r="O2211" s="7" t="str">
        <f>IFERROR(__xludf.DUMMYFUNCTION("IF(M2211="""","""",GOOGLETRANSLATE(M2211,""en"",""pt""))"),"Auxiliará o superintendente nos serviços de utilidades subterrâneas, construção de redes de água/esgoto/utilidades públicas. Irá levantar, carregar e segurar materiais de construção, ferramentas e suprimentos, além de limpar ferramentas, equipamentos, mat"&amp;"eriais e áreas de trabalho. Os trabalhadores instalarão conduítes de PVC em valas subterrâneas. Utilizarão ferramentas manuais, pás, martelos e serras para concluir a tarefa. Cavarão valas, medirão, cortarão e instalarão os conduítes, e então farão o reat"&amp;"erro, utilizando apenas ferramentas manuais. Os trabalhadores poderão dirigir uma caminhonete ou van da empresa até o local de trabalho. Classificação da vaga: 47-2151.00 - Instaladores de Tubulações. A classificação e descrição da vaga/setor incluem info"&amp;"rmações gerais sobre o cargo, de acordo com o ONET/OES e o Sistema de Classificação Industrial da América do Norte (NAICS). Consulte as Funções e a Ordem de Serviço para obter mais informações. Requisitos da vaga: Experiência necessária: Não. Número de ho"&amp;"ras por semana: 40. Horário de trabalho (início/término): 8h às 16h.")</f>
        <v>Auxiliará o superintendente nos serviços de utilidades subterrâneas, construção de redes de água/esgoto/utilidades públicas. Irá levantar, carregar e segurar materiais de construção, ferramentas e suprimentos, além de limpar ferramentas, equipamentos, materiais e áreas de trabalho. Os trabalhadores instalarão conduítes de PVC em valas subterrâneas. Utilizarão ferramentas manuais, pás, martelos e serras para concluir a tarefa. Cavarão valas, medirão, cortarão e instalarão os conduítes, e então farão o reaterro, utilizando apenas ferramentas manuais. Os trabalhadores poderão dirigir uma caminhonete ou van da empresa até o local de trabalho. Classificação da vaga: 47-2151.00 - Instaladores de Tubulações. A classificação e descrição da vaga/setor incluem informações gerais sobre o cargo, de acordo com o ONET/OES e o Sistema de Classificação Industrial da América do Norte (NAICS). Consulte as Funções e a Ordem de Serviço para obter mais informações. Requisitos da vaga: Experiência necessária: Não. Número de horas por semana: 40. Horário de trabalho (início/término): 8h às 16h.</v>
      </c>
    </row>
    <row r="2212" ht="20.25" customHeight="1">
      <c r="A2212" s="3" t="s">
        <v>9823</v>
      </c>
      <c r="B2212" s="3" t="s">
        <v>9824</v>
      </c>
      <c r="C2212" s="3" t="s">
        <v>920</v>
      </c>
      <c r="D2212" s="3" t="s">
        <v>140</v>
      </c>
      <c r="E2212" s="4" t="s">
        <v>19</v>
      </c>
      <c r="F2212" s="4" t="s">
        <v>20</v>
      </c>
      <c r="G2212" s="4" t="s">
        <v>72</v>
      </c>
      <c r="H2212" s="3" t="s">
        <v>9825</v>
      </c>
      <c r="I2212" s="3" t="s">
        <v>9826</v>
      </c>
      <c r="J2212" s="4">
        <v>18.84</v>
      </c>
      <c r="K2212" s="4">
        <v>24.0</v>
      </c>
      <c r="L2212" s="3" t="s">
        <v>406</v>
      </c>
      <c r="M2212" s="3" t="s">
        <v>9827</v>
      </c>
      <c r="N2212" s="7" t="str">
        <f>IFERROR(__xludf.DUMMYFUNCTION("GOOGLETRANSLATE(L2212, ""en"", ""pt"")"),"Trabalhador")</f>
        <v>Trabalhador</v>
      </c>
      <c r="O2212" s="7" t="str">
        <f>IFERROR(__xludf.DUMMYFUNCTION("IF(M2212="""","""",GOOGLETRANSLATE(M2212,""en"",""pt""))"),"***Resposta à Solicitação de Informações (RFI)*** Remover e podar arbustos e galhos de árvores com tesouras de poda Fiskars e podadores extensíveis, descartar galhos, rastelar e limpar o solo e detritos restantes com rastelos, plantar sementes de centeio "&amp;"de inverno com um semeador, espalhar cobertura morta, remover folhas com rastelos, realizar a manutenção de inverno dos jardins, incluindo o ensacamento de flores anuais com sacos plásticos e amarras; atividades limitadas a residências particulares; NÃO i"&amp;"nclui remoção de neve. ***Original F.a.2*** Remover e podar arbustos, descartar galhos, rastelar e limpar o solo e detritos restantes, plantar, espalhar cobertura morta, remover folhas, semear azevém, realizar a manutenção de inverno dos jardins. Deve ser"&amp;" capaz de levantar até 23 kg. Classificação do Cargo: 37-3011.00 - Trabalhadores de Paisagismo e Manutenção de Jardins. A classificação e descrição do cargo/setor inclui informações gerais sobre a posição, conforme o ONET/OES e o Sistema de Classificação "&amp;"Industrial da América do Norte. Consulte as Funções e a Ordem de Serviço para obter mais informações. Requisitos da vaga Experiência necessária: Não Número de horas por semana: 40 Horário de trabalho (início/término): 7h às 16h")</f>
        <v>***Resposta à Solicitação de Informações (RFI)*** Remover e podar arbustos e galhos de árvores com tesouras de poda Fiskars e podadores extensíveis, descartar galhos, rastelar e limpar o solo e detritos restantes com rastelos, plantar sementes de centeio de inverno com um semeador, espalhar cobertura morta, remover folhas com rastelos, realizar a manutenção de inverno dos jardins, incluindo o ensacamento de flores anuais com sacos plásticos e amarras; atividades limitadas a residências particulares; NÃO inclui remoção de neve. ***Original F.a.2*** Remover e podar arbustos, descartar galhos, rastelar e limpar o solo e detritos restantes, plantar, espalhar cobertura morta, remover folhas, semear azevém, realizar a manutenção de inverno dos jardins. Deve ser capaz de levantar até 23 kg. Classificação do Cargo: 37-3011.00 - Trabalhadores de Paisagismo e Manutenção de Jardins. A classificação e descrição do cargo/setor inclui informações gerais sobre a posição, conforme o ONET/OES e o Sistema de Classificação Industrial da América do Norte. Consulte as Funções e a Ordem de Serviço para obter mais informações. Requisitos da vaga Experiência necessária: Não Número de horas por semana: 40 Horário de trabalho (início/término): 7h às 16h</v>
      </c>
    </row>
    <row r="2213" ht="20.25" customHeight="1">
      <c r="A2213" s="8" t="s">
        <v>9828</v>
      </c>
      <c r="B2213" s="8" t="s">
        <v>1681</v>
      </c>
      <c r="C2213" s="8" t="s">
        <v>708</v>
      </c>
      <c r="D2213" s="8" t="s">
        <v>71</v>
      </c>
      <c r="E2213" s="9" t="s">
        <v>19</v>
      </c>
      <c r="F2213" s="9" t="s">
        <v>20</v>
      </c>
      <c r="G2213" s="9" t="s">
        <v>384</v>
      </c>
      <c r="H2213" s="8" t="s">
        <v>709</v>
      </c>
      <c r="I2213" s="8" t="s">
        <v>710</v>
      </c>
      <c r="J2213" s="9">
        <v>24.46</v>
      </c>
      <c r="K2213" s="9">
        <v>2.0</v>
      </c>
      <c r="L2213" s="8" t="s">
        <v>5657</v>
      </c>
      <c r="M2213" s="8" t="s">
        <v>9829</v>
      </c>
      <c r="N2213" s="7" t="str">
        <f>IFERROR(__xludf.DUMMYFUNCTION("GOOGLETRANSLATE(L2213, ""en"", ""pt"")"),"Gerente de Alimentos e Bebidas")</f>
        <v>Gerente de Alimentos e Bebidas</v>
      </c>
      <c r="O2213" s="7" t="str">
        <f>IFERROR(__xludf.DUMMYFUNCTION("IF(M2213="""","""",GOOGLETRANSLATE(M2213,""en"",""pt""))"),"O Gerente de Alimentos e Bebidas é responsável por supervisionar as operações diárias de refeições, os padrões de serviço e as experiências dos membros em um ambiente de clube de campo privado. Esta função apoia todas as operações do restaurante, bar, ban"&amp;"quetes e eventos do clube, garantindo uma hospitalidade calorosa, profissional e consistente. As principais responsabilidades incluem supervisionar e treinar a equipe de serviço, gerenciar as operações do salão, manter os padrões de serviço, auxiliar no p"&amp;"lanejamento de horários, coordenar com a equipe culinária, resolver problemas de membros e convidados e garantir que as áreas de refeições estejam limpas, organizadas e devidamente preparadas. O Gerente de Alimentos e Bebidas também apoia o controle de es"&amp;"toque, o serviço de bebidas, a execução de eventos e a comunicação geral do departamento. Classificação da Função: 35-1012.00 - Supervisores de Primeira Linha de Preparadores e Servidores de Alimentos. A classificação e descrição da função/setor inclui in"&amp;"formações gerais sobre o cargo, de acordo com o ONET/OES e o Sistema de Classificação Industrial da América do Norte. Consulte as Funções e a Ordem de Serviço para obter mais informações. Requisitos da vaga Experiência necessária: Sim Meses de experiência"&amp;" necessários: 6 Requisitos especiais: Seis (6) meses de experiência anterior como garçom/garçonete e experiência em hotelaria, excelentes habilidades de comunicação, atenção aos detalhes e capacidade de liderar uma equipe em um ambiente de clube sofistica"&amp;"do e focado no cliente. A verificação de antecedentes pode ser exigida de acordo com a política da empresa vigente no momento da contratação. Número de horas por semana: 35 Horário de trabalho (início/término): 10h às 17h")</f>
        <v>O Gerente de Alimentos e Bebidas é responsável por supervisionar as operações diárias de refeições, os padrões de serviço e as experiências dos membros em um ambiente de clube de campo privado. Esta função apoia todas as operações do restaurante, bar, banquetes e eventos do clube, garantindo uma hospitalidade calorosa, profissional e consistente. As principais responsabilidades incluem supervisionar e treinar a equipe de serviço, gerenciar as operações do salão, manter os padrões de serviço, auxiliar no planejamento de horários, coordenar com a equipe culinária, resolver problemas de membros e convidados e garantir que as áreas de refeições estejam limpas, organizadas e devidamente preparadas. O Gerente de Alimentos e Bebidas também apoia o controle de estoque, o serviço de bebidas, a execução de eventos e a comunicação geral do departamento. Classificação da Função: 35-1012.00 - Supervisores de Primeira Linha de Preparadores e Servidores de Alimentos. A classificação e descrição da função/setor inclui informações gerais sobre o cargo, de acordo com o ONET/OES e o Sistema de Classificação Industrial da América do Norte. Consulte as Funções e a Ordem de Serviço para obter mais informações. Requisitos da vaga Experiência necessária: Sim Meses de experiência necessários: 6 Requisitos especiais: Seis (6) meses de experiência anterior como garçom/garçonete e experiência em hotelaria, excelentes habilidades de comunicação, atenção aos detalhes e capacidade de liderar uma equipe em um ambiente de clube sofisticado e focado no cliente. A verificação de antecedentes pode ser exigida de acordo com a política da empresa vigente no momento da contratação. Número de horas por semana: 35 Horário de trabalho (início/término): 10h às 17h</v>
      </c>
    </row>
    <row r="2214" ht="20.25" customHeight="1">
      <c r="A2214" s="3" t="s">
        <v>9830</v>
      </c>
      <c r="B2214" s="3" t="s">
        <v>9831</v>
      </c>
      <c r="C2214" s="3" t="s">
        <v>9832</v>
      </c>
      <c r="D2214" s="3" t="s">
        <v>140</v>
      </c>
      <c r="E2214" s="4" t="s">
        <v>19</v>
      </c>
      <c r="F2214" s="4" t="s">
        <v>20</v>
      </c>
      <c r="G2214" s="4" t="s">
        <v>377</v>
      </c>
      <c r="H2214" s="3" t="s">
        <v>9833</v>
      </c>
      <c r="I2214" s="3" t="s">
        <v>9834</v>
      </c>
      <c r="J2214" s="4">
        <v>16.89</v>
      </c>
      <c r="K2214" s="4">
        <v>7.0</v>
      </c>
      <c r="L2214" s="3" t="s">
        <v>354</v>
      </c>
      <c r="M2214" s="3" t="s">
        <v>9835</v>
      </c>
      <c r="N2214" s="7" t="str">
        <f>IFERROR(__xludf.DUMMYFUNCTION("GOOGLETRANSLATE(L2214, ""en"", ""pt"")"),"Governanta")</f>
        <v>Governanta</v>
      </c>
      <c r="O2214" s="7" t="str">
        <f>IFERROR(__xludf.DUMMYFUNCTION("IF(M2214="""","""",GOOGLETRANSLATE(M2214,""en"",""pt""))"),"A função do auxiliar de limpeza é limpar casas/apartamentos, quartos de hotel e áreas públicas (banheiros, saguão, hall de entrada e corredores). Esvaziar lixeiras, limpar cinzeiros e transportar outros lixos e resíduos para as áreas de descarte. Varrer o"&amp;" chão usando vassouras e esfregões. Limpar tapetes, carpetes, móveis estofados e cortinas, usando aspiradores de pó e lavadoras de carpetes. Trocar a roupa de cama e repor os itens de higiene nos quartos. Classificação da função: 37-2011.00 - Zeladores e "&amp;"Auxiliares de Limpeza, exceto empregadas domésticas e auxiliares de limpeza. A classificação e descrição da função/setor inclui informações gerais sobre o cargo, de acordo com o ONET/OES e o Sistema de Classificação Industrial da América do Norte. Consult"&amp;"e as Funções e a Ordem de Serviço para obter mais informações. Requisitos da vaga: Experiência necessária: Não. Requisitos especiais: Os funcionários trabalharão de segunda a domingo, em média 35 horas por semana. Devem estar disponíveis para trabalhar em"&amp;" qualquer turno de 7 horas, das 8h às 22h. Folgas nos dias de folga. Turnos rotativos, horários variáveis, disponibilidade para trabalhar aos fins de semana é imprescindível. Número de horas por semana: 35. Horário de trabalho (início/término): 8h às 16h3"&amp;"0.")</f>
        <v>A função do auxiliar de limpeza é limpar casas/apartamentos, quartos de hotel e áreas públicas (banheiros, saguão, hall de entrada e corredores). Esvaziar lixeiras, limpar cinzeiros e transportar outros lixos e resíduos para as áreas de descarte. Varrer o chão usando vassouras e esfregões. Limpar tapetes, carpetes, móveis estofados e cortinas, usando aspiradores de pó e lavadoras de carpetes. Trocar a roupa de cama e repor os itens de higiene nos quartos. Classificação da função: 37-2011.00 - Zeladores e Auxiliares de Limpeza, exceto empregadas domésticas e auxiliares de limpeza. A classificação e descrição da função/setor inclui informações gerais sobre o cargo, de acordo com o ONET/OES e o Sistema de Classificação Industrial da América do Norte. Consulte as Funções e a Ordem de Serviço para obter mais informações. Requisitos da vaga: Experiência necessária: Não. Requisitos especiais: Os funcionários trabalharão de segunda a domingo, em média 35 horas por semana. Devem estar disponíveis para trabalhar em qualquer turno de 7 horas, das 8h às 22h. Folgas nos dias de folga. Turnos rotativos, horários variáveis, disponibilidade para trabalhar aos fins de semana é imprescindível. Número de horas por semana: 35. Horário de trabalho (início/término): 8h às 16h30.</v>
      </c>
    </row>
    <row r="2215" ht="20.25" customHeight="1">
      <c r="A2215" s="8" t="s">
        <v>9836</v>
      </c>
      <c r="B2215" s="8" t="s">
        <v>9837</v>
      </c>
      <c r="C2215" s="8" t="s">
        <v>9838</v>
      </c>
      <c r="D2215" s="8" t="s">
        <v>596</v>
      </c>
      <c r="E2215" s="9" t="s">
        <v>19</v>
      </c>
      <c r="F2215" s="9" t="s">
        <v>20</v>
      </c>
      <c r="G2215" s="9" t="s">
        <v>345</v>
      </c>
      <c r="H2215" s="8" t="s">
        <v>9839</v>
      </c>
      <c r="I2215" s="8" t="s">
        <v>9840</v>
      </c>
      <c r="J2215" s="9">
        <v>29.75</v>
      </c>
      <c r="K2215" s="9">
        <v>3.0</v>
      </c>
      <c r="L2215" s="8" t="s">
        <v>9735</v>
      </c>
      <c r="M2215" s="8" t="s">
        <v>9841</v>
      </c>
      <c r="N2215" s="7" t="str">
        <f>IFERROR(__xludf.DUMMYFUNCTION("GOOGLETRANSLATE(L2215, ""en"", ""pt"")"),"Carpinteiro")</f>
        <v>Carpinteiro</v>
      </c>
      <c r="O2215" s="7" t="str">
        <f>IFERROR(__xludf.DUMMYFUNCTION("IF(M2215="""","""",GOOGLETRANSLATE(M2215,""en"",""pt""))"),"**RFI** Indicar o tipo de material a ser trabalhado, como madeira. **Original** Reparar, construir e restaurar móveis. Auxiliar no projeto e corte de peças utilizadas na construção de novos móveis. Consertar itens que possam ser consertados. Utilizar dife"&amp;"rentes ferramentas, incluindo serras tico-tico, furadeiras, martelos, pregadores pneumáticos e serras de mesa. Classificação da Função: 47-2031.00 - Carpinteiros. A classificação e descrição da função/indústria inclui informações gerais sobre o cargo, de "&amp;"acordo com o ONET/OES e o Sistema de Classificação Industrial da América do Norte (NAICS). Consulte as Funções e a Ordem de Serviço para obter mais informações. Requisitos da Função: Experiência Necessária: Não. Requisitos Especiais: Capacidade de levanta"&amp;"r 11 kg. Número de Horas por Semana: 35. Horário de Trabalho (Início/Término): 8h às 17h.")</f>
        <v>**RFI** Indicar o tipo de material a ser trabalhado, como madeira. **Original** Reparar, construir e restaurar móveis. Auxiliar no projeto e corte de peças utilizadas na construção de novos móveis. Consertar itens que possam ser consertados. Utilizar diferentes ferramentas, incluindo serras tico-tico, furadeiras, martelos, pregadores pneumáticos e serras de mesa. Classificação da Função: 47-2031.00 - Carpinteiros. A classificação e descrição da função/indústria inclui informações gerais sobre o cargo, de acordo com o ONET/OES e o Sistema de Classificação Industrial da América do Norte (NAICS). Consulte as Funções e a Ordem de Serviço para obter mais informações. Requisitos da Função: Experiência Necessária: Não. Requisitos Especiais: Capacidade de levantar 11 kg. Número de Horas por Semana: 35. Horário de Trabalho (Início/Término): 8h às 17h.</v>
      </c>
    </row>
    <row r="2216" ht="20.25" customHeight="1">
      <c r="A2216" s="8" t="s">
        <v>9842</v>
      </c>
      <c r="B2216" s="8" t="s">
        <v>9843</v>
      </c>
      <c r="C2216" s="8" t="s">
        <v>63</v>
      </c>
      <c r="D2216" s="8" t="s">
        <v>109</v>
      </c>
      <c r="E2216" s="9" t="s">
        <v>44</v>
      </c>
      <c r="F2216" s="9" t="s">
        <v>20</v>
      </c>
      <c r="G2216" s="9" t="s">
        <v>236</v>
      </c>
      <c r="H2216" s="19" t="s">
        <v>9844</v>
      </c>
      <c r="I2216" s="8" t="s">
        <v>9845</v>
      </c>
      <c r="J2216" s="9">
        <v>18.69</v>
      </c>
      <c r="K2216" s="9">
        <v>3.0</v>
      </c>
      <c r="L2216" s="8" t="s">
        <v>239</v>
      </c>
      <c r="M2216" s="8" t="s">
        <v>9846</v>
      </c>
      <c r="N2216" s="7" t="str">
        <f>IFERROR(__xludf.DUMMYFUNCTION("GOOGLETRANSLATE(L2216, ""en"", ""pt"")"),"Especialista em manutenção de jardins")</f>
        <v>Especialista em manutenção de jardins</v>
      </c>
      <c r="O2216" s="7" t="str">
        <f>IFERROR(__xludf.DUMMYFUNCTION("IF(M2216="""","""",GOOGLETRANSLATE(M2216,""en"",""pt""))"),"Paisagismo e manutenção de terrenos utilizando ferramentas manuais ou elétricas. Os trabalhadores devem ser capazes de executar uma variedade de tarefas sem supervisão direta, que podem incluir qualquer combinação das seguintes atividades: colocação de gr"&amp;"ama, corte de grama, poda, plantio, irrigação, fertilização, escavação, rastelagem e instalação de blocos de concreto pré-moldados sem argamassa. Devem exercer julgamento independente; podem ser solicitados a demonstrar tarefas a outros funcionários, mas "&amp;"a função não inclui a supervisão de outros trabalhadores. Classificação da vaga: 37-3011.00 - Trabalhadores de Paisagismo e Manutenção de Terrenos. A classificação e descrição da vaga/setor incluem informações gerais sobre o cargo, de acordo com o ONET/OE"&amp;"S e o Sistema de Classificação Industrial da América do Norte (NAICS). Consulte as Funções e a Ordem de Serviço para obter mais informações. Requisitos da vaga: Experiência exigida: Sim. Meses de experiência exigidos: 3. Requisitos especiais: Deve ser cap"&amp;"az de levantar/carregar 34 kg quando necessário. Trabalho aos sábados e domingos, quando necessário. O empregador pode oferecer mais horas de trabalho do que as estipuladas, dependendo do clima, das necessidades da empresa e de outras condições. Calor ext"&amp;"remo, frio, chuva ou seca podem afetar o horário de trabalho exato. Número de horas por semana: 40. Horário de trabalho (início/término): 6h às 14h30.")</f>
        <v>Paisagismo e manutenção de terrenos utilizando ferramentas manuais ou elétricas. Os trabalhadores devem ser capazes de executar uma variedade de tarefas sem supervisão direta, que podem incluir qualquer combinação das seguintes atividades: colocação de grama, corte de grama, poda, plantio, irrigação, fertilização, escavação, rastelagem e instalação de blocos de concreto pré-moldados sem argamassa. Devem exercer julgamento independente; podem ser solicitados a demonstrar tarefas a outros funcionários, mas a função não inclui a supervisão de outros trabalhadores. Classificação da vaga: 37-3011.00 - Trabalhadores de Paisagismo e Manutenção de Terrenos. A classificação e descrição da vaga/setor incluem informações gerais sobre o cargo, de acordo com o ONET/OES e o Sistema de Classificação Industrial da América do Norte (NAICS). Consulte as Funções e a Ordem de Serviço para obter mais informações. Requisitos da vaga: Experiência exigida: Sim. Meses de experiência exigidos: 3. Requisitos especiais: Deve ser capaz de levantar/carregar 34 kg quando necessário. Trabalho aos sábados e domingos, quando necessário. O empregador pode oferecer mais horas de trabalho do que as estipuladas, dependendo do clima, das necessidades da empresa e de outras condições. Calor extremo, frio, chuva ou seca podem afetar o horário de trabalho exato. Número de horas por semana: 40. Horário de trabalho (início/término): 6h às 14h30.</v>
      </c>
    </row>
    <row r="2217" ht="20.25" customHeight="1">
      <c r="A2217" s="8" t="s">
        <v>9847</v>
      </c>
      <c r="B2217" s="8" t="s">
        <v>9848</v>
      </c>
      <c r="C2217" s="8" t="s">
        <v>4247</v>
      </c>
      <c r="D2217" s="8" t="s">
        <v>71</v>
      </c>
      <c r="E2217" s="9" t="s">
        <v>19</v>
      </c>
      <c r="F2217" s="9" t="s">
        <v>20</v>
      </c>
      <c r="G2217" s="9" t="s">
        <v>4493</v>
      </c>
      <c r="H2217" s="8" t="s">
        <v>9849</v>
      </c>
      <c r="I2217" s="8" t="s">
        <v>9850</v>
      </c>
      <c r="J2217" s="9">
        <v>19.02</v>
      </c>
      <c r="K2217" s="9">
        <v>7.0</v>
      </c>
      <c r="L2217" s="8" t="s">
        <v>4250</v>
      </c>
      <c r="M2217" s="8" t="s">
        <v>4251</v>
      </c>
      <c r="N2217" s="7" t="str">
        <f>IFERROR(__xludf.DUMMYFUNCTION("GOOGLETRANSLATE(L2217, ""en"", ""pt"")"),"49-9098: Ajudantes — Trabalhos de instalação, manutenção e reparo")</f>
        <v>49-9098: Ajudantes — Trabalhos de instalação, manutenção e reparo</v>
      </c>
      <c r="O2217" s="7" t="str">
        <f>IFERROR(__xludf.DUMMYFUNCTION("IF(M2217="""","""",GOOGLETRANSLATE(M2217,""en"",""pt""))"),"Auxiliar os trabalhadores de instalação, manutenção e reparo na manutenção, substituição de peças e reparo de veículos, máquinas industriais e equipamentos elétricos e eletrônicos. Executar tarefas como fornecer ferramentas, materiais e suprimentos para o"&amp;"utros trabalhadores; limpar a área de trabalho, máquinas e ferramentas; e segurar materiais ou ferramentas para outros trabalhadores. Classificação da vaga: 49-9098.00 - Auxiliares - Trabalhadores de Instalação, Manutenção e Reparo. A classificação e desc"&amp;"rição da vaga/setor inclui informações gerais sobre a posição, de acordo com o ONET/OES e o Sistema de Classificação Industrial da América do Norte (NAICS). Consulte as Funções e a Ordem de Serviço para obter mais informações. Requisitos da vaga: Experiên"&amp;"cia exigida: Não. Requisitos especiais: Testes aleatórios de drogas e verificação de antecedentes criminais após a contratação podem ser exigidos, sem custo para o trabalhador. A vaga exige que o candidato seja qualificado, esteja pronto, disposto, apto e"&amp;" disponível para trabalhar durante todo o período de emprego no local de trabalho designado; para firmar e cumprir o contrato de trabalho; e para seguir as normas do local de trabalho. Número de horas por semana: 35. Horário de trabalho (início/término): "&amp;"8h. - 16:00")</f>
        <v>Auxiliar os trabalhadores de instalação, manutenção e reparo na manutenção, substituição de peças e reparo de veículos, máquinas industriais e equipamentos elétricos e eletrônicos. Executar tarefas como fornecer ferramentas, materiais e suprimentos para outros trabalhadores; limpar a área de trabalho, máquinas e ferramentas; e segurar materiais ou ferramentas para outros trabalhadores. Classificação da vaga: 49-9098.00 - Auxiliares - Trabalhadores de Instalação, Manutenção e Reparo. A classificação e descrição da vaga/setor inclui informações gerais sobre a posição, de acordo com o ONET/OES e o Sistema de Classificação Industrial da América do Norte (NAICS). Consulte as Funções e a Ordem de Serviço para obter mais informações. Requisitos da vaga: Experiência exigida: Não. Requisitos especiais: Testes aleatórios de drogas e verificação de antecedentes criminais após a contratação podem ser exigidos, sem custo para o trabalhador. A vaga exige que o candidato seja qualificado, esteja pronto, disposto, apto e disponível para trabalhar durante todo o período de emprego no local de trabalho designado; para firmar e cumprir o contrato de trabalho; e para seguir as normas do local de trabalho. Número de horas por semana: 35. Horário de trabalho (início/término): 8h. - 16:00</v>
      </c>
    </row>
    <row r="2218" ht="20.25" customHeight="1">
      <c r="A2218" s="3" t="s">
        <v>9851</v>
      </c>
      <c r="B2218" s="3" t="s">
        <v>9852</v>
      </c>
      <c r="C2218" s="3" t="s">
        <v>9832</v>
      </c>
      <c r="D2218" s="3" t="s">
        <v>87</v>
      </c>
      <c r="E2218" s="4" t="s">
        <v>19</v>
      </c>
      <c r="F2218" s="4" t="s">
        <v>20</v>
      </c>
      <c r="G2218" s="4" t="s">
        <v>345</v>
      </c>
      <c r="H2218" s="3" t="s">
        <v>9853</v>
      </c>
      <c r="I2218" s="3" t="s">
        <v>9854</v>
      </c>
      <c r="J2218" s="4">
        <v>14.06</v>
      </c>
      <c r="K2218" s="4">
        <v>30.0</v>
      </c>
      <c r="L2218" s="3" t="s">
        <v>354</v>
      </c>
      <c r="M2218" s="3" t="s">
        <v>9855</v>
      </c>
      <c r="N2218" s="7" t="str">
        <f>IFERROR(__xludf.DUMMYFUNCTION("GOOGLETRANSLATE(L2218, ""en"", ""pt"")"),"Governanta")</f>
        <v>Governanta</v>
      </c>
      <c r="O2218" s="7" t="str">
        <f>IFERROR(__xludf.DUMMYFUNCTION("IF(M2218="""","""",GOOGLETRANSLATE(M2218,""en"",""pt""))"),"Os funcionários realizarão a limpeza geral de quartos de hotel e apartamentos, incluindo: trocar e arrumar as camas, retirar o lixo, limpar banheiros e cozinhas, aspirar e tirar o pó de todos os cômodos, lavar louças e eletrodomésticos, lavar e dobrar rou"&amp;"pas de cama (possivelmente) e limpar saguões e áreas comuns ao redor dos quartos e do hotel. Classificação da vaga: 37-2012.00 - Camareiras e Auxiliares de Limpeza. A classificação e descrição da vaga/setor incluem informações gerais sobre o cargo, de aco"&amp;"rdo com o ONET/OES e o Sistema de Classificação Industrial da América do Norte (NAICS). Consulte as Funções e a Ordem de Serviço para obter mais informações. Requisitos da vaga: Experiência necessária: Não. Requisitos especiais: Os horários de trabalho va"&amp;"riam, geralmente 35 horas semanais com 2 dias de folga por semana. É necessário ter disponibilidade para trabalhar à noite, nos fins de semana e feriados. Número de horas por semana: 35. Horário de trabalho (início/término): 8h às 16h30.")</f>
        <v>Os funcionários realizarão a limpeza geral de quartos de hotel e apartamentos, incluindo: trocar e arrumar as camas, retirar o lixo, limpar banheiros e cozinhas, aspirar e tirar o pó de todos os cômodos, lavar louças e eletrodomésticos, lavar e dobrar roupas de cama (possivelmente) e limpar saguões e áreas comuns ao redor dos quartos e do hotel. Classificação da vaga: 37-2012.00 - Camareiras e Auxiliares de Limpeza. A classificação e descrição da vaga/setor incluem informações gerais sobre o cargo, de acordo com o ONET/OES e o Sistema de Classificação Industrial da América do Norte (NAICS). Consulte as Funções e a Ordem de Serviço para obter mais informações. Requisitos da vaga: Experiência necessária: Não. Requisitos especiais: Os horários de trabalho variam, geralmente 35 horas semanais com 2 dias de folga por semana. É necessário ter disponibilidade para trabalhar à noite, nos fins de semana e feriados. Número de horas por semana: 35. Horário de trabalho (início/término): 8h às 16h30.</v>
      </c>
    </row>
    <row r="2219" ht="20.25" customHeight="1">
      <c r="A2219" s="8" t="s">
        <v>9856</v>
      </c>
      <c r="B2219" s="8" t="s">
        <v>9857</v>
      </c>
      <c r="C2219" s="8" t="s">
        <v>7533</v>
      </c>
      <c r="D2219" s="8" t="s">
        <v>1297</v>
      </c>
      <c r="E2219" s="9" t="s">
        <v>44</v>
      </c>
      <c r="F2219" s="9" t="s">
        <v>20</v>
      </c>
      <c r="G2219" s="9" t="s">
        <v>9858</v>
      </c>
      <c r="H2219" s="8" t="s">
        <v>9859</v>
      </c>
      <c r="I2219" s="8" t="s">
        <v>9860</v>
      </c>
      <c r="J2219" s="9">
        <v>16.98</v>
      </c>
      <c r="K2219" s="9">
        <v>120.0</v>
      </c>
      <c r="L2219" s="8" t="s">
        <v>406</v>
      </c>
      <c r="M2219" s="8" t="s">
        <v>9861</v>
      </c>
      <c r="N2219" s="7" t="str">
        <f>IFERROR(__xludf.DUMMYFUNCTION("GOOGLETRANSLATE(L2219, ""en"", ""pt"")"),"Trabalhador")</f>
        <v>Trabalhador</v>
      </c>
      <c r="O2219" s="7" t="str">
        <f>IFERROR(__xludf.DUMMYFUNCTION("IF(M2219="""","""",GOOGLETRANSLATE(M2219,""en"",""pt""))"),"Remover depósitos de neve acumulados de forma contínua em condições climáticas extremas em diversas propriedades, operar soprador de neve. Levantar até 23 kg. Classificação da vaga: 37-2011.00 - Zeladores e Faxineiros, exceto empregadas domésticas e faxin"&amp;"eiras. A classificação e descrição da vaga/setor incluem informações gerais sobre o cargo, de acordo com o ONET/OES e o Sistema de Classificação Industrial da América do Norte. Consulte as Funções e a Ordem de Serviço para obter mais informações. Requisit"&amp;"os da vaga: Experiência necessária: Não. Número de horas por semana: 40. Horário de trabalho (início/término): 8h às 17h.")</f>
        <v>Remover depósitos de neve acumulados de forma contínua em condições climáticas extremas em diversas propriedades, operar soprador de neve. Levantar até 23 kg. Classificação da vaga: 37-2011.00 - Zeladores e Faxineiros, exceto empregadas domésticas e faxineiras. A classificação e descrição da vaga/setor incluem informações gerais sobre o cargo, de acordo com o ONET/OES e o Sistema de Classificação Industrial da América do Norte. Consulte as Funções e a Ordem de Serviço para obter mais informações. Requisitos da vaga: Experiência necessária: Não. Número de horas por semana: 40. Horário de trabalho (início/término): 8h às 17h.</v>
      </c>
    </row>
    <row r="2220" ht="20.25" customHeight="1">
      <c r="A2220" s="3" t="s">
        <v>9862</v>
      </c>
      <c r="B2220" s="3" t="s">
        <v>9863</v>
      </c>
      <c r="C2220" s="3" t="s">
        <v>1030</v>
      </c>
      <c r="D2220" s="3" t="s">
        <v>64</v>
      </c>
      <c r="E2220" s="4" t="s">
        <v>19</v>
      </c>
      <c r="F2220" s="4" t="s">
        <v>20</v>
      </c>
      <c r="G2220" s="4" t="s">
        <v>377</v>
      </c>
      <c r="H2220" s="3" t="s">
        <v>9864</v>
      </c>
      <c r="I2220" s="3" t="s">
        <v>9865</v>
      </c>
      <c r="J2220" s="4">
        <v>21.14</v>
      </c>
      <c r="K2220" s="4">
        <v>6.0</v>
      </c>
      <c r="L2220" s="3" t="s">
        <v>262</v>
      </c>
      <c r="M2220" s="3" t="s">
        <v>9866</v>
      </c>
      <c r="N2220" s="7" t="str">
        <f>IFERROR(__xludf.DUMMYFUNCTION("GOOGLETRANSLATE(L2220, ""en"", ""pt"")"),"Operário da construção civil")</f>
        <v>Operário da construção civil</v>
      </c>
      <c r="O2220" s="7" t="str">
        <f>IFERROR(__xludf.DUMMYFUNCTION("IF(M2220="""","""",GOOGLETRANSLATE(M2220,""en"",""pt""))"),"Executar tarefas que envolvam trabalho físico para mover/instalar casas pré-fabricadas. Carregar e empilhar blocos de concreto, usar macacos hidráulicos para nivelar a casa e usar perfuratriz elétrica para fixar âncoras no solo. Pode operar ferramentas ma"&amp;"nuais e elétricas de todos os tipos: martelos pneumáticos, compactadores de solo, betoneiras, pequenos guinchos mecânicos, pregadores pneumáticos, parafusadeiras, estiletes, pincéis e rolos de pintura, trenas, carrinhos de mão, furadeiras a bateria, chave"&amp;"s inglesas, alicates. Pode limpar e preparar terrenos, cavar valas, instalar escoras para sustentar as laterais das escavações, montar andaimes e limpar entulhos e detritos. Fazer retoques de pintura em interiores e exteriores, usando tinta; espalhar casc"&amp;"alho; colocar grama/relva; Instalar tubos de drenagem de 4 polegadas para drenos franceses, realizar reparos e instalações de irrigação em propriedades residenciais e pequenos plantios. Cavar buracos usando ferramentas manuais ou equipamentos com profundi"&amp;"dade/largura máxima de 90 cm para instalar sistemas de irrigação/plantas e criar caminhos de drenagem. Envolve carregar e descarregar ferramentas, suprimentos e equipamentos com peso de até 23 kg. Envolve trabalho ao ar livre em todos os tipos de clima. E"&amp;"nvolve ficar em pé, sentado ou caminhando por longos períodos. Envolve agachar-se ou curvar-se com frequência. Envolve movimentos repetitivos. Possibilidade de aumento salarial com base no desempenho, bônus, horas extras e trabalho aos sábados, conforme n"&amp;"ecessário. Transporte fornecido para vários locais de trabalho a partir da localização central em Alvarado, TX. 60 minutos de intervalos não remunerados ao longo do dia. O horário de trabalho diário pode variar entre os horários de início e término listad"&amp;"os, dependendo do clima ou das tarefas atribuídas. Classificação do Cargo: 47-2141.00 - Pintores, Construção e Manutenção. A classificação e descrição do cargo/setor inclui informações gerais sobre a posição, de acordo com o ONET/OES e o Sistema de Classi"&amp;"ficação Industrial da América do Norte. Consulte as Funções e a Ordem de Serviço. Para mais informações. Requisitos da vaga Experiência necessária: Não Número de horas por semana: 40 Horário de trabalho (início/término): 7h às 16h")</f>
        <v>Executar tarefas que envolvam trabalho físico para mover/instalar casas pré-fabricadas. Carregar e empilhar blocos de concreto, usar macacos hidráulicos para nivelar a casa e usar perfuratriz elétrica para fixar âncoras no solo. Pode operar ferramentas manuais e elétricas de todos os tipos: martelos pneumáticos, compactadores de solo, betoneiras, pequenos guinchos mecânicos, pregadores pneumáticos, parafusadeiras, estiletes, pincéis e rolos de pintura, trenas, carrinhos de mão, furadeiras a bateria, chaves inglesas, alicates. Pode limpar e preparar terrenos, cavar valas, instalar escoras para sustentar as laterais das escavações, montar andaimes e limpar entulhos e detritos. Fazer retoques de pintura em interiores e exteriores, usando tinta; espalhar cascalho; colocar grama/relva; Instalar tubos de drenagem de 4 polegadas para drenos franceses, realizar reparos e instalações de irrigação em propriedades residenciais e pequenos plantios. Cavar buracos usando ferramentas manuais ou equipamentos com profundidade/largura máxima de 90 cm para instalar sistemas de irrigação/plantas e criar caminhos de drenagem. Envolve carregar e descarregar ferramentas, suprimentos e equipamentos com peso de até 23 kg. Envolve trabalho ao ar livre em todos os tipos de clima. Envolve ficar em pé, sentado ou caminhando por longos períodos. Envolve agachar-se ou curvar-se com frequência. Envolve movimentos repetitivos. Possibilidade de aumento salarial com base no desempenho, bônus, horas extras e trabalho aos sábados, conforme necessário. Transporte fornecido para vários locais de trabalho a partir da localização central em Alvarado, TX. 60 minutos de intervalos não remunerados ao longo do dia. O horário de trabalho diário pode variar entre os horários de início e término listados, dependendo do clima ou das tarefas atribuídas. Classificação do Cargo: 47-2141.00 - Pintores, Construção e Manutenção. A classificação e descrição do cargo/setor inclui informações gerais sobre a posição, de acordo com o ONET/OES e o Sistema de Classificação Industrial da América do Norte. Consulte as Funções e a Ordem de Serviço. Para mais informações. Requisitos da vaga Experiência necessária: Não Número de horas por semana: 40 Horário de trabalho (início/término): 7h às 16h</v>
      </c>
    </row>
    <row r="2221" ht="20.25" customHeight="1">
      <c r="A2221" s="8" t="s">
        <v>9867</v>
      </c>
      <c r="B2221" s="8" t="s">
        <v>9868</v>
      </c>
      <c r="C2221" s="8" t="s">
        <v>7286</v>
      </c>
      <c r="D2221" s="8" t="s">
        <v>299</v>
      </c>
      <c r="E2221" s="9" t="s">
        <v>44</v>
      </c>
      <c r="F2221" s="9" t="s">
        <v>20</v>
      </c>
      <c r="G2221" s="9" t="s">
        <v>80</v>
      </c>
      <c r="H2221" s="8" t="s">
        <v>9869</v>
      </c>
      <c r="I2221" s="8" t="s">
        <v>9870</v>
      </c>
      <c r="J2221" s="9">
        <v>23.54</v>
      </c>
      <c r="K2221" s="9">
        <v>7.0</v>
      </c>
      <c r="L2221" s="8" t="s">
        <v>9871</v>
      </c>
      <c r="M2221" s="8" t="s">
        <v>9872</v>
      </c>
      <c r="N2221" s="7" t="str">
        <f>IFERROR(__xludf.DUMMYFUNCTION("GOOGLETRANSLATE(L2221, ""en"", ""pt"")"),"Operário de Fábrica de Sementes / Operador de Moinho")</f>
        <v>Operário de Fábrica de Sementes / Operador de Moinho</v>
      </c>
      <c r="O2221" s="7" t="str">
        <f>IFERROR(__xludf.DUMMYFUNCTION("IF(M2221="""","""",GOOGLETRANSLATE(M2221,""en"",""pt""))"),"Os funcionários trabalharão na unidade de limpeza, beneficiamento e expedição de soja da Soyko International, Inc. A unidade recebe, beneficia e beneficia soja, enviando-a para clientes atacadistas e varejistas por caminhão. Os funcionários desempenharão "&amp;"as seguintes funções: Limpar e carregar os equipamentos de limpeza de sementes de soja, incluindo silos de armazenamento com preservação de identidade (IP), desempedrador, classificador de correia Harada, VDMC, classificador de cores e sistema de classifi"&amp;"cação magnética. Monitorar a operação dos equipamentos de limpeza de soja mencionados acima para garantir que os produtos de soja sejam limpos e classificados com base em tamanho, formato, peso, densidade e cor. Garantir a qualidade do produto de soja (de"&amp;"scartar grãos descoloridos, manchados ou partidos). Carregar os caminhões dos clientes com pedidos de soja e sementes de soja. Descarregar os caminhões que chegam. Carregar os contêineres dos caminhões. Garantir que todos os caminhões estejam etiquetados "&amp;"com o conteúdo correto (sementes ou soja e tipo de produto). Pesar todos os caminhões e etiquetá-los apropriadamente e corretamente com o tipo de produto. Manter o inventário do produto nos silos e manter os quadros brancos de controle de estoque atualiza"&amp;"dos e precisos. Reportar diariamente o estoque de produtos à equipe do escritório. Embalar os produtos de acordo com as especificações do cliente. Verificar e manter registros de remessas de entrada e saída relacionadas ao estoque. As funções incluem veri"&amp;"ficar e registrar mercadorias ou materiais recebidos e providenciar o transporte dos produtos. Pode preparar itens para envio. Manter todas as áreas de trabalho limpas e organizadas. Limpar completamente os equipamentos mencionados acima ao trocar as vari"&amp;"edades de soja. Trabalhar de forma consistente com o princípio de “Qualidade e Cliente em Primeiro Lugar”. Executar qualquer outra tarefa ou atribuição que lhe for designada pelo supervisor. F.a.5a-F.a.6b: Mais de 35 horas/semana. Turnos de 8 horas entre "&amp;"8h e 17h. 5 dias por semana, de segunda a sexta-feira. Pode trabalhar mais horas do que o garantido. Pode fazer horas extras. As horas extras variam e devem ser previamente aprovadas. F.b.8a: Os trabalhadores receberão, no mínimo, o salário listado. O emp"&amp;"regador pode pagar salários mais altos aos trabalhadores com base na antiguidade na empresa e no nível de habilidade. As horas extras podem variar. F.b.8a: Dependendo das condições de trabalho, o empregador poderá oferecer aos trabalhadores que desempenha"&amp;"m determinadas tarefas durante certos períodos da temporada a oportunidade de ganhar um bônus de incentivo, além da remuneração garantida estabelecida acima. Se oferecido, esse bônus de incentivo será baseado na quantidade e qualidade do trabalho realizad"&amp;"o e oferecido a todos os trabalhadores que atuam na(s) atividade(s) e durante o(s) período(s) em que o bônus de incentivo for oferecido. Caso um bônus de incentivo seja oferecido, o fato de que o bônus será oferecido e a forma como será determinado serão "&amp;"explicados a todos os trabalhadores afetados antes do início de qualquer período de trabalho ou atividade sujeita a tal bônus. Os bônus de incentivo são oferecidos a critério exclusivo do empregador, e nenhum bônus ou oportunidade de ganhar um bônus é pro"&amp;"metido ou garantido. F.b.9: A partir de 1º de janeiro de 2024, conforme a legislação do Estado de Minnesota, o funcionário terá direito a uma hora de licença médica e de segurança remunerada a cada 30 horas trabalhadas, até um máximo de 48 horas de Licenç"&amp;"a Médica e de Segurança Remunerada (ESST) acumulada por ano, desde que trabalhe no mínimo 80 horas no ano civil. Classificação da Função: 43-5071.00 - Auxiliar de Expedição, Recebimento e Estoque. A classificação e descrição da função/setor incluem inform"&amp;"ações gerais sobre o cargo, de acordo com o ONET/OES e o Sistema de Classificação Industrial da América do Norte (NAICS). Consulte as Funções e a Ordem de Serviço para obter mais informações. Requisitos da Função Experiência Necessária: Não. Requisitos Es"&amp;"peciais: Não são necessários formação, treinamento ou experiência formal. O treinamento será oferecido no local de trabalho. O candidato deve ser capaz de se comunicar em inglês básico para receber instruções do supervisor e interagir com os colegas. Deve"&amp;" ser capaz de realizar cálculos matemáticos simples para contagem e registro de estoque e etiquetagem de produtos. Deve ser capaz de ler e escrever em inglês com fluência suficiente para compreender instruções de processo, ordens de serviço e outros docum"&amp;"entos. Capacidade física para carregar e descarregar paletes, caminhões, caixas, etc. Habilidade para operar empilhadeiras. Conhecimento geral ou disposição para aprender métodos e procedimentos de processamento de sementes. Capacidade de apresentar pelo "&amp;"menos três referências profissionais. Capacidade de levantar 45 kg. Excelente visão e percepção de profundidade. Habilidade mecânica básica para solucionar problemas de produção ou disposição para treinamento nessa área. O trabalho é realizado principalme"&amp;"nte na fábrica, que está sujeita a temperaturas extremas de calor no verão e frio extremo no inverno, incluindo congelamento. Haverá exposição a poeira e altos níveis de ruído. Pode haver exposição a materiais perigosos, bem como a equipamentos mecânicos "&amp;"potencialmente perigosos. Número de horas por semana: 35. Horário de trabalho (início/término): 8h às 17h.")</f>
        <v>Os funcionários trabalharão na unidade de limpeza, beneficiamento e expedição de soja da Soyko International, Inc. A unidade recebe, beneficia e beneficia soja, enviando-a para clientes atacadistas e varejistas por caminhão. Os funcionários desempenharão as seguintes funções: Limpar e carregar os equipamentos de limpeza de sementes de soja, incluindo silos de armazenamento com preservação de identidade (IP), desempedrador, classificador de correia Harada, VDMC, classificador de cores e sistema de classificação magnética. Monitorar a operação dos equipamentos de limpeza de soja mencionados acima para garantir que os produtos de soja sejam limpos e classificados com base em tamanho, formato, peso, densidade e cor. Garantir a qualidade do produto de soja (descartar grãos descoloridos, manchados ou partidos). Carregar os caminhões dos clientes com pedidos de soja e sementes de soja. Descarregar os caminhões que chegam. Carregar os contêineres dos caminhões. Garantir que todos os caminhões estejam etiquetados com o conteúdo correto (sementes ou soja e tipo de produto). Pesar todos os caminhões e etiquetá-los apropriadamente e corretamente com o tipo de produto. Manter o inventário do produto nos silos e manter os quadros brancos de controle de estoque atualizados e precisos. Reportar diariamente o estoque de produtos à equipe do escritório. Embalar os produtos de acordo com as especificações do cliente. Verificar e manter registros de remessas de entrada e saída relacionadas ao estoque. As funções incluem verificar e registrar mercadorias ou materiais recebidos e providenciar o transporte dos produtos. Pode preparar itens para envio. Manter todas as áreas de trabalho limpas e organizadas. Limpar completamente os equipamentos mencionados acima ao trocar as variedades de soja. Trabalhar de forma consistente com o princípio de “Qualidade e Cliente em Primeiro Lugar”. Executar qualquer outra tarefa ou atribuição que lhe for designada pelo supervisor. F.a.5a-F.a.6b: Mais de 35 horas/semana. Turnos de 8 horas entre 8h e 17h. 5 dias por semana, de segunda a sexta-feira. Pode trabalhar mais horas do que o garantido. Pode fazer horas extras. As horas extras variam e devem ser previamente aprovadas. F.b.8a: Os trabalhadores receberão, no mínimo, o salário listado. O empregador pode pagar salários mais altos aos trabalhadores com base na antiguidade na empresa e no nível de habilidade. As horas extras podem variar. F.b.8a: Dependendo das condições de trabalho, o empregador poderá oferecer aos trabalhadores que desempenham determinadas tarefas durante certos períodos da temporada a oportunidade de ganhar um bônus de incentivo, além da remuneração garantida estabelecida acima. Se oferecido, esse bônus de incentivo será baseado na quantidade e qualidade do trabalho realizado e oferecido a todos os trabalhadores que atuam na(s) atividade(s) e durante o(s) período(s) em que o bônus de incentivo for oferecido. Caso um bônus de incentivo seja oferecido, o fato de que o bônus será oferecido e a forma como será determinado serão explicados a todos os trabalhadores afetados antes do início de qualquer período de trabalho ou atividade sujeita a tal bônus. Os bônus de incentivo são oferecidos a critério exclusivo do empregador, e nenhum bônus ou oportunidade de ganhar um bônus é prometido ou garantido. F.b.9: A partir de 1º de janeiro de 2024, conforme a legislação do Estado de Minnesota, o funcionário terá direito a uma hora de licença médica e de segurança remunerada a cada 30 horas trabalhadas, até um máximo de 48 horas de Licença Médica e de Segurança Remunerada (ESST) acumulada por ano, desde que trabalhe no mínimo 80 horas no ano civil. Classificação da Função: 43-5071.00 - Auxiliar de Expedição, Recebimento e Estoque. A classificação e descrição da função/setor incluem informações gerais sobre o cargo, de acordo com o ONET/OES e o Sistema de Classificação Industrial da América do Norte (NAICS). Consulte as Funções e a Ordem de Serviço para obter mais informações. Requisitos da Função Experiência Necessária: Não. Requisitos Especiais: Não são necessários formação, treinamento ou experiência formal. O treinamento será oferecido no local de trabalho. O candidato deve ser capaz de se comunicar em inglês básico para receber instruções do supervisor e interagir com os colegas. Deve ser capaz de realizar cálculos matemáticos simples para contagem e registro de estoque e etiquetagem de produtos. Deve ser capaz de ler e escrever em inglês com fluência suficiente para compreender instruções de processo, ordens de serviço e outros documentos. Capacidade física para carregar e descarregar paletes, caminhões, caixas, etc. Habilidade para operar empilhadeiras. Conhecimento geral ou disposição para aprender métodos e procedimentos de processamento de sementes. Capacidade de apresentar pelo menos três referências profissionais. Capacidade de levantar 45 kg. Excelente visão e percepção de profundidade. Habilidade mecânica básica para solucionar problemas de produção ou disposição para treinamento nessa área. O trabalho é realizado principalmente na fábrica, que está sujeita a temperaturas extremas de calor no verão e frio extremo no inverno, incluindo congelamento. Haverá exposição a poeira e altos níveis de ruído. Pode haver exposição a materiais perigosos, bem como a equipamentos mecânicos potencialmente perigosos. Número de horas por semana: 35. Horário de trabalho (início/término): 8h às 17h.</v>
      </c>
    </row>
    <row r="2222" ht="20.25" customHeight="1">
      <c r="A2222" s="3" t="s">
        <v>9873</v>
      </c>
      <c r="B2222" s="3" t="s">
        <v>9874</v>
      </c>
      <c r="C2222" s="3" t="s">
        <v>1713</v>
      </c>
      <c r="D2222" s="3" t="s">
        <v>3015</v>
      </c>
      <c r="E2222" s="4" t="s">
        <v>19</v>
      </c>
      <c r="F2222" s="4" t="s">
        <v>20</v>
      </c>
      <c r="G2222" s="4" t="s">
        <v>56</v>
      </c>
      <c r="H2222" s="3" t="s">
        <v>9875</v>
      </c>
      <c r="I2222" s="3" t="s">
        <v>9876</v>
      </c>
      <c r="J2222" s="4">
        <v>26.86</v>
      </c>
      <c r="K2222" s="4">
        <v>10.0</v>
      </c>
      <c r="L2222" s="3" t="s">
        <v>9877</v>
      </c>
      <c r="M2222" s="3" t="s">
        <v>9878</v>
      </c>
      <c r="N2222" s="7" t="str">
        <f>IFERROR(__xludf.DUMMYFUNCTION("GOOGLETRANSLATE(L2222, ""en"", ""pt"")"),"Ajudantes - telhadores")</f>
        <v>Ajudantes - telhadores</v>
      </c>
      <c r="O2222" s="7" t="str">
        <f>IFERROR(__xludf.DUMMYFUNCTION("IF(M2222="""","""",GOOGLETRANSLATE(M2222,""en"",""pt""))"),"As funções podem incluir: Localizar áreas desgastadas ou rasgadas nos telhados. Preparar os telhados para a aplicação de novos materiais de cobertura, varrendo, limpando e removendo materiais antigos ou danificados. Cobrir os telhados com camadas de tiras"&amp;" asfálticas, feltro ou manta impermeabilizante antes da instalação de telhas compostas, membranas, metal, ardósia ou telhas cerâmicas. Auxiliar os telhadistas na instalação de novos telhados, transportando materiais e suprimentos conforme solicitado. Colo"&amp;"car telhas compostas, membranas, metal, ardósia ou telhas cerâmicas, fixá-las à estrutura do telhado e cobrir as cabeças dos pregos com cimento asfáltico. Garantir que os telhados concluídos estejam impermeáveis. Utilizar ferramentas manuais como pistola "&amp;"de calafetagem, alavanca, martelo, pregador pneumático, estilete, pá de telhado ou tesoura de cortar metal. Desobstruir ralos e calhas e limpar as calhas. Limpar e remover quaisquer detritos do telhado para os recipientes de lixo no local, a fim de garant"&amp;"ir um local de trabalho limpo e seguro, bem como outras atividades relacionadas aos ajudantes de telhador, conforme SOC/OES 47-2181 (onetonline.org). Horário padrão/esperado: segunda a sexta, das 7h às 19h. Oferecemos mais de 50 horas semanais, sem inclui"&amp;"r almoço e/ou intervalos. Possibilidade de trabalho aos fins de semana. Os horários de início e término, as horas oferecidas e/ou horas extras podem variar, pois dependem de outros fatores, como necessidades do projeto/cronograma/serviço, clima e tempo de"&amp;" deslocamento entre os locais de trabalho (se aplicável). Horas extras são possíveis, mas não obrigatórias ou garantidas. A critério exclusivo do empregador: possíveis aumentos e/ou bônus com base em fatores individuais, como desempenho ou habilidade (não"&amp;" garantidos). Pagamento por produção: o trabalhador nunca receberá menos do que o salário vigente ou o salário mínimo federal/estadual/municipal. Alojamento mobiliado compartilhado opcional disponível para o trabalhador (incluindo: eletricidade, internet,"&amp;" energia e água) por uma taxa mensal de até US$ 300; caso o trabalhador concorde com o alojamento opcional, a taxa mensal deverá ser paga diretamente ao proprietário. Classificação da vaga: 47-2181.00 - Telhadores. A classificação e descrição da vaga/seto"&amp;"r incluem informações gerais sobre o cargo, de acordo com o ONET/OES e o Sistema de Classificação Industrial da América do Norte. Consulte as Funções e a Ordem de Serviço para obter mais informações. Requisitos da vaga: Experiência necessária: Não. Requis"&amp;"itos especiais: É necessário ter 18 anos devido ao uso de equipamentos. É necessário apresentar comprovante de autorização legal para trabalhar nos Estados Unidos. Ambiente de trabalho livre de drogas, álcool e tabaco. Executar atividades físicas, como le"&amp;"vantar, equilibrar-se, caminhar, abaixar-se, manusear, posicionar, mover e manipular materiais, utilizando força estática para exercer força muscular máxima para levantar, empurrar, puxar e carregar objetos de até 23 kg. Todos os candidatos devem ser capa"&amp;"zes, dispostos e qualificados para executar o trabalho descrito e devem estar disponíveis durante todo o período especificado e para trabalhar em todas as áreas do emprego pretendido. Possível verificação de antecedentes após a contratação, às custas do e"&amp;"mpregador. O trabalho é realizado ao ar livre, exposto às intempéries; o candidato deve ser capaz de realizar trabalho fisicamente extenuante por longos períodos, ocasionalmente em calor ou frio extremos. Condições climáticas variáveis ​​se aplicam; a car"&amp;"ga horária pode sofrer alterações (+/-), com possibilidade de períodos de inatividade e/ou horas extras. Número de horas por semana: 40. Horário de trabalho (início/término): 7h às 19h.")</f>
        <v>As funções podem incluir: Localizar áreas desgastadas ou rasgadas nos telhados. Preparar os telhados para a aplicação de novos materiais de cobertura, varrendo, limpando e removendo materiais antigos ou danificados. Cobrir os telhados com camadas de tiras asfálticas, feltro ou manta impermeabilizante antes da instalação de telhas compostas, membranas, metal, ardósia ou telhas cerâmicas. Auxiliar os telhadistas na instalação de novos telhados, transportando materiais e suprimentos conforme solicitado. Colocar telhas compostas, membranas, metal, ardósia ou telhas cerâmicas, fixá-las à estrutura do telhado e cobrir as cabeças dos pregos com cimento asfáltico. Garantir que os telhados concluídos estejam impermeáveis. Utilizar ferramentas manuais como pistola de calafetagem, alavanca, martelo, pregador pneumático, estilete, pá de telhado ou tesoura de cortar metal. Desobstruir ralos e calhas e limpar as calhas. Limpar e remover quaisquer detritos do telhado para os recipientes de lixo no local, a fim de garantir um local de trabalho limpo e seguro, bem como outras atividades relacionadas aos ajudantes de telhador, conforme SOC/OES 47-2181 (onetonline.org). Horário padrão/esperado: segunda a sexta, das 7h às 19h. Oferecemos mais de 50 horas semanais, sem incluir almoço e/ou intervalos. Possibilidade de trabalho aos fins de semana. Os horários de início e término, as horas oferecidas e/ou horas extras podem variar, pois dependem de outros fatores, como necessidades do projeto/cronograma/serviço, clima e tempo de deslocamento entre os locais de trabalho (se aplicável). Horas extras são possíveis, mas não obrigatórias ou garantidas. A critério exclusivo do empregador: possíveis aumentos e/ou bônus com base em fatores individuais, como desempenho ou habilidade (não garantidos). Pagamento por produção: o trabalhador nunca receberá menos do que o salário vigente ou o salário mínimo federal/estadual/municipal. Alojamento mobiliado compartilhado opcional disponível para o trabalhador (incluindo: eletricidade, internet, energia e água) por uma taxa mensal de até US$ 300; caso o trabalhador concorde com o alojamento opcional, a taxa mensal deverá ser paga diretamente ao proprietário. Classificação da vaga: 47-2181.00 - Telhadores. A classificação e descrição da vaga/setor incluem informações gerais sobre o cargo, de acordo com o ONET/OES e o Sistema de Classificação Industrial da América do Norte. Consulte as Funções e a Ordem de Serviço para obter mais informações. Requisitos da vaga: Experiência necessária: Não. Requisitos especiais: É necessário ter 18 anos devido ao uso de equipamentos. É necessário apresentar comprovante de autorização legal para trabalhar nos Estados Unidos. Ambiente de trabalho livre de drogas, álcool e tabaco. Executar atividades físicas, como levantar, equilibrar-se, caminhar, abaixar-se, manusear, posicionar, mover e manipular materiais, utilizando força estática para exercer força muscular máxima para levantar, empurrar, puxar e carregar objetos de até 23 kg. Todos os candidatos devem ser capazes, dispostos e qualificados para executar o trabalho descrito e devem estar disponíveis durante todo o período especificado e para trabalhar em todas as áreas do emprego pretendido. Possível verificação de antecedentes após a contratação, às custas do empregador. O trabalho é realizado ao ar livre, exposto às intempéries; o candidato deve ser capaz de realizar trabalho fisicamente extenuante por longos períodos, ocasionalmente em calor ou frio extremos. Condições climáticas variáveis ​​se aplicam; a carga horária pode sofrer alterações (+/-), com possibilidade de períodos de inatividade e/ou horas extras. Número de horas por semana: 40. Horário de trabalho (início/término): 7h às 19h.</v>
      </c>
    </row>
    <row r="2223" ht="20.25" customHeight="1">
      <c r="A2223" s="8" t="s">
        <v>9879</v>
      </c>
      <c r="B2223" s="8" t="s">
        <v>9880</v>
      </c>
      <c r="C2223" s="8" t="s">
        <v>9832</v>
      </c>
      <c r="D2223" s="8" t="s">
        <v>140</v>
      </c>
      <c r="E2223" s="9" t="s">
        <v>19</v>
      </c>
      <c r="F2223" s="9" t="s">
        <v>20</v>
      </c>
      <c r="G2223" s="9" t="s">
        <v>345</v>
      </c>
      <c r="H2223" s="8" t="s">
        <v>9881</v>
      </c>
      <c r="I2223" s="8" t="s">
        <v>9882</v>
      </c>
      <c r="J2223" s="9">
        <v>16.89</v>
      </c>
      <c r="K2223" s="9">
        <v>5.0</v>
      </c>
      <c r="L2223" s="8" t="s">
        <v>354</v>
      </c>
      <c r="M2223" s="8" t="s">
        <v>9883</v>
      </c>
      <c r="N2223" s="7" t="str">
        <f>IFERROR(__xludf.DUMMYFUNCTION("GOOGLETRANSLATE(L2223, ""en"", ""pt"")"),"Governanta")</f>
        <v>Governanta</v>
      </c>
      <c r="O2223" s="7" t="str">
        <f>IFERROR(__xludf.DUMMYFUNCTION("IF(M2223="""","""",GOOGLETRANSLATE(M2223,""en"",""pt""))"),"A função do auxiliar de limpeza é limpar casas/apartamentos, quartos de hotel e áreas públicas (banheiros, saguão, hall de entrada e corredores). Esvaziar lixeiras, limpar cinzeiros e transportar outros lixos e resíduos para as áreas de descarte. Varrer o"&amp;" chão usando vassouras e esfregões. Limpar tapetes, carpetes, móveis estofados e cortinas, usando aspiradores de pó e lavadoras de carpetes. Trocar a roupa de cama e repor os itens de higiene nos quartos. Classificação da função: 37-2011.00 - Zeladores e "&amp;"Auxiliares de Limpeza, exceto empregadas domésticas e auxiliares de limpeza. A classificação e descrição da função/setor inclui informações gerais sobre o cargo, de acordo com o ONET/OES e o Sistema de Classificação Industrial da América do Norte. Consult"&amp;"e as Funções e a Ordem de Serviço para obter mais informações. Requisitos da vaga: Experiência necessária: Não. Requisitos especiais: A jornada de trabalho pode variar, geralmente 40 horas semanais com 2 dias de folga programados por semana. Disponibilida"&amp;"de para trabalhar à noite, nos fins de semana e feriados. Número de horas por semana: 35. (Horário de início/término): 8h00 - 16h30")</f>
        <v>A função do auxiliar de limpeza é limpar casas/apartamentos, quartos de hotel e áreas públicas (banheiros, saguão, hall de entrada e corredores). Esvaziar lixeiras, limpar cinzeiros e transportar outros lixos e resíduos para as áreas de descarte. Varrer o chão usando vassouras e esfregões. Limpar tapetes, carpetes, móveis estofados e cortinas, usando aspiradores de pó e lavadoras de carpetes. Trocar a roupa de cama e repor os itens de higiene nos quartos. Classificação da função: 37-2011.00 - Zeladores e Auxiliares de Limpeza, exceto empregadas domésticas e auxiliares de limpeza. A classificação e descrição da função/setor inclui informações gerais sobre o cargo, de acordo com o ONET/OES e o Sistema de Classificação Industrial da América do Norte. Consulte as Funções e a Ordem de Serviço para obter mais informações. Requisitos da vaga: Experiência necessária: Não. Requisitos especiais: A jornada de trabalho pode variar, geralmente 40 horas semanais com 2 dias de folga programados por semana. Disponibilidade para trabalhar à noite, nos fins de semana e feriados. Número de horas por semana: 35. (Horário de início/término): 8h00 - 16h30</v>
      </c>
    </row>
    <row r="2224" ht="20.25" customHeight="1">
      <c r="A2224" s="3" t="s">
        <v>9884</v>
      </c>
      <c r="B2224" s="3" t="s">
        <v>9885</v>
      </c>
      <c r="C2224" s="3" t="s">
        <v>9886</v>
      </c>
      <c r="D2224" s="3" t="s">
        <v>154</v>
      </c>
      <c r="E2224" s="4" t="s">
        <v>19</v>
      </c>
      <c r="F2224" s="4" t="s">
        <v>20</v>
      </c>
      <c r="G2224" s="4" t="s">
        <v>94</v>
      </c>
      <c r="H2224" s="3" t="s">
        <v>9887</v>
      </c>
      <c r="I2224" s="3" t="s">
        <v>9888</v>
      </c>
      <c r="J2224" s="4">
        <v>24.61</v>
      </c>
      <c r="K2224" s="4">
        <v>8.0</v>
      </c>
      <c r="L2224" s="3" t="s">
        <v>1490</v>
      </c>
      <c r="M2224" s="3" t="s">
        <v>9889</v>
      </c>
      <c r="N2224" s="7" t="str">
        <f>IFERROR(__xludf.DUMMYFUNCTION("GOOGLETRANSLATE(L2224, ""en"", ""pt"")"),"Zelador")</f>
        <v>Zelador</v>
      </c>
      <c r="O2224" s="7" t="str">
        <f>IFERROR(__xludf.DUMMYFUNCTION("IF(M2224="""","""",GOOGLETRANSLATE(M2224,""en"",""pt""))"),"Limpar e preparar o exterior de residências e comércios para a decoração de festas, removendo obstruções e detritos conforme necessário. Auxiliar na montagem e instalação de decorações sazonais externas. Remover as decorações ao final da temporada. Limpar"&amp;" e guardar em recipientes apropriados. Descartar o lixo. Classificação da Função: 49-9099.00 - Trabalhadores de Instalação, Manutenção e Reparo, Outros. A classificação e descrição da função/setor inclui informações gerais sobre o cargo, conforme ONET/OES"&amp;" e o Sistema de Classificação Industrial da América do Norte (NAICS). Consulte as Funções e a Ordem de Serviço para obter mais informações. Requisitos da Função: Experiência Necessária: Sim. Meses de Experiência Necessária: 1. Requisitos Especiais: Deve s"&amp;"er capaz de levantar 23 kg ou mais e não ter medo de altura. Número de Horas por Semana: 40. Horário de Trabalho (Início/Término): 7h às 16h.")</f>
        <v>Limpar e preparar o exterior de residências e comércios para a decoração de festas, removendo obstruções e detritos conforme necessário. Auxiliar na montagem e instalação de decorações sazonais externas. Remover as decorações ao final da temporada. Limpar e guardar em recipientes apropriados. Descartar o lixo. Classificação da Função: 49-9099.00 - Trabalhadores de Instalação, Manutenção e Reparo, Outros. A classificação e descrição da função/setor inclui informações gerais sobre o cargo, conforme ONET/OES e o Sistema de Classificação Industrial da América do Norte (NAICS). Consulte as Funções e a Ordem de Serviço para obter mais informações. Requisitos da Função: Experiência Necessária: Sim. Meses de Experiência Necessária: 1. Requisitos Especiais: Deve ser capaz de levantar 23 kg ou mais e não ter medo de altura. Número de Horas por Semana: 40. Horário de Trabalho (Início/Término): 7h às 16h.</v>
      </c>
    </row>
    <row r="2225" ht="20.25" customHeight="1">
      <c r="A2225" s="8" t="s">
        <v>9890</v>
      </c>
      <c r="B2225" s="8" t="s">
        <v>9891</v>
      </c>
      <c r="C2225" s="8" t="s">
        <v>7533</v>
      </c>
      <c r="D2225" s="8" t="s">
        <v>154</v>
      </c>
      <c r="E2225" s="9" t="s">
        <v>44</v>
      </c>
      <c r="F2225" s="9" t="s">
        <v>20</v>
      </c>
      <c r="G2225" s="9" t="s">
        <v>1786</v>
      </c>
      <c r="H2225" s="8" t="s">
        <v>9892</v>
      </c>
      <c r="I2225" s="8" t="s">
        <v>9893</v>
      </c>
      <c r="J2225" s="9">
        <v>24.06</v>
      </c>
      <c r="K2225" s="9">
        <v>36.0</v>
      </c>
      <c r="L2225" s="8" t="s">
        <v>406</v>
      </c>
      <c r="M2225" s="8" t="s">
        <v>9894</v>
      </c>
      <c r="N2225" s="7" t="str">
        <f>IFERROR(__xludf.DUMMYFUNCTION("GOOGLETRANSLATE(L2225, ""en"", ""pt"")"),"Trabalhador")</f>
        <v>Trabalhador</v>
      </c>
      <c r="O2225" s="7" t="str">
        <f>IFERROR(__xludf.DUMMYFUNCTION("IF(M2225="""","""",GOOGLETRANSLATE(M2225,""en"",""pt""))"),"Aplicar placas de gesso ou outros tipos de revestimento em tetos ou paredes internas de edifícios. Aplicar ou instalar placas ou blocos acústicos, tiras ou folhas de materiais absorventes de impacto em tetos e paredes de edifícios para reduzir ou refletir"&amp;" o som. Os materiais podem ser de qualidade decorativa. Inclui instaladores que fixam ripas de madeira, metal ou gesso acartonado em paredes, tetos ou divisórias de edifícios para fornecer uma base de suporte para gesso, material à prova de fogo ou acústi"&amp;"co. Levantar até 20 kg. Classificação da função: 47-2081.00 - Instaladores de Drywall e Placas de Forro. A classificação e descrição da função/setor inclui informações gerais sobre o cargo, de acordo com o ONET/OES e o Sistema de Classificação Industrial "&amp;"da América do Norte. Consulte as Funções e a Ordem de Serviço para obter mais informações. Requisitos da função: Experiência necessária: Não. Número de horas por semana: 40. Horário de trabalho (início/término): 8h às 17h.")</f>
        <v>Aplicar placas de gesso ou outros tipos de revestimento em tetos ou paredes internas de edifícios. Aplicar ou instalar placas ou blocos acústicos, tiras ou folhas de materiais absorventes de impacto em tetos e paredes de edifícios para reduzir ou refletir o som. Os materiais podem ser de qualidade decorativa. Inclui instaladores que fixam ripas de madeira, metal ou gesso acartonado em paredes, tetos ou divisórias de edifícios para fornecer uma base de suporte para gesso, material à prova de fogo ou acústico. Levantar até 20 kg. Classificação da função: 47-2081.00 - Instaladores de Drywall e Placas de Forro. A classificação e descrição da função/setor inclui informações gerais sobre o cargo, de acordo com o ONET/OES e o Sistema de Classificação Industrial da América do Norte. Consulte as Funções e a Ordem de Serviço para obter mais informações. Requisitos da função: Experiência necessária: Não. Número de horas por semana: 40. Horário de trabalho (início/término): 8h às 17h.</v>
      </c>
    </row>
    <row r="2226" ht="20.25" customHeight="1">
      <c r="A2226" s="3" t="s">
        <v>9895</v>
      </c>
      <c r="B2226" s="3" t="s">
        <v>9896</v>
      </c>
      <c r="C2226" s="3" t="s">
        <v>7286</v>
      </c>
      <c r="D2226" s="3" t="s">
        <v>299</v>
      </c>
      <c r="E2226" s="4" t="s">
        <v>44</v>
      </c>
      <c r="F2226" s="4" t="s">
        <v>20</v>
      </c>
      <c r="G2226" s="4" t="s">
        <v>65</v>
      </c>
      <c r="H2226" s="3" t="s">
        <v>9897</v>
      </c>
      <c r="I2226" s="3" t="s">
        <v>9898</v>
      </c>
      <c r="J2226" s="4">
        <v>22.32</v>
      </c>
      <c r="K2226" s="4">
        <v>28.0</v>
      </c>
      <c r="L2226" s="3" t="s">
        <v>59</v>
      </c>
      <c r="M2226" s="3" t="s">
        <v>9899</v>
      </c>
      <c r="N2226" s="7" t="str">
        <f>IFERROR(__xludf.DUMMYFUNCTION("GOOGLETRANSLATE(L2226, ""en"", ""pt"")"),"Trabalhador de paisagismo")</f>
        <v>Trabalhador de paisagismo</v>
      </c>
      <c r="O2226" s="7" t="str">
        <f>IFERROR(__xludf.DUMMYFUNCTION("IF(M2226="""","""",GOOGLETRANSLATE(M2226,""en"",""pt""))"),"Paisagismo ou manutenção de terrenos utilizando ferramentas/equipamentos manuais ou elétricos. Os trabalhadores geralmente executam uma variedade de tarefas, que podem incluir qualquer combinação das seguintes: colocação de grama, poda, plantio, rega, fer"&amp;"tilização, escavação, rastelamento, proteção de raízes de árvores com juta, transporte de pedras, preparação do solo, instalação de irrigação. Deve ser capaz de levantar/carregar até 23 kg (50 libras) consistentemente durante todo o dia. O trabalho é supe"&amp;"rvisionado. Pode executar outras tarefas de acordo com o artigo 37-3011, Trabalhadores de Paisagismo e Manutenção de Terrenos. F.a.5a-F.a.6b: 35+ horas/semana. Turnos de 8 horas entre 7h e 17h (horário estendido quando necessário); 5 dias por semana, de s"&amp;"egunda a sexta-feira. Pode trabalhar à noite, nos fins de semana e feriados, conforme necessário. A escala (incluindo os dias de trabalho) pode variar. Pode trabalhar mais horas do que o garantido. Pode fazer horas extras. O valor das horas extras varia. "&amp;"F.b.8a: Os trabalhadores receberão, no mínimo, o salário listado. O empregador poderá pagar salários mais altos aos trabalhadores com base na antiguidade na empresa e no nível de habilidade. As horas extras podem variar. F.b.9: A partir de 1º de janeiro d"&amp;"e 2024, conforme a legislação do estado de Minnesota, o funcionário acumulará uma hora de licença médica e de segurança remunerada a cada 30 horas trabalhadas, até um máximo de 48 horas de Licença Médica e de Segurança Remunerada (ESST) por ano, desde que"&amp;" trabalhe no mínimo 80 horas em um ano civil. F.c.1: Os trabalhadores temporários de paisagismo com visto H-2B desempenharão suas funções no endereço 3240 Iffert Ave. NE, St. Michael, MN 55376 e em diversos locais de trabalho dentro da área de atuação pre"&amp;"tendida, incluindo os seguintes condados: Anoka, Carver, Chisago, Dakota, Hennepin, Isanti, Le Sueur, Ramsey, Scott, Sherburne, Washington, Wright, Redwood, Sibley, Olmstead, Faribault, Morrison, Benton, Kanabec, Lake e St. Louis. Poderão se deslocar para"&amp;" outros condados dentro da área de atuação pretendida, com sede em St. Michael. F.d.1: O empregador fornecerá transporte diário do escritório no endereço 3240 Iffert Ave. NE, St. Michael, MN 55376 até os locais de trabalho e vice-versa. F.d.4: Os trabalha"&amp;"dores têm a opção de moradia fornecida pelo empregador por US$ 300 por mês, e, caso optem por essa modalidade, o empregador deduzirá o valor do salário do trabalhador. Os trabalhadores também têm a opção de providenciar sua própria acomodação. Classificaç"&amp;"ão da vaga: 37-3011.00 - Trabalhadores de Paisagismo e Manutenção de Jardins. A classificação e descrição da vaga/setor inclui informações gerais sobre o cargo, de acordo com o ONET/OES e o Sistema de Classificação Industrial da América do Norte (NAICS). "&amp;"Consulte as Funções e a Ordem de Serviço para obter mais informações. Requisitos da vaga: Experiência necessária: Não. Requisitos especiais: Não é necessário nenhum nível formal de escolaridade, treinamento ou experiência. O candidato deve ser capaz de le"&amp;"vantar/carregar até 23 kg (50 libras) consistentemente durante todo o dia. Testes toxicológicos aleatórios serão realizados durante o emprego. Treinamento no local de trabalho será fornecido. Número de horas por semana: 35. Horário de trabalho (início/tér"&amp;"mino): 7h às 17h.")</f>
        <v>Paisagismo ou manutenção de terrenos utilizando ferramentas/equipamentos manuais ou elétricos. Os trabalhadores geralmente executam uma variedade de tarefas, que podem incluir qualquer combinação das seguintes: colocação de grama, poda, plantio, rega, fertilização, escavação, rastelamento, proteção de raízes de árvores com juta, transporte de pedras, preparação do solo, instalação de irrigação. Deve ser capaz de levantar/carregar até 23 kg (50 libras) consistentemente durante todo o dia. O trabalho é supervisionado. Pode executar outras tarefas de acordo com o artigo 37-3011, Trabalhadores de Paisagismo e Manutenção de Terrenos. F.a.5a-F.a.6b: 35+ horas/semana. Turnos de 8 horas entre 7h e 17h (horário estendido quando necessário); 5 dias por semana, de segunda a sexta-feira. Pode trabalhar à noite, nos fins de semana e feriados, conforme necessário. A escala (incluindo os dias de trabalho) pode variar. Pode trabalhar mais horas do que o garantido. Pode fazer horas extras. O valor das horas extras varia. F.b.8a: Os trabalhadores receberão, no mínimo, o salário listado. O empregador poderá pagar salários mais altos aos trabalhadores com base na antiguidade na empresa e no nível de habilidade. As horas extras podem variar. F.b.9: A partir de 1º de janeiro de 2024, conforme a legislação do estado de Minnesota, o funcionário acumulará uma hora de licença médica e de segurança remunerada a cada 30 horas trabalhadas, até um máximo de 48 horas de Licença Médica e de Segurança Remunerada (ESST) por ano, desde que trabalhe no mínimo 80 horas em um ano civil. F.c.1: Os trabalhadores temporários de paisagismo com visto H-2B desempenharão suas funções no endereço 3240 Iffert Ave. NE, St. Michael, MN 55376 e em diversos locais de trabalho dentro da área de atuação pretendida, incluindo os seguintes condados: Anoka, Carver, Chisago, Dakota, Hennepin, Isanti, Le Sueur, Ramsey, Scott, Sherburne, Washington, Wright, Redwood, Sibley, Olmstead, Faribault, Morrison, Benton, Kanabec, Lake e St. Louis. Poderão se deslocar para outros condados dentro da área de atuação pretendida, com sede em St. Michael. F.d.1: O empregador fornecerá transporte diário do escritório no endereço 3240 Iffert Ave. NE, St. Michael, MN 55376 até os locais de trabalho e vice-versa. F.d.4: Os trabalhadores têm a opção de moradia fornecida pelo empregador por US$ 300 por mês, e, caso optem por essa modalidade, o empregador deduzirá o valor do salário do trabalhador. Os trabalhadores também têm a opção de providenciar sua própria acomodação. Classificação da vaga: 37-3011.00 - Trabalhadores de Paisagismo e Manutenção de Jardins. A classificação e descrição da vaga/setor inclui informações gerais sobre o cargo, de acordo com o ONET/OES e o Sistema de Classificação Industrial da América do Norte (NAICS). Consulte as Funções e a Ordem de Serviço para obter mais informações. Requisitos da vaga: Experiência necessária: Não. Requisitos especiais: Não é necessário nenhum nível formal de escolaridade, treinamento ou experiência. O candidato deve ser capaz de levantar/carregar até 23 kg (50 libras) consistentemente durante todo o dia. Testes toxicológicos aleatórios serão realizados durante o emprego. Treinamento no local de trabalho será fornecido. Número de horas por semana: 35. Horário de trabalho (início/término): 7h às 17h.</v>
      </c>
    </row>
    <row r="2227" ht="20.25" customHeight="1">
      <c r="A2227" s="8" t="s">
        <v>9900</v>
      </c>
      <c r="B2227" s="8" t="s">
        <v>9901</v>
      </c>
      <c r="C2227" s="8" t="s">
        <v>169</v>
      </c>
      <c r="D2227" s="8" t="s">
        <v>51</v>
      </c>
      <c r="E2227" s="9" t="s">
        <v>19</v>
      </c>
      <c r="F2227" s="9" t="s">
        <v>20</v>
      </c>
      <c r="G2227" s="9" t="s">
        <v>1859</v>
      </c>
      <c r="H2227" s="14" t="s">
        <v>9902</v>
      </c>
      <c r="I2227" s="8" t="s">
        <v>9903</v>
      </c>
      <c r="J2227" s="9">
        <v>18.94</v>
      </c>
      <c r="K2227" s="9">
        <v>60.0</v>
      </c>
      <c r="L2227" s="8" t="s">
        <v>334</v>
      </c>
      <c r="M2227" s="8" t="s">
        <v>9904</v>
      </c>
      <c r="N2227" s="7" t="str">
        <f>IFERROR(__xludf.DUMMYFUNCTION("GOOGLETRANSLATE(L2227, ""en"", ""pt"")"),"Trabalhadores Florestais")</f>
        <v>Trabalhadores Florestais</v>
      </c>
      <c r="O2227" s="7" t="str">
        <f>IFERROR(__xludf.DUMMYFUNCTION("IF(M2227="""","""",GOOGLETRANSLATE(M2227,""en"",""pt""))"),"Trabalho manual itinerante para realizar plantio manual de árvores, desbaste pré-comercial e aplicação de herbicidas para reflorestamento e manutenção de áreas florestais. Plantar árvores de raiz nua ou em contêineres usando pá, enxada, plantadeira de sol"&amp;"o ou enxada mecânica. Transportar as árvores em sacos próprios e selecionar o local ideal para o plantio, considerando espaçamento, tipo de solo e sombra necessários. Preparar o solo conforme a necessidade. Cavar buracos em intervalos predeterminados. Col"&amp;"ocar a muda no buraco e compactar bem o solo ao redor da planta usando o pé e uma ferramenta de plantio. Separar as mudas, descartando as de qualidade inferior, de acordo com tabelas padrão ou instruções verbais. Identificar árvores doentes ou indesejávei"&amp;"s ​​e removê-las, utilizando serras elétricas ou manuais. Desbastar e espaçar as árvores e controlar ervas daninhas e vegetação rasteira, utilizando ferramentas manuais e químicas, ou supervisionar outros trabalhadores na execução dessas tarefas. Abastece"&amp;"r os tanques de pulverizadores com água e produtos químicos, seguindo as fórmulas. Realizar reflorestamento ou renovação florestal. Comunicar-se com outros trabalhadores para discutir questões como segurança, altura de corte ou necessidades do trabalho. V"&amp;"erificar o funcionamento adequado dos equipamentos. Misturar herbicidas para aplicação em árvores, arbustos, gramados ou culturas botânicas. Como atividade secundária, demarcar limites de propriedade. Trabalhadores que solicitarem e obtiverem, ou possuíre"&amp;"m atualmente, um certificado de registro FLC ou FLCE com autorização para dirigir, emitido pela Divisão de Salários e Horas do Departamento do Trabalho dos EUA (USDOL), durante o período de emprego, poderão transportar outros trabalhadores, realizar conta"&amp;"gens e verificações, e poderão receber horas extras de trabalho. O empregador poderá pagar um valor fixo de US$ 30,00 por cada 1.000 árvores plantadas corretamente ou o salário mínimo vigente mais alto em cada estado, o que for maior. Classificação da Fun"&amp;"ção: 45-4011.00 - Trabalhadores Florestais e de Conservação. A classificação e descrição da função/setor inclui informações gerais sobre o cargo, conforme o ONET/OES e o Sistema de Classificação Industrial da América do Norte (NAICS). Consulte as Funções "&amp;"e a Ordem de Serviço para obter mais informações. Requisitos da Função: Experiência Necessária: Não. Requisitos Especiais: Não é necessário escolaridade ou experiência. É preciso ter 18 anos ou mais. Requer resistência física. Deve levantar e carregar 23 "&amp;"kg. Caminhadas extensas em terrenos acidentados. O trabalho é realizado em condições climáticas adversas. Meta de produção de 2.000 mudas de árvores plantadas corretamente por dia de oito horas, após uma semana de treinamento em serviço. O horário e o loc"&amp;"al de trabalho dependem das condições climáticas. É necessário viajar e pernoitar fora de casa. É obrigatório passar por exames toxicológicos. Trabalho aos sábados e domingos, quando necessário. O empregador poderá oferecer mais horas de trabalho do que a"&amp;"s estipuladas, dependendo do clima, das necessidades da empresa e de outras condições. Calor extremo, frio, chuva ou seca podem afetar o horário de trabalho exato. Número de horas por semana: 40. Horário de trabalho (início/término): 8h às 17h.")</f>
        <v>Trabalho manual itinerante para realizar plantio manual de árvores, desbaste pré-comercial e aplicação de herbicidas para reflorestamento e manutenção de áreas florestais. Plantar árvores de raiz nua ou em contêineres usando pá, enxada, plantadeira de solo ou enxada mecânica. Transportar as árvores em sacos próprios e selecionar o local ideal para o plantio, considerando espaçamento, tipo de solo e sombra necessários. Preparar o solo conforme a necessidade. Cavar buracos em intervalos predeterminados. Colocar a muda no buraco e compactar bem o solo ao redor da planta usando o pé e uma ferramenta de plantio. Separar as mudas, descartando as de qualidade inferior, de acordo com tabelas padrão ou instruções verbais. Identificar árvores doentes ou indesejáveis ​​e removê-las, utilizando serras elétricas ou manuais. Desbastar e espaçar as árvores e controlar ervas daninhas e vegetação rasteira, utilizando ferramentas manuais e químicas, ou supervisionar outros trabalhadores na execução dessas tarefas. Abastecer os tanques de pulverizadores com água e produtos químicos, seguindo as fórmulas. Realizar reflorestamento ou renovação florestal. Comunicar-se com outros trabalhadores para discutir questões como segurança, altura de corte ou necessidades do trabalho. Verificar o funcionamento adequado dos equipamentos. Misturar herbicidas para aplicação em árvores, arbustos, gramados ou culturas botânicas. Como atividade secundária, demarcar limites de propriedade. Trabalhadores que solicitarem e obtiverem, ou possuírem atualmente, um certificado de registro FLC ou FLCE com autorização para dirigir, emitido pela Divisão de Salários e Horas do Departamento do Trabalho dos EUA (USDOL), durante o período de emprego, poderão transportar outros trabalhadores, realizar contagens e verificações, e poderão receber horas extras de trabalho. O empregador poderá pagar um valor fixo de US$ 30,00 por cada 1.000 árvores plantadas corretamente ou o salário mínimo vigente mais alto em cada estado, o que for maior. Classificação da Função: 45-4011.00 - Trabalhadores Florestais e de Conservação. A classificação e descrição da função/setor inclui informações gerais sobre o cargo, conforme o ONET/OES e o Sistema de Classificação Industrial da América do Norte (NAICS). Consulte as Funções e a Ordem de Serviço para obter mais informações. Requisitos da Função: Experiência Necessária: Não. Requisitos Especiais: Não é necessário escolaridade ou experiência. É preciso ter 18 anos ou mais. Requer resistência física. Deve levantar e carregar 23 kg. Caminhadas extensas em terrenos acidentados. O trabalho é realizado em condições climáticas adversas. Meta de produção de 2.000 mudas de árvores plantadas corretamente por dia de oito horas, após uma semana de treinamento em serviço. O horário e o local de trabalho dependem das condições climáticas. É necessário viajar e pernoitar fora de casa. É obrigatório passar por exames toxicológicos. Trabalho aos sábados e domingos, quando necessário. O empregador poderá oferecer mais horas de trabalho do que as estipuladas, dependendo do clima, das necessidades da empresa e de outras condições. Calor extremo, frio, chuva ou seca podem afetar o horário de trabalho exato. Número de horas por semana: 40. Horário de trabalho (início/término): 8h às 17h.</v>
      </c>
    </row>
    <row r="2228" ht="20.25" customHeight="1">
      <c r="A2228" s="3" t="s">
        <v>9905</v>
      </c>
      <c r="B2228" s="3" t="s">
        <v>9906</v>
      </c>
      <c r="C2228" s="3" t="s">
        <v>9907</v>
      </c>
      <c r="D2228" s="3" t="s">
        <v>64</v>
      </c>
      <c r="E2228" s="4" t="s">
        <v>19</v>
      </c>
      <c r="F2228" s="4" t="s">
        <v>20</v>
      </c>
      <c r="G2228" s="4" t="s">
        <v>8796</v>
      </c>
      <c r="H2228" s="3" t="s">
        <v>9908</v>
      </c>
      <c r="I2228" s="3" t="s">
        <v>9909</v>
      </c>
      <c r="J2228" s="4">
        <v>14.19</v>
      </c>
      <c r="K2228" s="4">
        <v>1.0</v>
      </c>
      <c r="L2228" s="3" t="s">
        <v>9910</v>
      </c>
      <c r="M2228" s="3" t="s">
        <v>9911</v>
      </c>
      <c r="N2228" s="7" t="str">
        <f>IFERROR(__xludf.DUMMYFUNCTION("GOOGLETRANSLATE(L2228, ""en"", ""pt"")"),"Professor(a) de Educação Infantil/Enriquecimento na Primeira Infância")</f>
        <v>Professor(a) de Educação Infantil/Enriquecimento na Primeira Infância</v>
      </c>
      <c r="O2228" s="7" t="str">
        <f>IFERROR(__xludf.DUMMYFUNCTION("IF(M2228="""","""",GOOGLETRANSLATE(M2228,""en"",""pt""))"),"• Implementar um currículo de desenvolvimento infantil fornecido pelos pais que apoie as diferentes áreas do desenvolvimento infantil e esteja alinhado com os valores estabelecidos pela família e o ambiente doméstico para crianças de 2, 4 e 7 anos. • Esti"&amp;"mular o crescimento e o desenvolvimento intelectual, físico e emocional, ensinando habilidades básicas de linguagem, proporcionando atividades de aprendizagem interativas e garantindo o bem-estar geral. • Desenvolver atividades interativas e sensoriais ad"&amp;"aptadas à capacidade de atenção da criança, garantindo o desenvolvimento. Utilizar técnicas de gestão comportamental, como sistemas de recompensa, para incentivar a conclusão de tarefas e o bom comportamento. • Empregar rotinas estruturadas e estratégias "&amp;"de acalmamento para gerenciar os sintomas do TDAH e promover a estabilidade emocional da criança. • Auxiliar nas tarefas diárias, como alimentação, higiene pessoal e cuidados com a aparência, considerando as necessidades físicas e de desenvolvimento espec"&amp;"íficas da criança. • Gerenciar protocolos de controle de alergias para garantir que a exposição a alérgenos conhecidos seja evitada e para fornecer medicamentos e/ou cuidados adequados caso a alergia seja desencadeada. • Planejar e integrar aulas de portu"&amp;"guês adequadas à idade na rotina diária. Especificamente: • Apresentar à criança as tradições, a arte e a música portuguesas para aprimorar a compreensão e a apreciação cultural. • Utilizar materiais bilíngues, incluindo livros, cartões de memória e recur"&amp;"sos visuais, para desenvolver a proficiência em inglês e português. • Selecionar e executar atividades, passeios, etc., que apoiem o desenvolvimento, o enriquecimento linguístico e cultural. • Manter os pais informados sobre o progresso da criança em rela"&amp;"ção às metas de desenvolvimento. • Transportar a criança de e para as diversas atividades. • Organizar jogos, atividades artísticas, musicais e passeios para promover o desenvolvimento integral. • Reforçar a formação do caráter com base em bondade, honest"&amp;"idade, paciência, autocontrole, perdão e gratidão. • Respeitar e apoiar a estrutura moral da família nas práticas de cuidado e educação. Classificação da Função: 39-9011.01 - Babás A classificação e descrição da função/setor incluem informações gerais sob"&amp;"re o cargo, de acordo com o ONET/OES e o Sistema de Classificação Industrial da América do Norte. Consulte as Funções e a Ordem de Serviço para obter mais informações. Requisitos da Função Experiência Necessária: Sim Meses de Experiência Necessária: 24 Re"&amp;"quisitos Especiais: Experiência de direção de carro por pelo menos 5 a 6 anos e histórico de direção limpo (para fins de seguro). É necessário possuir certificação em Primeiros Socorros e RCP (ou capacidade de obtê-la). Fluência em inglês e português. Cap"&amp;"acidade de levantar até 11 kg regularmente; passaporte e disponibilidade para viagens nacionais e internacionais também são requisitos. Conforto e disposição para apoiar as rotinas familiares estabelecidas com base na fé, incluindo a participação em práti"&amp;"cas diárias estruturadas (como oração, leitura das escrituras e atividades religiosas) conforme orientação dos pais. Mínimo de um (1) ano de experiência prática trabalhando com crianças diagnosticadas com TDAH, incluindo a aplicação de rotinas estruturada"&amp;"s, estratégias de manejo comportamental e técnicas de acalmamento apropriadas para crianças pequenas com dificuldades de atenção e autorregulação. Conhecimento e/ou experiência com o manejo de protocolos de alergia. Número de horas por semana: 40. Horário"&amp;" de trabalho (início/término): 8h às 17h.")</f>
        <v>• Implementar um currículo de desenvolvimento infantil fornecido pelos pais que apoie as diferentes áreas do desenvolvimento infantil e esteja alinhado com os valores estabelecidos pela família e o ambiente doméstico para crianças de 2, 4 e 7 anos. • Estimular o crescimento e o desenvolvimento intelectual, físico e emocional, ensinando habilidades básicas de linguagem, proporcionando atividades de aprendizagem interativas e garantindo o bem-estar geral. • Desenvolver atividades interativas e sensoriais adaptadas à capacidade de atenção da criança, garantindo o desenvolvimento. Utilizar técnicas de gestão comportamental, como sistemas de recompensa, para incentivar a conclusão de tarefas e o bom comportamento. • Empregar rotinas estruturadas e estratégias de acalmamento para gerenciar os sintomas do TDAH e promover a estabilidade emocional da criança. • Auxiliar nas tarefas diárias, como alimentação, higiene pessoal e cuidados com a aparência, considerando as necessidades físicas e de desenvolvimento específicas da criança. • Gerenciar protocolos de controle de alergias para garantir que a exposição a alérgenos conhecidos seja evitada e para fornecer medicamentos e/ou cuidados adequados caso a alergia seja desencadeada. • Planejar e integrar aulas de português adequadas à idade na rotina diária. Especificamente: • Apresentar à criança as tradições, a arte e a música portuguesas para aprimorar a compreensão e a apreciação cultural. • Utilizar materiais bilíngues, incluindo livros, cartões de memória e recursos visuais, para desenvolver a proficiência em inglês e português. • Selecionar e executar atividades, passeios, etc., que apoiem o desenvolvimento, o enriquecimento linguístico e cultural. • Manter os pais informados sobre o progresso da criança em relação às metas de desenvolvimento. • Transportar a criança de e para as diversas atividades. • Organizar jogos, atividades artísticas, musicais e passeios para promover o desenvolvimento integral. • Reforçar a formação do caráter com base em bondade, honestidade, paciência, autocontrole, perdão e gratidão. • Respeitar e apoiar a estrutura moral da família nas práticas de cuidado e educação. Classificação da Função: 39-9011.01 - Babás A classificação e descrição da função/setor incluem informações gerais sobre o cargo, de acordo com o ONET/OES e o Sistema de Classificação Industrial da América do Norte. Consulte as Funções e a Ordem de Serviço para obter mais informações. Requisitos da Função Experiência Necessária: Sim Meses de Experiência Necessária: 24 Requisitos Especiais: Experiência de direção de carro por pelo menos 5 a 6 anos e histórico de direção limpo (para fins de seguro). É necessário possuir certificação em Primeiros Socorros e RCP (ou capacidade de obtê-la). Fluência em inglês e português. Capacidade de levantar até 11 kg regularmente; passaporte e disponibilidade para viagens nacionais e internacionais também são requisitos. Conforto e disposição para apoiar as rotinas familiares estabelecidas com base na fé, incluindo a participação em práticas diárias estruturadas (como oração, leitura das escrituras e atividades religiosas) conforme orientação dos pais. Mínimo de um (1) ano de experiência prática trabalhando com crianças diagnosticadas com TDAH, incluindo a aplicação de rotinas estruturadas, estratégias de manejo comportamental e técnicas de acalmamento apropriadas para crianças pequenas com dificuldades de atenção e autorregulação. Conhecimento e/ou experiência com o manejo de protocolos de alergia. Número de horas por semana: 40. Horário de trabalho (início/término): 8h às 17h.</v>
      </c>
    </row>
    <row r="2229" ht="20.25" customHeight="1">
      <c r="A2229" s="8" t="s">
        <v>9912</v>
      </c>
      <c r="B2229" s="8" t="s">
        <v>9913</v>
      </c>
      <c r="C2229" s="8" t="s">
        <v>4272</v>
      </c>
      <c r="D2229" s="8" t="s">
        <v>992</v>
      </c>
      <c r="E2229" s="9" t="s">
        <v>19</v>
      </c>
      <c r="F2229" s="9" t="s">
        <v>20</v>
      </c>
      <c r="G2229" s="9" t="s">
        <v>118</v>
      </c>
      <c r="H2229" s="8" t="s">
        <v>9914</v>
      </c>
      <c r="I2229" s="8" t="s">
        <v>9915</v>
      </c>
      <c r="J2229" s="9">
        <v>24.61</v>
      </c>
      <c r="K2229" s="9">
        <v>1.0</v>
      </c>
      <c r="L2229" s="8" t="s">
        <v>9916</v>
      </c>
      <c r="M2229" s="8" t="s">
        <v>9917</v>
      </c>
      <c r="N2229" s="7" t="str">
        <f>IFERROR(__xludf.DUMMYFUNCTION("GOOGLETRANSLATE(L2229, ""en"", ""pt"")"),"Trabalhador de Manutenção de Instalações")</f>
        <v>Trabalhador de Manutenção de Instalações</v>
      </c>
      <c r="O2229" s="7" t="str">
        <f>IFERROR(__xludf.DUMMYFUNCTION("IF(M2229="""","""",GOOGLETRANSLATE(M2229,""en"",""pt""))"),"Funções do Cargo: Remover móveis dos quartos de hóspedes; instalar painéis de madeira com revestimento decorativo atrás das bancadas em todos os quartos; instalar novas TVs de tela grande em todos os quartos; realizar pintura e limpeza de carpetes; remove"&amp;"r e lavar com jato de água todas as unidades de ar condicionado; e fornecer manutenção geral em todos os quartos, áreas comuns e nos 16 apartamentos de um quarto sob a administração do nosso hotel. Classificação do Cargo: 49-9071.00 - Trabalhadores de Man"&amp;"utenção e Reparos, Geral. A classificação e descrição do cargo/setor inclui informações gerais sobre a posição, de acordo com o ONET/OES e o Sistema de Classificação Industrial da América do Norte. Consulte as Funções do Cargo e a Ordem de Serviço para ob"&amp;"ter mais informações. Requisitos do Cargo Experiência Necessária: Não. Requisitos Especiais: Deve ser capaz de falar espanhol e inglês para se comunicar com a equipe. F.a.5 A-H. (CONTINUAÇÃO): 8 horas por dia. Segunda a sexta, das 8h às 16h. Possibilidade"&amp;" de horas extras. Número de Horas por Semana: 40. Horário de Trabalho (Início/Término): 8h. - 16:00")</f>
        <v>Funções do Cargo: Remover móveis dos quartos de hóspedes; instalar painéis de madeira com revestimento decorativo atrás das bancadas em todos os quartos; instalar novas TVs de tela grande em todos os quartos; realizar pintura e limpeza de carpetes; remover e lavar com jato de água todas as unidades de ar condicionado; e fornecer manutenção geral em todos os quartos, áreas comuns e nos 16 apartamentos de um quarto sob a administração do nosso hotel. Classificação do Cargo: 49-9071.00 - Trabalhadores de Manutenção e Reparos, Geral. A classificação e descrição do cargo/setor inclui informações gerais sobre a posição, de acordo com o ONET/OES e o Sistema de Classificação Industrial da América do Norte. Consulte as Funções do Cargo e a Ordem de Serviço para obter mais informações. Requisitos do Cargo Experiência Necessária: Não. Requisitos Especiais: Deve ser capaz de falar espanhol e inglês para se comunicar com a equipe. F.a.5 A-H. (CONTINUAÇÃO): 8 horas por dia. Segunda a sexta, das 8h às 16h. Possibilidade de horas extras. Número de Horas por Semana: 40. Horário de Trabalho (Início/Término): 8h. - 16:00</v>
      </c>
    </row>
    <row r="2230" ht="20.25" customHeight="1">
      <c r="A2230" s="3" t="s">
        <v>9918</v>
      </c>
      <c r="B2230" s="3" t="s">
        <v>9919</v>
      </c>
      <c r="C2230" s="3"/>
      <c r="D2230" s="3" t="s">
        <v>602</v>
      </c>
      <c r="E2230" s="4" t="s">
        <v>19</v>
      </c>
      <c r="F2230" s="4" t="s">
        <v>20</v>
      </c>
      <c r="G2230" s="4" t="s">
        <v>146</v>
      </c>
      <c r="H2230" s="3" t="s">
        <v>9920</v>
      </c>
      <c r="I2230" s="3" t="s">
        <v>9921</v>
      </c>
      <c r="J2230" s="4">
        <v>28.99</v>
      </c>
      <c r="K2230" s="4">
        <v>2.0</v>
      </c>
      <c r="L2230" s="3" t="s">
        <v>1200</v>
      </c>
      <c r="M2230" s="3" t="s">
        <v>9922</v>
      </c>
      <c r="N2230" s="7" t="str">
        <f>IFERROR(__xludf.DUMMYFUNCTION("GOOGLETRANSLATE(L2230, ""en"", ""pt"")"),"Mecânico")</f>
        <v>Mecânico</v>
      </c>
      <c r="O2230" s="7" t="str">
        <f>IFERROR(__xludf.DUMMYFUNCTION("IF(M2230="""","""",GOOGLETRANSLATE(M2230,""en"",""pt""))"),"Manutenção preventiva e reparos em cortadores de grama, sopradores, equipamentos gerais de paisagismo, caminhonetes leves a gasolina (não trabalhamos com caminhões pesados ​​que exigem carteira de habilitação comercial), tratores e reboques utilitários us"&amp;"ados ​​em operações de paisagismo. Os tratores que atendemos são Kubota, Hitachi e Hyundai com motores a diesel; no entanto, nossos funcionários não realizam manutenção ou reparos no motor. O trabalho que eles realizam nessas máquinas se limita à manutenç"&amp;"ão da limpeza interna e externa e, frequentemente, à lavagem com água pressurizada. Os equipamentos gerais de paisagismo incluem cortadores de grama a gasolina, sopradores de folhas, aparadores, motosserras, roçadeiras e outras ferramentas elétricas relac"&amp;"ionadas ao paisagismo. Realizamos serviços e reparos regulares em uma frota de mais de 60 caminhonetes leves, mais de 80 cortadores de grama e mais de 300 equipamentos gerais de paisagismo com motores de pequeno porte. Isso inclui afiação de lâminas, troc"&amp;"a de correias, lubrificação e troca de pneus. As ferramentas e técnicas utilizadas para realizar esse trabalho incluem chaves, chaves de fenda, ferramentas pneumáticas de impacto com soquetes, catracas, martelos e a maioria das ferramentas mecânicas comun"&amp;"s. Periodicamente, pode haver necessidade de auxiliar equipes de paisagismo na execução das seguintes tarefas: aplicação de fertilizantes; preparação de gramados e canteiros para a primavera; corte, aparo e acabamento de gramados; irrigação de gramados e "&amp;"canteiros; limpeza de primavera, outono e final de temporada; capina de canteiros; plantio de árvores, arbustos, grama e flores; aplicação de cobertura morta; poda de meio de temporada; instalação e reparo de aspersores; instalação de blocos de concreto s"&amp;"egmentados sem argamassa. Classificação da vaga: 49-3023.00 - Técnicos e Mecânicos de Serviços Automotivos. A classificação e descrição da vaga/setor incluem informações gerais sobre o cargo, de acordo com o ONET/OES e o Sistema de Classificação Industria"&amp;"l da América do Norte (NAICS). Consulte as Funções e a Ordem de Serviço para obter mais informações. Requisitos da vaga: Experiência necessária: Sim. Meses de experiência necessários: 24. Requisitos especiais: Carteira de habilitação ou capacidade de obtê"&amp;"-la. Exame toxicológico pré-admissional obrigatório. Capacidade de levantar 23 kg. Horário de segunda a domingo, com disponibilidade para trabalhar aos sábados e domingos, conforme necessário. O horário normal de trabalho é das 7h às 16h. Pode ser solicit"&amp;"ado um segundo turno, das 13h às 22h. Os dias e horários de início e término podem variar de acordo com as condições climáticas. Número de horas por semana: 40. Horário de trabalho (início/término): 7h às 16h.")</f>
        <v>Manutenção preventiva e reparos em cortadores de grama, sopradores, equipamentos gerais de paisagismo, caminhonetes leves a gasolina (não trabalhamos com caminhões pesados ​​que exigem carteira de habilitação comercial), tratores e reboques utilitários usados ​​em operações de paisagismo. Os tratores que atendemos são Kubota, Hitachi e Hyundai com motores a diesel; no entanto, nossos funcionários não realizam manutenção ou reparos no motor. O trabalho que eles realizam nessas máquinas se limita à manutenção da limpeza interna e externa e, frequentemente, à lavagem com água pressurizada. Os equipamentos gerais de paisagismo incluem cortadores de grama a gasolina, sopradores de folhas, aparadores, motosserras, roçadeiras e outras ferramentas elétricas relacionadas ao paisagismo. Realizamos serviços e reparos regulares em uma frota de mais de 60 caminhonetes leves, mais de 80 cortadores de grama e mais de 300 equipamentos gerais de paisagismo com motores de pequeno porte. Isso inclui afiação de lâminas, troca de correias, lubrificação e troca de pneus. As ferramentas e técnicas utilizadas para realizar esse trabalho incluem chaves, chaves de fenda, ferramentas pneumáticas de impacto com soquetes, catracas, martelos e a maioria das ferramentas mecânicas comuns. Periodicamente, pode haver necessidade de auxiliar equipes de paisagismo na execução das seguintes tarefas: aplicação de fertilizantes; preparação de gramados e canteiros para a primavera; corte, aparo e acabamento de gramados; irrigação de gramados e canteiros; limpeza de primavera, outono e final de temporada; capina de canteiros; plantio de árvores, arbustos, grama e flores; aplicação de cobertura morta; poda de meio de temporada; instalação e reparo de aspersores; instalação de blocos de concreto segmentados sem argamassa. Classificação da vaga: 49-3023.00 - Técnicos e Mecânicos de Serviços Automotivos. A classificação e descrição da vaga/setor incluem informações gerais sobre o cargo, de acordo com o ONET/OES e o Sistema de Classificação Industrial da América do Norte (NAICS). Consulte as Funções e a Ordem de Serviço para obter mais informações. Requisitos da vaga: Experiência necessária: Sim. Meses de experiência necessários: 24. Requisitos especiais: Carteira de habilitação ou capacidade de obtê-la. Exame toxicológico pré-admissional obrigatório. Capacidade de levantar 23 kg. Horário de segunda a domingo, com disponibilidade para trabalhar aos sábados e domingos, conforme necessário. O horário normal de trabalho é das 7h às 16h. Pode ser solicitado um segundo turno, das 13h às 22h. Os dias e horários de início e término podem variar de acordo com as condições climáticas. Número de horas por semana: 40. Horário de trabalho (início/término): 7h às 16h.</v>
      </c>
    </row>
    <row r="2231" ht="20.25" customHeight="1">
      <c r="A2231" s="8" t="s">
        <v>9923</v>
      </c>
      <c r="B2231" s="8" t="s">
        <v>9919</v>
      </c>
      <c r="C2231" s="8"/>
      <c r="D2231" s="8" t="s">
        <v>602</v>
      </c>
      <c r="E2231" s="9" t="s">
        <v>44</v>
      </c>
      <c r="F2231" s="9" t="s">
        <v>20</v>
      </c>
      <c r="G2231" s="9" t="s">
        <v>146</v>
      </c>
      <c r="H2231" s="8" t="s">
        <v>9920</v>
      </c>
      <c r="I2231" s="8" t="s">
        <v>9921</v>
      </c>
      <c r="J2231" s="9">
        <v>24.09</v>
      </c>
      <c r="K2231" s="9">
        <v>38.0</v>
      </c>
      <c r="L2231" s="8" t="s">
        <v>59</v>
      </c>
      <c r="M2231" s="8" t="s">
        <v>9924</v>
      </c>
      <c r="N2231" s="7" t="str">
        <f>IFERROR(__xludf.DUMMYFUNCTION("GOOGLETRANSLATE(L2231, ""en"", ""pt"")"),"Trabalhador de paisagismo")</f>
        <v>Trabalhador de paisagismo</v>
      </c>
      <c r="O2231" s="7" t="str">
        <f>IFERROR(__xludf.DUMMYFUNCTION("IF(M2231="""","""",GOOGLETRANSLATE(M2231,""en"",""pt""))"),"Aplicar fertilizantes; preparar gramados e canteiros de flores para a primavera; cortar, aparar e fazer o acabamento da grama; regar gramados e canteiros de flores; realizar limpezas de primavera, outono e final de temporada; remover ervas daninhas dos ca"&amp;"nteiros; plantar árvores, arbustos, grama e flores; espalhar cobertura morta; realizar poda de meio de temporada; instalar e reparar aspersores; instalar blocos de concreto segmentados sem argamassa. Classificação da vaga: 37-3011.00 - Trabalhadores de Pa"&amp;"isagismo e Manutenção de Jardins. A classificação e descrição da vaga/setor inclui informações gerais sobre o cargo, de acordo com o ONET/OES e o Sistema de Classificação Industrial da América do Norte. Consulte as Funções e a Ordem de Serviço para obter "&amp;"mais informações. Requisitos da vaga: Experiência necessária: Não. Requisitos especiais: TESTE DE DROGAS PRÉ-ADMISSÃO OBRIGATÓRIO. CAPACIDADE DE LEVANTAR 23 KG. HORÁRIO DE SEGUNDA A DOMINGO, DISPONIBILIDADE PARA TRABALHAR AOS SÁBADOS E DOMINGOS CONFORME N"&amp;"ECESSÁRIO, DAS 7H ÀS 16H. Os dias e horários de início e término podem variar de acordo com as condições climáticas. Número de horas por semana: 40. Horário de trabalho (início e término): 7h às 16h.")</f>
        <v>Aplicar fertilizantes; preparar gramados e canteiros de flores para a primavera; cortar, aparar e fazer o acabamento da grama; regar gramados e canteiros de flores; realizar limpezas de primavera, outono e final de temporada; remover ervas daninhas dos canteiros; plantar árvores, arbustos, grama e flores; espalhar cobertura morta; realizar poda de meio de temporada; instalar e reparar aspersores; instalar blocos de concreto segmentados sem argamassa. Classificação da vaga: 37-3011.00 - Trabalhadores de Paisagismo e Manutenção de Jardins. A classificação e descrição da vaga/setor inclui informações gerais sobre o cargo, de acordo com o ONET/OES e o Sistema de Classificação Industrial da América do Norte. Consulte as Funções e a Ordem de Serviço para obter mais informações. Requisitos da vaga: Experiência necessária: Não. Requisitos especiais: TESTE DE DROGAS PRÉ-ADMISSÃO OBRIGATÓRIO. CAPACIDADE DE LEVANTAR 23 KG. HORÁRIO DE SEGUNDA A DOMINGO, DISPONIBILIDADE PARA TRABALHAR AOS SÁBADOS E DOMINGOS CONFORME NECESSÁRIO, DAS 7H ÀS 16H. Os dias e horários de início e término podem variar de acordo com as condições climáticas. Número de horas por semana: 40. Horário de trabalho (início e término): 7h às 16h.</v>
      </c>
    </row>
    <row r="2232" ht="20.25" customHeight="1">
      <c r="A2232" s="3" t="s">
        <v>9925</v>
      </c>
      <c r="B2232" s="3" t="s">
        <v>9926</v>
      </c>
      <c r="C2232" s="3" t="s">
        <v>9927</v>
      </c>
      <c r="D2232" s="3" t="s">
        <v>55</v>
      </c>
      <c r="E2232" s="4" t="s">
        <v>44</v>
      </c>
      <c r="F2232" s="4" t="s">
        <v>20</v>
      </c>
      <c r="G2232" s="4" t="s">
        <v>377</v>
      </c>
      <c r="H2232" s="3" t="s">
        <v>9928</v>
      </c>
      <c r="I2232" s="3" t="s">
        <v>9929</v>
      </c>
      <c r="J2232" s="4">
        <v>30.12</v>
      </c>
      <c r="K2232" s="4">
        <v>1.0</v>
      </c>
      <c r="L2232" s="3" t="s">
        <v>6873</v>
      </c>
      <c r="M2232" s="3" t="s">
        <v>9930</v>
      </c>
      <c r="N2232" s="7" t="str">
        <f>IFERROR(__xludf.DUMMYFUNCTION("GOOGLETRANSLATE(L2232, ""en"", ""pt"")"),"Auxiliar de Operário de Produção")</f>
        <v>Auxiliar de Operário de Produção</v>
      </c>
      <c r="O2232" s="7" t="str">
        <f>IFERROR(__xludf.DUMMYFUNCTION("IF(M2232="""","""",GOOGLETRANSLATE(M2232,""en"",""pt""))"),"***Resposta à Solicitação de Informações*** Auxiliar os funcionários da produção na fabricação de produtos de peptídeos de colágeno, embalando, selando, etiquetando e organizando os produtos de colágeno acabados de acordo com os padrões da empresa; prepar"&amp;"ar os itens embalados para armazenamento ou envio; Fornecer continuamente matéria-prima à esteira transportadora ou à linha de produção para garantir a continuidade das operações de fabricação, incluindo a retirada física de materiais das áreas de armazen"&amp;"amento ou preparação designadas, o transporte até a linha de produção e a colocação da matéria-prima na esteira transportadora ou na entrada de alimentação designada do equipamento de produção, sob a orientação e supervisão direta da equipe de produção. O"&amp;" trabalhador deverá carregar e levantar manualmente recipientes, caixas ou sacos de matéria-prima (até 23 kg) e utilizar um carrinho de mão ou plataforma para transportar cargas mais pesadas ou volumosas. Os Equipamentos de Proteção Individual (EPIs) padr"&amp;"ão, incluindo luvas, avental e calçados de segurança, serão utilizados de acordo com os protocolos de segurança da fábrica; movimentar, carregar e organizar materiais e produtos acabados conforme as instruções da equipe de produção, carregando e levantand"&amp;"o manualmente contêineres e embalagens (até 22,7 kg), utilizando um carrinho de mão ou plataforma para transportar caixas, tambores ou recipientes de produtos intermediários pelo chão da fábrica, e colocando e organizando os produtos acabados em prateleir"&amp;"as ou áreas de armazenamento designadas, com base na rotulagem visual e nas instruções da equipe de produção; Manter a limpeza da estação de trabalho, remover resíduos e garantir que os equipamentos e materiais estejam devidamente organizados; auxiliar os"&amp;" trabalhadores da produção em tarefas básicas que não exigem habilidades especializadas, incluindo a operação simples e rotineira de equipamentos sob supervisão direta, como controles de correias transportadoras (apenas funções de iniciar/parar, para regu"&amp;"lar o fluxo de materiais); ferramentas manuais básicas (incluindo estiletes, ferramentas de corte e pás usadas para abrir embalagens de matéria-prima ou transferir materiais); basculantes de tambor ou despejos de contêineres (usados ​​para auxiliar na tra"&amp;"nsferência de materiais para os equipamentos de processamento sob supervisão). ***Original F.a.2*** Auxiliar os funcionários da produção na fabricação de produtos de peptídeos de colágeno, embalando, selando, etiquetando e organizando os produtos acabados"&amp;" de acordo com os padrões da empresa; preparar os itens embalados para armazenamento ou envio. Abastecer continuamente a esteira transportadora ou a linha de produção com matéria-prima para garantir a continuidade das operações de fabricação. Movimentar, "&amp;"carregar e organizar materiais e produtos acabados conforme as instruções da equipe de produção. Manter a limpeza da estação de trabalho, remover resíduos e garantir que os equipamentos e materiais estejam devidamente organizados. Auxiliar os trabalhadore"&amp;"s da produção com tarefas básicas que não exigem habilidades especializadas, incluindo a operação simples de equipamentos sob supervisão. Classificação do Cargo: 53-7063.00 - Alimentadores e Descarregadores de Máquinas. A classificação e a descrição do ca"&amp;"rgo/setor incluem informações gerais sobre a posição, de acordo com o ONET/OES e o Sistema de Classificação Industrial da América do Norte (NAICS). Consulte as Funções e a Ordem de Serviço para obter mais informações. Requisitos do Cargo Experiência Neces"&amp;"sária: Não Número de Horas por Semana: 35 Horário de Trabalho (Início/Término): 8h às 15h")</f>
        <v>***Resposta à Solicitação de Informações*** Auxiliar os funcionários da produção na fabricação de produtos de peptídeos de colágeno, embalando, selando, etiquetando e organizando os produtos de colágeno acabados de acordo com os padrões da empresa; preparar os itens embalados para armazenamento ou envio; Fornecer continuamente matéria-prima à esteira transportadora ou à linha de produção para garantir a continuidade das operações de fabricação, incluindo a retirada física de materiais das áreas de armazenamento ou preparação designadas, o transporte até a linha de produção e a colocação da matéria-prima na esteira transportadora ou na entrada de alimentação designada do equipamento de produção, sob a orientação e supervisão direta da equipe de produção. O trabalhador deverá carregar e levantar manualmente recipientes, caixas ou sacos de matéria-prima (até 23 kg) e utilizar um carrinho de mão ou plataforma para transportar cargas mais pesadas ou volumosas. Os Equipamentos de Proteção Individual (EPIs) padrão, incluindo luvas, avental e calçados de segurança, serão utilizados de acordo com os protocolos de segurança da fábrica; movimentar, carregar e organizar materiais e produtos acabados conforme as instruções da equipe de produção, carregando e levantando manualmente contêineres e embalagens (até 22,7 kg), utilizando um carrinho de mão ou plataforma para transportar caixas, tambores ou recipientes de produtos intermediários pelo chão da fábrica, e colocando e organizando os produtos acabados em prateleiras ou áreas de armazenamento designadas, com base na rotulagem visual e nas instruções da equipe de produção; Manter a limpeza da estação de trabalho, remover resíduos e garantir que os equipamentos e materiais estejam devidamente organizados; auxiliar os trabalhadores da produção em tarefas básicas que não exigem habilidades especializadas, incluindo a operação simples e rotineira de equipamentos sob supervisão direta, como controles de correias transportadoras (apenas funções de iniciar/parar, para regular o fluxo de materiais); ferramentas manuais básicas (incluindo estiletes, ferramentas de corte e pás usadas para abrir embalagens de matéria-prima ou transferir materiais); basculantes de tambor ou despejos de contêineres (usados ​​para auxiliar na transferência de materiais para os equipamentos de processamento sob supervisão). ***Original F.a.2*** Auxiliar os funcionários da produção na fabricação de produtos de peptídeos de colágeno, embalando, selando, etiquetando e organizando os produtos acabados de acordo com os padrões da empresa; preparar os itens embalados para armazenamento ou envio. Abastecer continuamente a esteira transportadora ou a linha de produção com matéria-prima para garantir a continuidade das operações de fabricação. Movimentar, carregar e organizar materiais e produtos acabados conforme as instruções da equipe de produção. Manter a limpeza da estação de trabalho, remover resíduos e garantir que os equipamentos e materiais estejam devidamente organizados. Auxiliar os trabalhadores da produção com tarefas básicas que não exigem habilidades especializadas, incluindo a operação simples de equipamentos sob supervisão. Classificação do Cargo: 53-7063.00 - Alimentadores e Descarregadores de Máquinas. A classificação e a descrição do cargo/setor incluem informações gerais sobre a posição, de acordo com o ONET/OES e o Sistema de Classificação Industrial da América do Norte (NAICS). Consulte as Funções e a Ordem de Serviço para obter mais informações. Requisitos do Cargo Experiência Necessária: Não Número de Horas por Semana: 35 Horário de Trabalho (Início/Término): 8h às 15h</v>
      </c>
    </row>
    <row r="2233" ht="20.25" customHeight="1">
      <c r="A2233" s="8" t="s">
        <v>9931</v>
      </c>
      <c r="B2233" s="8" t="s">
        <v>9932</v>
      </c>
      <c r="C2233" s="8" t="s">
        <v>7533</v>
      </c>
      <c r="D2233" s="8" t="s">
        <v>109</v>
      </c>
      <c r="E2233" s="9" t="s">
        <v>44</v>
      </c>
      <c r="F2233" s="9" t="s">
        <v>20</v>
      </c>
      <c r="G2233" s="9" t="s">
        <v>345</v>
      </c>
      <c r="H2233" s="8" t="s">
        <v>9933</v>
      </c>
      <c r="I2233" s="8" t="s">
        <v>9934</v>
      </c>
      <c r="J2233" s="9">
        <v>18.54</v>
      </c>
      <c r="K2233" s="9">
        <v>28.0</v>
      </c>
      <c r="L2233" s="8" t="s">
        <v>406</v>
      </c>
      <c r="M2233" s="8" t="s">
        <v>9935</v>
      </c>
      <c r="N2233" s="7" t="str">
        <f>IFERROR(__xludf.DUMMYFUNCTION("GOOGLETRANSLATE(L2233, ""en"", ""pt"")"),"Trabalhador")</f>
        <v>Trabalhador</v>
      </c>
      <c r="O2233" s="7" t="str">
        <f>IFERROR(__xludf.DUMMYFUNCTION("IF(M2233="""","""",GOOGLETRANSLATE(M2233,""en"",""pt""))"),"Remover depósitos de neve acumulados de forma contínua em condições climáticas extremas em diversas propriedades, operar soprador de neve. Necessário levantar até 23 kg. Classificação da vaga: 37-2011.00 - Zeladores e Faxineiros, exceto empregadas domésti"&amp;"cas e faxineiras. A classificação e descrição da vaga/setor incluem informações gerais sobre o cargo, de acordo com o ONET/OES e o Sistema de Classificação Industrial da América do Norte. Consulte as Funções e a Ordem de Serviço para obter mais informaçõe"&amp;"s. Requisitos da vaga: Experiência necessária: Não. Número de horas por semana: 40. Horário de trabalho (início/término): 8h às 17h.")</f>
        <v>Remover depósitos de neve acumulados de forma contínua em condições climáticas extremas em diversas propriedades, operar soprador de neve. Necessário levantar até 23 kg. Classificação da vaga: 37-2011.00 - Zeladores e Faxineiros, exceto empregadas domésticas e faxineiras. A classificação e descrição da vaga/setor incluem informações gerais sobre o cargo, de acordo com o ONET/OES e o Sistema de Classificação Industrial da América do Norte. Consulte as Funções e a Ordem de Serviço para obter mais informações. Requisitos da vaga: Experiência necessária: Não. Número de horas por semana: 40. Horário de trabalho (início/término): 8h às 17h.</v>
      </c>
    </row>
    <row r="2234" ht="20.25" customHeight="1">
      <c r="A2234" s="20" t="s">
        <v>9936</v>
      </c>
      <c r="B2234" s="20" t="s">
        <v>9937</v>
      </c>
      <c r="C2234" s="20" t="s">
        <v>1030</v>
      </c>
      <c r="D2234" s="20" t="s">
        <v>28</v>
      </c>
      <c r="E2234" s="21" t="s">
        <v>19</v>
      </c>
      <c r="F2234" s="21" t="s">
        <v>20</v>
      </c>
      <c r="G2234" s="21" t="s">
        <v>377</v>
      </c>
      <c r="H2234" s="22" t="s">
        <v>9938</v>
      </c>
      <c r="I2234" s="20" t="s">
        <v>9939</v>
      </c>
      <c r="J2234" s="21">
        <v>16.56</v>
      </c>
      <c r="K2234" s="21">
        <v>19.0</v>
      </c>
      <c r="L2234" s="20" t="s">
        <v>9940</v>
      </c>
      <c r="M2234" s="20" t="s">
        <v>9941</v>
      </c>
      <c r="N2234" s="7" t="str">
        <f>IFERROR(__xludf.DUMMYFUNCTION("GOOGLETRANSLATE(L2234, ""en"", ""pt"")"),"Lavador de caminhões")</f>
        <v>Lavador de caminhões</v>
      </c>
      <c r="O2234" s="7" t="str">
        <f>IFERROR(__xludf.DUMMYFUNCTION("IF(M2234="""","""",GOOGLETRANSLATE(M2234,""en"",""pt""))"),"Lavar ou limpar caminhões e equipamentos agrícolas e comerciais. Utilizar água, produtos de limpeza, lavadoras de alta pressão, esfregões, escovas, panos e mangueiras. Limpar válvulas, interior e exterior de mangueiras e tubulações, bandejas de mangueiras"&amp;", escadas, plataformas para escotilhas, em caminhões semirreboque, trailers e outros veículos. Trabalhar em alturas de até 4 metros. Inclui carregar e descarregar ferramentas, suprimentos e equipamentos com peso de até 23 kg. Envolve trabalhar ao ar livre"&amp;" em todos os tipos de clima. Envolve ficar em pé, sentado ou caminhando por longos períodos. Envolve agachar-se ou curvar-se com frequência. Envolve movimentos repetitivos. Teste de drogas pós-contratação/pago pelo empregador. Verificação de antecedentes "&amp;"criminais pós-contratação/paga pelo empregador. Possibilidade de fornecer alojamento, se disponível (o alojamento é opcional). $300 por pessoa/por mês, o inquilino paga as contas de serviços públicos separadamente (sujeito a alterações com base no mercado"&amp;" local/inflação). Possibilidade de aumento salarial com base no desempenho, bônus, horas extras e trabalho aos sábados, conforme necessário. Transporte fornecido para vários locais de trabalho a partir de uma localização central em Port Allen, LA. Interva"&amp;"los de 60 minutos não remunerados ao longo do dia. O horário de trabalho diário pode variar entre os horários de início e término listados, dependendo das condições climáticas ou das tarefas atribuídas. Classificação do Cargo: 53-7061.00 - Limpeza de Veíc"&amp;"ulos e Equipamentos. A classificação e descrição do cargo/setor incluem informações gerais sobre a posição, de acordo com o ONET/OES e o Sistema de Classificação Industrial da América do Norte (NAICS). Consulte as Funções e a Ordem de Serviço para obter m"&amp;"ais informações. Requisitos do Cargo: Experiência Necessária: Não. Número de Horas por Semana: 40. Horário de Trabalho (Início/Término): 7h às 17h.")</f>
        <v>Lavar ou limpar caminhões e equipamentos agrícolas e comerciais. Utilizar água, produtos de limpeza, lavadoras de alta pressão, esfregões, escovas, panos e mangueiras. Limpar válvulas, interior e exterior de mangueiras e tubulações, bandejas de mangueiras, escadas, plataformas para escotilhas, em caminhões semirreboque, trailers e outros veículos. Trabalhar em alturas de até 4 metros. Inclui carregar e descarregar ferramentas, suprimentos e equipamentos com peso de até 23 kg. Envolve trabalhar ao ar livre em todos os tipos de clima. Envolve ficar em pé, sentado ou caminhando por longos períodos. Envolve agachar-se ou curvar-se com frequência. Envolve movimentos repetitivos. Teste de drogas pós-contratação/pago pelo empregador. Verificação de antecedentes criminais pós-contratação/paga pelo empregador. Possibilidade de fornecer alojamento, se disponível (o alojamento é opcional). $300 por pessoa/por mês, o inquilino paga as contas de serviços públicos separadamente (sujeito a alterações com base no mercado local/inflação). Possibilidade de aumento salarial com base no desempenho, bônus, horas extras e trabalho aos sábados, conforme necessário. Transporte fornecido para vários locais de trabalho a partir de uma localização central em Port Allen, LA. Intervalos de 60 minutos não remunerados ao longo do dia. O horário de trabalho diário pode variar entre os horários de início e término listados, dependendo das condições climáticas ou das tarefas atribuídas. Classificação do Cargo: 53-7061.00 - Limpeza de Veículos e Equipamentos. A classificação e descrição do cargo/setor incluem informações gerais sobre a posição, de acordo com o ONET/OES e o Sistema de Classificação Industrial da América do Norte (NAICS). Consulte as Funções e a Ordem de Serviço para obter mais informações. Requisitos do Cargo: Experiência Necessária: Não. Número de Horas por Semana: 40. Horário de Trabalho (Início/Término): 7h às 17h.</v>
      </c>
    </row>
    <row r="2235" ht="20.25" customHeight="1">
      <c r="A2235" s="8" t="s">
        <v>9942</v>
      </c>
      <c r="B2235" s="8" t="s">
        <v>9943</v>
      </c>
      <c r="C2235" s="8" t="s">
        <v>8685</v>
      </c>
      <c r="D2235" s="8" t="s">
        <v>64</v>
      </c>
      <c r="E2235" s="9" t="s">
        <v>19</v>
      </c>
      <c r="F2235" s="9" t="s">
        <v>20</v>
      </c>
      <c r="G2235" s="9" t="s">
        <v>146</v>
      </c>
      <c r="H2235" s="8" t="s">
        <v>9944</v>
      </c>
      <c r="I2235" s="8" t="s">
        <v>9945</v>
      </c>
      <c r="J2235" s="9">
        <v>18.93</v>
      </c>
      <c r="K2235" s="9">
        <v>15.0</v>
      </c>
      <c r="L2235" s="8" t="s">
        <v>149</v>
      </c>
      <c r="M2235" s="8" t="s">
        <v>9946</v>
      </c>
      <c r="N2235" s="7" t="str">
        <f>IFERROR(__xludf.DUMMYFUNCTION("GOOGLETRANSLATE(L2235, ""en"", ""pt"")"),"Trabalhador de paisagismo")</f>
        <v>Trabalhador de paisagismo</v>
      </c>
      <c r="O2235" s="7" t="str">
        <f>IFERROR(__xludf.DUMMYFUNCTION("IF(M2235="""","""",GOOGLETRANSLATE(M2235,""en"",""pt""))"),"Paisagismo e manutenção de terrenos utilizando ferramentas manuais ou elétricas. Os trabalhadores geralmente executam uma variedade de tarefas, que podem incluir qualquer combinação das seguintes: colocação de grama, cobertura morta, corte de grama, poda,"&amp;" plantio, irrigação, fertilização, escavação, rastelagem, instalação de aspersores, instalação de pedras, instalação de granito e aplicação de herbicidas. Ferramentas/Máquinas utilizadas: mini-escavadeira, minicarregadeira, hidrossemeadora, valeteira, rol"&amp;"o compactador de grama, pá carregadeira, pás, martelos, cortadores de tubos, carrinhos de mão, localizadores de fios, cola/conexões de PVC. Classificação da função: 37-3011.00 - Trabalhadores de Paisagismo e Manutenção de Terrenos. A classificação e descr"&amp;"ição da função/setor incluem informações gerais sobre o cargo, de acordo com o ONET/OES e o Sistema de Classificação Industrial da América do Norte. Consulte as Funções e a Ordem de Serviço para obter mais informações. Requisitos da função: Experiência ex"&amp;"igida: Não. Requisitos especiais: Horário de trabalho: Segunda a sexta-feira, das 6h às 17h. Ocasionalmente, poderá haver disponibilidade e/ou necessidade de trabalhar aos sábados, dependendo da carga de trabalho, das condições climáticas e da demanda dos"&amp;" clientes. Horário previsto: aproximadamente 50 a 60 horas por semana. O horário de trabalho pode variar de acordo com as condições climáticas, a carga de trabalho e as necessidades da empresa. Número de horas por semana: 60. Horário de trabalho (início/t"&amp;"érmino): 6h às 17h.")</f>
        <v>Paisagismo e manutenção de terrenos utilizando ferramentas manuais ou elétricas. Os trabalhadores geralmente executam uma variedade de tarefas, que podem incluir qualquer combinação das seguintes: colocação de grama, cobertura morta, corte de grama, poda, plantio, irrigação, fertilização, escavação, rastelagem, instalação de aspersores, instalação de pedras, instalação de granito e aplicação de herbicidas. Ferramentas/Máquinas utilizadas: mini-escavadeira, minicarregadeira, hidrossemeadora, valeteira, rolo compactador de grama, pá carregadeira, pás, martelos, cortadores de tubos, carrinhos de mão, localizadores de fios, cola/conexões de PVC. Classificação da função: 37-3011.00 - Trabalhadores de Paisagismo e Manutenção de Terrenos. A classificação e descrição da função/setor incluem informações gerais sobre o cargo, de acordo com o ONET/OES e o Sistema de Classificação Industrial da América do Norte. Consulte as Funções e a Ordem de Serviço para obter mais informações. Requisitos da função: Experiência exigida: Não. Requisitos especiais: Horário de trabalho: Segunda a sexta-feira, das 6h às 17h. Ocasionalmente, poderá haver disponibilidade e/ou necessidade de trabalhar aos sábados, dependendo da carga de trabalho, das condições climáticas e da demanda dos clientes. Horário previsto: aproximadamente 50 a 60 horas por semana. O horário de trabalho pode variar de acordo com as condições climáticas, a carga de trabalho e as necessidades da empresa. Número de horas por semana: 60. Horário de trabalho (início/término): 6h às 17h.</v>
      </c>
    </row>
    <row r="2236" ht="20.25" customHeight="1">
      <c r="A2236" s="3" t="s">
        <v>9947</v>
      </c>
      <c r="B2236" s="3" t="s">
        <v>9948</v>
      </c>
      <c r="C2236" s="3" t="s">
        <v>9949</v>
      </c>
      <c r="D2236" s="3" t="s">
        <v>344</v>
      </c>
      <c r="E2236" s="4" t="s">
        <v>19</v>
      </c>
      <c r="F2236" s="4" t="s">
        <v>20</v>
      </c>
      <c r="G2236" s="4" t="s">
        <v>404</v>
      </c>
      <c r="H2236" s="3" t="s">
        <v>9950</v>
      </c>
      <c r="I2236" s="3" t="s">
        <v>9951</v>
      </c>
      <c r="J2236" s="4">
        <v>27.75</v>
      </c>
      <c r="K2236" s="4">
        <v>21.0</v>
      </c>
      <c r="L2236" s="3" t="s">
        <v>9952</v>
      </c>
      <c r="M2236" s="3" t="s">
        <v>9953</v>
      </c>
      <c r="N2236" s="7" t="str">
        <f>IFERROR(__xludf.DUMMYFUNCTION("GOOGLETRANSLATE(L2236, ""en"", ""pt"")"),"Tesouras de poda de jardim")</f>
        <v>Tesouras de poda de jardim</v>
      </c>
      <c r="O2236" s="7" t="str">
        <f>IFERROR(__xludf.DUMMYFUNCTION("IF(M2236="""","""",GOOGLETRANSLATE(M2236,""en"",""pt""))"),"***Resposta à Solicitação de Informações*** Com relação às atribuições do cargo de “Poda e desbaste de árvores ornamentais dormentes, de madeira dura e macia, para promover o crescimento vigoroso”, todo o trabalho é realizado no solo, sem o uso de equipam"&amp;"entos aéreos ou escalada de árvores. ***Original*** Podar e desbastar árvores ornamentais dormentes, de madeira dura e macia, para promover o crescimento vigoroso. As ferramentas utilizadas incluem serras de poda de vara, podadores de galhos, serras manua"&amp;"is, motosserras e triturador/picador de galhos. Classificação do Cargo: 37-3019.00 - Trabalhadores de Manutenção de Jardins, Outros. A classificação e descrição do cargo/setor inclui informações gerais sobre a posição, conforme o ONET/OES e o Sistema de C"&amp;"lassificação Industrial da América do Norte. Consulte as Atribuições e a Ordem de Serviço para obter mais informações. Requisitos do Cargo Experiência Necessária: Não. Requisitos Especiais: Deve ser capaz de se curvar, agachar, subir escadas e levantar 11"&amp;" kg. Número de Horas por Semana: 40. Horário de Trabalho (Início/Término): 8h às 16h.")</f>
        <v>***Resposta à Solicitação de Informações*** Com relação às atribuições do cargo de “Poda e desbaste de árvores ornamentais dormentes, de madeira dura e macia, para promover o crescimento vigoroso”, todo o trabalho é realizado no solo, sem o uso de equipamentos aéreos ou escalada de árvores. ***Original*** Podar e desbastar árvores ornamentais dormentes, de madeira dura e macia, para promover o crescimento vigoroso. As ferramentas utilizadas incluem serras de poda de vara, podadores de galhos, serras manuais, motosserras e triturador/picador de galhos. Classificação do Cargo: 37-3019.00 - Trabalhadores de Manutenção de Jardins, Outros. A classificação e descrição do cargo/setor inclui informações gerais sobre a posição, conforme o ONET/OES e o Sistema de Classificação Industrial da América do Norte. Consulte as Atribuições e a Ordem de Serviço para obter mais informações. Requisitos do Cargo Experiência Necessária: Não. Requisitos Especiais: Deve ser capaz de se curvar, agachar, subir escadas e levantar 11 kg. Número de Horas por Semana: 40. Horário de Trabalho (Início/Término): 8h às 16h.</v>
      </c>
    </row>
    <row r="2237" ht="20.25" customHeight="1">
      <c r="A2237" s="8" t="s">
        <v>9954</v>
      </c>
      <c r="B2237" s="8" t="s">
        <v>9955</v>
      </c>
      <c r="C2237" s="8" t="s">
        <v>169</v>
      </c>
      <c r="D2237" s="8" t="s">
        <v>284</v>
      </c>
      <c r="E2237" s="9" t="s">
        <v>19</v>
      </c>
      <c r="F2237" s="9" t="s">
        <v>20</v>
      </c>
      <c r="G2237" s="9" t="s">
        <v>437</v>
      </c>
      <c r="H2237" s="8" t="s">
        <v>9956</v>
      </c>
      <c r="I2237" s="8" t="s">
        <v>9957</v>
      </c>
      <c r="J2237" s="9">
        <v>16.55</v>
      </c>
      <c r="K2237" s="9">
        <v>60.0</v>
      </c>
      <c r="L2237" s="8" t="s">
        <v>950</v>
      </c>
      <c r="M2237" s="8" t="s">
        <v>9958</v>
      </c>
      <c r="N2237" s="7" t="str">
        <f>IFERROR(__xludf.DUMMYFUNCTION("GOOGLETRANSLATE(L2237, ""en"", ""pt"")"),"Plantadores de árvores")</f>
        <v>Plantadores de árvores</v>
      </c>
      <c r="O2237" s="7" t="str">
        <f>IFERROR(__xludf.DUMMYFUNCTION("IF(M2237="""","""",GOOGLETRANSLATE(M2237,""en"",""pt""))"),"Trabalho manual itinerante de plantio manual de mudas de árvores para reflorestamento e manutenção de áreas florestais. Transporte das árvores em sacos próprios e seleção do local ideal para o plantio, considerando espaçamento, tipo de solo e sombra neces"&amp;"sários; solo exposto. Abertura de covas em intervalos predeterminados utilizando uma ferramenta semelhante a uma enxada ou um plantador manual. Colocação da muda na cova e compactação firme do solo ao redor da planta com o pé e/ou ferramenta de plantio. O"&amp;" trabalhador pode executar apenas parte da função de plantio, como carregar o solo, operar a perfuratriz ou compactar o solo ao redor da planta. Seleção ou corte de árvores de acordo com marcações, tamanhos, tipos ou qualidades. Trabalhadores que possuam "&amp;"ou obtenham um certificado MSPA com autorização para dirigir podem transportar outros trabalhadores, realizar contagens e verificações, e podem receber horas extras de trabalho. Essas funções envolvem a propagação, proteção e manejo de áreas florestais. T"&amp;"rabalhadores que possuam um Certificado de Empregado de Contratante de Trabalho Agrícola e operem um veículo da empresa inspecionado podem transportar membros da equipe de sua residência até o local de trabalho inicial e entre os locais de trabalho durant"&amp;"e o expediente, conforme necessário, sob supervisão do gerente. As tarefas de transporte são acessórias ao trabalho florestal principal que está sendo realizado. ""Contar e verificar"" refere-se à verificação da presença da equipe, contando os trabalhador"&amp;"es antes da partida, na chegada ao local de trabalho e conforme necessário ao longo do dia de trabalho. Os trabalhadores que possuírem um Certificado FLCE válido poderão receber horas adicionais para o transporte da equipe de suas acomodações até o local "&amp;"de trabalho inicial antes do início do dia de trabalho, sob supervisão do gerente. Essas tarefas se limitam às atividades de transporte autorizadas e a qualquer verificação de presença necessária para garantir que todos os trabalhadores cheguem em seguran"&amp;"ça e sejam contabilizados antes do início das operações florestais. Classificação da função: 45-4011.00 - Trabalhadores Florestais e de Conservação. A classificação e descrição da função/setor incluem informações gerais sobre o cargo, de acordo com o ONET"&amp;"/OES e o Sistema de Classificação Industrial da América do Norte. Consulte as Funções e a Ordem de Serviço para obter mais informações. Requisitos da função: Experiência necessária: Não. Requisitos especiais: Não são necessários escolaridade ou experiênci"&amp;"a. Requer resistência física. Caminhadas extensas em terrenos acidentados. O trabalho é realizado ao ar livre, em temperaturas extremas e condições climáticas adversas. Deve levantar e carregar 23 kg. O horário e os locais de trabalho dependem das condiçõ"&amp;"es climáticas. Viagens com pernoite são necessárias. Meta de produção de 1750 árvores plantadas corretamente por dia de 7 horas após uma semana de treinamento. Verificação de elegibilidade para emprego (e-Verify) obrigatória para trabalhadores estrangeiro"&amp;"s e nacionais após a contratação. O empregador poderá oferecer mais horas de trabalho do que as estipuladas, dependendo do clima, das necessidades da empresa e de outras condições. Calor extremo, frio, chuva ou seca podem afetar o horário de trabalho exat"&amp;"o. Número de horas por semana: 35. Horário de trabalho (início/término): 8h às 15h30.")</f>
        <v>Trabalho manual itinerante de plantio manual de mudas de árvores para reflorestamento e manutenção de áreas florestais. Transporte das árvores em sacos próprios e seleção do local ideal para o plantio, considerando espaçamento, tipo de solo e sombra necessários; solo exposto. Abertura de covas em intervalos predeterminados utilizando uma ferramenta semelhante a uma enxada ou um plantador manual. Colocação da muda na cova e compactação firme do solo ao redor da planta com o pé e/ou ferramenta de plantio. O trabalhador pode executar apenas parte da função de plantio, como carregar o solo, operar a perfuratriz ou compactar o solo ao redor da planta. Seleção ou corte de árvores de acordo com marcações, tamanhos, tipos ou qualidades. Trabalhadores que possuam ou obtenham um certificado MSPA com autorização para dirigir podem transportar outros trabalhadores, realizar contagens e verificações, e podem receber horas extras de trabalho. Essas funções envolvem a propagação, proteção e manejo de áreas florestais. Trabalhadores que possuam um Certificado de Empregado de Contratante de Trabalho Agrícola e operem um veículo da empresa inspecionado podem transportar membros da equipe de sua residência até o local de trabalho inicial e entre os locais de trabalho durante o expediente, conforme necessário, sob supervisão do gerente. As tarefas de transporte são acessórias ao trabalho florestal principal que está sendo realizado. "Contar e verificar" refere-se à verificação da presença da equipe, contando os trabalhadores antes da partida, na chegada ao local de trabalho e conforme necessário ao longo do dia de trabalho. Os trabalhadores que possuírem um Certificado FLCE válido poderão receber horas adicionais para o transporte da equipe de suas acomodações até o local de trabalho inicial antes do início do dia de trabalho, sob supervisão do gerente. Essas tarefas se limitam às atividades de transporte autorizadas e a qualquer verificação de presença necessária para garantir que todos os trabalhadores cheguem em segurança e sejam contabilizados antes do início das operações florestais. Classificação da função: 45-4011.00 - Trabalhadores Florestais e de Conservação. A classificação e descrição da função/setor incluem informações gerais sobre o cargo, de acordo com o ONET/OES e o Sistema de Classificação Industrial da América do Norte. Consulte as Funções e a Ordem de Serviço para obter mais informações. Requisitos da função: Experiência necessária: Não. Requisitos especiais: Não são necessários escolaridade ou experiência. Requer resistência física. Caminhadas extensas em terrenos acidentados. O trabalho é realizado ao ar livre, em temperaturas extremas e condições climáticas adversas. Deve levantar e carregar 23 kg. O horário e os locais de trabalho dependem das condições climáticas. Viagens com pernoite são necessárias. Meta de produção de 1750 árvores plantadas corretamente por dia de 7 horas após uma semana de treinamento. Verificação de elegibilidade para emprego (e-Verify) obrigatória para trabalhadores estrangeiros e nacionais após a contratação. O empregador poderá oferecer mais horas de trabalho do que as estipuladas, dependendo do clima, das necessidades da empresa e de outras condições. Calor extremo, frio, chuva ou seca podem afetar o horário de trabalho exato. Número de horas por semana: 35. Horário de trabalho (início/término): 8h às 15h30.</v>
      </c>
    </row>
    <row r="2238" ht="20.25" customHeight="1">
      <c r="A2238" s="3" t="s">
        <v>9959</v>
      </c>
      <c r="B2238" s="3" t="s">
        <v>9960</v>
      </c>
      <c r="C2238" s="3" t="s">
        <v>54</v>
      </c>
      <c r="D2238" s="3" t="s">
        <v>71</v>
      </c>
      <c r="E2238" s="4" t="s">
        <v>44</v>
      </c>
      <c r="F2238" s="4" t="s">
        <v>20</v>
      </c>
      <c r="G2238" s="4" t="s">
        <v>56</v>
      </c>
      <c r="H2238" s="3" t="s">
        <v>9961</v>
      </c>
      <c r="I2238" s="3" t="s">
        <v>9962</v>
      </c>
      <c r="J2238" s="4">
        <v>18.9</v>
      </c>
      <c r="K2238" s="4">
        <v>20.0</v>
      </c>
      <c r="L2238" s="3" t="s">
        <v>1073</v>
      </c>
      <c r="M2238" s="3" t="s">
        <v>9963</v>
      </c>
      <c r="N2238" s="7" t="str">
        <f>IFERROR(__xludf.DUMMYFUNCTION("GOOGLETRANSLATE(L2238, ""en"", ""pt"")"),"Trabalhador de paisagismo e manutenção de jardins")</f>
        <v>Trabalhador de paisagismo e manutenção de jardins</v>
      </c>
      <c r="O2238" s="7" t="str">
        <f>IFERROR(__xludf.DUMMYFUNCTION("IF(M2238="""","""",GOOGLETRANSLATE(M2238,""en"",""pt""))"),"As funções podem incluir: sob supervisão direta, cuidar de propriedades: regar, capinar, podar, cortar a grama, aparar as bordas, pulverizar/aplicar fertilizantes, limpar canteiros de flores, recolher e remover lixo. Rastelar, cavar, transportar ou espalh"&amp;"ar terra vegetal e/ou palha/cobertura morta conforme necessário. Auxiliar na instalação de sistemas de irrigação/drenagem; incluindo a preparação para o inverno e a inicialização na primavera, utilizando métodos de irrigação: ajustar a quantidade de água "&amp;"consumida e evitar desperdício. Seguir o plano/projeto/cronograma de paisagismo: plantar ou rotacionar folhagens, flores, grama, árvores/arbustos, instalar jardins de pedra, instalar blocos de concreto sem argamassa (para fins de paisagismo), instalar/col"&amp;"ocar grama em placas ou tapetes conforme necessário e outras atividades relacionadas a paisagismo e manutenção de áreas verdes, conforme SOC/OES 37-3011 (onetonline.org). Horário padrão/esperado: segunda a sexta, das 6h30 às 15h30. Oferecemos mais de 40 h"&amp;"oras semanais. Não inclui almoço e/ou pausas aplicáveis. Possibilidade de trabalho aos fins de semana/feriados. Os horários de início e término, a carga horária oferecida e/ou horas extras podem variar, pois dependem de outros fatores, como necessidades d"&amp;"o projeto/cronograma/serviço, condições climáticas e tempo de deslocamento entre os locais de trabalho (se aplicável). Horas extras são possíveis, mas não obrigatórias nem garantidas. A critério exclusivo do empregador: possíveis aumentos e/ou bônus com b"&amp;"ase em fatores individuais, como desempenho ou habilidades (não garantidos). Classificação da vaga: 37-3011.00 - Trabalhadores de Paisagismo e Manutenção de Jardins. A classificação e a descrição da vaga/setor incluem informações gerais sobre o cargo, de "&amp;"acordo com o ONET/OES e o Sistema de Classificação Industrial da América do Norte. Consulte as Funções e a Ordem de Serviço para obter mais informações. Requisitos da vaga: Experiência exigida: Não. Requisitos especiais: É necessário ter 18 anos devido a "&amp;"questões de seguro. É necessário apresentar comprovante de autorização legal para trabalhar nos Estados Unidos. Ambiente de trabalho livre de drogas, álcool e tabaco. Executar atividades físicas, como levantar, equilibrar-se, caminhar, abaixar-se, manusea"&amp;"r, posicionar, mover e manipular materiais; usar força estática para exercer força muscular máxima para levantar, empurrar, puxar e carregar objetos de até 23 kg. Todos os candidatos devem ser capazes, dispostos e qualificados para executar o trabalho des"&amp;"crito e devem estar disponíveis durante todo o período especificado e trabalhar em todas as áreas do emprego pretendido. A critério/custo do empregador: o trabalhador poderá ser submetido a testes aleatórios de drogas/álcool durante o emprego: teste posit"&amp;"ivo/recusa em cumprir o teste = demissão. Possível verificação de antecedentes após a contratação, às custas do empregador. O trabalho é realizado ao ar livre, exposto às intempéries; o trabalhador deve ser capaz de realizar trabalho fisicamente extenuant"&amp;"e por longas horas, ocasionalmente em calor ou frio extremos. Condições climáticas variáveis ​​se aplicam; a carga horária pode sofrer alterações (+/-), com possibilidade de períodos de inatividade e/ou horas extras. Número de horas por semana: 40. Horári"&amp;"o de trabalho (início/término): 6h30 às 15h30.")</f>
        <v>As funções podem incluir: sob supervisão direta, cuidar de propriedades: regar, capinar, podar, cortar a grama, aparar as bordas, pulverizar/aplicar fertilizantes, limpar canteiros de flores, recolher e remover lixo. Rastelar, cavar, transportar ou espalhar terra vegetal e/ou palha/cobertura morta conforme necessário. Auxiliar na instalação de sistemas de irrigação/drenagem; incluindo a preparação para o inverno e a inicialização na primavera, utilizando métodos de irrigação: ajustar a quantidade de água consumida e evitar desperdício. Seguir o plano/projeto/cronograma de paisagismo: plantar ou rotacionar folhagens, flores, grama, árvores/arbustos, instalar jardins de pedra, instalar blocos de concreto sem argamassa (para fins de paisagismo), instalar/colocar grama em placas ou tapetes conforme necessário e outras atividades relacionadas a paisagismo e manutenção de áreas verdes, conforme SOC/OES 37-3011 (onetonline.org). Horário padrão/esperado: segunda a sexta, das 6h30 às 15h30. Oferecemos mais de 40 horas semanais. Não inclui almoço e/ou pausas aplicáveis. Possibilidade de trabalho aos fins de semana/feriados. Os horários de início e término, a carga horária oferecida e/ou horas extras podem variar, pois dependem de outros fatores, como necessidades do projeto/cronograma/serviço, condições climáticas e tempo de deslocamento entre os locais de trabalho (se aplicável). Horas extras são possíveis, mas não obrigatórias nem garantidas. A critério exclusivo do empregador: possíveis aumentos e/ou bônus com base em fatores individuais, como desempenho ou habilidades (não garantidos). Classificação da vaga: 37-3011.00 - Trabalhadores de Paisagismo e Manutenção de Jardins. A classificação e a descrição da vaga/setor incluem informações gerais sobre o cargo, de acordo com o ONET/OES e o Sistema de Classificação Industrial da América do Norte. Consulte as Funções e a Ordem de Serviço para obter mais informações. Requisitos da vaga: Experiência exigida: Não. Requisitos especiais: É necessário ter 18 anos devido a questões de seguro. É necessário apresentar comprovante de autorização legal para trabalhar nos Estados Unidos. Ambiente de trabalho livre de drogas, álcool e tabaco. Executar atividades físicas, como levantar, equilibrar-se, caminhar, abaixar-se, manusear, posicionar, mover e manipular materiais; usar força estática para exercer força muscular máxima para levantar, empurrar, puxar e carregar objetos de até 23 kg. Todos os candidatos devem ser capazes, dispostos e qualificados para executar o trabalho descrito e devem estar disponíveis durante todo o período especificado e trabalhar em todas as áreas do emprego pretendido. A critério/custo do empregador: o trabalhador poderá ser submetido a testes aleatórios de drogas/álcool durante o emprego: teste positivo/recusa em cumprir o teste = demissão. Possível verificação de antecedentes após a contratação, às custas do empregador. O trabalho é realizado ao ar livre, exposto às intempéries; o trabalhador deve ser capaz de realizar trabalho fisicamente extenuante por longas horas, ocasionalmente em calor ou frio extremos. Condições climáticas variáveis ​​se aplicam; a carga horária pode sofrer alterações (+/-), com possibilidade de períodos de inatividade e/ou horas extras. Número de horas por semana: 40. Horário de trabalho (início/término): 6h30 às 15h30.</v>
      </c>
    </row>
    <row r="2239" ht="20.25" customHeight="1">
      <c r="A2239" s="8" t="s">
        <v>9964</v>
      </c>
      <c r="B2239" s="8" t="s">
        <v>9960</v>
      </c>
      <c r="C2239" s="8" t="s">
        <v>54</v>
      </c>
      <c r="D2239" s="8" t="s">
        <v>249</v>
      </c>
      <c r="E2239" s="9" t="s">
        <v>44</v>
      </c>
      <c r="F2239" s="9" t="s">
        <v>20</v>
      </c>
      <c r="G2239" s="9" t="s">
        <v>56</v>
      </c>
      <c r="H2239" s="8" t="s">
        <v>9965</v>
      </c>
      <c r="I2239" s="8" t="s">
        <v>9966</v>
      </c>
      <c r="J2239" s="9">
        <v>19.22</v>
      </c>
      <c r="K2239" s="9">
        <v>17.0</v>
      </c>
      <c r="L2239" s="8" t="s">
        <v>1073</v>
      </c>
      <c r="M2239" s="8" t="s">
        <v>9967</v>
      </c>
      <c r="N2239" s="7" t="str">
        <f>IFERROR(__xludf.DUMMYFUNCTION("GOOGLETRANSLATE(L2239, ""en"", ""pt"")"),"Trabalhador de paisagismo e manutenção de jardins")</f>
        <v>Trabalhador de paisagismo e manutenção de jardins</v>
      </c>
      <c r="O2239" s="7" t="str">
        <f>IFERROR(__xludf.DUMMYFUNCTION("IF(M2239="""","""",GOOGLETRANSLATE(M2239,""en"",""pt""))"),"As funções podem incluir: sob supervisão direta, cuidar de propriedades: regar, capinar, podar, cortar a grama, aparar as bordas, pulverizar/aplicar fertilizantes, limpar canteiros de flores, recolher e remover lixo. Rastelar, cavar, transportar ou espalh"&amp;"ar terra vegetal e/ou palha/cobertura morta conforme necessário. Auxiliar na instalação de sistemas de irrigação/drenagem; incluindo a preparação para o inverno e a inicialização na primavera, utilizando métodos de irrigação: ajustar a quantidade de água "&amp;"consumida e evitar desperdício. Seguir o plano/projeto/cronograma de paisagismo: plantar ou rotacionar folhagens, flores, grama, árvores/arbustos, instalar jardins de pedra, instalar blocos de concreto sem argamassa (para fins de paisagismo), instalar/col"&amp;"ocar grama em placas ou tapetes conforme necessário e outras atividades relacionadas a paisagismo e manutenção de áreas verdes, conforme SOC/OES 37-3011 (onetonline.org). Horário padrão/esperado: segunda a sexta, das 6h30 às 15h30. Oferecemos mais de 40 h"&amp;"oras semanais. Não inclui almoço e/ou pausas aplicáveis. Possibilidade de trabalho aos fins de semana/feriados. Os horários de início e término, a carga horária oferecida e/ou horas extras podem variar, pois dependem de outros fatores, como necessidades d"&amp;"o projeto/cronograma/serviço, condições climáticas e tempo de deslocamento entre os locais de trabalho (se aplicável). Horas extras são possíveis, mas não obrigatórias nem garantidas. A critério exclusivo do empregador: possíveis aumentos e/ou bônus com b"&amp;"ase em fatores individuais, como desempenho ou habilidades (não garantidos). Moradia opcional disponível para o trabalhador a um custo mensal de até US$; caso a moradia opcional seja aceita pelo trabalhador, o valor mensal da moradia deverá ser pago diret"&amp;"amente ao proprietário. Classificação da vaga: 37-3011.00 - Trabalhadores de Paisagismo e Manutenção de Jardins. A classificação e descrição da vaga/setor incluem informações gerais sobre o cargo, de acordo com o ONET/OES e o Sistema de Classificação Indu"&amp;"strial da América do Norte. Consulte as Funções e a Ordem de Serviço para obter mais informações. Requisitos da vaga: Experiência exigida: Não. Requisitos especiais: É necessário ter 18 anos devido a questões de seguro. É necessário apresentar comprovante"&amp;" de autorização legal para trabalhar nos Estados Unidos. Ambiente de trabalho livre de drogas, álcool e tabaco. Atividades físicas incluem levantar, equilibrar-se, caminhar, abaixar-se, manusear, posicionar, mover e manipular materiais, utilizando força e"&amp;"stática para exercer força muscular máxima para levantar, empurrar, puxar e carregar objetos de até 23 kg. Todos os candidatos devem ser capazes, dispostos e qualificados para realizar o trabalho descrito e devem estar disponíveis durante todo o período e"&amp;"specificado, trabalhando em todas as áreas da empresa. A critério do empregador e por custo, o trabalhador poderá ser submetido a testes aleatórios de drogas e álcool durante o emprego: teste positivo ou recusa em cumprir o teste resultará em demissão. Po"&amp;"ssível verificação de antecedentes após a contratação, às custas do empregador. O trabalho é realizado ao ar livre, exposto às intempéries; o candidato deve ser capaz de realizar trabalho fisicamente extenuante por longos períodos, ocasionalmente em calor"&amp;" ou frio extremos. Condições climáticas variáveis ​​se aplicam; a carga horária pode sofrer alterações, com possibilidade de períodos de inatividade e/ou horas extras. Número de horas por semana: 40. Horário de trabalho (início/término): 6h30. - 15h30")</f>
        <v>As funções podem incluir: sob supervisão direta, cuidar de propriedades: regar, capinar, podar, cortar a grama, aparar as bordas, pulverizar/aplicar fertilizantes, limpar canteiros de flores, recolher e remover lixo. Rastelar, cavar, transportar ou espalhar terra vegetal e/ou palha/cobertura morta conforme necessário. Auxiliar na instalação de sistemas de irrigação/drenagem; incluindo a preparação para o inverno e a inicialização na primavera, utilizando métodos de irrigação: ajustar a quantidade de água consumida e evitar desperdício. Seguir o plano/projeto/cronograma de paisagismo: plantar ou rotacionar folhagens, flores, grama, árvores/arbustos, instalar jardins de pedra, instalar blocos de concreto sem argamassa (para fins de paisagismo), instalar/colocar grama em placas ou tapetes conforme necessário e outras atividades relacionadas a paisagismo e manutenção de áreas verdes, conforme SOC/OES 37-3011 (onetonline.org). Horário padrão/esperado: segunda a sexta, das 6h30 às 15h30. Oferecemos mais de 40 horas semanais. Não inclui almoço e/ou pausas aplicáveis. Possibilidade de trabalho aos fins de semana/feriados. Os horários de início e término, a carga horária oferecida e/ou horas extras podem variar, pois dependem de outros fatores, como necessidades do projeto/cronograma/serviço, condições climáticas e tempo de deslocamento entre os locais de trabalho (se aplicável). Horas extras são possíveis, mas não obrigatórias nem garantidas. A critério exclusivo do empregador: possíveis aumentos e/ou bônus com base em fatores individuais, como desempenho ou habilidades (não garantidos). Moradia opcional disponível para o trabalhador a um custo mensal de até US$; caso a moradia opcional seja aceita pelo trabalhador, o valor mensal da moradia deverá ser pago diretamente ao proprietário. Classificação da vaga: 37-3011.00 - Trabalhadores de Paisagismo e Manutenção de Jardins. A classificação e descrição da vaga/setor incluem informações gerais sobre o cargo, de acordo com o ONET/OES e o Sistema de Classificação Industrial da América do Norte. Consulte as Funções e a Ordem de Serviço para obter mais informações. Requisitos da vaga: Experiência exigida: Não. Requisitos especiais: É necessário ter 18 anos devido a questões de seguro. É necessário apresentar comprovante de autorização legal para trabalhar nos Estados Unidos. Ambiente de trabalho livre de drogas, álcool e tabaco. Atividades físicas incluem levantar, equilibrar-se, caminhar, abaixar-se, manusear, posicionar, mover e manipular materiais, utilizando força estática para exercer força muscular máxima para levantar, empurrar, puxar e carregar objetos de até 23 kg. Todos os candidatos devem ser capazes, dispostos e qualificados para realizar o trabalho descrito e devem estar disponíveis durante todo o período especificado, trabalhando em todas as áreas da empresa. A critério do empregador e por custo, o trabalhador poderá ser submetido a testes aleatórios de drogas e álcool durante o emprego: teste positivo ou recusa em cumprir o teste resultará em demissão. Possível verificação de antecedentes após a contratação, às custas do empregador. O trabalho é realizado ao ar livre, exposto às intempéries; o candidato deve ser capaz de realizar trabalho fisicamente extenuante por longos períodos, ocasionalmente em calor ou frio extremos. Condições climáticas variáveis ​​se aplicam; a carga horária pode sofrer alterações, com possibilidade de períodos de inatividade e/ou horas extras. Número de horas por semana: 40. Horário de trabalho (início/término): 6h30. - 15h30</v>
      </c>
    </row>
    <row r="2240" ht="20.25" customHeight="1">
      <c r="A2240" s="3" t="s">
        <v>9968</v>
      </c>
      <c r="B2240" s="3" t="s">
        <v>9969</v>
      </c>
      <c r="C2240" s="3"/>
      <c r="D2240" s="3" t="s">
        <v>71</v>
      </c>
      <c r="E2240" s="4" t="s">
        <v>19</v>
      </c>
      <c r="F2240" s="4" t="s">
        <v>20</v>
      </c>
      <c r="G2240" s="4" t="s">
        <v>377</v>
      </c>
      <c r="H2240" s="3" t="s">
        <v>9970</v>
      </c>
      <c r="I2240" s="3" t="s">
        <v>9971</v>
      </c>
      <c r="J2240" s="4">
        <v>36.33</v>
      </c>
      <c r="K2240" s="4">
        <v>55.0</v>
      </c>
      <c r="L2240" s="3" t="s">
        <v>9972</v>
      </c>
      <c r="M2240" s="3" t="s">
        <v>9973</v>
      </c>
      <c r="N2240" s="7" t="str">
        <f>IFERROR(__xludf.DUMMYFUNCTION("GOOGLETRANSLATE(L2240, ""en"", ""pt"")"),"Fabricantes e Montadores de Estruturas Metálicas")</f>
        <v>Fabricantes e Montadores de Estruturas Metálicas</v>
      </c>
      <c r="O2240" s="7" t="str">
        <f>IFERROR(__xludf.DUMMYFUNCTION("IF(M2240="""","""",GOOGLETRANSLATE(M2240,""en"",""pt""))"),"***Resposta à Solicitação de Informações*** Um Fabricante de Aço Estrutural é especializado no corte, conformação, montagem e soldagem de componentes de aço carbono utilizados em aplicações marítimas e estruturais. (Atribuições) Na fabricação de barcos em"&amp;" aço carbono, o fabricante produz cascos, conveses, cavernas, anteparas, reforços e estruturas de suporte de acordo com desenhos de engenharia, normas marítimas e requisitos de classificação. O trabalho é realizado com forte foco em precisão dimensional, "&amp;"integridade estrutural, resistência à corrosão e qualidade de solda adequada para ambientes marítimos. (Tipos de Estruturas) O fabricante interpreta desenhos de fabricação, prepara materiais, realiza operações de montagem e soldagem e garante que todos os"&amp;" componentes atendam às especificações do projeto e aos códigos aplicáveis, como AWS, ABS ou normas da Guarda Costeira dos EUA. O controle de qualidade, a conformidade com as normas de segurança e a coordenação com arquitetos navais, engenheiros e inspeto"&amp;"res são partes integrantes do processo de fabricação. (Tarefas de Soldagem) Os equipamentos que os trabalhadores utilizarão incluem: Equipamentos de Corte: Maçaricos de corte oxiacetilênico; Serras de fita e serras a frio; Cortadores de plasma e esmerilha"&amp;"deiras manuais. Equipamentos de Conformação e Moldagem: Dobradeiras; Prensas hidráulicas; Ferramentas para dobrar e conformar chapas. Equipamentos de Soldagem: Máquinas de solda MIG (GMAW); Máquinas de solda com arame tubular (FCAW); Máquinas de solda com"&amp;" eletrodo revestido (SMAW); Sistemas de soldagem por arco submerso (SAW) (para seções grossas). Manuseio e Montagem de Materiais: Pontes rolantes e guindastes de braço; Talhas de corrente e equipamentos de içamento; Posicionadores de soldagem. Ferramentas"&amp;" de Medição e Inspeção: Trenas, esquadros e níveis de aço; Calibradores de soldagem. Materiais Utilizados na Fabricação de Barcos em Aço Carbono: Chapas de Aço Carbono; Chapas de aço carbono de grau marítimo (diversas espessuras); Chapas estruturais de aç"&amp;"o carbono; Perfis Estruturais; Barras chatas; Cantoneiras; Perfis U; Perfis bulbo e perfis T; Tubos de aço carbono para suportes estruturais e de sistemas. Consumíveis de Soldagem: Arame e eletrodos de solda de aço carbono; Fluxos. Para processos FCAW e S"&amp;"AW: Preparação e proteção de superfícies; Abrasivos para jateamento e esmerilhamento; Primers e revestimentos de grau marítimo; Materiais de proteção contra corrosão. ***Original F.a.2*** Fabricar, alinhar, montar e soldar componentes metálicos para criar"&amp;" estruturas seguras, precisas e duráveis, de acordo com plantas e especificações técnicas. Pode envolver a leitura e interpretação de plantas ou a análise de desenhos de engenharia e esquemas técnicos para determinar materiais, dimensões e sequências de m"&amp;"ontagem. Pode envolver moldar, cortar, dobrar e esmerilhar metal usando ferramentas como tesouras, maçaricos, cortadores de plasma, esmerilhadeiras e prensas. Ajustar peças fabricadas posicionando e alinhando-as usando gabaritos, grampos, suportes e guinc"&amp;"hos para formar ou completar estruturas. Soldar, brasar ou rebitar componentes para garantir a integridade estrutural e a conformidade com as especificações. Classificação da função: 53-7021.00 - Operadores de Guindaste e Torre. A classificação e descriçã"&amp;"o da função/indústria inclui informações gerais sobre o cargo, provenientes do ONET/OES e do Sistema de Classificação Industrial da América do Norte. Consulte a Descrição das Funções e a Ordem de Serviço para obter mais informações. Requisitos da Vaga Exp"&amp;"eriência Necessária: Sim Meses de Experiência Necessários: 3 Requisitos Especiais: 3 meses de experiência em Fabricação e Montagem de Estruturas Metálicas. O empregador não oferece treinamento para essas funções. Os candidatos devem ter conhecimento na op"&amp;"eração de alguns ou todos os equipamentos e máquinas listados na Ordem de Serviço e devem ser capazes de realizar soldas estruturais e corte de metal. Número de Horas por Semana: 56 Horário de Trabalho (Início/Término): 7h00 - 16h30")</f>
        <v>***Resposta à Solicitação de Informações*** Um Fabricante de Aço Estrutural é especializado no corte, conformação, montagem e soldagem de componentes de aço carbono utilizados em aplicações marítimas e estruturais. (Atribuições) Na fabricação de barcos em aço carbono, o fabricante produz cascos, conveses, cavernas, anteparas, reforços e estruturas de suporte de acordo com desenhos de engenharia, normas marítimas e requisitos de classificação. O trabalho é realizado com forte foco em precisão dimensional, integridade estrutural, resistência à corrosão e qualidade de solda adequada para ambientes marítimos. (Tipos de Estruturas) O fabricante interpreta desenhos de fabricação, prepara materiais, realiza operações de montagem e soldagem e garante que todos os componentes atendam às especificações do projeto e aos códigos aplicáveis, como AWS, ABS ou normas da Guarda Costeira dos EUA. O controle de qualidade, a conformidade com as normas de segurança e a coordenação com arquitetos navais, engenheiros e inspetores são partes integrantes do processo de fabricação. (Tarefas de Soldagem) Os equipamentos que os trabalhadores utilizarão incluem: Equipamentos de Corte: Maçaricos de corte oxiacetilênico; Serras de fita e serras a frio; Cortadores de plasma e esmerilhadeiras manuais. Equipamentos de Conformação e Moldagem: Dobradeiras; Prensas hidráulicas; Ferramentas para dobrar e conformar chapas. Equipamentos de Soldagem: Máquinas de solda MIG (GMAW); Máquinas de solda com arame tubular (FCAW); Máquinas de solda com eletrodo revestido (SMAW); Sistemas de soldagem por arco submerso (SAW) (para seções grossas). Manuseio e Montagem de Materiais: Pontes rolantes e guindastes de braço; Talhas de corrente e equipamentos de içamento; Posicionadores de soldagem. Ferramentas de Medição e Inspeção: Trenas, esquadros e níveis de aço; Calibradores de soldagem. Materiais Utilizados na Fabricação de Barcos em Aço Carbono: Chapas de Aço Carbono; Chapas de aço carbono de grau marítimo (diversas espessuras); Chapas estruturais de aço carbono; Perfis Estruturais; Barras chatas; Cantoneiras; Perfis U; Perfis bulbo e perfis T; Tubos de aço carbono para suportes estruturais e de sistemas. Consumíveis de Soldagem: Arame e eletrodos de solda de aço carbono; Fluxos. Para processos FCAW e SAW: Preparação e proteção de superfícies; Abrasivos para jateamento e esmerilhamento; Primers e revestimentos de grau marítimo; Materiais de proteção contra corrosão. ***Original F.a.2*** Fabricar, alinhar, montar e soldar componentes metálicos para criar estruturas seguras, precisas e duráveis, de acordo com plantas e especificações técnicas. Pode envolver a leitura e interpretação de plantas ou a análise de desenhos de engenharia e esquemas técnicos para determinar materiais, dimensões e sequências de montagem. Pode envolver moldar, cortar, dobrar e esmerilhar metal usando ferramentas como tesouras, maçaricos, cortadores de plasma, esmerilhadeiras e prensas. Ajustar peças fabricadas posicionando e alinhando-as usando gabaritos, grampos, suportes e guinchos para formar ou completar estruturas. Soldar, brasar ou rebitar componentes para garantir a integridade estrutural e a conformidade com as especificações. Classificação da função: 53-7021.00 - Operadores de Guindaste e Torre. A classificação e descrição da função/indústria inclui informações gerais sobre o cargo, provenientes do ONET/OES e do Sistema de Classificação Industrial da América do Norte. Consulte a Descrição das Funções e a Ordem de Serviço para obter mais informações. Requisitos da Vaga Experiência Necessária: Sim Meses de Experiência Necessários: 3 Requisitos Especiais: 3 meses de experiência em Fabricação e Montagem de Estruturas Metálicas. O empregador não oferece treinamento para essas funções. Os candidatos devem ter conhecimento na operação de alguns ou todos os equipamentos e máquinas listados na Ordem de Serviço e devem ser capazes de realizar soldas estruturais e corte de metal. Número de Horas por Semana: 56 Horário de Trabalho (Início/Término): 7h00 - 16h30</v>
      </c>
    </row>
    <row r="2241" ht="20.25" customHeight="1">
      <c r="A2241" s="8" t="s">
        <v>9974</v>
      </c>
      <c r="B2241" s="8" t="s">
        <v>9969</v>
      </c>
      <c r="C2241" s="8"/>
      <c r="D2241" s="8" t="s">
        <v>71</v>
      </c>
      <c r="E2241" s="9" t="s">
        <v>19</v>
      </c>
      <c r="F2241" s="9" t="s">
        <v>20</v>
      </c>
      <c r="G2241" s="9" t="s">
        <v>377</v>
      </c>
      <c r="H2241" s="8" t="s">
        <v>9970</v>
      </c>
      <c r="I2241" s="8" t="s">
        <v>9971</v>
      </c>
      <c r="J2241" s="9">
        <v>23.74</v>
      </c>
      <c r="K2241" s="9">
        <v>30.0</v>
      </c>
      <c r="L2241" s="8" t="s">
        <v>9975</v>
      </c>
      <c r="M2241" s="8" t="s">
        <v>9976</v>
      </c>
      <c r="N2241" s="7" t="str">
        <f>IFERROR(__xludf.DUMMYFUNCTION("GOOGLETRANSLATE(L2241, ""en"", ""pt"")"),"Montadores e soldadores de tubos")</f>
        <v>Montadores e soldadores de tubos</v>
      </c>
      <c r="O2241" s="7" t="str">
        <f>IFERROR(__xludf.DUMMYFUNCTION("IF(M2241="""","""",GOOGLETRANSLATE(M2241,""en"",""pt""))"),"As funções incluem instalar, montar, fabricar, manter e reparar sistemas de tubulação mecânica. Ler e interpretar desenhos técnicos ou especificações de processos de soldagem. Operar equipamentos de soldagem manuais ou semiautomáticos para fundir segmento"&amp;"s de metal utilizando processos como soldagem a arco de tungstênio com gás (GTAW), soldagem a arco metálico com gás (GMAW), soldagem a arco com arame tubular (FCAW), soldagem a arco de plasma (PAW), soldagem a arco com eletrodo revestido (SMAW), soldagem "&amp;"oxiacetilênica (OAW), soldagem por resistência e soldagem a arco submerso (SAW). Utilizar esmerilhadeiras e outras ferramentas manuais para preparar, cortar, dobrar e soldar peças de tubos. Inspecionar trabalhos de soldagem para verificar precisão e confo"&amp;"rmidade com as dimensões especificadas. Realizar manutenção corretiva e preventiva em equipamentos de soldagem. Testar tubulações instaladas quanto a vazamentos e funcionamento correto. Auxiliar na instalação, manutenção e reparo de sistemas de tubulação."&amp;" Classificação da Função: 51-4121.00 - Soldadores, Cortadores, Brasadores e Soldadores de Solda. A classificação e descrição da função/setor inclui informações gerais sobre o cargo, de acordo com o ONET/OES e o Sistema de Classificação Industrial da Améri"&amp;"ca do Norte (NAICS). Consulte as Funções e a Ordem de Serviço para obter mais informações. Requisitos da Função Experiência Necessária: Sim Meses de Experiência Necessários: 3 Requisitos Especiais: 3 meses de experiência como Montador de Tubulações e Sold"&amp;"ador de Tubulações. O empregador não oferece treinamento para essas funções. Os candidatos devem ter conhecimento na operação de alguns ou todos os equipamentos e máquinas listados em nossa ordem de serviço e ser capazes de realizar montagem e soldagem de"&amp;" tubulações. Número de Horas por Semana: 56 Horário de Trabalho (Início/Término): 7h00 - 16h30")</f>
        <v>As funções incluem instalar, montar, fabricar, manter e reparar sistemas de tubulação mecânica. Ler e interpretar desenhos técnicos ou especificações de processos de soldagem. Operar equipamentos de soldagem manuais ou semiautomáticos para fundir segmentos de metal utilizando processos como soldagem a arco de tungstênio com gás (GTAW), soldagem a arco metálico com gás (GMAW), soldagem a arco com arame tubular (FCAW), soldagem a arco de plasma (PAW), soldagem a arco com eletrodo revestido (SMAW), soldagem oxiacetilênica (OAW), soldagem por resistência e soldagem a arco submerso (SAW). Utilizar esmerilhadeiras e outras ferramentas manuais para preparar, cortar, dobrar e soldar peças de tubos. Inspecionar trabalhos de soldagem para verificar precisão e conformidade com as dimensões especificadas. Realizar manutenção corretiva e preventiva em equipamentos de soldagem. Testar tubulações instaladas quanto a vazamentos e funcionamento correto. Auxiliar na instalação, manutenção e reparo de sistemas de tubulação. Classificação da Função: 51-4121.00 - Soldadores, Cortadores, Brasadores e Soldadores de Solda. A classificação e descrição da função/setor inclui informações gerais sobre o cargo, de acordo com o ONET/OES e o Sistema de Classificação Industrial da América do Norte (NAICS). Consulte as Funções e a Ordem de Serviço para obter mais informações. Requisitos da Função Experiência Necessária: Sim Meses de Experiência Necessários: 3 Requisitos Especiais: 3 meses de experiência como Montador de Tubulações e Soldador de Tubulações. O empregador não oferece treinamento para essas funções. Os candidatos devem ter conhecimento na operação de alguns ou todos os equipamentos e máquinas listados em nossa ordem de serviço e ser capazes de realizar montagem e soldagem de tubulações. Número de Horas por Semana: 56 Horário de Trabalho (Início/Término): 7h00 - 16h30</v>
      </c>
    </row>
    <row r="2242" ht="20.25" customHeight="1">
      <c r="A2242" s="3" t="s">
        <v>9977</v>
      </c>
      <c r="B2242" s="3" t="s">
        <v>9969</v>
      </c>
      <c r="C2242" s="3"/>
      <c r="D2242" s="3" t="s">
        <v>71</v>
      </c>
      <c r="E2242" s="4" t="s">
        <v>19</v>
      </c>
      <c r="F2242" s="4" t="s">
        <v>20</v>
      </c>
      <c r="G2242" s="4" t="s">
        <v>377</v>
      </c>
      <c r="H2242" s="3" t="s">
        <v>9970</v>
      </c>
      <c r="I2242" s="3" t="s">
        <v>9971</v>
      </c>
      <c r="J2242" s="4">
        <v>24.33</v>
      </c>
      <c r="K2242" s="4">
        <v>15.0</v>
      </c>
      <c r="L2242" s="3" t="s">
        <v>9978</v>
      </c>
      <c r="M2242" s="3" t="s">
        <v>9979</v>
      </c>
      <c r="N2242" s="7" t="str">
        <f>IFERROR(__xludf.DUMMYFUNCTION("GOOGLETRANSLATE(L2242, ""en"", ""pt"")"),"Terminadores de eletricistas")</f>
        <v>Terminadores de eletricistas</v>
      </c>
      <c r="O2242" s="7" t="str">
        <f>IFERROR(__xludf.DUMMYFUNCTION("IF(M2242="""","""",GOOGLETRANSLATE(M2242,""en"",""pt""))"),"As funções incluem a terminação precisa e segura de cabos de controle e cabos de média tensão (MT). Interpretar diagramas elétricos e projetos de fiação. Garantir a conformidade com as normas de segurança e especificações do projeto. Testar a integridade "&amp;"e o funcionamento adequado dos sistemas de cabos após a instalação. Manter as ferramentas e equipamentos em boas condições de funcionamento. Classificação da função: 47-2111.00 - Eletricistas. A classificação e descrição da função/setor incluem informaçõe"&amp;"s gerais sobre o cargo, de acordo com o ONET/OES e o Sistema de Classificação Industrial da América do Norte (NAICS). Consulte as Funções e a Ordem de Serviço para obter mais informações. Requisitos da função: Experiência necessária: Sim. Meses de experiê"&amp;"ncia necessários: 3. Requisitos especiais: 3 meses de experiência como Eletricista Terminador. O empregador não oferece treinamento para essas funções. Os candidatos devem ter conhecimento e ser capazes de executar as funções descritas em nossa ordem de s"&amp;"erviço. Número de horas por semana: 56. Horário de trabalho (início/término): 7h às 16h30.")</f>
        <v>As funções incluem a terminação precisa e segura de cabos de controle e cabos de média tensão (MT). Interpretar diagramas elétricos e projetos de fiação. Garantir a conformidade com as normas de segurança e especificações do projeto. Testar a integridade e o funcionamento adequado dos sistemas de cabos após a instalação. Manter as ferramentas e equipamentos em boas condições de funcionamento. Classificação da função: 47-2111.00 - Eletricistas. A classificação e descrição da função/setor incluem informações gerais sobre o cargo, de acordo com o ONET/OES e o Sistema de Classificação Industrial da América do Norte (NAICS). Consulte as Funções e a Ordem de Serviço para obter mais informações. Requisitos da função: Experiência necessária: Sim. Meses de experiência necessários: 3. Requisitos especiais: 3 meses de experiência como Eletricista Terminador. O empregador não oferece treinamento para essas funções. Os candidatos devem ter conhecimento e ser capazes de executar as funções descritas em nossa ordem de serviço. Número de horas por semana: 56. Horário de trabalho (início/término): 7h às 16h30.</v>
      </c>
    </row>
    <row r="2243" ht="20.25" customHeight="1">
      <c r="A2243" s="8" t="s">
        <v>9980</v>
      </c>
      <c r="B2243" s="8" t="s">
        <v>9981</v>
      </c>
      <c r="C2243" s="8" t="s">
        <v>6228</v>
      </c>
      <c r="D2243" s="8" t="s">
        <v>117</v>
      </c>
      <c r="E2243" s="9" t="s">
        <v>19</v>
      </c>
      <c r="F2243" s="9" t="s">
        <v>20</v>
      </c>
      <c r="G2243" s="9" t="s">
        <v>307</v>
      </c>
      <c r="H2243" s="8" t="s">
        <v>9982</v>
      </c>
      <c r="I2243" s="8" t="s">
        <v>9983</v>
      </c>
      <c r="J2243" s="9">
        <v>32.14</v>
      </c>
      <c r="K2243" s="9">
        <v>6.0</v>
      </c>
      <c r="L2243" s="8" t="s">
        <v>6563</v>
      </c>
      <c r="M2243" s="8" t="s">
        <v>9984</v>
      </c>
      <c r="N2243" s="7" t="str">
        <f>IFERROR(__xludf.DUMMYFUNCTION("GOOGLETRANSLATE(L2243, ""en"", ""pt"")"),"Acabador de concreto")</f>
        <v>Acabador de concreto</v>
      </c>
      <c r="O2243" s="7" t="str">
        <f>IFERROR(__xludf.DUMMYFUNCTION("IF(M2243="""","""",GOOGLETRANSLATE(M2243,""en"",""pt""))"),"Nesta posição temporária, o acabador de concreto realizará trabalhos em pavimentação comercial, lajes, calçadas e aplicações em paredes verticais. Espalhará, nivelará e alisará o concreto, utilizando ancinho, pá, enxada, compactador, raspador, desempenade"&amp;"ira manual ou mecânica, régua vibratória manual ou mecânica e desempenadeira de acabamento. Acabará as superfícies de concreto, utilizará instrumentos de medição para verificar o nivelamento ou a verticalidade, como nível, trena e esquadro, operará equipa"&amp;"mentos motorizados de construção, como minicarregadeiras, miniescavadeiras, retroescavadeiras e carrinhos de concreto. Aplicará adesivo, selante, vedantes ou revestimentos. Executará as tarefas seguindo as instruções verbais do proprietário ou supervisor."&amp;" Limpará os locais de trabalho conforme necessário. Além disso, os trabalhadores garantirão que o local de trabalho esteja livre de neve e gelo antes de iniciar o trabalho devido às temperaturas de inverno. Classificação da função: 47-2073.00 - Operadores"&amp;" de Máquinas e Outros Equipamentos de Construção. A classificação e descrição da função/setor incluem informações gerais sobre o cargo, de acordo com o ONET/OES e o Sistema de Classificação Industrial da América do Norte. Consulte as Funções e a Ordem de "&amp;"Serviço para obter mais informações. Requisitos da vaga Experiência necessária: Sim Meses de experiência necessários: 3 Requisitos especiais: Deve ser capaz de levantar e carregar 34 kg por 68 metros. Número de horas por semana: 40 Horário de trabalho (in"&amp;"ício/término): 7h às 16h")</f>
        <v>Nesta posição temporária, o acabador de concreto realizará trabalhos em pavimentação comercial, lajes, calçadas e aplicações em paredes verticais. Espalhará, nivelará e alisará o concreto, utilizando ancinho, pá, enxada, compactador, raspador, desempenadeira manual ou mecânica, régua vibratória manual ou mecânica e desempenadeira de acabamento. Acabará as superfícies de concreto, utilizará instrumentos de medição para verificar o nivelamento ou a verticalidade, como nível, trena e esquadro, operará equipamentos motorizados de construção, como minicarregadeiras, miniescavadeiras, retroescavadeiras e carrinhos de concreto. Aplicará adesivo, selante, vedantes ou revestimentos. Executará as tarefas seguindo as instruções verbais do proprietário ou supervisor. Limpará os locais de trabalho conforme necessário. Além disso, os trabalhadores garantirão que o local de trabalho esteja livre de neve e gelo antes de iniciar o trabalho devido às temperaturas de inverno. Classificação da função: 47-2073.00 - Operadores de Máquinas e Outros Equipamentos de Construção. A classificação e descrição da função/setor incluem informações gerais sobre o cargo, de acordo com o ONET/OES e o Sistema de Classificação Industrial da América do Norte. Consulte as Funções e a Ordem de Serviço para obter mais informações. Requisitos da vaga Experiência necessária: Sim Meses de experiência necessários: 3 Requisitos especiais: Deve ser capaz de levantar e carregar 34 kg por 68 metros. Número de horas por semana: 40 Horário de trabalho (início/término): 7h às 16h</v>
      </c>
    </row>
    <row r="2244" ht="20.25" customHeight="1">
      <c r="A2244" s="3" t="s">
        <v>9985</v>
      </c>
      <c r="B2244" s="3" t="s">
        <v>9986</v>
      </c>
      <c r="C2244" s="3" t="s">
        <v>9054</v>
      </c>
      <c r="D2244" s="3" t="s">
        <v>36</v>
      </c>
      <c r="E2244" s="4" t="s">
        <v>19</v>
      </c>
      <c r="F2244" s="4" t="s">
        <v>20</v>
      </c>
      <c r="G2244" s="4" t="s">
        <v>80</v>
      </c>
      <c r="H2244" s="3" t="s">
        <v>9987</v>
      </c>
      <c r="I2244" s="3" t="s">
        <v>9988</v>
      </c>
      <c r="J2244" s="4">
        <v>19.88</v>
      </c>
      <c r="K2244" s="4">
        <v>20.0</v>
      </c>
      <c r="L2244" s="3" t="s">
        <v>9989</v>
      </c>
      <c r="M2244" s="3" t="s">
        <v>9990</v>
      </c>
      <c r="N2244" s="7" t="str">
        <f>IFERROR(__xludf.DUMMYFUNCTION("GOOGLETRANSLATE(L2244, ""en"", ""pt"")"),"Operário geral - Telhados")</f>
        <v>Operário geral - Telhados</v>
      </c>
      <c r="O2244" s="7" t="str">
        <f>IFERROR(__xludf.DUMMYFUNCTION("IF(M2244="""","""",GOOGLETRANSLATE(M2244,""en"",""pt""))"),"Trabalhadores para realizar serviços gerais de nível básico em uma empresa que atua em diversas áreas da construção civil, com ênfase no setor de telhados. As responsabilidades gerais incluem, entre outras, a instalação de equipamentos necessários para pr"&amp;"ojetos de construção, como telhas, pregadores pneumáticos e outras ferramentas/equipamentos necessários para trabalhos gerais de telhados, bem como a remoção de equipamentos e ferramentas similares, além de lixo e detritos resultantes do trabalho. As resp"&amp;"onsabilidades físicas incluem, entre outras, subir escadas, agachar, levantar e carregar materiais, e a capacidade de realizar essas atividades em tempo integral, considerando as condições climáticas da Carolina do Norte. Os trabalhadores não serão respon"&amp;"sáveis ​​por realizar trabalhos gerais de telhados, mas sim serviços gerais, sem a necessidade de experiência na área. Classificação da vaga: 47-3016.00 - Ajudantes de Telhador. A classificação e descrição da vaga/setor incluem informações gerais sobre o "&amp;"cargo, de acordo com o ONET/OES e o Sistema de Classificação Industrial da América do Norte (NAICS). Consulte a Descrição das Funções e a Ordem de Serviço para obter mais informações. Requisitos da vaga Experiência necessária: Não Requisitos especiais: Os"&amp;" trabalhadores não devem ter medo de altura que impeça o desempenho das funções do cargo. Idade mínima de 18 anos devido aos riscos inerentes à função/setor. Número de horas por semana: 40 Horário de trabalho (início/término): 9h às 17h")</f>
        <v>Trabalhadores para realizar serviços gerais de nível básico em uma empresa que atua em diversas áreas da construção civil, com ênfase no setor de telhados. As responsabilidades gerais incluem, entre outras, a instalação de equipamentos necessários para projetos de construção, como telhas, pregadores pneumáticos e outras ferramentas/equipamentos necessários para trabalhos gerais de telhados, bem como a remoção de equipamentos e ferramentas similares, além de lixo e detritos resultantes do trabalho. As responsabilidades físicas incluem, entre outras, subir escadas, agachar, levantar e carregar materiais, e a capacidade de realizar essas atividades em tempo integral, considerando as condições climáticas da Carolina do Norte. Os trabalhadores não serão responsáveis ​​por realizar trabalhos gerais de telhados, mas sim serviços gerais, sem a necessidade de experiência na área. Classificação da vaga: 47-3016.00 - Ajudantes de Telhador. A classificação e descrição da vaga/setor incluem informações gerais sobre o cargo, de acordo com o ONET/OES e o Sistema de Classificação Industrial da América do Norte (NAICS). Consulte a Descrição das Funções e a Ordem de Serviço para obter mais informações. Requisitos da vaga Experiência necessária: Não Requisitos especiais: Os trabalhadores não devem ter medo de altura que impeça o desempenho das funções do cargo. Idade mínima de 18 anos devido aos riscos inerentes à função/setor. Número de horas por semana: 40 Horário de trabalho (início/término): 9h às 17h</v>
      </c>
    </row>
    <row r="2245" ht="20.25" customHeight="1">
      <c r="A2245" s="8" t="s">
        <v>9991</v>
      </c>
      <c r="B2245" s="8" t="s">
        <v>9992</v>
      </c>
      <c r="C2245" s="8" t="s">
        <v>9054</v>
      </c>
      <c r="D2245" s="8" t="s">
        <v>36</v>
      </c>
      <c r="E2245" s="9" t="s">
        <v>19</v>
      </c>
      <c r="F2245" s="9" t="s">
        <v>20</v>
      </c>
      <c r="G2245" s="9" t="s">
        <v>80</v>
      </c>
      <c r="H2245" s="8" t="s">
        <v>9993</v>
      </c>
      <c r="I2245" s="8" t="s">
        <v>9994</v>
      </c>
      <c r="J2245" s="9">
        <v>18.72</v>
      </c>
      <c r="K2245" s="9">
        <v>2.0</v>
      </c>
      <c r="L2245" s="8" t="s">
        <v>59</v>
      </c>
      <c r="M2245" s="8" t="s">
        <v>9995</v>
      </c>
      <c r="N2245" s="7" t="str">
        <f>IFERROR(__xludf.DUMMYFUNCTION("GOOGLETRANSLATE(L2245, ""en"", ""pt"")"),"Trabalhador de paisagismo")</f>
        <v>Trabalhador de paisagismo</v>
      </c>
      <c r="O2245" s="7" t="str">
        <f>IFERROR(__xludf.DUMMYFUNCTION("IF(M2245="""","""",GOOGLETRANSLATE(M2245,""en"",""pt""))"),"O funcionário realizará serviços tradicionais de paisagismo. Isso inclui, mas não se limita a, cortar grama, aparar bordas, limpar detritos e soprar folhas. O funcionário auxiliará na instalação e reforma de paisagens. Isso pode incluir plantas, flores, f"&amp;"ontes e pequenos projetos de irrigação, e/ou instalação e reparo de iluminação de baixa tensão. A natureza do trabalho exige que os trabalhadores permaneçam nos locais de trabalho por longos períodos e estejam sujeitos às condições climáticas da Carolina "&amp;"do Norte. Os funcionários trabalham com cortadores de grama (de passeio e manuais), sopradores de folhas/grama, roçadeiras, aparadores de cerca viva e outros equipamentos padrão de paisagismo. Classificação do Cargo: 37-3011.00 - Trabalhadores de Paisagis"&amp;"mo e Manutenção de Jardins. A classificação e descrição do cargo/setor inclui informações gerais sobre a posição, de acordo com o ONET/OES e o Sistema de Classificação Industrial da América do Norte. Consulte as Funções e a Ordem de Serviço para obter mai"&amp;"s informações. Requisitos do Cargo Experiência Necessária: Não. Requisitos Especiais: Deve ser capaz de executar as partes físicas do trabalho. Caminhar, carregar e operar máquinas inerentes à função. É necessário ter 18 anos devido à natureza do cargo e "&amp;"à operação de equipamentos. Número de horas por semana: 40. Horário de trabalho (início/término): 7h às 15h.")</f>
        <v>O funcionário realizará serviços tradicionais de paisagismo. Isso inclui, mas não se limita a, cortar grama, aparar bordas, limpar detritos e soprar folhas. O funcionário auxiliará na instalação e reforma de paisagens. Isso pode incluir plantas, flores, fontes e pequenos projetos de irrigação, e/ou instalação e reparo de iluminação de baixa tensão. A natureza do trabalho exige que os trabalhadores permaneçam nos locais de trabalho por longos períodos e estejam sujeitos às condições climáticas da Carolina do Norte. Os funcionários trabalham com cortadores de grama (de passeio e manuais), sopradores de folhas/grama, roçadeiras, aparadores de cerca viva e outros equipamentos padrão de paisagismo. Classificação do Cargo: 37-3011.00 - Trabalhadores de Paisagismo e Manutenção de Jardins. A classificação e descrição do cargo/setor inclui informações gerais sobre a posição, de acordo com o ONET/OES e o Sistema de Classificação Industrial da América do Norte. Consulte as Funções e a Ordem de Serviço para obter mais informações. Requisitos do Cargo Experiência Necessária: Não. Requisitos Especiais: Deve ser capaz de executar as partes físicas do trabalho. Caminhar, carregar e operar máquinas inerentes à função. É necessário ter 18 anos devido à natureza do cargo e à operação de equipamentos. Número de horas por semana: 40. Horário de trabalho (início/término): 7h às 15h.</v>
      </c>
    </row>
    <row r="2246" ht="20.25" customHeight="1">
      <c r="A2246" s="3" t="s">
        <v>9996</v>
      </c>
      <c r="B2246" s="3" t="s">
        <v>9997</v>
      </c>
      <c r="C2246" s="3" t="s">
        <v>8685</v>
      </c>
      <c r="D2246" s="3" t="s">
        <v>344</v>
      </c>
      <c r="E2246" s="4" t="s">
        <v>19</v>
      </c>
      <c r="F2246" s="4" t="s">
        <v>20</v>
      </c>
      <c r="G2246" s="4" t="s">
        <v>9998</v>
      </c>
      <c r="H2246" s="3" t="s">
        <v>9999</v>
      </c>
      <c r="I2246" s="3" t="s">
        <v>10000</v>
      </c>
      <c r="J2246" s="4">
        <v>16.87</v>
      </c>
      <c r="K2246" s="4">
        <v>1.0</v>
      </c>
      <c r="L2246" s="3" t="s">
        <v>387</v>
      </c>
      <c r="M2246" s="3" t="s">
        <v>10001</v>
      </c>
      <c r="N2246" s="7" t="str">
        <f>IFERROR(__xludf.DUMMYFUNCTION("GOOGLETRANSLATE(L2246, ""en"", ""pt"")"),"Ordem de serviço não disponível")</f>
        <v>Ordem de serviço não disponível</v>
      </c>
      <c r="O2246" s="7" t="str">
        <f>IFERROR(__xludf.DUMMYFUNCTION("IF(M2246="""","""",GOOGLETRANSLATE(M2246,""en"",""pt""))"),"Cuidar de crianças na residência. Manter o espaço das crianças limpo e organizado. Garantir a segurança dentro e fora de casa. Criar uma rotina diária para a criança e organizar atividades educativas. Preparar as refeições e ajudar a alimentar as crianças"&amp;", se necessário, auxiliar na higiene pessoal, ensinar bons hábitos e ajudar nas tarefas domésticas. Fazer compras de mantimentos, roupas e outros itens necessários para os cuidados com as crianças. Realizar tarefas de limpeza e organização da casa relacio"&amp;"nadas aos cuidados com as crianças. Transportar as crianças para o parque, eventos, consultas médicas ou outras atividades, conforme necessário. Classificação da vaga: 39-9011.01 - Babás. A classificação e descrição da vaga/setor incluem informações gerai"&amp;"s sobre o cargo, de acordo com o ONET/OES e o Sistema de Classificação Industrial da América do Norte. Consulte as Funções e a Ordem de Serviço para obter mais informações. Requisitos da vaga: Experiência necessária: Sim. Meses de experiência necessários:"&amp;" 6. Número de horas por semana: 40. Horário de trabalho (início/término): 8h às 17h.")</f>
        <v>Cuidar de crianças na residência. Manter o espaço das crianças limpo e organizado. Garantir a segurança dentro e fora de casa. Criar uma rotina diária para a criança e organizar atividades educativas. Preparar as refeições e ajudar a alimentar as crianças, se necessário, auxiliar na higiene pessoal, ensinar bons hábitos e ajudar nas tarefas domésticas. Fazer compras de mantimentos, roupas e outros itens necessários para os cuidados com as crianças. Realizar tarefas de limpeza e organização da casa relacionadas aos cuidados com as crianças. Transportar as crianças para o parque, eventos, consultas médicas ou outras atividades, conforme necessário. Classificação da vaga: 39-9011.01 - Babás. A classificação e descrição da vaga/setor incluem informações gerais sobre o cargo, de acordo com o ONET/OES e o Sistema de Classificação Industrial da América do Norte. Consulte as Funções e a Ordem de Serviço para obter mais informações. Requisitos da vaga: Experiência necessária: Sim. Meses de experiência necessários: 6. Número de horas por semana: 40. Horário de trabalho (início/término): 8h às 17h.</v>
      </c>
    </row>
    <row r="2247" ht="20.25" customHeight="1">
      <c r="A2247" s="8" t="s">
        <v>10002</v>
      </c>
      <c r="B2247" s="8" t="s">
        <v>10003</v>
      </c>
      <c r="C2247" s="8" t="s">
        <v>9054</v>
      </c>
      <c r="D2247" s="8" t="s">
        <v>71</v>
      </c>
      <c r="E2247" s="9" t="s">
        <v>19</v>
      </c>
      <c r="F2247" s="9" t="s">
        <v>20</v>
      </c>
      <c r="G2247" s="9" t="s">
        <v>80</v>
      </c>
      <c r="H2247" s="8" t="s">
        <v>10004</v>
      </c>
      <c r="I2247" s="8" t="s">
        <v>10005</v>
      </c>
      <c r="J2247" s="9">
        <v>16.33</v>
      </c>
      <c r="K2247" s="9">
        <v>40.0</v>
      </c>
      <c r="L2247" s="8" t="s">
        <v>3729</v>
      </c>
      <c r="M2247" s="8" t="s">
        <v>10006</v>
      </c>
      <c r="N2247" s="7" t="str">
        <f>IFERROR(__xludf.DUMMYFUNCTION("GOOGLETRANSLATE(L2247, ""en"", ""pt"")"),"Equipe de Cozinha")</f>
        <v>Equipe de Cozinha</v>
      </c>
      <c r="O2247" s="7" t="str">
        <f>IFERROR(__xludf.DUMMYFUNCTION("IF(M2247="""","""",GOOGLETRANSLATE(M2247,""en"",""pt""))"),"Auxiliar no serviço de alimentação. Limpar mesas; retirar pratos sujos; trocar toalhas de mesa sujas; arrumar as mesas; repor o estoque de toalhas de mesa, talheres, copos e pratos limpos; abastecer o bar de serviço com alimentos; e servir itens como água"&amp;", condimentos e café aos clientes. Classificação da vaga: 35-9011.00 - Atendentes de Refeitório e Cafeteria e Auxiliares de Bar. A classificação e descrição da vaga/setor inclui informações gerais sobre o cargo, de acordo com o ONET/OES e o Sistema de Cla"&amp;"ssificação Industrial da América do Norte (NAICS). Consulte as Funções e a Ordem de Serviço para obter mais informações. Requisitos da vaga: Experiência exigida: Não. Requisitos especiais: Os funcionários devem trabalhar em um turno entre 8h e 21h. Os dia"&amp;"s/turnos podem variar, mas os horários/escalas de trabalho estarão em conformidade com as regras/regulamentos do programa de visto H-2B e as leis trabalhistas. O empregador fornecerá uma semana de treinamento em serviço, e não um mês, na área de segurança"&amp;" alimentar e higiene. Número de horas por semana: 35 Horário de trabalho (início/término): 8h00 - 21h00")</f>
        <v>Auxiliar no serviço de alimentação. Limpar mesas; retirar pratos sujos; trocar toalhas de mesa sujas; arrumar as mesas; repor o estoque de toalhas de mesa, talheres, copos e pratos limpos; abastecer o bar de serviço com alimentos; e servir itens como água, condimentos e café aos clientes. Classificação da vaga: 35-9011.00 - Atendentes de Refeitório e Cafeteria e Auxiliares de Bar. A classificação e descrição da vaga/setor inclui informações gerais sobre o cargo, de acordo com o ONET/OES e o Sistema de Classificação Industrial da América do Norte (NAICS). Consulte as Funções e a Ordem de Serviço para obter mais informações. Requisitos da vaga: Experiência exigida: Não. Requisitos especiais: Os funcionários devem trabalhar em um turno entre 8h e 21h. Os dias/turnos podem variar, mas os horários/escalas de trabalho estarão em conformidade com as regras/regulamentos do programa de visto H-2B e as leis trabalhistas. O empregador fornecerá uma semana de treinamento em serviço, e não um mês, na área de segurança alimentar e higiene. Número de horas por semana: 35 Horário de trabalho (início/término): 8h00 - 21h00</v>
      </c>
    </row>
    <row r="2248" ht="20.25" customHeight="1">
      <c r="A2248" s="3" t="s">
        <v>10007</v>
      </c>
      <c r="B2248" s="3" t="s">
        <v>10008</v>
      </c>
      <c r="C2248" s="3" t="s">
        <v>4247</v>
      </c>
      <c r="D2248" s="3" t="s">
        <v>71</v>
      </c>
      <c r="E2248" s="4" t="s">
        <v>19</v>
      </c>
      <c r="F2248" s="4" t="s">
        <v>20</v>
      </c>
      <c r="G2248" s="4" t="s">
        <v>4487</v>
      </c>
      <c r="H2248" s="3" t="s">
        <v>10009</v>
      </c>
      <c r="I2248" s="3" t="s">
        <v>10010</v>
      </c>
      <c r="J2248" s="4">
        <v>12.07</v>
      </c>
      <c r="K2248" s="4">
        <v>60.0</v>
      </c>
      <c r="L2248" s="3" t="s">
        <v>5664</v>
      </c>
      <c r="M2248" s="3" t="s">
        <v>10011</v>
      </c>
      <c r="N2248" s="7" t="str">
        <f>IFERROR(__xludf.DUMMYFUNCTION("GOOGLETRANSLATE(L2248, ""en"", ""pt"")"),"Atendente de Diversão e Recreação – Parque de Diversões Itinerante")</f>
        <v>Atendente de Diversão e Recreação – Parque de Diversões Itinerante</v>
      </c>
      <c r="O2248" s="7" t="str">
        <f>IFERROR(__xludf.DUMMYFUNCTION("IF(M2248="""","""",GOOGLETRANSLATE(M2248,""en"",""pt""))"),"*2 RFI r* Os equipamentos móveis de diversão são projetados para serem montados e desmontados manualmente com ferramentas simples, como chaves de fenda, alicates, martelos de borracha, uma variedade de chaves inglesas e catracas. O equipamento possui sist"&amp;"ema hidráulico integrado para levantar e abaixar toldos, braços e plataformas. Não são necessários equipamentos adicionais. A operação consiste em abrir o portão de entrada, instruir os clientes sobre os procedimentos de segurança, garantir que seus cinto"&amp;"s de segurança estejam no lugar, pressionar o botão para iniciar o passeio programado e, em seguida, garantir que os clientes saiam do brinquedo antes que o próximo grupo entre. As concessões de alimentos envolvem receber o pedido do cliente, receber o pa"&amp;"gamento, preparar os itens alimentícios conforme detalhado anteriormente e entregar o pagamento ao cliente. As concessões de jogos envolvem explicar as regras do jogo ao cliente, receber o pagamento, dar o troco e iniciar o jogo. Limpeza de brinquedos, ba"&amp;"rracas, instalações ou terrenos. Varra, lave com mangueira, lave, recolha o lixo. Realize pequenos reparos. Substitua peças defeituosas ou desgastadas, como lâmpadas, interruptores, correias, mangueiras e correias. Os funcionários podem usar as seguintes "&amp;"ferramentas, equipamentos e materiais ao desempenhar as funções atribuídas: chaves, conjuntos de soquetes e catracas, chaves de fenda, alicates, martelos, trena e chaves ajustáveis. Eles usarão escadas, aspiradores de pó e equipamentos e suprimentos de li"&amp;"mpeza, como esponjas, panos e sabão. *1 RFI r* Refrescos específicos a serem preparados e servidos aos clientes, tarefas que o funcionário executará, ferramentas, equipamentos e materiais usados ​​para executar as tarefas: Bebidas de máquina: No início do"&amp;" turno, o funcionário abrirá sacos de gelo (normalmente de 4,5 a 9 kg, gelo em cubos) no reservatório na parte superior do dispensador e no recipiente de gelo. Quando um pedido chegar, o funcionário preparará a bebida no tamanho e sabor adequados e coloca"&amp;"rá uma tampa de plástico no copo. O funcionário colocará a bebida na área de serviço para que outro funcionário, em contato direto com o cliente, possa fornecer a(s) bebida(s) ao cliente, juntamente com o restante do pedido. Pipoca: A máquina de pipoca é "&amp;"fixa no balcão. O funcionário ligaria a máquina, retiraria o óleo de pipoca do recipiente com um copo medidor e o despejaria na resistência. Em seguida, retiraria os grãos de milho do recipiente com o mesmo copo medidor e os despejaria na resistência. Dep"&amp;"ois, retiraria o tempero para pipoca ""Flavacol"" do recipiente com uma colher medidora e o polvilharia sobre os grãos. O funcionário fecharia a tampa da resistência, a pipoca começaria a estourar, a tampa se abriria devido à força da pipoca e os grãos es"&amp;"tourados cairiam no recipiente. O funcionário polvilharia a pipoca com tempero adicional, que estaria em um saleiro. A pipoca seria então colocada em caixas individuais e colocadas no balcão sob uma lâmpada de aquecimento. Outro funcionário, quando um cli"&amp;"ente pedisse pipoca, pegaria um recipiente e usaria a bomba para injetar manteiga derretida e/ou saleiros para polvilhar tempero(s) adicional(is) sobre a pipoca e, em seguida, entregaria ao cliente. Os funcionários não prepararão nenhum alimento do zero. "&amp;"*Ou* Executar diversas tarefas em um parque de diversões itinerante, montando, desmontando e operando equipamentos (brinquedos, jogos e/ou barracas de comida). Pode vender ingressos e cobrar taxas dos clientes; fornecer informações sobre as instalações, r"&amp;"egras e regulamentos; direcionar os clientes aos brinquedos, assentos ou atrações; monitorar as atividades para garantir o cumprimento das regras e procedimentos de segurança; auxiliar os clientes na entrada ou saída dos brinquedos; limpar brinquedos, bar"&amp;"racas, instalações ou terrenos; inspecionar equipamentos para detectar desgaste e danos e realizar pequenos reparos, ajustes ou tarefas de manutenção, como lubrificação de peças; fixar dispositivos de segurança para os clientes ou fornecer instruções sobr"&amp;"e como fixá-los; anunciar ou descrever as atrações do parque de diversões para atrair clientes para jogos e/ou outras formas de entretenimento; e vender e servir bebidas e lanches aos clientes. Classificação da vaga: 35-2011.00 - Cozinheiros, Fast Food. A"&amp;" classificação e descrição da vaga/setor inclui informações gerais sobre o cargo, de acordo com o ONET/OES e o Sistema de Classificação Industrial da América do Norte. Consulte as Funções e a Ordem de Serviço para obter mais informações. Requisitos da vag"&amp;"a Experiência exigida: Não Requisitos especiais: Testes aleatórios de drogas e verificação de antecedentes criminais após a contratação poderão ser exigidos, sem custo para o trabalhador. A vaga exige que o candidato seja qualificado, esteja pronto, dispo"&amp;"sto, apto e disponível para desempenhar as funções durante todo o período de emprego nos locais de trabalho designados; e para seguir as normas da empresa. Número de horas por semana: 40 Horário de trabalho (início/término): 13h às 22h")</f>
        <v>*2 RFI r* Os equipamentos móveis de diversão são projetados para serem montados e desmontados manualmente com ferramentas simples, como chaves de fenda, alicates, martelos de borracha, uma variedade de chaves inglesas e catracas. O equipamento possui sistema hidráulico integrado para levantar e abaixar toldos, braços e plataformas. Não são necessários equipamentos adicionais. A operação consiste em abrir o portão de entrada, instruir os clientes sobre os procedimentos de segurança, garantir que seus cintos de segurança estejam no lugar, pressionar o botão para iniciar o passeio programado e, em seguida, garantir que os clientes saiam do brinquedo antes que o próximo grupo entre. As concessões de alimentos envolvem receber o pedido do cliente, receber o pagamento, preparar os itens alimentícios conforme detalhado anteriormente e entregar o pagamento ao cliente. As concessões de jogos envolvem explicar as regras do jogo ao cliente, receber o pagamento, dar o troco e iniciar o jogo. Limpeza de brinquedos, barracas, instalações ou terrenos. Varra, lave com mangueira, lave, recolha o lixo. Realize pequenos reparos. Substitua peças defeituosas ou desgastadas, como lâmpadas, interruptores, correias, mangueiras e correias. Os funcionários podem usar as seguintes ferramentas, equipamentos e materiais ao desempenhar as funções atribuídas: chaves, conjuntos de soquetes e catracas, chaves de fenda, alicates, martelos, trena e chaves ajustáveis. Eles usarão escadas, aspiradores de pó e equipamentos e suprimentos de limpeza, como esponjas, panos e sabão. *1 RFI r* Refrescos específicos a serem preparados e servidos aos clientes, tarefas que o funcionário executará, ferramentas, equipamentos e materiais usados ​​para executar as tarefas: Bebidas de máquina: No início do turno, o funcionário abrirá sacos de gelo (normalmente de 4,5 a 9 kg, gelo em cubos) no reservatório na parte superior do dispensador e no recipiente de gelo. Quando um pedido chegar, o funcionário preparará a bebida no tamanho e sabor adequados e colocará uma tampa de plástico no copo. O funcionário colocará a bebida na área de serviço para que outro funcionário, em contato direto com o cliente, possa fornecer a(s) bebida(s) ao cliente, juntamente com o restante do pedido. Pipoca: A máquina de pipoca é fixa no balcão. O funcionário ligaria a máquina, retiraria o óleo de pipoca do recipiente com um copo medidor e o despejaria na resistência. Em seguida, retiraria os grãos de milho do recipiente com o mesmo copo medidor e os despejaria na resistência. Depois, retiraria o tempero para pipoca "Flavacol" do recipiente com uma colher medidora e o polvilharia sobre os grãos. O funcionário fecharia a tampa da resistência, a pipoca começaria a estourar, a tampa se abriria devido à força da pipoca e os grãos estourados cairiam no recipiente. O funcionário polvilharia a pipoca com tempero adicional, que estaria em um saleiro. A pipoca seria então colocada em caixas individuais e colocadas no balcão sob uma lâmpada de aquecimento. Outro funcionário, quando um cliente pedisse pipoca, pegaria um recipiente e usaria a bomba para injetar manteiga derretida e/ou saleiros para polvilhar tempero(s) adicional(is) sobre a pipoca e, em seguida, entregaria ao cliente. Os funcionários não prepararão nenhum alimento do zero. *Ou* Executar diversas tarefas em um parque de diversões itinerante, montando, desmontando e operando equipamentos (brinquedos, jogos e/ou barracas de comida). Pode vender ingressos e cobrar taxas dos clientes; fornecer informações sobre as instalações, regras e regulamentos; direcionar os clientes aos brinquedos, assentos ou atrações; monitorar as atividades para garantir o cumprimento das regras e procedimentos de segurança; auxiliar os clientes na entrada ou saída dos brinquedos; limpar brinquedos, barracas, instalações ou terrenos; inspecionar equipamentos para detectar desgaste e danos e realizar pequenos reparos, ajustes ou tarefas de manutenção, como lubrificação de peças; fixar dispositivos de segurança para os clientes ou fornecer instruções sobre como fixá-los; anunciar ou descrever as atrações do parque de diversões para atrair clientes para jogos e/ou outras formas de entretenimento; e vender e servir bebidas e lanches aos clientes. Classificação da vaga: 35-2011.00 - Cozinheiros, Fast Food. A classificação e descrição da vaga/setor inclui informações gerais sobre o cargo, de acordo com o ONET/OES e o Sistema de Classificação Industrial da América do Norte. Consulte as Funções e a Ordem de Serviço para obter mais informações. Requisitos da vaga Experiência exigida: Não Requisitos especiais: Testes aleatórios de drogas e verificação de antecedentes criminais após a contratação poderão ser exigidos, sem custo para o trabalhador. A vaga exige que o candidato seja qualificado, esteja pronto, disposto, apto e disponível para desempenhar as funções durante todo o período de emprego nos locais de trabalho designados; e para seguir as normas da empresa. Número de horas por semana: 40 Horário de trabalho (início/término): 13h às 22h</v>
      </c>
    </row>
    <row r="2249" ht="20.25" customHeight="1">
      <c r="A2249" s="8" t="s">
        <v>10012</v>
      </c>
      <c r="B2249" s="8" t="s">
        <v>10013</v>
      </c>
      <c r="C2249" s="8" t="s">
        <v>9472</v>
      </c>
      <c r="D2249" s="8" t="s">
        <v>4822</v>
      </c>
      <c r="E2249" s="9" t="s">
        <v>19</v>
      </c>
      <c r="F2249" s="9" t="s">
        <v>20</v>
      </c>
      <c r="G2249" s="9" t="s">
        <v>1869</v>
      </c>
      <c r="H2249" s="8" t="s">
        <v>10014</v>
      </c>
      <c r="I2249" s="8" t="s">
        <v>10015</v>
      </c>
      <c r="J2249" s="9">
        <v>14.48</v>
      </c>
      <c r="K2249" s="9">
        <v>4.0</v>
      </c>
      <c r="L2249" s="8" t="s">
        <v>8286</v>
      </c>
      <c r="M2249" s="8" t="s">
        <v>10016</v>
      </c>
      <c r="N2249" s="7" t="str">
        <f>IFERROR(__xludf.DUMMYFUNCTION("GOOGLETRANSLATE(L2249, ""en"", ""pt"")"),"Garçons e garçonetes")</f>
        <v>Garçons e garçonetes</v>
      </c>
      <c r="O2249" s="7" t="str">
        <f>IFERROR(__xludf.DUMMYFUNCTION("IF(M2249="""","""",GOOGLETRANSLATE(M2249,""en"",""pt""))"),"Receber e acomodar os clientes de forma amigável e profissional. Apresentar os cardápios, explicar os pratos e informar os clientes sobre promoções e especiais. Anotar os pedidos de comida e bebida com precisão, manualmente ou utilizando sistemas eletrôni"&amp;"cos. Servir comida e bebida com rapidez e eficiência. Verificar a satisfação dos clientes durante o serviço. Responder às dúvidas dos clientes e atender a pedidos especiais. Limpar as mesas e remover pratos, copos e talheres usados. Preparar as contas e p"&amp;"rocessar os pagamentos. Manter a limpeza e a organização do salão de acordo com as normas de saúde e segurança. Coordenar com a equipe da cozinha e do bar para garantir um serviço ágil. Classificação da vaga: 35-3031.00 - Garçons e Garçonetes. A classific"&amp;"ação e a descrição da vaga/setor incluem informações gerais sobre o cargo, de acordo com o ONET/OES e o Sistema de Classificação Industrial da América do Norte. Consulte as Funções e a Ordem de Serviço para obter mais informações. Requisitos da vaga: Expe"&amp;"riência necessária: Não. Requisitos especiais: Receber e acomodar os clientes de forma amigável e profissional. Apresentar os cardápios, explicar os pratos e informar os clientes sobre promoções e especiais. Anotar os pedidos de comida e bebida com precis"&amp;"ão, manualmente ou utilizando sistemas eletrônicos. Servir alimentos e bebidas de forma rápida e eficiente. Verificar a satisfação dos clientes durante o serviço. Responder às perguntas dos clientes e atender a pedidos especiais. Limpar as mesas e remover"&amp;" pratos, copos e talheres usados. Preparar as contas e processar os pagamentos. Manter a limpeza e a organização da área de refeições de acordo com as normas de saúde e segurança. Coordenar com a equipe da cozinha e do bar para garantir um serviço ágil. N"&amp;"úmero de horas por semana: 56. Horário de trabalho (início/término): 10h às 21h.")</f>
        <v>Receber e acomodar os clientes de forma amigável e profissional. Apresentar os cardápios, explicar os pratos e informar os clientes sobre promoções e especiais. Anotar os pedidos de comida e bebida com precisão, manualmente ou utilizando sistemas eletrônicos. Servir comida e bebida com rapidez e eficiência. Verificar a satisfação dos clientes durante o serviço. Responder às dúvidas dos clientes e atender a pedidos especiais. Limpar as mesas e remover pratos, copos e talheres usados. Preparar as contas e processar os pagamentos. Manter a limpeza e a organização do salão de acordo com as normas de saúde e segurança. Coordenar com a equipe da cozinha e do bar para garantir um serviço ágil. Classificação da vaga: 35-3031.00 - Garçons e Garçonetes. A classificação e a descrição da vaga/setor incluem informações gerais sobre o cargo, de acordo com o ONET/OES e o Sistema de Classificação Industrial da América do Norte. Consulte as Funções e a Ordem de Serviço para obter mais informações. Requisitos da vaga: Experiência necessária: Não. Requisitos especiais: Receber e acomodar os clientes de forma amigável e profissional. Apresentar os cardápios, explicar os pratos e informar os clientes sobre promoções e especiais. Anotar os pedidos de comida e bebida com precisão, manualmente ou utilizando sistemas eletrônicos. Servir alimentos e bebidas de forma rápida e eficiente. Verificar a satisfação dos clientes durante o serviço. Responder às perguntas dos clientes e atender a pedidos especiais. Limpar as mesas e remover pratos, copos e talheres usados. Preparar as contas e processar os pagamentos. Manter a limpeza e a organização da área de refeições de acordo com as normas de saúde e segurança. Coordenar com a equipe da cozinha e do bar para garantir um serviço ágil. Número de horas por semana: 56. Horário de trabalho (início/término): 10h às 21h.</v>
      </c>
    </row>
    <row r="2250" ht="20.25" customHeight="1">
      <c r="A2250" s="3" t="s">
        <v>10017</v>
      </c>
      <c r="B2250" s="3" t="s">
        <v>10018</v>
      </c>
      <c r="C2250" s="3" t="s">
        <v>1131</v>
      </c>
      <c r="D2250" s="3" t="s">
        <v>596</v>
      </c>
      <c r="E2250" s="4" t="s">
        <v>44</v>
      </c>
      <c r="F2250" s="4" t="s">
        <v>20</v>
      </c>
      <c r="G2250" s="4" t="s">
        <v>118</v>
      </c>
      <c r="H2250" s="3" t="s">
        <v>10019</v>
      </c>
      <c r="I2250" s="3" t="s">
        <v>10020</v>
      </c>
      <c r="J2250" s="4">
        <v>21.61</v>
      </c>
      <c r="K2250" s="4">
        <v>6.0</v>
      </c>
      <c r="L2250" s="3" t="s">
        <v>10021</v>
      </c>
      <c r="M2250" s="3" t="s">
        <v>10022</v>
      </c>
      <c r="N2250" s="7" t="str">
        <f>IFERROR(__xludf.DUMMYFUNCTION("GOOGLETRANSLATE(L2250, ""en"", ""pt"")"),"Trabalhador de remoção de neve")</f>
        <v>Trabalhador de remoção de neve</v>
      </c>
      <c r="O2250" s="7" t="str">
        <f>IFERROR(__xludf.DUMMYFUNCTION("IF(M2250="""","""",GOOGLETRANSLATE(M2250,""en"",""pt""))"),"Os funcionários irão remover neve com pá e arado, além de realizar a manutenção de terrenos e outras tarefas relacionadas, conforme necessário, para facilitar a remoção de neve e gelo. Isso inclui o degelo e a remoção de neve de calçadas, entradas de gara"&amp;"gem e estacionamentos de propriedades residenciais e comerciais. Utilizarão pás, sopradores de neve, espalhadores de sal e arados para limpar as propriedades de neve e gelo. Poderão ser realizadas limpezas de outono e primavera para remover detritos deixa"&amp;"dos nas propriedades pela neve e gelo, utilizando ferramentas de manutenção de jardins, como ancinhos, enxadas, pás e sopradores de folhas. Classificação da vaga: 37-2011.00 - Zeladores e Faxineiros, exceto empregadas domésticas e faxineiras. A classifica"&amp;"ção e descrição da vaga/setor incluem informações gerais sobre o cargo, de acordo com o ONET/OES e o Sistema de Classificação Industrial da América do Norte. Consulte as Funções e a Ordem de Serviço para obter mais informações. Requisitos da vaga: Experiê"&amp;"ncia necessária: Não. Requisitos especiais: Deve ser capaz de levantar/carregar 14 kg, quando necessário. Trabalho aos sábados e domingos, quando necessário. Número de horas por semana: 40 Horário de trabalho (início/término): 7h00 - 16h30")</f>
        <v>Os funcionários irão remover neve com pá e arado, além de realizar a manutenção de terrenos e outras tarefas relacionadas, conforme necessário, para facilitar a remoção de neve e gelo. Isso inclui o degelo e a remoção de neve de calçadas, entradas de garagem e estacionamentos de propriedades residenciais e comerciais. Utilizarão pás, sopradores de neve, espalhadores de sal e arados para limpar as propriedades de neve e gelo. Poderão ser realizadas limpezas de outono e primavera para remover detritos deixados nas propriedades pela neve e gelo, utilizando ferramentas de manutenção de jardins, como ancinhos, enxadas, pás e sopradores de folhas. Classificação da vaga: 37-2011.00 - Zeladores e Faxineiros, exceto empregadas domésticas e faxineiras. A classificação e descrição da vaga/setor incluem informações gerais sobre o cargo, de acordo com o ONET/OES e o Sistema de Classificação Industrial da América do Norte. Consulte as Funções e a Ordem de Serviço para obter mais informações. Requisitos da vaga: Experiência necessária: Não. Requisitos especiais: Deve ser capaz de levantar/carregar 14 kg, quando necessário. Trabalho aos sábados e domingos, quando necessário. Número de horas por semana: 40 Horário de trabalho (início/término): 7h00 - 16h30</v>
      </c>
    </row>
    <row r="2251" ht="20.25" customHeight="1">
      <c r="A2251" s="8" t="s">
        <v>10023</v>
      </c>
      <c r="B2251" s="8" t="s">
        <v>10024</v>
      </c>
      <c r="C2251" s="8" t="s">
        <v>10025</v>
      </c>
      <c r="D2251" s="8" t="s">
        <v>71</v>
      </c>
      <c r="E2251" s="9" t="s">
        <v>19</v>
      </c>
      <c r="F2251" s="9" t="s">
        <v>20</v>
      </c>
      <c r="G2251" s="9" t="s">
        <v>524</v>
      </c>
      <c r="H2251" s="8" t="s">
        <v>10026</v>
      </c>
      <c r="I2251" s="8" t="s">
        <v>10027</v>
      </c>
      <c r="J2251" s="9">
        <v>17.3</v>
      </c>
      <c r="K2251" s="9">
        <v>6.0</v>
      </c>
      <c r="L2251" s="8" t="s">
        <v>387</v>
      </c>
      <c r="M2251" s="8" t="s">
        <v>10028</v>
      </c>
      <c r="N2251" s="7" t="str">
        <f>IFERROR(__xludf.DUMMYFUNCTION("GOOGLETRANSLATE(L2251, ""en"", ""pt"")"),"Ordem de serviço não disponível")</f>
        <v>Ordem de serviço não disponível</v>
      </c>
      <c r="O2251" s="7" t="str">
        <f>IFERROR(__xludf.DUMMYFUNCTION("IF(M2251="""","""",GOOGLETRANSLATE(M2251,""en"",""pt""))"),"Preparar, temperar, cozinhar, empratar e decorar refeições. Medir/misturar ingredientes conforme a receita para cozinhar do zero. Seguir os procedimentos adequados de controle de porções, apresentação, consistência, sabor e higiene. Observar/provar os ali"&amp;"mentos cozidos. Pode substituir/auxiliar outros cozinheiros em emergências/períodos de pico. ***F.a.5 A-H e F.a.6a e F.a.6b: mínimo de 35 horas/semana. Turnos e horários variam de segunda a domingo, das 7h às 23h. *** F.b.9a: Aumentos e/ou bônus podem ser"&amp;" oferecidos a qualquer funcionário na ocupação especificada, a critério exclusivo da empresa, com base em fatores individuais, incluindo desempenho no trabalho, habilidade ou tempo de serviço. Classificação do Cargo: 35-2014.00 - Cozinheiros, Restaurante."&amp;" A classificação e descrição do cargo/setor inclui informações gerais sobre a posição, de acordo com o ONET/OES e o Sistema de Classificação Industrial da América do Norte. Consulte as Funções e a Ordem de Serviço para obter mais informações. Requisitos d"&amp;"a vaga Experiência necessária: Não Requisitos especiais: Exame toxicológico e verificação de antecedentes criminais pré-admissional, realizados igualmente para trabalhadores americanos e trabalhadores com visto H-2B. Disponibilidade para trabalhar em turn"&amp;"os divididos, noturnos, fins de semana e feriados, conforme necessário. Capacidade de levantar, puxar, empurrar ou carregar até 11 kg ou mais, e caminhar ou ficar em pé por longos períodos. Boa apresentação pessoal e capacidade de se comunicar em inglês. "&amp;"Número de horas por semana: 35 Horário de trabalho (início/término): 7h às 23h")</f>
        <v>Preparar, temperar, cozinhar, empratar e decorar refeições. Medir/misturar ingredientes conforme a receita para cozinhar do zero. Seguir os procedimentos adequados de controle de porções, apresentação, consistência, sabor e higiene. Observar/provar os alimentos cozidos. Pode substituir/auxiliar outros cozinheiros em emergências/períodos de pico. ***F.a.5 A-H e F.a.6a e F.a.6b: mínimo de 35 horas/semana. Turnos e horários variam de segunda a domingo, das 7h às 23h. *** F.b.9a: Aumentos e/ou bônus podem ser oferecidos a qualquer funcionário na ocupação especificada, a critério exclusivo da empresa, com base em fatores individuais, incluindo desempenho no trabalho, habilidade ou tempo de serviço. Classificação do Cargo: 35-2014.00 - Cozinheiros, Restaurante. A classificação e descrição do cargo/setor inclui informações gerais sobre a posição, de acordo com o ONET/OES e o Sistema de Classificação Industrial da América do Norte. Consulte as Funções e a Ordem de Serviço para obter mais informações. Requisitos da vaga Experiência necessária: Não Requisitos especiais: Exame toxicológico e verificação de antecedentes criminais pré-admissional, realizados igualmente para trabalhadores americanos e trabalhadores com visto H-2B. Disponibilidade para trabalhar em turnos divididos, noturnos, fins de semana e feriados, conforme necessário. Capacidade de levantar, puxar, empurrar ou carregar até 11 kg ou mais, e caminhar ou ficar em pé por longos períodos. Boa apresentação pessoal e capacidade de se comunicar em inglês. Número de horas por semana: 35 Horário de trabalho (início/término): 7h às 23h</v>
      </c>
    </row>
    <row r="2252" ht="20.25" customHeight="1">
      <c r="A2252" s="3" t="s">
        <v>10029</v>
      </c>
      <c r="B2252" s="3" t="s">
        <v>10024</v>
      </c>
      <c r="C2252" s="3" t="s">
        <v>10025</v>
      </c>
      <c r="D2252" s="3" t="s">
        <v>71</v>
      </c>
      <c r="E2252" s="4" t="s">
        <v>19</v>
      </c>
      <c r="F2252" s="4" t="s">
        <v>20</v>
      </c>
      <c r="G2252" s="4" t="s">
        <v>524</v>
      </c>
      <c r="H2252" s="3" t="s">
        <v>10026</v>
      </c>
      <c r="I2252" s="3" t="s">
        <v>10027</v>
      </c>
      <c r="J2252" s="4">
        <v>18.71</v>
      </c>
      <c r="K2252" s="4">
        <v>10.0</v>
      </c>
      <c r="L2252" s="3" t="s">
        <v>1206</v>
      </c>
      <c r="M2252" s="3" t="s">
        <v>10030</v>
      </c>
      <c r="N2252" s="7" t="str">
        <f>IFERROR(__xludf.DUMMYFUNCTION("GOOGLETRANSLATE(L2252, ""en"", ""pt"")"),"Servidor")</f>
        <v>Servidor</v>
      </c>
      <c r="O2252" s="7" t="str">
        <f>IFERROR(__xludf.DUMMYFUNCTION("IF(M2252="""","""",GOOGLETRANSLATE(M2252,""en"",""pt""))"),"***Original*** Servir comida, água, refrigerantes e bebidas alcoólicas. Apresentar cardápios, anotar pedidos e repassá-los à cozinha. Realizar tarefas auxiliares, limpar mesas, transportar pratos do salão para a cozinha e manter as áreas de trabalho limpa"&amp;"s. Fornecer toalhas de mesa, talheres, copos e pratos limpos no salão. Auxiliar na montagem, limpeza, abertura e fechamento do restaurante/área de alimentos e bebidas. Pode ser necessário realizar tarefas em ambientes externos, em eventos de banquetes ou "&amp;"atender clientes em carrinho de golfe. Outras tarefas razoáveis ​​relacionadas ao trabalho, conforme necessário. ***Resposta à Solicitação de Informações (RFI)*** As tarefas de montagem, limpeza, abertura e fechamento do restaurante/área de alimentos e be"&amp;"bidas podem incluir: limpar as mesas, removendo toalhas de mesa, louças e utensílios usados; arrumar as mesas com toalhas de mesa, louças e utensílios limpos; montar e desmontar buffets. Outras tarefas razoáveis ​​relacionadas ao trabalho podem incluir: s"&amp;"ervir condimentos e café; abastecer o bar de serviço com alimentos; manter o buffet abastecido com alimentos, pratos, recipientes e utensílios. ***F.a.5 A-H e F.a.6a e F.a.6b: mínimo de 35 horas semanais. Turnos e horários variam de segunda a domingo, das"&amp;" 7h às 23h. *** F.b.9a: Cargo com gorjetas e salário garantido de US$ 18,71/hora; horas extras possíveis, mas não garantidas, a US$ 28,07/hora. O empregador garantirá o salário em qualquer semana de trabalho em que a remuneração total (incluindo gorjetas)"&amp;" não atingir o salário mínimo vigente ou o valor da hora extra. Aumentos e/ou bônus podem ser oferecidos a qualquer funcionário na ocupação especificada, a critério exclusivo da empresa, com base em fatores individuais, incluindo desempenho, habilidades o"&amp;"u tempo de serviço. Classificação do Cargo: 35-3031.00 - Garçons e Garçonetes. A classificação e descrição do cargo/setor incluem informações gerais sobre a posição, de acordo com o ONET/OES e o Sistema de Classificação Industrial da América do Norte. Con"&amp;"sulte as Funções e a Ordem de Serviço para obter mais informações. Requisitos da vaga Experiência necessária: Não Requisitos especiais: Exame toxicológico e verificação de antecedentes criminais pré-admissional, realizados igualmente para trabalhadores am"&amp;"ericanos e trabalhadores com visto H-2B. Disponibilidade para trabalhar em turnos divididos, noturnos, fins de semana e feriados, conforme necessário. Capacidade de levantar, puxar, empurrar ou carregar até 11 kg ou mais, e caminhar ou ficar em pé por lon"&amp;"gos períodos. Boa apresentação pessoal e capacidade de se comunicar em inglês. Número de horas por semana: 35 Horário de trabalho (início/término): 7h às 23h")</f>
        <v>***Original*** Servir comida, água, refrigerantes e bebidas alcoólicas. Apresentar cardápios, anotar pedidos e repassá-los à cozinha. Realizar tarefas auxiliares, limpar mesas, transportar pratos do salão para a cozinha e manter as áreas de trabalho limpas. Fornecer toalhas de mesa, talheres, copos e pratos limpos no salão. Auxiliar na montagem, limpeza, abertura e fechamento do restaurante/área de alimentos e bebidas. Pode ser necessário realizar tarefas em ambientes externos, em eventos de banquetes ou atender clientes em carrinho de golfe. Outras tarefas razoáveis ​​relacionadas ao trabalho, conforme necessário. ***Resposta à Solicitação de Informações (RFI)*** As tarefas de montagem, limpeza, abertura e fechamento do restaurante/área de alimentos e bebidas podem incluir: limpar as mesas, removendo toalhas de mesa, louças e utensílios usados; arrumar as mesas com toalhas de mesa, louças e utensílios limpos; montar e desmontar buffets. Outras tarefas razoáveis ​​relacionadas ao trabalho podem incluir: servir condimentos e café; abastecer o bar de serviço com alimentos; manter o buffet abastecido com alimentos, pratos, recipientes e utensílios. ***F.a.5 A-H e F.a.6a e F.a.6b: mínimo de 35 horas semanais. Turnos e horários variam de segunda a domingo, das 7h às 23h. *** F.b.9a: Cargo com gorjetas e salário garantido de US$ 18,71/hora; horas extras possíveis, mas não garantidas, a US$ 28,07/hora. O empregador garantirá o salário em qualquer semana de trabalho em que a remuneração total (incluindo gorjetas) não atingir o salário mínimo vigente ou o valor da hora extra. Aumentos e/ou bônus podem ser oferecidos a qualquer funcionário na ocupação especificada, a critério exclusivo da empresa, com base em fatores individuais, incluindo desempenho, habilidades ou tempo de serviço. Classificação do Cargo: 35-3031.00 - Garçons e Garçonetes. A classificação e descrição do cargo/setor incluem informações gerais sobre a posição, de acordo com o ONET/OES e o Sistema de Classificação Industrial da América do Norte. Consulte as Funções e a Ordem de Serviço para obter mais informações. Requisitos da vaga Experiência necessária: Não Requisitos especiais: Exame toxicológico e verificação de antecedentes criminais pré-admissional, realizados igualmente para trabalhadores americanos e trabalhadores com visto H-2B. Disponibilidade para trabalhar em turnos divididos, noturnos, fins de semana e feriados, conforme necessário. Capacidade de levantar, puxar, empurrar ou carregar até 11 kg ou mais, e caminhar ou ficar em pé por longos períodos. Boa apresentação pessoal e capacidade de se comunicar em inglês. Número de horas por semana: 35 Horário de trabalho (início/término): 7h às 23h</v>
      </c>
    </row>
    <row r="2253" ht="20.25" customHeight="1">
      <c r="A2253" s="8" t="s">
        <v>10031</v>
      </c>
      <c r="B2253" s="8" t="s">
        <v>10024</v>
      </c>
      <c r="C2253" s="8" t="s">
        <v>10025</v>
      </c>
      <c r="D2253" s="8" t="s">
        <v>71</v>
      </c>
      <c r="E2253" s="9" t="s">
        <v>19</v>
      </c>
      <c r="F2253" s="9" t="s">
        <v>20</v>
      </c>
      <c r="G2253" s="9" t="s">
        <v>524</v>
      </c>
      <c r="H2253" s="8" t="s">
        <v>10026</v>
      </c>
      <c r="I2253" s="8" t="s">
        <v>10027</v>
      </c>
      <c r="J2253" s="9">
        <v>15.6</v>
      </c>
      <c r="K2253" s="9">
        <v>3.0</v>
      </c>
      <c r="L2253" s="8" t="s">
        <v>10032</v>
      </c>
      <c r="M2253" s="8" t="s">
        <v>10033</v>
      </c>
      <c r="N2253" s="7" t="str">
        <f>IFERROR(__xludf.DUMMYFUNCTION("GOOGLETRANSLATE(L2253, ""en"", ""pt"")"),"Atendente de Loja de Artigos Esportivos")</f>
        <v>Atendente de Loja de Artigos Esportivos</v>
      </c>
      <c r="O2253" s="7" t="str">
        <f>IFERROR(__xludf.DUMMYFUNCTION("IF(M2253="""","""",GOOGLETRANSLATE(M2253,""en"",""pt""))"),"Prestar assistência em instalações de golfe/esportivas, incluindo: recepcionar membros; confirmar reservas; responder a perguntas; organizar mercadorias e fornecer informações sobre as instalações; outras tarefas relacionadas, conforme atribuídas. ***F.a."&amp;"5 A-H e F.a.6a e F.a.6b: mínimo de 35 horas semanais. Turnos e horários variam de segunda a domingo, das 7h às 23h. *** F.b.9a: Aumentos e/ou bônus podem ser oferecidos a qualquer funcionário na ocupação especificada, a critério exclusivo da empresa, com "&amp;"base em fatores individuais, incluindo desempenho no trabalho, habilidade ou tempo de serviço. Classificação do Cargo: 39-3091.00 - Atendentes de Diversão e Recreação. A classificação e descrição do cargo/setor incluem informações gerais sobre a posição, "&amp;"de acordo com o ONET/OES e o Sistema de Classificação Industrial da América do Norte. Consulte as Funções e a Ordem de Serviço para obter mais informações. Requisitos do Cargo: Experiência Necessária: Não. Requisitos Especiais: Teste antidrogas e verifica"&amp;"ção de antecedentes criminais pré-contratação, realizados igualmente para trabalhadores americanos e trabalhadores com visto H-2B. Disponibilidade para trabalhar em turnos divididos, noturnos, fins de semana e feriados, conforme necessário. Capacidade de "&amp;"levantar, puxar, empurrar ou carregar até 11 kg ou mais, e caminhar ou ficar em pé por longos períodos. Boa apresentação pessoal e capacidade de se comunicar em inglês. Número de horas por semana: 35. Horário de trabalho (início/término): 7h às 23h.")</f>
        <v>Prestar assistência em instalações de golfe/esportivas, incluindo: recepcionar membros; confirmar reservas; responder a perguntas; organizar mercadorias e fornecer informações sobre as instalações; outras tarefas relacionadas, conforme atribuídas. ***F.a.5 A-H e F.a.6a e F.a.6b: mínimo de 35 horas semanais. Turnos e horários variam de segunda a domingo, das 7h às 23h. *** F.b.9a: Aumentos e/ou bônus podem ser oferecidos a qualquer funcionário na ocupação especificada, a critério exclusivo da empresa, com base em fatores individuais, incluindo desempenho no trabalho, habilidade ou tempo de serviço. Classificação do Cargo: 39-3091.00 - Atendentes de Diversão e Recreação. A classificação e descrição do cargo/setor incluem informações gerais sobre a posição, de acordo com o ONET/OES e o Sistema de Classificação Industrial da América do Norte. Consulte as Funções e a Ordem de Serviço para obter mais informações. Requisitos do Cargo: Experiência Necessária: Não. Requisitos Especiais: Teste antidrogas e verificação de antecedentes criminais pré-contratação, realizados igualmente para trabalhadores americanos e trabalhadores com visto H-2B. Disponibilidade para trabalhar em turnos divididos, noturnos, fins de semana e feriados, conforme necessário. Capacidade de levantar, puxar, empurrar ou carregar até 11 kg ou mais, e caminhar ou ficar em pé por longos períodos. Boa apresentação pessoal e capacidade de se comunicar em inglês. Número de horas por semana: 35. Horário de trabalho (início/término): 7h às 23h.</v>
      </c>
    </row>
    <row r="2254" ht="20.25" customHeight="1">
      <c r="A2254" s="3" t="s">
        <v>10034</v>
      </c>
      <c r="B2254" s="3" t="s">
        <v>10024</v>
      </c>
      <c r="C2254" s="3" t="s">
        <v>10025</v>
      </c>
      <c r="D2254" s="3" t="s">
        <v>71</v>
      </c>
      <c r="E2254" s="4" t="s">
        <v>44</v>
      </c>
      <c r="F2254" s="4" t="s">
        <v>20</v>
      </c>
      <c r="G2254" s="4" t="s">
        <v>524</v>
      </c>
      <c r="H2254" s="3" t="s">
        <v>10026</v>
      </c>
      <c r="I2254" s="3" t="s">
        <v>10027</v>
      </c>
      <c r="J2254" s="4">
        <v>18.25</v>
      </c>
      <c r="K2254" s="4">
        <v>4.0</v>
      </c>
      <c r="L2254" s="3" t="s">
        <v>10035</v>
      </c>
      <c r="M2254" s="3" t="s">
        <v>10036</v>
      </c>
      <c r="N2254" s="7" t="str">
        <f>IFERROR(__xludf.DUMMYFUNCTION("GOOGLETRANSLATE(L2254, ""en"", ""pt"")"),"Greensman")</f>
        <v>Greensman</v>
      </c>
      <c r="O2254" s="7" t="str">
        <f>IFERROR(__xludf.DUMMYFUNCTION("IF(M2254="""","""",GOOGLETRANSLATE(M2254,""en"",""pt""))"),"Responsável pela manutenção do campo de golfe utilizando ferramentas manuais e elétricas. Os funcionários geralmente executam uma combinação das seguintes tarefas: colocação de grama, corte, poda, plantio, irrigação, adubação, escavação, rastelagem, insta"&amp;"lação de aspersores e manutenção de bunkers. ***F.a.5 A-H &amp; F.a.6a &amp; F.a.6b: mínimo de 35 horas semanais. Turnos e horários variam de segunda a domingo, das 5h às 20h. *** F.b.9a: Aumentos salariais e/ou bônus podem ser oferecidos a qualquer funcionário n"&amp;"a função especificada, a critério exclusivo da empresa, com base em fatores individuais, incluindo desempenho, habilidade ou tempo de serviço. Classificação da função: 37-3011.00 - Trabalhadores de Paisagismo e Manutenção de Jardins. A classificação e des"&amp;"crição da função/setor inclui informações gerais sobre o cargo, de acordo com o ONET/OES e o Sistema de Classificação Industrial da América do Norte. Consulte as Funções e a Ordem de Serviço para obter mais informações. Requisitos da vaga Experiência nece"&amp;"ssária: Não Requisitos especiais: Exame toxicológico e verificação de antecedentes criminais pré-admissional, realizados igualmente para trabalhadores americanos e trabalhadores com visto H-2B. Disponibilidade para trabalhar em turnos divididos, noturnos,"&amp;" fins de semana e feriados, conforme necessário. Capacidade de levantar, puxar, empurrar ou carregar até 11 kg ou mais, e caminhar ou ficar em pé por longos períodos. Boa apresentação pessoal e capacidade de se comunicar em inglês. Número de horas por sem"&amp;"ana: 35 Horário de trabalho (início/término): 5h às 20h")</f>
        <v>Responsável pela manutenção do campo de golfe utilizando ferramentas manuais e elétricas. Os funcionários geralmente executam uma combinação das seguintes tarefas: colocação de grama, corte, poda, plantio, irrigação, adubação, escavação, rastelagem, instalação de aspersores e manutenção de bunkers. ***F.a.5 A-H &amp; F.a.6a &amp; F.a.6b: mínimo de 35 horas semanais. Turnos e horários variam de segunda a domingo, das 5h às 20h. *** F.b.9a: Aumentos salariais e/ou bônus podem ser oferecidos a qualquer funcionário na função especificada, a critério exclusivo da empresa, com base em fatores individuais, incluindo desempenho, habilidade ou tempo de serviço. Classificação da função: 37-3011.00 - Trabalhadores de Paisagismo e Manutenção de Jardins. A classificação e descrição da função/setor inclui informações gerais sobre o cargo, de acordo com o ONET/OES e o Sistema de Classificação Industrial da América do Norte. Consulte as Funções e a Ordem de Serviço para obter mais informações. Requisitos da vaga Experiência necessária: Não Requisitos especiais: Exame toxicológico e verificação de antecedentes criminais pré-admissional, realizados igualmente para trabalhadores americanos e trabalhadores com visto H-2B. Disponibilidade para trabalhar em turnos divididos, noturnos, fins de semana e feriados, conforme necessário. Capacidade de levantar, puxar, empurrar ou carregar até 11 kg ou mais, e caminhar ou ficar em pé por longos períodos. Boa apresentação pessoal e capacidade de se comunicar em inglês. Número de horas por semana: 35 Horário de trabalho (início/término): 5h às 20h</v>
      </c>
    </row>
    <row r="2255" ht="20.25" customHeight="1">
      <c r="A2255" s="8" t="s">
        <v>10037</v>
      </c>
      <c r="B2255" s="8" t="s">
        <v>10024</v>
      </c>
      <c r="C2255" s="8" t="s">
        <v>10025</v>
      </c>
      <c r="D2255" s="8" t="s">
        <v>71</v>
      </c>
      <c r="E2255" s="9" t="s">
        <v>44</v>
      </c>
      <c r="F2255" s="9" t="s">
        <v>20</v>
      </c>
      <c r="G2255" s="9" t="s">
        <v>524</v>
      </c>
      <c r="H2255" s="8" t="s">
        <v>10026</v>
      </c>
      <c r="I2255" s="8" t="s">
        <v>10027</v>
      </c>
      <c r="J2255" s="9">
        <v>15.94</v>
      </c>
      <c r="K2255" s="9">
        <v>10.0</v>
      </c>
      <c r="L2255" s="8" t="s">
        <v>5723</v>
      </c>
      <c r="M2255" s="8" t="s">
        <v>10038</v>
      </c>
      <c r="N2255" s="7" t="str">
        <f>IFERROR(__xludf.DUMMYFUNCTION("GOOGLETRANSLATE(L2255, ""en"", ""pt"")"),"Atendente de Recreação")</f>
        <v>Atendente de Recreação</v>
      </c>
      <c r="O2255" s="7" t="str">
        <f>IFERROR(__xludf.DUMMYFUNCTION("IF(M2255="""","""",GOOGLETRANSLATE(M2255,""en"",""pt""))"),"***Original*** Prestar assistência nas instalações de golfe/esportes/clube, incluindo: recepcionar os sócios; confirmar reservas; responder a perguntas; organizar mercadorias e fornecer informações sobre as instalações; carregar/descarregar sacos de golfe"&amp;"; manusear/limpar/manter carrinhos de golfe, sacos, tacos e sapatos; manter o galpão de carrinhos e a área de espera organizados e abastecidos com bolas de golfe limpas, gelo, copos e coolers de bebidas; remoção ocasional de lixo e limpeza de banheiros; t"&amp;"ransportar equipamentos de golfe ou esportivos e veículos dos sócios de e para as instalações do clube; executar outras tarefas relacionadas, conforme atribuídas. ***Resposta à RFI*** Ocasionalmente, dirigir os veículos dos sócios da área de entrega de sa"&amp;"cos de golfe até o serviço de manobrista do clube ou vice-versa. Outras tarefas relacionadas podem incluir: coletar bolas de golfe do campo de prática, lavar bolas de golfe e mantê-las prontas para reposição; reabastecer os bebedouros para os jogadores no"&amp;" campo de golfe quando necessário. ***F.a.5 A-H e F.a.6a e F.a.6b Mínimo de 35 horas/semana. Turnos e horários variam de segunda a domingo, das 7h às 23h. *** F.b.9a: Cargo com gorjetas e salário garantido de US$ 15,94/hora; horas extras possíveis, mas nã"&amp;"o garantidas, a US$ 23,91/hora. O empregador garantirá o salário em qualquer semana de trabalho em que a remuneração total (incluindo gorjetas) não atingir o salário vigente ou o valor da hora extra. Aumentos e/ou bônus podem ser oferecidos a qualquer tra"&amp;"balhador na ocupação especificada, a critério exclusivo da empresa, com base em fatores individuais, incluindo desempenho, habilidades ou tempo de serviço. Classificação do Cargo: 37-2011.00 - Zeladores e Faxineiros, exceto Empregadas Domésticas e Faxinei"&amp;"ros. A classificação e descrição do cargo/setor incluem informações gerais sobre a posição, de acordo com o ONET/OES e o Sistema de Classificação Industrial da América do Norte. Consulte as Funções e a Ordem de Serviço para obter mais informações. Requisi"&amp;"tos do Cargo Experiência Necessária: Não. Requisitos Especiais: Exame toxicológico e verificação de antecedentes criminais pré-admissional, realizados igualmente para trabalhadores americanos e trabalhadores com visto H-2B. Disponibilidade para trabalhar "&amp;"em turnos divididos, noturnos, fins de semana e feriados, conforme necessário. Deve ser capaz de levantar, puxar, empurrar ou carregar até 11 kg ou mais, e caminhar ou ficar em pé por longos períodos. Boa apresentação pessoal e capacidade de se comunicar "&amp;"em inglês. Número de horas por semana: 35. Horário de trabalho (início/término): 7h às 23h.")</f>
        <v>***Original*** Prestar assistência nas instalações de golfe/esportes/clube, incluindo: recepcionar os sócios; confirmar reservas; responder a perguntas; organizar mercadorias e fornecer informações sobre as instalações; carregar/descarregar sacos de golfe; manusear/limpar/manter carrinhos de golfe, sacos, tacos e sapatos; manter o galpão de carrinhos e a área de espera organizados e abastecidos com bolas de golfe limpas, gelo, copos e coolers de bebidas; remoção ocasional de lixo e limpeza de banheiros; transportar equipamentos de golfe ou esportivos e veículos dos sócios de e para as instalações do clube; executar outras tarefas relacionadas, conforme atribuídas. ***Resposta à RFI*** Ocasionalmente, dirigir os veículos dos sócios da área de entrega de sacos de golfe até o serviço de manobrista do clube ou vice-versa. Outras tarefas relacionadas podem incluir: coletar bolas de golfe do campo de prática, lavar bolas de golfe e mantê-las prontas para reposição; reabastecer os bebedouros para os jogadores no campo de golfe quando necessário. ***F.a.5 A-H e F.a.6a e F.a.6b Mínimo de 35 horas/semana. Turnos e horários variam de segunda a domingo, das 7h às 23h. *** F.b.9a: Cargo com gorjetas e salário garantido de US$ 15,94/hora; horas extras possíveis, mas não garantidas, a US$ 23,91/hora. O empregador garantirá o salário em qualquer semana de trabalho em que a remuneração total (incluindo gorjetas) não atingir o salário vigente ou o valor da hora extra. Aumentos e/ou bônus podem ser oferecidos a qualquer trabalhador na ocupação especificada, a critério exclusivo da empresa, com base em fatores individuais, incluindo desempenho, habilidades ou tempo de serviço. Classificação do Cargo: 37-2011.00 - Zeladores e Faxineiros, exceto Empregadas Domésticas e Faxineiros. A classificação e descrição do cargo/setor incluem informações gerais sobre a posição, de acordo com o ONET/OES e o Sistema de Classificação Industrial da América do Norte. Consulte as Funções e a Ordem de Serviço para obter mais informações. Requisitos do Cargo Experiência Necessária: Não. Requisitos Especiais: Exame toxicológico e verificação de antecedentes criminais pré-admissional, realizados igualmente para trabalhadores americanos e trabalhadores com visto H-2B. Disponibilidade para trabalhar em turnos divididos, noturnos, fins de semana e feriados, conforme necessário. Deve ser capaz de levantar, puxar, empurrar ou carregar até 11 kg ou mais, e caminhar ou ficar em pé por longos períodos. Boa apresentação pessoal e capacidade de se comunicar em inglês. Número de horas por semana: 35. Horário de trabalho (início/término): 7h às 23h.</v>
      </c>
    </row>
    <row r="2256" ht="20.25" customHeight="1">
      <c r="A2256" s="3" t="s">
        <v>10039</v>
      </c>
      <c r="B2256" s="3" t="s">
        <v>10040</v>
      </c>
      <c r="C2256" s="3" t="s">
        <v>10025</v>
      </c>
      <c r="D2256" s="3" t="s">
        <v>71</v>
      </c>
      <c r="E2256" s="4" t="s">
        <v>19</v>
      </c>
      <c r="F2256" s="4" t="s">
        <v>20</v>
      </c>
      <c r="G2256" s="4" t="s">
        <v>524</v>
      </c>
      <c r="H2256" s="3" t="s">
        <v>10041</v>
      </c>
      <c r="I2256" s="3" t="s">
        <v>10042</v>
      </c>
      <c r="J2256" s="4">
        <v>19.51</v>
      </c>
      <c r="K2256" s="4">
        <v>6.0</v>
      </c>
      <c r="L2256" s="3" t="s">
        <v>1684</v>
      </c>
      <c r="M2256" s="3" t="s">
        <v>10043</v>
      </c>
      <c r="N2256" s="7" t="str">
        <f>IFERROR(__xludf.DUMMYFUNCTION("GOOGLETRANSLATE(L2256, ""en"", ""pt"")"),"Barman")</f>
        <v>Barman</v>
      </c>
      <c r="O2256" s="7" t="str">
        <f>IFERROR(__xludf.DUMMYFUNCTION("IF(M2256="""","""",GOOGLETRANSLATE(M2256,""en"",""pt""))"),"***Original*** Anotar pedidos de bebidas. Preparar e servir drinks. Limpar copos e equipamentos do bar. Manter a área do bar limpa e abastecida. Pode ser necessário anotar e servir pedidos de comida. Solicitar e exibir bebidas alcoólicas e suprimentos. Po"&amp;"de executar outras tarefas razoáveis ​​relacionadas ao trabalho, conforme necessário. ***Resposta à Solicitação de Informação (RFI)*** Ocasionalmente, os clientes podem preferir uma refeição rápida enquanto estão sentados no bar. Nesses casos, pode ser ne"&amp;"cessário anotar o pedido de comida e servir lanches e outros itens alimentícios. Outras tarefas razoáveis ​​relacionadas ao trabalho podem incluir: Repor o bar com cerveja, vinho, bebidas alcoólicas e suprimentos relacionados, como gelo, copos, guardanapo"&amp;"s ou canudos. Cortar e retirar caroços de frutas para decorar bebidas. Organizar garrafas e copos para criar apresentações atraentes. ***F.a.5 A-H e F.a.6a e F.a.6b Mínimo de 35 horas/semana. Turnos e horários variam de segunda a domingo, das 7h às 23h. *"&amp;"** F.b.9a: Aumentos salariais e/ou bônus podem ser oferecidos a qualquer funcionário na ocupação especificada, a critério exclusivo da empresa, com base em fatores individuais, incluindo desempenho no trabalho, habilidade ou tempo de serviço. Classificaçã"&amp;"o do Cargo: 35-3011.00 - Bartenders. A classificação e descrição do cargo/setor inclui informações gerais sobre a posição, de acordo com o ONET/OES e o Sistema de Classificação Industrial da América do Norte (NAICS). Consulte as Funções e a Ordem de Servi"&amp;"ço para obter mais informações. Requisitos do Cargo Experiência Necessária: Não. Requisitos Especiais: Disponibilidade para trabalhar em turnos divididos, noturnos, fins de semana e feriados, conforme necessário. Capacidade de levantar, puxar, empurrar ou"&amp;" carregar até 11 kg ou mais, e caminhar ou ficar em pé por longos períodos. Boa apresentação pessoal e capacidade de se comunicar em inglês. Número de Horas por Semana: 35. Horário de Trabalho (Início/Término): 7h às 23h.")</f>
        <v>***Original*** Anotar pedidos de bebidas. Preparar e servir drinks. Limpar copos e equipamentos do bar. Manter a área do bar limpa e abastecida. Pode ser necessário anotar e servir pedidos de comida. Solicitar e exibir bebidas alcoólicas e suprimentos. Pode executar outras tarefas razoáveis ​​relacionadas ao trabalho, conforme necessário. ***Resposta à Solicitação de Informação (RFI)*** Ocasionalmente, os clientes podem preferir uma refeição rápida enquanto estão sentados no bar. Nesses casos, pode ser necessário anotar o pedido de comida e servir lanches e outros itens alimentícios. Outras tarefas razoáveis ​​relacionadas ao trabalho podem incluir: Repor o bar com cerveja, vinho, bebidas alcoólicas e suprimentos relacionados, como gelo, copos, guardanapos ou canudos. Cortar e retirar caroços de frutas para decorar bebidas. Organizar garrafas e copos para criar apresentações atraentes. ***F.a.5 A-H e F.a.6a e F.a.6b Mínimo de 35 horas/semana. Turnos e horários variam de segunda a domingo, das 7h às 23h. *** F.b.9a: Aumentos salariais e/ou bônus podem ser oferecidos a qualquer funcionário na ocupação especificada, a critério exclusivo da empresa, com base em fatores individuais, incluindo desempenho no trabalho, habilidade ou tempo de serviço. Classificação do Cargo: 35-3011.00 - Bartenders. A classificação e descrição do cargo/setor inclui informações gerais sobre a posição, de acordo com o ONET/OES e o Sistema de Classificação Industrial da América do Norte (NAICS). Consulte as Funções e a Ordem de Serviço para obter mais informações. Requisitos do Cargo Experiência Necessária: Não. Requisitos Especiais: Disponibilidade para trabalhar em turnos divididos, noturnos, fins de semana e feriados, conforme necessário. Capacidade de levantar, puxar, empurrar ou carregar até 11 kg ou mais, e caminhar ou ficar em pé por longos períodos. Boa apresentação pessoal e capacidade de se comunicar em inglês. Número de Horas por Semana: 35. Horário de Trabalho (Início/Término): 7h às 23h.</v>
      </c>
    </row>
    <row r="2257" ht="20.25" customHeight="1">
      <c r="A2257" s="8" t="s">
        <v>10044</v>
      </c>
      <c r="B2257" s="8" t="s">
        <v>10040</v>
      </c>
      <c r="C2257" s="8" t="s">
        <v>10025</v>
      </c>
      <c r="D2257" s="8" t="s">
        <v>71</v>
      </c>
      <c r="E2257" s="9" t="s">
        <v>19</v>
      </c>
      <c r="F2257" s="9" t="s">
        <v>20</v>
      </c>
      <c r="G2257" s="9" t="s">
        <v>524</v>
      </c>
      <c r="H2257" s="8" t="s">
        <v>10041</v>
      </c>
      <c r="I2257" s="8" t="s">
        <v>10042</v>
      </c>
      <c r="J2257" s="9">
        <v>17.3</v>
      </c>
      <c r="K2257" s="9">
        <v>6.0</v>
      </c>
      <c r="L2257" s="8" t="s">
        <v>387</v>
      </c>
      <c r="M2257" s="8" t="s">
        <v>10045</v>
      </c>
      <c r="N2257" s="7" t="str">
        <f>IFERROR(__xludf.DUMMYFUNCTION("GOOGLETRANSLATE(L2257, ""en"", ""pt"")"),"Ordem de serviço não disponível")</f>
        <v>Ordem de serviço não disponível</v>
      </c>
      <c r="O2257" s="7" t="str">
        <f>IFERROR(__xludf.DUMMYFUNCTION("IF(M2257="""","""",GOOGLETRANSLATE(M2257,""en"",""pt""))"),"Preparar, temperar, cozinhar, empratar e decorar refeições. Medir/misturar ingredientes conforme a receita para cozinhar do zero. Seguir os procedimentos adequados de controle de porções, apresentação, consistência, sabor e higiene. Observar/provar os ali"&amp;"mentos cozidos. Pode substituir/auxiliar outros cozinheiros em emergências/períodos de pico. ***F.a.5 A-H e F.a.6a e F.a.6b: mínimo de 35 horas/semana. Turnos e horários variam de segunda a domingo, das 7h às 23h. *** F.b.9a: Aumentos e/ou bônus podem ser"&amp;" oferecidos a qualquer funcionário na ocupação especificada, a critério exclusivo da empresa, com base em fatores individuais, incluindo desempenho no trabalho, habilidade ou tempo de serviço. Classificação do Cargo: 35-2014.00 - Cozinheiros, Restaurante."&amp;" A classificação e descrição do cargo/setor inclui informações gerais sobre a posição, de acordo com o ONET/OES e o Sistema de Classificação Industrial da América do Norte. Consulte as Funções e a Ordem de Serviço para obter mais informações. Requisitos d"&amp;"a vaga Experiência necessária: Não Requisitos especiais: Disponibilidade para trabalhar em turnos divididos, noturnos, fins de semana e feriados, conforme necessário. Capacidade de levantar, puxar, empurrar ou carregar até 11 kg ou mais, e caminhar ou fic"&amp;"ar em pé por longos períodos. Boa apresentação pessoal e capacidade de se comunicar em inglês. Número de horas por semana: 35 Horário de trabalho (início/término): 7h às 23h")</f>
        <v>Preparar, temperar, cozinhar, empratar e decorar refeições. Medir/misturar ingredientes conforme a receita para cozinhar do zero. Seguir os procedimentos adequados de controle de porções, apresentação, consistência, sabor e higiene. Observar/provar os alimentos cozidos. Pode substituir/auxiliar outros cozinheiros em emergências/períodos de pico. ***F.a.5 A-H e F.a.6a e F.a.6b: mínimo de 35 horas/semana. Turnos e horários variam de segunda a domingo, das 7h às 23h. *** F.b.9a: Aumentos e/ou bônus podem ser oferecidos a qualquer funcionário na ocupação especificada, a critério exclusivo da empresa, com base em fatores individuais, incluindo desempenho no trabalho, habilidade ou tempo de serviço. Classificação do Cargo: 35-2014.00 - Cozinheiros, Restaurante. A classificação e descrição do cargo/setor inclui informações gerais sobre a posição, de acordo com o ONET/OES e o Sistema de Classificação Industrial da América do Norte. Consulte as Funções e a Ordem de Serviço para obter mais informações. Requisitos da vaga Experiência necessária: Não Requisitos especiais: Disponibilidade para trabalhar em turnos divididos, noturnos, fins de semana e feriados, conforme necessário. Capacidade de levantar, puxar, empurrar ou carregar até 11 kg ou mais, e caminhar ou ficar em pé por longos períodos. Boa apresentação pessoal e capacidade de se comunicar em inglês. Número de horas por semana: 35 Horário de trabalho (início/término): 7h às 23h</v>
      </c>
    </row>
    <row r="2258" ht="20.25" customHeight="1">
      <c r="A2258" s="3" t="s">
        <v>10046</v>
      </c>
      <c r="B2258" s="3" t="s">
        <v>10040</v>
      </c>
      <c r="C2258" s="3" t="s">
        <v>10025</v>
      </c>
      <c r="D2258" s="3" t="s">
        <v>71</v>
      </c>
      <c r="E2258" s="4" t="s">
        <v>19</v>
      </c>
      <c r="F2258" s="4" t="s">
        <v>20</v>
      </c>
      <c r="G2258" s="4" t="s">
        <v>524</v>
      </c>
      <c r="H2258" s="3" t="s">
        <v>10041</v>
      </c>
      <c r="I2258" s="3" t="s">
        <v>10042</v>
      </c>
      <c r="J2258" s="4">
        <v>15.94</v>
      </c>
      <c r="K2258" s="4">
        <v>12.0</v>
      </c>
      <c r="L2258" s="3" t="s">
        <v>5723</v>
      </c>
      <c r="M2258" s="3" t="s">
        <v>10047</v>
      </c>
      <c r="N2258" s="7" t="str">
        <f>IFERROR(__xludf.DUMMYFUNCTION("GOOGLETRANSLATE(L2258, ""en"", ""pt"")"),"Atendente de Recreação")</f>
        <v>Atendente de Recreação</v>
      </c>
      <c r="O2258" s="7" t="str">
        <f>IFERROR(__xludf.DUMMYFUNCTION("IF(M2258="""","""",GOOGLETRANSLATE(M2258,""en"",""pt""))"),"***Original*** Prestar assistência nas instalações de golfe/esportes/clube, incluindo: recepcionar os sócios; confirmar reservas; responder a perguntas; organizar mercadorias e fornecer informações sobre as instalações; carregar/descarregar sacos de golfe"&amp;"; manusear/limpar/manter carrinhos de golfe, sacos, tacos e sapatos; manter o galpão de carrinhos e a área de espera organizados e abastecidos com bolas de golfe limpas, gelo, copos e coolers de bebidas; remoção ocasional de lixo e limpeza de banheiros; t"&amp;"ransportar equipamentos de golfe ou esportivos e veículos dos sócios de e para as instalações do clube; executar outras tarefas relacionadas, conforme atribuídas. ***Resposta à RFI*** Ocasionalmente, dirigir os veículos dos sócios da área de entrega de sa"&amp;"cos de golfe até o serviço de manobrista do clube ou vice-versa. Outras tarefas relacionadas podem incluir: coletar bolas de golfe do campo de prática, lavar bolas de golfe e mantê-las prontas para reposição; reabastecer os bebedouros para os jogadores no"&amp;" campo de golfe quando necessário. ***F.a.5 A-H e F.a.6a e F.a.6b Mínimo de 35 horas/semana. Turnos e horários variam de segunda a domingo, das 7h às 23h. *** F.b.9a: Aumentos salariais e/ou bônus podem ser oferecidos a qualquer funcionário na ocupação es"&amp;"pecificada, a critério exclusivo da empresa, com base em fatores individuais, incluindo desempenho no trabalho, habilidade ou tempo de serviço. Classificação do Cargo: 37-2011.00 - Zeladores e Faxineiros, exceto Empregadas Domésticas e Faxineiras. A class"&amp;"ificação e descrição do cargo/setor inclui informações gerais sobre a posição, de acordo com o ONET/OES e o Sistema de Classificação Industrial da América do Norte. Consulte as Funções e a Ordem de Serviço para obter mais informações. Requisitos do Cargo "&amp;"Experiência Necessária: Não. Requisitos Especiais: Disponibilidade para trabalhar em turnos divididos, noturnos, fins de semana e feriados, conforme necessário. Capacidade de levantar, puxar, empurrar ou carregar até 11 kg ou mais, e caminhar ou ficar em "&amp;"pé por longos períodos. Boa apresentação pessoal e capacidade de se comunicar em inglês. Número de Horas por Semana: 35. Horário de Trabalho (Início/Término): 7h às 23h.")</f>
        <v>***Original*** Prestar assistência nas instalações de golfe/esportes/clube, incluindo: recepcionar os sócios; confirmar reservas; responder a perguntas; organizar mercadorias e fornecer informações sobre as instalações; carregar/descarregar sacos de golfe; manusear/limpar/manter carrinhos de golfe, sacos, tacos e sapatos; manter o galpão de carrinhos e a área de espera organizados e abastecidos com bolas de golfe limpas, gelo, copos e coolers de bebidas; remoção ocasional de lixo e limpeza de banheiros; transportar equipamentos de golfe ou esportivos e veículos dos sócios de e para as instalações do clube; executar outras tarefas relacionadas, conforme atribuídas. ***Resposta à RFI*** Ocasionalmente, dirigir os veículos dos sócios da área de entrega de sacos de golfe até o serviço de manobrista do clube ou vice-versa. Outras tarefas relacionadas podem incluir: coletar bolas de golfe do campo de prática, lavar bolas de golfe e mantê-las prontas para reposição; reabastecer os bebedouros para os jogadores no campo de golfe quando necessário. ***F.a.5 A-H e F.a.6a e F.a.6b Mínimo de 35 horas/semana. Turnos e horários variam de segunda a domingo, das 7h às 23h. *** F.b.9a: Aumentos salariais e/ou bônus podem ser oferecidos a qualquer funcionário na ocupação especificada, a critério exclusivo da empresa, com base em fatores individuais, incluindo desempenho no trabalho, habilidade ou tempo de serviço. Classificação do Cargo: 37-2011.00 - Zeladores e Faxineiros, exceto Empregadas Domésticas e Faxineiras. A classificação e descrição do cargo/setor inclui informações gerais sobre a posição, de acordo com o ONET/OES e o Sistema de Classificação Industrial da América do Norte. Consulte as Funções e a Ordem de Serviço para obter mais informações. Requisitos do Cargo Experiência Necessária: Não. Requisitos Especiais: Disponibilidade para trabalhar em turnos divididos, noturnos, fins de semana e feriados, conforme necessário. Capacidade de levantar, puxar, empurrar ou carregar até 11 kg ou mais, e caminhar ou ficar em pé por longos períodos. Boa apresentação pessoal e capacidade de se comunicar em inglês. Número de Horas por Semana: 35. Horário de Trabalho (Início/Término): 7h às 23h.</v>
      </c>
    </row>
    <row r="2259" ht="20.25" customHeight="1">
      <c r="A2259" s="8" t="s">
        <v>10048</v>
      </c>
      <c r="B2259" s="8" t="s">
        <v>10040</v>
      </c>
      <c r="C2259" s="8" t="s">
        <v>10025</v>
      </c>
      <c r="D2259" s="8" t="s">
        <v>71</v>
      </c>
      <c r="E2259" s="9" t="s">
        <v>19</v>
      </c>
      <c r="F2259" s="9" t="s">
        <v>20</v>
      </c>
      <c r="G2259" s="9" t="s">
        <v>524</v>
      </c>
      <c r="H2259" s="8" t="s">
        <v>10041</v>
      </c>
      <c r="I2259" s="8" t="s">
        <v>10042</v>
      </c>
      <c r="J2259" s="9">
        <v>16.01</v>
      </c>
      <c r="K2259" s="9">
        <v>2.0</v>
      </c>
      <c r="L2259" s="8" t="s">
        <v>354</v>
      </c>
      <c r="M2259" s="8" t="s">
        <v>10049</v>
      </c>
      <c r="N2259" s="7" t="str">
        <f>IFERROR(__xludf.DUMMYFUNCTION("GOOGLETRANSLATE(L2259, ""en"", ""pt"")"),"Governanta")</f>
        <v>Governanta</v>
      </c>
      <c r="O2259" s="7" t="str">
        <f>IFERROR(__xludf.DUMMYFUNCTION("IF(M2259="""","""",GOOGLETRANSLATE(M2259,""en"",""pt""))"),"Limpar e manter os quartos de hóspedes, áreas comuns, banheiros e vestiários do clube, incluindo: tirar o pó e limpar os móveis; varrer, passar pano levemente e aspirar o chão; esfregar e desinfetar os banheiros; manusear roupas de cama e arrumar as camas"&amp;"; repor suprimentos, roupas de cama e toalhas; mover móveis, pendurar cortinas e enrolar tapetes; e ocasionalmente remover o lixo. ***F.a.5 A-H &amp; F.a.6a &amp; F.a.6b: mínimo de 35 horas semanais. Turnos e horários variam de segunda a domingo, das 7h às 23h. *"&amp;"** F.b.9a: Aumentos e/ou bônus podem ser oferecidos a qualquer funcionário na ocupação especificada, a critério exclusivo da empresa, com base em fatores individuais, incluindo desempenho no trabalho, habilidade ou tempo de serviço. Classificação do Cargo"&amp;": 37-2012.00 - Camareiras e Auxiliares de Limpeza. A classificação e descrição do cargo/setor inclui informações gerais sobre a posição, de acordo com o ONET/OES e o Sistema de Classificação Industrial da América do Norte. Consulte as Funções e a Ordem de"&amp;" Serviço para obter mais informações. Requisitos da vaga Experiência necessária: Não Requisitos especiais: Disponibilidade para trabalhar em turnos divididos, noturnos, fins de semana e feriados, conforme necessário. Capacidade de levantar, puxar, empurra"&amp;"r ou carregar até 11 kg ou mais, e caminhar ou ficar em pé por longos períodos. Boa apresentação pessoal e capacidade de se comunicar em inglês. Número de horas por semana: 35 Horário de trabalho (início/término): 7h às 23h")</f>
        <v>Limpar e manter os quartos de hóspedes, áreas comuns, banheiros e vestiários do clube, incluindo: tirar o pó e limpar os móveis; varrer, passar pano levemente e aspirar o chão; esfregar e desinfetar os banheiros; manusear roupas de cama e arrumar as camas; repor suprimentos, roupas de cama e toalhas; mover móveis, pendurar cortinas e enrolar tapetes; e ocasionalmente remover o lixo. ***F.a.5 A-H &amp; F.a.6a &amp; F.a.6b: mínimo de 35 horas semanais. Turnos e horários variam de segunda a domingo, das 7h às 23h. *** F.b.9a: Aumentos e/ou bônus podem ser oferecidos a qualquer funcionário na ocupação especificada, a critério exclusivo da empresa, com base em fatores individuais, incluindo desempenho no trabalho, habilidade ou tempo de serviço. Classificação do Cargo: 37-2012.00 - Camareiras e Auxiliares de Limpeza. A classificação e descrição do cargo/setor inclui informações gerais sobre a posição, de acordo com o ONET/OES e o Sistema de Classificação Industrial da América do Norte. Consulte as Funções e a Ordem de Serviço para obter mais informações. Requisitos da vaga Experiência necessária: Não Requisitos especiais: Disponibilidade para trabalhar em turnos divididos, noturnos, fins de semana e feriados, conforme necessário. Capacidade de levantar, puxar, empurrar ou carregar até 11 kg ou mais, e caminhar ou ficar em pé por longos períodos. Boa apresentação pessoal e capacidade de se comunicar em inglês. Número de horas por semana: 35 Horário de trabalho (início/término): 7h às 23h</v>
      </c>
    </row>
    <row r="2260" ht="20.25" customHeight="1">
      <c r="A2260" s="3" t="s">
        <v>10050</v>
      </c>
      <c r="B2260" s="3" t="s">
        <v>10040</v>
      </c>
      <c r="C2260" s="3" t="s">
        <v>10025</v>
      </c>
      <c r="D2260" s="3" t="s">
        <v>71</v>
      </c>
      <c r="E2260" s="4" t="s">
        <v>19</v>
      </c>
      <c r="F2260" s="4" t="s">
        <v>20</v>
      </c>
      <c r="G2260" s="4" t="s">
        <v>524</v>
      </c>
      <c r="H2260" s="3" t="s">
        <v>10041</v>
      </c>
      <c r="I2260" s="3" t="s">
        <v>10042</v>
      </c>
      <c r="J2260" s="4">
        <v>18.71</v>
      </c>
      <c r="K2260" s="4">
        <v>18.0</v>
      </c>
      <c r="L2260" s="3" t="s">
        <v>1206</v>
      </c>
      <c r="M2260" s="3" t="s">
        <v>10051</v>
      </c>
      <c r="N2260" s="7" t="str">
        <f>IFERROR(__xludf.DUMMYFUNCTION("GOOGLETRANSLATE(L2260, ""en"", ""pt"")"),"Servidor")</f>
        <v>Servidor</v>
      </c>
      <c r="O2260" s="7" t="str">
        <f>IFERROR(__xludf.DUMMYFUNCTION("IF(M2260="""","""",GOOGLETRANSLATE(M2260,""en"",""pt""))"),"***Original*** Servir comida, água, refrigerantes e bebidas alcoólicas. Apresentar cardápios, anotar pedidos e repassá-los à cozinha. Realizar tarefas auxiliares, limpar mesas, transportar pratos do salão para a cozinha e manter as áreas de trabalho limpa"&amp;"s. Fornecer toalhas de mesa, talheres, copos e pratos limpos no salão. Auxiliar na montagem, limpeza, abertura e fechamento do restaurante/área de alimentos e bebidas. Pode ser necessário realizar tarefas em ambientes externos, em eventos de banquetes ou "&amp;"atender clientes em carrinho de golfe. Outras tarefas razoáveis ​​relacionadas ao trabalho, conforme necessário. ***Resposta à Solicitação de Informações (RFI)*** As tarefas de montagem, limpeza, abertura e fechamento do restaurante/área de alimentos e be"&amp;"bidas podem incluir: limpar as mesas, removendo toalhas de mesa, louças e utensílios usados; arrumar as mesas com toalhas de mesa, louças e utensílios limpos; montar e desmontar buffets. Outras tarefas razoáveis ​​relacionadas ao trabalho podem incluir: s"&amp;"ervir condimentos e café; abastecer o bar de serviço com alimentos; manter o buffet abastecido com alimentos, pratos, recipientes e utensílios. ***F.a.5 A-H e F.a.6a e F.a.6b: mínimo de 35 horas semanais. Turnos e horários variam de segunda a domingo, das"&amp;" 7h às 23h. *** F.b.9a: Aumentos e/ou bônus podem ser oferecidos a qualquer funcionário na ocupação especificada, a critério exclusivo da empresa, com base em fatores individuais, incluindo desempenho, habilidades ou tempo de serviço. Classificação da vag"&amp;"a: 35-3031.00 - Garçons e Garçonetes. A classificação e descrição da vaga/setor inclui informações gerais sobre o cargo, de acordo com o ONET/OES e o Sistema de Classificação Industrial da América do Norte (NAICS). Consulte as Funções e a Ordem de Serviço"&amp;" para obter mais informações. Requisitos da vaga: Experiência necessária: Não. Requisitos especiais: Disponibilidade para trabalhar em turnos divididos, noturnos, fins de semana e feriados, conforme necessário. Capacidade de levantar, puxar, empurrar ou c"&amp;"arregar até 11 kg ou mais e caminhar ou ficar em pé por longos períodos. Boa apresentação pessoal e capacidade de se comunicar em inglês. Número de horas por semana: 35 Horário de trabalho (início/término): 7h00 - 23h00")</f>
        <v>***Original*** Servir comida, água, refrigerantes e bebidas alcoólicas. Apresentar cardápios, anotar pedidos e repassá-los à cozinha. Realizar tarefas auxiliares, limpar mesas, transportar pratos do salão para a cozinha e manter as áreas de trabalho limpas. Fornecer toalhas de mesa, talheres, copos e pratos limpos no salão. Auxiliar na montagem, limpeza, abertura e fechamento do restaurante/área de alimentos e bebidas. Pode ser necessário realizar tarefas em ambientes externos, em eventos de banquetes ou atender clientes em carrinho de golfe. Outras tarefas razoáveis ​​relacionadas ao trabalho, conforme necessário. ***Resposta à Solicitação de Informações (RFI)*** As tarefas de montagem, limpeza, abertura e fechamento do restaurante/área de alimentos e bebidas podem incluir: limpar as mesas, removendo toalhas de mesa, louças e utensílios usados; arrumar as mesas com toalhas de mesa, louças e utensílios limpos; montar e desmontar buffets. Outras tarefas razoáveis ​​relacionadas ao trabalho podem incluir: servir condimentos e café; abastecer o bar de serviço com alimentos; manter o buffet abastecido com alimentos, pratos, recipientes e utensílios. ***F.a.5 A-H e F.a.6a e F.a.6b: mínimo de 35 horas semanais. Turnos e horários variam de segunda a domingo, das 7h às 23h. *** F.b.9a: Aumentos e/ou bônus podem ser oferecidos a qualquer funcionário na ocupação especificada, a critério exclusivo da empresa, com base em fatores individuais, incluindo desempenho, habilidades ou tempo de serviço. Classificação da vaga: 35-3031.00 - Garçons e Garçonetes. A classificação e descrição da vaga/setor inclui informações gerais sobre o cargo, de acordo com o ONET/OES e o Sistema de Classificação Industrial da América do Norte (NAICS). Consulte as Funções e a Ordem de Serviço para obter mais informações. Requisitos da vaga: Experiência necessária: Não. Requisitos especiais: Disponibilidade para trabalhar em turnos divididos, noturnos, fins de semana e feriados, conforme necessário. Capacidade de levantar, puxar, empurrar ou carregar até 11 kg ou mais e caminhar ou ficar em pé por longos períodos. Boa apresentação pessoal e capacidade de se comunicar em inglês. Número de horas por semana: 35 Horário de trabalho (início/término): 7h00 - 23h00</v>
      </c>
    </row>
    <row r="2261" ht="20.25" customHeight="1">
      <c r="A2261" s="8" t="s">
        <v>10052</v>
      </c>
      <c r="B2261" s="8" t="s">
        <v>10040</v>
      </c>
      <c r="C2261" s="8" t="s">
        <v>10025</v>
      </c>
      <c r="D2261" s="8" t="s">
        <v>71</v>
      </c>
      <c r="E2261" s="9" t="s">
        <v>44</v>
      </c>
      <c r="F2261" s="9" t="s">
        <v>20</v>
      </c>
      <c r="G2261" s="9" t="s">
        <v>524</v>
      </c>
      <c r="H2261" s="8" t="s">
        <v>10041</v>
      </c>
      <c r="I2261" s="8" t="s">
        <v>10042</v>
      </c>
      <c r="J2261" s="9">
        <v>18.25</v>
      </c>
      <c r="K2261" s="9">
        <v>5.0</v>
      </c>
      <c r="L2261" s="8" t="s">
        <v>10035</v>
      </c>
      <c r="M2261" s="8" t="s">
        <v>10053</v>
      </c>
      <c r="N2261" s="7" t="str">
        <f>IFERROR(__xludf.DUMMYFUNCTION("GOOGLETRANSLATE(L2261, ""en"", ""pt"")"),"Greensman")</f>
        <v>Greensman</v>
      </c>
      <c r="O2261" s="7" t="str">
        <f>IFERROR(__xludf.DUMMYFUNCTION("IF(M2261="""","""",GOOGLETRANSLATE(M2261,""en"",""pt""))"),"Responsável pela manutenção do campo de golfe utilizando ferramentas manuais e elétricas. Os funcionários geralmente executam uma combinação das seguintes tarefas: colocação de grama, corte, poda, plantio, irrigação, adubação, escavação, rastelagem, insta"&amp;"lação de aspersores e manutenção de bunkers. ***F.a.5 A-H &amp; F.a.6a &amp; F.a.6b: mínimo de 35 horas semanais. Turnos e horários variam de segunda a domingo, das 6h às 20h.*** F.b.9a: Aumentos salariais e/ou bônus podem ser oferecidos a qualquer funcionário ne"&amp;"sta função, a critério exclusivo da empresa, com base em fatores individuais, incluindo desempenho, habilidades e tempo de serviço. Classificação da função: 37-3011.00 - Trabalhadores de Paisagismo e Manutenção de Jardins. A classificação e descrição da f"&amp;"unção/setor inclui informações gerais sobre o cargo, de acordo com o ONET/OES e o Sistema de Classificação Industrial da América do Norte (NAICS). Consulte as Funções e a Ordem de Serviço para obter mais informações. Requisitos da vaga Experiência necessá"&amp;"ria: Não Requisitos especiais: Disponibilidade para trabalhar em turnos divididos, noturnos, fins de semana e feriados, conforme necessário. Capacidade de levantar, puxar, empurrar ou carregar até 11 kg ou mais, e caminhar ou ficar em pé por longos períod"&amp;"os. Boa apresentação pessoal e capacidade de se comunicar em inglês. Número de horas por semana: 35 Horário de trabalho (início/término): 6h às 20h")</f>
        <v>Responsável pela manutenção do campo de golfe utilizando ferramentas manuais e elétricas. Os funcionários geralmente executam uma combinação das seguintes tarefas: colocação de grama, corte, poda, plantio, irrigação, adubação, escavação, rastelagem, instalação de aspersores e manutenção de bunkers. ***F.a.5 A-H &amp; F.a.6a &amp; F.a.6b: mínimo de 35 horas semanais. Turnos e horários variam de segunda a domingo, das 6h às 20h.*** F.b.9a: Aumentos salariais e/ou bônus podem ser oferecidos a qualquer funcionário nesta função, a critério exclusivo da empresa, com base em fatores individuais, incluindo desempenho, habilidades e tempo de serviço. Classificação da função: 37-3011.00 - Trabalhadores de Paisagismo e Manutenção de Jardins. A classificação e descrição da função/setor inclui informações gerais sobre o cargo, de acordo com o ONET/OES e o Sistema de Classificação Industrial da América do Norte (NAICS). Consulte as Funções e a Ordem de Serviço para obter mais informações. Requisitos da vaga Experiência necessária: Não Requisitos especiais: Disponibilidade para trabalhar em turnos divididos, noturnos, fins de semana e feriados, conforme necessário. Capacidade de levantar, puxar, empurrar ou carregar até 11 kg ou mais, e caminhar ou ficar em pé por longos períodos. Boa apresentação pessoal e capacidade de se comunicar em inglês. Número de horas por semana: 35 Horário de trabalho (início/término): 6h às 20h</v>
      </c>
    </row>
    <row r="2262" ht="20.25" customHeight="1">
      <c r="A2262" s="3" t="s">
        <v>10054</v>
      </c>
      <c r="B2262" s="3" t="s">
        <v>10055</v>
      </c>
      <c r="C2262" s="3" t="s">
        <v>10025</v>
      </c>
      <c r="D2262" s="3" t="s">
        <v>71</v>
      </c>
      <c r="E2262" s="4" t="s">
        <v>19</v>
      </c>
      <c r="F2262" s="4" t="s">
        <v>20</v>
      </c>
      <c r="G2262" s="4" t="s">
        <v>524</v>
      </c>
      <c r="H2262" s="3" t="s">
        <v>10056</v>
      </c>
      <c r="I2262" s="3" t="s">
        <v>10057</v>
      </c>
      <c r="J2262" s="4">
        <v>19.51</v>
      </c>
      <c r="K2262" s="4">
        <v>2.0</v>
      </c>
      <c r="L2262" s="3" t="s">
        <v>1684</v>
      </c>
      <c r="M2262" s="3" t="s">
        <v>10058</v>
      </c>
      <c r="N2262" s="7" t="str">
        <f>IFERROR(__xludf.DUMMYFUNCTION("GOOGLETRANSLATE(L2262, ""en"", ""pt"")"),"Barman")</f>
        <v>Barman</v>
      </c>
      <c r="O2262" s="7" t="str">
        <f>IFERROR(__xludf.DUMMYFUNCTION("IF(M2262="""","""",GOOGLETRANSLATE(M2262,""en"",""pt""))"),"Anotar pedidos de bebidas. Preparar e servir drinks. Limpar copos e equipamentos de bar. Manter a área do bar limpa e abastecida. Pode ser necessário anotar e servir pedidos de comida. Solicitar e exibir bebidas alcoólicas e suprimentos. Pode executar out"&amp;"ras tarefas razoáveis ​​relacionadas ao trabalho, conforme necessário. ***F.a.5 A-H &amp; F.a.6a &amp; F.a.6b Mínimo de 35 horas/semana. Turnos e horários variam de segunda a domingo, das 7h às 23h. *** F.b.9a: Aumentos e/ou bônus podem ser oferecidos a qualquer "&amp;"funcionário na ocupação especificada, a critério exclusivo da empresa, com base em fatores individuais, incluindo desempenho no trabalho, habilidade ou tempo de serviço. Classificação do Cargo: 35-3011.00 - Bartenders. A classificação e descrição do cargo"&amp;"/setor inclui informações gerais sobre a posição, de acordo com o ONET/OES e o Sistema de Classificação Industrial da América do Norte. Consulte as Funções e a Ordem de Serviço para obter mais informações. Requisitos da vaga Experiência necessária: Não Re"&amp;"quisitos especiais: Exame toxicológico e verificação de antecedentes criminais antes da contratação, realizados igualmente para trabalhadores americanos e trabalhadores com visto H-2B. Disponibilidade para trabalhar em turnos divididos, noturnos, fins de "&amp;"semana e feriados, conforme necessário. Capacidade de levantar, puxar, empurrar ou carregar até 11 kg ou mais, e caminhar ou ficar em pé por longos períodos. Boa apresentação pessoal e capacidade de se comunicar em inglês. Número de horas por semana: 35 H"&amp;"orário de trabalho (início/término): 7h às 23h")</f>
        <v>Anotar pedidos de bebidas. Preparar e servir drinks. Limpar copos e equipamentos de bar. Manter a área do bar limpa e abastecida. Pode ser necessário anotar e servir pedidos de comida. Solicitar e exibir bebidas alcoólicas e suprimentos. Pode executar outras tarefas razoáveis ​​relacionadas ao trabalho, conforme necessário. ***F.a.5 A-H &amp; F.a.6a &amp; F.a.6b Mínimo de 35 horas/semana. Turnos e horários variam de segunda a domingo, das 7h às 23h. *** F.b.9a: Aumentos e/ou bônus podem ser oferecidos a qualquer funcionário na ocupação especificada, a critério exclusivo da empresa, com base em fatores individuais, incluindo desempenho no trabalho, habilidade ou tempo de serviço. Classificação do Cargo: 35-3011.00 - Bartenders. A classificação e descrição do cargo/setor inclui informações gerais sobre a posição, de acordo com o ONET/OES e o Sistema de Classificação Industrial da América do Norte. Consulte as Funções e a Ordem de Serviço para obter mais informações. Requisitos da vaga Experiência necessária: Não Requisitos especiais: Exame toxicológico e verificação de antecedentes criminais antes da contratação, realizados igualmente para trabalhadores americanos e trabalhadores com visto H-2B. Disponibilidade para trabalhar em turnos divididos, noturnos, fins de semana e feriados, conforme necessário. Capacidade de levantar, puxar, empurrar ou carregar até 11 kg ou mais, e caminhar ou ficar em pé por longos períodos. Boa apresentação pessoal e capacidade de se comunicar em inglês. Número de horas por semana: 35 Horário de trabalho (início/término): 7h às 23h</v>
      </c>
    </row>
    <row r="2263" ht="20.25" customHeight="1">
      <c r="A2263" s="8" t="s">
        <v>10059</v>
      </c>
      <c r="B2263" s="8" t="s">
        <v>10055</v>
      </c>
      <c r="C2263" s="8" t="s">
        <v>10025</v>
      </c>
      <c r="D2263" s="8" t="s">
        <v>71</v>
      </c>
      <c r="E2263" s="9" t="s">
        <v>19</v>
      </c>
      <c r="F2263" s="9" t="s">
        <v>20</v>
      </c>
      <c r="G2263" s="9" t="s">
        <v>524</v>
      </c>
      <c r="H2263" s="8" t="s">
        <v>10056</v>
      </c>
      <c r="I2263" s="8" t="s">
        <v>10057</v>
      </c>
      <c r="J2263" s="9">
        <v>17.91</v>
      </c>
      <c r="K2263" s="9">
        <v>2.0</v>
      </c>
      <c r="L2263" s="8" t="s">
        <v>10060</v>
      </c>
      <c r="M2263" s="8" t="s">
        <v>10061</v>
      </c>
      <c r="N2263" s="7" t="str">
        <f>IFERROR(__xludf.DUMMYFUNCTION("GOOGLETRANSLATE(L2263, ""en"", ""pt"")"),"Anfitrião/Anfitriã")</f>
        <v>Anfitrião/Anfitriã</v>
      </c>
      <c r="O2263" s="7" t="str">
        <f>IFERROR(__xludf.DUMMYFUNCTION("IF(M2263="""","""",GOOGLETRANSLATE(M2263,""en"",""pt""))"),"***Original*** Recepciona, acompanha e entrega os cardápios aos clientes; auxilia na limpeza/polimento diversos, etc., conforme necessário. Pode executar outras tarefas razoáveis ​​relacionadas ao trabalho, conforme necessário. ***Resposta à RFI*** Durant"&amp;"e períodos de grande movimento no restaurante, pode auxiliar a equipe de serviço na retirada de toalhas e utensílios usados ​​das mesas. Se necessário, também pode auxiliar na remoção de manchas de água de copos ou talheres usando um pano de microfibra se"&amp;"m fiapos. Outras tarefas razoáveis ​​relacionadas ao trabalho podem incluir: alocar os clientes em mesas adequadas às suas necessidades, preferências de localização e de acordo com a escala; interagir com os clientes para garantir a satisfação com a comid"&amp;"a e o serviço; manter contato com a equipe de serviço, a equipe da cozinha e a gerência para garantir uma excelente experiência gastronômica para os clientes. ***F.a.5 A-H e F.a.6a e F.a.6b Mínimo de 35 horas/semana. Turnos e horários variam de segunda a "&amp;"domingo, das 7h às 23h. *** F.b.9a: Aumentos e/ou bônus podem ser oferecidos a qualquer funcionário na ocupação especificada, a critério exclusivo da empresa, com base em fatores individuais, incluindo desempenho no trabalho, habilidade ou tempo de serviç"&amp;"o. Classificação do Cargo: 35-9011.00 - Atendentes de Refeitório e Cafeteria e Auxiliares de Bar. A classificação e descrição do cargo/setor inclui informações gerais sobre a posição, de acordo com o ONET/OES e o Sistema de Classificação Industrial da Amé"&amp;"rica do Norte (NAICS). Consulte as Funções e a Ordem de Serviço para obter mais informações. Requisitos do Cargo Experiência Necessária: Não. Requisitos Especiais: Exame toxicológico e verificação de antecedentes criminais pré-admissional, realizados igua"&amp;"lmente entre trabalhadores americanos e trabalhadores com visto H-2B. Disponibilidade para trabalhar em turnos divididos, noturnos, fins de semana e feriados, conforme necessário. Capacidade de levantar, puxar, empurrar ou carregar até 11 kg ou mais e cam"&amp;"inhar ou ficar em pé por longos períodos. Boa apresentação pessoal e capacidade de se comunicar em inglês. Número de Horas por Semana: 35. Horário de Trabalho (Início/Término): 7h. - 23:00")</f>
        <v>***Original*** Recepciona, acompanha e entrega os cardápios aos clientes; auxilia na limpeza/polimento diversos, etc., conforme necessário. Pode executar outras tarefas razoáveis ​​relacionadas ao trabalho, conforme necessário. ***Resposta à RFI*** Durante períodos de grande movimento no restaurante, pode auxiliar a equipe de serviço na retirada de toalhas e utensílios usados ​​das mesas. Se necessário, também pode auxiliar na remoção de manchas de água de copos ou talheres usando um pano de microfibra sem fiapos. Outras tarefas razoáveis ​​relacionadas ao trabalho podem incluir: alocar os clientes em mesas adequadas às suas necessidades, preferências de localização e de acordo com a escala; interagir com os clientes para garantir a satisfação com a comida e o serviço; manter contato com a equipe de serviço, a equipe da cozinha e a gerência para garantir uma excelente experiência gastronômica para os clientes. ***F.a.5 A-H e F.a.6a e F.a.6b Mínimo de 35 horas/semana. Turnos e horários variam de segunda a domingo, das 7h às 23h. *** F.b.9a: Aumentos e/ou bônus podem ser oferecidos a qualquer funcionário na ocupação especificada, a critério exclusivo da empresa, com base em fatores individuais, incluindo desempenho no trabalho, habilidade ou tempo de serviço. Classificação do Cargo: 35-9011.00 - Atendentes de Refeitório e Cafeteria e Auxiliares de Bar. A classificação e descrição do cargo/setor inclui informações gerais sobre a posição, de acordo com o ONET/OES e o Sistema de Classificação Industrial da América do Norte (NAICS). Consulte as Funções e a Ordem de Serviço para obter mais informações. Requisitos do Cargo Experiência Necessária: Não. Requisitos Especiais: Exame toxicológico e verificação de antecedentes criminais pré-admissional, realizados igualmente entre trabalhadores americanos e trabalhadores com visto H-2B. Disponibilidade para trabalhar em turnos divididos, noturnos, fins de semana e feriados, conforme necessário. Capacidade de levantar, puxar, empurrar ou carregar até 11 kg ou mais e caminhar ou ficar em pé por longos períodos. Boa apresentação pessoal e capacidade de se comunicar em inglês. Número de Horas por Semana: 35. Horário de Trabalho (Início/Término): 7h. - 23:00</v>
      </c>
    </row>
    <row r="2264" ht="20.25" customHeight="1">
      <c r="A2264" s="3" t="s">
        <v>10062</v>
      </c>
      <c r="B2264" s="3" t="s">
        <v>10055</v>
      </c>
      <c r="C2264" s="3" t="s">
        <v>10025</v>
      </c>
      <c r="D2264" s="3" t="s">
        <v>71</v>
      </c>
      <c r="E2264" s="4" t="s">
        <v>19</v>
      </c>
      <c r="F2264" s="4" t="s">
        <v>20</v>
      </c>
      <c r="G2264" s="4" t="s">
        <v>524</v>
      </c>
      <c r="H2264" s="3" t="s">
        <v>10056</v>
      </c>
      <c r="I2264" s="3" t="s">
        <v>10057</v>
      </c>
      <c r="J2264" s="4">
        <v>22.56</v>
      </c>
      <c r="K2264" s="4">
        <v>4.0</v>
      </c>
      <c r="L2264" s="3" t="s">
        <v>3315</v>
      </c>
      <c r="M2264" s="3" t="s">
        <v>10063</v>
      </c>
      <c r="N2264" s="7" t="str">
        <f>IFERROR(__xludf.DUMMYFUNCTION("GOOGLETRANSLATE(L2264, ""en"", ""pt"")"),"Supervisor do refeitório")</f>
        <v>Supervisor do refeitório</v>
      </c>
      <c r="O2264" s="7" t="str">
        <f>IFERROR(__xludf.DUMMYFUNCTION("IF(M2264="""","""",GOOGLETRANSLATE(M2264,""en"",""pt""))"),"Supervisionar e coordenar as atividades da equipe do salão durante a preparação, o serviço e a limpeza. Treinar novos funcionários de serviço de alimentos e bebidas. Auxiliar no serviço de alimentos e bebidas conforme necessário, especialmente no atendime"&amp;"nto a convidados especiais e VIPs. Garantir que o mais alto nível de serviço seja prestado pela equipe de atendimento do clube. Manter contato com a equipe da cozinha, a gerência e a equipe de atendimento, e construir/manter um bom relacionamento com os m"&amp;"embros do clube. Elaborar a escala de trabalho da equipe. Planejar festas ou outros eventos e serviços especiais, conforme necessário. Outras responsabilidades razoáveis ​​relacionadas ao cargo poderão ser atribuídas, conforme necessário. ***F.a.5 A-H &amp; F"&amp;".a.6a &amp; F.a.6b: mínimo de 35 horas semanais. Turnos e horários variam de segunda a domingo, das 7h às 23h. *** F.b.9a: Aumentos e/ou bônus podem ser oferecidos a qualquer funcionário na função especificada, a critério exclusivo da empresa, com base em fat"&amp;"ores individuais, incluindo desempenho, habilidades ou tempo de serviço. Classificação da Função: 35-1012.00 - Supervisores de Primeira Linha de Preparadores e Servidores de Alimentos. A classificação e descrição da função/setor inclui informações gerais "&amp;"sobre o cargo, conforme o ONET/OES e o Sistema de Classificação Industrial da América do Norte (NAICS). Consulte as Funções e a Ordem de Serviço para obter mais informações. Requisitos da Função Experiência Necessária: Não. Requisitos Especiais: Exame tox"&amp;"icológico e verificação de antecedentes criminais pré-admissional, realizados igualmente para trabalhadores americanos e trabalhadores com visto H-2B. Disponibilidade para trabalhar em turnos divididos, noturnos, fins de semana e feriados, conforme necess"&amp;"ário. Capacidade de levantar, puxar, empurrar ou carregar até 11 kg ou mais, e caminhar ou ficar em pé por longos períodos. Boa apresentação pessoal e capacidade de se comunicar em inglês. Número de Horas por Semana: 35. Horário de Trabalho (Início/Términ"&amp;"o): 7h às 23h.")</f>
        <v>Supervisionar e coordenar as atividades da equipe do salão durante a preparação, o serviço e a limpeza. Treinar novos funcionários de serviço de alimentos e bebidas. Auxiliar no serviço de alimentos e bebidas conforme necessário, especialmente no atendimento a convidados especiais e VIPs. Garantir que o mais alto nível de serviço seja prestado pela equipe de atendimento do clube. Manter contato com a equipe da cozinha, a gerência e a equipe de atendimento, e construir/manter um bom relacionamento com os membros do clube. Elaborar a escala de trabalho da equipe. Planejar festas ou outros eventos e serviços especiais, conforme necessário. Outras responsabilidades razoáveis ​​relacionadas ao cargo poderão ser atribuídas, conforme necessário. ***F.a.5 A-H &amp; F.a.6a &amp; F.a.6b: mínimo de 35 horas semanais. Turnos e horários variam de segunda a domingo, das 7h às 23h. *** F.b.9a: Aumentos e/ou bônus podem ser oferecidos a qualquer funcionário na função especificada, a critério exclusivo da empresa, com base em fatores individuais, incluindo desempenho, habilidades ou tempo de serviço. Classificação da Função: 35-1012.00 - Supervisores de Primeira Linha de Preparadores e Servidores de Alimentos. A classificação e descrição da função/setor inclui informações gerais sobre o cargo, conforme o ONET/OES e o Sistema de Classificação Industrial da América do Norte (NAICS). Consulte as Funções e a Ordem de Serviço para obter mais informações. Requisitos da Função Experiência Necessária: Não. Requisitos Especiais: Exame toxicológico e verificação de antecedentes criminais pré-admissional, realizados igualmente para trabalhadores americanos e trabalhadores com visto H-2B. Disponibilidade para trabalhar em turnos divididos, noturnos, fins de semana e feriados, conforme necessário. Capacidade de levantar, puxar, empurrar ou carregar até 11 kg ou mais, e caminhar ou ficar em pé por longos períodos. Boa apresentação pessoal e capacidade de se comunicar em inglês. Número de Horas por Semana: 35. Horário de Trabalho (Início/Término): 7h às 23h.</v>
      </c>
    </row>
    <row r="2265" ht="20.25" customHeight="1">
      <c r="A2265" s="8" t="s">
        <v>10064</v>
      </c>
      <c r="B2265" s="8" t="s">
        <v>10055</v>
      </c>
      <c r="C2265" s="8" t="s">
        <v>10025</v>
      </c>
      <c r="D2265" s="8" t="s">
        <v>71</v>
      </c>
      <c r="E2265" s="9" t="s">
        <v>19</v>
      </c>
      <c r="F2265" s="9" t="s">
        <v>20</v>
      </c>
      <c r="G2265" s="9" t="s">
        <v>524</v>
      </c>
      <c r="H2265" s="8" t="s">
        <v>10056</v>
      </c>
      <c r="I2265" s="8" t="s">
        <v>10057</v>
      </c>
      <c r="J2265" s="9">
        <v>15.94</v>
      </c>
      <c r="K2265" s="9">
        <v>5.0</v>
      </c>
      <c r="L2265" s="8" t="s">
        <v>5723</v>
      </c>
      <c r="M2265" s="8" t="s">
        <v>10065</v>
      </c>
      <c r="N2265" s="7" t="str">
        <f>IFERROR(__xludf.DUMMYFUNCTION("GOOGLETRANSLATE(L2265, ""en"", ""pt"")"),"Atendente de Recreação")</f>
        <v>Atendente de Recreação</v>
      </c>
      <c r="O2265" s="7" t="str">
        <f>IFERROR(__xludf.DUMMYFUNCTION("IF(M2265="""","""",GOOGLETRANSLATE(M2265,""en"",""pt""))"),"***Original*** Prestar assistência nas instalações de golfe/esportes/clube, incluindo: recepcionar os sócios; confirmar reservas; responder a perguntas; organizar mercadorias e fornecer informações sobre as instalações; carregar/descarregar sacos de golfe"&amp;"; manusear/limpar/manter carrinhos de golfe, sacos, tacos e sapatos; manter o galpão de carrinhos e a área de espera organizados e abastecidos com bolas de golfe limpas, gelo, copos e coolers de bebidas; remoção ocasional de lixo e limpeza de banheiros; t"&amp;"ransportar equipamentos de golfe ou esportivos e veículos dos sócios de e para as instalações do clube; executar outras tarefas relacionadas, conforme atribuídas. ***Resposta à RFI*** Ocasionalmente, dirigir os veículos dos sócios da área de entrega de sa"&amp;"cos de golfe até o serviço de manobrista do clube ou vice-versa. Outras tarefas relacionadas podem incluir: coletar bolas de golfe do campo de prática, lavar bolas de golfe e mantê-las prontas para reposição; reabastecer os bebedouros para os jogadores no"&amp;" campo de golfe quando necessário. ***F.a.5 A-H e F.a.6a e F.a.6b Mínimo de 35 horas/semana. Turnos e horários variam de segunda a domingo, das 7h às 23h. *** F.b.9a: Aumentos e/ou bônus podem ser oferecidos a qualquer trabalhador na ocupação especificada"&amp;", a critério exclusivo da empresa, com base em fatores individuais, incluindo desempenho no trabalho, habilidade ou tempo de serviço. Classificação do Cargo: 37-2011.00 - Zeladores e Faxineiros, exceto Empregadas Domésticas e Faxineiros. A classificação e"&amp;" descrição do cargo/setor inclui informações gerais sobre a posição, de acordo com o ONET/OES e o Sistema de Classificação Industrial da América do Norte. Consulte as Funções e a Ordem de Serviço para obter mais informações. Requisitos do Cargo Experiênci"&amp;"a Necessária: Não. Requisitos Especiais: Teste antidrogas e verificação de antecedentes criminais pré-admissional, realizados igualmente entre trabalhadores americanos e trabalhadores com visto H-2B. Disponibilidade para trabalhar em turnos divididos, not"&amp;"urnos, fins de semana e feriados, conforme necessário. Capacidade de levantar, puxar, empurrar ou carregar até 11 kg ou mais e caminhar ou ficar em pé por longos períodos. Boa apresentação pessoal e capacidade de se comunicar em inglês. Número de Horas po"&amp;"r Semana: 35. Horário de Trabalho (Início/Término): 7h. - 23:00")</f>
        <v>***Original*** Prestar assistência nas instalações de golfe/esportes/clube, incluindo: recepcionar os sócios; confirmar reservas; responder a perguntas; organizar mercadorias e fornecer informações sobre as instalações; carregar/descarregar sacos de golfe; manusear/limpar/manter carrinhos de golfe, sacos, tacos e sapatos; manter o galpão de carrinhos e a área de espera organizados e abastecidos com bolas de golfe limpas, gelo, copos e coolers de bebidas; remoção ocasional de lixo e limpeza de banheiros; transportar equipamentos de golfe ou esportivos e veículos dos sócios de e para as instalações do clube; executar outras tarefas relacionadas, conforme atribuídas. ***Resposta à RFI*** Ocasionalmente, dirigir os veículos dos sócios da área de entrega de sacos de golfe até o serviço de manobrista do clube ou vice-versa. Outras tarefas relacionadas podem incluir: coletar bolas de golfe do campo de prática, lavar bolas de golfe e mantê-las prontas para reposição; reabastecer os bebedouros para os jogadores no campo de golfe quando necessário. ***F.a.5 A-H e F.a.6a e F.a.6b Mínimo de 35 horas/semana. Turnos e horários variam de segunda a domingo, das 7h às 23h. *** F.b.9a: Aumentos e/ou bônus podem ser oferecidos a qualquer trabalhador na ocupação especificada, a critério exclusivo da empresa, com base em fatores individuais, incluindo desempenho no trabalho, habilidade ou tempo de serviço. Classificação do Cargo: 37-2011.00 - Zeladores e Faxineiros, exceto Empregadas Domésticas e Faxineiros. A classificação e descrição do cargo/setor inclui informações gerais sobre a posição, de acordo com o ONET/OES e o Sistema de Classificação Industrial da América do Norte. Consulte as Funções e a Ordem de Serviço para obter mais informações. Requisitos do Cargo Experiência Necessária: Não. Requisitos Especiais: Teste antidrogas e verificação de antecedentes criminais pré-admissional, realizados igualmente entre trabalhadores americanos e trabalhadores com visto H-2B. Disponibilidade para trabalhar em turnos divididos, noturnos, fins de semana e feriados, conforme necessário. Capacidade de levantar, puxar, empurrar ou carregar até 11 kg ou mais e caminhar ou ficar em pé por longos períodos. Boa apresentação pessoal e capacidade de se comunicar em inglês. Número de Horas por Semana: 35. Horário de Trabalho (Início/Término): 7h. - 23:00</v>
      </c>
    </row>
    <row r="2266" ht="20.25" customHeight="1">
      <c r="A2266" s="3" t="s">
        <v>10066</v>
      </c>
      <c r="B2266" s="3" t="s">
        <v>10055</v>
      </c>
      <c r="C2266" s="3" t="s">
        <v>10025</v>
      </c>
      <c r="D2266" s="3" t="s">
        <v>71</v>
      </c>
      <c r="E2266" s="4" t="s">
        <v>19</v>
      </c>
      <c r="F2266" s="4" t="s">
        <v>20</v>
      </c>
      <c r="G2266" s="4" t="s">
        <v>524</v>
      </c>
      <c r="H2266" s="3" t="s">
        <v>10056</v>
      </c>
      <c r="I2266" s="3" t="s">
        <v>10057</v>
      </c>
      <c r="J2266" s="4">
        <v>18.71</v>
      </c>
      <c r="K2266" s="4">
        <v>16.0</v>
      </c>
      <c r="L2266" s="3" t="s">
        <v>1206</v>
      </c>
      <c r="M2266" s="3" t="s">
        <v>10067</v>
      </c>
      <c r="N2266" s="7" t="str">
        <f>IFERROR(__xludf.DUMMYFUNCTION("GOOGLETRANSLATE(L2266, ""en"", ""pt"")"),"Servidor")</f>
        <v>Servidor</v>
      </c>
      <c r="O2266" s="7" t="str">
        <f>IFERROR(__xludf.DUMMYFUNCTION("IF(M2266="""","""",GOOGLETRANSLATE(M2266,""en"",""pt""))"),"***Original*** Servir comida, água, refrigerantes e bebidas alcoólicas. Apresentar cardápios, anotar pedidos e repassá-los à cozinha. Realizar tarefas auxiliares, limpar mesas, transportar pratos do salão para a cozinha e manter as áreas de trabalho limpa"&amp;"s. Fornecer toalhas de mesa, talheres, copos e pratos limpos no salão. Auxiliar na montagem, limpeza, abertura e fechamento do restaurante/área de alimentos e bebidas. Pode ser necessário realizar tarefas em ambientes externos, em eventos de banquetes ou "&amp;"atender clientes em carrinho de golfe. Outras tarefas razoáveis ​​relacionadas ao trabalho, conforme necessário. ***Resposta à Solicitação de Informações (RFI)*** As tarefas de montagem, limpeza, abertura e fechamento do restaurante/área de alimentos e be"&amp;"bidas podem incluir: limpar as mesas, removendo toalhas de mesa, louças e utensílios usados; arrumar as mesas com toalhas de mesa, louças e utensílios limpos; montar e desmontar buffets. Outras tarefas razoáveis ​​relacionadas ao trabalho podem incluir: s"&amp;"ervir condimentos e café; abastecer o bar de serviço com alimentos; manter o buffet abastecido com alimentos, pratos, recipientes e utensílios. ***F.a.5 A-H e F.a.6a e F.a.6b: mínimo de 35 horas semanais. Turnos e horários variam de segunda a domingo, das"&amp;" 7h às 23h. *** F.b.9a: Aumentos e/ou bônus podem ser oferecidos a qualquer funcionário na ocupação especificada, a critério exclusivo da empresa, com base em fatores individuais, incluindo desempenho, habilidades ou tempo de serviço. Classificação da vag"&amp;"a: 35-3031.00 - Garçons e Garçonetes. A classificação e descrição da vaga/setor inclui informações gerais sobre o cargo, de acordo com o ONET/OES e o Sistema de Classificação Industrial da América do Norte (NAICS). Consulte as Funções e a Ordem de Serviço"&amp;" para obter mais informações. Requisitos da vaga: Experiência exigida: Não. Requisitos especiais: Exame toxicológico e verificação de antecedentes criminais pré-admissional, realizados igualmente para funcionários americanos e trabalhadores com visto H-2B"&amp;". Disponibilidade para trabalhar em turnos divididos, noturnos, fins de semana e feriados, conforme necessário. Deve ser capaz de levantar, puxar, empurrar ou carregar até 11 kg ou mais, e caminhar ou ficar em pé por longos períodos. Boa apresentação pess"&amp;"oal e capacidade de se comunicar em inglês. Número de horas por semana: 35. Horário de trabalho (início/término): 7h às 23h.")</f>
        <v>***Original*** Servir comida, água, refrigerantes e bebidas alcoólicas. Apresentar cardápios, anotar pedidos e repassá-los à cozinha. Realizar tarefas auxiliares, limpar mesas, transportar pratos do salão para a cozinha e manter as áreas de trabalho limpas. Fornecer toalhas de mesa, talheres, copos e pratos limpos no salão. Auxiliar na montagem, limpeza, abertura e fechamento do restaurante/área de alimentos e bebidas. Pode ser necessário realizar tarefas em ambientes externos, em eventos de banquetes ou atender clientes em carrinho de golfe. Outras tarefas razoáveis ​​relacionadas ao trabalho, conforme necessário. ***Resposta à Solicitação de Informações (RFI)*** As tarefas de montagem, limpeza, abertura e fechamento do restaurante/área de alimentos e bebidas podem incluir: limpar as mesas, removendo toalhas de mesa, louças e utensílios usados; arrumar as mesas com toalhas de mesa, louças e utensílios limpos; montar e desmontar buffets. Outras tarefas razoáveis ​​relacionadas ao trabalho podem incluir: servir condimentos e café; abastecer o bar de serviço com alimentos; manter o buffet abastecido com alimentos, pratos, recipientes e utensílios. ***F.a.5 A-H e F.a.6a e F.a.6b: mínimo de 35 horas semanais. Turnos e horários variam de segunda a domingo, das 7h às 23h. *** F.b.9a: Aumentos e/ou bônus podem ser oferecidos a qualquer funcionário na ocupação especificada, a critério exclusivo da empresa, com base em fatores individuais, incluindo desempenho, habilidades ou tempo de serviço. Classificação da vaga: 35-3031.00 - Garçons e Garçonetes. A classificação e descrição da vaga/setor inclui informações gerais sobre o cargo, de acordo com o ONET/OES e o Sistema de Classificação Industrial da América do Norte (NAICS). Consulte as Funções e a Ordem de Serviço para obter mais informações. Requisitos da vaga: Experiência exigida: Não. Requisitos especiais: Exame toxicológico e verificação de antecedentes criminais pré-admissional, realizados igualmente para funcionários americanos e trabalhadores com visto H-2B. Disponibilidade para trabalhar em turnos divididos, noturnos, fins de semana e feriados, conforme necessário. Deve ser capaz de levantar, puxar, empurrar ou carregar até 11 kg ou mais, e caminhar ou ficar em pé por longos períodos. Boa apresentação pessoal e capacidade de se comunicar em inglês. Número de horas por semana: 35. Horário de trabalho (início/término): 7h às 23h.</v>
      </c>
    </row>
    <row r="2267" ht="20.25" customHeight="1">
      <c r="A2267" s="8" t="s">
        <v>10068</v>
      </c>
      <c r="B2267" s="8" t="s">
        <v>10055</v>
      </c>
      <c r="C2267" s="8" t="s">
        <v>10025</v>
      </c>
      <c r="D2267" s="8" t="s">
        <v>71</v>
      </c>
      <c r="E2267" s="9" t="s">
        <v>19</v>
      </c>
      <c r="F2267" s="9" t="s">
        <v>20</v>
      </c>
      <c r="G2267" s="9" t="s">
        <v>524</v>
      </c>
      <c r="H2267" s="8" t="s">
        <v>10056</v>
      </c>
      <c r="I2267" s="8" t="s">
        <v>10057</v>
      </c>
      <c r="J2267" s="9">
        <v>17.91</v>
      </c>
      <c r="K2267" s="9">
        <v>6.0</v>
      </c>
      <c r="L2267" s="8" t="s">
        <v>5135</v>
      </c>
      <c r="M2267" s="8" t="s">
        <v>10069</v>
      </c>
      <c r="N2267" s="7" t="str">
        <f>IFERROR(__xludf.DUMMYFUNCTION("GOOGLETRANSLATE(L2267, ""en"", ""pt"")"),"Assistente de Garçom")</f>
        <v>Assistente de Garçom</v>
      </c>
      <c r="O2267" s="7" t="str">
        <f>IFERROR(__xludf.DUMMYFUNCTION("IF(M2267="""","""",GOOGLETRANSLATE(M2267,""en"",""pt""))"),"***Original*** Auxiliar no serviço de alimentação. Limpar e retirar toalhas de mesa, louças e utensílios usados. Arrumar as mesas; repor o estoque de toalhas de mesa, louças e utensílios limpos. Abastecer o bar de serviço com alimentos. Servir água, condi"&amp;"mentos e café. Levar os alimentos da cozinha para as mesas dos clientes. Auxiliar na montagem e desmontagem do buffet e mantê-lo abastecido com alimentos, pratos, recipientes e utensílios. Pode executar outras tarefas razoáveis ​​relacionadas ao trabalho,"&amp;" conforme necessário. ***Resposta à RFI*** As tarefas de montagem do buffet incluem: colocar toalhas de mesa limpas sobre o buffet; organizar pratos, recipientes e utensílios limpos no buffet; levar os pratos da cozinha e organizá-los no buffet. As tarefa"&amp;"s de desmontagem do buffet incluem remover pratos, recipientes, utensílios e toalhas de mesa usadas restantes e levá-los de volta para a cozinha. Outras tarefas relacionadas podem incluir: manter as áreas de serviço de alimentação limpas durante o atendim"&amp;"ento, levar pratos do salão para a cozinha. ***F.a.5 A-H &amp; F.a.6a &amp; F.a.6b 35 horas/semana no mínimo. Turnos e horários variam de segunda a domingo, das 7h às 23h. *** F.b.9a: Aumentos e/ou bônus podem ser oferecidos a qualquer funcionário na ocupação esp"&amp;"ecificada, a critério exclusivo da empresa, com base em fatores individuais, incluindo desempenho no trabalho, habilidade ou tempo de serviço. Classificação do Cargo: 35-9011.00 - Atendentes de Refeitório e Cafeteria e Auxiliares de Bar. A classificação e"&amp;" descrição do cargo/setor inclui informações gerais sobre a posição, de acordo com o ONET/OES e o Sistema de Classificação Industrial da América do Norte (NAICS). Consulte as Funções e a Ordem de Serviço para obter mais informações. Requisitos do Cargo Ex"&amp;"periência Necessária: Não. Requisitos Especiais: Exame toxicológico e verificação de antecedentes criminais pré-admissional, realizados igualmente para funcionários americanos e trabalhadores com visto H-2B. Disponibilidade para trabalhar em turnos dividi"&amp;"dos, noturnos, fins de semana e feriados, conforme necessário. Capacidade de levantar, puxar, empurrar ou carregar até 11 kg ou mais e caminhar ou ficar em pé por longos períodos. Boa apresentação pessoal e capacidade de se comunicar em inglês. Número de "&amp;"horas por semana: 35 Horário de trabalho (início/término): 7h00 - 23h00")</f>
        <v>***Original*** Auxiliar no serviço de alimentação. Limpar e retirar toalhas de mesa, louças e utensílios usados. Arrumar as mesas; repor o estoque de toalhas de mesa, louças e utensílios limpos. Abastecer o bar de serviço com alimentos. Servir água, condimentos e café. Levar os alimentos da cozinha para as mesas dos clientes. Auxiliar na montagem e desmontagem do buffet e mantê-lo abastecido com alimentos, pratos, recipientes e utensílios. Pode executar outras tarefas razoáveis ​​relacionadas ao trabalho, conforme necessário. ***Resposta à RFI*** As tarefas de montagem do buffet incluem: colocar toalhas de mesa limpas sobre o buffet; organizar pratos, recipientes e utensílios limpos no buffet; levar os pratos da cozinha e organizá-los no buffet. As tarefas de desmontagem do buffet incluem remover pratos, recipientes, utensílios e toalhas de mesa usadas restantes e levá-los de volta para a cozinha. Outras tarefas relacionadas podem incluir: manter as áreas de serviço de alimentação limpas durante o atendimento, levar pratos do salão para a cozinha. ***F.a.5 A-H &amp; F.a.6a &amp; F.a.6b 35 horas/semana no mínimo. Turnos e horários variam de segunda a domingo, das 7h às 23h. *** F.b.9a: Aumentos e/ou bônus podem ser oferecidos a qualquer funcionário na ocupação especificada, a critério exclusivo da empresa, com base em fatores individuais, incluindo desempenho no trabalho, habilidade ou tempo de serviço. Classificação do Cargo: 35-9011.00 - Atendentes de Refeitório e Cafeteria e Auxiliares de Bar. A classificação e descrição do cargo/setor inclui informações gerais sobre a posição, de acordo com o ONET/OES e o Sistema de Classificação Industrial da América do Norte (NAICS). Consulte as Funções e a Ordem de Serviço para obter mais informações. Requisitos do Cargo Experiência Necessária: Não. Requisitos Especiais: Exame toxicológico e verificação de antecedentes criminais pré-admissional, realizados igualmente para funcionários americanos e trabalhadores com visto H-2B. Disponibilidade para trabalhar em turnos divididos, noturnos, fins de semana e feriados, conforme necessário. Capacidade de levantar, puxar, empurrar ou carregar até 11 kg ou mais e caminhar ou ficar em pé por longos períodos. Boa apresentação pessoal e capacidade de se comunicar em inglês. Número de horas por semana: 35 Horário de trabalho (início/término): 7h00 - 23h00</v>
      </c>
    </row>
    <row r="2268" ht="20.25" customHeight="1">
      <c r="A2268" s="3" t="s">
        <v>10070</v>
      </c>
      <c r="B2268" s="3" t="s">
        <v>10055</v>
      </c>
      <c r="C2268" s="3" t="s">
        <v>10025</v>
      </c>
      <c r="D2268" s="3" t="s">
        <v>71</v>
      </c>
      <c r="E2268" s="4" t="s">
        <v>44</v>
      </c>
      <c r="F2268" s="4" t="s">
        <v>20</v>
      </c>
      <c r="G2268" s="4" t="s">
        <v>524</v>
      </c>
      <c r="H2268" s="3" t="s">
        <v>10056</v>
      </c>
      <c r="I2268" s="3" t="s">
        <v>10057</v>
      </c>
      <c r="J2268" s="4">
        <v>17.3</v>
      </c>
      <c r="K2268" s="4">
        <v>6.0</v>
      </c>
      <c r="L2268" s="3" t="s">
        <v>387</v>
      </c>
      <c r="M2268" s="3" t="s">
        <v>10071</v>
      </c>
      <c r="N2268" s="7" t="str">
        <f>IFERROR(__xludf.DUMMYFUNCTION("GOOGLETRANSLATE(L2268, ""en"", ""pt"")"),"Ordem de serviço não disponível")</f>
        <v>Ordem de serviço não disponível</v>
      </c>
      <c r="O2268" s="7" t="str">
        <f>IFERROR(__xludf.DUMMYFUNCTION("IF(M2268="""","""",GOOGLETRANSLATE(M2268,""en"",""pt""))"),"Preparar, temperar, cozinhar, empratar e decorar refeições. Medir/misturar ingredientes conforme a receita para cozinhar do zero. Seguir os procedimentos adequados de controle de porções, apresentação, consistência, sabor e higiene. Observar/provar os ali"&amp;"mentos cozidos. Pode substituir/auxiliar outros cozinheiros em emergências/períodos de pico. ***F.a.5 A-H e F.a.6a e F.a.6b: mínimo de 35 horas/semana. Turnos e horários variam de segunda a domingo, das 7h às 23h. *** F.b.9a: Aumentos e/ou bônus podem ser"&amp;" oferecidos a qualquer funcionário na ocupação especificada, a critério exclusivo da empresa, com base em fatores individuais, incluindo desempenho no trabalho, habilidade ou tempo de serviço. Classificação do Cargo: 35-2014.00 - Cozinheiros, Restaurante."&amp;" A classificação e descrição do cargo/setor inclui informações gerais sobre a posição, de acordo com o ONET/OES e o Sistema de Classificação Industrial da América do Norte. Consulte as Funções e a Ordem de Serviço para obter mais informações. Requisitos d"&amp;"a vaga Experiência necessária: Não Requisitos especiais: Exame toxicológico e verificação de antecedentes criminais antes da contratação, realizados igualmente para trabalhadores americanos e trabalhadores com visto H-2B. Disponibilidade para trabalhar em"&amp;" turnos divididos, noturnos, fins de semana e feriados, conforme necessário. Capacidade de levantar, puxar, empurrar ou carregar até 11 kg ou mais, e caminhar ou ficar em pé por longos períodos. Boa apresentação pessoal e capacidade de se comunicar em ing"&amp;"lês. Número de horas por semana: 35 Horário de trabalho (início/término): 7h às 23h")</f>
        <v>Preparar, temperar, cozinhar, empratar e decorar refeições. Medir/misturar ingredientes conforme a receita para cozinhar do zero. Seguir os procedimentos adequados de controle de porções, apresentação, consistência, sabor e higiene. Observar/provar os alimentos cozidos. Pode substituir/auxiliar outros cozinheiros em emergências/períodos de pico. ***F.a.5 A-H e F.a.6a e F.a.6b: mínimo de 35 horas/semana. Turnos e horários variam de segunda a domingo, das 7h às 23h. *** F.b.9a: Aumentos e/ou bônus podem ser oferecidos a qualquer funcionário na ocupação especificada, a critério exclusivo da empresa, com base em fatores individuais, incluindo desempenho no trabalho, habilidade ou tempo de serviço. Classificação do Cargo: 35-2014.00 - Cozinheiros, Restaurante. A classificação e descrição do cargo/setor inclui informações gerais sobre a posição, de acordo com o ONET/OES e o Sistema de Classificação Industrial da América do Norte. Consulte as Funções e a Ordem de Serviço para obter mais informações. Requisitos da vaga Experiência necessária: Não Requisitos especiais: Exame toxicológico e verificação de antecedentes criminais antes da contratação, realizados igualmente para trabalhadores americanos e trabalhadores com visto H-2B. Disponibilidade para trabalhar em turnos divididos, noturnos, fins de semana e feriados, conforme necessário. Capacidade de levantar, puxar, empurrar ou carregar até 11 kg ou mais, e caminhar ou ficar em pé por longos períodos. Boa apresentação pessoal e capacidade de se comunicar em inglês. Número de horas por semana: 35 Horário de trabalho (início/término): 7h às 23h</v>
      </c>
    </row>
    <row r="2269" ht="20.25" customHeight="1">
      <c r="A2269" s="8" t="s">
        <v>10072</v>
      </c>
      <c r="B2269" s="8" t="s">
        <v>10055</v>
      </c>
      <c r="C2269" s="8" t="s">
        <v>10025</v>
      </c>
      <c r="D2269" s="8" t="s">
        <v>71</v>
      </c>
      <c r="E2269" s="9" t="s">
        <v>44</v>
      </c>
      <c r="F2269" s="9" t="s">
        <v>20</v>
      </c>
      <c r="G2269" s="9" t="s">
        <v>524</v>
      </c>
      <c r="H2269" s="8" t="s">
        <v>10056</v>
      </c>
      <c r="I2269" s="8" t="s">
        <v>10057</v>
      </c>
      <c r="J2269" s="9">
        <v>16.01</v>
      </c>
      <c r="K2269" s="9">
        <v>1.0</v>
      </c>
      <c r="L2269" s="8" t="s">
        <v>354</v>
      </c>
      <c r="M2269" s="8" t="s">
        <v>10073</v>
      </c>
      <c r="N2269" s="7" t="str">
        <f>IFERROR(__xludf.DUMMYFUNCTION("GOOGLETRANSLATE(L2269, ""en"", ""pt"")"),"Governanta")</f>
        <v>Governanta</v>
      </c>
      <c r="O2269" s="7" t="str">
        <f>IFERROR(__xludf.DUMMYFUNCTION("IF(M2269="""","""",GOOGLETRANSLATE(M2269,""en"",""pt""))"),"Limpar e manter os quartos de hóspedes, áreas comuns, banheiros e vestiários do clube, incluindo: tirar o pó e limpar os móveis; varrer, passar pano levemente e aspirar o chão; esfregar e desinfetar os banheiros; manusear e lavar roupas de cama e arrumar "&amp;"as camas; repor suprimentos, roupas de cama e toalhas; mover móveis, pendurar cortinas e enrolar tapetes; e ocasionalmente remover o lixo. ***F.a.5 A-H &amp; F.a.6a &amp; F.a.6b: mínimo de 35 horas semanais. Turnos e horários variam de segunda a domingo, das 7h à"&amp;"s 23h. *** F.b.9a: Aumentos e/ou bônus podem ser oferecidos a qualquer funcionário na ocupação especificada, a critério exclusivo da empresa, com base em fatores individuais, incluindo desempenho no trabalho, habilidade ou tempo de serviço. Classificação "&amp;"do Cargo: 37-2012.00 - Camareiras e Auxiliares de Limpeza. A classificação e descrição do cargo/setor inclui informações gerais sobre a posição, de acordo com o ONET/OES e o Sistema de Classificação Industrial da América do Norte. Consulte a Descrição das"&amp;" Funções e a Ordem de Serviço para obter mais informações. Requisitos da Vaga Experiência Necessária: Não Requisitos Especiais: Exame toxicológico e verificação de antecedentes criminais pré-admissional, realizados igualmente para trabalhadores americanos"&amp;" e trabalhadores com visto H-2B. Disponibilidade para trabalhar em turnos divididos, noturnos, fins de semana e feriados, conforme necessário. Capacidade de levantar, puxar, empurrar ou carregar até 11 kg ou mais, e caminhar ou ficar em pé por longos perí"&amp;"odos. Boa apresentação pessoal e capacidade de se comunicar em inglês. Número de Horas por Semana: 35 Horário de Trabalho (Início/Término): 7h às 23h")</f>
        <v>Limpar e manter os quartos de hóspedes, áreas comuns, banheiros e vestiários do clube, incluindo: tirar o pó e limpar os móveis; varrer, passar pano levemente e aspirar o chão; esfregar e desinfetar os banheiros; manusear e lavar roupas de cama e arrumar as camas; repor suprimentos, roupas de cama e toalhas; mover móveis, pendurar cortinas e enrolar tapetes; e ocasionalmente remover o lixo. ***F.a.5 A-H &amp; F.a.6a &amp; F.a.6b: mínimo de 35 horas semanais. Turnos e horários variam de segunda a domingo, das 7h às 23h. *** F.b.9a: Aumentos e/ou bônus podem ser oferecidos a qualquer funcionário na ocupação especificada, a critério exclusivo da empresa, com base em fatores individuais, incluindo desempenho no trabalho, habilidade ou tempo de serviço. Classificação do Cargo: 37-2012.00 - Camareiras e Auxiliares de Limpeza. A classificação e descrição do cargo/setor inclui informações gerais sobre a posição, de acordo com o ONET/OES e o Sistema de Classificação Industrial da América do Norte. Consulte a Descrição das Funções e a Ordem de Serviço para obter mais informações. Requisitos da Vaga Experiência Necessária: Não Requisitos Especiais: Exame toxicológico e verificação de antecedentes criminais pré-admissional, realizados igualmente para trabalhadores americanos e trabalhadores com visto H-2B. Disponibilidade para trabalhar em turnos divididos, noturnos, fins de semana e feriados, conforme necessário. Capacidade de levantar, puxar, empurrar ou carregar até 11 kg ou mais, e caminhar ou ficar em pé por longos períodos. Boa apresentação pessoal e capacidade de se comunicar em inglês. Número de Horas por Semana: 35 Horário de Trabalho (Início/Término): 7h às 23h</v>
      </c>
    </row>
    <row r="2270" ht="20.25" customHeight="1">
      <c r="A2270" s="3" t="s">
        <v>10074</v>
      </c>
      <c r="B2270" s="3" t="s">
        <v>10075</v>
      </c>
      <c r="C2270" s="3"/>
      <c r="D2270" s="3" t="s">
        <v>64</v>
      </c>
      <c r="E2270" s="4" t="s">
        <v>44</v>
      </c>
      <c r="F2270" s="4" t="s">
        <v>20</v>
      </c>
      <c r="G2270" s="4" t="s">
        <v>404</v>
      </c>
      <c r="H2270" s="3" t="s">
        <v>10076</v>
      </c>
      <c r="I2270" s="3" t="s">
        <v>10077</v>
      </c>
      <c r="J2270" s="4">
        <v>21.79</v>
      </c>
      <c r="K2270" s="4">
        <v>22.0</v>
      </c>
      <c r="L2270" s="3" t="s">
        <v>3781</v>
      </c>
      <c r="M2270" s="3" t="s">
        <v>3782</v>
      </c>
      <c r="N2270" s="7" t="str">
        <f>IFERROR(__xludf.DUMMYFUNCTION("GOOGLETRANSLATE(L2270, ""en"", ""pt"")"),"Trabalhador de vergalhão")</f>
        <v>Trabalhador de vergalhão</v>
      </c>
      <c r="O2270" s="7" t="str">
        <f>IFERROR(__xludf.DUMMYFUNCTION("IF(M2270="""","""",GOOGLETRANSLATE(M2270,""en"",""pt""))"),"Executar trabalho braçal; posicionar e fixar barras de aço ou malhas em fôrmas de concreto para reforçá-lo. Utilizar diversos fixadores, máquinas de dobrar vergalhões, maçaricos e ferramentas manuais. Inclui o uso de dobradeiras de vergalhões. Classificaç"&amp;"ão da função: 47-2171.00 - Trabalhadores de Ferro de Reforço e Vergalhões. A classificação e descrição da função/setor incluem informações gerais sobre o cargo, conforme o ONET/OES e o Sistema de Classificação Industrial da América do Norte (NAICS). Consu"&amp;"lte as atribuições e a Ordem de Serviço para obter mais informações. Requisitos da vaga: Experiência exigida: Sim. Meses de experiência exigidos: 6. Número de horas por semana: 40. Horário de trabalho (início/término): 7h às 16h.")</f>
        <v>Executar trabalho braçal; posicionar e fixar barras de aço ou malhas em fôrmas de concreto para reforçá-lo. Utilizar diversos fixadores, máquinas de dobrar vergalhões, maçaricos e ferramentas manuais. Inclui o uso de dobradeiras de vergalhões. Classificação da função: 47-2171.00 - Trabalhadores de Ferro de Reforço e Vergalhões. A classificação e descrição da função/setor incluem informações gerais sobre o cargo, conforme o ONET/OES e o Sistema de Classificação Industrial da América do Norte (NAICS). Consulte as atribuições e a Ordem de Serviço para obter mais informações. Requisitos da vaga: Experiência exigida: Sim. Meses de experiência exigidos: 6. Número de horas por semana: 40. Horário de trabalho (início/término): 7h às 16h.</v>
      </c>
    </row>
    <row r="2271" ht="20.25" customHeight="1">
      <c r="A2271" s="8" t="s">
        <v>10078</v>
      </c>
      <c r="B2271" s="8" t="s">
        <v>10079</v>
      </c>
      <c r="C2271" s="8" t="s">
        <v>10080</v>
      </c>
      <c r="D2271" s="8" t="s">
        <v>1132</v>
      </c>
      <c r="E2271" s="9" t="s">
        <v>19</v>
      </c>
      <c r="F2271" s="9" t="s">
        <v>20</v>
      </c>
      <c r="G2271" s="9" t="s">
        <v>307</v>
      </c>
      <c r="H2271" s="8" t="s">
        <v>10081</v>
      </c>
      <c r="I2271" s="8" t="s">
        <v>10082</v>
      </c>
      <c r="J2271" s="9">
        <v>15.6</v>
      </c>
      <c r="K2271" s="9">
        <v>15.0</v>
      </c>
      <c r="L2271" s="8" t="s">
        <v>59</v>
      </c>
      <c r="M2271" s="8" t="s">
        <v>10083</v>
      </c>
      <c r="N2271" s="7" t="str">
        <f>IFERROR(__xludf.DUMMYFUNCTION("GOOGLETRANSLATE(L2271, ""en"", ""pt"")"),"Trabalhador de paisagismo")</f>
        <v>Trabalhador de paisagismo</v>
      </c>
      <c r="O2271" s="7" t="str">
        <f>IFERROR(__xludf.DUMMYFUNCTION("IF(M2271="""","""",GOOGLETRANSLATE(M2271,""en"",""pt""))"),"Sob supervisão direta, utilizando ancinhos ou sopradores de detritos, tesouras de poda; recolher e remover lixo/detritos/folhas, podar ou aparar pequenas árvores/arbustos, cortar grama, aparar, soprar e decorar espaços externos (seguindo o projeto paisagí"&amp;"stico para ajudar a colocar iluminação temporária de Natal/pequenas luzes de Natal/decorações) e outras atividades relacionadas a paisagismo e manutenção de áreas verdes, conforme SOC/OES 37-3011. Possibilidade de trabalho em fins de semana/feriados. Clas"&amp;"sificação da vaga: 37-3011.00 - Trabalhadores de Paisagismo e Manutenção de Áreas Verdes. A classificação e descrição da vaga/setor incluem informações gerais sobre o cargo, de acordo com o ONET/OES e o Sistema de Classificação Industrial da América do No"&amp;"rte. Consulte as Funções e a Ordem de Serviço para obter mais informações. Requisitos da vaga: Experiência exigida: Não. Requisitos especiais: É necessário ter 18 anos ou mais devido ao seguro. É necessário apresentar comprovante de autorização legal para"&amp;" trabalhar nos Estados Unidos. AMBIENTE DE TRABALHO LIVRE DE DROGAS, ÁLCOOL E TABACO. EXECUTAR ATIVIDADES FÍSICAS COMO: LEVANTAR, EQUILIBRAR, CAMINHAR, ABAIXAR, MANUSEAR, POSICIONAR, MOVER E MANIPULAR MATERIAIS. USAR FORÇA ESTÁTICA PARA EXERCER FORÇA MUSC"&amp;"ULAR MÁXIMA PARA LEVANTAR, EMPURRAR, PUXAR E CARREGAR OBJETOS DE ATÉ 23 KG. TODOS OS CANDIDATOS DEVEM SER CAPAZES, ESTIVEREM DISPOSTOS E QUALIFICADOS PARA EXECUTAR O TRABALHO DESCRITO E ESTAR DISPONÍVEIS DURANTE TODO O PERÍODO DE TRABALHO E EM TODAS AS ÁR"&amp;"EAS DE EMPREGO PRETENDIDO. A CRITÉRIO E CUSTO DO EMPREGADOR: TESTES ALEATÓRIOS DE DROGAS/ÁLCOOL DURANTE O EMPREGO: RESULTADO POSITIVO OU RECUSA EM SE SUBMETER RESULTARÁ EM DEMISSÃO. Exposição às intempéries, longas jornadas em condições climáticas variáve"&amp;"is. Horário sujeito a flutuações (+/-). Possibilidade de períodos de inatividade e/ou horas extras. Número de horas por semana: 35. Horário de trabalho (início/término): 8h00 - 16h30.")</f>
        <v>Sob supervisão direta, utilizando ancinhos ou sopradores de detritos, tesouras de poda; recolher e remover lixo/detritos/folhas, podar ou aparar pequenas árvores/arbustos, cortar grama, aparar, soprar e decorar espaços externos (seguindo o projeto paisagístico para ajudar a colocar iluminação temporária de Natal/pequenas luzes de Natal/decorações) e outras atividades relacionadas a paisagismo e manutenção de áreas verdes, conforme SOC/OES 37-3011. Possibilidade de trabalho em fins de semana/feriados. Classificação da vaga: 37-3011.00 - Trabalhadores de Paisagismo e Manutenção de Áreas Verdes. A classificação e descrição da vaga/setor incluem informações gerais sobre o cargo, de acordo com o ONET/OES e o Sistema de Classificação Industrial da América do Norte. Consulte as Funções e a Ordem de Serviço para obter mais informações. Requisitos da vaga: Experiência exigida: Não. Requisitos especiais: É necessário ter 18 anos ou mais devido ao seguro. É necessário apresentar comprovante de autorização legal para trabalhar nos Estados Unidos. AMBIENTE DE TRABALHO LIVRE DE DROGAS, ÁLCOOL E TABACO. EXECUTAR ATIVIDADES FÍSICAS COMO: LEVANTAR, EQUILIBRAR, CAMINHAR, ABAIXAR, MANUSEAR, POSICIONAR, MOVER E MANIPULAR MATERIAIS. USAR FORÇA ESTÁTICA PARA EXERCER FORÇA MUSCULAR MÁXIMA PARA LEVANTAR, EMPURRAR, PUXAR E CARREGAR OBJETOS DE ATÉ 23 KG. TODOS OS CANDIDATOS DEVEM SER CAPAZES, ESTIVEREM DISPOSTOS E QUALIFICADOS PARA EXECUTAR O TRABALHO DESCRITO E ESTAR DISPONÍVEIS DURANTE TODO O PERÍODO DE TRABALHO E EM TODAS AS ÁREAS DE EMPREGO PRETENDIDO. A CRITÉRIO E CUSTO DO EMPREGADOR: TESTES ALEATÓRIOS DE DROGAS/ÁLCOOL DURANTE O EMPREGO: RESULTADO POSITIVO OU RECUSA EM SE SUBMETER RESULTARÁ EM DEMISSÃO. Exposição às intempéries, longas jornadas em condições climáticas variáveis. Horário sujeito a flutuações (+/-). Possibilidade de períodos de inatividade e/ou horas extras. Número de horas por semana: 35. Horário de trabalho (início/término): 8h00 - 16h30.</v>
      </c>
    </row>
    <row r="2272" ht="20.25" customHeight="1">
      <c r="A2272" s="3" t="s">
        <v>10084</v>
      </c>
      <c r="B2272" s="3" t="s">
        <v>10085</v>
      </c>
      <c r="C2272" s="3" t="s">
        <v>10025</v>
      </c>
      <c r="D2272" s="3" t="s">
        <v>71</v>
      </c>
      <c r="E2272" s="4" t="s">
        <v>19</v>
      </c>
      <c r="F2272" s="4" t="s">
        <v>20</v>
      </c>
      <c r="G2272" s="4" t="s">
        <v>524</v>
      </c>
      <c r="H2272" s="3" t="s">
        <v>10086</v>
      </c>
      <c r="I2272" s="3" t="s">
        <v>10087</v>
      </c>
      <c r="J2272" s="4">
        <v>17.3</v>
      </c>
      <c r="K2272" s="4">
        <v>6.0</v>
      </c>
      <c r="L2272" s="3" t="s">
        <v>387</v>
      </c>
      <c r="M2272" s="3" t="s">
        <v>10088</v>
      </c>
      <c r="N2272" s="7" t="str">
        <f>IFERROR(__xludf.DUMMYFUNCTION("GOOGLETRANSLATE(L2272, ""en"", ""pt"")"),"Ordem de serviço não disponível")</f>
        <v>Ordem de serviço não disponível</v>
      </c>
      <c r="O2272" s="7" t="str">
        <f>IFERROR(__xludf.DUMMYFUNCTION("IF(M2272="""","""",GOOGLETRANSLATE(M2272,""en"",""pt""))"),"Preparar, temperar, cozinhar, empratar e decorar refeições. Medir/misturar ingredientes conforme a receita para cozinhar do zero. Seguir os procedimentos adequados de controle de porções, apresentação, consistência, sabor e higiene. Observar/provar os ali"&amp;"mentos preparados. Pode substituir/auxiliar outros cozinheiros em emergências/períodos de pico. ***F.a.5 A-H &amp; F.a.6a &amp; F.a.6b: mínimo de 35 horas/semana. Turnos e horários variam de segunda a domingo, das 6h às 23h. *** F.b.9a: Aumentos e/ou bônus podem "&amp;"ser oferecidos a qualquer funcionário na ocupação especificada, a critério exclusivo da empresa, com base em fatores individuais, incluindo desempenho, habilidade ou tempo de serviço. Classificação do Cargo: 35-2014.00 - Cozinheiros, Restaurante. A classi"&amp;"ficação e descrição do cargo/setor inclui informações gerais sobre a posição, de acordo com o ONET/OES e o Sistema de Classificação Industrial da América do Norte. Consulte as Funções e a Ordem de Serviço para obter mais informações. Requisitos da vaga Ex"&amp;"periência necessária: Não Requisitos especiais: Exame toxicológico e verificação de antecedentes criminais antes da contratação, realizados igualmente para trabalhadores americanos e trabalhadores com visto H-2B. Disponibilidade para trabalhar em turnos d"&amp;"ivididos, noturnos, fins de semana e feriados, conforme necessário. Capacidade de levantar, puxar, empurrar ou carregar até 11 kg ou mais, e caminhar ou ficar em pé por longos períodos. Boa apresentação pessoal e capacidade de se comunicar em inglês. Núme"&amp;"ro de horas por semana: 35 Horário de trabalho (início/término): 6h às 23h")</f>
        <v>Preparar, temperar, cozinhar, empratar e decorar refeições. Medir/misturar ingredientes conforme a receita para cozinhar do zero. Seguir os procedimentos adequados de controle de porções, apresentação, consistência, sabor e higiene. Observar/provar os alimentos preparados. Pode substituir/auxiliar outros cozinheiros em emergências/períodos de pico. ***F.a.5 A-H &amp; F.a.6a &amp; F.a.6b: mínimo de 35 horas/semana. Turnos e horários variam de segunda a domingo, das 6h às 23h. *** F.b.9a: Aumentos e/ou bônus podem ser oferecidos a qualquer funcionário na ocupação especificada, a critério exclusivo da empresa, com base em fatores individuais, incluindo desempenho, habilidade ou tempo de serviço. Classificação do Cargo: 35-2014.00 - Cozinheiros, Restaurante. A classificação e descrição do cargo/setor inclui informações gerais sobre a posição, de acordo com o ONET/OES e o Sistema de Classificação Industrial da América do Norte. Consulte as Funções e a Ordem de Serviço para obter mais informações. Requisitos da vaga Experiência necessária: Não Requisitos especiais: Exame toxicológico e verificação de antecedentes criminais antes da contratação, realizados igualmente para trabalhadores americanos e trabalhadores com visto H-2B. Disponibilidade para trabalhar em turnos divididos, noturnos, fins de semana e feriados, conforme necessário. Capacidade de levantar, puxar, empurrar ou carregar até 11 kg ou mais, e caminhar ou ficar em pé por longos períodos. Boa apresentação pessoal e capacidade de se comunicar em inglês. Número de horas por semana: 35 Horário de trabalho (início/término): 6h às 23h</v>
      </c>
    </row>
    <row r="2273" ht="20.25" customHeight="1">
      <c r="A2273" s="8" t="s">
        <v>10089</v>
      </c>
      <c r="B2273" s="8" t="s">
        <v>10085</v>
      </c>
      <c r="C2273" s="8" t="s">
        <v>10025</v>
      </c>
      <c r="D2273" s="8" t="s">
        <v>71</v>
      </c>
      <c r="E2273" s="9" t="s">
        <v>19</v>
      </c>
      <c r="F2273" s="9" t="s">
        <v>20</v>
      </c>
      <c r="G2273" s="9" t="s">
        <v>524</v>
      </c>
      <c r="H2273" s="8" t="s">
        <v>10086</v>
      </c>
      <c r="I2273" s="8" t="s">
        <v>10087</v>
      </c>
      <c r="J2273" s="9">
        <v>15.94</v>
      </c>
      <c r="K2273" s="9">
        <v>4.0</v>
      </c>
      <c r="L2273" s="8" t="s">
        <v>5723</v>
      </c>
      <c r="M2273" s="8" t="s">
        <v>10090</v>
      </c>
      <c r="N2273" s="7" t="str">
        <f>IFERROR(__xludf.DUMMYFUNCTION("GOOGLETRANSLATE(L2273, ""en"", ""pt"")"),"Atendente de Recreação")</f>
        <v>Atendente de Recreação</v>
      </c>
      <c r="O2273" s="7" t="str">
        <f>IFERROR(__xludf.DUMMYFUNCTION("IF(M2273="""","""",GOOGLETRANSLATE(M2273,""en"",""pt""))"),"***Original*** Prestar assistência nas instalações de golfe/esportes/clube, incluindo: recepcionar os sócios; confirmar reservas; responder a perguntas; organizar mercadorias e fornecer informações sobre as instalações; carregar/descarregar sacos de golfe"&amp;"; manusear/limpar/manter carrinhos de golfe, sacos, tacos e sapatos; manter o depósito de carrinhos e a área de espera organizados e abastecidos com bolas de golfe limpas, gelo, copos e coolers de bebidas; remoção ocasional de lixo e limpeza de banheiros;"&amp;" transportar equipamentos de golfe ou esportivos e veículos dos sócios de e para as instalações do clube; executar outras tarefas relacionadas, conforme atribuídas. ***Resposta à RFI*** Ocasionalmente, dirigir os veículos dos sócios da área de entrega de "&amp;"sacos de golfe até o serviço de manobrista do clube ou vice-versa. Outras tarefas relacionadas podem incluir: coletar bolas de golfe do campo de prática, lavar bolas de golfe e mantê-las prontas para reposição; reabastecer os bebedouros para os jogadores "&amp;"no campo de golfe quando necessário. ***F.a.5 A-H e F.a.6a e F.a.6b Mínimo de 35 horas/semana. Turnos e horários variam de segunda a domingo, das 6h às 23h. *** F.b.9a: Aumentos e/ou bônus podem ser oferecidos a qualquer trabalhador na ocupação especifica"&amp;"da, a critério exclusivo da empresa, com base em fatores individuais, incluindo desempenho no trabalho, habilidade ou tempo de serviço. Classificação do Cargo: 37-2011.00 - Zeladores e Faxineiros, exceto Empregadas Domésticas e Faxineiros. A classificação"&amp;" e descrição do cargo/setor inclui informações gerais sobre a posição, de acordo com o ONET/OES e o Sistema de Classificação Industrial da América do Norte. Consulte as Funções e a Ordem de Serviço para obter mais informações. Requisitos do Cargo Experiên"&amp;"cia Necessária: Não. Requisitos Especiais: Teste antidrogas e verificação de antecedentes criminais pré-admissional, realizados igualmente entre trabalhadores americanos e trabalhadores com visto H-2B. Disponibilidade para trabalhar em turnos divididos, n"&amp;"oturnos, fins de semana e feriados, conforme necessário. Capacidade de levantar, puxar, empurrar ou carregar até 11 kg ou mais e caminhar ou ficar em pé por longos períodos. Boa apresentação pessoal e capacidade de se comunicar em inglês. Número de Horas "&amp;"por Semana: 35. Horário de Trabalho (Início/Término): 6h. - 23:00")</f>
        <v>***Original*** Prestar assistência nas instalações de golfe/esportes/clube, incluindo: recepcionar os sócios; confirmar reservas; responder a perguntas; organizar mercadorias e fornecer informações sobre as instalações; carregar/descarregar sacos de golfe; manusear/limpar/manter carrinhos de golfe, sacos, tacos e sapatos; manter o depósito de carrinhos e a área de espera organizados e abastecidos com bolas de golfe limpas, gelo, copos e coolers de bebidas; remoção ocasional de lixo e limpeza de banheiros; transportar equipamentos de golfe ou esportivos e veículos dos sócios de e para as instalações do clube; executar outras tarefas relacionadas, conforme atribuídas. ***Resposta à RFI*** Ocasionalmente, dirigir os veículos dos sócios da área de entrega de sacos de golfe até o serviço de manobrista do clube ou vice-versa. Outras tarefas relacionadas podem incluir: coletar bolas de golfe do campo de prática, lavar bolas de golfe e mantê-las prontas para reposição; reabastecer os bebedouros para os jogadores no campo de golfe quando necessário. ***F.a.5 A-H e F.a.6a e F.a.6b Mínimo de 35 horas/semana. Turnos e horários variam de segunda a domingo, das 6h às 23h. *** F.b.9a: Aumentos e/ou bônus podem ser oferecidos a qualquer trabalhador na ocupação especificada, a critério exclusivo da empresa, com base em fatores individuais, incluindo desempenho no trabalho, habilidade ou tempo de serviço. Classificação do Cargo: 37-2011.00 - Zeladores e Faxineiros, exceto Empregadas Domésticas e Faxineiros. A classificação e descrição do cargo/setor inclui informações gerais sobre a posição, de acordo com o ONET/OES e o Sistema de Classificação Industrial da América do Norte. Consulte as Funções e a Ordem de Serviço para obter mais informações. Requisitos do Cargo Experiência Necessária: Não. Requisitos Especiais: Teste antidrogas e verificação de antecedentes criminais pré-admissional, realizados igualmente entre trabalhadores americanos e trabalhadores com visto H-2B. Disponibilidade para trabalhar em turnos divididos, noturnos, fins de semana e feriados, conforme necessário. Capacidade de levantar, puxar, empurrar ou carregar até 11 kg ou mais e caminhar ou ficar em pé por longos períodos. Boa apresentação pessoal e capacidade de se comunicar em inglês. Número de Horas por Semana: 35. Horário de Trabalho (Início/Término): 6h. - 23:00</v>
      </c>
    </row>
    <row r="2274" ht="20.25" customHeight="1">
      <c r="A2274" s="3" t="s">
        <v>10091</v>
      </c>
      <c r="B2274" s="3" t="s">
        <v>10085</v>
      </c>
      <c r="C2274" s="3" t="s">
        <v>10025</v>
      </c>
      <c r="D2274" s="3" t="s">
        <v>71</v>
      </c>
      <c r="E2274" s="4" t="s">
        <v>44</v>
      </c>
      <c r="F2274" s="4" t="s">
        <v>20</v>
      </c>
      <c r="G2274" s="4" t="s">
        <v>524</v>
      </c>
      <c r="H2274" s="3" t="s">
        <v>10086</v>
      </c>
      <c r="I2274" s="3" t="s">
        <v>10087</v>
      </c>
      <c r="J2274" s="4">
        <v>18.71</v>
      </c>
      <c r="K2274" s="4">
        <v>16.0</v>
      </c>
      <c r="L2274" s="3" t="s">
        <v>1206</v>
      </c>
      <c r="M2274" s="3" t="s">
        <v>10092</v>
      </c>
      <c r="N2274" s="7" t="str">
        <f>IFERROR(__xludf.DUMMYFUNCTION("GOOGLETRANSLATE(L2274, ""en"", ""pt"")"),"Servidor")</f>
        <v>Servidor</v>
      </c>
      <c r="O2274" s="7" t="str">
        <f>IFERROR(__xludf.DUMMYFUNCTION("IF(M2274="""","""",GOOGLETRANSLATE(M2274,""en"",""pt""))"),"***Original*** Servir comida, água, refrigerantes e bebidas alcoólicas. Apresentar cardápios, anotar pedidos e repassá-los à cozinha. Realizar tarefas auxiliares, limpar mesas, transportar pratos do salão para a cozinha e manter as áreas de trabalho limpa"&amp;"s. Fornecer toalhas de mesa, talheres, copos e pratos limpos no salão. Auxiliar na montagem, limpeza, abertura e fechamento do restaurante/área de alimentos e bebidas. Pode ser necessário realizar tarefas em ambientes externos, em eventos de banquetes ou "&amp;"atender clientes em carrinho de golfe. Outras tarefas razoáveis ​​relacionadas ao trabalho, conforme necessário. ***Resposta à Solicitação de Informações (RFI)*** As tarefas de montagem, limpeza, abertura e fechamento do restaurante/área de alimentos e be"&amp;"bidas podem incluir: limpar as mesas, removendo toalhas de mesa, louças e utensílios usados; arrumar as mesas com toalhas de mesa, louças e utensílios limpos; montar e desmontar buffets. Outras tarefas razoáveis ​​relacionadas ao trabalho podem incluir: s"&amp;"ervir condimentos e café; abastecer o bar de serviço com alimentos; manter o buffet abastecido com alimentos, pratos, recipientes e utensílios. ***F.a.5 A-H e F.a.6a e F.a.6b: mínimo de 35 horas semanais. Turnos e horários variam de segunda a domingo, das"&amp;" 6h às 23h. *** F.b.9a: Aumentos e/ou bônus podem ser oferecidos a qualquer funcionário na ocupação especificada, a critério exclusivo da empresa, com base em fatores individuais, incluindo desempenho, habilidades ou tempo de serviço. Classificação da vag"&amp;"a: 35-3031.00 - Garçons e Garçonetes. A classificação e descrição da vaga/setor inclui informações gerais sobre o cargo, de acordo com o ONET/OES e o Sistema de Classificação Industrial da América do Norte (NAICS). Consulte as Funções e a Ordem de Serviço"&amp;" para obter mais informações. Requisitos da vaga: Experiência exigida: Não. Requisitos especiais: Exame toxicológico e verificação de antecedentes criminais pré-admissional, realizados igualmente para funcionários americanos e trabalhadores com visto H-2B"&amp;". Disponibilidade para trabalhar em turnos divididos, noturnos, fins de semana e feriados, conforme necessário. Deve ser capaz de levantar, puxar, empurrar ou carregar até 11 kg ou mais, e caminhar ou ficar em pé por longos períodos. Boa apresentação pess"&amp;"oal e capacidade de se comunicar em inglês são imprescindíveis. Número de horas por semana: 35. Horário de trabalho (início/término): 6h às 11h.")</f>
        <v>***Original*** Servir comida, água, refrigerantes e bebidas alcoólicas. Apresentar cardápios, anotar pedidos e repassá-los à cozinha. Realizar tarefas auxiliares, limpar mesas, transportar pratos do salão para a cozinha e manter as áreas de trabalho limpas. Fornecer toalhas de mesa, talheres, copos e pratos limpos no salão. Auxiliar na montagem, limpeza, abertura e fechamento do restaurante/área de alimentos e bebidas. Pode ser necessário realizar tarefas em ambientes externos, em eventos de banquetes ou atender clientes em carrinho de golfe. Outras tarefas razoáveis ​​relacionadas ao trabalho, conforme necessário. ***Resposta à Solicitação de Informações (RFI)*** As tarefas de montagem, limpeza, abertura e fechamento do restaurante/área de alimentos e bebidas podem incluir: limpar as mesas, removendo toalhas de mesa, louças e utensílios usados; arrumar as mesas com toalhas de mesa, louças e utensílios limpos; montar e desmontar buffets. Outras tarefas razoáveis ​​relacionadas ao trabalho podem incluir: servir condimentos e café; abastecer o bar de serviço com alimentos; manter o buffet abastecido com alimentos, pratos, recipientes e utensílios. ***F.a.5 A-H e F.a.6a e F.a.6b: mínimo de 35 horas semanais. Turnos e horários variam de segunda a domingo, das 6h às 23h. *** F.b.9a: Aumentos e/ou bônus podem ser oferecidos a qualquer funcionário na ocupação especificada, a critério exclusivo da empresa, com base em fatores individuais, incluindo desempenho, habilidades ou tempo de serviço. Classificação da vaga: 35-3031.00 - Garçons e Garçonetes. A classificação e descrição da vaga/setor inclui informações gerais sobre o cargo, de acordo com o ONET/OES e o Sistema de Classificação Industrial da América do Norte (NAICS). Consulte as Funções e a Ordem de Serviço para obter mais informações. Requisitos da vaga: Experiência exigida: Não. Requisitos especiais: Exame toxicológico e verificação de antecedentes criminais pré-admissional, realizados igualmente para funcionários americanos e trabalhadores com visto H-2B. Disponibilidade para trabalhar em turnos divididos, noturnos, fins de semana e feriados, conforme necessário. Deve ser capaz de levantar, puxar, empurrar ou carregar até 11 kg ou mais, e caminhar ou ficar em pé por longos períodos. Boa apresentação pessoal e capacidade de se comunicar em inglês são imprescindíveis. Número de horas por semana: 35. Horário de trabalho (início/término): 6h às 11h.</v>
      </c>
    </row>
    <row r="2275" ht="20.25" customHeight="1">
      <c r="A2275" s="8" t="s">
        <v>10093</v>
      </c>
      <c r="B2275" s="8" t="s">
        <v>10094</v>
      </c>
      <c r="C2275" s="8" t="s">
        <v>10025</v>
      </c>
      <c r="D2275" s="8" t="s">
        <v>71</v>
      </c>
      <c r="E2275" s="9" t="s">
        <v>19</v>
      </c>
      <c r="F2275" s="9" t="s">
        <v>20</v>
      </c>
      <c r="G2275" s="9" t="s">
        <v>524</v>
      </c>
      <c r="H2275" s="8" t="s">
        <v>10095</v>
      </c>
      <c r="I2275" s="8" t="s">
        <v>10096</v>
      </c>
      <c r="J2275" s="9">
        <v>17.3</v>
      </c>
      <c r="K2275" s="9">
        <v>13.0</v>
      </c>
      <c r="L2275" s="8" t="s">
        <v>387</v>
      </c>
      <c r="M2275" s="8" t="s">
        <v>10097</v>
      </c>
      <c r="N2275" s="7" t="str">
        <f>IFERROR(__xludf.DUMMYFUNCTION("GOOGLETRANSLATE(L2275, ""en"", ""pt"")"),"Ordem de serviço não disponível")</f>
        <v>Ordem de serviço não disponível</v>
      </c>
      <c r="O2275" s="7" t="str">
        <f>IFERROR(__xludf.DUMMYFUNCTION("IF(M2275="""","""",GOOGLETRANSLATE(M2275,""en"",""pt""))"),"Preparar, temperar e cozinhar sopas, carnes, legumes, frutas, sobremesas e outros alimentos diversos para consumo; observar as diretrizes da receita e os procedimentos de higiene. ***F.a.5 A-H e F.a.6a e F.a.6b: mínimo de 35 horas semanais. Turnos e horár"&amp;"ios variam de segunda a domingo, das 7h às 23h. *** F.b.9a: Aumentos e/ou bônus podem ser oferecidos a qualquer funcionário na função especificada, a critério exclusivo da empresa, com base em fatores individuais, incluindo desempenho, habilidade ou tempo"&amp;" de serviço. Classificação da função: 35-2014.00 - Cozinheiros, Restaurante. A classificação e a descrição da função/setor incluem informações gerais sobre o cargo, de acordo com o ONET/OES e o Sistema de Classificação Industrial da América do Norte. Cons"&amp;"ulte as Funções e a Ordem de Serviço para obter mais informações. Requisitos da vaga Experiência necessária: Não Requisitos especiais: Verificação de antecedentes pré-contratação, realizada igualmente entre trabalhadores americanos e trabalhadores com vis"&amp;"to H-2B. Disponibilidade para trabalhar em turnos divididos, noturnos, fins de semana e feriados, conforme necessário. Capacidade de levantar, puxar, empurrar ou carregar até 11 kg ou mais, e caminhar ou ficar em pé por longos períodos. Boa apresentação p"&amp;"essoal e capacidade de se comunicar em inglês. Número de horas por semana: 35 Horário de trabalho (início/término): 7h às 23h")</f>
        <v>Preparar, temperar e cozinhar sopas, carnes, legumes, frutas, sobremesas e outros alimentos diversos para consumo; observar as diretrizes da receita e os procedimentos de higiene. ***F.a.5 A-H e F.a.6a e F.a.6b: mínimo de 35 horas semanais. Turnos e horários variam de segunda a domingo, das 7h às 23h. *** F.b.9a: Aumentos e/ou bônus podem ser oferecidos a qualquer funcionário na função especificada, a critério exclusivo da empresa, com base em fatores individuais, incluindo desempenho, habilidade ou tempo de serviço. Classificação da função: 35-2014.00 - Cozinheiros, Restaurante. A classificação e a descrição da função/setor incluem informações gerais sobre o cargo, de acordo com o ONET/OES e o Sistema de Classificação Industrial da América do Norte. Consulte as Funções e a Ordem de Serviço para obter mais informações. Requisitos da vaga Experiência necessária: Não Requisitos especiais: Verificação de antecedentes pré-contratação, realizada igualmente entre trabalhadores americanos e trabalhadores com visto H-2B. Disponibilidade para trabalhar em turnos divididos, noturnos, fins de semana e feriados, conforme necessário. Capacidade de levantar, puxar, empurrar ou carregar até 11 kg ou mais, e caminhar ou ficar em pé por longos períodos. Boa apresentação pessoal e capacidade de se comunicar em inglês. Número de horas por semana: 35 Horário de trabalho (início/término): 7h às 23h</v>
      </c>
    </row>
    <row r="2276" ht="20.25" customHeight="1">
      <c r="A2276" s="3" t="s">
        <v>10098</v>
      </c>
      <c r="B2276" s="3" t="s">
        <v>10094</v>
      </c>
      <c r="C2276" s="3" t="s">
        <v>10025</v>
      </c>
      <c r="D2276" s="3" t="s">
        <v>71</v>
      </c>
      <c r="E2276" s="4" t="s">
        <v>19</v>
      </c>
      <c r="F2276" s="4" t="s">
        <v>20</v>
      </c>
      <c r="G2276" s="4" t="s">
        <v>524</v>
      </c>
      <c r="H2276" s="3" t="s">
        <v>10095</v>
      </c>
      <c r="I2276" s="3" t="s">
        <v>10096</v>
      </c>
      <c r="J2276" s="4">
        <v>16.82</v>
      </c>
      <c r="K2276" s="4">
        <v>1.0</v>
      </c>
      <c r="L2276" s="3" t="s">
        <v>7439</v>
      </c>
      <c r="M2276" s="3" t="s">
        <v>10099</v>
      </c>
      <c r="N2276" s="7" t="str">
        <f>IFERROR(__xludf.DUMMYFUNCTION("GOOGLETRANSLATE(L2276, ""en"", ""pt"")"),"Atendente de recepção")</f>
        <v>Atendente de recepção</v>
      </c>
      <c r="O2276" s="7" t="str">
        <f>IFERROR(__xludf.DUMMYFUNCTION("IF(M2276="""","""",GOOGLETRANSLATE(M2276,""en"",""pt""))"),"Recepcionar sócios e convidados; operar telefones seguindo a etiqueta telefônica adequada; responder a perguntas/fornecer informações, transmitir/receber mensagens; fazer/confirmar reservas; distribuir informações e horários do Clube, coletar/separar a co"&amp;"rrespondência. ***F.a.5 A-H e F.a.6a e F.a.6b: mínimo de 35 horas/semana. Turnos e horários variam de segunda a domingo, das 7h às 23h. *** F.b.9a: Aumentos e/ou bônus podem ser oferecidos a qualquer funcionário na ocupação especificada, a critério exclus"&amp;"ivo da empresa, com base em fatores individuais, incluindo desempenho no trabalho, habilidade ou tempo de serviço. Classificação do Cargo: 43-4081.00 - Recepcionistas de Hotel, Motel e Resort. A classificação e descrição do cargo/setor inclui informações "&amp;"gerais sobre a posição, de acordo com o ONET/OES e o Sistema de Classificação Industrial da América do Norte. Consulte as Funções e a Ordem de Serviço para obter mais informações. Requisitos da vaga Experiência necessária: Não Requisitos especiais: Verifi"&amp;"cação de antecedentes pré-contratação, realizada igualmente entre trabalhadores americanos e trabalhadores com visto H-2B. Disponibilidade para trabalhar em turnos divididos, noturnos, fins de semana e feriados, conforme necessário. Capacidade de levantar"&amp;", puxar, empurrar ou carregar até 11 kg ou mais, e caminhar ou ficar em pé por longos períodos. Boa apresentação pessoal e capacidade de se comunicar em inglês. Número de horas por semana: 35 Horário de trabalho (início/término): 7h às 23h")</f>
        <v>Recepcionar sócios e convidados; operar telefones seguindo a etiqueta telefônica adequada; responder a perguntas/fornecer informações, transmitir/receber mensagens; fazer/confirmar reservas; distribuir informações e horários do Clube, coletar/separar a correspondência. ***F.a.5 A-H e F.a.6a e F.a.6b: mínimo de 35 horas/semana. Turnos e horários variam de segunda a domingo, das 7h às 23h. *** F.b.9a: Aumentos e/ou bônus podem ser oferecidos a qualquer funcionário na ocupação especificada, a critério exclusivo da empresa, com base em fatores individuais, incluindo desempenho no trabalho, habilidade ou tempo de serviço. Classificação do Cargo: 43-4081.00 - Recepcionistas de Hotel, Motel e Resort. A classificação e descrição do cargo/setor inclui informações gerais sobre a posição, de acordo com o ONET/OES e o Sistema de Classificação Industrial da América do Norte. Consulte as Funções e a Ordem de Serviço para obter mais informações. Requisitos da vaga Experiência necessária: Não Requisitos especiais: Verificação de antecedentes pré-contratação, realizada igualmente entre trabalhadores americanos e trabalhadores com visto H-2B. Disponibilidade para trabalhar em turnos divididos, noturnos, fins de semana e feriados, conforme necessário. Capacidade de levantar, puxar, empurrar ou carregar até 11 kg ou mais, e caminhar ou ficar em pé por longos períodos. Boa apresentação pessoal e capacidade de se comunicar em inglês. Número de horas por semana: 35 Horário de trabalho (início/término): 7h às 23h</v>
      </c>
    </row>
    <row r="2277" ht="20.25" customHeight="1">
      <c r="A2277" s="8" t="s">
        <v>10100</v>
      </c>
      <c r="B2277" s="8" t="s">
        <v>10101</v>
      </c>
      <c r="C2277" s="8" t="s">
        <v>10025</v>
      </c>
      <c r="D2277" s="8" t="s">
        <v>71</v>
      </c>
      <c r="E2277" s="9" t="s">
        <v>19</v>
      </c>
      <c r="F2277" s="9" t="s">
        <v>20</v>
      </c>
      <c r="G2277" s="9" t="s">
        <v>524</v>
      </c>
      <c r="H2277" s="8" t="s">
        <v>10095</v>
      </c>
      <c r="I2277" s="8" t="s">
        <v>10096</v>
      </c>
      <c r="J2277" s="9">
        <v>22.56</v>
      </c>
      <c r="K2277" s="9">
        <v>2.0</v>
      </c>
      <c r="L2277" s="8" t="s">
        <v>3315</v>
      </c>
      <c r="M2277" s="8" t="s">
        <v>10102</v>
      </c>
      <c r="N2277" s="7" t="str">
        <f>IFERROR(__xludf.DUMMYFUNCTION("GOOGLETRANSLATE(L2277, ""en"", ""pt"")"),"Supervisor do refeitório")</f>
        <v>Supervisor do refeitório</v>
      </c>
      <c r="O2277" s="7" t="str">
        <f>IFERROR(__xludf.DUMMYFUNCTION("IF(M2277="""","""",GOOGLETRANSLATE(M2277,""en"",""pt""))"),"Supervisionar e coordenar as atividades da equipe do salão durante a preparação, o serviço e a limpeza. Treinar novos funcionários de serviço de alimentos e bebidas. Auxiliar no serviço de alimentos e bebidas conforme necessário, especialmente no atendime"&amp;"nto a convidados especiais e VIPs. Garantir que o mais alto nível de serviço seja prestado pela equipe de atendimento do clube. Manter contato com a equipe da cozinha, a gerência e a equipe de atendimento, e construir/manter um bom relacionamento com os m"&amp;"embros do clube. Elaborar a escala de trabalho da equipe. Planejar festas ou outros eventos e serviços especiais, conforme necessário. Outras responsabilidades razoáveis ​​relacionadas ao cargo poderão ser atribuídas, conforme necessário. ***F.a.5 A-H &amp; F"&amp;".a.6a &amp; F.a.6b: mínimo de 35 horas semanais. Turnos e horários variam de segunda a domingo, das 7h às 23h. *** F.b.9a: Aumentos e/ou bônus podem ser oferecidos a qualquer funcionário na função especificada, a critério exclusivo da empresa, com base em fat"&amp;"ores individuais, incluindo desempenho, habilidades ou tempo de serviço. Classificação da Função: 35-1012.00 - Supervisores de Primeira Linha de Preparadores e Servidores de Alimentos. A classificação e descrição da função/setor inclui informações gerais "&amp;"sobre o cargo, conforme o ONET/OES e o Sistema de Classificação Industrial da América do Norte (NAICS). Consulte as Funções e a Ordem de Serviço para obter mais informações. Requisitos da Função Experiência Necessária: Não. Requisitos Especiais: Verificaç"&amp;"ão de antecedentes pré-contratação, realizada igualmente entre trabalhadores americanos e trabalhadores com visto H-2B. Disponibilidade para trabalhar em turnos divididos, noturnos, fins de semana e feriados, conforme necessário. Capacidade de levantar, p"&amp;"uxar, empurrar ou carregar até 11 kg ou mais, e caminhar ou ficar em pé por longos períodos. Boa apresentação pessoal e capacidade de se comunicar em inglês. Número de Horas por Semana: 35. Horário de Trabalho (Início/Término): 7h às 23h.")</f>
        <v>Supervisionar e coordenar as atividades da equipe do salão durante a preparação, o serviço e a limpeza. Treinar novos funcionários de serviço de alimentos e bebidas. Auxiliar no serviço de alimentos e bebidas conforme necessário, especialmente no atendimento a convidados especiais e VIPs. Garantir que o mais alto nível de serviço seja prestado pela equipe de atendimento do clube. Manter contato com a equipe da cozinha, a gerência e a equipe de atendimento, e construir/manter um bom relacionamento com os membros do clube. Elaborar a escala de trabalho da equipe. Planejar festas ou outros eventos e serviços especiais, conforme necessário. Outras responsabilidades razoáveis ​​relacionadas ao cargo poderão ser atribuídas, conforme necessário. ***F.a.5 A-H &amp; F.a.6a &amp; F.a.6b: mínimo de 35 horas semanais. Turnos e horários variam de segunda a domingo, das 7h às 23h. *** F.b.9a: Aumentos e/ou bônus podem ser oferecidos a qualquer funcionário na função especificada, a critério exclusivo da empresa, com base em fatores individuais, incluindo desempenho, habilidades ou tempo de serviço. Classificação da Função: 35-1012.00 - Supervisores de Primeira Linha de Preparadores e Servidores de Alimentos. A classificação e descrição da função/setor inclui informações gerais sobre o cargo, conforme o ONET/OES e o Sistema de Classificação Industrial da América do Norte (NAICS). Consulte as Funções e a Ordem de Serviço para obter mais informações. Requisitos da Função Experiência Necessária: Não. Requisitos Especiais: Verificação de antecedentes pré-contratação, realizada igualmente entre trabalhadores americanos e trabalhadores com visto H-2B. Disponibilidade para trabalhar em turnos divididos, noturnos, fins de semana e feriados, conforme necessário. Capacidade de levantar, puxar, empurrar ou carregar até 11 kg ou mais, e caminhar ou ficar em pé por longos períodos. Boa apresentação pessoal e capacidade de se comunicar em inglês. Número de Horas por Semana: 35. Horário de Trabalho (Início/Término): 7h às 23h.</v>
      </c>
    </row>
    <row r="2278" ht="20.25" customHeight="1">
      <c r="A2278" s="3" t="s">
        <v>10103</v>
      </c>
      <c r="B2278" s="3" t="s">
        <v>10101</v>
      </c>
      <c r="C2278" s="3" t="s">
        <v>10025</v>
      </c>
      <c r="D2278" s="3" t="s">
        <v>71</v>
      </c>
      <c r="E2278" s="4" t="s">
        <v>19</v>
      </c>
      <c r="F2278" s="4" t="s">
        <v>20</v>
      </c>
      <c r="G2278" s="4" t="s">
        <v>524</v>
      </c>
      <c r="H2278" s="3" t="s">
        <v>10095</v>
      </c>
      <c r="I2278" s="3" t="s">
        <v>10096</v>
      </c>
      <c r="J2278" s="4">
        <v>18.71</v>
      </c>
      <c r="K2278" s="4">
        <v>20.0</v>
      </c>
      <c r="L2278" s="3" t="s">
        <v>1206</v>
      </c>
      <c r="M2278" s="3" t="s">
        <v>10104</v>
      </c>
      <c r="N2278" s="7" t="str">
        <f>IFERROR(__xludf.DUMMYFUNCTION("GOOGLETRANSLATE(L2278, ""en"", ""pt"")"),"Servidor")</f>
        <v>Servidor</v>
      </c>
      <c r="O2278" s="7" t="str">
        <f>IFERROR(__xludf.DUMMYFUNCTION("IF(M2278="""","""",GOOGLETRANSLATE(M2278,""en"",""pt""))"),"***Original*** Receber e servir pedidos de comida e bebida; realizar atividades de montagem e desmontagem de mesas e outras tarefas diversas; pode ser necessário trabalhar em ambientes externos e em eventos de banquetes; pode ser necessário servir cliente"&amp;"s em carrinhos de golfe. Outras tarefas razoáveis ​​relacionadas ao trabalho, conforme necessário. ***Resposta à RFI*** O trabalho é realizado em todos os espaços de refeições formais e informais do clube (salas de jantar, bar da piscina e, ocasionalmente"&amp;", em eventos de banquetes). As atividades de montagem e desmontagem de mesas e outras tarefas diversas incluem: servir água, condimentos e café; levar comida da cozinha para as mesas dos clientes; limpar as mesas, removendo toalhas de mesa, louças e utens"&amp;"ílios usados; arrumar as mesas com toalhas de mesa, louças e utensílios limpos; fornecer toalhas de mesa, talheres, copos e pratos limpos nas áreas de refeição; montar e desmontar buffets. ***F.a.5 A-H e F.a.6a e F.a.6b: mínimo de 35 horas semanais. Turno"&amp;"s e horários variam de segunda a domingo, das 7h às 23h. *** F.b.9a: Aumentos salariais e/ou bônus podem ser oferecidos a qualquer funcionário na ocupação especificada, a critério exclusivo da empresa, com base em fatores individuais, incluindo desempenho"&amp;" no trabalho, habilidade ou tempo de serviço. Classificação do Cargo: 35-3031.00 - Garçons e Garçonetes. A classificação e descrição do cargo/setor inclui informações gerais sobre a posição, de acordo com o ONET/OES e o Sistema de Classificação Industrial"&amp;" da América do Norte (NAICS). Consulte as Funções e a Ordem de Serviço para obter mais informações. Requisitos do Cargo Experiência Necessária: Não. Requisitos Especiais: Verificação de antecedentes pré-contratação, realizada igualmente entre trabalhadore"&amp;"s americanos e trabalhadores com visto H-2B. Disponibilidade para trabalhar em turnos divididos, noturnos, fins de semana e feriados, conforme necessário. Capacidade de levantar, puxar, empurrar ou carregar até 11 kg ou mais, e caminhar ou ficar em pé por"&amp;" longos períodos. Boa apresentação pessoal e capacidade de se comunicar em inglês. Número de Horas por Semana: 35. Horário de Trabalho (Início/Término): 7h às 23h.")</f>
        <v>***Original*** Receber e servir pedidos de comida e bebida; realizar atividades de montagem e desmontagem de mesas e outras tarefas diversas; pode ser necessário trabalhar em ambientes externos e em eventos de banquetes; pode ser necessário servir clientes em carrinhos de golfe. Outras tarefas razoáveis ​​relacionadas ao trabalho, conforme necessário. ***Resposta à RFI*** O trabalho é realizado em todos os espaços de refeições formais e informais do clube (salas de jantar, bar da piscina e, ocasionalmente, em eventos de banquetes). As atividades de montagem e desmontagem de mesas e outras tarefas diversas incluem: servir água, condimentos e café; levar comida da cozinha para as mesas dos clientes; limpar as mesas, removendo toalhas de mesa, louças e utensílios usados; arrumar as mesas com toalhas de mesa, louças e utensílios limpos; fornecer toalhas de mesa, talheres, copos e pratos limpos nas áreas de refeição; montar e desmontar buffets. ***F.a.5 A-H e F.a.6a e F.a.6b: mínimo de 35 horas semanais. Turnos e horários variam de segunda a domingo, das 7h às 23h. *** F.b.9a: Aumentos salariais e/ou bônus podem ser oferecidos a qualquer funcionário na ocupação especificada, a critério exclusivo da empresa, com base em fatores individuais, incluindo desempenho no trabalho, habilidade ou tempo de serviço. Classificação do Cargo: 35-3031.00 - Garçons e Garçonetes. A classificação e descrição do cargo/setor inclui informações gerais sobre a posição, de acordo com o ONET/OES e o Sistema de Classificação Industrial da América do Norte (NAICS). Consulte as Funções e a Ordem de Serviço para obter mais informações. Requisitos do Cargo Experiência Necessária: Não. Requisitos Especiais: Verificação de antecedentes pré-contratação, realizada igualmente entre trabalhadores americanos e trabalhadores com visto H-2B. Disponibilidade para trabalhar em turnos divididos, noturnos, fins de semana e feriados, conforme necessário. Capacidade de levantar, puxar, empurrar ou carregar até 11 kg ou mais, e caminhar ou ficar em pé por longos períodos. Boa apresentação pessoal e capacidade de se comunicar em inglês. Número de Horas por Semana: 35. Horário de Trabalho (Início/Término): 7h às 23h.</v>
      </c>
    </row>
    <row r="2279" ht="20.25" customHeight="1">
      <c r="A2279" s="8" t="s">
        <v>10105</v>
      </c>
      <c r="B2279" s="8" t="s">
        <v>10106</v>
      </c>
      <c r="C2279" s="8" t="s">
        <v>10025</v>
      </c>
      <c r="D2279" s="8" t="s">
        <v>71</v>
      </c>
      <c r="E2279" s="9" t="s">
        <v>19</v>
      </c>
      <c r="F2279" s="9" t="s">
        <v>20</v>
      </c>
      <c r="G2279" s="9" t="s">
        <v>524</v>
      </c>
      <c r="H2279" s="8" t="s">
        <v>10107</v>
      </c>
      <c r="I2279" s="8" t="s">
        <v>10108</v>
      </c>
      <c r="J2279" s="9">
        <v>17.3</v>
      </c>
      <c r="K2279" s="9">
        <v>9.0</v>
      </c>
      <c r="L2279" s="8" t="s">
        <v>586</v>
      </c>
      <c r="M2279" s="8" t="s">
        <v>10109</v>
      </c>
      <c r="N2279" s="7" t="str">
        <f>IFERROR(__xludf.DUMMYFUNCTION("GOOGLETRANSLATE(L2279, ""en"", ""pt"")"),"Cozinheiro de linha")</f>
        <v>Cozinheiro de linha</v>
      </c>
      <c r="O2279" s="7" t="str">
        <f>IFERROR(__xludf.DUMMYFUNCTION("IF(M2279="""","""",GOOGLETRANSLATE(M2279,""en"",""pt""))"),"Preparar, temperar, cozinhar, empratar e decorar refeições. Medir/misturar ingredientes conforme a receita para cozinhar do zero. Seguir os procedimentos adequados de controle de porções, apresentação, consistência, sabor e higiene. Observar/provar os ali"&amp;"mentos cozidos. Pode substituir/auxiliar outros cozinheiros em emergências/períodos de pico. ***F.a.5 A-H e F.a.6a e F.a.6b: mínimo de 35 horas/semana. Turnos e horários variam de segunda a domingo, das 7h às 23h. *** F.b.9a: Aumentos e/ou bônus podem ser"&amp;" oferecidos a qualquer funcionário na ocupação especificada, a critério exclusivo da empresa, com base em fatores individuais, incluindo desempenho no trabalho, habilidade ou tempo de serviço. Classificação do Cargo: 35-2014.00 - Cozinheiros, Restaurante."&amp;" A classificação e descrição do cargo/setor inclui informações gerais sobre a posição, de acordo com o ONET/OES e o Sistema de Classificação Industrial da América do Norte. Consulte as Funções e a Ordem de Serviço para obter mais informações. Requisitos d"&amp;"a vaga Experiência necessária: Não Requisitos especiais: Exame toxicológico pré-admissional, realizado igualmente para trabalhadores americanos e trabalhadores com visto H-2B. Disponibilidade para trabalhar em turnos divididos, noturnos, fins de semana e "&amp;"feriados, conforme necessário. Capacidade de levantar, puxar, empurrar ou carregar até 11 kg ou mais, e caminhar ou ficar em pé por longos períodos. Boa apresentação pessoal e capacidade de se comunicar em inglês. Número de horas por semana: 35 Horário de"&amp;" trabalho (início/término): 7h às 23h")</f>
        <v>Preparar, temperar, cozinhar, empratar e decorar refeições. Medir/misturar ingredientes conforme a receita para cozinhar do zero. Seguir os procedimentos adequados de controle de porções, apresentação, consistência, sabor e higiene. Observar/provar os alimentos cozidos. Pode substituir/auxiliar outros cozinheiros em emergências/períodos de pico. ***F.a.5 A-H e F.a.6a e F.a.6b: mínimo de 35 horas/semana. Turnos e horários variam de segunda a domingo, das 7h às 23h. *** F.b.9a: Aumentos e/ou bônus podem ser oferecidos a qualquer funcionário na ocupação especificada, a critério exclusivo da empresa, com base em fatores individuais, incluindo desempenho no trabalho, habilidade ou tempo de serviço. Classificação do Cargo: 35-2014.00 - Cozinheiros, Restaurante. A classificação e descrição do cargo/setor inclui informações gerais sobre a posição, de acordo com o ONET/OES e o Sistema de Classificação Industrial da América do Norte. Consulte as Funções e a Ordem de Serviço para obter mais informações. Requisitos da vaga Experiência necessária: Não Requisitos especiais: Exame toxicológico pré-admissional, realizado igualmente para trabalhadores americanos e trabalhadores com visto H-2B. Disponibilidade para trabalhar em turnos divididos, noturnos, fins de semana e feriados, conforme necessário. Capacidade de levantar, puxar, empurrar ou carregar até 11 kg ou mais, e caminhar ou ficar em pé por longos períodos. Boa apresentação pessoal e capacidade de se comunicar em inglês. Número de horas por semana: 35 Horário de trabalho (início/término): 7h às 23h</v>
      </c>
    </row>
    <row r="2280" ht="20.25" customHeight="1">
      <c r="A2280" s="3" t="s">
        <v>10110</v>
      </c>
      <c r="B2280" s="3" t="s">
        <v>10106</v>
      </c>
      <c r="C2280" s="3" t="s">
        <v>10025</v>
      </c>
      <c r="D2280" s="3" t="s">
        <v>71</v>
      </c>
      <c r="E2280" s="4" t="s">
        <v>19</v>
      </c>
      <c r="F2280" s="4" t="s">
        <v>20</v>
      </c>
      <c r="G2280" s="4" t="s">
        <v>524</v>
      </c>
      <c r="H2280" s="3" t="s">
        <v>10107</v>
      </c>
      <c r="I2280" s="3" t="s">
        <v>10108</v>
      </c>
      <c r="J2280" s="4">
        <v>22.56</v>
      </c>
      <c r="K2280" s="4">
        <v>2.0</v>
      </c>
      <c r="L2280" s="3" t="s">
        <v>4654</v>
      </c>
      <c r="M2280" s="3" t="s">
        <v>10111</v>
      </c>
      <c r="N2280" s="7" t="str">
        <f>IFERROR(__xludf.DUMMYFUNCTION("GOOGLETRANSLATE(L2280, ""en"", ""pt"")"),"Capitão do servidor")</f>
        <v>Capitão do servidor</v>
      </c>
      <c r="O2280" s="7" t="str">
        <f>IFERROR(__xludf.DUMMYFUNCTION("IF(M2280="""","""",GOOGLETRANSLATE(M2280,""en"",""pt""))"),"Supervisionar a equipe de atendimento durante a preparação, o serviço e a limpeza; treinar novos garçons no salão; construir e manter um bom relacionamento com os membros do clube; assumir as funções de garçom quando necessário, principalmente no atendime"&amp;"nto a convidados de honra e VIPs; estabelecer um padrão exemplar e garantir que o mais alto nível de serviço seja prestado pela equipe de atendimento do clube. ***F.a.5 A-H &amp; F.a.6a &amp; F.a.6b: mínimo de 35 horas semanais. Turnos e horários variam de segund"&amp;"a a domingo, das 7h às 23h. *** F.b.9a: Aumentos e/ou bônus podem ser oferecidos a qualquer funcionário na ocupação especificada, a critério exclusivo da empresa, com base em fatores individuais, incluindo desempenho, habilidade ou tempo de serviço. Class"&amp;"ificação do Cargo: 35-1012.00 - Supervisores de Primeira Linha de Preparadores e Servidores de Alimentos. A classificação e descrição do cargo/setor inclui informações gerais sobre a posição, de acordo com o ONET/OES e o Sistema de Classificação Industria"&amp;"l da América do Norte. Consulte as Funções e a Ordem de Serviço para obter mais informações. Requisitos da vaga Experiência necessária: Não Requisitos especiais: Exame toxicológico pré-admissional, realizado igualmente para trabalhadores americanos e trab"&amp;"alhadores com visto H-2B. Disponibilidade para trabalhar em turnos divididos, noturnos, fins de semana e feriados, conforme necessário. Capacidade de levantar, puxar, empurrar ou carregar até 11 kg ou mais, e caminhar ou ficar em pé por longos períodos. B"&amp;"oa apresentação pessoal e capacidade de se comunicar em inglês. Número de horas por semana: 35 Horário de trabalho (início/término): 7h às 23h")</f>
        <v>Supervisionar a equipe de atendimento durante a preparação, o serviço e a limpeza; treinar novos garçons no salão; construir e manter um bom relacionamento com os membros do clube; assumir as funções de garçom quando necessário, principalmente no atendimento a convidados de honra e VIPs; estabelecer um padrão exemplar e garantir que o mais alto nível de serviço seja prestado pela equipe de atendimento do clube. ***F.a.5 A-H &amp; F.a.6a &amp; F.a.6b: mínimo de 35 horas semanais. Turnos e horários variam de segunda a domingo, das 7h às 23h. *** F.b.9a: Aumentos e/ou bônus podem ser oferecidos a qualquer funcionário na ocupação especificada, a critério exclusivo da empresa, com base em fatores individuais, incluindo desempenho, habilidade ou tempo de serviço. Classificação do Cargo: 35-1012.00 - Supervisores de Primeira Linha de Preparadores e Servidores de Alimentos. A classificação e descrição do cargo/setor inclui informações gerais sobre a posição, de acordo com o ONET/OES e o Sistema de Classificação Industrial da América do Norte. Consulte as Funções e a Ordem de Serviço para obter mais informações. Requisitos da vaga Experiência necessária: Não Requisitos especiais: Exame toxicológico pré-admissional, realizado igualmente para trabalhadores americanos e trabalhadores com visto H-2B. Disponibilidade para trabalhar em turnos divididos, noturnos, fins de semana e feriados, conforme necessário. Capacidade de levantar, puxar, empurrar ou carregar até 11 kg ou mais, e caminhar ou ficar em pé por longos períodos. Boa apresentação pessoal e capacidade de se comunicar em inglês. Número de horas por semana: 35 Horário de trabalho (início/término): 7h às 23h</v>
      </c>
    </row>
    <row r="2281" ht="20.25" customHeight="1">
      <c r="A2281" s="8" t="s">
        <v>10112</v>
      </c>
      <c r="B2281" s="8" t="s">
        <v>10106</v>
      </c>
      <c r="C2281" s="8" t="s">
        <v>10025</v>
      </c>
      <c r="D2281" s="8" t="s">
        <v>71</v>
      </c>
      <c r="E2281" s="9" t="s">
        <v>44</v>
      </c>
      <c r="F2281" s="9" t="s">
        <v>20</v>
      </c>
      <c r="G2281" s="9" t="s">
        <v>524</v>
      </c>
      <c r="H2281" s="8" t="s">
        <v>10107</v>
      </c>
      <c r="I2281" s="8" t="s">
        <v>10108</v>
      </c>
      <c r="J2281" s="9">
        <v>18.71</v>
      </c>
      <c r="K2281" s="9">
        <v>24.0</v>
      </c>
      <c r="L2281" s="8" t="s">
        <v>1206</v>
      </c>
      <c r="M2281" s="8" t="s">
        <v>10113</v>
      </c>
      <c r="N2281" s="7" t="str">
        <f>IFERROR(__xludf.DUMMYFUNCTION("GOOGLETRANSLATE(L2281, ""en"", ""pt"")"),"Servidor")</f>
        <v>Servidor</v>
      </c>
      <c r="O2281" s="7" t="str">
        <f>IFERROR(__xludf.DUMMYFUNCTION("IF(M2281="""","""",GOOGLETRANSLATE(M2281,""en"",""pt""))"),"***Original*** Servir comida, água, refrigerantes e bebidas alcoólicas. Apresentar cardápios, anotar pedidos e repassá-los à cozinha. Realizar tarefas auxiliares, limpar mesas, transportar pratos do salão para a cozinha e manter as áreas de trabalho limpa"&amp;"s. Fornecer toalhas de mesa, talheres, copos e pratos limpos no salão. Auxiliar na montagem, limpeza, abertura e fechamento do restaurante/área de alimentos e bebidas. Pode ser necessário realizar tarefas em ambientes externos, em eventos de banquetes ou "&amp;"atender clientes em carrinho de golfe. Pode executar outras tarefas razoáveis ​​relacionadas ao trabalho, conforme necessário. ***Resposta à Solicitação de Informações (RFI)*** As tarefas de montagem, limpeza, abertura e fechamento do restaurante/área de "&amp;"alimentos e bebidas podem incluir: limpar as mesas, removendo toalhas de mesa, louças e utensílios usados; arrumar as mesas com toalhas de mesa, louças e utensílios limpos; montar e desmontar buffets. Tarefas razoáveis ​​relacionadas ao trabalho podem inc"&amp;"luir: servir condimentos e café; abastecer o bar de serviço com alimentos; manter o buffet abastecido com alimentos, pratos, recipientes e utensílios. ***F.a.5 A-H e F.a.6a e F.a.6b: mínimo de 35 horas semanais. Turnos e horários variam de segunda a domin"&amp;"go, das 7h às 23h. *** F.b.9a: Aumentos e/ou bônus podem ser oferecidos a qualquer funcionário na ocupação especificada, a critério exclusivo da empresa, com base em fatores individuais, incluindo desempenho, habilidades ou tempo de serviço. Classificação"&amp;" da vaga: 35-3031.00 - Garçons e Garçonetes. A classificação e descrição da vaga/setor inclui informações gerais sobre o cargo, de acordo com o ONET/OES e o Sistema de Classificação Industrial da América do Norte (NAICS). Consulte as Funções e a Ordem de "&amp;"Serviço para obter mais informações. Requisitos da vaga: Experiência exigida: Não. Requisitos especiais: Teste antidrogas pré-admissional, realizado igualmente para funcionários americanos e trabalhadores com visto H-2B. Disponibilidade para trabalhar em "&amp;"turnos divididos, noturnos, fins de semana e feriados, conforme necessário. Deve ser capaz de levantar, puxar, empurrar ou carregar até 11 kg ou mais, e caminhar ou ficar em pé por longos períodos. Boa apresentação pessoal e capacidade de se comunicar em "&amp;"inglês. Número de horas por semana: 35. Horário de trabalho (início/término): 7h às 23h.")</f>
        <v>***Original*** Servir comida, água, refrigerantes e bebidas alcoólicas. Apresentar cardápios, anotar pedidos e repassá-los à cozinha. Realizar tarefas auxiliares, limpar mesas, transportar pratos do salão para a cozinha e manter as áreas de trabalho limpas. Fornecer toalhas de mesa, talheres, copos e pratos limpos no salão. Auxiliar na montagem, limpeza, abertura e fechamento do restaurante/área de alimentos e bebidas. Pode ser necessário realizar tarefas em ambientes externos, em eventos de banquetes ou atender clientes em carrinho de golfe. Pode executar outras tarefas razoáveis ​​relacionadas ao trabalho, conforme necessário. ***Resposta à Solicitação de Informações (RFI)*** As tarefas de montagem, limpeza, abertura e fechamento do restaurante/área de alimentos e bebidas podem incluir: limpar as mesas, removendo toalhas de mesa, louças e utensílios usados; arrumar as mesas com toalhas de mesa, louças e utensílios limpos; montar e desmontar buffets. Tarefas razoáveis ​​relacionadas ao trabalho podem incluir: servir condimentos e café; abastecer o bar de serviço com alimentos; manter o buffet abastecido com alimentos, pratos, recipientes e utensílios. ***F.a.5 A-H e F.a.6a e F.a.6b: mínimo de 35 horas semanais. Turnos e horários variam de segunda a domingo, das 7h às 23h. *** F.b.9a: Aumentos e/ou bônus podem ser oferecidos a qualquer funcionário na ocupação especificada, a critério exclusivo da empresa, com base em fatores individuais, incluindo desempenho, habilidades ou tempo de serviço. Classificação da vaga: 35-3031.00 - Garçons e Garçonetes. A classificação e descrição da vaga/setor inclui informações gerais sobre o cargo, de acordo com o ONET/OES e o Sistema de Classificação Industrial da América do Norte (NAICS). Consulte as Funções e a Ordem de Serviço para obter mais informações. Requisitos da vaga: Experiência exigida: Não. Requisitos especiais: Teste antidrogas pré-admissional, realizado igualmente para funcionários americanos e trabalhadores com visto H-2B. Disponibilidade para trabalhar em turnos divididos, noturnos, fins de semana e feriados, conforme necessário. Deve ser capaz de levantar, puxar, empurrar ou carregar até 11 kg ou mais, e caminhar ou ficar em pé por longos períodos. Boa apresentação pessoal e capacidade de se comunicar em inglês. Número de horas por semana: 35. Horário de trabalho (início/término): 7h às 23h.</v>
      </c>
    </row>
    <row r="2282" ht="20.25" customHeight="1">
      <c r="A2282" s="3" t="s">
        <v>10114</v>
      </c>
      <c r="B2282" s="3" t="s">
        <v>10115</v>
      </c>
      <c r="C2282" s="3" t="s">
        <v>10025</v>
      </c>
      <c r="D2282" s="3" t="s">
        <v>71</v>
      </c>
      <c r="E2282" s="4" t="s">
        <v>19</v>
      </c>
      <c r="F2282" s="4" t="s">
        <v>20</v>
      </c>
      <c r="G2282" s="4" t="s">
        <v>524</v>
      </c>
      <c r="H2282" s="3" t="s">
        <v>10116</v>
      </c>
      <c r="I2282" s="3" t="s">
        <v>10117</v>
      </c>
      <c r="J2282" s="4">
        <v>17.87</v>
      </c>
      <c r="K2282" s="4">
        <v>4.0</v>
      </c>
      <c r="L2282" s="3" t="s">
        <v>1684</v>
      </c>
      <c r="M2282" s="3" t="s">
        <v>10118</v>
      </c>
      <c r="N2282" s="7" t="str">
        <f>IFERROR(__xludf.DUMMYFUNCTION("GOOGLETRANSLATE(L2282, ""en"", ""pt"")"),"Barman")</f>
        <v>Barman</v>
      </c>
      <c r="O2282" s="7" t="str">
        <f>IFERROR(__xludf.DUMMYFUNCTION("IF(M2282="""","""",GOOGLETRANSLATE(M2282,""en"",""pt""))"),"Anotar pedidos de bebidas. Preparar e servir drinks. Limpar copos e equipamentos de bar. Manter a área do bar limpa e abastecida. Pode ser necessário anotar e servir pedidos de comida. Solicitar e exibir bebidas alcoólicas e suprimentos. Pode executar out"&amp;"ras tarefas razoáveis ​​relacionadas ao trabalho, conforme necessário. ***F.a.5 A-H &amp; F.a.6a &amp; F.a.6b Mínimo de 35 horas/semana. Turnos e horários variam de segunda a domingo, das 7h às 0h. *** F.b.9a: Aumentos e/ou bônus podem ser oferecidos a qualquer f"&amp;"uncionário na ocupação especificada, a critério exclusivo da empresa, com base em fatores individuais, incluindo desempenho no trabalho, habilidade ou tempo de serviço. Classificação do Cargo: 35-3011.00 - Bartenders. A classificação e descrição do cargo/"&amp;"setor inclui informações gerais sobre a posição, de acordo com o ONET/OES e o Sistema de Classificação Industrial da América do Norte. Consulte as Funções e a Ordem de Serviço para obter mais informações. Requisitos do Cargo Experiência Necessária: Não. R"&amp;"equisitos Especiais: Disponibilidade para trabalhar em turnos divididos, noturnos, fins de semana e feriados, conforme necessário. Deve ser capaz de levantar, puxar, empurrar ou carregar até 11 kg ou mais, e caminhar ou ficar em pé por longos períodos. Bo"&amp;"a apresentação pessoal e capacidade de se comunicar em inglês. Número de horas por semana: 35. Horário de trabalho (início/término): 7h às 0h.")</f>
        <v>Anotar pedidos de bebidas. Preparar e servir drinks. Limpar copos e equipamentos de bar. Manter a área do bar limpa e abastecida. Pode ser necessário anotar e servir pedidos de comida. Solicitar e exibir bebidas alcoólicas e suprimentos. Pode executar outras tarefas razoáveis ​​relacionadas ao trabalho, conforme necessário. ***F.a.5 A-H &amp; F.a.6a &amp; F.a.6b Mínimo de 35 horas/semana. Turnos e horários variam de segunda a domingo, das 7h às 0h. *** F.b.9a: Aumentos e/ou bônus podem ser oferecidos a qualquer funcionário na ocupação especificada, a critério exclusivo da empresa, com base em fatores individuais, incluindo desempenho no trabalho, habilidade ou tempo de serviço. Classificação do Cargo: 35-3011.00 - Bartenders. A classificação e descrição do cargo/setor inclui informações gerais sobre a posição, de acordo com o ONET/OES e o Sistema de Classificação Industrial da América do Norte. Consulte as Funções e a Ordem de Serviço para obter mais informações. Requisitos do Cargo Experiência Necessária: Não. Requisitos Especiais: Disponibilidade para trabalhar em turnos divididos, noturnos, fins de semana e feriados, conforme necessário. Deve ser capaz de levantar, puxar, empurrar ou carregar até 11 kg ou mais, e caminhar ou ficar em pé por longos períodos. Boa apresentação pessoal e capacidade de se comunicar em inglês. Número de horas por semana: 35. Horário de trabalho (início/término): 7h às 0h.</v>
      </c>
    </row>
    <row r="2283" ht="20.25" customHeight="1">
      <c r="A2283" s="8" t="s">
        <v>10119</v>
      </c>
      <c r="B2283" s="8" t="s">
        <v>10115</v>
      </c>
      <c r="C2283" s="8" t="s">
        <v>10025</v>
      </c>
      <c r="D2283" s="8" t="s">
        <v>71</v>
      </c>
      <c r="E2283" s="9" t="s">
        <v>19</v>
      </c>
      <c r="F2283" s="9" t="s">
        <v>20</v>
      </c>
      <c r="G2283" s="9" t="s">
        <v>524</v>
      </c>
      <c r="H2283" s="8" t="s">
        <v>10116</v>
      </c>
      <c r="I2283" s="8" t="s">
        <v>10117</v>
      </c>
      <c r="J2283" s="9">
        <v>17.32</v>
      </c>
      <c r="K2283" s="9">
        <v>17.0</v>
      </c>
      <c r="L2283" s="8" t="s">
        <v>387</v>
      </c>
      <c r="M2283" s="8" t="s">
        <v>10120</v>
      </c>
      <c r="N2283" s="7" t="str">
        <f>IFERROR(__xludf.DUMMYFUNCTION("GOOGLETRANSLATE(L2283, ""en"", ""pt"")"),"Ordem de serviço não disponível")</f>
        <v>Ordem de serviço não disponível</v>
      </c>
      <c r="O2283" s="7" t="str">
        <f>IFERROR(__xludf.DUMMYFUNCTION("IF(M2283="""","""",GOOGLETRANSLATE(M2283,""en"",""pt""))"),"Preparar, temperar, cozinhar, empratar e decorar refeições. Medir/misturar ingredientes conforme a receita para cozinhar do zero. Seguir os procedimentos adequados de controle de porções, apresentação, consistência, sabor e higiene. Observar/provar os ali"&amp;"mentos cozidos. Pode substituir/auxiliar outros cozinheiros em emergências/períodos de pico. ***F.a.5 A-H e F.a.6a e F.a.6b: mínimo de 35 horas/semana. Turnos e horários variam de segunda a domingo, das 7h às 0h. *** F.b.9a: Aumentos e/ou bônus podem ser "&amp;"oferecidos a qualquer funcionário na ocupação especificada, a critério exclusivo da empresa, com base em fatores individuais, incluindo desempenho no trabalho, habilidade ou tempo de serviço. Classificação do Cargo: 35-2014.00 - Cozinheiros, Restaurante. "&amp;"A classificação e descrição do cargo/setor inclui informações gerais sobre a posição, de acordo com o ONET/OES e o Sistema de Classificação Industrial da América do Norte. Consulte as Funções e a Ordem de Serviço para obter mais informações. Requisitos da"&amp;" vaga Experiência necessária: Não Requisitos especiais: Disponibilidade para trabalhar em turnos divididos, noturnos, fins de semana e feriados, conforme necessário. Capacidade de levantar, puxar, empurrar ou carregar até 11 kg ou mais, e caminhar ou fica"&amp;"r em pé por longos períodos. Boa apresentação pessoal e capacidade de se comunicar em inglês. Número de horas por semana: 35 Horário de trabalho (início/término): 7h às 0h")</f>
        <v>Preparar, temperar, cozinhar, empratar e decorar refeições. Medir/misturar ingredientes conforme a receita para cozinhar do zero. Seguir os procedimentos adequados de controle de porções, apresentação, consistência, sabor e higiene. Observar/provar os alimentos cozidos. Pode substituir/auxiliar outros cozinheiros em emergências/períodos de pico. ***F.a.5 A-H e F.a.6a e F.a.6b: mínimo de 35 horas/semana. Turnos e horários variam de segunda a domingo, das 7h às 0h. *** F.b.9a: Aumentos e/ou bônus podem ser oferecidos a qualquer funcionário na ocupação especificada, a critério exclusivo da empresa, com base em fatores individuais, incluindo desempenho no trabalho, habilidade ou tempo de serviço. Classificação do Cargo: 35-2014.00 - Cozinheiros, Restaurante. A classificação e descrição do cargo/setor inclui informações gerais sobre a posição, de acordo com o ONET/OES e o Sistema de Classificação Industrial da América do Norte. Consulte as Funções e a Ordem de Serviço para obter mais informações. Requisitos da vaga Experiência necessária: Não Requisitos especiais: Disponibilidade para trabalhar em turnos divididos, noturnos, fins de semana e feriados, conforme necessário. Capacidade de levantar, puxar, empurrar ou carregar até 11 kg ou mais, e caminhar ou ficar em pé por longos períodos. Boa apresentação pessoal e capacidade de se comunicar em inglês. Número de horas por semana: 35 Horário de trabalho (início/término): 7h às 0h</v>
      </c>
    </row>
    <row r="2284" ht="20.25" customHeight="1">
      <c r="A2284" s="3" t="s">
        <v>10121</v>
      </c>
      <c r="B2284" s="3" t="s">
        <v>10115</v>
      </c>
      <c r="C2284" s="3" t="s">
        <v>10025</v>
      </c>
      <c r="D2284" s="3" t="s">
        <v>71</v>
      </c>
      <c r="E2284" s="4" t="s">
        <v>19</v>
      </c>
      <c r="F2284" s="4" t="s">
        <v>20</v>
      </c>
      <c r="G2284" s="4" t="s">
        <v>524</v>
      </c>
      <c r="H2284" s="3" t="s">
        <v>10116</v>
      </c>
      <c r="I2284" s="3" t="s">
        <v>10117</v>
      </c>
      <c r="J2284" s="4">
        <v>18.42</v>
      </c>
      <c r="K2284" s="4">
        <v>18.0</v>
      </c>
      <c r="L2284" s="3" t="s">
        <v>1206</v>
      </c>
      <c r="M2284" s="3" t="s">
        <v>10122</v>
      </c>
      <c r="N2284" s="7" t="str">
        <f>IFERROR(__xludf.DUMMYFUNCTION("GOOGLETRANSLATE(L2284, ""en"", ""pt"")"),"Servidor")</f>
        <v>Servidor</v>
      </c>
      <c r="O2284" s="7" t="str">
        <f>IFERROR(__xludf.DUMMYFUNCTION("IF(M2284="""","""",GOOGLETRANSLATE(M2284,""en"",""pt""))"),"***Original*** Servir comida, água, refrigerantes e bebidas alcoólicas. Apresentar cardápios, anotar pedidos e repassá-los à cozinha. Realizar tarefas auxiliares, limpar mesas, transportar pratos do salão para a cozinha e manter as áreas de trabalho limpa"&amp;"s. Fornecer toalhas de mesa, talheres, copos e pratos limpos no salão. Auxiliar na montagem, limpeza, abertura e fechamento do restaurante/área de alimentos e bebidas. Pode ser necessário realizar tarefas em ambientes externos, em eventos de banquetes ou "&amp;"atender clientes em carrinho de golfe. Outras tarefas razoáveis ​​relacionadas ao trabalho, conforme necessário. ***Resposta à Solicitação de Informações (RFI)*** As tarefas de montagem, limpeza, abertura e fechamento do restaurante/área de alimentos e be"&amp;"bidas podem incluir: limpar as mesas, removendo toalhas de mesa, louças e utensílios usados; arrumar as mesas com toalhas de mesa, louças e utensílios limpos; montar e desmontar buffets. Outras tarefas razoáveis ​​relacionadas ao trabalho podem incluir: s"&amp;"ervir condimentos e café; abastecer o bar de serviço com alimentos; manter o buffet abastecido com alimentos, pratos, recipientes e utensílios. ***F.a.5 A-H e F.a.6a e F.a.6b: mínimo de 35 horas semanais. Turnos e horários variam de segunda a domingo, das"&amp;" 7h às 0h. *** F.b.9a: Aumentos e/ou bônus podem ser oferecidos a qualquer funcionário na ocupação especificada, a critério exclusivo da empresa, com base em fatores individuais, incluindo desempenho, habilidades ou tempo de serviço. Classificação da vaga"&amp;": 35-3031.00 - Garçons e Garçonetes. A classificação e descrição da vaga/setor inclui informações gerais sobre o cargo, de acordo com o ONET/OES e o Sistema de Classificação Industrial da América do Norte (NAICS). Consulte as Funções e a Ordem de Serviço "&amp;"para obter mais informações. Requisitos da vaga: Experiência necessária: Não. Requisitos especiais: Disponibilidade para trabalhar em turnos divididos, noturnos, fins de semana e feriados, conforme necessário. Capacidade de levantar, puxar, empurrar ou ca"&amp;"rregar até 11 kg ou mais e caminhar ou ficar em pé por longos períodos. Boa apresentação pessoal e capacidade de se comunicar em inglês. Número de horas por semana: 35 Horário de trabalho (início/término): 7h00 - 0h00")</f>
        <v>***Original*** Servir comida, água, refrigerantes e bebidas alcoólicas. Apresentar cardápios, anotar pedidos e repassá-los à cozinha. Realizar tarefas auxiliares, limpar mesas, transportar pratos do salão para a cozinha e manter as áreas de trabalho limpas. Fornecer toalhas de mesa, talheres, copos e pratos limpos no salão. Auxiliar na montagem, limpeza, abertura e fechamento do restaurante/área de alimentos e bebidas. Pode ser necessário realizar tarefas em ambientes externos, em eventos de banquetes ou atender clientes em carrinho de golfe. Outras tarefas razoáveis ​​relacionadas ao trabalho, conforme necessário. ***Resposta à Solicitação de Informações (RFI)*** As tarefas de montagem, limpeza, abertura e fechamento do restaurante/área de alimentos e bebidas podem incluir: limpar as mesas, removendo toalhas de mesa, louças e utensílios usados; arrumar as mesas com toalhas de mesa, louças e utensílios limpos; montar e desmontar buffets. Outras tarefas razoáveis ​​relacionadas ao trabalho podem incluir: servir condimentos e café; abastecer o bar de serviço com alimentos; manter o buffet abastecido com alimentos, pratos, recipientes e utensílios. ***F.a.5 A-H e F.a.6a e F.a.6b: mínimo de 35 horas semanais. Turnos e horários variam de segunda a domingo, das 7h às 0h. *** F.b.9a: Aumentos e/ou bônus podem ser oferecidos a qualquer funcionário na ocupação especificada, a critério exclusivo da empresa, com base em fatores individuais, incluindo desempenho, habilidades ou tempo de serviço. Classificação da vaga: 35-3031.00 - Garçons e Garçonetes. A classificação e descrição da vaga/setor inclui informações gerais sobre o cargo, de acordo com o ONET/OES e o Sistema de Classificação Industrial da América do Norte (NAICS). Consulte as Funções e a Ordem de Serviço para obter mais informações. Requisitos da vaga: Experiência necessária: Não. Requisitos especiais: Disponibilidade para trabalhar em turnos divididos, noturnos, fins de semana e feriados, conforme necessário. Capacidade de levantar, puxar, empurrar ou carregar até 11 kg ou mais e caminhar ou ficar em pé por longos períodos. Boa apresentação pessoal e capacidade de se comunicar em inglês. Número de horas por semana: 35 Horário de trabalho (início/término): 7h00 - 0h00</v>
      </c>
    </row>
    <row r="2285" ht="20.25" customHeight="1">
      <c r="A2285" s="8" t="s">
        <v>10123</v>
      </c>
      <c r="B2285" s="8" t="s">
        <v>10115</v>
      </c>
      <c r="C2285" s="8" t="s">
        <v>10025</v>
      </c>
      <c r="D2285" s="8" t="s">
        <v>71</v>
      </c>
      <c r="E2285" s="9" t="s">
        <v>19</v>
      </c>
      <c r="F2285" s="9" t="s">
        <v>20</v>
      </c>
      <c r="G2285" s="9" t="s">
        <v>524</v>
      </c>
      <c r="H2285" s="8" t="s">
        <v>10116</v>
      </c>
      <c r="I2285" s="8" t="s">
        <v>10117</v>
      </c>
      <c r="J2285" s="9">
        <v>16.84</v>
      </c>
      <c r="K2285" s="9">
        <v>5.0</v>
      </c>
      <c r="L2285" s="8" t="s">
        <v>5723</v>
      </c>
      <c r="M2285" s="8" t="s">
        <v>10047</v>
      </c>
      <c r="N2285" s="7" t="str">
        <f>IFERROR(__xludf.DUMMYFUNCTION("GOOGLETRANSLATE(L2285, ""en"", ""pt"")"),"Atendente de Recreação")</f>
        <v>Atendente de Recreação</v>
      </c>
      <c r="O2285" s="7" t="str">
        <f>IFERROR(__xludf.DUMMYFUNCTION("IF(M2285="""","""",GOOGLETRANSLATE(M2285,""en"",""pt""))"),"***Original*** Prestar assistência nas instalações de golfe/esportes/clube, incluindo: recepcionar os sócios; confirmar reservas; responder a perguntas; organizar mercadorias e fornecer informações sobre as instalações; carregar/descarregar sacos de golfe"&amp;"; manusear/limpar/manter carrinhos de golfe, sacos, tacos e sapatos; manter o galpão de carrinhos e a área de espera organizados e abastecidos com bolas de golfe limpas, gelo, copos e coolers de bebidas; remoção ocasional de lixo e limpeza de banheiros; t"&amp;"ransportar equipamentos de golfe ou esportivos e veículos dos sócios de e para as instalações do clube; executar outras tarefas relacionadas, conforme atribuídas. ***Resposta à RFI*** Ocasionalmente, dirigir os veículos dos sócios da área de entrega de sa"&amp;"cos de golfe até o serviço de manobrista do clube ou vice-versa. Outras tarefas relacionadas podem incluir: coletar bolas de golfe do campo de prática, lavar bolas de golfe e mantê-las prontas para reposição; reabastecer os bebedouros para os jogadores no"&amp;" campo de golfe quando necessário. ***F.a.5 A-H e F.a.6a e F.a.6b Mínimo de 35 horas/semana. Turnos e horários variam de segunda a domingo, das 7h às 23h. *** F.b.9a: Aumentos salariais e/ou bônus podem ser oferecidos a qualquer funcionário na ocupação es"&amp;"pecificada, a critério exclusivo da empresa, com base em fatores individuais, incluindo desempenho no trabalho, habilidade ou tempo de serviço. Classificação do Cargo: 37-2011.00 - Zeladores e Faxineiros, exceto Empregadas Domésticas e Faxineiras. A class"&amp;"ificação e descrição do cargo/setor inclui informações gerais sobre a posição, de acordo com o ONET/OES e o Sistema de Classificação Industrial da América do Norte. Consulte as Funções e a Ordem de Serviço para obter mais informações. Requisitos do Cargo "&amp;"Experiência Necessária: Não. Requisitos Especiais: Disponibilidade para trabalhar em turnos divididos, noturnos, fins de semana e feriados, conforme necessário. Capacidade de levantar, puxar, empurrar ou carregar até 11 kg ou mais, e caminhar ou ficar em "&amp;"pé por longos períodos. Boa apresentação pessoal e capacidade de se comunicar em inglês. Número de Horas por Semana: 35. Horário de Trabalho (Início/Término): 7h às 23h.")</f>
        <v>***Original*** Prestar assistência nas instalações de golfe/esportes/clube, incluindo: recepcionar os sócios; confirmar reservas; responder a perguntas; organizar mercadorias e fornecer informações sobre as instalações; carregar/descarregar sacos de golfe; manusear/limpar/manter carrinhos de golfe, sacos, tacos e sapatos; manter o galpão de carrinhos e a área de espera organizados e abastecidos com bolas de golfe limpas, gelo, copos e coolers de bebidas; remoção ocasional de lixo e limpeza de banheiros; transportar equipamentos de golfe ou esportivos e veículos dos sócios de e para as instalações do clube; executar outras tarefas relacionadas, conforme atribuídas. ***Resposta à RFI*** Ocasionalmente, dirigir os veículos dos sócios da área de entrega de sacos de golfe até o serviço de manobrista do clube ou vice-versa. Outras tarefas relacionadas podem incluir: coletar bolas de golfe do campo de prática, lavar bolas de golfe e mantê-las prontas para reposição; reabastecer os bebedouros para os jogadores no campo de golfe quando necessário. ***F.a.5 A-H e F.a.6a e F.a.6b Mínimo de 35 horas/semana. Turnos e horários variam de segunda a domingo, das 7h às 23h. *** F.b.9a: Aumentos salariais e/ou bônus podem ser oferecidos a qualquer funcionário na ocupação especificada, a critério exclusivo da empresa, com base em fatores individuais, incluindo desempenho no trabalho, habilidade ou tempo de serviço. Classificação do Cargo: 37-2011.00 - Zeladores e Faxineiros, exceto Empregadas Domésticas e Faxineiras. A classificação e descrição do cargo/setor inclui informações gerais sobre a posição, de acordo com o ONET/OES e o Sistema de Classificação Industrial da América do Norte. Consulte as Funções e a Ordem de Serviço para obter mais informações. Requisitos do Cargo Experiência Necessária: Não. Requisitos Especiais: Disponibilidade para trabalhar em turnos divididos, noturnos, fins de semana e feriados, conforme necessário. Capacidade de levantar, puxar, empurrar ou carregar até 11 kg ou mais, e caminhar ou ficar em pé por longos períodos. Boa apresentação pessoal e capacidade de se comunicar em inglês. Número de Horas por Semana: 35. Horário de Trabalho (Início/Término): 7h às 23h.</v>
      </c>
    </row>
    <row r="2286" ht="20.25" customHeight="1">
      <c r="A2286" s="3" t="s">
        <v>10124</v>
      </c>
      <c r="B2286" s="3" t="s">
        <v>10115</v>
      </c>
      <c r="C2286" s="3" t="s">
        <v>10025</v>
      </c>
      <c r="D2286" s="3" t="s">
        <v>71</v>
      </c>
      <c r="E2286" s="4" t="s">
        <v>19</v>
      </c>
      <c r="F2286" s="4" t="s">
        <v>20</v>
      </c>
      <c r="G2286" s="4" t="s">
        <v>524</v>
      </c>
      <c r="H2286" s="3" t="s">
        <v>10116</v>
      </c>
      <c r="I2286" s="3" t="s">
        <v>10117</v>
      </c>
      <c r="J2286" s="4">
        <v>14.45</v>
      </c>
      <c r="K2286" s="4">
        <v>5.0</v>
      </c>
      <c r="L2286" s="3" t="s">
        <v>1636</v>
      </c>
      <c r="M2286" s="3" t="s">
        <v>10125</v>
      </c>
      <c r="N2286" s="7" t="str">
        <f>IFERROR(__xludf.DUMMYFUNCTION("GOOGLETRANSLATE(L2286, ""en"", ""pt"")"),"Mordomo")</f>
        <v>Mordomo</v>
      </c>
      <c r="O2286" s="7" t="str">
        <f>IFERROR(__xludf.DUMMYFUNCTION("IF(M2286="""","""",GOOGLETRANSLATE(M2286,""en"",""pt""))"),"Lavar pratos, copos, talheres, panelas, frigideiras e utensílios de cozinha à máquina ou à mão. Manter as áreas de trabalho e os equipamentos da cozinha limpos. Limpar o chão, separar e descartar o lixo. Guardar pratos, copos, talheres, panelas, frigideir"&amp;"as e utensílios de cozinha limpos nos locais apropriados. ***F.a.5 A-H &amp; F.a.6a &amp; F.a.6b: mínimo de 35 horas semanais. Turnos e horários variam de segunda a domingo, das 7h às 0h. *** F.b.9a: Aumentos e/ou bônus podem ser oferecidos a qualquer funcionário"&amp;" na função especificada, a critério exclusivo da empresa, com base em fatores individuais, incluindo desempenho, habilidade ou tempo de serviço. Classificação da função: 35-9021.00 - Lavadores de Louça. A classificação e a descrição da função/setor inclue"&amp;"m informações gerais sobre o cargo, de acordo com o ONET/OES e o Sistema de Classificação Industrial da América do Norte. Consulte as Funções e a Ordem de Serviço para obter mais informações. Requisitos da vaga Experiência necessária: Não Requisitos espec"&amp;"iais: Disponibilidade para trabalhar em turnos divididos, noturnos, fins de semana e feriados, conforme necessário. Capacidade de levantar, puxar, empurrar ou carregar até 11 kg ou mais, e caminhar ou ficar em pé por longos períodos. Boa apresentação pess"&amp;"oal e capacidade de se comunicar em inglês. Número de horas por semana: 35 Horário de trabalho (início/término): 7h às 0h")</f>
        <v>Lavar pratos, copos, talheres, panelas, frigideiras e utensílios de cozinha à máquina ou à mão. Manter as áreas de trabalho e os equipamentos da cozinha limpos. Limpar o chão, separar e descartar o lixo. Guardar pratos, copos, talheres, panelas, frigideiras e utensílios de cozinha limpos nos locais apropriados. ***F.a.5 A-H &amp; F.a.6a &amp; F.a.6b: mínimo de 35 horas semanais. Turnos e horários variam de segunda a domingo, das 7h às 0h. *** F.b.9a: Aumentos e/ou bônus podem ser oferecidos a qualquer funcionário na função especificada, a critério exclusivo da empresa, com base em fatores individuais, incluindo desempenho, habilidade ou tempo de serviço. Classificação da função: 35-9021.00 - Lavadores de Louça. A classificação e a descrição da função/setor incluem informações gerais sobre o cargo, de acordo com o ONET/OES e o Sistema de Classificação Industrial da América do Norte. Consulte as Funções e a Ordem de Serviço para obter mais informações. Requisitos da vaga Experiência necessária: Não Requisitos especiais: Disponibilidade para trabalhar em turnos divididos, noturnos, fins de semana e feriados, conforme necessário. Capacidade de levantar, puxar, empurrar ou carregar até 11 kg ou mais, e caminhar ou ficar em pé por longos períodos. Boa apresentação pessoal e capacidade de se comunicar em inglês. Número de horas por semana: 35 Horário de trabalho (início/término): 7h às 0h</v>
      </c>
    </row>
    <row r="2287" ht="20.25" customHeight="1">
      <c r="A2287" s="8" t="s">
        <v>10126</v>
      </c>
      <c r="B2287" s="8" t="s">
        <v>10115</v>
      </c>
      <c r="C2287" s="8" t="s">
        <v>10025</v>
      </c>
      <c r="D2287" s="8" t="s">
        <v>71</v>
      </c>
      <c r="E2287" s="9" t="s">
        <v>19</v>
      </c>
      <c r="F2287" s="9" t="s">
        <v>20</v>
      </c>
      <c r="G2287" s="9" t="s">
        <v>524</v>
      </c>
      <c r="H2287" s="8" t="s">
        <v>10116</v>
      </c>
      <c r="I2287" s="8" t="s">
        <v>10117</v>
      </c>
      <c r="J2287" s="9">
        <v>16.97</v>
      </c>
      <c r="K2287" s="9">
        <v>5.0</v>
      </c>
      <c r="L2287" s="8" t="s">
        <v>5135</v>
      </c>
      <c r="M2287" s="8" t="s">
        <v>10127</v>
      </c>
      <c r="N2287" s="7" t="str">
        <f>IFERROR(__xludf.DUMMYFUNCTION("GOOGLETRANSLATE(L2287, ""en"", ""pt"")"),"Assistente de Garçom")</f>
        <v>Assistente de Garçom</v>
      </c>
      <c r="O2287" s="7" t="str">
        <f>IFERROR(__xludf.DUMMYFUNCTION("IF(M2287="""","""",GOOGLETRANSLATE(M2287,""en"",""pt""))"),"***Original*** Auxiliar no serviço de alimentação. Limpar e retirar toalhas de mesa, louças e utensílios usados. Arrumar as mesas; repor o estoque de toalhas de mesa, louças e utensílios limpos. Abastecer o bar de serviço com alimentos. Servir água, condi"&amp;"mentos e café. Levar os alimentos da cozinha para as mesas dos clientes. Auxiliar na montagem e desmontagem do buffet e mantê-lo abastecido com alimentos, pratos, recipientes e utensílios. Pode executar outras tarefas razoáveis ​​relacionadas ao trabalho,"&amp;" conforme necessário. ***Resposta à RFI*** As tarefas de montagem do buffet incluem: colocar toalhas de mesa limpas sobre o buffet; organizar pratos, recipientes e utensílios limpos no buffet; levar os pratos da cozinha e organizá-los no buffet. As tarefa"&amp;"s de desmontagem do buffet incluem remover pratos, recipientes, utensílios e toalhas de mesa usadas restantes e levá-los de volta para a cozinha. Outras tarefas relacionadas podem incluir: manter as áreas de serviço de alimentação limpas durante o atendim"&amp;"ento, levar pratos do salão para a cozinha. ***F.a.5 A-H &amp; F.a.6a &amp; F.a.6b 35 horas/semana no mínimo. Turnos e horários variam de segunda a domingo, das 7h às 0h. *** F.b.9a: Aumentos e/ou bônus podem ser oferecidos a qualquer funcionário na ocupação espe"&amp;"cificada, a critério exclusivo da empresa, com base em fatores individuais, incluindo desempenho no trabalho, habilidade ou tempo de serviço. Classificação do Cargo: 35-9011.00 - Atendentes de Refeitório e Cafeteria e Auxiliares de Bar. A classificação e "&amp;"descrição do cargo/setor inclui informações gerais sobre a posição, de acordo com o ONET/OES e o Sistema de Classificação Industrial da América do Norte. Consulte as Funções e a Ordem de Serviço para obter mais informações. Requisitos do Cargo Experiência"&amp;" Necessária: Não. Requisitos Especiais: Disponibilidade para trabalhar em turnos divididos, noturnos, fins de semana e feriados, conforme necessário. Capacidade de levantar, puxar, empurrar ou carregar até 11 kg ou mais, e caminhar ou ficar em pé por long"&amp;"os períodos. Boa apresentação pessoal e capacidade de se comunicar em inglês. Número de Horas por Semana: 35. Horário de Trabalho (Início/Término): 7h. - 00:00")</f>
        <v>***Original*** Auxiliar no serviço de alimentação. Limpar e retirar toalhas de mesa, louças e utensílios usados. Arrumar as mesas; repor o estoque de toalhas de mesa, louças e utensílios limpos. Abastecer o bar de serviço com alimentos. Servir água, condimentos e café. Levar os alimentos da cozinha para as mesas dos clientes. Auxiliar na montagem e desmontagem do buffet e mantê-lo abastecido com alimentos, pratos, recipientes e utensílios. Pode executar outras tarefas razoáveis ​​relacionadas ao trabalho, conforme necessário. ***Resposta à RFI*** As tarefas de montagem do buffet incluem: colocar toalhas de mesa limpas sobre o buffet; organizar pratos, recipientes e utensílios limpos no buffet; levar os pratos da cozinha e organizá-los no buffet. As tarefas de desmontagem do buffet incluem remover pratos, recipientes, utensílios e toalhas de mesa usadas restantes e levá-los de volta para a cozinha. Outras tarefas relacionadas podem incluir: manter as áreas de serviço de alimentação limpas durante o atendimento, levar pratos do salão para a cozinha. ***F.a.5 A-H &amp; F.a.6a &amp; F.a.6b 35 horas/semana no mínimo. Turnos e horários variam de segunda a domingo, das 7h às 0h. *** F.b.9a: Aumentos e/ou bônus podem ser oferecidos a qualquer funcionário na ocupação especificada, a critério exclusivo da empresa, com base em fatores individuais, incluindo desempenho no trabalho, habilidade ou tempo de serviço. Classificação do Cargo: 35-9011.00 - Atendentes de Refeitório e Cafeteria e Auxiliares de Bar. A classificação e descrição do cargo/setor inclui informações gerais sobre a posição, de acordo com o ONET/OES e o Sistema de Classificação Industrial da América do Norte. Consulte as Funções e a Ordem de Serviço para obter mais informações. Requisitos do Cargo Experiência Necessária: Não. Requisitos Especiais: Disponibilidade para trabalhar em turnos divididos, noturnos, fins de semana e feriados, conforme necessário. Capacidade de levantar, puxar, empurrar ou carregar até 11 kg ou mais, e caminhar ou ficar em pé por longos períodos. Boa apresentação pessoal e capacidade de se comunicar em inglês. Número de Horas por Semana: 35. Horário de Trabalho (Início/Término): 7h. - 00:00</v>
      </c>
    </row>
    <row r="2288" ht="20.25" customHeight="1">
      <c r="A2288" s="3" t="s">
        <v>10128</v>
      </c>
      <c r="B2288" s="3" t="s">
        <v>10115</v>
      </c>
      <c r="C2288" s="3" t="s">
        <v>10025</v>
      </c>
      <c r="D2288" s="3" t="s">
        <v>71</v>
      </c>
      <c r="E2288" s="4" t="s">
        <v>44</v>
      </c>
      <c r="F2288" s="4" t="s">
        <v>20</v>
      </c>
      <c r="G2288" s="4" t="s">
        <v>524</v>
      </c>
      <c r="H2288" s="3" t="s">
        <v>10116</v>
      </c>
      <c r="I2288" s="3" t="s">
        <v>10117</v>
      </c>
      <c r="J2288" s="4">
        <v>21.55</v>
      </c>
      <c r="K2288" s="4">
        <v>2.0</v>
      </c>
      <c r="L2288" s="3" t="s">
        <v>3315</v>
      </c>
      <c r="M2288" s="3" t="s">
        <v>10129</v>
      </c>
      <c r="N2288" s="7" t="str">
        <f>IFERROR(__xludf.DUMMYFUNCTION("GOOGLETRANSLATE(L2288, ""en"", ""pt"")"),"Supervisor do refeitório")</f>
        <v>Supervisor do refeitório</v>
      </c>
      <c r="O2288" s="7" t="str">
        <f>IFERROR(__xludf.DUMMYFUNCTION("IF(M2288="""","""",GOOGLETRANSLATE(M2288,""en"",""pt""))"),"Supervisionar e coordenar as atividades da equipe do salão durante a preparação, o serviço e a limpeza. Treinar novos funcionários de serviço de alimentos e bebidas. Auxiliar no serviço de alimentos e bebidas conforme necessário, especialmente no atendime"&amp;"nto a convidados especiais e VIPs. Garantir que o mais alto nível de serviço seja prestado pela equipe de atendimento do clube. Manter contato com a equipe da cozinha, a gerência e a equipe de atendimento, e construir/manter um bom relacionamento com os m"&amp;"embros do clube. Elaborar a escala de trabalho da equipe. Planejar festas ou outros eventos e serviços especiais, conforme necessário. Outras responsabilidades razoáveis ​​relacionadas ao cargo poderão ser atribuídas, conforme necessário. ***F.a.5 A-H &amp; F"&amp;".a.6a &amp; F.a.6b: mínimo de 35 horas semanais. Turnos e horários variam de segunda a domingo, das 7h às 0h. *** F.b.9a: Aumentos e/ou bônus podem ser oferecidos a qualquer funcionário na função especificada, a critério exclusivo da empresa, com base em fato"&amp;"res individuais, incluindo desempenho, habilidades ou tempo de serviço. Classificação da Função: 35-1012.00 - Supervisores de Primeira Linha de Preparadores e Servidores de Alimentos. A classificação e descrição da função/setor inclui informações gerais s"&amp;"obre o cargo, de acordo com o ONET/OES e o Sistema de Classificação Industrial da América do Norte (NAICS). Consulte as Funções e a Ordem de Serviço para obter mais informações. Requisitos da Função Experiência Necessária: Não. Requisitos Especiais: Dispo"&amp;"nibilidade para trabalhar em turnos divididos, noturnos, fins de semana e feriados, conforme necessário. Capacidade de levantar, puxar, empurrar ou carregar até 11 kg ou mais, e caminhar ou ficar em pé por longos períodos. Boa apresentação pessoal e capac"&amp;"idade de se comunicar em inglês. Número de Horas por Semana: 35. Horário de Trabalho (Início/Término): 7h00 - 00h00.")</f>
        <v>Supervisionar e coordenar as atividades da equipe do salão durante a preparação, o serviço e a limpeza. Treinar novos funcionários de serviço de alimentos e bebidas. Auxiliar no serviço de alimentos e bebidas conforme necessário, especialmente no atendimento a convidados especiais e VIPs. Garantir que o mais alto nível de serviço seja prestado pela equipe de atendimento do clube. Manter contato com a equipe da cozinha, a gerência e a equipe de atendimento, e construir/manter um bom relacionamento com os membros do clube. Elaborar a escala de trabalho da equipe. Planejar festas ou outros eventos e serviços especiais, conforme necessário. Outras responsabilidades razoáveis ​​relacionadas ao cargo poderão ser atribuídas, conforme necessário. ***F.a.5 A-H &amp; F.a.6a &amp; F.a.6b: mínimo de 35 horas semanais. Turnos e horários variam de segunda a domingo, das 7h às 0h. *** F.b.9a: Aumentos e/ou bônus podem ser oferecidos a qualquer funcionário na função especificada, a critério exclusivo da empresa, com base em fatores individuais, incluindo desempenho, habilidades ou tempo de serviço. Classificação da Função: 35-1012.00 - Supervisores de Primeira Linha de Preparadores e Servidores de Alimentos. A classificação e descrição da função/setor inclui informações gerais sobre o cargo, de acordo com o ONET/OES e o Sistema de Classificação Industrial da América do Norte (NAICS). Consulte as Funções e a Ordem de Serviço para obter mais informações. Requisitos da Função Experiência Necessária: Não. Requisitos Especiais: Disponibilidade para trabalhar em turnos divididos, noturnos, fins de semana e feriados, conforme necessário. Capacidade de levantar, puxar, empurrar ou carregar até 11 kg ou mais, e caminhar ou ficar em pé por longos períodos. Boa apresentação pessoal e capacidade de se comunicar em inglês. Número de Horas por Semana: 35. Horário de Trabalho (Início/Término): 7h00 - 00h00.</v>
      </c>
    </row>
    <row r="2289" ht="20.25" customHeight="1">
      <c r="A2289" s="8" t="s">
        <v>10130</v>
      </c>
      <c r="B2289" s="8" t="s">
        <v>10131</v>
      </c>
      <c r="C2289" s="8" t="s">
        <v>10025</v>
      </c>
      <c r="D2289" s="8" t="s">
        <v>71</v>
      </c>
      <c r="E2289" s="9" t="s">
        <v>19</v>
      </c>
      <c r="F2289" s="9" t="s">
        <v>20</v>
      </c>
      <c r="G2289" s="9" t="s">
        <v>524</v>
      </c>
      <c r="H2289" s="8" t="s">
        <v>10132</v>
      </c>
      <c r="I2289" s="8" t="s">
        <v>10133</v>
      </c>
      <c r="J2289" s="9">
        <v>15.6</v>
      </c>
      <c r="K2289" s="9">
        <v>2.0</v>
      </c>
      <c r="L2289" s="8" t="s">
        <v>5723</v>
      </c>
      <c r="M2289" s="8" t="s">
        <v>10134</v>
      </c>
      <c r="N2289" s="7" t="str">
        <f>IFERROR(__xludf.DUMMYFUNCTION("GOOGLETRANSLATE(L2289, ""en"", ""pt"")"),"Atendente de Recreação")</f>
        <v>Atendente de Recreação</v>
      </c>
      <c r="O2289" s="7" t="str">
        <f>IFERROR(__xludf.DUMMYFUNCTION("IF(M2289="""","""",GOOGLETRANSLATE(M2289,""en"",""pt""))"),"Prestar assistência no clube e nas instalações esportivas, incluindo: recepcionar os membros; verificar os cartões de membro; atender o telefone e responder a perguntas/fornecer informações, transmitir/receber mensagens; fazer/confirmar reservas; organiza"&amp;"r mercadorias e fornecer informações sobre as instalações; executar outras tarefas relacionadas, conforme atribuídas. ***F.a.5 A-H e F.a.6a e F.a.6b: mínimo de 35 horas/semana. Turnos e horários variam de segunda a domingo, das 7h às 23h. *** F.b.9a: Aume"&amp;"ntos e/ou bônus podem ser oferecidos a qualquer funcionário na ocupação especificada, a critério exclusivo da empresa, com base em fatores individuais, incluindo desempenho no trabalho, habilidade ou tempo de serviço. Classificação do Cargo: 39-3091.00 - "&amp;"Atendentes de Diversão e Recreação. A classificação e a descrição do cargo/setor incluem informações gerais sobre a posição, de acordo com o ONET/OES e o Sistema de Classificação Industrial da América do Norte. Consulte as Funções e a Ordem de Serviço par"&amp;"a obter mais informações. Requisitos do Cargo: Experiência Necessária: Não. Requisitos Especiais: Disponibilidade para trabalhar em turnos divididos, fins de semana e feriados, conforme necessário. Deve ser capaz de levantar, puxar, empurrar ou carregar a"&amp;"té 11 kg ou mais, e caminhar ou ficar em pé por longos períodos. Boa apresentação pessoal e capacidade de se comunicar em inglês. Número de horas por semana: 35. Horário de trabalho (início/término): 7h às 23h.")</f>
        <v>Prestar assistência no clube e nas instalações esportivas, incluindo: recepcionar os membros; verificar os cartões de membro; atender o telefone e responder a perguntas/fornecer informações, transmitir/receber mensagens; fazer/confirmar reservas; organizar mercadorias e fornecer informações sobre as instalações; executar outras tarefas relacionadas, conforme atribuídas. ***F.a.5 A-H e F.a.6a e F.a.6b: mínimo de 35 horas/semana. Turnos e horários variam de segunda a domingo, das 7h às 23h. *** F.b.9a: Aumentos e/ou bônus podem ser oferecidos a qualquer funcionário na ocupação especificada, a critério exclusivo da empresa, com base em fatores individuais, incluindo desempenho no trabalho, habilidade ou tempo de serviço. Classificação do Cargo: 39-3091.00 - Atendentes de Diversão e Recreação. A classificação e a descrição do cargo/setor incluem informações gerais sobre a posição, de acordo com o ONET/OES e o Sistema de Classificação Industrial da América do Norte. Consulte as Funções e a Ordem de Serviço para obter mais informações. Requisitos do Cargo: Experiência Necessária: Não. Requisitos Especiais: Disponibilidade para trabalhar em turnos divididos, fins de semana e feriados, conforme necessário. Deve ser capaz de levantar, puxar, empurrar ou carregar até 11 kg ou mais, e caminhar ou ficar em pé por longos períodos. Boa apresentação pessoal e capacidade de se comunicar em inglês. Número de horas por semana: 35. Horário de trabalho (início/término): 7h às 23h.</v>
      </c>
    </row>
    <row r="2290" ht="20.25" customHeight="1">
      <c r="A2290" s="3" t="s">
        <v>10135</v>
      </c>
      <c r="B2290" s="3" t="s">
        <v>10131</v>
      </c>
      <c r="C2290" s="3" t="s">
        <v>10025</v>
      </c>
      <c r="D2290" s="3" t="s">
        <v>71</v>
      </c>
      <c r="E2290" s="4" t="s">
        <v>19</v>
      </c>
      <c r="F2290" s="4" t="s">
        <v>20</v>
      </c>
      <c r="G2290" s="4" t="s">
        <v>524</v>
      </c>
      <c r="H2290" s="3" t="s">
        <v>10132</v>
      </c>
      <c r="I2290" s="3" t="s">
        <v>10133</v>
      </c>
      <c r="J2290" s="4">
        <v>18.71</v>
      </c>
      <c r="K2290" s="4">
        <v>8.0</v>
      </c>
      <c r="L2290" s="3" t="s">
        <v>1206</v>
      </c>
      <c r="M2290" s="3" t="s">
        <v>10136</v>
      </c>
      <c r="N2290" s="7" t="str">
        <f>IFERROR(__xludf.DUMMYFUNCTION("GOOGLETRANSLATE(L2290, ""en"", ""pt"")"),"Servidor")</f>
        <v>Servidor</v>
      </c>
      <c r="O2290" s="7" t="str">
        <f>IFERROR(__xludf.DUMMYFUNCTION("IF(M2290="""","""",GOOGLETRANSLATE(M2290,""en"",""pt""))"),"***Original*** Servir comida, água, refrigerantes e bebidas alcoólicas. Apresentar cardápios, anotar pedidos e repassá-los à cozinha. Realizar tarefas auxiliares, limpar mesas, transportar pratos do salão para a cozinha e manter as áreas de trabalho limpa"&amp;"s. Fornecer toalhas de mesa, talheres, copos e pratos limpos no salão. Auxiliar na montagem, limpeza, abertura e fechamento do restaurante/área de alimentos e bebidas. Pode ser necessário realizar tarefas em ambientes externos, em eventos de banquetes ou "&amp;"atender clientes em carrinho de golfe. Pode executar outras tarefas razoáveis ​​relacionadas ao trabalho, conforme necessário. ***Resposta à Solicitação de Informações (RFI)*** As tarefas de montagem, limpeza, abertura e fechamento do restaurante/área de "&amp;"alimentos e bebidas podem incluir: limpar as mesas, removendo toalhas de mesa, louças e utensílios usados; arrumar as mesas com toalhas de mesa, louças e utensílios limpos; montar e desmontar buffets. Tarefas razoáveis ​​relacionadas ao trabalho podem inc"&amp;"luir: servir condimentos e café; abastecer o bar de serviço com alimentos; manter o buffet abastecido com alimentos, pratos, recipientes e utensílios. ***F.a.5 A-H e F.a.6a e F.a.6b: mínimo de 35 horas semanais. Turnos e horários variam de segunda a domin"&amp;"go, das 7h às 23h. *** F.b.9a: Aumentos e/ou bônus podem ser oferecidos a qualquer funcionário na ocupação especificada, a critério exclusivo da empresa, com base em fatores individuais, incluindo desempenho, habilidades ou tempo de serviço. Classificação"&amp;" da vaga: 35-3031.00 - Garçons e Garçonetes. A classificação e descrição da vaga/setor inclui informações gerais sobre o cargo, de acordo com o ONET/OES e o Sistema de Classificação Industrial da América do Norte (NAICS). Consulte as Funções e a Ordem de "&amp;"Serviço para obter mais informações. Requisitos da vaga: Experiência necessária: Não. Requisitos especiais: Disponibilidade para trabalhar em turnos divididos, noturnos, fins de semana e feriados, conforme necessário. Capacidade de levantar, puxar, empurr"&amp;"ar ou carregar até 11 kg ou mais e caminhar ou ficar em pé por longos períodos. Boa apresentação pessoal e capacidade de se comunicar em inglês. Número de horas por semana: 35 Horário de trabalho (início/término): 7h00 - 23h00")</f>
        <v>***Original*** Servir comida, água, refrigerantes e bebidas alcoólicas. Apresentar cardápios, anotar pedidos e repassá-los à cozinha. Realizar tarefas auxiliares, limpar mesas, transportar pratos do salão para a cozinha e manter as áreas de trabalho limpas. Fornecer toalhas de mesa, talheres, copos e pratos limpos no salão. Auxiliar na montagem, limpeza, abertura e fechamento do restaurante/área de alimentos e bebidas. Pode ser necessário realizar tarefas em ambientes externos, em eventos de banquetes ou atender clientes em carrinho de golfe. Pode executar outras tarefas razoáveis ​​relacionadas ao trabalho, conforme necessário. ***Resposta à Solicitação de Informações (RFI)*** As tarefas de montagem, limpeza, abertura e fechamento do restaurante/área de alimentos e bebidas podem incluir: limpar as mesas, removendo toalhas de mesa, louças e utensílios usados; arrumar as mesas com toalhas de mesa, louças e utensílios limpos; montar e desmontar buffets. Tarefas razoáveis ​​relacionadas ao trabalho podem incluir: servir condimentos e café; abastecer o bar de serviço com alimentos; manter o buffet abastecido com alimentos, pratos, recipientes e utensílios. ***F.a.5 A-H e F.a.6a e F.a.6b: mínimo de 35 horas semanais. Turnos e horários variam de segunda a domingo, das 7h às 23h. *** F.b.9a: Aumentos e/ou bônus podem ser oferecidos a qualquer funcionário na ocupação especificada, a critério exclusivo da empresa, com base em fatores individuais, incluindo desempenho, habilidades ou tempo de serviço. Classificação da vaga: 35-3031.00 - Garçons e Garçonetes. A classificação e descrição da vaga/setor inclui informações gerais sobre o cargo, de acordo com o ONET/OES e o Sistema de Classificação Industrial da América do Norte (NAICS). Consulte as Funções e a Ordem de Serviço para obter mais informações. Requisitos da vaga: Experiência necessária: Não. Requisitos especiais: Disponibilidade para trabalhar em turnos divididos, noturnos, fins de semana e feriados, conforme necessário. Capacidade de levantar, puxar, empurrar ou carregar até 11 kg ou mais e caminhar ou ficar em pé por longos períodos. Boa apresentação pessoal e capacidade de se comunicar em inglês. Número de horas por semana: 35 Horário de trabalho (início/término): 7h00 - 23h00</v>
      </c>
    </row>
    <row r="2291" ht="20.25" customHeight="1">
      <c r="A2291" s="8" t="s">
        <v>10137</v>
      </c>
      <c r="B2291" s="8" t="s">
        <v>10131</v>
      </c>
      <c r="C2291" s="8" t="s">
        <v>10025</v>
      </c>
      <c r="D2291" s="8" t="s">
        <v>71</v>
      </c>
      <c r="E2291" s="9" t="s">
        <v>44</v>
      </c>
      <c r="F2291" s="9" t="s">
        <v>20</v>
      </c>
      <c r="G2291" s="9" t="s">
        <v>524</v>
      </c>
      <c r="H2291" s="8" t="s">
        <v>10132</v>
      </c>
      <c r="I2291" s="8" t="s">
        <v>10133</v>
      </c>
      <c r="J2291" s="9">
        <v>17.3</v>
      </c>
      <c r="K2291" s="9">
        <v>5.0</v>
      </c>
      <c r="L2291" s="8" t="s">
        <v>387</v>
      </c>
      <c r="M2291" s="8" t="s">
        <v>10138</v>
      </c>
      <c r="N2291" s="7" t="str">
        <f>IFERROR(__xludf.DUMMYFUNCTION("GOOGLETRANSLATE(L2291, ""en"", ""pt"")"),"Ordem de serviço não disponível")</f>
        <v>Ordem de serviço não disponível</v>
      </c>
      <c r="O2291" s="7" t="str">
        <f>IFERROR(__xludf.DUMMYFUNCTION("IF(M2291="""","""",GOOGLETRANSLATE(M2291,""en"",""pt""))"),"Preparar, temperar, cozinhar, empratar e decorar refeições. Medir/misturar ingredientes conforme a receita para cozinhar do zero. Seguir os procedimentos de controle de porções, apresentação, consistência, sabor e higiene adequados. Observar/provar os ali"&amp;"mentos cozidos. Pode substituir/auxiliar outros cozinheiros em emergências/períodos de pico. ***F.a.5 A-H e F.a.6a e F.a.6b: mínimo de 35 horas/semana. Turnos e horários variam de segunda a domingo, das 7h às 23h. *** F.b.9a: Aumentos e/ou bônus podem ser"&amp;" oferecidos a qualquer funcionário na ocupação especificada, a critério exclusivo da empresa, com base em fatores individuais, incluindo desempenho no trabalho, habilidade ou tempo de serviço. Classificação do Cargo: 35-2014.00 - Cozinheiros, Restaurante."&amp;" A classificação e descrição do cargo/setor inclui informações gerais sobre a posição, de acordo com o ONET/OES e o Sistema de Classificação Industrial da América do Norte. Consulte as Funções e a Ordem de Serviço para obter mais informações. Requisitos d"&amp;"a vaga Experiência necessária: Não Requisitos especiais: Disponibilidade para trabalhar em turnos divididos, noturnos, fins de semana e feriados, conforme necessário. Capacidade de levantar, puxar, empurrar ou carregar até 11 kg ou mais, e caminhar ou fic"&amp;"ar em pé por longos períodos. Boa apresentação pessoal e capacidade de se comunicar em inglês. Número de horas por semana: 35 Horário de trabalho (início/término): 7h às 23h")</f>
        <v>Preparar, temperar, cozinhar, empratar e decorar refeições. Medir/misturar ingredientes conforme a receita para cozinhar do zero. Seguir os procedimentos de controle de porções, apresentação, consistência, sabor e higiene adequados. Observar/provar os alimentos cozidos. Pode substituir/auxiliar outros cozinheiros em emergências/períodos de pico. ***F.a.5 A-H e F.a.6a e F.a.6b: mínimo de 35 horas/semana. Turnos e horários variam de segunda a domingo, das 7h às 23h. *** F.b.9a: Aumentos e/ou bônus podem ser oferecidos a qualquer funcionário na ocupação especificada, a critério exclusivo da empresa, com base em fatores individuais, incluindo desempenho no trabalho, habilidade ou tempo de serviço. Classificação do Cargo: 35-2014.00 - Cozinheiros, Restaurante. A classificação e descrição do cargo/setor inclui informações gerais sobre a posição, de acordo com o ONET/OES e o Sistema de Classificação Industrial da América do Norte. Consulte as Funções e a Ordem de Serviço para obter mais informações. Requisitos da vaga Experiência necessária: Não Requisitos especiais: Disponibilidade para trabalhar em turnos divididos, noturnos, fins de semana e feriados, conforme necessário. Capacidade de levantar, puxar, empurrar ou carregar até 11 kg ou mais, e caminhar ou ficar em pé por longos períodos. Boa apresentação pessoal e capacidade de se comunicar em inglês. Número de horas por semana: 35 Horário de trabalho (início/término): 7h às 23h</v>
      </c>
    </row>
    <row r="2292" ht="20.25" customHeight="1">
      <c r="A2292" s="3" t="s">
        <v>10139</v>
      </c>
      <c r="B2292" s="3" t="s">
        <v>10140</v>
      </c>
      <c r="C2292" s="3" t="s">
        <v>10025</v>
      </c>
      <c r="D2292" s="3" t="s">
        <v>71</v>
      </c>
      <c r="E2292" s="4" t="s">
        <v>19</v>
      </c>
      <c r="F2292" s="4" t="s">
        <v>20</v>
      </c>
      <c r="G2292" s="4" t="s">
        <v>3284</v>
      </c>
      <c r="H2292" s="3" t="s">
        <v>10141</v>
      </c>
      <c r="I2292" s="3" t="s">
        <v>10142</v>
      </c>
      <c r="J2292" s="4">
        <v>18.71</v>
      </c>
      <c r="K2292" s="4">
        <v>15.0</v>
      </c>
      <c r="L2292" s="3" t="s">
        <v>1206</v>
      </c>
      <c r="M2292" s="3" t="s">
        <v>10143</v>
      </c>
      <c r="N2292" s="7" t="str">
        <f>IFERROR(__xludf.DUMMYFUNCTION("GOOGLETRANSLATE(L2292, ""en"", ""pt"")"),"Servidor")</f>
        <v>Servidor</v>
      </c>
      <c r="O2292" s="7" t="str">
        <f>IFERROR(__xludf.DUMMYFUNCTION("IF(M2292="""","""",GOOGLETRANSLATE(M2292,""en"",""pt""))"),"***Original*** Servir comida, água, refrigerantes e bebidas alcoólicas. Apresentar cardápios, anotar pedidos e repassá-los à cozinha. Realizar tarefas auxiliares, limpar mesas, transportar pratos do salão para a cozinha e manter as áreas de trabalho limpa"&amp;"s. Fornecer toalhas de mesa, talheres, copos e pratos limpos no salão. Auxiliar na montagem, limpeza, abertura e fechamento do restaurante/área de alimentos e bebidas. Pode ser necessário realizar tarefas em ambientes externos, em eventos de banquetes ou "&amp;"atender clientes em carrinho de golfe. Pode executar outras tarefas razoáveis ​​relacionadas ao trabalho, conforme necessário. ***Resposta à Solicitação de Informações (RFI)*** As tarefas de montagem, limpeza, abertura e fechamento do restaurante/área de "&amp;"alimentos e bebidas podem incluir: limpar as mesas, removendo toalhas de mesa, louças e utensílios usados; arrumar as mesas com toalhas de mesa, louças e utensílios limpos; montar e desmontar buffets. Tarefas razoáveis ​​relacionadas ao trabalho podem inc"&amp;"luir: servir condimentos e café; abastecer o bar de serviço com alimentos; manter o buffet abastecido com alimentos, pratos, recipientes e utensílios. ***F.a.5 A-H e F.a.6a e F.a.6b: mínimo de 35 horas semanais. Turnos e horários variam de segunda a domin"&amp;"go, das 7h às 0h. *** F.b.9a: Aumentos e/ou bônus podem ser oferecidos a qualquer funcionário na ocupação especificada, a critério exclusivo da empresa, com base em fatores individuais, incluindo desempenho, habilidades ou tempo de serviço. Classificação "&amp;"da vaga: 35-3031.00 - Garçons e Garçonetes. A classificação e descrição da vaga/setor inclui informações gerais sobre o cargo, de acordo com o ONET/OES e o Sistema de Classificação Industrial da América do Norte (NAICS). Consulte as Funções e a Ordem de S"&amp;"erviço para obter mais informações. Requisitos da vaga: Experiência exigida: Não. Requisitos especiais: Exame toxicológico e verificação de antecedentes criminais pré-admissional, realizados igualmente para funcionários americanos e funcionários com visto"&amp;" H-2B. Disponibilidade para trabalhar em turnos divididos, noturnos, fins de semana e feriados, conforme necessário. Deve ser capaz de levantar, puxar, empurrar ou carregar até 11 kg ou mais, e caminhar ou ficar em pé por longos períodos. Boa apresentação"&amp;" pessoal e capacidade de se comunicar em inglês. Número de horas por semana: 35. Horário de trabalho (início/término): 7h às 0h.")</f>
        <v>***Original*** Servir comida, água, refrigerantes e bebidas alcoólicas. Apresentar cardápios, anotar pedidos e repassá-los à cozinha. Realizar tarefas auxiliares, limpar mesas, transportar pratos do salão para a cozinha e manter as áreas de trabalho limpas. Fornecer toalhas de mesa, talheres, copos e pratos limpos no salão. Auxiliar na montagem, limpeza, abertura e fechamento do restaurante/área de alimentos e bebidas. Pode ser necessário realizar tarefas em ambientes externos, em eventos de banquetes ou atender clientes em carrinho de golfe. Pode executar outras tarefas razoáveis ​​relacionadas ao trabalho, conforme necessário. ***Resposta à Solicitação de Informações (RFI)*** As tarefas de montagem, limpeza, abertura e fechamento do restaurante/área de alimentos e bebidas podem incluir: limpar as mesas, removendo toalhas de mesa, louças e utensílios usados; arrumar as mesas com toalhas de mesa, louças e utensílios limpos; montar e desmontar buffets. Tarefas razoáveis ​​relacionadas ao trabalho podem incluir: servir condimentos e café; abastecer o bar de serviço com alimentos; manter o buffet abastecido com alimentos, pratos, recipientes e utensílios. ***F.a.5 A-H e F.a.6a e F.a.6b: mínimo de 35 horas semanais. Turnos e horários variam de segunda a domingo, das 7h às 0h. *** F.b.9a: Aumentos e/ou bônus podem ser oferecidos a qualquer funcionário na ocupação especificada, a critério exclusivo da empresa, com base em fatores individuais, incluindo desempenho, habilidades ou tempo de serviço. Classificação da vaga: 35-3031.00 - Garçons e Garçonetes. A classificação e descrição da vaga/setor inclui informações gerais sobre o cargo, de acordo com o ONET/OES e o Sistema de Classificação Industrial da América do Norte (NAICS). Consulte as Funções e a Ordem de Serviço para obter mais informações. Requisitos da vaga: Experiência exigida: Não. Requisitos especiais: Exame toxicológico e verificação de antecedentes criminais pré-admissional, realizados igualmente para funcionários americanos e funcionários com visto H-2B. Disponibilidade para trabalhar em turnos divididos, noturnos, fins de semana e feriados, conforme necessário. Deve ser capaz de levantar, puxar, empurrar ou carregar até 11 kg ou mais, e caminhar ou ficar em pé por longos períodos. Boa apresentação pessoal e capacidade de se comunicar em inglês. Número de horas por semana: 35. Horário de trabalho (início/término): 7h às 0h.</v>
      </c>
    </row>
    <row r="2293" ht="20.25" customHeight="1">
      <c r="A2293" s="8" t="s">
        <v>10144</v>
      </c>
      <c r="B2293" s="8" t="s">
        <v>10140</v>
      </c>
      <c r="C2293" s="8" t="s">
        <v>10025</v>
      </c>
      <c r="D2293" s="8" t="s">
        <v>71</v>
      </c>
      <c r="E2293" s="9" t="s">
        <v>44</v>
      </c>
      <c r="F2293" s="9" t="s">
        <v>20</v>
      </c>
      <c r="G2293" s="9" t="s">
        <v>3284</v>
      </c>
      <c r="H2293" s="8" t="s">
        <v>10141</v>
      </c>
      <c r="I2293" s="8" t="s">
        <v>10142</v>
      </c>
      <c r="J2293" s="9">
        <v>17.3</v>
      </c>
      <c r="K2293" s="9">
        <v>8.0</v>
      </c>
      <c r="L2293" s="8" t="s">
        <v>586</v>
      </c>
      <c r="M2293" s="8" t="s">
        <v>10145</v>
      </c>
      <c r="N2293" s="7" t="str">
        <f>IFERROR(__xludf.DUMMYFUNCTION("GOOGLETRANSLATE(L2293, ""en"", ""pt"")"),"Cozinheiro de linha")</f>
        <v>Cozinheiro de linha</v>
      </c>
      <c r="O2293" s="7" t="str">
        <f>IFERROR(__xludf.DUMMYFUNCTION("IF(M2293="""","""",GOOGLETRANSLATE(M2293,""en"",""pt""))"),"Preparar, temperar, cozinhar, empratar e decorar refeições. Medir/misturar ingredientes conforme a receita para cozinhar do zero. Seguir os procedimentos de controle de porções, apresentação, consistência, sabor e higiene adequados. Observar/provar os ali"&amp;"mentos cozidos. Pode substituir/auxiliar outros cozinheiros em emergências/períodos de pico. ***F.a.5 A-H e F.a.6a e F.a.6b: mínimo de 35 horas/semana. Turnos e horários variam de segunda a domingo, das 7h às 23h. *** F.b.9a: Aumentos e/ou bônus podem ser"&amp;" oferecidos a qualquer funcionário na ocupação especificada, a critério exclusivo da empresa, com base em fatores individuais, incluindo desempenho no trabalho, habilidade ou tempo de serviço. Classificação do Cargo: 35-2014.00 - Cozinheiros, Restaurante."&amp;" A classificação e descrição do cargo/setor inclui informações gerais sobre a posição, de acordo com o ONET/OES e o Sistema de Classificação Industrial da América do Norte. Consulte as Funções e a Ordem de Serviço para obter mais informações. Requisitos d"&amp;"a vaga Experiência necessária: Não Requisitos especiais: Exame toxicológico e verificação de antecedentes criminais pré-admissional, realizados igualmente para trabalhadores americanos e trabalhadores com visto H-2B. Disponibilidade para trabalhar em turn"&amp;"os divididos, noturnos, fins de semana e feriados, conforme necessário. Capacidade de levantar, puxar, empurrar ou carregar até 11 kg ou mais, e caminhar ou ficar em pé por longos períodos. Boa apresentação pessoal e capacidade de se comunicar em inglês. "&amp;"Número de horas por semana: 35 Horário de trabalho (início/término): 7h às 23h")</f>
        <v>Preparar, temperar, cozinhar, empratar e decorar refeições. Medir/misturar ingredientes conforme a receita para cozinhar do zero. Seguir os procedimentos de controle de porções, apresentação, consistência, sabor e higiene adequados. Observar/provar os alimentos cozidos. Pode substituir/auxiliar outros cozinheiros em emergências/períodos de pico. ***F.a.5 A-H e F.a.6a e F.a.6b: mínimo de 35 horas/semana. Turnos e horários variam de segunda a domingo, das 7h às 23h. *** F.b.9a: Aumentos e/ou bônus podem ser oferecidos a qualquer funcionário na ocupação especificada, a critério exclusivo da empresa, com base em fatores individuais, incluindo desempenho no trabalho, habilidade ou tempo de serviço. Classificação do Cargo: 35-2014.00 - Cozinheiros, Restaurante. A classificação e descrição do cargo/setor inclui informações gerais sobre a posição, de acordo com o ONET/OES e o Sistema de Classificação Industrial da América do Norte. Consulte as Funções e a Ordem de Serviço para obter mais informações. Requisitos da vaga Experiência necessária: Não Requisitos especiais: Exame toxicológico e verificação de antecedentes criminais pré-admissional, realizados igualmente para trabalhadores americanos e trabalhadores com visto H-2B. Disponibilidade para trabalhar em turnos divididos, noturnos, fins de semana e feriados, conforme necessário. Capacidade de levantar, puxar, empurrar ou carregar até 11 kg ou mais, e caminhar ou ficar em pé por longos períodos. Boa apresentação pessoal e capacidade de se comunicar em inglês. Número de horas por semana: 35 Horário de trabalho (início/término): 7h às 23h</v>
      </c>
    </row>
    <row r="2294" ht="20.25" customHeight="1">
      <c r="A2294" s="3" t="s">
        <v>10146</v>
      </c>
      <c r="B2294" s="3" t="s">
        <v>10147</v>
      </c>
      <c r="C2294" s="3" t="s">
        <v>10025</v>
      </c>
      <c r="D2294" s="3" t="s">
        <v>71</v>
      </c>
      <c r="E2294" s="4" t="s">
        <v>19</v>
      </c>
      <c r="F2294" s="4" t="s">
        <v>20</v>
      </c>
      <c r="G2294" s="4" t="s">
        <v>524</v>
      </c>
      <c r="H2294" s="3" t="s">
        <v>10148</v>
      </c>
      <c r="I2294" s="3" t="s">
        <v>10149</v>
      </c>
      <c r="J2294" s="4">
        <v>17.3</v>
      </c>
      <c r="K2294" s="4">
        <v>27.0</v>
      </c>
      <c r="L2294" s="3" t="s">
        <v>387</v>
      </c>
      <c r="M2294" s="3" t="s">
        <v>10150</v>
      </c>
      <c r="N2294" s="7" t="str">
        <f>IFERROR(__xludf.DUMMYFUNCTION("GOOGLETRANSLATE(L2294, ""en"", ""pt"")"),"Ordem de serviço não disponível")</f>
        <v>Ordem de serviço não disponível</v>
      </c>
      <c r="O2294" s="7" t="str">
        <f>IFERROR(__xludf.DUMMYFUNCTION("IF(M2294="""","""",GOOGLETRANSLATE(M2294,""en"",""pt""))"),"Preparar, temperar, cozinhar, empratar e decorar refeições. Medir/misturar ingredientes conforme a receita para cozinhar do zero. Seguir os procedimentos adequados de controle de porções, apresentação, consistência, sabor e higiene. Observar/provar os ali"&amp;"mentos cozidos. Pode substituir/auxiliar outros cozinheiros em emergências/períodos de pico. ***F.a.5 A-H e F.a.6a e F.a.6b: mínimo de 35 horas/semana. Turnos e horários variam de segunda a domingo, das 7h às 23h. *** F.b.9a: Aumentos e/ou bônus podem ser"&amp;" oferecidos a qualquer funcionário na ocupação especificada, a critério exclusivo da empresa, com base em fatores individuais, incluindo desempenho no trabalho, habilidade ou tempo de serviço. Classificação do Cargo: 35-2014.00 - Cozinheiros, Restaurante."&amp;" A classificação e descrição do cargo/setor inclui informações gerais sobre a posição, de acordo com o ONET/OES e o Sistema de Classificação Industrial da América do Norte. Consulte as Funções e a Ordem de Serviço para obter mais informações. Requisitos d"&amp;"a vaga Experiência necessária: Não Requisitos especiais: Verificação de antecedentes pré-contratação, realizada igualmente entre trabalhadores americanos e trabalhadores com visto H-2B. Disponibilidade para trabalhar em turnos divididos, noturnos, fins de"&amp;" semana e feriados, conforme necessário. Capacidade de levantar, puxar, empurrar ou carregar até 11 kg ou mais, e caminhar ou ficar em pé por longos períodos. Boa apresentação pessoal e capacidade de se comunicar em inglês. Número de horas por semana: 35 "&amp;"Horário de trabalho (início/término): 7h às 23h")</f>
        <v>Preparar, temperar, cozinhar, empratar e decorar refeições. Medir/misturar ingredientes conforme a receita para cozinhar do zero. Seguir os procedimentos adequados de controle de porções, apresentação, consistência, sabor e higiene. Observar/provar os alimentos cozidos. Pode substituir/auxiliar outros cozinheiros em emergências/períodos de pico. ***F.a.5 A-H e F.a.6a e F.a.6b: mínimo de 35 horas/semana. Turnos e horários variam de segunda a domingo, das 7h às 23h. *** F.b.9a: Aumentos e/ou bônus podem ser oferecidos a qualquer funcionário na ocupação especificada, a critério exclusivo da empresa, com base em fatores individuais, incluindo desempenho no trabalho, habilidade ou tempo de serviço. Classificação do Cargo: 35-2014.00 - Cozinheiros, Restaurante. A classificação e descrição do cargo/setor inclui informações gerais sobre a posição, de acordo com o ONET/OES e o Sistema de Classificação Industrial da América do Norte. Consulte as Funções e a Ordem de Serviço para obter mais informações. Requisitos da vaga Experiência necessária: Não Requisitos especiais: Verificação de antecedentes pré-contratação, realizada igualmente entre trabalhadores americanos e trabalhadores com visto H-2B. Disponibilidade para trabalhar em turnos divididos, noturnos, fins de semana e feriados, conforme necessário. Capacidade de levantar, puxar, empurrar ou carregar até 11 kg ou mais, e caminhar ou ficar em pé por longos períodos. Boa apresentação pessoal e capacidade de se comunicar em inglês. Número de horas por semana: 35 Horário de trabalho (início/término): 7h às 23h</v>
      </c>
    </row>
    <row r="2295" ht="20.25" customHeight="1">
      <c r="A2295" s="8" t="s">
        <v>10151</v>
      </c>
      <c r="B2295" s="8" t="s">
        <v>10152</v>
      </c>
      <c r="C2295" s="8" t="s">
        <v>10025</v>
      </c>
      <c r="D2295" s="8" t="s">
        <v>71</v>
      </c>
      <c r="E2295" s="9" t="s">
        <v>19</v>
      </c>
      <c r="F2295" s="9" t="s">
        <v>20</v>
      </c>
      <c r="G2295" s="9" t="s">
        <v>524</v>
      </c>
      <c r="H2295" s="8" t="s">
        <v>10148</v>
      </c>
      <c r="I2295" s="8" t="s">
        <v>10149</v>
      </c>
      <c r="J2295" s="9">
        <v>16.01</v>
      </c>
      <c r="K2295" s="9">
        <v>3.0</v>
      </c>
      <c r="L2295" s="8" t="s">
        <v>354</v>
      </c>
      <c r="M2295" s="8" t="s">
        <v>10153</v>
      </c>
      <c r="N2295" s="7" t="str">
        <f>IFERROR(__xludf.DUMMYFUNCTION("GOOGLETRANSLATE(L2295, ""en"", ""pt"")"),"Governanta")</f>
        <v>Governanta</v>
      </c>
      <c r="O2295" s="7" t="str">
        <f>IFERROR(__xludf.DUMMYFUNCTION("IF(M2295="""","""",GOOGLETRANSLATE(M2295,""en"",""pt""))"),"Limpar e manter os quartos de hóspedes, áreas comuns, banheiros e vestiários do clube, incluindo: tirar o pó e limpar os móveis; varrer, passar pano levemente e aspirar o chão; esfregar e desinfetar os banheiros; manusear roupas de cama e arrumar as camas"&amp;"; repor suprimentos, roupas de cama e toalhas; mover móveis, pendurar cortinas e enrolar tapetes; e ocasionalmente remover o lixo. ***F.a.5 A-H &amp; F.a.6a &amp; F.a.6b: mínimo de 35 horas semanais. Turnos e horários variam de segunda a domingo, das 7h às 23h. *"&amp;"** F.b.9a: Aumentos e/ou bônus podem ser oferecidos a qualquer funcionário na ocupação especificada, a critério exclusivo da empresa, com base em fatores individuais, incluindo desempenho no trabalho, habilidade ou tempo de serviço. Classificação do Cargo"&amp;": 37-2012.00 - Camareiras e Auxiliares de Limpeza. A classificação e descrição do cargo/setor inclui informações gerais sobre a posição, de acordo com o ONET/OES e o Sistema de Classificação Industrial da América do Norte. Consulte as Funções e a Ordem de"&amp;" Serviço para obter mais informações. Requisitos da vaga Experiência necessária: Não Requisitos especiais: Verificação de antecedentes pré-contratação, realizada igualmente entre trabalhadores americanos e trabalhadores com visto H-2B. Disponibilidade par"&amp;"a trabalhar em turnos divididos, noturnos, fins de semana e feriados, conforme necessário. Capacidade de levantar, puxar, empurrar ou carregar até 11 kg ou mais, e caminhar ou ficar em pé por longos períodos. Boa apresentação pessoal e capacidade de se co"&amp;"municar em inglês. Número de horas por semana: 35 Horário de trabalho (início/término): 7h às 23h")</f>
        <v>Limpar e manter os quartos de hóspedes, áreas comuns, banheiros e vestiários do clube, incluindo: tirar o pó e limpar os móveis; varrer, passar pano levemente e aspirar o chão; esfregar e desinfetar os banheiros; manusear roupas de cama e arrumar as camas; repor suprimentos, roupas de cama e toalhas; mover móveis, pendurar cortinas e enrolar tapetes; e ocasionalmente remover o lixo. ***F.a.5 A-H &amp; F.a.6a &amp; F.a.6b: mínimo de 35 horas semanais. Turnos e horários variam de segunda a domingo, das 7h às 23h. *** F.b.9a: Aumentos e/ou bônus podem ser oferecidos a qualquer funcionário na ocupação especificada, a critério exclusivo da empresa, com base em fatores individuais, incluindo desempenho no trabalho, habilidade ou tempo de serviço. Classificação do Cargo: 37-2012.00 - Camareiras e Auxiliares de Limpeza. A classificação e descrição do cargo/setor inclui informações gerais sobre a posição, de acordo com o ONET/OES e o Sistema de Classificação Industrial da América do Norte. Consulte as Funções e a Ordem de Serviço para obter mais informações. Requisitos da vaga Experiência necessária: Não Requisitos especiais: Verificação de antecedentes pré-contratação, realizada igualmente entre trabalhadores americanos e trabalhadores com visto H-2B. Disponibilidade para trabalhar em turnos divididos, noturnos, fins de semana e feriados, conforme necessário. Capacidade de levantar, puxar, empurrar ou carregar até 11 kg ou mais, e caminhar ou ficar em pé por longos períodos. Boa apresentação pessoal e capacidade de se comunicar em inglês. Número de horas por semana: 35 Horário de trabalho (início/término): 7h às 23h</v>
      </c>
    </row>
    <row r="2296" ht="20.25" customHeight="1">
      <c r="A2296" s="3" t="s">
        <v>10154</v>
      </c>
      <c r="B2296" s="3" t="s">
        <v>10152</v>
      </c>
      <c r="C2296" s="3" t="s">
        <v>10025</v>
      </c>
      <c r="D2296" s="3" t="s">
        <v>71</v>
      </c>
      <c r="E2296" s="4" t="s">
        <v>19</v>
      </c>
      <c r="F2296" s="4" t="s">
        <v>20</v>
      </c>
      <c r="G2296" s="4" t="s">
        <v>524</v>
      </c>
      <c r="H2296" s="3" t="s">
        <v>10148</v>
      </c>
      <c r="I2296" s="3" t="s">
        <v>10149</v>
      </c>
      <c r="J2296" s="4">
        <v>22.56</v>
      </c>
      <c r="K2296" s="4">
        <v>4.0</v>
      </c>
      <c r="L2296" s="3" t="s">
        <v>3315</v>
      </c>
      <c r="M2296" s="3" t="s">
        <v>10155</v>
      </c>
      <c r="N2296" s="7" t="str">
        <f>IFERROR(__xludf.DUMMYFUNCTION("GOOGLETRANSLATE(L2296, ""en"", ""pt"")"),"Supervisor do refeitório")</f>
        <v>Supervisor do refeitório</v>
      </c>
      <c r="O2296" s="7" t="str">
        <f>IFERROR(__xludf.DUMMYFUNCTION("IF(M2296="""","""",GOOGLETRANSLATE(M2296,""en"",""pt""))"),"Supervisionar e coordenar as atividades da equipe do salão durante a preparação, o serviço e a limpeza. Treinar novos funcionários de serviço de alimentos e bebidas. Auxiliar no serviço de alimentos e bebidas conforme necessário, especialmente no atendime"&amp;"nto a convidados especiais e VIPs. Garantir que o mais alto nível de serviço seja prestado pela equipe de atendimento do clube. Manter contato com a equipe da cozinha, a gerência e a equipe de atendimento, e construir/manter um bom relacionamento com os m"&amp;"embros do clube. Elaborar a escala de trabalho da equipe. Planejar festas ou outros eventos e serviços especiais, conforme necessário. Outras responsabilidades razoáveis ​​relacionadas ao cargo poderão ser atribuídas, conforme necessário. ***F.a.5 A-H &amp; F"&amp;".a.6a &amp; F.a.6b: mínimo de 35 horas semanais. Turnos e horários variam de segunda a domingo, das 7h às 23h. *** F.b.9a: Aumentos e/ou bônus podem ser oferecidos a qualquer funcionário na função especificada, a critério exclusivo da empresa, com base em fat"&amp;"ores individuais, incluindo desempenho, habilidades ou tempo de serviço. Classificação da Função: 35-1012.00 - Supervisores de Primeira Linha de Preparadores e Servidores de Alimentos. A classificação e descrição da função/setor inclui informações gerais "&amp;"sobre o cargo, conforme o ONET/OES e o Sistema de Classificação Industrial da América do Norte (NAICS). Consulte as Funções e a Ordem de Serviço para obter mais informações. Requisitos da Função Experiência Necessária: Não. Requisitos Especiais: Verificaç"&amp;"ão de antecedentes pré-contratação, realizada igualmente entre trabalhadores americanos e trabalhadores com visto H-2B. Disponibilidade para trabalhar em turnos divididos, noturnos, fins de semana e feriados, conforme necessário. Capacidade de levantar, p"&amp;"uxar, empurrar ou carregar até 11 kg ou mais, e caminhar ou ficar em pé por longos períodos. Boa apresentação pessoal e capacidade de se comunicar em inglês. Número de Horas por Semana: 35. Horário de Trabalho (Início/Término): 7h às 23h.")</f>
        <v>Supervisionar e coordenar as atividades da equipe do salão durante a preparação, o serviço e a limpeza. Treinar novos funcionários de serviço de alimentos e bebidas. Auxiliar no serviço de alimentos e bebidas conforme necessário, especialmente no atendimento a convidados especiais e VIPs. Garantir que o mais alto nível de serviço seja prestado pela equipe de atendimento do clube. Manter contato com a equipe da cozinha, a gerência e a equipe de atendimento, e construir/manter um bom relacionamento com os membros do clube. Elaborar a escala de trabalho da equipe. Planejar festas ou outros eventos e serviços especiais, conforme necessário. Outras responsabilidades razoáveis ​​relacionadas ao cargo poderão ser atribuídas, conforme necessário. ***F.a.5 A-H &amp; F.a.6a &amp; F.a.6b: mínimo de 35 horas semanais. Turnos e horários variam de segunda a domingo, das 7h às 23h. *** F.b.9a: Aumentos e/ou bônus podem ser oferecidos a qualquer funcionário na função especificada, a critério exclusivo da empresa, com base em fatores individuais, incluindo desempenho, habilidades ou tempo de serviço. Classificação da Função: 35-1012.00 - Supervisores de Primeira Linha de Preparadores e Servidores de Alimentos. A classificação e descrição da função/setor inclui informações gerais sobre o cargo, conforme o ONET/OES e o Sistema de Classificação Industrial da América do Norte (NAICS). Consulte as Funções e a Ordem de Serviço para obter mais informações. Requisitos da Função Experiência Necessária: Não. Requisitos Especiais: Verificação de antecedentes pré-contratação, realizada igualmente entre trabalhadores americanos e trabalhadores com visto H-2B. Disponibilidade para trabalhar em turnos divididos, noturnos, fins de semana e feriados, conforme necessário. Capacidade de levantar, puxar, empurrar ou carregar até 11 kg ou mais, e caminhar ou ficar em pé por longos períodos. Boa apresentação pessoal e capacidade de se comunicar em inglês. Número de Horas por Semana: 35. Horário de Trabalho (Início/Término): 7h às 23h.</v>
      </c>
    </row>
    <row r="2297" ht="20.25" customHeight="1">
      <c r="A2297" s="8" t="s">
        <v>10156</v>
      </c>
      <c r="B2297" s="8" t="s">
        <v>10157</v>
      </c>
      <c r="C2297" s="8" t="s">
        <v>10080</v>
      </c>
      <c r="D2297" s="8" t="s">
        <v>79</v>
      </c>
      <c r="E2297" s="9" t="s">
        <v>44</v>
      </c>
      <c r="F2297" s="9" t="s">
        <v>20</v>
      </c>
      <c r="G2297" s="9" t="s">
        <v>80</v>
      </c>
      <c r="H2297" s="8" t="s">
        <v>10158</v>
      </c>
      <c r="I2297" s="8" t="s">
        <v>10159</v>
      </c>
      <c r="J2297" s="9">
        <v>20.65</v>
      </c>
      <c r="K2297" s="9">
        <v>45.0</v>
      </c>
      <c r="L2297" s="8" t="s">
        <v>83</v>
      </c>
      <c r="M2297" s="8" t="s">
        <v>10160</v>
      </c>
      <c r="N2297" s="7" t="str">
        <f>IFERROR(__xludf.DUMMYFUNCTION("GOOGLETRANSLATE(L2297, ""en"", ""pt"")"),"Trabalhador Florestal")</f>
        <v>Trabalhador Florestal</v>
      </c>
      <c r="O2297" s="7" t="str">
        <f>IFERROR(__xludf.DUMMYFUNCTION("IF(M2297="""","""",GOOGLETRANSLATE(M2297,""en"",""pt""))"),"Cavar buracos durante todo o dia e, em seguida, plantar manualmente mudas de árvores sem raiz J/U, utilizando ferramentas de plantio manual. Manter a vegetação ao redor por meio de poda, desbaste, pulverização, empilhamento de resíduos, limpeza de detrito"&amp;"s e outras atividades relacionadas a Trabalhador Florestal, conforme SOC/OES 45-4011 (Onetonline.org). Possibilidade de trabalho nos fins de semana e feriados. Classificação da vaga: 45-4011.00 - Trabalhadores Florestais e de Conservação. A classificação "&amp;"e a descrição da vaga/setor incluem informações gerais sobre o cargo, de acordo com o ONET/OES e o Sistema de Classificação Industrial da América do Norte. Consulte as Funções e a Ordem de Serviço para obter mais informações. Requisitos da vaga: Experiênc"&amp;"ia necessária: Sim. Meses de experiência necessários: 3. Requisitos especiais: Deve apresentar comprovante de autorização legal para trabalhar nos Estados Unidos. Ambiente de trabalho livre de drogas, álcool e tabaco. Executar atividades físicas como: lev"&amp;"antar, equilibrar-se, caminhar, abaixar-se, manusear, posicionar, mover e manipular materiais; usar força estática para exercer força muscular máxima para levantar, empurrar, puxar e carregar objetos de até 23 kg. Todos os candidatos devem ser capazes, es"&amp;"tar dispostos e qualificados para executar o trabalho descrito e devem estar disponíveis durante todo o período especificado e trabalhar em todas as áreas da empresa. O trabalho é realizado ao ar livre, exposto às intempéries, e exige capacidade para real"&amp;"izar trabalho fisicamente extenuante por longos períodos, ocasionalmente em calor ou frio extremos. As condições climáticas são variáveis; a carga horária pode sofrer alterações. Possibilidade de períodos de inatividade e/ou horas extras. Número de horas "&amp;"por semana: 40. Horário de trabalho (início/término): 7h às 17h.")</f>
        <v>Cavar buracos durante todo o dia e, em seguida, plantar manualmente mudas de árvores sem raiz J/U, utilizando ferramentas de plantio manual. Manter a vegetação ao redor por meio de poda, desbaste, pulverização, empilhamento de resíduos, limpeza de detritos e outras atividades relacionadas a Trabalhador Florestal, conforme SOC/OES 45-4011 (Onetonline.org). Possibilidade de trabalho nos fins de semana e feriados. Classificação da vaga: 45-4011.00 - Trabalhadores Florestais e de Conservação. A classificação e a descrição da vaga/setor incluem informações gerais sobre o cargo, de acordo com o ONET/OES e o Sistema de Classificação Industrial da América do Norte. Consulte as Funções e a Ordem de Serviço para obter mais informações. Requisitos da vaga: Experiência necessária: Sim. Meses de experiência necessários: 3. Requisitos especiais: Deve apresentar comprovante de autorização legal para trabalhar nos Estados Unidos. Ambiente de trabalho livre de drogas, álcool e tabaco. Executar atividades físicas como: levantar, equilibrar-se, caminhar, abaixar-se, manusear, posicionar, mover e manipular materiais; usar força estática para exercer força muscular máxima para levantar, empurrar, puxar e carregar objetos de até 23 kg. Todos os candidatos devem ser capazes, estar dispostos e qualificados para executar o trabalho descrito e devem estar disponíveis durante todo o período especificado e trabalhar em todas as áreas da empresa. O trabalho é realizado ao ar livre, exposto às intempéries, e exige capacidade para realizar trabalho fisicamente extenuante por longos períodos, ocasionalmente em calor ou frio extremos. As condições climáticas são variáveis; a carga horária pode sofrer alterações. Possibilidade de períodos de inatividade e/ou horas extras. Número de horas por semana: 40. Horário de trabalho (início/término): 7h às 17h.</v>
      </c>
    </row>
    <row r="2298" ht="20.25" customHeight="1">
      <c r="A2298" s="3" t="s">
        <v>10161</v>
      </c>
      <c r="B2298" s="3" t="s">
        <v>4136</v>
      </c>
      <c r="C2298" s="3" t="s">
        <v>920</v>
      </c>
      <c r="D2298" s="3" t="s">
        <v>1297</v>
      </c>
      <c r="E2298" s="4" t="s">
        <v>19</v>
      </c>
      <c r="F2298" s="4" t="s">
        <v>20</v>
      </c>
      <c r="G2298" s="4" t="s">
        <v>155</v>
      </c>
      <c r="H2298" s="3" t="s">
        <v>4137</v>
      </c>
      <c r="I2298" s="3" t="s">
        <v>10162</v>
      </c>
      <c r="J2298" s="4">
        <v>17.75</v>
      </c>
      <c r="K2298" s="4">
        <v>53.0</v>
      </c>
      <c r="L2298" s="3" t="s">
        <v>1034</v>
      </c>
      <c r="M2298" s="3" t="s">
        <v>10163</v>
      </c>
      <c r="N2298" s="7" t="str">
        <f>IFERROR(__xludf.DUMMYFUNCTION("GOOGLETRANSLATE(L2298, ""en"", ""pt"")"),"Remoção de neve")</f>
        <v>Remoção de neve</v>
      </c>
      <c r="O2298" s="7" t="str">
        <f>IFERROR(__xludf.DUMMYFUNCTION("IF(M2298="""","""",GOOGLETRANSLATE(M2298,""en"",""pt""))"),"Remover neve de calçadas, passeios e ruas usando uma pá de neve e aplicar sal para derreter gelo usando um espalhador manual. REQUISITOS DE LEVANTAMENTO DE 22,7 kg (50 LBS) Classificação do Cargo: 37-2011.00 - Zeladores e Faxineiros, exceto Empregadas Dom"&amp;"ésticas e Faxineiras. A classificação e descrição do cargo/setor inclui informações gerais sobre a posição, de acordo com o ONET/OES e o Sistema de Classificação Industrial da América do Norte. Consulte as Funções e a Ordem de Serviço para obter mais info"&amp;"rmações. Requisitos do Cargo Experiência Necessária: Não Requisitos Especiais: Nenhum. Número de Horas por Semana: 40 Horário de Trabalho (Início/Término): 7h00 - 17h00")</f>
        <v>Remover neve de calçadas, passeios e ruas usando uma pá de neve e aplicar sal para derreter gelo usando um espalhador manual. REQUISITOS DE LEVANTAMENTO DE 22,7 kg (50 LBS) Classificação do Cargo: 37-2011.00 - Zeladores e Faxineiros, exceto Empregadas Domésticas e Faxineiras. A classificação e descrição do cargo/setor inclui informações gerais sobre a posição, de acordo com o ONET/OES e o Sistema de Classificação Industrial da América do Norte. Consulte as Funções e a Ordem de Serviço para obter mais informações. Requisitos do Cargo Experiência Necessária: Não Requisitos Especiais: Nenhum. Número de Horas por Semana: 40 Horário de Trabalho (Início/Término): 7h00 - 17h00</v>
      </c>
    </row>
    <row r="2299" ht="20.25" customHeight="1">
      <c r="A2299" s="8" t="s">
        <v>10164</v>
      </c>
      <c r="B2299" s="8" t="s">
        <v>10165</v>
      </c>
      <c r="C2299" s="8" t="s">
        <v>8685</v>
      </c>
      <c r="D2299" s="8" t="s">
        <v>64</v>
      </c>
      <c r="E2299" s="9" t="s">
        <v>44</v>
      </c>
      <c r="F2299" s="9" t="s">
        <v>20</v>
      </c>
      <c r="G2299" s="9" t="s">
        <v>4031</v>
      </c>
      <c r="H2299" s="8" t="s">
        <v>10166</v>
      </c>
      <c r="I2299" s="8" t="s">
        <v>10167</v>
      </c>
      <c r="J2299" s="9">
        <v>14.27</v>
      </c>
      <c r="K2299" s="9">
        <v>1.0</v>
      </c>
      <c r="L2299" s="8" t="s">
        <v>387</v>
      </c>
      <c r="M2299" s="8" t="s">
        <v>10168</v>
      </c>
      <c r="N2299" s="7" t="str">
        <f>IFERROR(__xludf.DUMMYFUNCTION("GOOGLETRANSLATE(L2299, ""en"", ""pt"")"),"Ordem de serviço não disponível")</f>
        <v>Ordem de serviço não disponível</v>
      </c>
      <c r="O2299" s="7" t="str">
        <f>IFERROR(__xludf.DUMMYFUNCTION("IF(M2299="""","""",GOOGLETRANSLATE(M2299,""en"",""pt""))"),"***Resposta à Solicitação de Informações*** Preparação de refeições, lavagem/cuidado com roupas, limpeza/organização da casa e transporte se limitam às tarefas de babá relacionadas ao cuidado das crianças sob seus cuidados e não descrevem uma função de co"&amp;"zinheiro(a), lavador(a) de roupas, faxineiro(a), motorista ou chofer. Planejamento/preparo de refeições significa planejar, preparar, reaquecer, montar e servir refeições e lanches adequados à idade das crianças. A pessoa contratada poderá usar equipament"&amp;"os domésticos comuns de cozinha, incluindo geladeira, pia, fogão/forno, micro-ondas, torradeira, liquidificador, panelas, frigideiras, utensílios, tábua de corte, pratos seguros para crianças e lava-louças. A pessoa contratada poderá cozinhar ou reaquecer"&amp;" alimentos apenas quando necessário para as refeições/lanches das crianças. A pessoa contratada não cozinhará para os pais ou para a casa em geral. Os alimentos preparados pela babá são para as crianças sob seus cuidados. Lavanderia/cuidados com roupas si"&amp;"gnifica apenas a lavagem de roupas infantis, incluindo lavar, secar, dobrar, organizar e guardar roupas, babadores, toalhas, cobertores, roupas de cama e itens relacionados a cuidados infantis. O(A) profissional poderá utilizar equipamentos domésticos com"&amp;"uns de lavanderia, incluindo máquina de lavar, secadora, detergente, cestos de roupa suja e áreas para guardar roupas infantis. O(A) profissional não cuidará das roupas dos pais, roupas de adultos ou da lavanderia doméstica em geral. Transporte significa "&amp;"o transporte/acompanhamento das crianças, como parte dos cuidados infantis, de e para a escola, creche, atividades infantis, passeios, consultas médicas ou passeios similares relacionados às crianças, conforme orientação dos pais. As tarefas podem incluir"&amp;" colocar as crianças em cadeirinhas/cintos de segurança, supervisioná-las durante a viagem, carregar os pertences das crianças e acompanhá-las até/de seus destinos. O(A) profissional não transportará pais, outros adultos ou o público. As tarefas de limpez"&amp;"a/organização da casa se limitam aos cuidados com as crianças, como limpar após as refeições, organizar os brinquedos/áreas de recreação e manter um ambiente seguro para elas. Essas tarefas são inerentes ao cuidado infantil. ***Original*** Cuidar de crian"&amp;"ças pequenas em residências particulares e oferecer apoio e conhecimento especializado aos pais para atender às necessidades físicas, emocionais, intelectuais e sociais das crianças. As tarefas podem incluir planejamento e preparo de refeições, lavagem e "&amp;"cuidados com as roupas, organização de atividades lúdicas e passeios, disciplina, estimulação intelectual, atividades de linguagem e transporte. Além disso, as tarefas podem incluir o seguinte: - Instruir as crianças sobre comportamentos seguros, como ped"&amp;"ir ajuda a um adulto ao atravessar a rua e evitar o contato com objetos perigosos. - Remover perigos e estabelecer limites e regras apropriados para criar um ambiente seguro para as crianças. - Instruir e auxiliar as crianças no desenvolvimento de hábitos"&amp;" saudáveis ​​e pessoais, como alimentação, descanso e uso do banheiro. - Regular os períodos de descanso e os horários de soneca das crianças. - Ajudar a preparar e servir refeições e lanches nutricionalmente balanceados para as crianças. - Servir de mode"&amp;"lo para comportamentos sociais adequados e incentivar a preocupação com os outros, cultivando o desenvolvimento de relacionamentos interpessoais e habilidades de comunicação. - Observar o comportamento das crianças em busca de irregularidades, aferir a te"&amp;"mperatura, levar as crianças ao médico ou administrar medicamentos, conforme orientação, para manter a saúde infantil. Prestar primeiros socorros ou realizar ressuscitação cardiopulmonar (RCP) quando necessário. - Trabalhar com os pais para desenvolver e "&amp;"implementar programas disciplinares que promovam o comportamento desejável das crianças. - Realizar tarefas domésticas e de limpeza relacionadas aos cuidados com as crianças. - Reunir-se regularmente com os pais para discutir as atividades e o desenvolvim"&amp;"ento das crianças. Classificação da Função: 39-9011.01 - Babás A classificação e descrição da função/setor incluem informações gerais sobre o cargo, de acordo com o ONET/OES e o Sistema de Classificação Industrial da América do Norte. Consulte as Funções "&amp;"e a Ordem de Serviço para obter mais informações. Requisitos da Função Experiência Necessária: Sim Meses de Experiência Necessários: 12 Requisitos Especiais: Certificação em Primeiros Socorros e RCP Infantil Número de Horas por Semana: 40 Horário de Traba"&amp;"lho (Início/Término): 7h00 - 15h00")</f>
        <v>***Resposta à Solicitação de Informações*** Preparação de refeições, lavagem/cuidado com roupas, limpeza/organização da casa e transporte se limitam às tarefas de babá relacionadas ao cuidado das crianças sob seus cuidados e não descrevem uma função de cozinheiro(a), lavador(a) de roupas, faxineiro(a), motorista ou chofer. Planejamento/preparo de refeições significa planejar, preparar, reaquecer, montar e servir refeições e lanches adequados à idade das crianças. A pessoa contratada poderá usar equipamentos domésticos comuns de cozinha, incluindo geladeira, pia, fogão/forno, micro-ondas, torradeira, liquidificador, panelas, frigideiras, utensílios, tábua de corte, pratos seguros para crianças e lava-louças. A pessoa contratada poderá cozinhar ou reaquecer alimentos apenas quando necessário para as refeições/lanches das crianças. A pessoa contratada não cozinhará para os pais ou para a casa em geral. Os alimentos preparados pela babá são para as crianças sob seus cuidados. Lavanderia/cuidados com roupas significa apenas a lavagem de roupas infantis, incluindo lavar, secar, dobrar, organizar e guardar roupas, babadores, toalhas, cobertores, roupas de cama e itens relacionados a cuidados infantis. O(A) profissional poderá utilizar equipamentos domésticos comuns de lavanderia, incluindo máquina de lavar, secadora, detergente, cestos de roupa suja e áreas para guardar roupas infantis. O(A) profissional não cuidará das roupas dos pais, roupas de adultos ou da lavanderia doméstica em geral. Transporte significa o transporte/acompanhamento das crianças, como parte dos cuidados infantis, de e para a escola, creche, atividades infantis, passeios, consultas médicas ou passeios similares relacionados às crianças, conforme orientação dos pais. As tarefas podem incluir colocar as crianças em cadeirinhas/cintos de segurança, supervisioná-las durante a viagem, carregar os pertences das crianças e acompanhá-las até/de seus destinos. O(A) profissional não transportará pais, outros adultos ou o público. As tarefas de limpeza/organização da casa se limitam aos cuidados com as crianças, como limpar após as refeições, organizar os brinquedos/áreas de recreação e manter um ambiente seguro para elas. Essas tarefas são inerentes ao cuidado infantil. ***Original*** Cuidar de crianças pequenas em residências particulares e oferecer apoio e conhecimento especializado aos pais para atender às necessidades físicas, emocionais, intelectuais e sociais das crianças. As tarefas podem incluir planejamento e preparo de refeições, lavagem e cuidados com as roupas, organização de atividades lúdicas e passeios, disciplina, estimulação intelectual, atividades de linguagem e transporte. Além disso, as tarefas podem incluir o seguinte: - Instruir as crianças sobre comportamentos seguros, como pedir ajuda a um adulto ao atravessar a rua e evitar o contato com objetos perigosos. - Remover perigos e estabelecer limites e regras apropriados para criar um ambiente seguro para as crianças. - Instruir e auxiliar as crianças no desenvolvimento de hábitos saudáveis ​​e pessoais, como alimentação, descanso e uso do banheiro. - Regular os períodos de descanso e os horários de soneca das crianças. - Ajudar a preparar e servir refeições e lanches nutricionalmente balanceados para as crianças. - Servir de modelo para comportamentos sociais adequados e incentivar a preocupação com os outros, cultivando o desenvolvimento de relacionamentos interpessoais e habilidades de comunicação. - Observar o comportamento das crianças em busca de irregularidades, aferir a temperatura, levar as crianças ao médico ou administrar medicamentos, conforme orientação, para manter a saúde infantil. Prestar primeiros socorros ou realizar ressuscitação cardiopulmonar (RCP) quando necessário. - Trabalhar com os pais para desenvolver e implementar programas disciplinares que promovam o comportamento desejável das crianças. - Realizar tarefas domésticas e de limpeza relacionadas aos cuidados com as crianças. - Reunir-se regularmente com os pais para discutir as atividades e o desenvolvimento das crianças. Classificação da Função: 39-9011.01 - Babás A classificação e descrição da função/setor incluem informações gerais sobre o cargo, de acordo com o ONET/OES e o Sistema de Classificação Industrial da América do Norte. Consulte as Funções e a Ordem de Serviço para obter mais informações. Requisitos da Função Experiência Necessária: Sim Meses de Experiência Necessários: 12 Requisitos Especiais: Certificação em Primeiros Socorros e RCP Infantil Número de Horas por Semana: 40 Horário de Trabalho (Início/Término): 7h00 - 15h00</v>
      </c>
    </row>
    <row r="2300" ht="20.25" customHeight="1">
      <c r="A2300" s="3" t="s">
        <v>10169</v>
      </c>
      <c r="B2300" s="3" t="s">
        <v>10170</v>
      </c>
      <c r="C2300" s="3"/>
      <c r="D2300" s="3" t="s">
        <v>126</v>
      </c>
      <c r="E2300" s="4" t="s">
        <v>19</v>
      </c>
      <c r="F2300" s="4" t="s">
        <v>20</v>
      </c>
      <c r="G2300" s="4" t="s">
        <v>6317</v>
      </c>
      <c r="H2300" s="3" t="s">
        <v>10171</v>
      </c>
      <c r="I2300" s="3" t="s">
        <v>10172</v>
      </c>
      <c r="J2300" s="4">
        <v>18.91</v>
      </c>
      <c r="K2300" s="4">
        <v>15.0</v>
      </c>
      <c r="L2300" s="3" t="s">
        <v>3141</v>
      </c>
      <c r="M2300" s="3" t="s">
        <v>10173</v>
      </c>
      <c r="N2300" s="7" t="str">
        <f>IFERROR(__xludf.DUMMYFUNCTION("GOOGLETRANSLATE(L2300, ""en"", ""pt"")"),"Empregadas domésticas e serviços de limpeza")</f>
        <v>Empregadas domésticas e serviços de limpeza</v>
      </c>
      <c r="O2300" s="7" t="str">
        <f>IFERROR(__xludf.DUMMYFUNCTION("IF(M2300="""","""",GOOGLETRANSLATE(M2300,""en"",""pt""))"),"Os trabalhadores temporários desempenharão funções para manter o local de trabalho limpo e organizado. As tarefas incluem arrumar camas, trocar lençóis, toalhas e artigos de higiene pessoal, repor suprimentos e materiais de limpeza e esvaziar lixeiras uti"&amp;"lizando carrinhos com rodas. Limpar quartos, corredores, saguões, salas de estar, banheiros, elevadores, escadas, vestiários e outras áreas de trabalho. Limpar tapetes, carpetes, móveis estofados e cortinas, utilizando aspiradores de pó e lavadoras de car"&amp;"petes, e solicitar reparos. Classificação da vaga: 37-2011.00 - Zeladores e Faxineiros, exceto empregadas domésticas e faxineiras. A classificação e descrição da vaga/setor incluem informações gerais sobre o cargo, de acordo com o ONET/OES e o Sistema de "&amp;"Classificação Industrial da América do Norte. Consulte as Funções e a Ordem de Serviço para obter mais informações. Requisitos da vaga: Experiência exigida: Sim. Meses de experiência exigidos: 3. Requisitos especiais: TRÊS MESES DE EXPERIÊNCIA COMO EMPREG"&amp;"ADA DOMÉSTICA E FAXINEIRA. É necessário se abaixar, levantar e sustentar até 23 kg (50 lbs). Trabalho em ritmo acelerado. Não é necessário viajar, não é exigida escolaridade e não há treinamento disponível no local de trabalho. Exame toxicológico pós-cont"&amp;"ratação obrigatório, pago pelo empregador. Todos os funcionários, tanto os contratados quanto os temporários, serão submetidos à mesma avaliação. Número de horas por semana: 40. Horário de trabalho (início/término): 7h às 14h.")</f>
        <v>Os trabalhadores temporários desempenharão funções para manter o local de trabalho limpo e organizado. As tarefas incluem arrumar camas, trocar lençóis, toalhas e artigos de higiene pessoal, repor suprimentos e materiais de limpeza e esvaziar lixeiras utilizando carrinhos com rodas. Limpar quartos, corredores, saguões, salas de estar, banheiros, elevadores, escadas, vestiários e outras áreas de trabalho. Limpar tapetes, carpetes, móveis estofados e cortinas, utilizando aspiradores de pó e lavadoras de carpetes, e solicitar reparos. Classificação da vaga: 37-2011.00 - Zeladores e Faxineiros, exceto empregadas domésticas e faxineiras. A classificação e descrição da vaga/setor incluem informações gerais sobre o cargo, de acordo com o ONET/OES e o Sistema de Classificação Industrial da América do Norte. Consulte as Funções e a Ordem de Serviço para obter mais informações. Requisitos da vaga: Experiência exigida: Sim. Meses de experiência exigidos: 3. Requisitos especiais: TRÊS MESES DE EXPERIÊNCIA COMO EMPREGADA DOMÉSTICA E FAXINEIRA. É necessário se abaixar, levantar e sustentar até 23 kg (50 lbs). Trabalho em ritmo acelerado. Não é necessário viajar, não é exigida escolaridade e não há treinamento disponível no local de trabalho. Exame toxicológico pós-contratação obrigatório, pago pelo empregador. Todos os funcionários, tanto os contratados quanto os temporários, serão submetidos à mesma avaliação. Número de horas por semana: 40. Horário de trabalho (início/término): 7h às 14h.</v>
      </c>
    </row>
    <row r="2301" ht="20.25" customHeight="1">
      <c r="A2301" s="8" t="s">
        <v>10174</v>
      </c>
      <c r="B2301" s="8" t="s">
        <v>9580</v>
      </c>
      <c r="C2301" s="8"/>
      <c r="D2301" s="8" t="s">
        <v>87</v>
      </c>
      <c r="E2301" s="9" t="s">
        <v>19</v>
      </c>
      <c r="F2301" s="9" t="s">
        <v>20</v>
      </c>
      <c r="G2301" s="9" t="s">
        <v>524</v>
      </c>
      <c r="H2301" s="8" t="s">
        <v>9581</v>
      </c>
      <c r="I2301" s="8" t="s">
        <v>9582</v>
      </c>
      <c r="J2301" s="9">
        <v>17.47</v>
      </c>
      <c r="K2301" s="9">
        <v>10.0</v>
      </c>
      <c r="L2301" s="8" t="s">
        <v>387</v>
      </c>
      <c r="M2301" s="8" t="s">
        <v>10175</v>
      </c>
      <c r="N2301" s="7" t="str">
        <f>IFERROR(__xludf.DUMMYFUNCTION("GOOGLETRANSLATE(L2301, ""en"", ""pt"")"),"Ordem de serviço não disponível")</f>
        <v>Ordem de serviço não disponível</v>
      </c>
      <c r="O2301" s="7" t="str">
        <f>IFERROR(__xludf.DUMMYFUNCTION("IF(M2301="""","""",GOOGLETRANSLATE(M2301,""en"",""pt""))"),"***Resposta à Solicitação de Informações*** Preparar e cozinhar sob encomenda uma variedade de pratos com tempo de preparo curto em um restaurante de culinária típica da região costeira. Preparar receitas rápidas e simples, como sopa de caranguejo, camarã"&amp;"o com grits ao molho barbecue, tomates verdes fritos e frango frito crocante. Executar tarefas de preparação de alimentos, como a montagem simples de ingredientes pré-preparados e parcialmente cozidos para criar sanduíches, hambúrgueres, saladas e sopas, "&amp;"finalizando-os rapidamente na grelha ou no forno quando solicitados. Garantir que os alimentos sejam armazenados e cozidos na temperatura correta, regulando fornos, grelhas e assadeiras. Utilizar equipamentos padrão de cozinha comercial, com ênfase em fri"&amp;"tadeiras para as asas de frango crocantes e batatas fritas da casa. Garantir o frescor dos alimentos e ingredientes, verificando a qualidade, controlando os itens novos e antigos e fazendo o rodízio do estoque. Limpar os equipamentos de preparação de alim"&amp;"entos na cozinha, como fornos, grelhas e fritadeiras, utilizando sabão, desengordurante e esponjas de limpeza. Limpar as áreas de trabalho da cozinha, como bancadas e mesas, utilizando produtos de limpeza de superfícies, escovas e desinfetantes. Os funcio"&amp;"nários não receberão pedidos de comida diretamente dos clientes. Esta tarefa está sendo realizada pelos garçons. ***Original F.a.2*** Preparar e cozinhar uma variedade de alimentos sob encomenda com tempo de preparo curto. Garantir que os alimentos sejam "&amp;"armazenados e cozidos na temperatura correta, regulando fornos, grelhas e assadeiras. Executar tarefas de preparação de alimentos, como fazer sanduíches, fatiar carnes, preparar sopas, saladas e sobremesas. Garantir o frescor dos alimentos e ingredientes,"&amp;" verificando a qualidade, controlando os itens novos e antigos e fazendo o rodízio do estoque. Limpar equipamentos de preparação de alimentos, áreas de trabalho e balcões ou mesas. Classificação do Cargo: 35-2014.00 - Cozinheiros, Restaurante. A classific"&amp;"ação e descrição do cargo/setor inclui informações gerais sobre a posição, de acordo com o ONET/OES e o Sistema de Classificação Industrial da América do Norte. Consulte as Funções e a Ordem de Serviço para obter mais informações. Requisitos do Cargo: Exp"&amp;"eriência Necessária: Sim. Meses de Experiência Necessária: 3. Número de Horas por Semana: 40. Horário de Trabalho (Início/Término): 15h00 - 23h00.")</f>
        <v>***Resposta à Solicitação de Informações*** Preparar e cozinhar sob encomenda uma variedade de pratos com tempo de preparo curto em um restaurante de culinária típica da região costeira. Preparar receitas rápidas e simples, como sopa de caranguejo, camarão com grits ao molho barbecue, tomates verdes fritos e frango frito crocante. Executar tarefas de preparação de alimentos, como a montagem simples de ingredientes pré-preparados e parcialmente cozidos para criar sanduíches, hambúrgueres, saladas e sopas, finalizando-os rapidamente na grelha ou no forno quando solicitados. Garantir que os alimentos sejam armazenados e cozidos na temperatura correta, regulando fornos, grelhas e assadeiras. Utilizar equipamentos padrão de cozinha comercial, com ênfase em fritadeiras para as asas de frango crocantes e batatas fritas da casa. Garantir o frescor dos alimentos e ingredientes, verificando a qualidade, controlando os itens novos e antigos e fazendo o rodízio do estoque. Limpar os equipamentos de preparação de alimentos na cozinha, como fornos, grelhas e fritadeiras, utilizando sabão, desengordurante e esponjas de limpeza. Limpar as áreas de trabalho da cozinha, como bancadas e mesas, utilizando produtos de limpeza de superfícies, escovas e desinfetantes. Os funcionários não receberão pedidos de comida diretamente dos clientes. Esta tarefa está sendo realizada pelos garçons. ***Original F.a.2*** Preparar e cozinhar uma variedade de alimentos sob encomenda com tempo de preparo curto. Garantir que os alimentos sejam armazenados e cozidos na temperatura correta, regulando fornos, grelhas e assadeiras. Executar tarefas de preparação de alimentos, como fazer sanduíches, fatiar carnes, preparar sopas, saladas e sobremesas. Garantir o frescor dos alimentos e ingredientes, verificando a qualidade, controlando os itens novos e antigos e fazendo o rodízio do estoque. Limpar equipamentos de preparação de alimentos, áreas de trabalho e balcões ou mesas. Classificação do Cargo: 35-2014.00 - Cozinheiros, Restaurante. A classificação e descrição do cargo/setor inclui informações gerais sobre a posição, de acordo com o ONET/OES e o Sistema de Classificação Industrial da América do Norte. Consulte as Funções e a Ordem de Serviço para obter mais informações. Requisitos do Cargo: Experiência Necessária: Sim. Meses de Experiência Necessária: 3. Número de Horas por Semana: 40. Horário de Trabalho (Início/Término): 15h00 - 23h00.</v>
      </c>
    </row>
    <row r="2302" ht="20.25" customHeight="1">
      <c r="A2302" s="3" t="s">
        <v>10176</v>
      </c>
      <c r="B2302" s="3" t="s">
        <v>10177</v>
      </c>
      <c r="C2302" s="3"/>
      <c r="D2302" s="3" t="s">
        <v>1197</v>
      </c>
      <c r="E2302" s="4" t="s">
        <v>44</v>
      </c>
      <c r="F2302" s="4" t="s">
        <v>20</v>
      </c>
      <c r="G2302" s="4" t="s">
        <v>626</v>
      </c>
      <c r="H2302" s="3" t="s">
        <v>10178</v>
      </c>
      <c r="I2302" s="3" t="s">
        <v>10179</v>
      </c>
      <c r="J2302" s="4">
        <v>17.35</v>
      </c>
      <c r="K2302" s="4">
        <v>80.0</v>
      </c>
      <c r="L2302" s="3" t="s">
        <v>1061</v>
      </c>
      <c r="M2302" s="3" t="s">
        <v>10180</v>
      </c>
      <c r="N2302" s="7" t="str">
        <f>IFERROR(__xludf.DUMMYFUNCTION("GOOGLETRANSLATE(L2302, ""en"", ""pt"")"),"Auxiliar de Creche")</f>
        <v>Auxiliar de Creche</v>
      </c>
      <c r="O2302" s="7" t="str">
        <f>IFERROR(__xludf.DUMMYFUNCTION("IF(M2302="""","""",GOOGLETRANSLATE(M2302,""en"",""pt""))"),"O TRABALHADOR DE MONTAGEM DE PRODUTOS EM VIVEIRO REQUER A COLETA DE GALHOS DE ÁRVORES, CORTE MANUALMENTE, TRATAMENTO, ARRANJO, AMARRAÇÃO E EMBALAGEM DE ÁRVORES DE NATAL, GALHOS, COMPRAS E OUTROS MATERIAIS PREVIAMENTE COLETADOS EM VIVEIRO. CORTE PRODUTOS N"&amp;"ATURAIS DE PINHEIRO, CORTE, TRATAMENTO E ARRANJO PARA PRODUZIR GUIRLANDAS E OUTRAS ATIVIDADES RELACIONADAS A VIVEIROS, CONFORME SOC/OES 45-2092 (ONETONLINE.ORG). ESTA VAGA NÃO É PARA UM DESIGNER FLORAL QUE TRABALHA COM FLORES, MAS SIM PARA A CONFECÇÃO DE "&amp;"GUIRLANDAS DE NATAL A PARTIR DE ÁRVORES DE NATAL EM UM VIVEIRO/FAZENARIA. Classificação da vaga: 27-1023.00 - Designers Florais. A classificação e descrição da vaga/setor inclui informações gerais sobre a posição, conforme o ONET/OES e o Sistema de Classi"&amp;"ficação Industrial da América do Norte (NAICS). Consulte as Funções e a Ordem de Serviço para obter mais informações. Requisitos da vaga: Experiência necessária: Não. Requisitos especiais: É necessário ter 18 anos ou mais devido ao uso de equipamentos nos"&amp;" EUA. É necessário apresentar comprovante de autorização legal para trabalhar nos Estados Unidos. Ambiente de trabalho livre de drogas, álcool e tabaco. Executar atividades físicas como: levantar, equilibrar, caminhar, agachar, manusear, posicionar, mover"&amp;" e manipular materiais, usar força estática para exercer força muscular máxima para levantar, empurrar, puxar e carregar objetos de até 18 kg. Todos os candidatos devem ser capazes, estar dispostos e qualificados para executar o trabalho descrito durante "&amp;"o emprego. Teste positivo/recusa em cumprir as normas é motivo para demissão. Possível verificação de antecedentes após a contratação, às custas do empregador. Trabalho ao ar livre, exposto às intempéries. Deve ser capaz de realizar trabalho árduo por lon"&amp;"gas horas, ocasionalmente em calor/frio extremo. Condições climáticas variáveis. A carga horária pode variar (+/-), podendo haver períodos de inatividade e/ou horas extras. Número de horas por semana: 40. Horário de trabalho (início/término): 7h30 às 16h3"&amp;"0.")</f>
        <v>O TRABALHADOR DE MONTAGEM DE PRODUTOS EM VIVEIRO REQUER A COLETA DE GALHOS DE ÁRVORES, CORTE MANUALMENTE, TRATAMENTO, ARRANJO, AMARRAÇÃO E EMBALAGEM DE ÁRVORES DE NATAL, GALHOS, COMPRAS E OUTROS MATERIAIS PREVIAMENTE COLETADOS EM VIVEIRO. CORTE PRODUTOS NATURAIS DE PINHEIRO, CORTE, TRATAMENTO E ARRANJO PARA PRODUZIR GUIRLANDAS E OUTRAS ATIVIDADES RELACIONADAS A VIVEIROS, CONFORME SOC/OES 45-2092 (ONETONLINE.ORG). ESTA VAGA NÃO É PARA UM DESIGNER FLORAL QUE TRABALHA COM FLORES, MAS SIM PARA A CONFECÇÃO DE GUIRLANDAS DE NATAL A PARTIR DE ÁRVORES DE NATAL EM UM VIVEIRO/FAZENARIA. Classificação da vaga: 27-1023.00 - Designers Florais. A classificação e descrição da vaga/setor inclui informações gerais sobre a posição, conforme o ONET/OES e o Sistema de Classificação Industrial da América do Norte (NAICS). Consulte as Funções e a Ordem de Serviço para obter mais informações. Requisitos da vaga: Experiência necessária: Não. Requisitos especiais: É necessário ter 18 anos ou mais devido ao uso de equipamentos nos EUA. É necessário apresentar comprovante de autorização legal para trabalhar nos Estados Unidos. Ambiente de trabalho livre de drogas, álcool e tabaco. Executar atividades físicas como: levantar, equilibrar, caminhar, agachar, manusear, posicionar, mover e manipular materiais, usar força estática para exercer força muscular máxima para levantar, empurrar, puxar e carregar objetos de até 18 kg. Todos os candidatos devem ser capazes, estar dispostos e qualificados para executar o trabalho descrito durante o emprego. Teste positivo/recusa em cumprir as normas é motivo para demissão. Possível verificação de antecedentes após a contratação, às custas do empregador. Trabalho ao ar livre, exposto às intempéries. Deve ser capaz de realizar trabalho árduo por longas horas, ocasionalmente em calor/frio extremo. Condições climáticas variáveis. A carga horária pode variar (+/-), podendo haver períodos de inatividade e/ou horas extras. Número de horas por semana: 40. Horário de trabalho (início/término): 7h30 às 16h30.</v>
      </c>
    </row>
    <row r="2303" ht="20.25" customHeight="1">
      <c r="A2303" s="8" t="s">
        <v>10181</v>
      </c>
      <c r="B2303" s="8" t="s">
        <v>10182</v>
      </c>
      <c r="C2303" s="8" t="s">
        <v>10183</v>
      </c>
      <c r="D2303" s="8" t="s">
        <v>126</v>
      </c>
      <c r="E2303" s="9" t="s">
        <v>19</v>
      </c>
      <c r="F2303" s="9" t="s">
        <v>20</v>
      </c>
      <c r="G2303" s="9" t="s">
        <v>307</v>
      </c>
      <c r="H2303" s="8" t="s">
        <v>10184</v>
      </c>
      <c r="I2303" s="8" t="s">
        <v>10185</v>
      </c>
      <c r="J2303" s="9">
        <v>20.33</v>
      </c>
      <c r="K2303" s="9">
        <v>2.0</v>
      </c>
      <c r="L2303" s="8" t="s">
        <v>10186</v>
      </c>
      <c r="M2303" s="8" t="s">
        <v>10187</v>
      </c>
      <c r="N2303" s="7" t="str">
        <f>IFERROR(__xludf.DUMMYFUNCTION("GOOGLETRANSLATE(L2303, ""en"", ""pt"")"),"Vendedor de varejo")</f>
        <v>Vendedor de varejo</v>
      </c>
      <c r="O2303" s="7" t="str">
        <f>IFERROR(__xludf.DUMMYFUNCTION("IF(M2303="""","""",GOOGLETRANSLATE(M2303,""en"",""pt""))"),"A EOL Concessions é uma loja de souvenirs localizada em Georgetown, Colorado. Os Assistentes de Vendas serão responsáveis ​​por apoiar as operações diárias da loja, mantendo um bom relacionamento com os clientes, reabastecendo e organizando as prateleiras"&amp;". As funções incluem recepcionar clientes, fazer inventário dos produtos e operar o sistema de ponto de venda (PDV) para manter o estoque correto. O assistente de vendas também poderá limpar prateleiras, balcões e mesas; abrir e fechar caixas registradora"&amp;"s; embalar e ensacar os itens comprados; e identificar e reconhecer riscos de segurança e furtos. Classificação da vaga: 41-2031.00 - Vendedores de Varejo. A classificação e descrição da vaga/setor incluem informações gerais sobre o cargo, de acordo com o"&amp;" ONET/OES e o Sistema de Classificação Industrial da América do Norte (NAICS). Consulte a Descrição das Funções e a Ordem de Serviço para obter mais informações. Requisitos da vaga: Experiência necessária: Sim. Meses de experiência necessários: 3. Número "&amp;"de horas por semana: 40. Horário de trabalho (início/término): 9h às 17h.")</f>
        <v>A EOL Concessions é uma loja de souvenirs localizada em Georgetown, Colorado. Os Assistentes de Vendas serão responsáveis ​​por apoiar as operações diárias da loja, mantendo um bom relacionamento com os clientes, reabastecendo e organizando as prateleiras. As funções incluem recepcionar clientes, fazer inventário dos produtos e operar o sistema de ponto de venda (PDV) para manter o estoque correto. O assistente de vendas também poderá limpar prateleiras, balcões e mesas; abrir e fechar caixas registradoras; embalar e ensacar os itens comprados; e identificar e reconhecer riscos de segurança e furtos. Classificação da vaga: 41-2031.00 - Vendedores de Varejo. A classificação e descrição da vaga/setor incluem informações gerais sobre o cargo, de acordo com o ONET/OES e o Sistema de Classificação Industrial da América do Norte (NAICS). Consulte a Descrição das Funções e a Ordem de Serviço para obter mais informações. Requisitos da vaga: Experiência necessária: Sim. Meses de experiência necessários: 3. Número de horas por semana: 40. Horário de trabalho (início/término): 9h às 17h.</v>
      </c>
    </row>
    <row r="2304" ht="20.25" customHeight="1">
      <c r="A2304" s="3" t="s">
        <v>10188</v>
      </c>
      <c r="B2304" s="3" t="s">
        <v>10189</v>
      </c>
      <c r="C2304" s="3" t="s">
        <v>10080</v>
      </c>
      <c r="D2304" s="3" t="s">
        <v>833</v>
      </c>
      <c r="E2304" s="4" t="s">
        <v>19</v>
      </c>
      <c r="F2304" s="4" t="s">
        <v>20</v>
      </c>
      <c r="G2304" s="4" t="s">
        <v>3670</v>
      </c>
      <c r="H2304" s="3" t="s">
        <v>10190</v>
      </c>
      <c r="I2304" s="3" t="s">
        <v>10191</v>
      </c>
      <c r="J2304" s="4">
        <v>17.48</v>
      </c>
      <c r="K2304" s="4">
        <v>10.0</v>
      </c>
      <c r="L2304" s="3" t="s">
        <v>59</v>
      </c>
      <c r="M2304" s="3" t="s">
        <v>10192</v>
      </c>
      <c r="N2304" s="7" t="str">
        <f>IFERROR(__xludf.DUMMYFUNCTION("GOOGLETRANSLATE(L2304, ""en"", ""pt"")"),"Trabalhador de paisagismo")</f>
        <v>Trabalhador de paisagismo</v>
      </c>
      <c r="O2304" s="7" t="str">
        <f>IFERROR(__xludf.DUMMYFUNCTION("IF(M2304="""","""",GOOGLETRANSLATE(M2304,""en"",""pt""))"),"Remoção de neve, manutenção de terrenos, limpeza de lixo e outras tarefas relacionadas à manutenção das instalações, como limpeza de folhas, neve ou detritos usando ferramentas manuais ou equipamentos elétricos, incluindo, entre outros, ancinhos, pás e so"&amp;"pradores de neve/folhas. Preparação e ativação do sistema de irrigação para o inverno. Possibilidade de limpeza de folhas no outono e na primavera, poda de inverno, plantio de plantas perenes, remoção de folhas e cobertura morta em canteiros. Poda de árvo"&amp;"res e arbustos. Remoção de gelo e neve de calçadas, entradas de garagem, ruas e estacionamentos de diversas propriedades residenciais, municipais e comerciais, usando ferramentas manuais como vassouras de neve, pás, arados de neve e espalhando soluções de"&amp;" degelo, incluindo cloreto de cálcio ou sal grosso. Pode também usar um soprador de neve elétrico ou a gasolina, conforme necessário. Pode dirigir veículos da equipe conforme necessário e realizar outras atividades de Auxiliar de Paisagismo, de acordo com"&amp;" a SOC 37-3011. Classificação da Função: 37-3011.00 - Trabalhadores de Paisagismo e Manutenção de Jardins. A classificação e descrição da função/setor inclui informações gerais sobre o cargo, conforme o ONET/OES e o Sistema de Classificação Industrial da "&amp;"América do Norte (NAICS). Consulte as Funções e a Ordem de Serviço para obter mais informações. Requisitos da Função: Experiência Necessária: Não. Requisitos Especiais: É necessário comprovar autorização legal para trabalhar nos Estados Unidos. Ambiente d"&amp;"e trabalho livre de drogas, álcool e tabaco. O trabalho envolve atividades físicas como: levantar, equilibrar-se, caminhar, abaixar-se, manusear, posicionar, mover e manipular materiais; usar força estática para exercer força muscular máxima para levantar"&amp;", empurrar, puxar e carregar objetos de até 23 kg. Todos os candidatos devem ser capazes, dispostos e qualificados para executar o trabalho descrito e devem estar disponíveis durante todo o período especificado e trabalhar em todas as áreas da vaga. O tra"&amp;"balho é realizado ao ar livre, exposto às intempéries, e o candidato deve ser capaz de realizar trabalho fisicamente extenuante por longos períodos, ocasionalmente em calor ou frio extremos. Condições climáticas variáveis ​​se aplicam; a carga horária pod"&amp;"e sofrer alterações (+/-). Possibilidade de períodos de inatividade e/ou horas extras. Número de horas por semana: 35 Horário de trabalho (início/término): 7h00 - 17h00")</f>
        <v>Remoção de neve, manutenção de terrenos, limpeza de lixo e outras tarefas relacionadas à manutenção das instalações, como limpeza de folhas, neve ou detritos usando ferramentas manuais ou equipamentos elétricos, incluindo, entre outros, ancinhos, pás e sopradores de neve/folhas. Preparação e ativação do sistema de irrigação para o inverno. Possibilidade de limpeza de folhas no outono e na primavera, poda de inverno, plantio de plantas perenes, remoção de folhas e cobertura morta em canteiros. Poda de árvores e arbustos. Remoção de gelo e neve de calçadas, entradas de garagem, ruas e estacionamentos de diversas propriedades residenciais, municipais e comerciais, usando ferramentas manuais como vassouras de neve, pás, arados de neve e espalhando soluções de degelo, incluindo cloreto de cálcio ou sal grosso. Pode também usar um soprador de neve elétrico ou a gasolina, conforme necessário. Pode dirigir veículos da equipe conforme necessário e realizar outras atividades de Auxiliar de Paisagismo, de acordo com a SOC 37-3011. Classificação da Função: 37-3011.00 - Trabalhadores de Paisagismo e Manutenção de Jardins. A classificação e descrição da função/setor inclui informações gerais sobre o cargo, conforme o ONET/OES e o Sistema de Classificação Industrial da América do Norte (NAICS). Consulte as Funções e a Ordem de Serviço para obter mais informações. Requisitos da Função: Experiência Necessária: Não. Requisitos Especiais: É necessário comprovar autorização legal para trabalhar nos Estados Unidos. Ambiente de trabalho livre de drogas, álcool e tabaco. O trabalho envolve atividades físicas como: levantar, equilibrar-se, caminhar, abaixar-se, manusear, posicionar, mover e manipular materiais; usar força estática para exercer força muscular máxima para levantar, empurrar, puxar e carregar objetos de até 23 kg. Todos os candidatos devem ser capazes, dispostos e qualificados para executar o trabalho descrito e devem estar disponíveis durante todo o período especificado e trabalhar em todas as áreas da vaga. O trabalho é realizado ao ar livre, exposto às intempéries, e o candidato deve ser capaz de realizar trabalho fisicamente extenuante por longos períodos, ocasionalmente em calor ou frio extremos. Condições climáticas variáveis ​​se aplicam; a carga horária pode sofrer alterações (+/-). Possibilidade de períodos de inatividade e/ou horas extras. Número de horas por semana: 35 Horário de trabalho (início/término): 7h00 - 17h00</v>
      </c>
    </row>
    <row r="2305" ht="20.25" customHeight="1">
      <c r="A2305" s="8" t="s">
        <v>10193</v>
      </c>
      <c r="B2305" s="8" t="s">
        <v>10194</v>
      </c>
      <c r="C2305" s="8"/>
      <c r="D2305" s="8" t="s">
        <v>64</v>
      </c>
      <c r="E2305" s="9" t="s">
        <v>19</v>
      </c>
      <c r="F2305" s="9" t="s">
        <v>20</v>
      </c>
      <c r="G2305" s="9" t="s">
        <v>377</v>
      </c>
      <c r="H2305" s="8" t="s">
        <v>10195</v>
      </c>
      <c r="I2305" s="8" t="s">
        <v>10196</v>
      </c>
      <c r="J2305" s="9">
        <v>19.89</v>
      </c>
      <c r="K2305" s="9">
        <v>20.0</v>
      </c>
      <c r="L2305" s="8" t="s">
        <v>7250</v>
      </c>
      <c r="M2305" s="8" t="s">
        <v>10197</v>
      </c>
      <c r="N2305" s="7" t="str">
        <f>IFERROR(__xludf.DUMMYFUNCTION("GOOGLETRANSLATE(L2305, ""en"", ""pt"")"),"Auxiliar de Produção")</f>
        <v>Auxiliar de Produção</v>
      </c>
      <c r="O2305" s="7" t="str">
        <f>IFERROR(__xludf.DUMMYFUNCTION("IF(M2305="""","""",GOOGLETRANSLATE(M2305,""en"",""pt""))"),"***Resposta à Solicitação de Informações*** As instalações descritas no Item F.a.2. são um armazém de produção onde os auxiliares de produção desempenharão suas funções. Os auxiliares de produção são responsáveis ​​por fornecer, transportar e armazenar ma"&amp;"teriais e ferramentas para a produção, bem como pela limpeza da área de trabalho. As tarefas específicas incluem: carregar e descarregar magnésio bruto ou materiais metálicos em estoque e produtos acabados de máquinas e esteiras; colocar os produtos nas s"&amp;"uperfícies de trabalho para processamento ou inspeção; remover produtos acabados e resíduos das máquinas; embalar e armazenar extrusões de magnésio acabadas e componentes fundidos; contar os produtos acabados para o atendimento de pedidos; limpar e lubrif"&amp;"icar os equipamentos; e lavar as áreas de trabalho e as máquinas. As ferramentas e os equipamentos utilizados incluem guindastes, chaves, equipamentos de limpeza (como vassouras, esfregões, baldes, panos, etc.), carrinhos de transporte e ferramentas manua"&amp;"is básicas (incluindo etiquetadora, tesoura e materiais de escritório para identificar caixas). Para objetos com mais de 23 kg, os trabalhadores utilizam empilhadeiras e ganchos fornecidos pelo empregador. Os trabalhadores operarão empilhadeiras conforme "&amp;"necessário para transportar magnésio bruto e produtos acabados entre as áreas de armazenamento e produção. Os auxiliares de produção também auxiliarão os operadores carregando tarugos de magnésio bruto em prensas de extrusão e máquinas de fundição, remove"&amp;"ndo peças acabadas e descartando resíduos ou materiais defeituosos para reprocessamento. Os auxiliares monitorarão os equipamentos durante a operação e notificarão os operadores sobre quaisquer defeitos visíveis. Eles não operarão máquinas de produção de "&amp;"forma independente. ***Original*** O auxiliar de produção fornecerá, transportará ou segurará materiais e ferramentas para a produção. Poderá carregar e operar máquinas; movimentar e processar materiais, limpar a área de trabalho e as ferramentas. Classif"&amp;"icação do Cargo: 53-7063.00 - Alimentadores e Descarregadores de Máquinas. A classificação e descrição do cargo/setor inclui informações gerais sobre a posição, de acordo com o ONET/OES e o Sistema de Classificação Industrial da América do Norte. Consulte"&amp;" as Funções e a Ordem de Serviço para obter mais informações. Requisitos do Cargo Experiência Necessária: Sim Meses de Experiência Necessários: 3 Requisitos Especiais: É necessário ter três meses de experiência prévia como auxiliar de produção. Não são ne"&amp;"cessárias viagens ou formação, treinamento no local de trabalho ou transporte diário para o local de trabalho. Capacidade de se abaixar e levantar objetos pesados ​​de até 23 kg. Para objetos com mais de 22,7 kg (50 lb), empilhadeira e ganchos são forneci"&amp;"dos. É obrigatório exame toxicológico pós-contratação, pago pelo empregador. Todos os funcionários, incluindo os visitantes, serão submetidos ao exame da mesma forma. A idade mínima exigida é de 18 anos devido a atividades de risco. Número de horas por se"&amp;"mana: 40. Horário de trabalho (início/término): 7h30 às 16h30.")</f>
        <v>***Resposta à Solicitação de Informações*** As instalações descritas no Item F.a.2. são um armazém de produção onde os auxiliares de produção desempenharão suas funções. Os auxiliares de produção são responsáveis ​​por fornecer, transportar e armazenar materiais e ferramentas para a produção, bem como pela limpeza da área de trabalho. As tarefas específicas incluem: carregar e descarregar magnésio bruto ou materiais metálicos em estoque e produtos acabados de máquinas e esteiras; colocar os produtos nas superfícies de trabalho para processamento ou inspeção; remover produtos acabados e resíduos das máquinas; embalar e armazenar extrusões de magnésio acabadas e componentes fundidos; contar os produtos acabados para o atendimento de pedidos; limpar e lubrificar os equipamentos; e lavar as áreas de trabalho e as máquinas. As ferramentas e os equipamentos utilizados incluem guindastes, chaves, equipamentos de limpeza (como vassouras, esfregões, baldes, panos, etc.), carrinhos de transporte e ferramentas manuais básicas (incluindo etiquetadora, tesoura e materiais de escritório para identificar caixas). Para objetos com mais de 23 kg, os trabalhadores utilizam empilhadeiras e ganchos fornecidos pelo empregador. Os trabalhadores operarão empilhadeiras conforme necessário para transportar magnésio bruto e produtos acabados entre as áreas de armazenamento e produção. Os auxiliares de produção também auxiliarão os operadores carregando tarugos de magnésio bruto em prensas de extrusão e máquinas de fundição, removendo peças acabadas e descartando resíduos ou materiais defeituosos para reprocessamento. Os auxiliares monitorarão os equipamentos durante a operação e notificarão os operadores sobre quaisquer defeitos visíveis. Eles não operarão máquinas de produção de forma independente. ***Original*** O auxiliar de produção fornecerá, transportará ou segurará materiais e ferramentas para a produção. Poderá carregar e operar máquinas; movimentar e processar materiais, limpar a área de trabalho e as ferramentas. Classificação do Cargo: 53-7063.00 - Alimentadores e Descarregadores de Máquinas. A classificação e descrição do cargo/setor inclui informações gerais sobre a posição, de acordo com o ONET/OES e o Sistema de Classificação Industrial da América do Norte. Consulte as Funções e a Ordem de Serviço para obter mais informações. Requisitos do Cargo Experiência Necessária: Sim Meses de Experiência Necessários: 3 Requisitos Especiais: É necessário ter três meses de experiência prévia como auxiliar de produção. Não são necessárias viagens ou formação, treinamento no local de trabalho ou transporte diário para o local de trabalho. Capacidade de se abaixar e levantar objetos pesados ​​de até 23 kg. Para objetos com mais de 22,7 kg (50 lb), empilhadeira e ganchos são fornecidos. É obrigatório exame toxicológico pós-contratação, pago pelo empregador. Todos os funcionários, incluindo os visitantes, serão submetidos ao exame da mesma forma. A idade mínima exigida é de 18 anos devido a atividades de risco. Número de horas por semana: 40. Horário de trabalho (início/término): 7h30 às 16h30.</v>
      </c>
    </row>
    <row r="2306" ht="20.25" customHeight="1">
      <c r="A2306" s="3" t="s">
        <v>10198</v>
      </c>
      <c r="B2306" s="3" t="s">
        <v>10199</v>
      </c>
      <c r="C2306" s="3"/>
      <c r="D2306" s="3" t="s">
        <v>71</v>
      </c>
      <c r="E2306" s="4" t="s">
        <v>44</v>
      </c>
      <c r="F2306" s="4" t="s">
        <v>20</v>
      </c>
      <c r="G2306" s="4" t="s">
        <v>345</v>
      </c>
      <c r="H2306" s="3" t="s">
        <v>10200</v>
      </c>
      <c r="I2306" s="3" t="s">
        <v>10201</v>
      </c>
      <c r="J2306" s="4">
        <v>16.98</v>
      </c>
      <c r="K2306" s="4">
        <v>60.0</v>
      </c>
      <c r="L2306" s="3" t="s">
        <v>354</v>
      </c>
      <c r="M2306" s="3" t="s">
        <v>10202</v>
      </c>
      <c r="N2306" s="7" t="str">
        <f>IFERROR(__xludf.DUMMYFUNCTION("GOOGLETRANSLATE(L2306, ""en"", ""pt"")"),"Governanta")</f>
        <v>Governanta</v>
      </c>
      <c r="O2306" s="7" t="str">
        <f>IFERROR(__xludf.DUMMYFUNCTION("IF(M2306="""","""",GOOGLETRANSLATE(M2306,""en"",""pt""))"),"As camareiras serão responsáveis ​​por: Limpar e manter as acomodações dos hóspedes, arrumar as camas e trocar a roupa de cama; aspirar carpetes e remover o lixo. Abastecer os quartos com comodidades como água mineral, toalhas e lenços de papel. Limpar ár"&amp;"eas comuns como saguões, corredores, banheiros e áreas de lazer. Reportar danos aos quartos, itens perdidos, manter carrinhos, roupas de cama e equipamentos e suprimentos de limpeza organizados e limpos. Também poderão auxiliar no serviço de abertura de c"&amp;"ama. Cumprir todas as políticas, procedimentos e padrões de operação do resort. Cumprir as normas da OSHA para manuseio de produtos químicos. Reportar-se-á diretamente ao Gerente de Limpeza do GIMC. Executar outras tarefas similares, conforme necessário. "&amp;"Classificação da vaga: 37-2012.00 - Camareiras e Auxiliares de Limpeza. A classificação e descrição da vaga/setor inclui informações gerais sobre o cargo, de acordo com o ONET/OES e o Sistema de Classificação Industrial da América do Norte. Consulte as Fu"&amp;"nções e a Ordem de Serviço para obter mais informações. Requisitos da vaga Experiência necessária: Sim Meses de experiência necessários: 3 Requisitos especiais: Deve ser capaz de levantar e empurrar carrinhos de limpeza com peso de até 13,6 kg. Deve ser c"&amp;"apaz de tolerar longos períodos em pé e trabalhando. Verificação de antecedentes criminais obrigatória. Número de horas por semana: 56 Horário de trabalho (início/término): 8h às 17h")</f>
        <v>As camareiras serão responsáveis ​​por: Limpar e manter as acomodações dos hóspedes, arrumar as camas e trocar a roupa de cama; aspirar carpetes e remover o lixo. Abastecer os quartos com comodidades como água mineral, toalhas e lenços de papel. Limpar áreas comuns como saguões, corredores, banheiros e áreas de lazer. Reportar danos aos quartos, itens perdidos, manter carrinhos, roupas de cama e equipamentos e suprimentos de limpeza organizados e limpos. Também poderão auxiliar no serviço de abertura de cama. Cumprir todas as políticas, procedimentos e padrões de operação do resort. Cumprir as normas da OSHA para manuseio de produtos químicos. Reportar-se-á diretamente ao Gerente de Limpeza do GIMC. Executar outras tarefas similares, conforme necessário. Classificação da vaga: 37-2012.00 - Camareiras e Auxiliares de Limpeza. A classificação e descrição da vaga/setor inclui informações gerais sobre o cargo, de acordo com o ONET/OES e o Sistema de Classificação Industrial da América do Norte. Consulte as Funções e a Ordem de Serviço para obter mais informações. Requisitos da vaga Experiência necessária: Sim Meses de experiência necessários: 3 Requisitos especiais: Deve ser capaz de levantar e empurrar carrinhos de limpeza com peso de até 13,6 kg. Deve ser capaz de tolerar longos períodos em pé e trabalhando. Verificação de antecedentes criminais obrigatória. Número de horas por semana: 56 Horário de trabalho (início/término): 8h às 17h</v>
      </c>
    </row>
    <row r="2307" ht="20.25" customHeight="1">
      <c r="A2307" s="8" t="s">
        <v>10203</v>
      </c>
      <c r="B2307" s="8" t="s">
        <v>10204</v>
      </c>
      <c r="C2307" s="8" t="s">
        <v>10080</v>
      </c>
      <c r="D2307" s="8" t="s">
        <v>55</v>
      </c>
      <c r="E2307" s="9" t="s">
        <v>44</v>
      </c>
      <c r="F2307" s="9" t="s">
        <v>20</v>
      </c>
      <c r="G2307" s="9" t="s">
        <v>110</v>
      </c>
      <c r="H2307" s="8" t="s">
        <v>10205</v>
      </c>
      <c r="I2307" s="8" t="s">
        <v>10206</v>
      </c>
      <c r="J2307" s="9">
        <v>19.8</v>
      </c>
      <c r="K2307" s="9">
        <v>5.0</v>
      </c>
      <c r="L2307" s="8" t="s">
        <v>59</v>
      </c>
      <c r="M2307" s="8" t="s">
        <v>10207</v>
      </c>
      <c r="N2307" s="7" t="str">
        <f>IFERROR(__xludf.DUMMYFUNCTION("GOOGLETRANSLATE(L2307, ""en"", ""pt"")"),"Trabalhador de paisagismo")</f>
        <v>Trabalhador de paisagismo</v>
      </c>
      <c r="O2307" s="7" t="str">
        <f>IFERROR(__xludf.DUMMYFUNCTION("IF(M2307="""","""",GOOGLETRANSLATE(M2307,""en"",""pt""))"),"Remoção de neve, manutenção de terrenos, limpeza de lixo e outras tarefas relacionadas à manutenção das instalações, como limpeza de folhas, neve ou detritos usando ferramentas manuais ou equipamentos elétricos, incluindo, entre outros, ancinhos, pás e so"&amp;"pradores de neve/folhas. Preparação e ativação do sistema de irrigação para o inverno. Possibilidade de limpeza de folhas no outono e na primavera, poda de inverno, plantio de plantas perenes, remoção de folhas e cobertura morta em canteiros. Poda de árvo"&amp;"res e arbustos. Remoção de gelo e neve de calçadas, entradas de garagem, ruas e estacionamentos de diversas propriedades residenciais, municipais e comerciais, usando ferramentas manuais como vassouras de neve, pás, arados de neve e espalhando soluções de"&amp;" degelo, incluindo cloreto de cálcio ou sal grosso. Pode também usar um soprador de neve elétrico ou a gasolina, conforme necessário. Pode dirigir veículos da equipe conforme necessário e realizar outras atividades de Auxiliar de Paisagismo, de acordo com"&amp;" a SOC 37-3011. Classificação da Função: 37-3011.00 - Trabalhadores de Paisagismo e Manutenção de Jardins. A classificação e descrição da função/setor inclui informações gerais sobre o cargo, conforme o ONET/OES e o Sistema de Classificação Industrial da "&amp;"América do Norte (NAICS). Consulte as Funções e a Ordem de Serviço para obter mais informações. Requisitos da Função: Experiência Necessária: Não. Requisitos Especiais: É necessário comprovar autorização legal para trabalhar nos Estados Unidos. Ambiente d"&amp;"e trabalho livre de drogas, álcool e tabaco. O trabalho envolve atividades físicas como: levantar, equilibrar-se, caminhar, abaixar-se, manusear, posicionar, mover e manipular materiais; usar força estática para exercer força muscular máxima para levantar"&amp;", empurrar, puxar e carregar objetos de até 23 kg. Todos os candidatos devem ser capazes, dispostos e qualificados para executar o trabalho descrito e devem estar disponíveis durante todo o período especificado e trabalhar em todas as áreas da vaga. O tra"&amp;"balho é realizado ao ar livre, exposto às intempéries, e o candidato deve ser capaz de realizar trabalho fisicamente extenuante por longos períodos, ocasionalmente em calor ou frio extremos. Condições climáticas variáveis ​​se aplicam; a carga horária pod"&amp;"e sofrer alterações (+/-). Possibilidade de períodos de inatividade e/ou horas extras. Número de horas por semana: 35 Horário de trabalho (início/término): 7h00 - 15h00")</f>
        <v>Remoção de neve, manutenção de terrenos, limpeza de lixo e outras tarefas relacionadas à manutenção das instalações, como limpeza de folhas, neve ou detritos usando ferramentas manuais ou equipamentos elétricos, incluindo, entre outros, ancinhos, pás e sopradores de neve/folhas. Preparação e ativação do sistema de irrigação para o inverno. Possibilidade de limpeza de folhas no outono e na primavera, poda de inverno, plantio de plantas perenes, remoção de folhas e cobertura morta em canteiros. Poda de árvores e arbustos. Remoção de gelo e neve de calçadas, entradas de garagem, ruas e estacionamentos de diversas propriedades residenciais, municipais e comerciais, usando ferramentas manuais como vassouras de neve, pás, arados de neve e espalhando soluções de degelo, incluindo cloreto de cálcio ou sal grosso. Pode também usar um soprador de neve elétrico ou a gasolina, conforme necessário. Pode dirigir veículos da equipe conforme necessário e realizar outras atividades de Auxiliar de Paisagismo, de acordo com a SOC 37-3011. Classificação da Função: 37-3011.00 - Trabalhadores de Paisagismo e Manutenção de Jardins. A classificação e descrição da função/setor inclui informações gerais sobre o cargo, conforme o ONET/OES e o Sistema de Classificação Industrial da América do Norte (NAICS). Consulte as Funções e a Ordem de Serviço para obter mais informações. Requisitos da Função: Experiência Necessária: Não. Requisitos Especiais: É necessário comprovar autorização legal para trabalhar nos Estados Unidos. Ambiente de trabalho livre de drogas, álcool e tabaco. O trabalho envolve atividades físicas como: levantar, equilibrar-se, caminhar, abaixar-se, manusear, posicionar, mover e manipular materiais; usar força estática para exercer força muscular máxima para levantar, empurrar, puxar e carregar objetos de até 23 kg. Todos os candidatos devem ser capazes, dispostos e qualificados para executar o trabalho descrito e devem estar disponíveis durante todo o período especificado e trabalhar em todas as áreas da vaga. O trabalho é realizado ao ar livre, exposto às intempéries, e o candidato deve ser capaz de realizar trabalho fisicamente extenuante por longos períodos, ocasionalmente em calor ou frio extremos. Condições climáticas variáveis ​​se aplicam; a carga horária pode sofrer alterações (+/-). Possibilidade de períodos de inatividade e/ou horas extras. Número de horas por semana: 35 Horário de trabalho (início/término): 7h00 - 15h00</v>
      </c>
    </row>
    <row r="2308" ht="20.25" customHeight="1">
      <c r="A2308" s="3" t="s">
        <v>10208</v>
      </c>
      <c r="B2308" s="3" t="s">
        <v>10152</v>
      </c>
      <c r="C2308" s="3" t="s">
        <v>10025</v>
      </c>
      <c r="D2308" s="3" t="s">
        <v>71</v>
      </c>
      <c r="E2308" s="4" t="s">
        <v>19</v>
      </c>
      <c r="F2308" s="4" t="s">
        <v>20</v>
      </c>
      <c r="G2308" s="4" t="s">
        <v>524</v>
      </c>
      <c r="H2308" s="3" t="s">
        <v>10148</v>
      </c>
      <c r="I2308" s="3" t="s">
        <v>10149</v>
      </c>
      <c r="J2308" s="4">
        <v>18.71</v>
      </c>
      <c r="K2308" s="4">
        <v>45.0</v>
      </c>
      <c r="L2308" s="3" t="s">
        <v>1206</v>
      </c>
      <c r="M2308" s="3" t="s">
        <v>10209</v>
      </c>
      <c r="N2308" s="7" t="str">
        <f>IFERROR(__xludf.DUMMYFUNCTION("GOOGLETRANSLATE(L2308, ""en"", ""pt"")"),"Servidor")</f>
        <v>Servidor</v>
      </c>
      <c r="O2308" s="7" t="str">
        <f>IFERROR(__xludf.DUMMYFUNCTION("IF(M2308="""","""",GOOGLETRANSLATE(M2308,""en"",""pt""))"),"***Original*** Servir comida, água, refrigerantes e bebidas alcoólicas. Apresentar cardápios, anotar pedidos e repassá-los à cozinha. Realizar tarefas auxiliares, limpar mesas, transportar pratos do salão para a cozinha e manter as áreas de trabalho limpa"&amp;"s. Fornecer toalhas de mesa, talheres, copos e pratos limpos no salão. Auxiliar na montagem, limpeza, abertura e fechamento do restaurante/área de alimentos e bebidas. Pode ser necessário realizar tarefas em ambientes externos, em eventos de banquetes ou "&amp;"atender clientes em carrinho de golfe. Outras tarefas razoáveis ​​relacionadas ao trabalho, conforme necessário. ***Resposta à Solicitação de Informações (RFI)*** As tarefas de montagem, limpeza, abertura e fechamento do restaurante/área de alimentos e be"&amp;"bidas podem incluir: limpar as mesas, removendo toalhas de mesa, louças e utensílios usados; arrumar as mesas com toalhas de mesa, louças e utensílios limpos; montar e desmontar buffets. Outras tarefas razoáveis ​​relacionadas ao trabalho podem incluir: s"&amp;"ervir condimentos e café; abastecer o bar de serviço com alimentos; manter o buffet abastecido com alimentos, pratos, recipientes e utensílios. ***F.a.5 A-H e F.a.6a e F.a.6b: mínimo de 35 horas semanais. Turnos e horários variam de segunda a domingo, das"&amp;" 7h às 23h. *** F.b.9a: Aumentos e/ou bônus podem ser oferecidos a qualquer funcionário na ocupação especificada, a critério exclusivo da empresa, com base em fatores individuais, incluindo desempenho, habilidades ou tempo de serviço. Classificação da vag"&amp;"a: 35-3031.00 - Garçons e Garçonetes. A classificação e descrição da vaga/setor incluem informações gerais sobre o cargo, de acordo com o ONET/OES e o Sistema de Classificação Industrial da América do Norte (NAICS). Consulte as Funções e a Ordem de Serviç"&amp;"o para obter mais informações. Requisitos da vaga: Experiência exigida: Não. Requisitos especiais: Verificação de antecedentes pré-contratação, realizada igualmente entre trabalhadores americanos e trabalhadores com visto H-2B. Disponibilidade para trabal"&amp;"har em turnos divididos, noturnos, fins de semana e feriados, conforme necessário. Deve ser capaz de levantar, puxar, empurrar ou carregar até 11 kg ou mais, e caminhar ou ficar em pé por longos períodos. Boa apresentação pessoal e capacidade de se comuni"&amp;"car em inglês são imprescindíveis. Número de horas por semana: 35. Horário de trabalho (início/término): 7h às 11h.")</f>
        <v>***Original*** Servir comida, água, refrigerantes e bebidas alcoólicas. Apresentar cardápios, anotar pedidos e repassá-los à cozinha. Realizar tarefas auxiliares, limpar mesas, transportar pratos do salão para a cozinha e manter as áreas de trabalho limpas. Fornecer toalhas de mesa, talheres, copos e pratos limpos no salão. Auxiliar na montagem, limpeza, abertura e fechamento do restaurante/área de alimentos e bebidas. Pode ser necessário realizar tarefas em ambientes externos, em eventos de banquetes ou atender clientes em carrinho de golfe. Outras tarefas razoáveis ​​relacionadas ao trabalho, conforme necessário. ***Resposta à Solicitação de Informações (RFI)*** As tarefas de montagem, limpeza, abertura e fechamento do restaurante/área de alimentos e bebidas podem incluir: limpar as mesas, removendo toalhas de mesa, louças e utensílios usados; arrumar as mesas com toalhas de mesa, louças e utensílios limpos; montar e desmontar buffets. Outras tarefas razoáveis ​​relacionadas ao trabalho podem incluir: servir condimentos e café; abastecer o bar de serviço com alimentos; manter o buffet abastecido com alimentos, pratos, recipientes e utensílios. ***F.a.5 A-H e F.a.6a e F.a.6b: mínimo de 35 horas semanais. Turnos e horários variam de segunda a domingo, das 7h às 23h. *** F.b.9a: Aumentos e/ou bônus podem ser oferecidos a qualquer funcionário na ocupação especificada, a critério exclusivo da empresa, com base em fatores individuais, incluindo desempenho, habilidades ou tempo de serviço. Classificação da vaga: 35-3031.00 - Garçons e Garçonetes. A classificação e descrição da vaga/setor incluem informações gerais sobre o cargo, de acordo com o ONET/OES e o Sistema de Classificação Industrial da América do Norte (NAICS). Consulte as Funções e a Ordem de Serviço para obter mais informações. Requisitos da vaga: Experiência exigida: Não. Requisitos especiais: Verificação de antecedentes pré-contratação, realizada igualmente entre trabalhadores americanos e trabalhadores com visto H-2B. Disponibilidade para trabalhar em turnos divididos, noturnos, fins de semana e feriados, conforme necessário. Deve ser capaz de levantar, puxar, empurrar ou carregar até 11 kg ou mais, e caminhar ou ficar em pé por longos períodos. Boa apresentação pessoal e capacidade de se comunicar em inglês são imprescindíveis. Número de horas por semana: 35. Horário de trabalho (início/término): 7h às 11h.</v>
      </c>
    </row>
    <row r="2309" ht="20.25" customHeight="1">
      <c r="A2309" s="8" t="s">
        <v>10210</v>
      </c>
      <c r="B2309" s="8" t="s">
        <v>10152</v>
      </c>
      <c r="C2309" s="8" t="s">
        <v>10025</v>
      </c>
      <c r="D2309" s="8" t="s">
        <v>71</v>
      </c>
      <c r="E2309" s="9" t="s">
        <v>19</v>
      </c>
      <c r="F2309" s="9" t="s">
        <v>20</v>
      </c>
      <c r="G2309" s="9" t="s">
        <v>524</v>
      </c>
      <c r="H2309" s="8" t="s">
        <v>10148</v>
      </c>
      <c r="I2309" s="8" t="s">
        <v>10149</v>
      </c>
      <c r="J2309" s="9">
        <v>14.52</v>
      </c>
      <c r="K2309" s="9">
        <v>4.0</v>
      </c>
      <c r="L2309" s="8" t="s">
        <v>10211</v>
      </c>
      <c r="M2309" s="8" t="s">
        <v>10212</v>
      </c>
      <c r="N2309" s="7" t="str">
        <f>IFERROR(__xludf.DUMMYFUNCTION("GOOGLETRANSLATE(L2309, ""en"", ""pt"")"),"Manobrista")</f>
        <v>Manobrista</v>
      </c>
      <c r="O2309" s="7" t="str">
        <f>IFERROR(__xludf.DUMMYFUNCTION("IF(M2309="""","""",GOOGLETRANSLATE(M2309,""en"",""pt""))"),"Receber e cumprimentar todos os membros e convidados que chegam e partem de forma oportuna. Estacionar e retirar veículos de forma eficiente e segura nas áreas especificadas. Manter as áreas de estacionamento limpas e organizadas. Prestar assistência com "&amp;"informações, orientações, cadeiras de rodas, manuseio de equipamentos esportivos, etc. Cumprir as normas e regulamentos de segurança do trânsito público e privado ao operar veículos. ***F.a.5 A-H e F.a.6a e F.a.6b: mínimo de 35 horas semanais. Turnos e ho"&amp;"rários variam de segunda a domingo, das 7h às 23h. *** F.b.9a: Cargo com gorjetas e salário garantido de US$ 14,52/hora; horas extras possíveis, mas não garantidas, a US$ 21,78/hora. O empregador garantirá o salário em qualquer semana de trabalho em que a"&amp;" remuneração total (incluindo gorjetas) não atinja o salário vigente ou o valor da hora extra. Aumentos e/ou bônus podem ser oferecidos a qualquer funcionário na função especificada, a critério exclusivo da empresa, com base em fatores individuais, inclui"&amp;"ndo desempenho, habilidades ou tempo de serviço. Classificação da vaga: 53-6021.00 - Manobristas. A classificação e descrição da vaga/setor incluem informações gerais sobre o cargo, conforme o ONET/OES e o Sistema de Classificação Industrial da América do"&amp;" Norte (NAICS). Consulte as Funções e a Ordem de Serviço para obter mais informações. Requisitos da vaga: Experiência exigida: Não. Requisitos especiais: Verificação de antecedentes pré-contratação, realizada igualmente para trabalhadores americanos e tra"&amp;"balhadores com visto H-2B. Disponibilidade para trabalhar em turnos divididos, noturnos, fins de semana e feriados, conforme necessário. Capacidade de levantar, puxar, empurrar ou carregar até 11 kg ou mais, e caminhar ou ficar em pé por longos períodos. "&amp;"Boa apresentação pessoal e capacidade de se comunicar em inglês. Número de horas por semana: 35. Horário de trabalho (início/término): 7h às 23h.")</f>
        <v>Receber e cumprimentar todos os membros e convidados que chegam e partem de forma oportuna. Estacionar e retirar veículos de forma eficiente e segura nas áreas especificadas. Manter as áreas de estacionamento limpas e organizadas. Prestar assistência com informações, orientações, cadeiras de rodas, manuseio de equipamentos esportivos, etc. Cumprir as normas e regulamentos de segurança do trânsito público e privado ao operar veículos. ***F.a.5 A-H e F.a.6a e F.a.6b: mínimo de 35 horas semanais. Turnos e horários variam de segunda a domingo, das 7h às 23h. *** F.b.9a: Cargo com gorjetas e salário garantido de US$ 14,52/hora; horas extras possíveis, mas não garantidas, a US$ 21,78/hora. O empregador garantirá o salário em qualquer semana de trabalho em que a remuneração total (incluindo gorjetas) não atinja o salário vigente ou o valor da hora extra. Aumentos e/ou bônus podem ser oferecidos a qualquer funcionário na função especificada, a critério exclusivo da empresa, com base em fatores individuais, incluindo desempenho, habilidades ou tempo de serviço. Classificação da vaga: 53-6021.00 - Manobristas. A classificação e descrição da vaga/setor incluem informações gerais sobre o cargo, conforme o ONET/OES e o Sistema de Classificação Industrial da América do Norte (NAICS). Consulte as Funções e a Ordem de Serviço para obter mais informações. Requisitos da vaga: Experiência exigida: Não. Requisitos especiais: Verificação de antecedentes pré-contratação, realizada igualmente para trabalhadores americanos e trabalhadores com visto H-2B. Disponibilidade para trabalhar em turnos divididos, noturnos, fins de semana e feriados, conforme necessário. Capacidade de levantar, puxar, empurrar ou carregar até 11 kg ou mais, e caminhar ou ficar em pé por longos períodos. Boa apresentação pessoal e capacidade de se comunicar em inglês. Número de horas por semana: 35. Horário de trabalho (início/término): 7h às 23h.</v>
      </c>
    </row>
    <row r="2310" ht="20.25" customHeight="1">
      <c r="A2310" s="3" t="s">
        <v>10213</v>
      </c>
      <c r="B2310" s="3" t="s">
        <v>10152</v>
      </c>
      <c r="C2310" s="3" t="s">
        <v>10025</v>
      </c>
      <c r="D2310" s="3" t="s">
        <v>71</v>
      </c>
      <c r="E2310" s="4" t="s">
        <v>44</v>
      </c>
      <c r="F2310" s="4" t="s">
        <v>20</v>
      </c>
      <c r="G2310" s="4" t="s">
        <v>524</v>
      </c>
      <c r="H2310" s="3" t="s">
        <v>10148</v>
      </c>
      <c r="I2310" s="3" t="s">
        <v>10149</v>
      </c>
      <c r="J2310" s="4">
        <v>15.94</v>
      </c>
      <c r="K2310" s="4">
        <v>8.0</v>
      </c>
      <c r="L2310" s="3" t="s">
        <v>5723</v>
      </c>
      <c r="M2310" s="3" t="s">
        <v>10214</v>
      </c>
      <c r="N2310" s="7" t="str">
        <f>IFERROR(__xludf.DUMMYFUNCTION("GOOGLETRANSLATE(L2310, ""en"", ""pt"")"),"Atendente de Recreação")</f>
        <v>Atendente de Recreação</v>
      </c>
      <c r="O2310" s="7" t="str">
        <f>IFERROR(__xludf.DUMMYFUNCTION("IF(M2310="""","""",GOOGLETRANSLATE(M2310,""en"",""pt""))"),"***Original*** Prestar assistência nas instalações de golfe/esportes/clube, incluindo: recepcionar os sócios; confirmar reservas; responder a perguntas; organizar mercadorias e fornecer informações sobre as instalações; carregar/descarregar sacos de golfe"&amp;"; manusear/limpar/manter carrinhos de golfe, sacos, tacos e sapatos; manter o galpão de carrinhos e a área de espera organizados e abastecidos com bolas de golfe limpas, gelo, copos e coolers de bebidas; remoção ocasional de lixo e limpeza de banheiros; t"&amp;"ransportar equipamentos de golfe ou esportivos e veículos dos sócios de e para as instalações do clube; executar outras tarefas relacionadas, conforme atribuídas. ***Resposta à RFI*** Ocasionalmente, dirigir os veículos dos sócios da área de entrega de sa"&amp;"cos de golfe até o serviço de manobrista do clube ou vice-versa. Outras tarefas relacionadas podem incluir: coletar bolas de golfe do campo de prática, lavar bolas de golfe e mantê-las prontas para reposição; reabastecer os bebedouros para os jogadores no"&amp;" campo de golfe quando necessário. ***F.a.5 A-H e F.a.6a e F.a.6b Mínimo de 35 horas/semana. Turnos e horários variam de segunda a domingo, das 7h às 23h. *** F.b.9a: Cargo com gorjetas e salário garantido de US$ 15,94/hora; horas extras possíveis, mas nã"&amp;"o garantidas, a US$ 23,91/hora. O empregador garantirá o salário em qualquer semana de trabalho em que a remuneração total (incluindo gorjetas) não atingir o salário vigente ou o valor da hora extra. Aumentos e/ou bônus podem ser oferecidos a qualquer tra"&amp;"balhador na ocupação especificada, a critério exclusivo da empresa, com base em fatores individuais, incluindo desempenho, habilidades ou tempo de serviço. Classificação do Cargo: 37-2011.00 - Zeladores e Faxineiros, exceto Empregadas Domésticas e Faxinei"&amp;"ros. A classificação e descrição do cargo/setor incluem informações gerais sobre a posição, de acordo com o ONET/OES e o Sistema de Classificação Industrial da América do Norte. Consulte as Funções e a Ordem de Serviço para obter mais informações. Requisi"&amp;"tos do Cargo Experiência Necessária: Não. Requisitos Especiais: Verificação de antecedentes pré-contratação, realizada igualmente entre trabalhadores americanos e trabalhadores com visto H-2B. Disponibilidade para trabalhar em turnos divididos, noturnos, "&amp;"fins de semana e feriados, conforme necessário. Deve ser capaz de levantar, puxar, empurrar ou carregar até 11 kg ou mais, e caminhar ou ficar em pé por longos períodos. Boa apresentação pessoal e capacidade de se comunicar em inglês. Número de horas por "&amp;"semana: 35. Horário de trabalho (início/término): 7h às 23h.")</f>
        <v>***Original*** Prestar assistência nas instalações de golfe/esportes/clube, incluindo: recepcionar os sócios; confirmar reservas; responder a perguntas; organizar mercadorias e fornecer informações sobre as instalações; carregar/descarregar sacos de golfe; manusear/limpar/manter carrinhos de golfe, sacos, tacos e sapatos; manter o galpão de carrinhos e a área de espera organizados e abastecidos com bolas de golfe limpas, gelo, copos e coolers de bebidas; remoção ocasional de lixo e limpeza de banheiros; transportar equipamentos de golfe ou esportivos e veículos dos sócios de e para as instalações do clube; executar outras tarefas relacionadas, conforme atribuídas. ***Resposta à RFI*** Ocasionalmente, dirigir os veículos dos sócios da área de entrega de sacos de golfe até o serviço de manobrista do clube ou vice-versa. Outras tarefas relacionadas podem incluir: coletar bolas de golfe do campo de prática, lavar bolas de golfe e mantê-las prontas para reposição; reabastecer os bebedouros para os jogadores no campo de golfe quando necessário. ***F.a.5 A-H e F.a.6a e F.a.6b Mínimo de 35 horas/semana. Turnos e horários variam de segunda a domingo, das 7h às 23h. *** F.b.9a: Cargo com gorjetas e salário garantido de US$ 15,94/hora; horas extras possíveis, mas não garantidas, a US$ 23,91/hora. O empregador garantirá o salário em qualquer semana de trabalho em que a remuneração total (incluindo gorjetas) não atingir o salário vigente ou o valor da hora extra. Aumentos e/ou bônus podem ser oferecidos a qualquer trabalhador na ocupação especificada, a critério exclusivo da empresa, com base em fatores individuais, incluindo desempenho, habilidades ou tempo de serviço. Classificação do Cargo: 37-2011.00 - Zeladores e Faxineiros, exceto Empregadas Domésticas e Faxineiros. A classificação e descrição do cargo/setor incluem informações gerais sobre a posição, de acordo com o ONET/OES e o Sistema de Classificação Industrial da América do Norte. Consulte as Funções e a Ordem de Serviço para obter mais informações. Requisitos do Cargo Experiência Necessária: Não. Requisitos Especiais: Verificação de antecedentes pré-contratação, realizada igualmente entre trabalhadores americanos e trabalhadores com visto H-2B. Disponibilidade para trabalhar em turnos divididos, noturnos, fins de semana e feriados, conforme necessário. Deve ser capaz de levantar, puxar, empurrar ou carregar até 11 kg ou mais, e caminhar ou ficar em pé por longos períodos. Boa apresentação pessoal e capacidade de se comunicar em inglês. Número de horas por semana: 35. Horário de trabalho (início/término): 7h às 23h.</v>
      </c>
    </row>
    <row r="2311" ht="20.25" customHeight="1">
      <c r="A2311" s="8" t="s">
        <v>10215</v>
      </c>
      <c r="B2311" s="8" t="s">
        <v>10216</v>
      </c>
      <c r="C2311" s="8" t="s">
        <v>10217</v>
      </c>
      <c r="D2311" s="8" t="s">
        <v>1103</v>
      </c>
      <c r="E2311" s="9" t="s">
        <v>19</v>
      </c>
      <c r="F2311" s="9" t="s">
        <v>20</v>
      </c>
      <c r="G2311" s="9" t="s">
        <v>80</v>
      </c>
      <c r="H2311" s="8" t="s">
        <v>10218</v>
      </c>
      <c r="I2311" s="8" t="s">
        <v>10219</v>
      </c>
      <c r="J2311" s="9">
        <v>21.55</v>
      </c>
      <c r="K2311" s="9">
        <v>4.0</v>
      </c>
      <c r="L2311" s="8" t="s">
        <v>10220</v>
      </c>
      <c r="M2311" s="8" t="s">
        <v>10221</v>
      </c>
      <c r="N2311" s="7" t="str">
        <f>IFERROR(__xludf.DUMMYFUNCTION("GOOGLETRANSLATE(L2311, ""en"", ""pt"")"),"Auxiliar de Soldador")</f>
        <v>Auxiliar de Soldador</v>
      </c>
      <c r="O2311" s="7" t="str">
        <f>IFERROR(__xludf.DUMMYFUNCTION("IF(M2311="""","""",GOOGLETRANSLATE(M2311,""en"",""pt""))"),"***Resposta à Solicitação de Informações*** Os funcionários trabalham como parte de uma equipe de montagem responsável pela fabricação e montagem de arados de neve e componentes relacionados. As funções incluem a montagem de componentes mecânicos; o auxíl"&amp;"io na produção de conjuntos de arados de neve; a leitura de ordens de serviço e instruções de montagem para determinar as especificações do produto e os requisitos de materiais; a rotação por diversas tarefas dentro do processo de produção; a realização d"&amp;"e verificações de qualidade em produtos e peças acabados para garantir a conformidade com as especificações; a manutenção de equipamentos e máquinas de produção; a embalagem de produtos acabados para armazenamento ou envio; e a limpeza e manutenção das ár"&amp;"eas de trabalho. As ferramentas e equipamentos utilizados incluem ferramentas manuais, como chaves, catracas, soquetes, chaves de fenda, alicates, martelos e instrumentos de medição, bem como ferramentas elétricas, incluindo furadeiras, chaves de impacto,"&amp;" esmerilhadeiras e ferramentas de fixação. ***Original*** Trabalhar como parte de uma equipe responsável pela montagem de arados de neve. Os montadores da equipe podem executar todas as tarefas realizadas pela equipe no processo de montagem e rotacionar p"&amp;"or todas ou pela maioria delas, em vez de serem designados para uma tarefa específica permanentemente. Limpar áreas de trabalho, manter equipamentos e máquinas de produção, revisar ordens de serviço e desenhos técnicos para garantir que o trabalho seja ex"&amp;"ecutado de acordo com as especificações, realizar verificações de qualidade em produtos e peças. Classificação da vaga: 51-2092.00 - Montadores de Equipe. A classificação e descrição da vaga/setor incluem informações gerais sobre a posição, de acordo com "&amp;"o ONET/OES e o Sistema de Classificação Industrial da América do Norte (NAICS). Consulte as Funções e a Ordem de Serviço para obter mais informações. Requisitos da vaga: Experiência necessária: Sim. Meses de experiência necessários: 3. Requisitos especiai"&amp;"s: É necessário ter 18 anos devido ao uso de equipamentos. É necessário apresentar comprovante de autorização legal para trabalhar nos Estados Unidos. Ambiente de trabalho livre de drogas, álcool e tabaco. Executar atividades físicas como: levantar, equil"&amp;"ibrar, caminhar, abaixar, manusear, posicionar, mover, empurrar, puxar e carregar objetos de até 23 kg (possivelmente por duas pessoas). Todos os candidatos devem ser capazes, dispostos e qualificados para executar o trabalho descrito e devem estar dispon"&amp;"íveis durante todo o período especificado e para trabalhar em todas as áreas da vaga. Número de horas por semana: 40 Horário de trabalho (início/término): 8h00 - 16h30")</f>
        <v>***Resposta à Solicitação de Informações*** Os funcionários trabalham como parte de uma equipe de montagem responsável pela fabricação e montagem de arados de neve e componentes relacionados. As funções incluem a montagem de componentes mecânicos; o auxílio na produção de conjuntos de arados de neve; a leitura de ordens de serviço e instruções de montagem para determinar as especificações do produto e os requisitos de materiais; a rotação por diversas tarefas dentro do processo de produção; a realização de verificações de qualidade em produtos e peças acabados para garantir a conformidade com as especificações; a manutenção de equipamentos e máquinas de produção; a embalagem de produtos acabados para armazenamento ou envio; e a limpeza e manutenção das áreas de trabalho. As ferramentas e equipamentos utilizados incluem ferramentas manuais, como chaves, catracas, soquetes, chaves de fenda, alicates, martelos e instrumentos de medição, bem como ferramentas elétricas, incluindo furadeiras, chaves de impacto, esmerilhadeiras e ferramentas de fixação. ***Original*** Trabalhar como parte de uma equipe responsável pela montagem de arados de neve. Os montadores da equipe podem executar todas as tarefas realizadas pela equipe no processo de montagem e rotacionar por todas ou pela maioria delas, em vez de serem designados para uma tarefa específica permanentemente. Limpar áreas de trabalho, manter equipamentos e máquinas de produção, revisar ordens de serviço e desenhos técnicos para garantir que o trabalho seja executado de acordo com as especificações, realizar verificações de qualidade em produtos e peças. Classificação da vaga: 51-2092.00 - Montadores de Equipe. A classificação e descrição da vaga/setor incluem informações gerais sobre a posição, de acordo com o ONET/OES e o Sistema de Classificação Industrial da América do Norte (NAICS). Consulte as Funções e a Ordem de Serviço para obter mais informações. Requisitos da vaga: Experiência necessária: Sim. Meses de experiência necessários: 3. Requisitos especiais: É necessário ter 18 anos devido ao uso de equipamentos. É necessário apresentar comprovante de autorização legal para trabalhar nos Estados Unidos. Ambiente de trabalho livre de drogas, álcool e tabaco. Executar atividades físicas como: levantar, equilibrar, caminhar, abaixar, manusear, posicionar, mover, empurrar, puxar e carregar objetos de até 23 kg (possivelmente por duas pessoas). Todos os candidatos devem ser capazes, dispostos e qualificados para executar o trabalho descrito e devem estar disponíveis durante todo o período especificado e para trabalhar em todas as áreas da vaga. Número de horas por semana: 40 Horário de trabalho (início/término): 8h00 - 16h30</v>
      </c>
    </row>
    <row r="2312" ht="20.25" customHeight="1">
      <c r="A2312" s="3" t="s">
        <v>10222</v>
      </c>
      <c r="B2312" s="3" t="s">
        <v>10223</v>
      </c>
      <c r="C2312" s="3" t="s">
        <v>10025</v>
      </c>
      <c r="D2312" s="3" t="s">
        <v>71</v>
      </c>
      <c r="E2312" s="4" t="s">
        <v>19</v>
      </c>
      <c r="F2312" s="4" t="s">
        <v>20</v>
      </c>
      <c r="G2312" s="4" t="s">
        <v>524</v>
      </c>
      <c r="H2312" s="3" t="s">
        <v>10224</v>
      </c>
      <c r="I2312" s="3" t="s">
        <v>10225</v>
      </c>
      <c r="J2312" s="4">
        <v>14.79</v>
      </c>
      <c r="K2312" s="4">
        <v>5.0</v>
      </c>
      <c r="L2312" s="3" t="s">
        <v>527</v>
      </c>
      <c r="M2312" s="3" t="s">
        <v>10226</v>
      </c>
      <c r="N2312" s="7" t="str">
        <f>IFERROR(__xludf.DUMMYFUNCTION("GOOGLETRANSLATE(L2312, ""en"", ""pt"")"),"máquina de lavar louça")</f>
        <v>máquina de lavar louça</v>
      </c>
      <c r="O2312" s="7" t="str">
        <f>IFERROR(__xludf.DUMMYFUNCTION("IF(M2312="""","""",GOOGLETRANSLATE(M2312,""en"",""pt""))"),"Lavar pratos, copos, talheres, panelas, frigideiras e utensílios de cozinha à máquina ou à mão. Manter as áreas de trabalho e os equipamentos da cozinha limpos. Limpar o chão, separar e descartar o lixo. Guardar pratos, copos, talheres, panelas, frigideir"&amp;"as e utensílios de cozinha limpos nos locais apropriados. ***F.a.5 A-H &amp; F.a.6a &amp; F.a.6b: mínimo de 35 horas semanais. Turnos e horários variam de segunda a domingo, das 7h às 0h. *** F.b.9a: Aumentos e/ou bônus podem ser oferecidos a qualquer funcionário"&amp;" na função especificada, a critério exclusivo da empresa, com base em fatores individuais, incluindo desempenho, habilidade ou tempo de serviço. Classificação da função: 35-9021.00 - Lavadores de Louça. A classificação e a descrição da função/setor inclue"&amp;"m informações gerais sobre o cargo, de acordo com o ONET/OES e o Sistema de Classificação Industrial da América do Norte. Consulte as Funções e a Ordem de Serviço para obter mais informações. Requisitos da vaga Experiência necessária: Não Requisitos espec"&amp;"iais: Exame toxicológico e verificação de antecedentes criminais pré-admissional, realizados igualmente para trabalhadores americanos e trabalhadores com visto H-2B. Disponibilidade para trabalhar em turnos divididos, noturnos, fins de semana e feriados, "&amp;"conforme necessário. Capacidade de levantar, puxar, empurrar ou carregar até 11 kg ou mais, e caminhar ou ficar em pé por longos períodos. Boa apresentação pessoal e capacidade de se comunicar em inglês. Número de horas por semana: 35 Horário de trabalho "&amp;"(início/término): 7h às 0h")</f>
        <v>Lavar pratos, copos, talheres, panelas, frigideiras e utensílios de cozinha à máquina ou à mão. Manter as áreas de trabalho e os equipamentos da cozinha limpos. Limpar o chão, separar e descartar o lixo. Guardar pratos, copos, talheres, panelas, frigideiras e utensílios de cozinha limpos nos locais apropriados. ***F.a.5 A-H &amp; F.a.6a &amp; F.a.6b: mínimo de 35 horas semanais. Turnos e horários variam de segunda a domingo, das 7h às 0h. *** F.b.9a: Aumentos e/ou bônus podem ser oferecidos a qualquer funcionário na função especificada, a critério exclusivo da empresa, com base em fatores individuais, incluindo desempenho, habilidade ou tempo de serviço. Classificação da função: 35-9021.00 - Lavadores de Louça. A classificação e a descrição da função/setor incluem informações gerais sobre o cargo, de acordo com o ONET/OES e o Sistema de Classificação Industrial da América do Norte. Consulte as Funções e a Ordem de Serviço para obter mais informações. Requisitos da vaga Experiência necessária: Não Requisitos especiais: Exame toxicológico e verificação de antecedentes criminais pré-admissional, realizados igualmente para trabalhadores americanos e trabalhadores com visto H-2B. Disponibilidade para trabalhar em turnos divididos, noturnos, fins de semana e feriados, conforme necessário. Capacidade de levantar, puxar, empurrar ou carregar até 11 kg ou mais, e caminhar ou ficar em pé por longos períodos. Boa apresentação pessoal e capacidade de se comunicar em inglês. Número de horas por semana: 35 Horário de trabalho (início/término): 7h às 0h</v>
      </c>
    </row>
    <row r="2313" ht="20.25" customHeight="1">
      <c r="A2313" s="8" t="s">
        <v>10227</v>
      </c>
      <c r="B2313" s="8" t="s">
        <v>10223</v>
      </c>
      <c r="C2313" s="8" t="s">
        <v>10025</v>
      </c>
      <c r="D2313" s="8" t="s">
        <v>71</v>
      </c>
      <c r="E2313" s="9" t="s">
        <v>19</v>
      </c>
      <c r="F2313" s="9" t="s">
        <v>20</v>
      </c>
      <c r="G2313" s="9" t="s">
        <v>524</v>
      </c>
      <c r="H2313" s="8" t="s">
        <v>10224</v>
      </c>
      <c r="I2313" s="8" t="s">
        <v>10225</v>
      </c>
      <c r="J2313" s="9">
        <v>17.3</v>
      </c>
      <c r="K2313" s="9">
        <v>12.0</v>
      </c>
      <c r="L2313" s="8" t="s">
        <v>387</v>
      </c>
      <c r="M2313" s="8" t="s">
        <v>10228</v>
      </c>
      <c r="N2313" s="7" t="str">
        <f>IFERROR(__xludf.DUMMYFUNCTION("GOOGLETRANSLATE(L2313, ""en"", ""pt"")"),"Ordem de serviço não disponível")</f>
        <v>Ordem de serviço não disponível</v>
      </c>
      <c r="O2313" s="7" t="str">
        <f>IFERROR(__xludf.DUMMYFUNCTION("IF(M2313="""","""",GOOGLETRANSLATE(M2313,""en"",""pt""))"),"Preparar, temperar, cozinhar, empratar e decorar refeições. Medir/misturar ingredientes conforme a receita para cozinhar do zero. Seguir os procedimentos adequados de controle de porções, apresentação, consistência, sabor e higiene. Observar/provar os ali"&amp;"mentos cozidos. Pode substituir/auxiliar outros cozinheiros em emergências/períodos de pico. ***F.a.5 A-H e F.a.6a e F.a.6b: mínimo de 35 horas/semana. Turnos e horários variam de segunda a domingo, das 7h às 0h. *** F.b.9a: Aumentos e/ou bônus podem ser "&amp;"oferecidos a qualquer funcionário na ocupação especificada, a critério exclusivo da empresa, com base em fatores individuais, incluindo desempenho no trabalho, habilidade ou tempo de serviço. Classificação do Cargo: 35-2014.00 - Cozinheiros, Restaurante. "&amp;"A classificação e descrição do cargo/setor inclui informações gerais sobre a posição, de acordo com o ONET/OES e o Sistema de Classificação Industrial da América do Norte. Consulte as Funções e a Ordem de Serviço para obter mais informações. Requisitos da"&amp;" vaga Experiência necessária: Não Requisitos especiais: Exame toxicológico e verificação de antecedentes criminais pré-admissional, realizados igualmente para trabalhadores americanos e trabalhadores com visto H-2B. Disponibilidade para trabalhar em turno"&amp;"s divididos, noturnos, fins de semana e feriados, conforme necessário. Capacidade de levantar, puxar, empurrar ou carregar até 11 kg ou mais, e caminhar ou ficar em pé por longos períodos. Boa apresentação pessoal e capacidade de se comunicar em inglês. N"&amp;"úmero de horas por semana: 35 Horário de trabalho (início/término): 7h às 0h")</f>
        <v>Preparar, temperar, cozinhar, empratar e decorar refeições. Medir/misturar ingredientes conforme a receita para cozinhar do zero. Seguir os procedimentos adequados de controle de porções, apresentação, consistência, sabor e higiene. Observar/provar os alimentos cozidos. Pode substituir/auxiliar outros cozinheiros em emergências/períodos de pico. ***F.a.5 A-H e F.a.6a e F.a.6b: mínimo de 35 horas/semana. Turnos e horários variam de segunda a domingo, das 7h às 0h. *** F.b.9a: Aumentos e/ou bônus podem ser oferecidos a qualquer funcionário na ocupação especificada, a critério exclusivo da empresa, com base em fatores individuais, incluindo desempenho no trabalho, habilidade ou tempo de serviço. Classificação do Cargo: 35-2014.00 - Cozinheiros, Restaurante. A classificação e descrição do cargo/setor inclui informações gerais sobre a posição, de acordo com o ONET/OES e o Sistema de Classificação Industrial da América do Norte. Consulte as Funções e a Ordem de Serviço para obter mais informações. Requisitos da vaga Experiência necessária: Não Requisitos especiais: Exame toxicológico e verificação de antecedentes criminais pré-admissional, realizados igualmente para trabalhadores americanos e trabalhadores com visto H-2B. Disponibilidade para trabalhar em turnos divididos, noturnos, fins de semana e feriados, conforme necessário. Capacidade de levantar, puxar, empurrar ou carregar até 11 kg ou mais, e caminhar ou ficar em pé por longos períodos. Boa apresentação pessoal e capacidade de se comunicar em inglês. Número de horas por semana: 35 Horário de trabalho (início/término): 7h às 0h</v>
      </c>
    </row>
    <row r="2314" ht="20.25" customHeight="1">
      <c r="A2314" s="3" t="s">
        <v>10229</v>
      </c>
      <c r="B2314" s="3" t="s">
        <v>10223</v>
      </c>
      <c r="C2314" s="3" t="s">
        <v>10025</v>
      </c>
      <c r="D2314" s="3" t="s">
        <v>71</v>
      </c>
      <c r="E2314" s="4" t="s">
        <v>19</v>
      </c>
      <c r="F2314" s="4" t="s">
        <v>20</v>
      </c>
      <c r="G2314" s="4" t="s">
        <v>524</v>
      </c>
      <c r="H2314" s="3" t="s">
        <v>10224</v>
      </c>
      <c r="I2314" s="3" t="s">
        <v>10225</v>
      </c>
      <c r="J2314" s="4">
        <v>18.71</v>
      </c>
      <c r="K2314" s="4">
        <v>17.0</v>
      </c>
      <c r="L2314" s="3" t="s">
        <v>1206</v>
      </c>
      <c r="M2314" s="3" t="s">
        <v>10230</v>
      </c>
      <c r="N2314" s="7" t="str">
        <f>IFERROR(__xludf.DUMMYFUNCTION("GOOGLETRANSLATE(L2314, ""en"", ""pt"")"),"Servidor")</f>
        <v>Servidor</v>
      </c>
      <c r="O2314" s="7" t="str">
        <f>IFERROR(__xludf.DUMMYFUNCTION("IF(M2314="""","""",GOOGLETRANSLATE(M2314,""en"",""pt""))"),"***Original*** Servir comida, água, refrigerantes e bebidas alcoólicas. Apresentar cardápios, anotar pedidos e repassá-los à cozinha. Realizar tarefas auxiliares, limpar mesas, transportar pratos do salão para a cozinha e manter as áreas de trabalho limpa"&amp;"s. Fornecer toalhas de mesa, talheres, copos e pratos limpos no salão. Auxiliar na montagem, limpeza, abertura e fechamento do restaurante/área de alimentos e bebidas. Pode ser necessário realizar tarefas em ambientes externos, em eventos de banquetes ou "&amp;"atender clientes em carrinho de golfe. Pode executar outras tarefas razoáveis ​​relacionadas ao trabalho, conforme necessário. ***Resposta à Solicitação de Informações (RFI)*** As tarefas de montagem, limpeza, abertura e fechamento do restaurante/área de "&amp;"alimentos e bebidas podem incluir: limpar as mesas, removendo toalhas de mesa, louças e utensílios usados; arrumar as mesas com toalhas de mesa, louças e utensílios limpos; montar e desmontar buffets. Tarefas razoáveis ​​relacionadas ao trabalho podem inc"&amp;"luir: servir condimentos e café; abastecer o bar de serviço com alimentos; manter o buffet abastecido com alimentos, pratos, recipientes e utensílios. ***F.a.5 A-H e F.a.6a e F.a.6b: mínimo de 35 horas semanais. Turnos e horários variam de segunda a domin"&amp;"go, das 7h às 0h. *** F.b.9a: Aumentos e/ou bônus podem ser oferecidos a qualquer funcionário na ocupação especificada, a critério exclusivo da empresa, com base em fatores individuais, incluindo desempenho, habilidades ou tempo de serviço. Classificação "&amp;"da vaga: 35-3031.00 - Garçons e Garçonetes. A classificação e descrição da vaga/setor inclui informações gerais sobre o cargo, de acordo com o ONET/OES e o Sistema de Classificação Industrial da América do Norte (NAICS). Consulte as Funções e a Ordem de S"&amp;"erviço para obter mais informações. Requisitos da vaga: Experiência exigida: Não. Requisitos especiais: Exame toxicológico e verificação de antecedentes criminais pré-admissional, realizados igualmente para funcionários americanos e trabalhadores com vist"&amp;"o H-2B. Disponibilidade para trabalhar em turnos divididos, noturnos, fins de semana e feriados, conforme necessário. Deve ser capaz de levantar, puxar, empurrar ou carregar até 11 kg ou mais, e caminhar ou ficar em pé por longos períodos. Boa apresentaçã"&amp;"o pessoal e capacidade de se comunicar em inglês. Número de horas por semana: 35. Horário de trabalho (início/término): 7h às 0h.")</f>
        <v>***Original*** Servir comida, água, refrigerantes e bebidas alcoólicas. Apresentar cardápios, anotar pedidos e repassá-los à cozinha. Realizar tarefas auxiliares, limpar mesas, transportar pratos do salão para a cozinha e manter as áreas de trabalho limpas. Fornecer toalhas de mesa, talheres, copos e pratos limpos no salão. Auxiliar na montagem, limpeza, abertura e fechamento do restaurante/área de alimentos e bebidas. Pode ser necessário realizar tarefas em ambientes externos, em eventos de banquetes ou atender clientes em carrinho de golfe. Pode executar outras tarefas razoáveis ​​relacionadas ao trabalho, conforme necessário. ***Resposta à Solicitação de Informações (RFI)*** As tarefas de montagem, limpeza, abertura e fechamento do restaurante/área de alimentos e bebidas podem incluir: limpar as mesas, removendo toalhas de mesa, louças e utensílios usados; arrumar as mesas com toalhas de mesa, louças e utensílios limpos; montar e desmontar buffets. Tarefas razoáveis ​​relacionadas ao trabalho podem incluir: servir condimentos e café; abastecer o bar de serviço com alimentos; manter o buffet abastecido com alimentos, pratos, recipientes e utensílios. ***F.a.5 A-H e F.a.6a e F.a.6b: mínimo de 35 horas semanais. Turnos e horários variam de segunda a domingo, das 7h às 0h. *** F.b.9a: Aumentos e/ou bônus podem ser oferecidos a qualquer funcionário na ocupação especificada, a critério exclusivo da empresa, com base em fatores individuais, incluindo desempenho, habilidades ou tempo de serviço. Classificação da vaga: 35-3031.00 - Garçons e Garçonetes. A classificação e descrição da vaga/setor inclui informações gerais sobre o cargo, de acordo com o ONET/OES e o Sistema de Classificação Industrial da América do Norte (NAICS). Consulte as Funções e a Ordem de Serviço para obter mais informações. Requisitos da vaga: Experiência exigida: Não. Requisitos especiais: Exame toxicológico e verificação de antecedentes criminais pré-admissional, realizados igualmente para funcionários americanos e trabalhadores com visto H-2B. Disponibilidade para trabalhar em turnos divididos, noturnos, fins de semana e feriados, conforme necessário. Deve ser capaz de levantar, puxar, empurrar ou carregar até 11 kg ou mais, e caminhar ou ficar em pé por longos períodos. Boa apresentação pessoal e capacidade de se comunicar em inglês. Número de horas por semana: 35. Horário de trabalho (início/término): 7h às 0h.</v>
      </c>
    </row>
    <row r="2315" ht="20.25" customHeight="1">
      <c r="A2315" s="8" t="s">
        <v>10231</v>
      </c>
      <c r="B2315" s="8" t="s">
        <v>10232</v>
      </c>
      <c r="C2315" s="8" t="s">
        <v>7466</v>
      </c>
      <c r="D2315" s="8" t="s">
        <v>271</v>
      </c>
      <c r="E2315" s="9" t="s">
        <v>19</v>
      </c>
      <c r="F2315" s="9" t="s">
        <v>20</v>
      </c>
      <c r="G2315" s="9" t="s">
        <v>524</v>
      </c>
      <c r="H2315" s="8" t="s">
        <v>10233</v>
      </c>
      <c r="I2315" s="8" t="s">
        <v>10234</v>
      </c>
      <c r="J2315" s="9">
        <v>18.61</v>
      </c>
      <c r="K2315" s="9">
        <v>4.0</v>
      </c>
      <c r="L2315" s="8" t="s">
        <v>10235</v>
      </c>
      <c r="M2315" s="8" t="s">
        <v>10236</v>
      </c>
      <c r="N2315" s="7" t="str">
        <f>IFERROR(__xludf.DUMMYFUNCTION("GOOGLETRANSLATE(L2315, ""en"", ""pt"")"),"Profissional de Joalheria Credenciado pela AJP")</f>
        <v>Profissional de Joalheria Credenciado pela AJP</v>
      </c>
      <c r="O2315" s="7" t="str">
        <f>IFERROR(__xludf.DUMMYFUNCTION("IF(M2315="""","""",GOOGLETRANSLATE(M2315,""en"",""pt""))"),"Utilizando os princípios básicos dos 4 Cs dos diamantes, auxilie na educação dos clientes em suas compras. Com conhecimento em pedras preciosas e semipreciosas, trabalhe com clientes de alto poder aquisitivo em suas compras. Trabalhe com outros varejistas"&amp;" em grandes compras no atacado. Auxilie no fechamento de vendas de maior valor, fornecendo detalhes técnicos sobre as principais partes das joias. Os turnos variam de segunda a domingo, das 10h às 18h; até 7 dias por semana; mínimo de 40 horas semanais. C"&amp;"lassificação da vaga: 41-2031.00 - Vendedor(a) de Varejo. A classificação e descrição da vaga/setor incluem informações gerais sobre o cargo, de acordo com o ONET/OES e o Sistema de Classificação Industrial da América do Norte. Consulte as Funções e a Ord"&amp;"em de Serviço para obter mais informações. Requisitos da vaga: Experiência necessária: Não. Requisitos especiais: Certificado AJP (Profissional de Joalheria Credenciado) ou certificação equivalente. Idade mínima: 18 anos. Número de horas por semana: 40. H"&amp;"orário de trabalho (início/término): 9h30 às 18h30.")</f>
        <v>Utilizando os princípios básicos dos 4 Cs dos diamantes, auxilie na educação dos clientes em suas compras. Com conhecimento em pedras preciosas e semipreciosas, trabalhe com clientes de alto poder aquisitivo em suas compras. Trabalhe com outros varejistas em grandes compras no atacado. Auxilie no fechamento de vendas de maior valor, fornecendo detalhes técnicos sobre as principais partes das joias. Os turnos variam de segunda a domingo, das 10h às 18h; até 7 dias por semana; mínimo de 40 horas semanais. Classificação da vaga: 41-2031.00 - Vendedor(a) de Varejo. A classificação e descrição da vaga/setor incluem informações gerais sobre o cargo, de acordo com o ONET/OES e o Sistema de Classificação Industrial da América do Norte. Consulte as Funções e a Ordem de Serviço para obter mais informações. Requisitos da vaga: Experiência necessária: Não. Requisitos especiais: Certificado AJP (Profissional de Joalheria Credenciado) ou certificação equivalente. Idade mínima: 18 anos. Número de horas por semana: 40. Horário de trabalho (início/término): 9h30 às 18h30.</v>
      </c>
    </row>
    <row r="2316" ht="20.25" customHeight="1">
      <c r="A2316" s="3" t="s">
        <v>10237</v>
      </c>
      <c r="B2316" s="3" t="s">
        <v>10238</v>
      </c>
      <c r="C2316" s="3" t="s">
        <v>7466</v>
      </c>
      <c r="D2316" s="3" t="s">
        <v>271</v>
      </c>
      <c r="E2316" s="4" t="s">
        <v>19</v>
      </c>
      <c r="F2316" s="4" t="s">
        <v>20</v>
      </c>
      <c r="G2316" s="4" t="s">
        <v>524</v>
      </c>
      <c r="H2316" s="3" t="s">
        <v>10233</v>
      </c>
      <c r="I2316" s="3" t="s">
        <v>10234</v>
      </c>
      <c r="J2316" s="4">
        <v>21.62</v>
      </c>
      <c r="K2316" s="4">
        <v>4.0</v>
      </c>
      <c r="L2316" s="3" t="s">
        <v>10239</v>
      </c>
      <c r="M2316" s="3" t="s">
        <v>10240</v>
      </c>
      <c r="N2316" s="7" t="str">
        <f>IFERROR(__xludf.DUMMYFUNCTION("GOOGLETRANSLATE(L2316, ""en"", ""pt"")"),"Joalheiro de bancada")</f>
        <v>Joalheiro de bancada</v>
      </c>
      <c r="O2316" s="7" t="str">
        <f>IFERROR(__xludf.DUMMYFUNCTION("IF(M2316="""","""",GOOGLETRANSLATE(M2316,""en"",""pt""))"),"Ajustar o tamanho de anéis; soldar esferas e barras de ajuste; reparar garras ou apertá-las em pedras soltas; criar e fabricar joias personalizadas, incluindo pingentes, brincos, anéis e pulseiras; alongar ou encurtar pulseiras; trocar fechos, travas ou c"&amp;"orrentes de segurança; alongar ou encurtar correntes; remover elos de pulseiras e transformá-los em brincos ou pingentes; trocar brincos de pino para fecho de alavanca, fecho de rosca, fecho ômega ou fecho anzol; mudar a cor do ouro com ródio; remover dia"&amp;"mantes e pedras preciosas; cravar diamantes e pedras preciosas; trocar cabeças de cravação, cabeças de 2, 3, 4, 6 e 8 garras; fundir ouro e prata em lingotes; limpar, polir e fazer reparos em joias para clientes; trocar argolas de pingentes; fabricar argo"&amp;"las personalizadas conforme necessário; usar equipamentos para preparar o metal para ajuste de tamanho; soldar alianças de casamento; testar metais quanto à pureza e identificação; manter registros de trabalhos, horário de entrada, horário de saída, local"&amp;" e descrição do trabalho; manter registros dos componentes usados ​​nos trabalhos; Solicitar ou encomendar materiais como solda, ródio, solução de limpeza ultrassônica ou qualquer outro produto consumível para realizar os trabalhos conforme descrito; util"&amp;"izar os equipamentos de proteção individual adequados ao usar ferramentas e maçaricos; e manter registros de FISPQ (Ficha de Informações de Segurança de Produtos Químicos) de todos os materiais armazenados, utilizados ou mantidos na oficina. Os turnos var"&amp;"iam de segunda a domingo, das 10h às 18h; até 7 dias por semana; mínimo de 40 horas semanais. Classificação da vaga: 51-9071.00 - Joalheiros e Trabalhadores de Pedras e Metais Preciosos. A classificação e descrição da vaga/setor incluem informações gerais"&amp;" sobre o cargo, de acordo com o ONET/OES e o Sistema de Classificação Industrial da América do Norte (NAICS). Consulte as Funções e a Ordem de Serviço para obter mais informações. Requisitos da vaga: Experiência exigida: Sim. Meses de experiência exigidos"&amp;": 24. Requisitos especiais: Idade mínima: 18 anos. Número de horas por semana: 40. Horário de trabalho (início/término): 9h30 às 18h30.")</f>
        <v>Ajustar o tamanho de anéis; soldar esferas e barras de ajuste; reparar garras ou apertá-las em pedras soltas; criar e fabricar joias personalizadas, incluindo pingentes, brincos, anéis e pulseiras; alongar ou encurtar pulseiras; trocar fechos, travas ou correntes de segurança; alongar ou encurtar correntes; remover elos de pulseiras e transformá-los em brincos ou pingentes; trocar brincos de pino para fecho de alavanca, fecho de rosca, fecho ômega ou fecho anzol; mudar a cor do ouro com ródio; remover diamantes e pedras preciosas; cravar diamantes e pedras preciosas; trocar cabeças de cravação, cabeças de 2, 3, 4, 6 e 8 garras; fundir ouro e prata em lingotes; limpar, polir e fazer reparos em joias para clientes; trocar argolas de pingentes; fabricar argolas personalizadas conforme necessário; usar equipamentos para preparar o metal para ajuste de tamanho; soldar alianças de casamento; testar metais quanto à pureza e identificação; manter registros de trabalhos, horário de entrada, horário de saída, local e descrição do trabalho; manter registros dos componentes usados ​​nos trabalhos; Solicitar ou encomendar materiais como solda, ródio, solução de limpeza ultrassônica ou qualquer outro produto consumível para realizar os trabalhos conforme descrito; utilizar os equipamentos de proteção individual adequados ao usar ferramentas e maçaricos; e manter registros de FISPQ (Ficha de Informações de Segurança de Produtos Químicos) de todos os materiais armazenados, utilizados ou mantidos na oficina. Os turnos variam de segunda a domingo, das 10h às 18h; até 7 dias por semana; mínimo de 40 horas semanais. Classificação da vaga: 51-9071.00 - Joalheiros e Trabalhadores de Pedras e Metais Preciosos. A classificação e descrição da vaga/setor incluem informações gerais sobre o cargo, de acordo com o ONET/OES e o Sistema de Classificação Industrial da América do Norte (NAICS). Consulte as Funções e a Ordem de Serviço para obter mais informações. Requisitos da vaga: Experiência exigida: Sim. Meses de experiência exigidos: 24. Requisitos especiais: Idade mínima: 18 anos. Número de horas por semana: 40. Horário de trabalho (início/término): 9h30 às 18h30.</v>
      </c>
    </row>
    <row r="2317" ht="20.25" customHeight="1">
      <c r="A2317" s="8" t="s">
        <v>10241</v>
      </c>
      <c r="B2317" s="8" t="s">
        <v>10238</v>
      </c>
      <c r="C2317" s="8" t="s">
        <v>7466</v>
      </c>
      <c r="D2317" s="8" t="s">
        <v>271</v>
      </c>
      <c r="E2317" s="9" t="s">
        <v>19</v>
      </c>
      <c r="F2317" s="9" t="s">
        <v>20</v>
      </c>
      <c r="G2317" s="9" t="s">
        <v>524</v>
      </c>
      <c r="H2317" s="8" t="s">
        <v>10233</v>
      </c>
      <c r="I2317" s="8" t="s">
        <v>10234</v>
      </c>
      <c r="J2317" s="9">
        <v>21.62</v>
      </c>
      <c r="K2317" s="9">
        <v>4.0</v>
      </c>
      <c r="L2317" s="8" t="s">
        <v>10242</v>
      </c>
      <c r="M2317" s="8" t="s">
        <v>10243</v>
      </c>
      <c r="N2317" s="7" t="str">
        <f>IFERROR(__xludf.DUMMYFUNCTION("GOOGLETRANSLATE(L2317, ""en"", ""pt"")"),"Designer de Joias")</f>
        <v>Designer de Joias</v>
      </c>
      <c r="O2317" s="7" t="str">
        <f>IFERROR(__xludf.DUMMYFUNCTION("IF(M2317="""","""",GOOGLETRANSLATE(M2317,""en"",""pt""))"),"Esboçar e desenhar anéis, pulseiras, pingentes ou brincos. Adicionar detalhes de cor aos esboços finais. Usar cera para criar modelos 3D para os desenhos esboçados. Criar desenhos assistidos por computador (CAD) para gerar modelos de cera dos designs. Usa"&amp;"r o modelo de cera para fazer moldes para fundição de peças semiacabadas. Os turnos variam de segunda a domingo, das 10h às 18h; até 7 dias por semana; mínimo de 40 horas semanais. Classificação da vaga: 51-9071.00 - Joalheiros e Trabalhadores de Pedras e"&amp;" Metais Preciosos. A classificação e descrição da vaga/setor incluem informações gerais sobre o cargo, de acordo com o ONET/OES e o Sistema de Classificação Industrial da América do Norte. Consulte as Funções e a Ordem de Serviço para obter mais informaçõ"&amp;"es. Requisitos da vaga: Experiência necessária: Sim. Meses de experiência necessários: 6. Requisitos especiais: Idade mínima: 18 anos. Número de horas por semana: 40. Horário de trabalho (início/término): 9h30 às 18h30.")</f>
        <v>Esboçar e desenhar anéis, pulseiras, pingentes ou brincos. Adicionar detalhes de cor aos esboços finais. Usar cera para criar modelos 3D para os desenhos esboçados. Criar desenhos assistidos por computador (CAD) para gerar modelos de cera dos designs. Usar o modelo de cera para fazer moldes para fundição de peças semiacabadas. Os turnos variam de segunda a domingo, das 10h às 18h; até 7 dias por semana; mínimo de 40 horas semanais. Classificação da vaga: 51-9071.00 - Joalheiros e Trabalhadores de Pedras e Metais Preciosos. A classificação e descrição da vaga/setor incluem informações gerais sobre o cargo, de acordo com o ONET/OES e o Sistema de Classificação Industrial da América do Norte. Consulte as Funções e a Ordem de Serviço para obter mais informações. Requisitos da vaga: Experiência necessária: Sim. Meses de experiência necessários: 6. Requisitos especiais: Idade mínima: 18 anos. Número de horas por semana: 40. Horário de trabalho (início/término): 9h30 às 18h30.</v>
      </c>
    </row>
    <row r="2318" ht="20.25" customHeight="1">
      <c r="A2318" s="3" t="s">
        <v>10244</v>
      </c>
      <c r="B2318" s="3" t="s">
        <v>10238</v>
      </c>
      <c r="C2318" s="3" t="s">
        <v>7466</v>
      </c>
      <c r="D2318" s="3" t="s">
        <v>271</v>
      </c>
      <c r="E2318" s="4" t="s">
        <v>19</v>
      </c>
      <c r="F2318" s="4" t="s">
        <v>20</v>
      </c>
      <c r="G2318" s="4" t="s">
        <v>524</v>
      </c>
      <c r="H2318" s="3" t="s">
        <v>10233</v>
      </c>
      <c r="I2318" s="3" t="s">
        <v>10234</v>
      </c>
      <c r="J2318" s="4">
        <v>21.62</v>
      </c>
      <c r="K2318" s="4">
        <v>3.0</v>
      </c>
      <c r="L2318" s="3" t="s">
        <v>10245</v>
      </c>
      <c r="M2318" s="3" t="s">
        <v>10246</v>
      </c>
      <c r="N2318" s="7" t="str">
        <f>IFERROR(__xludf.DUMMYFUNCTION("GOOGLETRANSLATE(L2318, ""en"", ""pt"")"),"Avaliador de Joias")</f>
        <v>Avaliador de Joias</v>
      </c>
      <c r="O2318" s="7" t="str">
        <f>IFERROR(__xludf.DUMMYFUNCTION("IF(M2318="""","""",GOOGLETRANSLATE(M2318,""en"",""pt""))"),"Examinar e avaliar joias finas, diamantes e pedras preciosas para determinar seu valor de mercado, para fins de seguro e varejo. Pesquisar as condições atuais do mercado e valores comparáveis ​​para fornecer avaliações precisas. Preparar laudos de avaliaç"&amp;"ão formais por escrito para fins de seguro, inventário, revenda ou documentação legal. Autenticar marcas, teor de metal, tipos de pedras preciosas e qualidade da fabricação usando ferramentas gemológicas e metalúrgicas padrão. Colaborar com gemólogos e ve"&amp;"ndedores de joias para auxiliar na verificação de estoque e em vendas de alto valor. Manter registros e documentação precisos para todos os itens avaliados. Educar os clientes sobre o processo de avaliação e suas conclusões de forma clara e profissional. "&amp;"Manter-se atualizado sobre as tendências do setor, padrões de avaliação, tratamentos e materiais sintéticos. Seguir as diretrizes das Normas Uniformes de Prática Profissional de Avaliação (USPAP) e os códigos de ética aplicáveis. Os turnos variam de segun"&amp;"da a domingo, das 10h às 18h; até 7 dias por semana; mínimo de 40 horas semanais. Classificação da Função: 51-9071.00 - Joalheiros e Trabalhadores de Pedras e Metais Preciosos. A classificação e descrição da função/setor inclui informações gerais sobre o "&amp;"cargo, conforme o ONET/OES e o Sistema de Classificação Industrial da América do Norte (NAICS). Consulte as Funções e a Ordem de Serviço para obter mais informações. Requisitos da Função: Experiência Necessária: Sim. Meses de Experiência Necessários: 6. R"&amp;"equisitos Especiais: Idade mínima: 18 anos. Número de horas por semana: 40. Horário de Trabalho (Início/Término): 9h30 às 18h30.")</f>
        <v>Examinar e avaliar joias finas, diamantes e pedras preciosas para determinar seu valor de mercado, para fins de seguro e varejo. Pesquisar as condições atuais do mercado e valores comparáveis ​​para fornecer avaliações precisas. Preparar laudos de avaliação formais por escrito para fins de seguro, inventário, revenda ou documentação legal. Autenticar marcas, teor de metal, tipos de pedras preciosas e qualidade da fabricação usando ferramentas gemológicas e metalúrgicas padrão. Colaborar com gemólogos e vendedores de joias para auxiliar na verificação de estoque e em vendas de alto valor. Manter registros e documentação precisos para todos os itens avaliados. Educar os clientes sobre o processo de avaliação e suas conclusões de forma clara e profissional. Manter-se atualizado sobre as tendências do setor, padrões de avaliação, tratamentos e materiais sintéticos. Seguir as diretrizes das Normas Uniformes de Prática Profissional de Avaliação (USPAP) e os códigos de ética aplicáveis. Os turnos variam de segunda a domingo, das 10h às 18h; até 7 dias por semana; mínimo de 40 horas semanais. Classificação da Função: 51-9071.00 - Joalheiros e Trabalhadores de Pedras e Metais Preciosos. A classificação e descrição da função/setor inclui informações gerais sobre o cargo, conforme o ONET/OES e o Sistema de Classificação Industrial da América do Norte (NAICS). Consulte as Funções e a Ordem de Serviço para obter mais informações. Requisitos da Função: Experiência Necessária: Sim. Meses de Experiência Necessários: 6. Requisitos Especiais: Idade mínima: 18 anos. Número de horas por semana: 40. Horário de Trabalho (Início/Término): 9h30 às 18h30.</v>
      </c>
    </row>
    <row r="2319" ht="20.25" customHeight="1">
      <c r="A2319" s="8" t="s">
        <v>10247</v>
      </c>
      <c r="B2319" s="8" t="s">
        <v>10238</v>
      </c>
      <c r="C2319" s="8" t="s">
        <v>7466</v>
      </c>
      <c r="D2319" s="8" t="s">
        <v>271</v>
      </c>
      <c r="E2319" s="9" t="s">
        <v>19</v>
      </c>
      <c r="F2319" s="9" t="s">
        <v>20</v>
      </c>
      <c r="G2319" s="9" t="s">
        <v>524</v>
      </c>
      <c r="H2319" s="8" t="s">
        <v>10233</v>
      </c>
      <c r="I2319" s="8" t="s">
        <v>10234</v>
      </c>
      <c r="J2319" s="9">
        <v>21.62</v>
      </c>
      <c r="K2319" s="9">
        <v>3.0</v>
      </c>
      <c r="L2319" s="8" t="s">
        <v>10248</v>
      </c>
      <c r="M2319" s="8" t="s">
        <v>10249</v>
      </c>
      <c r="N2319" s="7" t="str">
        <f>IFERROR(__xludf.DUMMYFUNCTION("GOOGLETRANSLATE(L2319, ""en"", ""pt"")"),"Classificador de Diamantes")</f>
        <v>Classificador de Diamantes</v>
      </c>
      <c r="O2319" s="7" t="str">
        <f>IFERROR(__xludf.DUMMYFUNCTION("IF(M2319="""","""",GOOGLETRANSLATE(M2319,""en"",""pt""))"),"Classificar diamantes por tamanho com base em milímetros, lapidação e simetria. Identificar a cor e a pureza de diamantes soltos ou engastados. Utilizar o Diamond Master Set, microscópios e outras tecnologias para classificar diamantes com precisão. Utili"&amp;"zar peneiras para organizar e categorizar diamantes, incluindo diamantes pequenos, em lotes. Os turnos variam de segunda a domingo, das 10h às 18h; até 7 dias por semana; mínimo de 40 horas semanais. 3 meses de experiência como Classificador de Diamantes "&amp;"ou função equivalente. Classificação da Função: 51-9071.06 - Trabalhadores de Gemas e Diamantes. A classificação e descrição da função/setor incluem informações gerais sobre a posição, de acordo com o ONET/OES e o Sistema de Classificação Industrial da Am"&amp;"érica do Norte. Consulte as Funções e a Ordem de Serviço para obter mais informações. Requisitos da Função: Experiência Necessária: Sim. Meses de Experiência Necessários: 3. Requisitos Especiais: Idade mínima: 18 anos. Número de Horas por Semana: 40. Horá"&amp;"rio de Trabalho (Início/Término): 9h30 - 18h30.")</f>
        <v>Classificar diamantes por tamanho com base em milímetros, lapidação e simetria. Identificar a cor e a pureza de diamantes soltos ou engastados. Utilizar o Diamond Master Set, microscópios e outras tecnologias para classificar diamantes com precisão. Utilizar peneiras para organizar e categorizar diamantes, incluindo diamantes pequenos, em lotes. Os turnos variam de segunda a domingo, das 10h às 18h; até 7 dias por semana; mínimo de 40 horas semanais. 3 meses de experiência como Classificador de Diamantes ou função equivalente. Classificação da Função: 51-9071.06 - Trabalhadores de Gemas e Diamantes. A classificação e descrição da função/setor incluem informações gerais sobre a posição, de acordo com o ONET/OES e o Sistema de Classificação Industrial da América do Norte. Consulte as Funções e a Ordem de Serviço para obter mais informações. Requisitos da Função: Experiência Necessária: Sim. Meses de Experiência Necessários: 3. Requisitos Especiais: Idade mínima: 18 anos. Número de Horas por Semana: 40. Horário de Trabalho (Início/Término): 9h30 - 18h30.</v>
      </c>
    </row>
    <row r="2320" ht="20.25" customHeight="1">
      <c r="A2320" s="3" t="s">
        <v>10250</v>
      </c>
      <c r="B2320" s="3" t="s">
        <v>10238</v>
      </c>
      <c r="C2320" s="3" t="s">
        <v>7466</v>
      </c>
      <c r="D2320" s="3" t="s">
        <v>271</v>
      </c>
      <c r="E2320" s="4" t="s">
        <v>44</v>
      </c>
      <c r="F2320" s="4" t="s">
        <v>20</v>
      </c>
      <c r="G2320" s="4" t="s">
        <v>524</v>
      </c>
      <c r="H2320" s="3" t="s">
        <v>10233</v>
      </c>
      <c r="I2320" s="3" t="s">
        <v>10234</v>
      </c>
      <c r="J2320" s="4">
        <v>21.62</v>
      </c>
      <c r="K2320" s="4">
        <v>3.0</v>
      </c>
      <c r="L2320" s="3" t="s">
        <v>10251</v>
      </c>
      <c r="M2320" s="3" t="s">
        <v>10252</v>
      </c>
      <c r="N2320" s="7" t="str">
        <f>IFERROR(__xludf.DUMMYFUNCTION("GOOGLETRANSLATE(L2320, ""en"", ""pt"")"),"Classificador de Diamantes")</f>
        <v>Classificador de Diamantes</v>
      </c>
      <c r="O2320" s="7" t="str">
        <f>IFERROR(__xludf.DUMMYFUNCTION("IF(M2320="""","""",GOOGLETRANSLATE(M2320,""en"",""pt""))"),"Auxiliar vendedores e clientes a compreender as características dos diamantes. Educar e aconselhar sobre os 4 Cs de um diamante e seu impacto nas características visíveis. Identificar as características de diamantes brancos e coloridos, incluindo lapidaçã"&amp;"o, cor e pureza. Utilizando equipamentos modernos, localizar características internas do diamante, incluindo nuvens, inclusões e imperfeições internas. Os turnos variam de segunda a domingo, das 10h às 18h; até 7 dias por semana; mínimo de 40 horas semana"&amp;"is. Classificação da vaga: 51-9071.06 - Trabalhadores de Gemas e Diamantes. A classificação e descrição da vaga/setor incluem informações gerais sobre o cargo, de acordo com o ONET/OES e o Sistema de Classificação Industrial da América do Norte. Consulte "&amp;"as Funções e a Ordem de Serviço para obter mais informações. Requisitos da vaga: Experiência exigida: Não. Requisitos especiais: Certificado de Gemólogo de Diamantes ou certificação equivalente. Idade mínima: 18 anos. Número de horas por semana: 40. Horár"&amp;"io de trabalho (início/término): 9h30 às 18h30.")</f>
        <v>Auxiliar vendedores e clientes a compreender as características dos diamantes. Educar e aconselhar sobre os 4 Cs de um diamante e seu impacto nas características visíveis. Identificar as características de diamantes brancos e coloridos, incluindo lapidação, cor e pureza. Utilizando equipamentos modernos, localizar características internas do diamante, incluindo nuvens, inclusões e imperfeições internas. Os turnos variam de segunda a domingo, das 10h às 18h; até 7 dias por semana; mínimo de 40 horas semanais. Classificação da vaga: 51-9071.06 - Trabalhadores de Gemas e Diamantes. A classificação e descrição da vaga/setor incluem informações gerais sobre o cargo, de acordo com o ONET/OES e o Sistema de Classificação Industrial da América do Norte. Consulte as Funções e a Ordem de Serviço para obter mais informações. Requisitos da vaga: Experiência exigida: Não. Requisitos especiais: Certificado de Gemólogo de Diamantes ou certificação equivalente. Idade mínima: 18 anos. Número de horas por semana: 40. Horário de trabalho (início/término): 9h30 às 18h30.</v>
      </c>
    </row>
    <row r="2321" ht="20.25" customHeight="1">
      <c r="A2321" s="8" t="s">
        <v>10253</v>
      </c>
      <c r="B2321" s="8" t="s">
        <v>10254</v>
      </c>
      <c r="C2321" s="8"/>
      <c r="D2321" s="8" t="s">
        <v>1197</v>
      </c>
      <c r="E2321" s="9" t="s">
        <v>44</v>
      </c>
      <c r="F2321" s="9" t="s">
        <v>20</v>
      </c>
      <c r="G2321" s="9" t="s">
        <v>626</v>
      </c>
      <c r="H2321" s="8" t="s">
        <v>10255</v>
      </c>
      <c r="I2321" s="8" t="s">
        <v>10256</v>
      </c>
      <c r="J2321" s="9">
        <v>17.35</v>
      </c>
      <c r="K2321" s="9">
        <v>130.0</v>
      </c>
      <c r="L2321" s="8" t="s">
        <v>1061</v>
      </c>
      <c r="M2321" s="8" t="s">
        <v>10180</v>
      </c>
      <c r="N2321" s="7" t="str">
        <f>IFERROR(__xludf.DUMMYFUNCTION("GOOGLETRANSLATE(L2321, ""en"", ""pt"")"),"Auxiliar de Creche")</f>
        <v>Auxiliar de Creche</v>
      </c>
      <c r="O2321" s="7" t="str">
        <f>IFERROR(__xludf.DUMMYFUNCTION("IF(M2321="""","""",GOOGLETRANSLATE(M2321,""en"",""pt""))"),"O TRABALHADOR DE MONTAGEM DE PRODUTOS EM VIVEIRO REQUER A COLETA DE GALHOS DE ÁRVORES, CORTE MANUALMENTE, TRATAMENTO, ARRANJO, AMARRAÇÃO E EMBALAGEM DE ÁRVORES DE NATAL, GALHOS, COMPRAS E OUTROS MATERIAIS PREVIAMENTE COLETADOS EM VIVEIRO. CORTE PRODUTOS N"&amp;"ATURAIS DE PINHEIRO, CORTE, TRATAMENTO E ARRANJO PARA PRODUZIR GUIRLANDAS E OUTRAS ATIVIDADES RELACIONADAS A VIVEIROS, CONFORME SOC/OES 45-2092 (ONETONLINE.ORG). ESTA VAGA NÃO É PARA UM DESIGNER FLORAL QUE TRABALHA COM FLORES, MAS SIM PARA A CONFECÇÃO DE "&amp;"GUIRLANDAS DE NATAL A PARTIR DE ÁRVORES DE NATAL EM UM VIVEIRO/FAZENARIA. Classificação da vaga: 27-1023.00 - Designers Florais. A classificação e descrição da vaga/setor inclui informações gerais sobre a posição, conforme o ONET/OES e o Sistema de Classi"&amp;"ficação Industrial da América do Norte (NAICS). Consulte as Funções e a Ordem de Serviço para obter mais informações. Requisitos da vaga: Experiência necessária: Não. Requisitos especiais: É necessário ter 18 anos ou mais devido ao uso de equipamentos nos"&amp;" EUA. É necessário apresentar comprovante de autorização legal para trabalhar nos Estados Unidos. Ambiente de trabalho livre de drogas, álcool e tabaco. Executar atividades físicas como: levantar, equilibrar, caminhar, agachar, manusear, posicionar, mover"&amp;" e manipular materiais, usar força estática para exercer força muscular máxima para levantar, empurrar, puxar e carregar objetos de até 18 kg. Todos os candidatos devem ser capazes, estar dispostos e qualificados para executar o trabalho descrito durante "&amp;"o emprego. Teste positivo/recusa em cumprir as normas é motivo para demissão. Possível verificação de antecedentes após a contratação, às custas do empregador. Trabalho ao ar livre, exposto às intempéries. Deve ser capaz de realizar trabalho árduo por lon"&amp;"gas horas, ocasionalmente em calor/frio extremo. Condições climáticas variáveis. A carga horária pode variar (+/-), podendo haver períodos de inatividade e/ou horas extras. Número de horas por semana: 40. Horário de trabalho (início/término): 7h30 às 16h3"&amp;"0.")</f>
        <v>O TRABALHADOR DE MONTAGEM DE PRODUTOS EM VIVEIRO REQUER A COLETA DE GALHOS DE ÁRVORES, CORTE MANUALMENTE, TRATAMENTO, ARRANJO, AMARRAÇÃO E EMBALAGEM DE ÁRVORES DE NATAL, GALHOS, COMPRAS E OUTROS MATERIAIS PREVIAMENTE COLETADOS EM VIVEIRO. CORTE PRODUTOS NATURAIS DE PINHEIRO, CORTE, TRATAMENTO E ARRANJO PARA PRODUZIR GUIRLANDAS E OUTRAS ATIVIDADES RELACIONADAS A VIVEIROS, CONFORME SOC/OES 45-2092 (ONETONLINE.ORG). ESTA VAGA NÃO É PARA UM DESIGNER FLORAL QUE TRABALHA COM FLORES, MAS SIM PARA A CONFECÇÃO DE GUIRLANDAS DE NATAL A PARTIR DE ÁRVORES DE NATAL EM UM VIVEIRO/FAZENARIA. Classificação da vaga: 27-1023.00 - Designers Florais. A classificação e descrição da vaga/setor inclui informações gerais sobre a posição, conforme o ONET/OES e o Sistema de Classificação Industrial da América do Norte (NAICS). Consulte as Funções e a Ordem de Serviço para obter mais informações. Requisitos da vaga: Experiência necessária: Não. Requisitos especiais: É necessário ter 18 anos ou mais devido ao uso de equipamentos nos EUA. É necessário apresentar comprovante de autorização legal para trabalhar nos Estados Unidos. Ambiente de trabalho livre de drogas, álcool e tabaco. Executar atividades físicas como: levantar, equilibrar, caminhar, agachar, manusear, posicionar, mover e manipular materiais, usar força estática para exercer força muscular máxima para levantar, empurrar, puxar e carregar objetos de até 18 kg. Todos os candidatos devem ser capazes, estar dispostos e qualificados para executar o trabalho descrito durante o emprego. Teste positivo/recusa em cumprir as normas é motivo para demissão. Possível verificação de antecedentes após a contratação, às custas do empregador. Trabalho ao ar livre, exposto às intempéries. Deve ser capaz de realizar trabalho árduo por longas horas, ocasionalmente em calor/frio extremo. Condições climáticas variáveis. A carga horária pode variar (+/-), podendo haver períodos de inatividade e/ou horas extras. Número de horas por semana: 40. Horário de trabalho (início/término): 7h30 às 16h30.</v>
      </c>
    </row>
    <row r="2322" ht="20.25" customHeight="1">
      <c r="A2322" s="3" t="s">
        <v>10257</v>
      </c>
      <c r="B2322" s="3" t="s">
        <v>10258</v>
      </c>
      <c r="C2322" s="3" t="s">
        <v>3937</v>
      </c>
      <c r="D2322" s="3" t="s">
        <v>55</v>
      </c>
      <c r="E2322" s="4" t="s">
        <v>44</v>
      </c>
      <c r="F2322" s="4" t="s">
        <v>20</v>
      </c>
      <c r="G2322" s="4" t="s">
        <v>404</v>
      </c>
      <c r="H2322" s="3" t="s">
        <v>10259</v>
      </c>
      <c r="I2322" s="3" t="s">
        <v>10260</v>
      </c>
      <c r="J2322" s="4">
        <v>18.62</v>
      </c>
      <c r="K2322" s="4">
        <v>2.0</v>
      </c>
      <c r="L2322" s="3" t="s">
        <v>3367</v>
      </c>
      <c r="M2322" s="3" t="s">
        <v>10261</v>
      </c>
      <c r="N2322" s="7" t="str">
        <f>IFERROR(__xludf.DUMMYFUNCTION("GOOGLETRANSLATE(L2322, ""en"", ""pt"")"),"Zelador")</f>
        <v>Zelador</v>
      </c>
      <c r="O2322" s="7" t="str">
        <f>IFERROR(__xludf.DUMMYFUNCTION("IF(M2322="""","""",GOOGLETRANSLATE(M2322,""en"",""pt""))"),"Manter os edifícios limpos e organizados. Executar tarefas de limpeza pesada, como limpeza de pisos, lavagem de carpetes, limpeza de paredes e vidros e remoção de lixo. As tarefas podem incluir o cuidado com a caldeira e o forno, a realização de atividade"&amp;"s de manutenção de rotina, a notificação da gerência sobre a necessidade de reparos e a limpeza de neve ou detritos da calçada. Esclarecimento sobre as funções relacionadas à caldeira e ao forno: O funcionário não realiza nenhum trabalho direto ou prático"&amp;" na caldeira ou no forno e não opera, presta serviços, ajusta, repara ou soluciona problemas nesses equipamentos. Toda a operação, manutenção e reparo da caldeira e do forno do edifício são realizados por uma empresa terceirizada especializada em aquecime"&amp;"nto. A única função relacionada do funcionário é verificar se os cômodos ocupados atingem a temperatura definida pela empresa, utilizando os termostatos de parede padrão nesses cômodos, e relatar qualquer deficiência no aquecimento ou resfriamento à admin"&amp;"istração do edifício, que então providencia todos os serviços e reparos por meio da empresa especializada. O funcionário não monitora, inspeciona, lê os medidores ou avalia a caldeira ou o forno em si e não tem responsabilidade pela condição do equipament"&amp;"o. O funcionário não utiliza ferramentas, equipamentos ou máquinas em conexão com a caldeira ou o forno. A referência a “realizar atividades de manutenção de rotina” significa serviços gerais de limpeza, como higienização e tarefas leves não mecânicas, e "&amp;"não inclui trabalhos mecânicos, elétricos ou com equipamentos. Classificação da função: 37-2011.00 - Zeladores e Faxineiros, exceto empregadas domésticas e auxiliares de limpeza. A classificação e descrição da função/setor inclui informações gerais sobre "&amp;"o cargo, de acordo com o ONET/OES e o Sistema de Classificação Industrial da América do Norte (NAICS). Consulte as Funções e a Ordem de Serviço para obter mais informações. Requisitos da função: Experiência necessária: Não. Requisitos especiais: O funcion"&amp;"ário deve ser capaz de levantar e carregar 23 kg. Pode haver necessidade de horas extras e trabalho aos fins de semana. Número de horas por semana: 40. Horário de trabalho (início/término): 8h às 17h.")</f>
        <v>Manter os edifícios limpos e organizados. Executar tarefas de limpeza pesada, como limpeza de pisos, lavagem de carpetes, limpeza de paredes e vidros e remoção de lixo. As tarefas podem incluir o cuidado com a caldeira e o forno, a realização de atividades de manutenção de rotina, a notificação da gerência sobre a necessidade de reparos e a limpeza de neve ou detritos da calçada. Esclarecimento sobre as funções relacionadas à caldeira e ao forno: O funcionário não realiza nenhum trabalho direto ou prático na caldeira ou no forno e não opera, presta serviços, ajusta, repara ou soluciona problemas nesses equipamentos. Toda a operação, manutenção e reparo da caldeira e do forno do edifício são realizados por uma empresa terceirizada especializada em aquecimento. A única função relacionada do funcionário é verificar se os cômodos ocupados atingem a temperatura definida pela empresa, utilizando os termostatos de parede padrão nesses cômodos, e relatar qualquer deficiência no aquecimento ou resfriamento à administração do edifício, que então providencia todos os serviços e reparos por meio da empresa especializada. O funcionário não monitora, inspeciona, lê os medidores ou avalia a caldeira ou o forno em si e não tem responsabilidade pela condição do equipamento. O funcionário não utiliza ferramentas, equipamentos ou máquinas em conexão com a caldeira ou o forno. A referência a “realizar atividades de manutenção de rotina” significa serviços gerais de limpeza, como higienização e tarefas leves não mecânicas, e não inclui trabalhos mecânicos, elétricos ou com equipamentos. Classificação da função: 37-2011.00 - Zeladores e Faxineiros, exceto empregadas domésticas e auxiliares de limpeza. A classificação e descrição da função/setor inclui informações gerais sobre o cargo, de acordo com o ONET/OES e o Sistema de Classificação Industrial da América do Norte (NAICS). Consulte as Funções e a Ordem de Serviço para obter mais informações. Requisitos da função: Experiência necessária: Não. Requisitos especiais: O funcionário deve ser capaz de levantar e carregar 23 kg. Pode haver necessidade de horas extras e trabalho aos fins de semana. Número de horas por semana: 40. Horário de trabalho (início/término): 8h às 17h.</v>
      </c>
    </row>
    <row r="2323" ht="20.25" customHeight="1">
      <c r="A2323" s="8" t="s">
        <v>10262</v>
      </c>
      <c r="B2323" s="8" t="s">
        <v>10263</v>
      </c>
      <c r="C2323" s="8" t="s">
        <v>10025</v>
      </c>
      <c r="D2323" s="8" t="s">
        <v>71</v>
      </c>
      <c r="E2323" s="9" t="s">
        <v>19</v>
      </c>
      <c r="F2323" s="9" t="s">
        <v>20</v>
      </c>
      <c r="G2323" s="9" t="s">
        <v>3284</v>
      </c>
      <c r="H2323" s="8" t="s">
        <v>10264</v>
      </c>
      <c r="I2323" s="8" t="s">
        <v>10265</v>
      </c>
      <c r="J2323" s="9">
        <v>17.3</v>
      </c>
      <c r="K2323" s="9">
        <v>6.0</v>
      </c>
      <c r="L2323" s="8" t="s">
        <v>387</v>
      </c>
      <c r="M2323" s="8" t="s">
        <v>10266</v>
      </c>
      <c r="N2323" s="7" t="str">
        <f>IFERROR(__xludf.DUMMYFUNCTION("GOOGLETRANSLATE(L2323, ""en"", ""pt"")"),"Ordem de serviço não disponível")</f>
        <v>Ordem de serviço não disponível</v>
      </c>
      <c r="O2323" s="7" t="str">
        <f>IFERROR(__xludf.DUMMYFUNCTION("IF(M2323="""","""",GOOGLETRANSLATE(M2323,""en"",""pt""))"),"Preparar, temperar, cozinhar, empratar e decorar refeições. Medir/misturar ingredientes conforme a receita para cozinhar do zero. Seguir os procedimentos adequados de controle de porções, apresentação, consistência, sabor e higiene. Observar/provar os ali"&amp;"mentos cozidos. Pode substituir/auxiliar outros cozinheiros em emergências/períodos de pico. ***F.a.5 A-H e F.a.6a e F.a.6b: mínimo de 35 horas/semana. Turnos e horários variam de segunda a domingo, das 7h às 23h. *** F.b.9a: Aumentos e/ou bônus podem ser"&amp;" oferecidos a qualquer funcionário na ocupação especificada, a critério exclusivo da empresa, com base em fatores individuais, incluindo desempenho no trabalho, habilidade ou tempo de serviço. Classificação do Cargo: 35-2014.00 - Cozinheiros, Restaurante."&amp;" A classificação e descrição do cargo/setor inclui informações gerais sobre a posição, de acordo com o ONET/OES e o Sistema de Classificação Industrial da América do Norte. Consulte as Funções e a Ordem de Serviço para obter mais informações. Requisitos d"&amp;"a vaga Experiência necessária: Não Requisitos especiais: Verificação de antecedentes pré-contratação e exame toxicológico pós-contratação, realizados igualmente para trabalhadores americanos e trabalhadores com visto H-2B. Disponibilidade para trabalhar e"&amp;"m turnos divididos, noturnos, fins de semana e feriados, conforme necessário. Capacidade de levantar, puxar, empurrar ou carregar até 11 kg ou mais, e caminhar ou ficar em pé por longos períodos. Boa apresentação pessoal e capacidade de se comunicar em in"&amp;"glês. Número de horas por semana: 35 Horário de trabalho (início/término): 7h às 23h")</f>
        <v>Preparar, temperar, cozinhar, empratar e decorar refeições. Medir/misturar ingredientes conforme a receita para cozinhar do zero. Seguir os procedimentos adequados de controle de porções, apresentação, consistência, sabor e higiene. Observar/provar os alimentos cozidos. Pode substituir/auxiliar outros cozinheiros em emergências/períodos de pico. ***F.a.5 A-H e F.a.6a e F.a.6b: mínimo de 35 horas/semana. Turnos e horários variam de segunda a domingo, das 7h às 23h. *** F.b.9a: Aumentos e/ou bônus podem ser oferecidos a qualquer funcionário na ocupação especificada, a critério exclusivo da empresa, com base em fatores individuais, incluindo desempenho no trabalho, habilidade ou tempo de serviço. Classificação do Cargo: 35-2014.00 - Cozinheiros, Restaurante. A classificação e descrição do cargo/setor inclui informações gerais sobre a posição, de acordo com o ONET/OES e o Sistema de Classificação Industrial da América do Norte. Consulte as Funções e a Ordem de Serviço para obter mais informações. Requisitos da vaga Experiência necessária: Não Requisitos especiais: Verificação de antecedentes pré-contratação e exame toxicológico pós-contratação, realizados igualmente para trabalhadores americanos e trabalhadores com visto H-2B. Disponibilidade para trabalhar em turnos divididos, noturnos, fins de semana e feriados, conforme necessário. Capacidade de levantar, puxar, empurrar ou carregar até 11 kg ou mais, e caminhar ou ficar em pé por longos períodos. Boa apresentação pessoal e capacidade de se comunicar em inglês. Número de horas por semana: 35 Horário de trabalho (início/término): 7h às 23h</v>
      </c>
    </row>
    <row r="2324" ht="20.25" customHeight="1">
      <c r="A2324" s="3" t="s">
        <v>10267</v>
      </c>
      <c r="B2324" s="3" t="s">
        <v>10263</v>
      </c>
      <c r="C2324" s="3" t="s">
        <v>10025</v>
      </c>
      <c r="D2324" s="3" t="s">
        <v>71</v>
      </c>
      <c r="E2324" s="4" t="s">
        <v>19</v>
      </c>
      <c r="F2324" s="4" t="s">
        <v>20</v>
      </c>
      <c r="G2324" s="4" t="s">
        <v>3284</v>
      </c>
      <c r="H2324" s="3" t="s">
        <v>10264</v>
      </c>
      <c r="I2324" s="3" t="s">
        <v>10265</v>
      </c>
      <c r="J2324" s="4">
        <v>18.71</v>
      </c>
      <c r="K2324" s="4">
        <v>12.0</v>
      </c>
      <c r="L2324" s="3" t="s">
        <v>1206</v>
      </c>
      <c r="M2324" s="3" t="s">
        <v>10268</v>
      </c>
      <c r="N2324" s="7" t="str">
        <f>IFERROR(__xludf.DUMMYFUNCTION("GOOGLETRANSLATE(L2324, ""en"", ""pt"")"),"Servidor")</f>
        <v>Servidor</v>
      </c>
      <c r="O2324" s="7" t="str">
        <f>IFERROR(__xludf.DUMMYFUNCTION("IF(M2324="""","""",GOOGLETRANSLATE(M2324,""en"",""pt""))"),"***Original*** Servir comida, água, refrigerantes e bebidas alcoólicas. Apresentar cardápios, anotar pedidos e repassá-los à cozinha. Realizar tarefas auxiliares, limpar mesas, transportar pratos do salão para a cozinha e manter as áreas de trabalho limpa"&amp;"s. Fornecer toalhas de mesa, talheres, copos e pratos limpos no salão. Auxiliar na montagem, limpeza, abertura e fechamento do restaurante/área de alimentos e bebidas. Pode ser necessário realizar tarefas em ambientes externos, em eventos de banquetes ou "&amp;"atender clientes em carrinho de golfe. Outras tarefas razoáveis ​​relacionadas ao trabalho, conforme necessário. ***Resposta à Solicitação de Informações (RFI)*** As tarefas de montagem, limpeza, abertura e fechamento do restaurante/área de alimentos e be"&amp;"bidas podem incluir: limpar as mesas, removendo toalhas de mesa, louças e utensílios usados; arrumar as mesas com toalhas de mesa, louças e utensílios limpos; montar e desmontar buffets. Outras tarefas razoáveis ​​relacionadas ao trabalho podem incluir: s"&amp;"ervir condimentos e café; abastecer o bar de serviço com alimentos; manter o buffet abastecido com alimentos, pratos, recipientes e utensílios. ***F.a.5 A-H e F.a.6a e F.a.6b: mínimo de 35 horas semanais. Turnos e horários variam de segunda a domingo, das"&amp;" 7h às 23h. *** F.b.9a: Aumentos e/ou bônus podem ser oferecidos a qualquer funcionário na ocupação especificada, a critério exclusivo da empresa, com base em fatores individuais, incluindo desempenho, habilidades ou tempo de serviço. Classificação da vag"&amp;"a: 35-3031.00 - Garçons e Garçonetes. A classificação e descrição da vaga/setor inclui informações gerais sobre o cargo, de acordo com o ONET/OES e o Sistema de Classificação Industrial da América do Norte (NAICS). Consulte as Funções e a Ordem de Serviço"&amp;" para obter mais informações. Requisitos da vaga: Experiência exigida: Não. Requisitos especiais: Verificação de antecedentes pré-contratação e exame toxicológico pós-contratação, realizados igualmente para funcionários americanos e funcionários com visto"&amp;" H-2B. Disponibilidade para trabalhar em turnos divididos, noturnos, fins de semana e feriados, conforme necessário. Deve ser capaz de levantar, puxar, empurrar ou carregar até 11 kg ou mais, e caminhar ou ficar em pé por longos períodos. Boa apresentação"&amp;" pessoal e capacidade de se comunicar em inglês. Número de horas por semana: 35. Horário de trabalho (início/término): 7h às 23h.")</f>
        <v>***Original*** Servir comida, água, refrigerantes e bebidas alcoólicas. Apresentar cardápios, anotar pedidos e repassá-los à cozinha. Realizar tarefas auxiliares, limpar mesas, transportar pratos do salão para a cozinha e manter as áreas de trabalho limpas. Fornecer toalhas de mesa, talheres, copos e pratos limpos no salão. Auxiliar na montagem, limpeza, abertura e fechamento do restaurante/área de alimentos e bebidas. Pode ser necessário realizar tarefas em ambientes externos, em eventos de banquetes ou atender clientes em carrinho de golfe. Outras tarefas razoáveis ​​relacionadas ao trabalho, conforme necessário. ***Resposta à Solicitação de Informações (RFI)*** As tarefas de montagem, limpeza, abertura e fechamento do restaurante/área de alimentos e bebidas podem incluir: limpar as mesas, removendo toalhas de mesa, louças e utensílios usados; arrumar as mesas com toalhas de mesa, louças e utensílios limpos; montar e desmontar buffets. Outras tarefas razoáveis ​​relacionadas ao trabalho podem incluir: servir condimentos e café; abastecer o bar de serviço com alimentos; manter o buffet abastecido com alimentos, pratos, recipientes e utensílios. ***F.a.5 A-H e F.a.6a e F.a.6b: mínimo de 35 horas semanais. Turnos e horários variam de segunda a domingo, das 7h às 23h. *** F.b.9a: Aumentos e/ou bônus podem ser oferecidos a qualquer funcionário na ocupação especificada, a critério exclusivo da empresa, com base em fatores individuais, incluindo desempenho, habilidades ou tempo de serviço. Classificação da vaga: 35-3031.00 - Garçons e Garçonetes. A classificação e descrição da vaga/setor inclui informações gerais sobre o cargo, de acordo com o ONET/OES e o Sistema de Classificação Industrial da América do Norte (NAICS). Consulte as Funções e a Ordem de Serviço para obter mais informações. Requisitos da vaga: Experiência exigida: Não. Requisitos especiais: Verificação de antecedentes pré-contratação e exame toxicológico pós-contratação, realizados igualmente para funcionários americanos e funcionários com visto H-2B. Disponibilidade para trabalhar em turnos divididos, noturnos, fins de semana e feriados, conforme necessário. Deve ser capaz de levantar, puxar, empurrar ou carregar até 11 kg ou mais, e caminhar ou ficar em pé por longos períodos. Boa apresentação pessoal e capacidade de se comunicar em inglês. Número de horas por semana: 35. Horário de trabalho (início/término): 7h às 23h.</v>
      </c>
    </row>
    <row r="2325" ht="20.25" customHeight="1">
      <c r="A2325" s="8" t="s">
        <v>10269</v>
      </c>
      <c r="B2325" s="8" t="s">
        <v>10270</v>
      </c>
      <c r="C2325" s="8" t="s">
        <v>10025</v>
      </c>
      <c r="D2325" s="8" t="s">
        <v>71</v>
      </c>
      <c r="E2325" s="9" t="s">
        <v>19</v>
      </c>
      <c r="F2325" s="9" t="s">
        <v>20</v>
      </c>
      <c r="G2325" s="9" t="s">
        <v>524</v>
      </c>
      <c r="H2325" s="8" t="s">
        <v>10271</v>
      </c>
      <c r="I2325" s="8" t="s">
        <v>10272</v>
      </c>
      <c r="J2325" s="9">
        <v>15.6</v>
      </c>
      <c r="K2325" s="9">
        <v>8.0</v>
      </c>
      <c r="L2325" s="8" t="s">
        <v>5723</v>
      </c>
      <c r="M2325" s="8" t="s">
        <v>10273</v>
      </c>
      <c r="N2325" s="7" t="str">
        <f>IFERROR(__xludf.DUMMYFUNCTION("GOOGLETRANSLATE(L2325, ""en"", ""pt"")"),"Atendente de Recreação")</f>
        <v>Atendente de Recreação</v>
      </c>
      <c r="O2325" s="7" t="str">
        <f>IFERROR(__xludf.DUMMYFUNCTION("IF(M2325="""","""",GOOGLETRANSLATE(M2325,""en"",""pt""))"),"***Original*** Prestar assistência em instalações de golfe/esportes/bem-estar, incluindo: recepcionar membros; confirmar reservas; responder a perguntas; organizar mercadorias e fornecer informações sobre as instalações; carregar/descarregar sacos de golf"&amp;"e; manusear/limpar/manter diversos equipamentos esportivos, carrinhos de golfe, bolsas, tacos e sapatos; manter a limpeza e a organização do depósito de carrinhos e áreas de espera, abastecendo-os com suprimentos, gelo, copos e coolers para bebidas para m"&amp;"embros e convidados; executar outras tarefas relacionadas, conforme atribuídas. ***Resposta à Solicitação de Informações (RFI)*** Outras tarefas relacionadas podem incluir: coletar bolas de golfe do campo de prática, lavar bolas de golfe e mantê-las pront"&amp;"as para reposição; reabastecer os bebedouros para os jogadores no campo de golfe quando necessário. ***F.a.5 A-H e F.a.6a e F.a.6b: mínimo de 35 horas/semana. Turnos e horários variam de segunda a domingo, das 6h às 19h. *** F.b.9a: Aumentos salariais e/o"&amp;"u bônus podem ser oferecidos a qualquer funcionário na ocupação especificada, a critério exclusivo da empresa, com base em fatores individuais, incluindo desempenho no trabalho, habilidades ou tempo de serviço. Classificação do Cargo: 39-3091.00 - Atenden"&amp;"tes de Parques de Diversões e Recreação. A classificação e descrição do cargo/setor inclui informações gerais sobre a posição, de acordo com o ONET/OES e o Sistema de Classificação Industrial da América do Norte (NAICS). Consulte as Funções e a Ordem de S"&amp;"erviço para obter mais informações. Requisitos do Cargo Experiência Necessária: Não. Requisitos Especiais: Exame toxicológico e verificação de antecedentes criminais pré-admissional, realizados igualmente entre os trabalhadores americanos e os trabalhador"&amp;"es com visto H-2B. Disponibilidade para trabalhar em turnos divididos, fins de semana e feriados, conforme necessário. Capacidade de levantar, puxar, empurrar ou carregar até 23 kg ou mais, e caminhar ou ficar em pé por longos períodos. Boa apresentação p"&amp;"essoal e capacidade de se comunicar em inglês. Número de Horas por Semana: 35. Horário de Trabalho (Início/Término): 6h. - 19h00")</f>
        <v>***Original*** Prestar assistência em instalações de golfe/esportes/bem-estar, incluindo: recepcionar membros; confirmar reservas; responder a perguntas; organizar mercadorias e fornecer informações sobre as instalações; carregar/descarregar sacos de golfe; manusear/limpar/manter diversos equipamentos esportivos, carrinhos de golfe, bolsas, tacos e sapatos; manter a limpeza e a organização do depósito de carrinhos e áreas de espera, abastecendo-os com suprimentos, gelo, copos e coolers para bebidas para membros e convidados; executar outras tarefas relacionadas, conforme atribuídas. ***Resposta à Solicitação de Informações (RFI)*** Outras tarefas relacionadas podem incluir: coletar bolas de golfe do campo de prática, lavar bolas de golfe e mantê-las prontas para reposição; reabastecer os bebedouros para os jogadores no campo de golfe quando necessário. ***F.a.5 A-H e F.a.6a e F.a.6b: mínimo de 35 horas/semana. Turnos e horários variam de segunda a domingo, das 6h às 19h. *** F.b.9a: Aumentos salariais e/ou bônus podem ser oferecidos a qualquer funcionário na ocupação especificada, a critério exclusivo da empresa, com base em fatores individuais, incluindo desempenho no trabalho, habilidades ou tempo de serviço. Classificação do Cargo: 39-3091.00 - Atendentes de Parques de Diversões e Recreação. A classificação e descrição do cargo/setor inclui informações gerais sobre a posição, de acordo com o ONET/OES e o Sistema de Classificação Industrial da América do Norte (NAICS). Consulte as Funções e a Ordem de Serviço para obter mais informações. Requisitos do Cargo Experiência Necessária: Não. Requisitos Especiais: Exame toxicológico e verificação de antecedentes criminais pré-admissional, realizados igualmente entre os trabalhadores americanos e os trabalhadores com visto H-2B. Disponibilidade para trabalhar em turnos divididos, fins de semana e feriados, conforme necessário. Capacidade de levantar, puxar, empurrar ou carregar até 23 kg ou mais, e caminhar ou ficar em pé por longos períodos. Boa apresentação pessoal e capacidade de se comunicar em inglês. Número de Horas por Semana: 35. Horário de Trabalho (Início/Término): 6h. - 19h00</v>
      </c>
    </row>
    <row r="2326" ht="20.25" customHeight="1">
      <c r="A2326" s="3" t="s">
        <v>10274</v>
      </c>
      <c r="B2326" s="3" t="s">
        <v>10270</v>
      </c>
      <c r="C2326" s="3" t="s">
        <v>10025</v>
      </c>
      <c r="D2326" s="3" t="s">
        <v>71</v>
      </c>
      <c r="E2326" s="4" t="s">
        <v>19</v>
      </c>
      <c r="F2326" s="4" t="s">
        <v>20</v>
      </c>
      <c r="G2326" s="4" t="s">
        <v>524</v>
      </c>
      <c r="H2326" s="3" t="s">
        <v>10271</v>
      </c>
      <c r="I2326" s="3" t="s">
        <v>10272</v>
      </c>
      <c r="J2326" s="4">
        <v>18.71</v>
      </c>
      <c r="K2326" s="4">
        <v>30.0</v>
      </c>
      <c r="L2326" s="3" t="s">
        <v>1206</v>
      </c>
      <c r="M2326" s="3" t="s">
        <v>10275</v>
      </c>
      <c r="N2326" s="7" t="str">
        <f>IFERROR(__xludf.DUMMYFUNCTION("GOOGLETRANSLATE(L2326, ""en"", ""pt"")"),"Servidor")</f>
        <v>Servidor</v>
      </c>
      <c r="O2326" s="7" t="str">
        <f>IFERROR(__xludf.DUMMYFUNCTION("IF(M2326="""","""",GOOGLETRANSLATE(M2326,""en"",""pt""))"),"***Original*** Servir comida, água, refrigerantes e bebidas alcoólicas. Apresentar cardápios, anotar pedidos e repassá-los à cozinha. Realizar tarefas auxiliares, limpar mesas, transportar pratos do salão para a cozinha e manter as áreas de trabalho limpa"&amp;"s. Fornecer toalhas de mesa, talheres, copos e pratos limpos no salão. Auxiliar na montagem, limpeza, abertura e fechamento do restaurante/área de alimentos e bebidas. Pode ser necessário realizar tarefas em ambientes externos, em eventos de banquetes ou "&amp;"atender clientes em carrinhos de golfe. Outras tarefas razoáveis ​​relacionadas ao trabalho, conforme necessário. ***Resposta à Solicitação de Informações (RFI)*** As tarefas de montagem, limpeza, abertura e fechamento do restaurante/área de alimentos e b"&amp;"ebidas podem incluir: limpar mesas, removendo toalhas de mesa, louças e utensílios usados; arrumar as mesas com toalhas de mesa, louças e utensílios limpos; montar e desmontar bufês. Outras tarefas razoáveis ​​relacionadas ao trabalho podem incluir: servi"&amp;"r condimentos e café; abastecer o bar de serviço com alimentos; Manter o buffet abastecido com alimentos, pratos, recipientes e utensílios. ***F.a.5 A-H e F.a.6a e F.a.6b: mínimo de 35 horas semanais. Turnos e horários variam de segunda a domingo, das 6h "&amp;"às 23h. *** F.b.9a: Aumentos e/ou bônus podem ser oferecidos a qualquer funcionário na ocupação especificada, a critério exclusivo da empresa, com base em fatores individuais, incluindo desempenho, habilidade ou tempo de serviço. Classificação do Cargo: 3"&amp;"5-3031.00 - Garçons e Garçonetes. A classificação e descrição do cargo/setor inclui informações gerais sobre a posição, de acordo com o ONET/OES e o Sistema de Classificação Industrial da América do Norte. Consulte as Funções e a Ordem de Serviço para obt"&amp;"er mais informações. Requisitos do Cargo: Experiência Necessária: Não. Requisitos Especiais: Exame toxicológico e verificação de antecedentes criminais pré-admissional, realizados igualmente para funcionários americanos e funcionários com visto H-2B. Disp"&amp;"onibilidade para trabalhar em turnos divididos, noturnos, fins de semana e feriados, conforme necessário. Deve ser capaz de levantar, puxar, empurrar ou carregar até 11 kg ou mais, e caminhar ou ficar em pé por longos períodos. Boa apresentação pessoal e "&amp;"capacidade de se comunicar em inglês são imprescindíveis. Número de horas por semana: 35. Horário de trabalho (início/término): 6h às 23h.")</f>
        <v>***Original*** Servir comida, água, refrigerantes e bebidas alcoólicas. Apresentar cardápios, anotar pedidos e repassá-los à cozinha. Realizar tarefas auxiliares, limpar mesas, transportar pratos do salão para a cozinha e manter as áreas de trabalho limpas. Fornecer toalhas de mesa, talheres, copos e pratos limpos no salão. Auxiliar na montagem, limpeza, abertura e fechamento do restaurante/área de alimentos e bebidas. Pode ser necessário realizar tarefas em ambientes externos, em eventos de banquetes ou atender clientes em carrinhos de golfe. Outras tarefas razoáveis ​​relacionadas ao trabalho, conforme necessário. ***Resposta à Solicitação de Informações (RFI)*** As tarefas de montagem, limpeza, abertura e fechamento do restaurante/área de alimentos e bebidas podem incluir: limpar mesas, removendo toalhas de mesa, louças e utensílios usados; arrumar as mesas com toalhas de mesa, louças e utensílios limpos; montar e desmontar bufês. Outras tarefas razoáveis ​​relacionadas ao trabalho podem incluir: servir condimentos e café; abastecer o bar de serviço com alimentos; Manter o buffet abastecido com alimentos, pratos, recipientes e utensílios. ***F.a.5 A-H e F.a.6a e F.a.6b: mínimo de 35 horas semanais. Turnos e horários variam de segunda a domingo, das 6h às 23h. *** F.b.9a: Aumentos e/ou bônus podem ser oferecidos a qualquer funcionário na ocupação especificada, a critério exclusivo da empresa, com base em fatores individuais, incluindo desempenho, habilidade ou tempo de serviço. Classificação do Cargo: 35-3031.00 - Garçons e Garçonetes. A classificação e descrição do cargo/setor inclui informações gerais sobre a posição, de acordo com o ONET/OES e o Sistema de Classificação Industrial da América do Norte. Consulte as Funções e a Ordem de Serviço para obter mais informações. Requisitos do Cargo: Experiência Necessária: Não. Requisitos Especiais: Exame toxicológico e verificação de antecedentes criminais pré-admissional, realizados igualmente para funcionários americanos e funcionários com visto H-2B. Disponibilidade para trabalhar em turnos divididos, noturnos, fins de semana e feriados, conforme necessário. Deve ser capaz de levantar, puxar, empurrar ou carregar até 11 kg ou mais, e caminhar ou ficar em pé por longos períodos. Boa apresentação pessoal e capacidade de se comunicar em inglês são imprescindíveis. Número de horas por semana: 35. Horário de trabalho (início/término): 6h às 23h.</v>
      </c>
    </row>
    <row r="2327" ht="20.25" customHeight="1">
      <c r="A2327" s="8" t="s">
        <v>10276</v>
      </c>
      <c r="B2327" s="8" t="s">
        <v>10270</v>
      </c>
      <c r="C2327" s="8" t="s">
        <v>10025</v>
      </c>
      <c r="D2327" s="8" t="s">
        <v>71</v>
      </c>
      <c r="E2327" s="9" t="s">
        <v>44</v>
      </c>
      <c r="F2327" s="9" t="s">
        <v>20</v>
      </c>
      <c r="G2327" s="9" t="s">
        <v>524</v>
      </c>
      <c r="H2327" s="8" t="s">
        <v>10271</v>
      </c>
      <c r="I2327" s="8" t="s">
        <v>10272</v>
      </c>
      <c r="J2327" s="9">
        <v>17.3</v>
      </c>
      <c r="K2327" s="9">
        <v>12.0</v>
      </c>
      <c r="L2327" s="8" t="s">
        <v>387</v>
      </c>
      <c r="M2327" s="8" t="s">
        <v>10277</v>
      </c>
      <c r="N2327" s="7" t="str">
        <f>IFERROR(__xludf.DUMMYFUNCTION("GOOGLETRANSLATE(L2327, ""en"", ""pt"")"),"Ordem de serviço não disponível")</f>
        <v>Ordem de serviço não disponível</v>
      </c>
      <c r="O2327" s="7" t="str">
        <f>IFERROR(__xludf.DUMMYFUNCTION("IF(M2327="""","""",GOOGLETRANSLATE(M2327,""en"",""pt""))"),"Preparar, temperar, cozinhar, empratar e decorar refeições. Medir/misturar ingredientes conforme a receita para cozinhar do zero. Seguir os procedimentos de controle de porções, apresentação, consistência, sabor e higiene adequados. Observar/provar os ali"&amp;"mentos preparados. Pode substituir/auxiliar outros cozinheiros em emergências/períodos de pico. ***F.a.5 A-H e F.a.6a e F.a.6b: mínimo de 35 horas/semana. Turnos e horários variam de segunda a domingo, das 6h às 23h. *** F.b.9a: Aumentos e/ou bônus podem "&amp;"ser oferecidos a qualquer funcionário na ocupação especificada, a critério exclusivo da empresa, com base em fatores individuais, incluindo desempenho no trabalho, habilidade ou tempo de serviço. Classificação do Cargo: 35-2014.00 - Cozinheiros, Restauran"&amp;"te. A classificação e descrição do cargo/setor inclui informações gerais sobre a posição, de acordo com o ONET/OES e o Sistema de Classificação Industrial da América do Norte. Consulte as Funções e a Ordem de Serviço para obter mais informações. Requisito"&amp;"s da vaga Experiência necessária: Não Requisitos especiais: Exame toxicológico e verificação de antecedentes criminais pré-admissional, realizados igualmente para trabalhadores americanos e trabalhadores com visto H-2B. Disponibilidade para trabalhar em t"&amp;"urnos divididos, noturnos, fins de semana e feriados, conforme necessário. Capacidade de levantar, puxar, empurrar ou carregar até 11 kg ou mais, e caminhar ou ficar em pé por longos períodos. Boa apresentação pessoal e capacidade de se comunicar em inglê"&amp;"s. Número de horas por semana: 35 Horário de trabalho (início/término): 6h às 23h")</f>
        <v>Preparar, temperar, cozinhar, empratar e decorar refeições. Medir/misturar ingredientes conforme a receita para cozinhar do zero. Seguir os procedimentos de controle de porções, apresentação, consistência, sabor e higiene adequados. Observar/provar os alimentos preparados. Pode substituir/auxiliar outros cozinheiros em emergências/períodos de pico. ***F.a.5 A-H e F.a.6a e F.a.6b: mínimo de 35 horas/semana. Turnos e horários variam de segunda a domingo, das 6h às 23h. *** F.b.9a: Aumentos e/ou bônus podem ser oferecidos a qualquer funcionário na ocupação especificada, a critério exclusivo da empresa, com base em fatores individuais, incluindo desempenho no trabalho, habilidade ou tempo de serviço. Classificação do Cargo: 35-2014.00 - Cozinheiros, Restaurante. A classificação e descrição do cargo/setor inclui informações gerais sobre a posição, de acordo com o ONET/OES e o Sistema de Classificação Industrial da América do Norte. Consulte as Funções e a Ordem de Serviço para obter mais informações. Requisitos da vaga Experiência necessária: Não Requisitos especiais: Exame toxicológico e verificação de antecedentes criminais pré-admissional, realizados igualmente para trabalhadores americanos e trabalhadores com visto H-2B. Disponibilidade para trabalhar em turnos divididos, noturnos, fins de semana e feriados, conforme necessário. Capacidade de levantar, puxar, empurrar ou carregar até 11 kg ou mais, e caminhar ou ficar em pé por longos períodos. Boa apresentação pessoal e capacidade de se comunicar em inglês. Número de horas por semana: 35 Horário de trabalho (início/término): 6h às 23h</v>
      </c>
    </row>
    <row r="2328" ht="20.25" customHeight="1">
      <c r="A2328" s="3" t="s">
        <v>10278</v>
      </c>
      <c r="B2328" s="3" t="s">
        <v>10279</v>
      </c>
      <c r="C2328" s="3" t="s">
        <v>10025</v>
      </c>
      <c r="D2328" s="3" t="s">
        <v>71</v>
      </c>
      <c r="E2328" s="4" t="s">
        <v>19</v>
      </c>
      <c r="F2328" s="4" t="s">
        <v>20</v>
      </c>
      <c r="G2328" s="4" t="s">
        <v>3284</v>
      </c>
      <c r="H2328" s="3" t="s">
        <v>10280</v>
      </c>
      <c r="I2328" s="3" t="s">
        <v>10281</v>
      </c>
      <c r="J2328" s="4">
        <v>17.3</v>
      </c>
      <c r="K2328" s="4">
        <v>8.0</v>
      </c>
      <c r="L2328" s="3" t="s">
        <v>387</v>
      </c>
      <c r="M2328" s="3" t="s">
        <v>10282</v>
      </c>
      <c r="N2328" s="7" t="str">
        <f>IFERROR(__xludf.DUMMYFUNCTION("GOOGLETRANSLATE(L2328, ""en"", ""pt"")"),"Ordem de serviço não disponível")</f>
        <v>Ordem de serviço não disponível</v>
      </c>
      <c r="O2328" s="7" t="str">
        <f>IFERROR(__xludf.DUMMYFUNCTION("IF(M2328="""","""",GOOGLETRANSLATE(M2328,""en"",""pt""))"),"Preparar, temperar, cozinhar, empratar e decorar refeições. Medir/misturar ingredientes conforme a receita para cozinhar do zero. Seguir os procedimentos de controle de porções, apresentação, consistência, sabor e higiene adequados. Observar/provar os ali"&amp;"mentos cozidos. Pode substituir/auxiliar outros cozinheiros em emergências/períodos de pico. ***F.a.5 A-H e F.a.6a e F.a.6b: mínimo de 35 horas/semana. Turnos e horários variam de segunda a domingo, das 7h às 23h. *** F.b.9a: Aumentos e/ou bônus podem ser"&amp;" oferecidos a qualquer funcionário na ocupação especificada, a critério exclusivo da empresa, com base em fatores individuais, incluindo desempenho no trabalho, habilidade ou tempo de serviço. Classificação do Cargo: 35-2014.00 - Cozinheiros, Restaurante."&amp;" A classificação e descrição do cargo/setor inclui informações gerais sobre a posição, de acordo com o ONET/OES e o Sistema de Classificação Industrial da América do Norte. Consulte as Funções e a Ordem de Serviço para obter mais informações. Requisitos d"&amp;"a vaga Experiência necessária: Não Requisitos especiais: Exame toxicológico e verificação de antecedentes criminais pré-admissional, realizados igualmente para trabalhadores americanos e trabalhadores com visto H-2B. Disponibilidade para trabalhar em turn"&amp;"os divididos, noturnos, fins de semana e feriados, conforme necessário. Capacidade de levantar, puxar, empurrar ou carregar até 11 kg ou mais, e caminhar ou ficar em pé por longos períodos. Boa apresentação pessoal e capacidade de se comunicar em inglês. "&amp;"Número de horas por semana: 35 Horário de trabalho (início/término): 7h às 23h")</f>
        <v>Preparar, temperar, cozinhar, empratar e decorar refeições. Medir/misturar ingredientes conforme a receita para cozinhar do zero. Seguir os procedimentos de controle de porções, apresentação, consistência, sabor e higiene adequados. Observar/provar os alimentos cozidos. Pode substituir/auxiliar outros cozinheiros em emergências/períodos de pico. ***F.a.5 A-H e F.a.6a e F.a.6b: mínimo de 35 horas/semana. Turnos e horários variam de segunda a domingo, das 7h às 23h. *** F.b.9a: Aumentos e/ou bônus podem ser oferecidos a qualquer funcionário na ocupação especificada, a critério exclusivo da empresa, com base em fatores individuais, incluindo desempenho no trabalho, habilidade ou tempo de serviço. Classificação do Cargo: 35-2014.00 - Cozinheiros, Restaurante. A classificação e descrição do cargo/setor inclui informações gerais sobre a posição, de acordo com o ONET/OES e o Sistema de Classificação Industrial da América do Norte. Consulte as Funções e a Ordem de Serviço para obter mais informações. Requisitos da vaga Experiência necessária: Não Requisitos especiais: Exame toxicológico e verificação de antecedentes criminais pré-admissional, realizados igualmente para trabalhadores americanos e trabalhadores com visto H-2B. Disponibilidade para trabalhar em turnos divididos, noturnos, fins de semana e feriados, conforme necessário. Capacidade de levantar, puxar, empurrar ou carregar até 11 kg ou mais, e caminhar ou ficar em pé por longos períodos. Boa apresentação pessoal e capacidade de se comunicar em inglês. Número de horas por semana: 35 Horário de trabalho (início/término): 7h às 23h</v>
      </c>
    </row>
    <row r="2329" ht="20.25" customHeight="1">
      <c r="A2329" s="8" t="s">
        <v>10283</v>
      </c>
      <c r="B2329" s="8" t="s">
        <v>10279</v>
      </c>
      <c r="C2329" s="8" t="s">
        <v>10025</v>
      </c>
      <c r="D2329" s="8" t="s">
        <v>71</v>
      </c>
      <c r="E2329" s="9" t="s">
        <v>19</v>
      </c>
      <c r="F2329" s="9" t="s">
        <v>20</v>
      </c>
      <c r="G2329" s="9" t="s">
        <v>3284</v>
      </c>
      <c r="H2329" s="8" t="s">
        <v>10280</v>
      </c>
      <c r="I2329" s="8" t="s">
        <v>10281</v>
      </c>
      <c r="J2329" s="9">
        <v>16.01</v>
      </c>
      <c r="K2329" s="9">
        <v>3.0</v>
      </c>
      <c r="L2329" s="8" t="s">
        <v>354</v>
      </c>
      <c r="M2329" s="8" t="s">
        <v>10284</v>
      </c>
      <c r="N2329" s="7" t="str">
        <f>IFERROR(__xludf.DUMMYFUNCTION("GOOGLETRANSLATE(L2329, ""en"", ""pt"")"),"Governanta")</f>
        <v>Governanta</v>
      </c>
      <c r="O2329" s="7" t="str">
        <f>IFERROR(__xludf.DUMMYFUNCTION("IF(M2329="""","""",GOOGLETRANSLATE(M2329,""en"",""pt""))"),"Limpar e manter os quartos de hóspedes, áreas comuns, banheiros e vestiários do clube, incluindo: tirar o pó e limpar os móveis; varrer, passar pano levemente e aspirar o chão; esfregar e desinfetar os banheiros; manusear roupas de cama e arrumar as camas"&amp;"; repor suprimentos, roupas de cama e toalhas; mover móveis, pendurar cortinas e enrolar tapetes; e ocasionalmente remover o lixo. ***F.a.5 A-H &amp; F.a.6a &amp; F.a.6b: mínimo de 35 horas semanais. Turnos e horários variam de segunda a domingo, das 7h às 23h. *"&amp;"** F.b.9a: Aumentos e/ou bônus podem ser oferecidos a qualquer funcionário na ocupação especificada, a critério exclusivo da empresa, com base em fatores individuais, incluindo desempenho no trabalho, habilidade ou tempo de serviço. Classificação do Cargo"&amp;": 37-2012.00 - Camareiras e Auxiliares de Limpeza. A classificação e descrição do cargo/setor inclui informações gerais sobre a posição, de acordo com o ONET/OES e o Sistema de Classificação Industrial da América do Norte. Consulte as Funções e a Ordem de"&amp;" Serviço para obter mais informações. Requisitos da vaga Experiência necessária: Não Requisitos especiais: Exame toxicológico e verificação de antecedentes criminais pré-admissional, realizados igualmente para trabalhadores americanos e trabalhadores com "&amp;"visto H-2B. Disponibilidade para trabalhar em turnos divididos, noturnos, fins de semana e feriados, conforme necessário. Capacidade de levantar, puxar, empurrar ou carregar até 11 kg ou mais, e caminhar ou ficar em pé por longos períodos. Boa apresentaçã"&amp;"o pessoal e capacidade de se comunicar em inglês. Número de horas por semana: 35 Horário de trabalho (início/término): 7h às 23h")</f>
        <v>Limpar e manter os quartos de hóspedes, áreas comuns, banheiros e vestiários do clube, incluindo: tirar o pó e limpar os móveis; varrer, passar pano levemente e aspirar o chão; esfregar e desinfetar os banheiros; manusear roupas de cama e arrumar as camas; repor suprimentos, roupas de cama e toalhas; mover móveis, pendurar cortinas e enrolar tapetes; e ocasionalmente remover o lixo. ***F.a.5 A-H &amp; F.a.6a &amp; F.a.6b: mínimo de 35 horas semanais. Turnos e horários variam de segunda a domingo, das 7h às 23h. *** F.b.9a: Aumentos e/ou bônus podem ser oferecidos a qualquer funcionário na ocupação especificada, a critério exclusivo da empresa, com base em fatores individuais, incluindo desempenho no trabalho, habilidade ou tempo de serviço. Classificação do Cargo: 37-2012.00 - Camareiras e Auxiliares de Limpeza. A classificação e descrição do cargo/setor inclui informações gerais sobre a posição, de acordo com o ONET/OES e o Sistema de Classificação Industrial da América do Norte. Consulte as Funções e a Ordem de Serviço para obter mais informações. Requisitos da vaga Experiência necessária: Não Requisitos especiais: Exame toxicológico e verificação de antecedentes criminais pré-admissional, realizados igualmente para trabalhadores americanos e trabalhadores com visto H-2B. Disponibilidade para trabalhar em turnos divididos, noturnos, fins de semana e feriados, conforme necessário. Capacidade de levantar, puxar, empurrar ou carregar até 11 kg ou mais, e caminhar ou ficar em pé por longos períodos. Boa apresentação pessoal e capacidade de se comunicar em inglês. Número de horas por semana: 35 Horário de trabalho (início/término): 7h às 23h</v>
      </c>
    </row>
    <row r="2330" ht="20.25" customHeight="1">
      <c r="A2330" s="3" t="s">
        <v>10285</v>
      </c>
      <c r="B2330" s="3" t="s">
        <v>10279</v>
      </c>
      <c r="C2330" s="3" t="s">
        <v>10025</v>
      </c>
      <c r="D2330" s="3" t="s">
        <v>71</v>
      </c>
      <c r="E2330" s="4" t="s">
        <v>19</v>
      </c>
      <c r="F2330" s="4" t="s">
        <v>20</v>
      </c>
      <c r="G2330" s="4" t="s">
        <v>3284</v>
      </c>
      <c r="H2330" s="3" t="s">
        <v>10280</v>
      </c>
      <c r="I2330" s="3" t="s">
        <v>10281</v>
      </c>
      <c r="J2330" s="4">
        <v>18.71</v>
      </c>
      <c r="K2330" s="4">
        <v>13.0</v>
      </c>
      <c r="L2330" s="3" t="s">
        <v>1206</v>
      </c>
      <c r="M2330" s="3" t="s">
        <v>10286</v>
      </c>
      <c r="N2330" s="7" t="str">
        <f>IFERROR(__xludf.DUMMYFUNCTION("GOOGLETRANSLATE(L2330, ""en"", ""pt"")"),"Servidor")</f>
        <v>Servidor</v>
      </c>
      <c r="O2330" s="7" t="str">
        <f>IFERROR(__xludf.DUMMYFUNCTION("IF(M2330="""","""",GOOGLETRANSLATE(M2330,""en"",""pt""))"),"***Original*** Servir comida, água, refrigerantes e bebidas alcoólicas. Apresentar cardápios, anotar pedidos e repassá-los à cozinha. Realizar tarefas auxiliares, limpar mesas, transportar pratos do salão para a cozinha e manter as áreas de trabalho limpa"&amp;"s. Fornecer toalhas de mesa, talheres, copos e pratos limpos no salão. Auxiliar na montagem, limpeza, abertura e fechamento do restaurante/área de alimentos e bebidas. Pode ser necessário realizar tarefas em ambientes externos, em eventos de banquetes ou "&amp;"atender clientes em carrinho de golfe. Pode executar outras tarefas razoáveis ​​relacionadas ao trabalho, conforme necessário. ***Resposta à Solicitação de Informações (RFI)*** As tarefas de montagem, limpeza, abertura e fechamento do restaurante/área de "&amp;"alimentos e bebidas podem incluir: limpar as mesas, removendo toalhas de mesa, louças e utensílios usados; arrumar as mesas com toalhas de mesa, louças e utensílios limpos; montar e desmontar buffets. Tarefas razoáveis ​​relacionadas ao trabalho podem inc"&amp;"luir: servir condimentos e café; abastecer o bar de serviço com alimentos; manter o buffet abastecido com alimentos, pratos, recipientes e utensílios. ***F.a.5 A-H e F.a.6a e F.a.6b: mínimo de 35 horas semanais. Turnos e horários variam de segunda a domin"&amp;"go, das 7h às 23h. *** F.b.9a: Aumentos e/ou bônus podem ser oferecidos a qualquer funcionário na ocupação especificada, a critério exclusivo da empresa, com base em fatores individuais, incluindo desempenho, habilidades ou tempo de serviço. Classificação"&amp;" da vaga: 35-3031.00 - Garçons e Garçonetes. A classificação e descrição da vaga/setor inclui informações gerais sobre o cargo, de acordo com o ONET/OES e o Sistema de Classificação Industrial da América do Norte (NAICS). Consulte as Funções e a Ordem de "&amp;"Serviço para obter mais informações. Requisitos da vaga: Experiência exigida: Não. Requisitos especiais: Exame toxicológico e verificação de antecedentes criminais pré-admissional, realizados igualmente para funcionários americanos e funcionários com vist"&amp;"o H-2B. Disponibilidade para trabalhar em turnos divididos, noturnos, fins de semana e feriados, conforme necessário. Deve ser capaz de levantar, puxar, empurrar ou carregar até 11 kg ou mais, e caminhar ou ficar em pé por longos períodos. Boa apresentaçã"&amp;"o pessoal e capacidade de se comunicar em inglês. Número de horas por semana: 35. Horário de trabalho (início/término): 7h às 23h.")</f>
        <v>***Original*** Servir comida, água, refrigerantes e bebidas alcoólicas. Apresentar cardápios, anotar pedidos e repassá-los à cozinha. Realizar tarefas auxiliares, limpar mesas, transportar pratos do salão para a cozinha e manter as áreas de trabalho limpas. Fornecer toalhas de mesa, talheres, copos e pratos limpos no salão. Auxiliar na montagem, limpeza, abertura e fechamento do restaurante/área de alimentos e bebidas. Pode ser necessário realizar tarefas em ambientes externos, em eventos de banquetes ou atender clientes em carrinho de golfe. Pode executar outras tarefas razoáveis ​​relacionadas ao trabalho, conforme necessário. ***Resposta à Solicitação de Informações (RFI)*** As tarefas de montagem, limpeza, abertura e fechamento do restaurante/área de alimentos e bebidas podem incluir: limpar as mesas, removendo toalhas de mesa, louças e utensílios usados; arrumar as mesas com toalhas de mesa, louças e utensílios limpos; montar e desmontar buffets. Tarefas razoáveis ​​relacionadas ao trabalho podem incluir: servir condimentos e café; abastecer o bar de serviço com alimentos; manter o buffet abastecido com alimentos, pratos, recipientes e utensílios. ***F.a.5 A-H e F.a.6a e F.a.6b: mínimo de 35 horas semanais. Turnos e horários variam de segunda a domingo, das 7h às 23h. *** F.b.9a: Aumentos e/ou bônus podem ser oferecidos a qualquer funcionário na ocupação especificada, a critério exclusivo da empresa, com base em fatores individuais, incluindo desempenho, habilidades ou tempo de serviço. Classificação da vaga: 35-3031.00 - Garçons e Garçonetes. A classificação e descrição da vaga/setor inclui informações gerais sobre o cargo, de acordo com o ONET/OES e o Sistema de Classificação Industrial da América do Norte (NAICS). Consulte as Funções e a Ordem de Serviço para obter mais informações. Requisitos da vaga: Experiência exigida: Não. Requisitos especiais: Exame toxicológico e verificação de antecedentes criminais pré-admissional, realizados igualmente para funcionários americanos e funcionários com visto H-2B. Disponibilidade para trabalhar em turnos divididos, noturnos, fins de semana e feriados, conforme necessário. Deve ser capaz de levantar, puxar, empurrar ou carregar até 11 kg ou mais, e caminhar ou ficar em pé por longos períodos. Boa apresentação pessoal e capacidade de se comunicar em inglês. Número de horas por semana: 35. Horário de trabalho (início/término): 7h às 23h.</v>
      </c>
    </row>
    <row r="2331" ht="20.25" customHeight="1">
      <c r="A2331" s="8" t="s">
        <v>10287</v>
      </c>
      <c r="B2331" s="8" t="s">
        <v>10279</v>
      </c>
      <c r="C2331" s="8" t="s">
        <v>10025</v>
      </c>
      <c r="D2331" s="8" t="s">
        <v>71</v>
      </c>
      <c r="E2331" s="9" t="s">
        <v>44</v>
      </c>
      <c r="F2331" s="9" t="s">
        <v>20</v>
      </c>
      <c r="G2331" s="9" t="s">
        <v>3284</v>
      </c>
      <c r="H2331" s="8" t="s">
        <v>10280</v>
      </c>
      <c r="I2331" s="8" t="s">
        <v>10281</v>
      </c>
      <c r="J2331" s="9">
        <v>16.82</v>
      </c>
      <c r="K2331" s="9">
        <v>1.0</v>
      </c>
      <c r="L2331" s="8" t="s">
        <v>7439</v>
      </c>
      <c r="M2331" s="8" t="s">
        <v>10288</v>
      </c>
      <c r="N2331" s="7" t="str">
        <f>IFERROR(__xludf.DUMMYFUNCTION("GOOGLETRANSLATE(L2331, ""en"", ""pt"")"),"Atendente de recepção")</f>
        <v>Atendente de recepção</v>
      </c>
      <c r="O2331" s="7" t="str">
        <f>IFERROR(__xludf.DUMMYFUNCTION("IF(M2331="""","""",GOOGLETRANSLATE(M2331,""en"",""pt""))"),"Recepcionar sócios e convidados; operar telefones seguindo a etiqueta telefônica adequada; responder a perguntas/fornecer informações, transmitir/receber mensagens; fazer/confirmar reservas; distribuir informações e horários do Clube, coletar/separar a co"&amp;"rrespondência. ***F.a.5 A-H e F.a.6a e F.a.6b: mínimo de 35 horas/semana. Turnos e horários variam de segunda a domingo, das 7h às 23h. *** F.b.9a: Aumentos e/ou bônus podem ser oferecidos a qualquer funcionário na ocupação especificada, a critério exclus"&amp;"ivo da empresa, com base em fatores individuais, incluindo desempenho no trabalho, habilidade ou tempo de serviço. Classificação do Cargo: 43-4081.00 - Recepcionistas de Hotel, Motel e Resort. A classificação e descrição do cargo/setor inclui informações "&amp;"gerais sobre a posição, de acordo com o ONET/OES e o Sistema de Classificação Industrial da América do Norte. Consulte as Funções e a Ordem de Serviço para obter mais informações. Requisitos da vaga Experiência necessária: Não Requisitos especiais: Exame "&amp;"toxicológico e verificação de antecedentes criminais pré-admissional, realizados igualmente para trabalhadores americanos e trabalhadores com visto H-2B. Disponibilidade para trabalhar em turnos divididos, noturnos, fins de semana e feriados, conforme nec"&amp;"essário. Capacidade de levantar, puxar, empurrar ou carregar até 11 kg ou mais, e caminhar ou ficar em pé por longos períodos. Boa apresentação pessoal e capacidade de se comunicar em inglês. Número de horas por semana: 35 Horário de trabalho (início/térm"&amp;"ino): 7h às 23h")</f>
        <v>Recepcionar sócios e convidados; operar telefones seguindo a etiqueta telefônica adequada; responder a perguntas/fornecer informações, transmitir/receber mensagens; fazer/confirmar reservas; distribuir informações e horários do Clube, coletar/separar a correspondência. ***F.a.5 A-H e F.a.6a e F.a.6b: mínimo de 35 horas/semana. Turnos e horários variam de segunda a domingo, das 7h às 23h. *** F.b.9a: Aumentos e/ou bônus podem ser oferecidos a qualquer funcionário na ocupação especificada, a critério exclusivo da empresa, com base em fatores individuais, incluindo desempenho no trabalho, habilidade ou tempo de serviço. Classificação do Cargo: 43-4081.00 - Recepcionistas de Hotel, Motel e Resort. A classificação e descrição do cargo/setor inclui informações gerais sobre a posição, de acordo com o ONET/OES e o Sistema de Classificação Industrial da América do Norte. Consulte as Funções e a Ordem de Serviço para obter mais informações. Requisitos da vaga Experiência necessária: Não Requisitos especiais: Exame toxicológico e verificação de antecedentes criminais pré-admissional, realizados igualmente para trabalhadores americanos e trabalhadores com visto H-2B. Disponibilidade para trabalhar em turnos divididos, noturnos, fins de semana e feriados, conforme necessário. Capacidade de levantar, puxar, empurrar ou carregar até 11 kg ou mais, e caminhar ou ficar em pé por longos períodos. Boa apresentação pessoal e capacidade de se comunicar em inglês. Número de horas por semana: 35 Horário de trabalho (início/término): 7h às 23h</v>
      </c>
    </row>
    <row r="2332" ht="20.25" customHeight="1">
      <c r="A2332" s="3" t="s">
        <v>10289</v>
      </c>
      <c r="B2332" s="3" t="s">
        <v>10290</v>
      </c>
      <c r="C2332" s="3" t="s">
        <v>10025</v>
      </c>
      <c r="D2332" s="3" t="s">
        <v>71</v>
      </c>
      <c r="E2332" s="4" t="s">
        <v>19</v>
      </c>
      <c r="F2332" s="4" t="s">
        <v>20</v>
      </c>
      <c r="G2332" s="4" t="s">
        <v>524</v>
      </c>
      <c r="H2332" s="3" t="s">
        <v>10291</v>
      </c>
      <c r="I2332" s="3" t="s">
        <v>10292</v>
      </c>
      <c r="J2332" s="4">
        <v>19.51</v>
      </c>
      <c r="K2332" s="4">
        <v>5.0</v>
      </c>
      <c r="L2332" s="3" t="s">
        <v>1684</v>
      </c>
      <c r="M2332" s="3" t="s">
        <v>10293</v>
      </c>
      <c r="N2332" s="7" t="str">
        <f>IFERROR(__xludf.DUMMYFUNCTION("GOOGLETRANSLATE(L2332, ""en"", ""pt"")"),"Barman")</f>
        <v>Barman</v>
      </c>
      <c r="O2332" s="7" t="str">
        <f>IFERROR(__xludf.DUMMYFUNCTION("IF(M2332="""","""",GOOGLETRANSLATE(M2332,""en"",""pt""))"),"***Original*** Anotar pedidos de bebidas. Preparar e servir drinks. Limpar copos e equipamentos do bar. Manter a área do bar limpa e abastecida. Pode ser necessário anotar e servir pedidos de comida. Solicitar e exibir bebidas alcoólicas e suprimentos. Po"&amp;"de executar outras tarefas razoáveis ​​relacionadas ao trabalho, conforme necessário. ***Resposta à RFI*** Ocasionalmente, os membros podem preferir uma refeição rápida enquanto estão sentados no bar. Nesses casos, pode ser necessário anotar o pedido de c"&amp;"omida e, em seguida, servir lanches e outros itens alimentícios. Outras tarefas razoáveis ​​relacionadas ao trabalho podem incluir: Repor o bar com cerveja, vinho, bebidas alcoólicas e suprimentos relacionados, como gelo, copos, guardanapos ou canudos. Co"&amp;"rtar e retirar caroços de frutas para decorar bebidas. Organizar garrafas e copos para criar apresentações atraentes. ***F.a.5 A-H e F.a.6a e F.a.6b 35 horas/semana no mínimo. Turnos e horários variam de segunda a domingo, das 7h às 0h. *** F.b.9a: Aument"&amp;"os e/ou bônus podem ser oferecidos a qualquer funcionário na ocupação especificada, a critério exclusivo da empresa, com base em fatores individuais, incluindo desempenho, habilidades ou tempo de serviço. Classificação do Cargo: 35-3011.00 - Bartenders. A"&amp;" classificação e descrição do cargo/setor incluem informações gerais sobre a posição, de acordo com o ONET/OES e o Sistema de Classificação Industrial da América do Norte (NAICS). Consulte as Funções e a Ordem de Serviço para obter mais informações. Requi"&amp;"sitos do Cargo: Experiência Necessária: Não. Requisitos Especiais: Exame toxicológico e verificação de antecedentes criminais pré-admissional, realizados igualmente para funcionários americanos e trabalhadores com visto H-2B. Disponibilidade para trabalha"&amp;"r em turnos divididos, noturnos, fins de semana e feriados, conforme necessário. Capacidade de levantar, puxar, empurrar ou carregar até 11 kg ou mais e caminhar ou ficar em pé por longos períodos. Boa apresentação pessoal e capacidade de se comunicar em "&amp;"inglês. Número de horas por semana: 35 Horário de trabalho (início/término): 7h00 - 0h00")</f>
        <v>***Original*** Anotar pedidos de bebidas. Preparar e servir drinks. Limpar copos e equipamentos do bar. Manter a área do bar limpa e abastecida. Pode ser necessário anotar e servir pedidos de comida. Solicitar e exibir bebidas alcoólicas e suprimentos. Pode executar outras tarefas razoáveis ​​relacionadas ao trabalho, conforme necessário. ***Resposta à RFI*** Ocasionalmente, os membros podem preferir uma refeição rápida enquanto estão sentados no bar. Nesses casos, pode ser necessário anotar o pedido de comida e, em seguida, servir lanches e outros itens alimentícios. Outras tarefas razoáveis ​​relacionadas ao trabalho podem incluir: Repor o bar com cerveja, vinho, bebidas alcoólicas e suprimentos relacionados, como gelo, copos, guardanapos ou canudos. Cortar e retirar caroços de frutas para decorar bebidas. Organizar garrafas e copos para criar apresentações atraentes. ***F.a.5 A-H e F.a.6a e F.a.6b 35 horas/semana no mínimo. Turnos e horários variam de segunda a domingo, das 7h às 0h. *** F.b.9a: Aumentos e/ou bônus podem ser oferecidos a qualquer funcionário na ocupação especificada, a critério exclusivo da empresa, com base em fatores individuais, incluindo desempenho, habilidades ou tempo de serviço. Classificação do Cargo: 35-3011.00 - Bartenders. A classificação e descrição do cargo/setor incluem informações gerais sobre a posição, de acordo com o ONET/OES e o Sistema de Classificação Industrial da América do Norte (NAICS). Consulte as Funções e a Ordem de Serviço para obter mais informações. Requisitos do Cargo: Experiência Necessária: Não. Requisitos Especiais: Exame toxicológico e verificação de antecedentes criminais pré-admissional, realizados igualmente para funcionários americanos e trabalhadores com visto H-2B. Disponibilidade para trabalhar em turnos divididos, noturnos, fins de semana e feriados, conforme necessário. Capacidade de levantar, puxar, empurrar ou carregar até 11 kg ou mais e caminhar ou ficar em pé por longos períodos. Boa apresentação pessoal e capacidade de se comunicar em inglês. Número de horas por semana: 35 Horário de trabalho (início/término): 7h00 - 0h00</v>
      </c>
    </row>
    <row r="2333" ht="20.25" customHeight="1">
      <c r="A2333" s="8" t="s">
        <v>10294</v>
      </c>
      <c r="B2333" s="8" t="s">
        <v>10290</v>
      </c>
      <c r="C2333" s="8" t="s">
        <v>10025</v>
      </c>
      <c r="D2333" s="8" t="s">
        <v>71</v>
      </c>
      <c r="E2333" s="9" t="s">
        <v>19</v>
      </c>
      <c r="F2333" s="9" t="s">
        <v>20</v>
      </c>
      <c r="G2333" s="9" t="s">
        <v>524</v>
      </c>
      <c r="H2333" s="8" t="s">
        <v>10291</v>
      </c>
      <c r="I2333" s="8" t="s">
        <v>10292</v>
      </c>
      <c r="J2333" s="9">
        <v>17.3</v>
      </c>
      <c r="K2333" s="9">
        <v>27.0</v>
      </c>
      <c r="L2333" s="8" t="s">
        <v>387</v>
      </c>
      <c r="M2333" s="8" t="s">
        <v>10228</v>
      </c>
      <c r="N2333" s="7" t="str">
        <f>IFERROR(__xludf.DUMMYFUNCTION("GOOGLETRANSLATE(L2333, ""en"", ""pt"")"),"Ordem de serviço não disponível")</f>
        <v>Ordem de serviço não disponível</v>
      </c>
      <c r="O2333" s="7" t="str">
        <f>IFERROR(__xludf.DUMMYFUNCTION("IF(M2333="""","""",GOOGLETRANSLATE(M2333,""en"",""pt""))"),"Preparar, temperar, cozinhar, empratar e decorar refeições. Medir/misturar ingredientes conforme a receita para cozinhar do zero. Seguir os procedimentos adequados de controle de porções, apresentação, consistência, sabor e higiene. Observar/provar os ali"&amp;"mentos cozidos. Pode substituir/auxiliar outros cozinheiros em emergências/períodos de pico. ***F.a.5 A-H e F.a.6a e F.a.6b: mínimo de 35 horas/semana. Turnos e horários variam de segunda a domingo, das 7h às 0h. *** F.b.9a: Aumentos e/ou bônus podem ser "&amp;"oferecidos a qualquer funcionário na ocupação especificada, a critério exclusivo da empresa, com base em fatores individuais, incluindo desempenho no trabalho, habilidade ou tempo de serviço. Classificação do Cargo: 35-2014.00 - Cozinheiros, Restaurante. "&amp;"A classificação e descrição do cargo/setor inclui informações gerais sobre a posição, de acordo com o ONET/OES e o Sistema de Classificação Industrial da América do Norte. Consulte as Funções e a Ordem de Serviço para obter mais informações. Requisitos da"&amp;" vaga Experiência necessária: Não Requisitos especiais: Exame toxicológico e verificação de antecedentes criminais pré-admissional, realizados igualmente para trabalhadores americanos e trabalhadores com visto H-2B. Disponibilidade para trabalhar em turno"&amp;"s divididos, noturnos, fins de semana e feriados, conforme necessário. Capacidade de levantar, puxar, empurrar ou carregar até 11 kg ou mais, e caminhar ou ficar em pé por longos períodos. Boa apresentação pessoal e capacidade de se comunicar em inglês. N"&amp;"úmero de horas por semana: 35 Horário de trabalho (início/término): 7h às 0h")</f>
        <v>Preparar, temperar, cozinhar, empratar e decorar refeições. Medir/misturar ingredientes conforme a receita para cozinhar do zero. Seguir os procedimentos adequados de controle de porções, apresentação, consistência, sabor e higiene. Observar/provar os alimentos cozidos. Pode substituir/auxiliar outros cozinheiros em emergências/períodos de pico. ***F.a.5 A-H e F.a.6a e F.a.6b: mínimo de 35 horas/semana. Turnos e horários variam de segunda a domingo, das 7h às 0h. *** F.b.9a: Aumentos e/ou bônus podem ser oferecidos a qualquer funcionário na ocupação especificada, a critério exclusivo da empresa, com base em fatores individuais, incluindo desempenho no trabalho, habilidade ou tempo de serviço. Classificação do Cargo: 35-2014.00 - Cozinheiros, Restaurante. A classificação e descrição do cargo/setor inclui informações gerais sobre a posição, de acordo com o ONET/OES e o Sistema de Classificação Industrial da América do Norte. Consulte as Funções e a Ordem de Serviço para obter mais informações. Requisitos da vaga Experiência necessária: Não Requisitos especiais: Exame toxicológico e verificação de antecedentes criminais pré-admissional, realizados igualmente para trabalhadores americanos e trabalhadores com visto H-2B. Disponibilidade para trabalhar em turnos divididos, noturnos, fins de semana e feriados, conforme necessário. Capacidade de levantar, puxar, empurrar ou carregar até 11 kg ou mais, e caminhar ou ficar em pé por longos períodos. Boa apresentação pessoal e capacidade de se comunicar em inglês. Número de horas por semana: 35 Horário de trabalho (início/término): 7h às 0h</v>
      </c>
    </row>
    <row r="2334" ht="20.25" customHeight="1">
      <c r="A2334" s="3" t="s">
        <v>10295</v>
      </c>
      <c r="B2334" s="3" t="s">
        <v>10290</v>
      </c>
      <c r="C2334" s="3" t="s">
        <v>10025</v>
      </c>
      <c r="D2334" s="3" t="s">
        <v>71</v>
      </c>
      <c r="E2334" s="4" t="s">
        <v>19</v>
      </c>
      <c r="F2334" s="4" t="s">
        <v>20</v>
      </c>
      <c r="G2334" s="4" t="s">
        <v>524</v>
      </c>
      <c r="H2334" s="3" t="s">
        <v>10291</v>
      </c>
      <c r="I2334" s="3" t="s">
        <v>10292</v>
      </c>
      <c r="J2334" s="4">
        <v>16.82</v>
      </c>
      <c r="K2334" s="4">
        <v>8.0</v>
      </c>
      <c r="L2334" s="3" t="s">
        <v>10296</v>
      </c>
      <c r="M2334" s="3" t="s">
        <v>10297</v>
      </c>
      <c r="N2334" s="7" t="str">
        <f>IFERROR(__xludf.DUMMYFUNCTION("GOOGLETRANSLATE(L2334, ""en"", ""pt"")"),"Atendente de Reservas/Informações")</f>
        <v>Atendente de Reservas/Informações</v>
      </c>
      <c r="O2334" s="7" t="str">
        <f>IFERROR(__xludf.DUMMYFUNCTION("IF(M2334="""","""",GOOGLETRANSLATE(M2334,""en"",""pt""))"),"***Original*** Atender ligações telefônicas de membros/hóspedes; responder a perguntas/fornecer informações, transmitir/receber mensagens; fazer/confirmar reservas de restaurantes e hospedagem; realizar check-in/check-out de hóspedes; entregar chaves dos "&amp;"quartos; auxiliar na coordenação de chegadas/partidas; contatar a equipe de limpeza ou manutenção quando problemas forem relatados. ***Resposta à RFI*** Auxiliar na coordenação de chegadas/partidas inclui: manter registros de quartos ocupados versus quart"&amp;"os disponíveis; avisar a equipe de limpeza quando os quartos forem desocupados e estiverem prontos para limpeza; confirmar se os quartos atribuídos aos hóspedes que chegam estão prontos para o check-in; confirmar se os serviços de transporte (se solicitad"&amp;"os pelos hóspedes que chegam ou partem) estão disponíveis. ***F.a.5 A-H e F.a.6a e F.a.6b Mínimo de 35 horas/semana. Turnos e horários variam de segunda a domingo, das 7h às 0h. *** F.b.9a: Aumentos salariais e/ou bônus podem ser oferecidos a qualquer fun"&amp;"cionário na ocupação especificada, a critério exclusivo da empresa, com base em fatores individuais, incluindo desempenho no trabalho, habilidades ou tempo de serviço. Classificação do Cargo: 43-4081.00 - Recepcionistas de Hotel, Motel e Resort. A classif"&amp;"icação e descrição do cargo/setor inclui informações gerais sobre a posição, de acordo com o ONET/OES e o Sistema de Classificação Industrial da América do Norte (NAICS). Consulte as Funções e a Ordem de Serviço para obter mais informações. Requisitos do "&amp;"Cargo Experiência Necessária: Não. Requisitos Especiais: Exame toxicológico e verificação de antecedentes criminais pré-admissional, realizados igualmente para funcionários americanos e funcionários com visto H-2B. Disponibilidade para trabalhar em turnos"&amp;" divididos, noturnos, fins de semana e feriados, conforme necessário. Capacidade de levantar, puxar, empurrar ou carregar até 11 kg ou mais, e caminhar ou ficar em pé por longos períodos. Boa apresentação pessoal e capacidade de se comunicar em inglês. Nú"&amp;"mero de Horas por Semana: 35. Horário de Trabalho (Início/Término): 7h. - 00:00")</f>
        <v>***Original*** Atender ligações telefônicas de membros/hóspedes; responder a perguntas/fornecer informações, transmitir/receber mensagens; fazer/confirmar reservas de restaurantes e hospedagem; realizar check-in/check-out de hóspedes; entregar chaves dos quartos; auxiliar na coordenação de chegadas/partidas; contatar a equipe de limpeza ou manutenção quando problemas forem relatados. ***Resposta à RFI*** Auxiliar na coordenação de chegadas/partidas inclui: manter registros de quartos ocupados versus quartos disponíveis; avisar a equipe de limpeza quando os quartos forem desocupados e estiverem prontos para limpeza; confirmar se os quartos atribuídos aos hóspedes que chegam estão prontos para o check-in; confirmar se os serviços de transporte (se solicitados pelos hóspedes que chegam ou partem) estão disponíveis. ***F.a.5 A-H e F.a.6a e F.a.6b Mínimo de 35 horas/semana. Turnos e horários variam de segunda a domingo, das 7h às 0h. *** F.b.9a: Aumentos salariais e/ou bônus podem ser oferecidos a qualquer funcionário na ocupação especificada, a critério exclusivo da empresa, com base em fatores individuais, incluindo desempenho no trabalho, habilidades ou tempo de serviço. Classificação do Cargo: 43-4081.00 - Recepcionistas de Hotel, Motel e Resort. A classificação e descrição do cargo/setor inclui informações gerais sobre a posição, de acordo com o ONET/OES e o Sistema de Classificação Industrial da América do Norte (NAICS). Consulte as Funções e a Ordem de Serviço para obter mais informações. Requisitos do Cargo Experiência Necessária: Não. Requisitos Especiais: Exame toxicológico e verificação de antecedentes criminais pré-admissional, realizados igualmente para funcionários americanos e funcionários com visto H-2B. Disponibilidade para trabalhar em turnos divididos, noturnos, fins de semana e feriados, conforme necessário. Capacidade de levantar, puxar, empurrar ou carregar até 11 kg ou mais, e caminhar ou ficar em pé por longos períodos. Boa apresentação pessoal e capacidade de se comunicar em inglês. Número de Horas por Semana: 35. Horário de Trabalho (Início/Término): 7h. - 00:00</v>
      </c>
    </row>
    <row r="2335" ht="20.25" customHeight="1">
      <c r="A2335" s="8" t="s">
        <v>10298</v>
      </c>
      <c r="B2335" s="8" t="s">
        <v>10290</v>
      </c>
      <c r="C2335" s="8" t="s">
        <v>10025</v>
      </c>
      <c r="D2335" s="8" t="s">
        <v>71</v>
      </c>
      <c r="E2335" s="9" t="s">
        <v>19</v>
      </c>
      <c r="F2335" s="9" t="s">
        <v>20</v>
      </c>
      <c r="G2335" s="9" t="s">
        <v>524</v>
      </c>
      <c r="H2335" s="8" t="s">
        <v>10291</v>
      </c>
      <c r="I2335" s="8" t="s">
        <v>10292</v>
      </c>
      <c r="J2335" s="9">
        <v>16.01</v>
      </c>
      <c r="K2335" s="9">
        <v>20.0</v>
      </c>
      <c r="L2335" s="8" t="s">
        <v>354</v>
      </c>
      <c r="M2335" s="8" t="s">
        <v>10299</v>
      </c>
      <c r="N2335" s="7" t="str">
        <f>IFERROR(__xludf.DUMMYFUNCTION("GOOGLETRANSLATE(L2335, ""en"", ""pt"")"),"Governanta")</f>
        <v>Governanta</v>
      </c>
      <c r="O2335" s="7" t="str">
        <f>IFERROR(__xludf.DUMMYFUNCTION("IF(M2335="""","""",GOOGLETRANSLATE(M2335,""en"",""pt""))"),"Limpar e manter os quartos de hóspedes, áreas comuns, banheiros e vestiários do clube, incluindo: tirar o pó e limpar os móveis; varrer, passar pano levemente e aspirar o chão; esfregar e desinfetar os banheiros; manusear roupas de cama, auxiliar na lavan"&amp;"deria e arrumar as camas; repor suprimentos, roupas de cama e toalhas; mover móveis, pendurar cortinas e enrolar tapetes; e ocasionalmente remover o lixo. ***F.a.5 A-H &amp; F.a.6a &amp; F.a.6b: mínimo de 35 horas semanais. Turnos e horários variam de segunda a d"&amp;"omingo, das 7h às 0h. *** F.b.9a: Aumentos e/ou bônus podem ser oferecidos a qualquer funcionário na ocupação especificada, a critério exclusivo da empresa, com base em fatores individuais, incluindo desempenho no trabalho, habilidade ou tempo de serviço."&amp;" Classificação do Cargo: 37-2012.00 - Camareiras e Auxiliares de Limpeza. A classificação e descrição do cargo/setor inclui informações gerais sobre a posição, de acordo com o ONET/OES e o Sistema de Classificação Industrial da América do Norte. Consulte "&amp;"a Descrição das Funções e a Ordem de Serviço para obter mais informações. Requisitos da Vaga Experiência Necessária: Não Requisitos Especiais: Exame toxicológico e verificação de antecedentes criminais pré-admissional, realizados igualmente para trabalhad"&amp;"ores americanos e trabalhadores com visto H-2B. Disponibilidade para trabalhar em turnos divididos, noturnos, fins de semana e feriados, conforme necessário. Capacidade de levantar, puxar, empurrar ou carregar até 11 kg ou mais, e caminhar ou ficar em pé "&amp;"por longos períodos. Boa apresentação pessoal e capacidade de se comunicar em inglês. Número de Horas por Semana: 35 Horário de Trabalho (Início/Término): 7h às 00h")</f>
        <v>Limpar e manter os quartos de hóspedes, áreas comuns, banheiros e vestiários do clube, incluindo: tirar o pó e limpar os móveis; varrer, passar pano levemente e aspirar o chão; esfregar e desinfetar os banheiros; manusear roupas de cama, auxiliar na lavanderia e arrumar as camas; repor suprimentos, roupas de cama e toalhas; mover móveis, pendurar cortinas e enrolar tapetes; e ocasionalmente remover o lixo. ***F.a.5 A-H &amp; F.a.6a &amp; F.a.6b: mínimo de 35 horas semanais. Turnos e horários variam de segunda a domingo, das 7h às 0h. *** F.b.9a: Aumentos e/ou bônus podem ser oferecidos a qualquer funcionário na ocupação especificada, a critério exclusivo da empresa, com base em fatores individuais, incluindo desempenho no trabalho, habilidade ou tempo de serviço. Classificação do Cargo: 37-2012.00 - Camareiras e Auxiliares de Limpeza. A classificação e descrição do cargo/setor inclui informações gerais sobre a posição, de acordo com o ONET/OES e o Sistema de Classificação Industrial da América do Norte. Consulte a Descrição das Funções e a Ordem de Serviço para obter mais informações. Requisitos da Vaga Experiência Necessária: Não Requisitos Especiais: Exame toxicológico e verificação de antecedentes criminais pré-admissional, realizados igualmente para trabalhadores americanos e trabalhadores com visto H-2B. Disponibilidade para trabalhar em turnos divididos, noturnos, fins de semana e feriados, conforme necessário. Capacidade de levantar, puxar, empurrar ou carregar até 11 kg ou mais, e caminhar ou ficar em pé por longos períodos. Boa apresentação pessoal e capacidade de se comunicar em inglês. Número de Horas por Semana: 35 Horário de Trabalho (Início/Término): 7h às 00h</v>
      </c>
    </row>
    <row r="2336" ht="20.25" customHeight="1">
      <c r="A2336" s="3" t="s">
        <v>10300</v>
      </c>
      <c r="B2336" s="3" t="s">
        <v>10290</v>
      </c>
      <c r="C2336" s="3" t="s">
        <v>10025</v>
      </c>
      <c r="D2336" s="3" t="s">
        <v>71</v>
      </c>
      <c r="E2336" s="4" t="s">
        <v>19</v>
      </c>
      <c r="F2336" s="4" t="s">
        <v>20</v>
      </c>
      <c r="G2336" s="4" t="s">
        <v>524</v>
      </c>
      <c r="H2336" s="3" t="s">
        <v>10291</v>
      </c>
      <c r="I2336" s="3" t="s">
        <v>10292</v>
      </c>
      <c r="J2336" s="4">
        <v>17.91</v>
      </c>
      <c r="K2336" s="4">
        <v>12.0</v>
      </c>
      <c r="L2336" s="3" t="s">
        <v>5135</v>
      </c>
      <c r="M2336" s="3" t="s">
        <v>10301</v>
      </c>
      <c r="N2336" s="7" t="str">
        <f>IFERROR(__xludf.DUMMYFUNCTION("GOOGLETRANSLATE(L2336, ""en"", ""pt"")"),"Assistente de Garçom")</f>
        <v>Assistente de Garçom</v>
      </c>
      <c r="O2336" s="7" t="str">
        <f>IFERROR(__xludf.DUMMYFUNCTION("IF(M2336="""","""",GOOGLETRANSLATE(M2336,""en"",""pt""))"),"Auxiliar no serviço de alimentação. Limpar e retirar toalhas de mesa, louças e utensílios usados. Arrumar as mesas; repor o estoque de toalhas de mesa, louças e utensílios limpos. Abastecer o bar de serviço com alimentos. Servir água, condimentos e café. "&amp;"Levar os alimentos da cozinha até as mesas dos clientes. Auxiliar na montagem e desmontagem de buffets e mantê-los abastecidos com alimentos, pratos, recipientes e utensílios. Poderá executar outras tarefas razoáveis ​​relacionadas ao cargo, conforme nece"&amp;"ssário. ***F.a.5 A-H &amp; F.a.6a &amp; F.a.6b: mínimo de 35 horas semanais. Turnos e horários variam de segunda a domingo, das 7h às 0h. *** F.b.9a: Aumentos salariais e/ou bônus podem ser oferecidos a qualquer funcionário na função especificada, a critério excl"&amp;"usivo da empresa, com base em fatores individuais, incluindo desempenho, habilidades ou tempo de serviço. Classificação da vaga: 35-9011.00 - Atendentes de Refeitório e Cafeteria e Auxiliares de Barman. A classificação e descrição da vaga/setor inclui inf"&amp;"ormações gerais sobre o cargo, conforme o ONET/OES e o Sistema de Classificação Industrial da América do Norte (NAICS). Consulte as Funções e a Ordem de Serviço para obter mais informações. Requisitos da vaga: Experiência exigida: Não. Requisitos especiai"&amp;"s: Exame toxicológico e verificação de antecedentes criminais pré-admissional, realizados igualmente para trabalhadores americanos e trabalhadores com visto H-2B. Disponibilidade para trabalhar em turnos divididos, noturnos, fins de semana e feriados, con"&amp;"forme necessário. Capacidade de levantar, puxar, empurrar ou carregar até 11 kg ou mais, e caminhar ou ficar em pé por longos períodos. Boa apresentação pessoal e capacidade de se comunicar em inglês. Número de horas por semana: 35. Horário de trabalho (i"&amp;"nício/término): 7h às 0h.")</f>
        <v>Auxiliar no serviço de alimentação. Limpar e retirar toalhas de mesa, louças e utensílios usados. Arrumar as mesas; repor o estoque de toalhas de mesa, louças e utensílios limpos. Abastecer o bar de serviço com alimentos. Servir água, condimentos e café. Levar os alimentos da cozinha até as mesas dos clientes. Auxiliar na montagem e desmontagem de buffets e mantê-los abastecidos com alimentos, pratos, recipientes e utensílios. Poderá executar outras tarefas razoáveis ​​relacionadas ao cargo, conforme necessário. ***F.a.5 A-H &amp; F.a.6a &amp; F.a.6b: mínimo de 35 horas semanais. Turnos e horários variam de segunda a domingo, das 7h às 0h. *** F.b.9a: Aumentos salariais e/ou bônus podem ser oferecidos a qualquer funcionário na função especificada, a critério exclusivo da empresa, com base em fatores individuais, incluindo desempenho, habilidades ou tempo de serviço. Classificação da vaga: 35-9011.00 - Atendentes de Refeitório e Cafeteria e Auxiliares de Barman. A classificação e descrição da vaga/setor inclui informações gerais sobre o cargo, conforme o ONET/OES e o Sistema de Classificação Industrial da América do Norte (NAICS). Consulte as Funções e a Ordem de Serviço para obter mais informações. Requisitos da vaga: Experiência exigida: Não. Requisitos especiais: Exame toxicológico e verificação de antecedentes criminais pré-admissional, realizados igualmente para trabalhadores americanos e trabalhadores com visto H-2B. Disponibilidade para trabalhar em turnos divididos, noturnos, fins de semana e feriados, conforme necessário. Capacidade de levantar, puxar, empurrar ou carregar até 11 kg ou mais, e caminhar ou ficar em pé por longos períodos. Boa apresentação pessoal e capacidade de se comunicar em inglês. Número de horas por semana: 35. Horário de trabalho (início/término): 7h às 0h.</v>
      </c>
    </row>
    <row r="2337" ht="20.25" customHeight="1">
      <c r="A2337" s="8" t="s">
        <v>10302</v>
      </c>
      <c r="B2337" s="8" t="s">
        <v>10290</v>
      </c>
      <c r="C2337" s="8" t="s">
        <v>10025</v>
      </c>
      <c r="D2337" s="8" t="s">
        <v>71</v>
      </c>
      <c r="E2337" s="9" t="s">
        <v>44</v>
      </c>
      <c r="F2337" s="9" t="s">
        <v>20</v>
      </c>
      <c r="G2337" s="9" t="s">
        <v>524</v>
      </c>
      <c r="H2337" s="8" t="s">
        <v>10291</v>
      </c>
      <c r="I2337" s="8" t="s">
        <v>10292</v>
      </c>
      <c r="J2337" s="9">
        <v>22.56</v>
      </c>
      <c r="K2337" s="9">
        <v>5.0</v>
      </c>
      <c r="L2337" s="8" t="s">
        <v>5529</v>
      </c>
      <c r="M2337" s="8" t="s">
        <v>10303</v>
      </c>
      <c r="N2337" s="7" t="str">
        <f>IFERROR(__xludf.DUMMYFUNCTION("GOOGLETRANSLATE(L2337, ""en"", ""pt"")"),"Capitão da Sala de Jantar")</f>
        <v>Capitão da Sala de Jantar</v>
      </c>
      <c r="O2337" s="7" t="str">
        <f>IFERROR(__xludf.DUMMYFUNCTION("IF(M2337="""","""",GOOGLETRANSLATE(M2337,""en"",""pt""))"),"Supervisionar e coordenar as atividades da equipe do salão de jantar/banquetes durante a preparação, o serviço e a limpeza. Treinar novos funcionários de serviço de alimentos e bebidas. Auxiliar no serviço de alimentos e bebidas conforme necessário, espec"&amp;"ialmente no atendimento a convidados especiais e VIPs. Garantir que o mais alto nível de serviço seja fornecido pela equipe de atendimento do clube. Manter contato com a equipe da cozinha, a gerência e a equipe de atendimento, e construir/manter um bom re"&amp;"lacionamento com os membros do clube. Elaborar escalas de trabalho da equipe. Planejar festas ou outros eventos e serviços especiais, conforme necessário. Outras responsabilidades razoáveis ​​relacionadas ao cargo poderão ser atribuídas, conforme necessár"&amp;"io. ***F.a.5 A-H &amp; F.a.6a &amp; F.a.6b: mínimo de 35 horas semanais. Turnos e horários variam de segunda a domingo, das 7h às 0h. *** F.b.9a: Aumentos e/ou bônus podem ser oferecidos a qualquer funcionário na função especificada, a critério exclusivo da empre"&amp;"sa, com base em fatores individuais, incluindo desempenho no trabalho, habilidades ou tempo de serviço. Classificação da Função: 35-1012.00 - Supervisores de Primeira Linha de Preparadores e Servidores de Alimentos. A classificação e descrição da função/s"&amp;"etor inclui informações gerais sobre o cargo, conforme o ONET/OES e o Sistema de Classificação Industrial da América do Norte (NAICS). Consulte as Funções e a Ordem de Serviço para obter mais informações. Requisitos da Função Experiência Necessária: Não. "&amp;"Requisitos Especiais: Exame toxicológico e verificação de antecedentes criminais pré-admissional, realizados igualmente para trabalhadores americanos e trabalhadores com visto H-2B. Disponibilidade para trabalhar em turnos divididos, noturnos, fins de sem"&amp;"ana e feriados, conforme necessário. Capacidade de levantar, puxar, empurrar ou carregar até 11 kg ou mais, e caminhar ou ficar em pé por longos períodos. Boa apresentação pessoal e capacidade de se comunicar em inglês. Número de Horas por Semana: 35. Hor"&amp;"ário de Trabalho (Início/Término): 7h às 0h.")</f>
        <v>Supervisionar e coordenar as atividades da equipe do salão de jantar/banquetes durante a preparação, o serviço e a limpeza. Treinar novos funcionários de serviço de alimentos e bebidas. Auxiliar no serviço de alimentos e bebidas conforme necessário, especialmente no atendimento a convidados especiais e VIPs. Garantir que o mais alto nível de serviço seja fornecido pela equipe de atendimento do clube. Manter contato com a equipe da cozinha, a gerência e a equipe de atendimento, e construir/manter um bom relacionamento com os membros do clube. Elaborar escalas de trabalho da equipe. Planejar festas ou outros eventos e serviços especiais, conforme necessário. Outras responsabilidades razoáveis ​​relacionadas ao cargo poderão ser atribuídas, conforme necessário. ***F.a.5 A-H &amp; F.a.6a &amp; F.a.6b: mínimo de 35 horas semanais. Turnos e horários variam de segunda a domingo, das 7h às 0h. *** F.b.9a: Aumentos e/ou bônus podem ser oferecidos a qualquer funcionário na função especificada, a critério exclusivo da empresa, com base em fatores individuais, incluindo desempenho no trabalho, habilidades ou tempo de serviço. Classificação da Função: 35-1012.00 - Supervisores de Primeira Linha de Preparadores e Servidores de Alimentos. A classificação e descrição da função/setor inclui informações gerais sobre o cargo, conforme o ONET/OES e o Sistema de Classificação Industrial da América do Norte (NAICS). Consulte as Funções e a Ordem de Serviço para obter mais informações. Requisitos da Função Experiência Necessária: Não. Requisitos Especiais: Exame toxicológico e verificação de antecedentes criminais pré-admissional, realizados igualmente para trabalhadores americanos e trabalhadores com visto H-2B. Disponibilidade para trabalhar em turnos divididos, noturnos, fins de semana e feriados, conforme necessário. Capacidade de levantar, puxar, empurrar ou carregar até 11 kg ou mais, e caminhar ou ficar em pé por longos períodos. Boa apresentação pessoal e capacidade de se comunicar em inglês. Número de Horas por Semana: 35. Horário de Trabalho (Início/Término): 7h às 0h.</v>
      </c>
    </row>
    <row r="2338" ht="20.25" customHeight="1">
      <c r="A2338" s="3" t="s">
        <v>10304</v>
      </c>
      <c r="B2338" s="3" t="s">
        <v>10290</v>
      </c>
      <c r="C2338" s="3" t="s">
        <v>10025</v>
      </c>
      <c r="D2338" s="3" t="s">
        <v>71</v>
      </c>
      <c r="E2338" s="4" t="s">
        <v>44</v>
      </c>
      <c r="F2338" s="4" t="s">
        <v>20</v>
      </c>
      <c r="G2338" s="4" t="s">
        <v>524</v>
      </c>
      <c r="H2338" s="3" t="s">
        <v>10291</v>
      </c>
      <c r="I2338" s="3" t="s">
        <v>10292</v>
      </c>
      <c r="J2338" s="4">
        <v>18.71</v>
      </c>
      <c r="K2338" s="4">
        <v>55.0</v>
      </c>
      <c r="L2338" s="3" t="s">
        <v>1206</v>
      </c>
      <c r="M2338" s="3" t="s">
        <v>10305</v>
      </c>
      <c r="N2338" s="7" t="str">
        <f>IFERROR(__xludf.DUMMYFUNCTION("GOOGLETRANSLATE(L2338, ""en"", ""pt"")"),"Servidor")</f>
        <v>Servidor</v>
      </c>
      <c r="O2338" s="7" t="str">
        <f>IFERROR(__xludf.DUMMYFUNCTION("IF(M2338="""","""",GOOGLETRANSLATE(M2338,""en"",""pt""))"),"***Original*** Servir comida, água, refrigerantes e bebidas alcoólicas. Apresentar cardápios, anotar pedidos e repassá-los à cozinha. Realizar tarefas auxiliares, limpar mesas, transportar pratos do salão para a cozinha e manter as áreas de trabalho limpa"&amp;"s. Fornecer toalhas de mesa, talheres, copos e pratos limpos no salão. Auxiliar na montagem, limpeza, abertura e fechamento do restaurante/área de alimentos e bebidas. Pode ser necessário realizar tarefas em ambientes externos ou em eventos de banquetes. "&amp;"Pode executar outras tarefas razoáveis ​​relacionadas ao trabalho, conforme necessário. ***Resposta à Solicitação de Informações (RFI)*** As tarefas de montagem, limpeza, abertura e fechamento do restaurante/área de alimentos e bebidas podem incluir: limp"&amp;"ar as mesas, removendo toalhas de mesa, louças e utensílios usados; arrumar as mesas com toalhas de mesa, louças e utensílios limpos; montar e desmontar buffets. Tarefas razoáveis ​​relacionadas ao trabalho podem incluir: servir condimentos e café; abaste"&amp;"cer o bar de serviço com comida; manter o buffet abastecido com comida, pratos, recipientes e utensílios. ***F.a.5 A-H e F.a.6a e F.a.6b 35 horas/semana no mínimo. Turnos e horários variam de segunda a domingo, das 7h às 0h. *** F.b.9a: Aumentos e/ou bônu"&amp;"s podem ser oferecidos a qualquer funcionário na ocupação especificada, a critério exclusivo da empresa, com base em fatores individuais, incluindo desempenho no trabalho, habilidade ou tempo de serviço. Classificação do Cargo: 35-3031.00 - Garçons e Garç"&amp;"onetes. A classificação e descrição do cargo/setor inclui informações gerais sobre a posição, de acordo com o ONET/OES e o Sistema de Classificação Industrial da América do Norte. Consulte as Funções e a Ordem de Serviço para obter mais informações. Requi"&amp;"sitos do Cargo: Experiência Necessária: Não. Requisitos Especiais: Exame toxicológico e verificação de antecedentes criminais pré-admissional, realizados igualmente para funcionários americanos e trabalhadores com visto H-2B. Disponibilidade para trabalha"&amp;"r em turnos divididos, noturnos, fins de semana e feriados, conforme necessário. Capacidade de levantar, puxar, empurrar ou carregar até 11 kg ou mais e caminhar ou ficar em pé por longos períodos. Boa apresentação pessoal e capacidade de se comunicar em "&amp;"inglês. Número de horas por semana: 35 Horário de trabalho (início/término): 7h00 - 0h00")</f>
        <v>***Original*** Servir comida, água, refrigerantes e bebidas alcoólicas. Apresentar cardápios, anotar pedidos e repassá-los à cozinha. Realizar tarefas auxiliares, limpar mesas, transportar pratos do salão para a cozinha e manter as áreas de trabalho limpas. Fornecer toalhas de mesa, talheres, copos e pratos limpos no salão. Auxiliar na montagem, limpeza, abertura e fechamento do restaurante/área de alimentos e bebidas. Pode ser necessário realizar tarefas em ambientes externos ou em eventos de banquetes. Pode executar outras tarefas razoáveis ​​relacionadas ao trabalho, conforme necessário. ***Resposta à Solicitação de Informações (RFI)*** As tarefas de montagem, limpeza, abertura e fechamento do restaurante/área de alimentos e bebidas podem incluir: limpar as mesas, removendo toalhas de mesa, louças e utensílios usados; arrumar as mesas com toalhas de mesa, louças e utensílios limpos; montar e desmontar buffets. Tarefas razoáveis ​​relacionadas ao trabalho podem incluir: servir condimentos e café; abastecer o bar de serviço com comida; manter o buffet abastecido com comida, pratos, recipientes e utensílios. ***F.a.5 A-H e F.a.6a e F.a.6b 35 horas/semana no mínimo. Turnos e horários variam de segunda a domingo, das 7h às 0h. *** F.b.9a: Aumentos e/ou bônus podem ser oferecidos a qualquer funcionário na ocupação especificada, a critério exclusivo da empresa, com base em fatores individuais, incluindo desempenho no trabalho, habilidade ou tempo de serviço. Classificação do Cargo: 35-3031.00 - Garçons e Garçonetes. A classificação e descrição do cargo/setor inclui informações gerais sobre a posição, de acordo com o ONET/OES e o Sistema de Classificação Industrial da América do Norte. Consulte as Funções e a Ordem de Serviço para obter mais informações. Requisitos do Cargo: Experiência Necessária: Não. Requisitos Especiais: Exame toxicológico e verificação de antecedentes criminais pré-admissional, realizados igualmente para funcionários americanos e trabalhadores com visto H-2B. Disponibilidade para trabalhar em turnos divididos, noturnos, fins de semana e feriados, conforme necessário. Capacidade de levantar, puxar, empurrar ou carregar até 11 kg ou mais e caminhar ou ficar em pé por longos períodos. Boa apresentação pessoal e capacidade de se comunicar em inglês. Número de horas por semana: 35 Horário de trabalho (início/término): 7h00 - 0h00</v>
      </c>
    </row>
    <row r="2339" ht="20.25" customHeight="1">
      <c r="A2339" s="8" t="s">
        <v>10306</v>
      </c>
      <c r="B2339" s="8" t="s">
        <v>10307</v>
      </c>
      <c r="C2339" s="8" t="s">
        <v>10025</v>
      </c>
      <c r="D2339" s="8" t="s">
        <v>71</v>
      </c>
      <c r="E2339" s="9" t="s">
        <v>44</v>
      </c>
      <c r="F2339" s="9" t="s">
        <v>20</v>
      </c>
      <c r="G2339" s="9" t="s">
        <v>384</v>
      </c>
      <c r="H2339" s="8" t="s">
        <v>10308</v>
      </c>
      <c r="I2339" s="8" t="s">
        <v>10309</v>
      </c>
      <c r="J2339" s="9">
        <v>17.32</v>
      </c>
      <c r="K2339" s="9">
        <v>4.0</v>
      </c>
      <c r="L2339" s="8" t="s">
        <v>387</v>
      </c>
      <c r="M2339" s="8" t="s">
        <v>10310</v>
      </c>
      <c r="N2339" s="7" t="str">
        <f>IFERROR(__xludf.DUMMYFUNCTION("GOOGLETRANSLATE(L2339, ""en"", ""pt"")"),"Ordem de serviço não disponível")</f>
        <v>Ordem de serviço não disponível</v>
      </c>
      <c r="O2339" s="7" t="str">
        <f>IFERROR(__xludf.DUMMYFUNCTION("IF(M2339="""","""",GOOGLETRANSLATE(M2339,""en"",""pt""))"),"Preparar, temperar, cozinhar, empratar e decorar refeições. Medir/misturar ingredientes conforme a receita para cozinhar do zero. Seguir os procedimentos adequados de controle de porções, apresentação, consistência, sabor e higiene. Observar/provar os ali"&amp;"mentos cozidos. Pode substituir/auxiliar outros cozinheiros em emergências/períodos de pico. ***F.a.5 A-H e F.a.6a e F.a.6b: mínimo de 35 horas/semana. Turnos e horários variam de segunda a domingo, das 7h às 23h. *** F.b.9a: Aumentos e/ou bônus podem ser"&amp;" oferecidos a qualquer funcionário na ocupação especificada, a critério exclusivo da empresa, com base em fatores individuais, incluindo desempenho no trabalho, habilidade ou tempo de serviço. Classificação do Cargo: 35-2014.00 - Cozinheiros, Restaurante."&amp;" A classificação e descrição do cargo/setor inclui informações gerais sobre a posição, de acordo com o ONET/OES e o Sistema de Classificação Industrial da América do Norte. Consulte as Funções e a Ordem de Serviço para obter mais informações. Requisitos d"&amp;"a vaga Experiência necessária: Não Requisitos especiais: Exame toxicológico e verificação de antecedentes criminais pré-admissional, realizados igualmente para trabalhadores americanos e trabalhadores com visto H-2B. Disponibilidade para trabalhar em turn"&amp;"os divididos, noturnos, fins de semana e feriados, conforme necessário. Capacidade de levantar, puxar, empurrar ou carregar até 11 kg ou mais, e caminhar ou ficar em pé por longos períodos. Boa apresentação pessoal e capacidade de se comunicar em inglês. "&amp;"Número de horas por semana: 35 Horário de trabalho (início/término): 7h às 23h")</f>
        <v>Preparar, temperar, cozinhar, empratar e decorar refeições. Medir/misturar ingredientes conforme a receita para cozinhar do zero. Seguir os procedimentos adequados de controle de porções, apresentação, consistência, sabor e higiene. Observar/provar os alimentos cozidos. Pode substituir/auxiliar outros cozinheiros em emergências/períodos de pico. ***F.a.5 A-H e F.a.6a e F.a.6b: mínimo de 35 horas/semana. Turnos e horários variam de segunda a domingo, das 7h às 23h. *** F.b.9a: Aumentos e/ou bônus podem ser oferecidos a qualquer funcionário na ocupação especificada, a critério exclusivo da empresa, com base em fatores individuais, incluindo desempenho no trabalho, habilidade ou tempo de serviço. Classificação do Cargo: 35-2014.00 - Cozinheiros, Restaurante. A classificação e descrição do cargo/setor inclui informações gerais sobre a posição, de acordo com o ONET/OES e o Sistema de Classificação Industrial da América do Norte. Consulte as Funções e a Ordem de Serviço para obter mais informações. Requisitos da vaga Experiência necessária: Não Requisitos especiais: Exame toxicológico e verificação de antecedentes criminais pré-admissional, realizados igualmente para trabalhadores americanos e trabalhadores com visto H-2B. Disponibilidade para trabalhar em turnos divididos, noturnos, fins de semana e feriados, conforme necessário. Capacidade de levantar, puxar, empurrar ou carregar até 11 kg ou mais, e caminhar ou ficar em pé por longos períodos. Boa apresentação pessoal e capacidade de se comunicar em inglês. Número de horas por semana: 35 Horário de trabalho (início/término): 7h às 23h</v>
      </c>
    </row>
    <row r="2340" ht="20.25" customHeight="1">
      <c r="A2340" s="3" t="s">
        <v>10311</v>
      </c>
      <c r="B2340" s="3" t="s">
        <v>10312</v>
      </c>
      <c r="C2340" s="3" t="s">
        <v>10025</v>
      </c>
      <c r="D2340" s="3" t="s">
        <v>71</v>
      </c>
      <c r="E2340" s="4" t="s">
        <v>19</v>
      </c>
      <c r="F2340" s="4" t="s">
        <v>20</v>
      </c>
      <c r="G2340" s="4" t="s">
        <v>524</v>
      </c>
      <c r="H2340" s="3" t="s">
        <v>10313</v>
      </c>
      <c r="I2340" s="3" t="s">
        <v>10314</v>
      </c>
      <c r="J2340" s="4">
        <v>17.3</v>
      </c>
      <c r="K2340" s="4">
        <v>6.0</v>
      </c>
      <c r="L2340" s="3" t="s">
        <v>387</v>
      </c>
      <c r="M2340" s="3" t="s">
        <v>10315</v>
      </c>
      <c r="N2340" s="7" t="str">
        <f>IFERROR(__xludf.DUMMYFUNCTION("GOOGLETRANSLATE(L2340, ""en"", ""pt"")"),"Ordem de serviço não disponível")</f>
        <v>Ordem de serviço não disponível</v>
      </c>
      <c r="O2340" s="7" t="str">
        <f>IFERROR(__xludf.DUMMYFUNCTION("IF(M2340="""","""",GOOGLETRANSLATE(M2340,""en"",""pt""))"),"Preparar, temperar, cozinhar, empratar e decorar refeições. Medir/misturar ingredientes conforme a receita para cozinhar do zero. Seguir os procedimentos de controle de porções, apresentação, consistência, sabor e higiene adequados. Observar/provar os ali"&amp;"mentos preparados. Pode substituir/auxiliar outros cozinheiros em emergências/períodos de pico. ***F.a.5 A-H e F.a.6a e F.a.6b: mínimo de 35 horas/semana. Turnos e horários variam de segunda a domingo, das 7h às 0h. *** F.b.9a: Aumentos e/ou bônus podem s"&amp;"er oferecidos a qualquer funcionário na ocupação especificada, a critério exclusivo da empresa, com base em fatores individuais, incluindo desempenho no trabalho, habilidade ou tempo de serviço. Classificação do Cargo: 35-2014.00 - Cozinheiros, Restaurant"&amp;"e. A classificação e descrição do cargo/setor inclui informações gerais sobre a posição, de acordo com o ONET/OES e o Sistema de Classificação Industrial da América do Norte. Consulte as Funções e a Ordem de Serviço para obter mais informações. Requisitos"&amp;" da vaga Experiência necessária: Não Requisitos especiais: Exame toxicológico e verificação de antecedentes criminais pré-admissional, realizados igualmente para trabalhadores americanos e trabalhadores com visto H-2B. Disponibilidade para trabalhar em tu"&amp;"rnos divididos, noturnos, fins de semana e feriados, conforme necessário. Capacidade de levantar, puxar, empurrar ou carregar até 11 kg ou mais, e caminhar ou ficar em pé por longos períodos. Boa apresentação pessoal e capacidade de se comunicar em inglês"&amp;". Número de horas por semana: 35 Horário de trabalho (início/término): 7h às 0h")</f>
        <v>Preparar, temperar, cozinhar, empratar e decorar refeições. Medir/misturar ingredientes conforme a receita para cozinhar do zero. Seguir os procedimentos de controle de porções, apresentação, consistência, sabor e higiene adequados. Observar/provar os alimentos preparados. Pode substituir/auxiliar outros cozinheiros em emergências/períodos de pico. ***F.a.5 A-H e F.a.6a e F.a.6b: mínimo de 35 horas/semana. Turnos e horários variam de segunda a domingo, das 7h às 0h. *** F.b.9a: Aumentos e/ou bônus podem ser oferecidos a qualquer funcionário na ocupação especificada, a critério exclusivo da empresa, com base em fatores individuais, incluindo desempenho no trabalho, habilidade ou tempo de serviço. Classificação do Cargo: 35-2014.00 - Cozinheiros, Restaurante. A classificação e descrição do cargo/setor inclui informações gerais sobre a posição, de acordo com o ONET/OES e o Sistema de Classificação Industrial da América do Norte. Consulte as Funções e a Ordem de Serviço para obter mais informações. Requisitos da vaga Experiência necessária: Não Requisitos especiais: Exame toxicológico e verificação de antecedentes criminais pré-admissional, realizados igualmente para trabalhadores americanos e trabalhadores com visto H-2B. Disponibilidade para trabalhar em turnos divididos, noturnos, fins de semana e feriados, conforme necessário. Capacidade de levantar, puxar, empurrar ou carregar até 11 kg ou mais, e caminhar ou ficar em pé por longos períodos. Boa apresentação pessoal e capacidade de se comunicar em inglês. Número de horas por semana: 35 Horário de trabalho (início/término): 7h às 0h</v>
      </c>
    </row>
    <row r="2341" ht="20.25" customHeight="1">
      <c r="A2341" s="8" t="s">
        <v>10316</v>
      </c>
      <c r="B2341" s="8" t="s">
        <v>10312</v>
      </c>
      <c r="C2341" s="8" t="s">
        <v>10025</v>
      </c>
      <c r="D2341" s="8" t="s">
        <v>71</v>
      </c>
      <c r="E2341" s="9" t="s">
        <v>19</v>
      </c>
      <c r="F2341" s="9" t="s">
        <v>20</v>
      </c>
      <c r="G2341" s="9" t="s">
        <v>524</v>
      </c>
      <c r="H2341" s="8" t="s">
        <v>10313</v>
      </c>
      <c r="I2341" s="8" t="s">
        <v>10314</v>
      </c>
      <c r="J2341" s="9">
        <v>18.71</v>
      </c>
      <c r="K2341" s="9">
        <v>12.0</v>
      </c>
      <c r="L2341" s="8" t="s">
        <v>1206</v>
      </c>
      <c r="M2341" s="8" t="s">
        <v>10230</v>
      </c>
      <c r="N2341" s="7" t="str">
        <f>IFERROR(__xludf.DUMMYFUNCTION("GOOGLETRANSLATE(L2341, ""en"", ""pt"")"),"Servidor")</f>
        <v>Servidor</v>
      </c>
      <c r="O2341" s="7" t="str">
        <f>IFERROR(__xludf.DUMMYFUNCTION("IF(M2341="""","""",GOOGLETRANSLATE(M2341,""en"",""pt""))"),"***Original*** Servir comida, água, refrigerantes e bebidas alcoólicas. Apresentar cardápios, anotar pedidos e repassá-los à cozinha. Realizar tarefas auxiliares, limpar mesas, transportar pratos do salão para a cozinha e manter as áreas de trabalho limpa"&amp;"s. Fornecer toalhas de mesa, talheres, copos e pratos limpos no salão. Auxiliar na montagem, limpeza, abertura e fechamento do restaurante/área de alimentos e bebidas. Pode ser necessário realizar tarefas em ambientes externos, em eventos de banquetes ou "&amp;"atender clientes em carrinho de golfe. Pode executar outras tarefas razoáveis ​​relacionadas ao trabalho, conforme necessário. ***Resposta à Solicitação de Informações (RFI)*** As tarefas de montagem, limpeza, abertura e fechamento do restaurante/área de "&amp;"alimentos e bebidas podem incluir: limpar as mesas, removendo toalhas de mesa, louças e utensílios usados; arrumar as mesas com toalhas de mesa, louças e utensílios limpos; montar e desmontar buffets. Tarefas razoáveis ​​relacionadas ao trabalho podem inc"&amp;"luir: servir condimentos e café; abastecer o bar de serviço com alimentos; manter o buffet abastecido com alimentos, pratos, recipientes e utensílios. ***F.a.5 A-H e F.a.6a e F.a.6b: mínimo de 35 horas semanais. Turnos e horários variam de segunda a domin"&amp;"go, das 7h às 0h. *** F.b.9a: Aumentos e/ou bônus podem ser oferecidos a qualquer funcionário na ocupação especificada, a critério exclusivo da empresa, com base em fatores individuais, incluindo desempenho, habilidades ou tempo de serviço. Classificação "&amp;"da vaga: 35-3031.00 - Garçons e Garçonetes. A classificação e descrição da vaga/setor inclui informações gerais sobre o cargo, de acordo com o ONET/OES e o Sistema de Classificação Industrial da América do Norte (NAICS). Consulte as Funções e a Ordem de S"&amp;"erviço para obter mais informações. Requisitos da vaga: Experiência exigida: Não. Requisitos especiais: Exame toxicológico e verificação de antecedentes criminais pré-admissional, realizados igualmente para funcionários americanos e trabalhadores com vist"&amp;"o H-2B. Disponibilidade para trabalhar em turnos divididos, noturnos, fins de semana e feriados, conforme necessário. Deve ser capaz de levantar, puxar, empurrar ou carregar até 11 kg ou mais, e caminhar ou ficar em pé por longos períodos. Boa apresentaçã"&amp;"o pessoal e capacidade de se comunicar em inglês. Número de horas por semana: 35. Horário de trabalho (início/término): 7h às 0h.")</f>
        <v>***Original*** Servir comida, água, refrigerantes e bebidas alcoólicas. Apresentar cardápios, anotar pedidos e repassá-los à cozinha. Realizar tarefas auxiliares, limpar mesas, transportar pratos do salão para a cozinha e manter as áreas de trabalho limpas. Fornecer toalhas de mesa, talheres, copos e pratos limpos no salão. Auxiliar na montagem, limpeza, abertura e fechamento do restaurante/área de alimentos e bebidas. Pode ser necessário realizar tarefas em ambientes externos, em eventos de banquetes ou atender clientes em carrinho de golfe. Pode executar outras tarefas razoáveis ​​relacionadas ao trabalho, conforme necessário. ***Resposta à Solicitação de Informações (RFI)*** As tarefas de montagem, limpeza, abertura e fechamento do restaurante/área de alimentos e bebidas podem incluir: limpar as mesas, removendo toalhas de mesa, louças e utensílios usados; arrumar as mesas com toalhas de mesa, louças e utensílios limpos; montar e desmontar buffets. Tarefas razoáveis ​​relacionadas ao trabalho podem incluir: servir condimentos e café; abastecer o bar de serviço com alimentos; manter o buffet abastecido com alimentos, pratos, recipientes e utensílios. ***F.a.5 A-H e F.a.6a e F.a.6b: mínimo de 35 horas semanais. Turnos e horários variam de segunda a domingo, das 7h às 0h. *** F.b.9a: Aumentos e/ou bônus podem ser oferecidos a qualquer funcionário na ocupação especificada, a critério exclusivo da empresa, com base em fatores individuais, incluindo desempenho, habilidades ou tempo de serviço. Classificação da vaga: 35-3031.00 - Garçons e Garçonetes. A classificação e descrição da vaga/setor inclui informações gerais sobre o cargo, de acordo com o ONET/OES e o Sistema de Classificação Industrial da América do Norte (NAICS). Consulte as Funções e a Ordem de Serviço para obter mais informações. Requisitos da vaga: Experiência exigida: Não. Requisitos especiais: Exame toxicológico e verificação de antecedentes criminais pré-admissional, realizados igualmente para funcionários americanos e trabalhadores com visto H-2B. Disponibilidade para trabalhar em turnos divididos, noturnos, fins de semana e feriados, conforme necessário. Deve ser capaz de levantar, puxar, empurrar ou carregar até 11 kg ou mais, e caminhar ou ficar em pé por longos períodos. Boa apresentação pessoal e capacidade de se comunicar em inglês. Número de horas por semana: 35. Horário de trabalho (início/término): 7h às 0h.</v>
      </c>
    </row>
    <row r="2342" ht="20.25" customHeight="1">
      <c r="A2342" s="3" t="s">
        <v>10317</v>
      </c>
      <c r="B2342" s="3" t="s">
        <v>10318</v>
      </c>
      <c r="C2342" s="3" t="s">
        <v>10319</v>
      </c>
      <c r="D2342" s="3" t="s">
        <v>532</v>
      </c>
      <c r="E2342" s="4" t="s">
        <v>19</v>
      </c>
      <c r="F2342" s="4" t="s">
        <v>20</v>
      </c>
      <c r="G2342" s="4" t="s">
        <v>345</v>
      </c>
      <c r="H2342" s="3" t="s">
        <v>10320</v>
      </c>
      <c r="I2342" s="3" t="s">
        <v>10321</v>
      </c>
      <c r="J2342" s="4">
        <v>25.75</v>
      </c>
      <c r="K2342" s="4">
        <v>8.0</v>
      </c>
      <c r="L2342" s="3" t="s">
        <v>1309</v>
      </c>
      <c r="M2342" s="3" t="s">
        <v>10322</v>
      </c>
      <c r="N2342" s="7" t="str">
        <f>IFERROR(__xludf.DUMMYFUNCTION("GOOGLETRANSLATE(L2342, ""en"", ""pt"")"),"Pessoa de solo")</f>
        <v>Pessoa de solo</v>
      </c>
      <c r="O2342" s="7" t="str">
        <f>IFERROR(__xludf.DUMMYFUNCTION("IF(M2342="""","""",GOOGLETRANSLATE(M2342,""en"",""pt""))"),"Oito (8) vagas temporárias em tempo integral para Auxiliar de Manutenção de Áreas Externas estão disponíveis para início em 1º de outubro de 2026 e término em 30 de abril de 2027, em turno diurno, com 40 horas semanais, de segunda a sexta-feira, das 8h às"&amp;" 16h, com salário de US$ 25,75 ou mais por hora, e possibilidade de horas extras com pagamento de US$ 38,63 ou mais por hora. Não são necessários treinamento, experiência ou formação prévia, nem treinamento no local de trabalho, pois instruções claras e s"&amp;"imples serão fornecidas no local pelos supervisores de equipe. Os Auxiliares de Manutenção de Áreas Externas trabalharão nos seguintes tipos de propriedades: residenciais, comerciais e municipais, incluindo gramados, campus e prefeituras, nos condados lis"&amp;"tados. As funções incluem poda, corte e aparo de cercas vivas, às vezes utilizando escadas, como no caso de árvores ornamentais e arbustos e cercas vivas mais altos. As funções também incluem a coleta de detritos e galhos danificados por tempestades, o tr"&amp;"ansporte desses detritos, o uso de triturador de galhos e a aplicação de cobertura vegetal protetora; além do carregamento e descarregamento de veículos da equipe. A vaga é de nível inicial e não envolve atividades agrícolas. Os funcionários de campo part"&amp;"icipam de um treinamento diário de segurança. Classificação da vaga: 37-3011.00 - Trabalhadores de Paisagismo e Manutenção de Áreas Verdes. A classificação e descrição da vaga/setor incluem informações gerais sobre o cargo, conforme o ONET/OES e o Sistema"&amp;" de Classificação Industrial da América do Norte (NAICS). Consulte as atribuições e a ordem de serviço para obter mais informações. Requisitos da vaga: Experiência exigida: Não. Requisitos especiais: Não há requisitos especiais. Número de horas por semana"&amp;": 40. Horário de trabalho (início/término): 8h às 16h.")</f>
        <v>Oito (8) vagas temporárias em tempo integral para Auxiliar de Manutenção de Áreas Externas estão disponíveis para início em 1º de outubro de 2026 e término em 30 de abril de 2027, em turno diurno, com 40 horas semanais, de segunda a sexta-feira, das 8h às 16h, com salário de US$ 25,75 ou mais por hora, e possibilidade de horas extras com pagamento de US$ 38,63 ou mais por hora. Não são necessários treinamento, experiência ou formação prévia, nem treinamento no local de trabalho, pois instruções claras e simples serão fornecidas no local pelos supervisores de equipe. Os Auxiliares de Manutenção de Áreas Externas trabalharão nos seguintes tipos de propriedades: residenciais, comerciais e municipais, incluindo gramados, campus e prefeituras, nos condados listados. As funções incluem poda, corte e aparo de cercas vivas, às vezes utilizando escadas, como no caso de árvores ornamentais e arbustos e cercas vivas mais altos. As funções também incluem a coleta de detritos e galhos danificados por tempestades, o transporte desses detritos, o uso de triturador de galhos e a aplicação de cobertura vegetal protetora; além do carregamento e descarregamento de veículos da equipe. A vaga é de nível inicial e não envolve atividades agrícolas. Os funcionários de campo participam de um treinamento diário de segurança. Classificação da vaga: 37-3011.00 - Trabalhadores de Paisagismo e Manutenção de Áreas Verdes. A classificação e descrição da vaga/setor incluem informações gerais sobre o cargo, conforme o ONET/OES e o Sistema de Classificação Industrial da América do Norte (NAICS). Consulte as atribuições e a ordem de serviço para obter mais informações. Requisitos da vaga: Experiência exigida: Não. Requisitos especiais: Não há requisitos especiais. Número de horas por semana: 40. Horário de trabalho (início/término): 8h às 16h.</v>
      </c>
    </row>
    <row r="2343" ht="20.25" customHeight="1">
      <c r="A2343" s="8" t="s">
        <v>10323</v>
      </c>
      <c r="B2343" s="8" t="s">
        <v>10318</v>
      </c>
      <c r="C2343" s="8" t="s">
        <v>10319</v>
      </c>
      <c r="D2343" s="8" t="s">
        <v>532</v>
      </c>
      <c r="E2343" s="9" t="s">
        <v>19</v>
      </c>
      <c r="F2343" s="9" t="s">
        <v>20</v>
      </c>
      <c r="G2343" s="9" t="s">
        <v>345</v>
      </c>
      <c r="H2343" s="8" t="s">
        <v>10324</v>
      </c>
      <c r="I2343" s="8" t="s">
        <v>10325</v>
      </c>
      <c r="J2343" s="9">
        <v>21.6</v>
      </c>
      <c r="K2343" s="9">
        <v>9.0</v>
      </c>
      <c r="L2343" s="8" t="s">
        <v>1309</v>
      </c>
      <c r="M2343" s="8" t="s">
        <v>10326</v>
      </c>
      <c r="N2343" s="7" t="str">
        <f>IFERROR(__xludf.DUMMYFUNCTION("GOOGLETRANSLATE(L2343, ""en"", ""pt"")"),"Pessoa de solo")</f>
        <v>Pessoa de solo</v>
      </c>
      <c r="O2343" s="7" t="str">
        <f>IFERROR(__xludf.DUMMYFUNCTION("IF(M2343="""","""",GOOGLETRANSLATE(M2343,""en"",""pt""))"),"Nove (9) vagas temporárias em tempo integral para Auxiliar de Campo estão disponíveis para início em 1º de outubro de 2026 e término em 30 de abril de 2027, com turno diurno de quarenta horas semanais (segunda a sexta, das 8h às 16h), com salário de US$ 2"&amp;"1,60 ou mais por hora, e possibilidade de horas extras com pagamento de US$ 32,40 ou mais por hora. As funções do Auxiliar de Campo incluem poda, corte e aparo de cercas vivas, ocasionalmente utilizando escadas, como no caso de árvores ornamentais e arbus"&amp;"tos e cercas vivas mais altos. As tarefas também incluem a coleta de detritos e galhos danificados por tempestades de inverno, o transporte desses detritos, o uso de triturador de galhos, a aplicação de cobertura vegetal protetora e fertilizantes seguros,"&amp;" além do carregamento e descarregamento de veículos da equipe. Os Auxiliares de Campo auxiliam nossos escaladores e técnicos de diagnóstico em tarefas de apoio em solo. A vaga é de nível inicial e não envolve atividades agrícolas. Os Auxiliares de Campo p"&amp;"articipam de um treinamento diário de segurança. Não são necessários treinamento, experiência ou formação prévia, nem treinamento no local de trabalho, pois instruções claras e simples são fornecidas no local pelos supervisores de equipe. Os trabalhadores"&amp;" de paisagismo e manutenção de áreas verdes atuarão nos seguintes tipos de propriedades: residenciais, comerciais e municipais, incluindo gramados, campus universitários e prefeituras, nos condados listados. Classificação da função: 37-3011.00 - Trabalhad"&amp;"ores de Paisagismo e Manutenção de Áreas Verdes. A classificação e descrição da função/setor incluem informações gerais sobre o cargo, de acordo com o ONET/OES e o Sistema de Classificação Industrial da América do Norte (NAICS). Consulte as atribuições e "&amp;"a ordem de serviço para obter mais informações. Requisitos da vaga: Experiência exigida: Não. Requisitos especiais: Não há requisitos especiais. Número de horas por semana: 40. Horário de trabalho (início/término): 8h às 16h.")</f>
        <v>Nove (9) vagas temporárias em tempo integral para Auxiliar de Campo estão disponíveis para início em 1º de outubro de 2026 e término em 30 de abril de 2027, com turno diurno de quarenta horas semanais (segunda a sexta, das 8h às 16h), com salário de US$ 21,60 ou mais por hora, e possibilidade de horas extras com pagamento de US$ 32,40 ou mais por hora. As funções do Auxiliar de Campo incluem poda, corte e aparo de cercas vivas, ocasionalmente utilizando escadas, como no caso de árvores ornamentais e arbustos e cercas vivas mais altos. As tarefas também incluem a coleta de detritos e galhos danificados por tempestades de inverno, o transporte desses detritos, o uso de triturador de galhos, a aplicação de cobertura vegetal protetora e fertilizantes seguros, além do carregamento e descarregamento de veículos da equipe. Os Auxiliares de Campo auxiliam nossos escaladores e técnicos de diagnóstico em tarefas de apoio em solo. A vaga é de nível inicial e não envolve atividades agrícolas. Os Auxiliares de Campo participam de um treinamento diário de segurança. Não são necessários treinamento, experiência ou formação prévia, nem treinamento no local de trabalho, pois instruções claras e simples são fornecidas no local pelos supervisores de equipe. Os trabalhadores de paisagismo e manutenção de áreas verdes atuarão nos seguintes tipos de propriedades: residenciais, comerciais e municipais, incluindo gramados, campus universitários e prefeituras, nos condados listados. Classificação da função: 37-3011.00 - Trabalhadores de Paisagismo e Manutenção de Áreas Verdes. A classificação e descrição da função/setor incluem informações gerais sobre o cargo, de acordo com o ONET/OES e o Sistema de Classificação Industrial da América do Norte (NAICS). Consulte as atribuições e a ordem de serviço para obter mais informações. Requisitos da vaga: Experiência exigida: Não. Requisitos especiais: Não há requisitos especiais. Número de horas por semana: 40. Horário de trabalho (início/término): 8h às 16h.</v>
      </c>
    </row>
    <row r="2344" ht="20.25" customHeight="1">
      <c r="A2344" s="3" t="s">
        <v>10327</v>
      </c>
      <c r="B2344" s="3" t="s">
        <v>10328</v>
      </c>
      <c r="C2344" s="3" t="s">
        <v>10025</v>
      </c>
      <c r="D2344" s="3" t="s">
        <v>140</v>
      </c>
      <c r="E2344" s="4" t="s">
        <v>19</v>
      </c>
      <c r="F2344" s="4" t="s">
        <v>20</v>
      </c>
      <c r="G2344" s="4" t="s">
        <v>524</v>
      </c>
      <c r="H2344" s="3" t="s">
        <v>10329</v>
      </c>
      <c r="I2344" s="3" t="s">
        <v>10330</v>
      </c>
      <c r="J2344" s="4">
        <v>12.12</v>
      </c>
      <c r="K2344" s="4">
        <v>4.0</v>
      </c>
      <c r="L2344" s="3" t="s">
        <v>1684</v>
      </c>
      <c r="M2344" s="3" t="s">
        <v>10043</v>
      </c>
      <c r="N2344" s="7" t="str">
        <f>IFERROR(__xludf.DUMMYFUNCTION("GOOGLETRANSLATE(L2344, ""en"", ""pt"")"),"Barman")</f>
        <v>Barman</v>
      </c>
      <c r="O2344" s="7" t="str">
        <f>IFERROR(__xludf.DUMMYFUNCTION("IF(M2344="""","""",GOOGLETRANSLATE(M2344,""en"",""pt""))"),"***Original*** Anotar pedidos de bebidas. Preparar e servir drinks. Limpar copos e equipamentos do bar. Manter a área do bar limpa e abastecida. Pode ser necessário anotar e servir pedidos de comida. Solicitar e exibir bebidas alcoólicas e suprimentos. Po"&amp;"de executar outras tarefas razoáveis ​​relacionadas ao trabalho, conforme necessário. ***Resposta à Solicitação de Informação (RFI)*** Ocasionalmente, os clientes podem preferir uma refeição rápida enquanto estão sentados no bar. Nesses casos, pode ser ne"&amp;"cessário anotar o pedido de comida e servir lanches e outros itens alimentícios. Outras tarefas razoáveis ​​relacionadas ao trabalho podem incluir: Repor o bar com cerveja, vinho, bebidas alcoólicas e suprimentos relacionados, como gelo, copos, guardanapo"&amp;"s ou canudos. Cortar e retirar caroços de frutas para decorar bebidas. Organizar garrafas e copos para criar apresentações atraentes. ***F.a.5 A-H e F.a.6a e F.a.6b Mínimo de 35 horas/semana. Turnos e horários variam de segunda a domingo, das 7h às 23h. *"&amp;"** F.b.9a: Aumentos salariais e/ou bônus podem ser oferecidos a qualquer funcionário na ocupação especificada, a critério exclusivo da empresa, com base em fatores individuais, incluindo desempenho no trabalho, habilidade ou tempo de serviço. Classificaçã"&amp;"o do Cargo: 35-3011.00 - Bartenders. A classificação e descrição do cargo/setor inclui informações gerais sobre a posição, de acordo com o ONET/OES e o Sistema de Classificação Industrial da América do Norte (NAICS). Consulte as Funções e a Ordem de Servi"&amp;"ço para obter mais informações. Requisitos do Cargo Experiência Necessária: Não. Requisitos Especiais: Disponibilidade para trabalhar em turnos divididos, noturnos, fins de semana e feriados, conforme necessário. Capacidade de levantar, puxar, empurrar ou"&amp;" carregar até 11 kg ou mais, e caminhar ou ficar em pé por longos períodos. Boa apresentação pessoal e capacidade de se comunicar em inglês. Número de Horas por Semana: 35. Horário de Trabalho (Início/Término): 7h às 23h.")</f>
        <v>***Original*** Anotar pedidos de bebidas. Preparar e servir drinks. Limpar copos e equipamentos do bar. Manter a área do bar limpa e abastecida. Pode ser necessário anotar e servir pedidos de comida. Solicitar e exibir bebidas alcoólicas e suprimentos. Pode executar outras tarefas razoáveis ​​relacionadas ao trabalho, conforme necessário. ***Resposta à Solicitação de Informação (RFI)*** Ocasionalmente, os clientes podem preferir uma refeição rápida enquanto estão sentados no bar. Nesses casos, pode ser necessário anotar o pedido de comida e servir lanches e outros itens alimentícios. Outras tarefas razoáveis ​​relacionadas ao trabalho podem incluir: Repor o bar com cerveja, vinho, bebidas alcoólicas e suprimentos relacionados, como gelo, copos, guardanapos ou canudos. Cortar e retirar caroços de frutas para decorar bebidas. Organizar garrafas e copos para criar apresentações atraentes. ***F.a.5 A-H e F.a.6a e F.a.6b Mínimo de 35 horas/semana. Turnos e horários variam de segunda a domingo, das 7h às 23h. *** F.b.9a: Aumentos salariais e/ou bônus podem ser oferecidos a qualquer funcionário na ocupação especificada, a critério exclusivo da empresa, com base em fatores individuais, incluindo desempenho no trabalho, habilidade ou tempo de serviço. Classificação do Cargo: 35-3011.00 - Bartenders. A classificação e descrição do cargo/setor inclui informações gerais sobre a posição, de acordo com o ONET/OES e o Sistema de Classificação Industrial da América do Norte (NAICS). Consulte as Funções e a Ordem de Serviço para obter mais informações. Requisitos do Cargo Experiência Necessária: Não. Requisitos Especiais: Disponibilidade para trabalhar em turnos divididos, noturnos, fins de semana e feriados, conforme necessário. Capacidade de levantar, puxar, empurrar ou carregar até 11 kg ou mais, e caminhar ou ficar em pé por longos períodos. Boa apresentação pessoal e capacidade de se comunicar em inglês. Número de Horas por Semana: 35. Horário de Trabalho (Início/Término): 7h às 23h.</v>
      </c>
    </row>
    <row r="2345" ht="20.25" customHeight="1">
      <c r="A2345" s="8" t="s">
        <v>10331</v>
      </c>
      <c r="B2345" s="8" t="s">
        <v>10328</v>
      </c>
      <c r="C2345" s="8" t="s">
        <v>10025</v>
      </c>
      <c r="D2345" s="8" t="s">
        <v>140</v>
      </c>
      <c r="E2345" s="9" t="s">
        <v>19</v>
      </c>
      <c r="F2345" s="9" t="s">
        <v>20</v>
      </c>
      <c r="G2345" s="9" t="s">
        <v>524</v>
      </c>
      <c r="H2345" s="8" t="s">
        <v>10329</v>
      </c>
      <c r="I2345" s="8" t="s">
        <v>10330</v>
      </c>
      <c r="J2345" s="9">
        <v>14.15</v>
      </c>
      <c r="K2345" s="9">
        <v>7.0</v>
      </c>
      <c r="L2345" s="8" t="s">
        <v>387</v>
      </c>
      <c r="M2345" s="8" t="s">
        <v>10332</v>
      </c>
      <c r="N2345" s="7" t="str">
        <f>IFERROR(__xludf.DUMMYFUNCTION("GOOGLETRANSLATE(L2345, ""en"", ""pt"")"),"Ordem de serviço não disponível")</f>
        <v>Ordem de serviço não disponível</v>
      </c>
      <c r="O2345" s="7" t="str">
        <f>IFERROR(__xludf.DUMMYFUNCTION("IF(M2345="""","""",GOOGLETRANSLATE(M2345,""en"",""pt""))"),"Preparar, temperar, cozinhar, empratar e decorar refeições. Medir/misturar ingredientes conforme a receita para cozinhar do zero. Seguir os procedimentos de controle de porções, apresentação, consistência, sabor e higiene adequados. Observar/provar os ali"&amp;"mentos cozidos. Pode substituir/auxiliar outros cozinheiros em emergências/períodos de pico. ***F.a.5 A-H e F.a.6a e F.a.6b: mínimo de 35 horas/semana. Turnos e horários variam de segunda a domingo, das 7h às 23h. *** F.b.9a: Aumentos e/ou bônus podem ser"&amp;" oferecidos a qualquer funcionário na ocupação especificada, a critério exclusivo da empresa, com base em fatores individuais, incluindo desempenho no trabalho, habilidade ou tempo de serviço. Classificação do Cargo: 35-2014.00 - Cozinheiros, Restaurante."&amp;" A classificação e descrição do cargo/setor inclui informações gerais sobre a posição, de acordo com o ONET/OES e o Sistema de Classificação Industrial da América do Norte. Consulte as Funções e a Ordem de Serviço para obter mais informações. Requisitos d"&amp;"a vaga Experiência necessária: Não Requisitos especiais: Disponibilidade para trabalhar em turnos divididos, noturnos, fins de semana e feriados, conforme necessário. Capacidade de levantar, puxar, empurrar ou carregar até 11 kg ou mais, e caminhar ou fic"&amp;"ar em pé por longos períodos. Boa apresentação pessoal e capacidade de se comunicar em inglês. Número de horas por semana: 35 Horário de trabalho (início/término): 7h às 11h")</f>
        <v>Preparar, temperar, cozinhar, empratar e decorar refeições. Medir/misturar ingredientes conforme a receita para cozinhar do zero. Seguir os procedimentos de controle de porções, apresentação, consistência, sabor e higiene adequados. Observar/provar os alimentos cozidos. Pode substituir/auxiliar outros cozinheiros em emergências/períodos de pico. ***F.a.5 A-H e F.a.6a e F.a.6b: mínimo de 35 horas/semana. Turnos e horários variam de segunda a domingo, das 7h às 23h. *** F.b.9a: Aumentos e/ou bônus podem ser oferecidos a qualquer funcionário na ocupação especificada, a critério exclusivo da empresa, com base em fatores individuais, incluindo desempenho no trabalho, habilidade ou tempo de serviço. Classificação do Cargo: 35-2014.00 - Cozinheiros, Restaurante. A classificação e descrição do cargo/setor inclui informações gerais sobre a posição, de acordo com o ONET/OES e o Sistema de Classificação Industrial da América do Norte. Consulte as Funções e a Ordem de Serviço para obter mais informações. Requisitos da vaga Experiência necessária: Não Requisitos especiais: Disponibilidade para trabalhar em turnos divididos, noturnos, fins de semana e feriados, conforme necessário. Capacidade de levantar, puxar, empurrar ou carregar até 11 kg ou mais, e caminhar ou ficar em pé por longos períodos. Boa apresentação pessoal e capacidade de se comunicar em inglês. Número de horas por semana: 35 Horário de trabalho (início/término): 7h às 11h</v>
      </c>
    </row>
    <row r="2346" ht="20.25" customHeight="1">
      <c r="A2346" s="3" t="s">
        <v>10333</v>
      </c>
      <c r="B2346" s="3" t="s">
        <v>10328</v>
      </c>
      <c r="C2346" s="3" t="s">
        <v>10025</v>
      </c>
      <c r="D2346" s="3" t="s">
        <v>140</v>
      </c>
      <c r="E2346" s="4" t="s">
        <v>44</v>
      </c>
      <c r="F2346" s="4" t="s">
        <v>20</v>
      </c>
      <c r="G2346" s="4" t="s">
        <v>524</v>
      </c>
      <c r="H2346" s="3" t="s">
        <v>10329</v>
      </c>
      <c r="I2346" s="3" t="s">
        <v>10330</v>
      </c>
      <c r="J2346" s="4">
        <v>13.89</v>
      </c>
      <c r="K2346" s="4">
        <v>2.0</v>
      </c>
      <c r="L2346" s="3" t="s">
        <v>1206</v>
      </c>
      <c r="M2346" s="3" t="s">
        <v>10334</v>
      </c>
      <c r="N2346" s="7" t="str">
        <f>IFERROR(__xludf.DUMMYFUNCTION("GOOGLETRANSLATE(L2346, ""en"", ""pt"")"),"Servidor")</f>
        <v>Servidor</v>
      </c>
      <c r="O2346" s="7" t="str">
        <f>IFERROR(__xludf.DUMMYFUNCTION("IF(M2346="""","""",GOOGLETRANSLATE(M2346,""en"",""pt""))"),"***Original*** Servir comida, água, refrigerantes e bebidas alcoólicas. Apresentar cardápios, anotar pedidos e repassá-los à cozinha. Realizar tarefas auxiliares, limpar mesas, transportar pratos do salão para a cozinha e manter as áreas de trabalho limpa"&amp;"s. Fornecer toalhas de mesa, talheres, copos e pratos limpos no salão. Auxiliar na montagem, limpeza, abertura e fechamento do restaurante/área de alimentos e bebidas. Pode ser necessário realizar tarefas em ambientes externos, em eventos de banquetes ou "&amp;"atender clientes em carrinho de golfe. Pode executar outras tarefas razoáveis ​​relacionadas ao trabalho, conforme necessário. ***Resposta à Solicitação de Informações (RFI)*** As tarefas de montagem, limpeza, abertura e fechamento do restaurante/área de "&amp;"alimentos e bebidas podem incluir: limpar as mesas, removendo toalhas de mesa, louças e utensílios usados; arrumar as mesas com toalhas de mesa, louças e utensílios limpos; montar e desmontar buffets. Tarefas razoáveis ​​relacionadas ao trabalho podem inc"&amp;"luir: servir condimentos e café; abastecer o bar de serviço com alimentos; manter o buffet abastecido com alimentos, pratos, recipientes e utensílios. ***F.a.5 A-H e F.a.6a e F.a.6b: mínimo de 35 horas semanais. Turnos e horários variam de segunda a domin"&amp;"go, das 7h às 23h. *** F.b.9a: Aumentos e/ou bônus podem ser oferecidos a qualquer funcionário na ocupação especificada, a critério exclusivo da empresa, com base em fatores individuais, incluindo desempenho, habilidades ou tempo de serviço. Classificação"&amp;" da vaga: 35-3041.00 - Garçons/Garçonetes (não em restaurantes). A classificação e descrição da vaga/setor incluem informações gerais sobre o cargo, de acordo com o ONET/OES e o Sistema de Classificação Industrial da América do Norte (NAICS). Consulte as "&amp;"Funções e a Ordem de Serviço para obter mais informações. Requisitos da vaga: Experiência necessária: Não. Requisitos especiais: Disponibilidade para trabalhar em turnos divididos, noturnos, fins de semana e feriados, conforme necessário. Capacidade de le"&amp;"vantar, puxar, empurrar ou carregar até 11 kg ou mais e caminhar ou ficar em pé por longos períodos. Boa apresentação pessoal e capacidade de se comunicar em inglês. Número de horas por semana: 35 Horário de trabalho (início/término): 7h00 - 23h00")</f>
        <v>***Original*** Servir comida, água, refrigerantes e bebidas alcoólicas. Apresentar cardápios, anotar pedidos e repassá-los à cozinha. Realizar tarefas auxiliares, limpar mesas, transportar pratos do salão para a cozinha e manter as áreas de trabalho limpas. Fornecer toalhas de mesa, talheres, copos e pratos limpos no salão. Auxiliar na montagem, limpeza, abertura e fechamento do restaurante/área de alimentos e bebidas. Pode ser necessário realizar tarefas em ambientes externos, em eventos de banquetes ou atender clientes em carrinho de golfe. Pode executar outras tarefas razoáveis ​​relacionadas ao trabalho, conforme necessário. ***Resposta à Solicitação de Informações (RFI)*** As tarefas de montagem, limpeza, abertura e fechamento do restaurante/área de alimentos e bebidas podem incluir: limpar as mesas, removendo toalhas de mesa, louças e utensílios usados; arrumar as mesas com toalhas de mesa, louças e utensílios limpos; montar e desmontar buffets. Tarefas razoáveis ​​relacionadas ao trabalho podem incluir: servir condimentos e café; abastecer o bar de serviço com alimentos; manter o buffet abastecido com alimentos, pratos, recipientes e utensílios. ***F.a.5 A-H e F.a.6a e F.a.6b: mínimo de 35 horas semanais. Turnos e horários variam de segunda a domingo, das 7h às 23h. *** F.b.9a: Aumentos e/ou bônus podem ser oferecidos a qualquer funcionário na ocupação especificada, a critério exclusivo da empresa, com base em fatores individuais, incluindo desempenho, habilidades ou tempo de serviço. Classificação da vaga: 35-3041.00 - Garçons/Garçonetes (não em restaurantes). A classificação e descrição da vaga/setor incluem informações gerais sobre o cargo, de acordo com o ONET/OES e o Sistema de Classificação Industrial da América do Norte (NAICS). Consulte as Funções e a Ordem de Serviço para obter mais informações. Requisitos da vaga: Experiência necessária: Não. Requisitos especiais: Disponibilidade para trabalhar em turnos divididos, noturnos, fins de semana e feriados, conforme necessário. Capacidade de levantar, puxar, empurrar ou carregar até 11 kg ou mais e caminhar ou ficar em pé por longos períodos. Boa apresentação pessoal e capacidade de se comunicar em inglês. Número de horas por semana: 35 Horário de trabalho (início/término): 7h00 - 23h00</v>
      </c>
    </row>
    <row r="2347" ht="20.25" customHeight="1">
      <c r="A2347" s="8" t="s">
        <v>10335</v>
      </c>
      <c r="B2347" s="8" t="s">
        <v>10336</v>
      </c>
      <c r="C2347" s="8" t="s">
        <v>10337</v>
      </c>
      <c r="D2347" s="8" t="s">
        <v>663</v>
      </c>
      <c r="E2347" s="9" t="s">
        <v>19</v>
      </c>
      <c r="F2347" s="9" t="s">
        <v>20</v>
      </c>
      <c r="G2347" s="9" t="s">
        <v>155</v>
      </c>
      <c r="H2347" s="8" t="s">
        <v>10338</v>
      </c>
      <c r="I2347" s="8" t="s">
        <v>10339</v>
      </c>
      <c r="J2347" s="9">
        <v>19.12</v>
      </c>
      <c r="K2347" s="9">
        <v>15.0</v>
      </c>
      <c r="L2347" s="8" t="s">
        <v>10340</v>
      </c>
      <c r="M2347" s="8" t="s">
        <v>10341</v>
      </c>
      <c r="N2347" s="7" t="str">
        <f>IFERROR(__xludf.DUMMYFUNCTION("GOOGLETRANSLATE(L2347, ""en"", ""pt"")"),"Trabalhadores sazonais para manutenção de jardins e áreas externas")</f>
        <v>Trabalhadores sazonais para manutenção de jardins e áreas externas</v>
      </c>
      <c r="O2347" s="7" t="str">
        <f>IFERROR(__xludf.DUMMYFUNCTION("IF(M2347="""","""",GOOGLETRANSLATE(M2347,""en"",""pt""))"),"Os trabalhadores sazonais de paisagismo e manutenção de terrenos realizam serviços de paisagismo, manutenção de terrenos e manutenção sazonal de propriedades residenciais e comerciais. As funções específicas podem incluir: - Cortar, aparar, cortar bordas "&amp;"e manter gramados e áreas ajardinadas - Plantar flores, arbustos, árvores e outros materiais paisagísticos - Espalhar cobertura morta, pedras, terra, fertilizantes e outros materiais paisagísticos - Realizar serviços de limpeza de primavera e outono, incl"&amp;"uindo remoção de detritos e folhas - Auxiliar na instalação, inicialização, preparação para o inverno e reparos básicos de sistemas de irrigação - Operar ferramentas manuais, ferramentas elétricas e pequenos equipamentos comumente usados ​​na manutenção d"&amp;"e jardins e áreas verdes - Carregar e descarregar materiais, ferramentas e suprimentos para paisagismo - Limpar e manter ferramentas, equipamentos e áreas de trabalho - Realizar serviços sazonais de remoção de neve e gelo, incluindo a limpeza de calçadas,"&amp;" passarelas, estacionamentos e áreas de acesso à propriedade, utilizando ferramentas manuais, sopradores de neve, espalhadores e pequenos equipamentos de remoção de neve - Aplicar produtos para derreter gelo e descongelar para manter as condições da propr"&amp;"iedade seguras durante o inverno - Seguir os procedimentos de segurança da empresa e manter um ambiente de trabalho seguro - Realizar trabalhos gerais ao ar livre associados à manutenção de jardins, áreas verdes e serviços sazonais de propriedades. Os tra"&amp;"balhadores desempenharão funções em propriedades residenciais e comerciais em todas as áreas de serviço do empregador. O candidato deve ser capaz de realizar trabalho físico ao ar livre em diversas condições climáticas, incluindo ficar em pé, curvar-se, l"&amp;"evantar, caminhar, usar pá e carregar materiais com peso de até 23 kg. A jornada de trabalho regular pode incluir dias de semana, fins de semana, feriados e horas extras, dependendo das condições climáticas e das necessidades sazonais da empresa. O trabal"&amp;"ho será realizado das 7h30 às 16h, de segunda a sexta-feira. É necessário ter disponibilidade para trabalho de plantão, incluindo noites, madrugadas, fins de semana e feriados. Haverá possibilidade de horas extras. ***Se necessário, o empregador pretende "&amp;"auxiliar trabalhadores estrangeiros e não residentes nos EUA contratados de acordo com esta ordem de serviço a obterem acomodação paga pelo trabalhador, cujo valor não poderá exceder o custo justo de mercado, com base no número de ocupantes. Classificação"&amp;" do Cargo: 37-3011.00 - Trabalhadores de Paisagismo e Manutenção de Jardins. A classificação e descrição do cargo/setor incluem informações gerais sobre a posição, conforme o ONET/OES e o Sistema de Classificação Industrial da América do Norte. Consulte a"&amp;"s Funções e a Ordem de Serviço para obter mais informações. Requisitos da Vaga Experiência Necessária: Não Requisitos Especiais: Os funcionários devem ser capazes de levantar e carregar até 23 kg (50 libras) regularmente. É necessário possuir carteira de "&amp;"habilitação válida e estar apto a dirigir veículos da empresa. O horário de trabalho será das 7h30 às 16h, de segunda a sexta-feira. É necessário ter disponibilidade para trabalhar em regime de plantão, incluindo noites, madrugadas, fins de semana e feria"&amp;"dos. Horas extras serão oferecidas. Não é necessária experiência prévia. Todo o treinamento necessário será fornecido. É necessário ser capaz de trabalhar em condições climáticas extremas, como frio, por longos períodos. Número de Horas por Semana: 40 Hor"&amp;"ário de Trabalho (Início/Término): 7h30 às 16h")</f>
        <v>Os trabalhadores sazonais de paisagismo e manutenção de terrenos realizam serviços de paisagismo, manutenção de terrenos e manutenção sazonal de propriedades residenciais e comerciais. As funções específicas podem incluir: - Cortar, aparar, cortar bordas e manter gramados e áreas ajardinadas - Plantar flores, arbustos, árvores e outros materiais paisagísticos - Espalhar cobertura morta, pedras, terra, fertilizantes e outros materiais paisagísticos - Realizar serviços de limpeza de primavera e outono, incluindo remoção de detritos e folhas - Auxiliar na instalação, inicialização, preparação para o inverno e reparos básicos de sistemas de irrigação - Operar ferramentas manuais, ferramentas elétricas e pequenos equipamentos comumente usados ​​na manutenção de jardins e áreas verdes - Carregar e descarregar materiais, ferramentas e suprimentos para paisagismo - Limpar e manter ferramentas, equipamentos e áreas de trabalho - Realizar serviços sazonais de remoção de neve e gelo, incluindo a limpeza de calçadas, passarelas, estacionamentos e áreas de acesso à propriedade, utilizando ferramentas manuais, sopradores de neve, espalhadores e pequenos equipamentos de remoção de neve - Aplicar produtos para derreter gelo e descongelar para manter as condições da propriedade seguras durante o inverno - Seguir os procedimentos de segurança da empresa e manter um ambiente de trabalho seguro - Realizar trabalhos gerais ao ar livre associados à manutenção de jardins, áreas verdes e serviços sazonais de propriedades. Os trabalhadores desempenharão funções em propriedades residenciais e comerciais em todas as áreas de serviço do empregador. O candidato deve ser capaz de realizar trabalho físico ao ar livre em diversas condições climáticas, incluindo ficar em pé, curvar-se, levantar, caminhar, usar pá e carregar materiais com peso de até 23 kg. A jornada de trabalho regular pode incluir dias de semana, fins de semana, feriados e horas extras, dependendo das condições climáticas e das necessidades sazonais da empresa. O trabalho será realizado das 7h30 às 16h, de segunda a sexta-feira. É necessário ter disponibilidade para trabalho de plantão, incluindo noites, madrugadas, fins de semana e feriados. Haverá possibilidade de horas extras. ***Se necessário, o empregador pretende auxiliar trabalhadores estrangeiros e não residentes nos EUA contratados de acordo com esta ordem de serviço a obterem acomodação paga pelo trabalhador, cujo valor não poderá exceder o custo justo de mercado, com base no número de ocupantes. Classificação do Cargo: 37-3011.00 - Trabalhadores de Paisagismo e Manutenção de Jardins. A classificação e descrição do cargo/setor incluem informações gerais sobre a posição, conforme o ONET/OES e o Sistema de Classificação Industrial da América do Norte. Consulte as Funções e a Ordem de Serviço para obter mais informações. Requisitos da Vaga Experiência Necessária: Não Requisitos Especiais: Os funcionários devem ser capazes de levantar e carregar até 23 kg (50 libras) regularmente. É necessário possuir carteira de habilitação válida e estar apto a dirigir veículos da empresa. O horário de trabalho será das 7h30 às 16h, de segunda a sexta-feira. É necessário ter disponibilidade para trabalhar em regime de plantão, incluindo noites, madrugadas, fins de semana e feriados. Horas extras serão oferecidas. Não é necessária experiência prévia. Todo o treinamento necessário será fornecido. É necessário ser capaz de trabalhar em condições climáticas extremas, como frio, por longos períodos. Número de Horas por Semana: 40 Horário de Trabalho (Início/Término): 7h30 às 16h</v>
      </c>
    </row>
    <row r="2348" ht="20.25" customHeight="1">
      <c r="A2348" s="3" t="s">
        <v>10342</v>
      </c>
      <c r="B2348" s="3" t="s">
        <v>10343</v>
      </c>
      <c r="C2348" s="3"/>
      <c r="D2348" s="3" t="s">
        <v>64</v>
      </c>
      <c r="E2348" s="4" t="s">
        <v>19</v>
      </c>
      <c r="F2348" s="4" t="s">
        <v>20</v>
      </c>
      <c r="G2348" s="4" t="s">
        <v>229</v>
      </c>
      <c r="H2348" s="3" t="s">
        <v>10344</v>
      </c>
      <c r="I2348" s="3" t="s">
        <v>10345</v>
      </c>
      <c r="J2348" s="4">
        <v>28.13</v>
      </c>
      <c r="K2348" s="4">
        <v>4.0</v>
      </c>
      <c r="L2348" s="3" t="s">
        <v>3774</v>
      </c>
      <c r="M2348" s="3" t="s">
        <v>10346</v>
      </c>
      <c r="N2348" s="7" t="str">
        <f>IFERROR(__xludf.DUMMYFUNCTION("GOOGLETRANSLATE(L2348, ""en"", ""pt"")"),"Encanador de piscina")</f>
        <v>Encanador de piscina</v>
      </c>
      <c r="O2348" s="7" t="str">
        <f>IFERROR(__xludf.DUMMYFUNCTION("IF(M2348="""","""",GOOGLETRANSLATE(M2348,""en"",""pt""))"),"O encanador de piscinas irá montar e instalar seções de tubos, conexões e tubulações em construções residenciais. Também poderá alterar e cortar aberturas em estruturas para acomodar tubos e conexões, além de reparar tubulações ou sistemas de tubulação us"&amp;"ando ferramentas manuais e elétricas. Encherá tubos ou acessórios hidráulicos com água, vapor ou ar para detectar e localizar vazamentos em piscinas. Poderá instalar equipamentos de aquecimento e refrigeração e sistemas de controle mecânico. Classificação"&amp;" da Função: 47-2152.00 - Encanadores, Instaladores de Tubulações e Instaladores de Vapor. A classificação e descrição da função/setor inclui informações gerais sobre o cargo, de acordo com o ONET/OES e o Sistema de Classificação Industrial da América do N"&amp;"orte (NAICS). Consulte as Funções e a Ordem de Serviço para obter mais informações. Requisitos da Função: Experiência Necessária: Sim. Meses de Experiência Necessários: 3. Requisitos Especiais: Três meses de experiência como encanador de piscinas em ambie"&amp;"nte de construção residencial. Deve ser capaz de se abaixar, levantar e suportar até 23 kg, trabalhar em condições climáticas extremas. Não é necessário viajar para fora da região metropolitana, não é exigida escolaridade e não há treinamento disponível n"&amp;"o local de trabalho. Exame toxicológico pós-contratação obrigatório, pago pelo empregador. Todos os funcionários, incluindo os temporários, serão submetidos ao exame da mesma forma. Número de horas semanais: 40. Horário de trabalho (início/término): 7h às"&amp;" 15h.")</f>
        <v>O encanador de piscinas irá montar e instalar seções de tubos, conexões e tubulações em construções residenciais. Também poderá alterar e cortar aberturas em estruturas para acomodar tubos e conexões, além de reparar tubulações ou sistemas de tubulação usando ferramentas manuais e elétricas. Encherá tubos ou acessórios hidráulicos com água, vapor ou ar para detectar e localizar vazamentos em piscinas. Poderá instalar equipamentos de aquecimento e refrigeração e sistemas de controle mecânico. Classificação da Função: 47-2152.00 - Encanadores, Instaladores de Tubulações e Instaladores de Vapor. A classificação e descrição da função/setor inclui informações gerais sobre o cargo, de acordo com o ONET/OES e o Sistema de Classificação Industrial da América do Norte (NAICS). Consulte as Funções e a Ordem de Serviço para obter mais informações. Requisitos da Função: Experiência Necessária: Sim. Meses de Experiência Necessários: 3. Requisitos Especiais: Três meses de experiência como encanador de piscinas em ambiente de construção residencial. Deve ser capaz de se abaixar, levantar e suportar até 23 kg, trabalhar em condições climáticas extremas. Não é necessário viajar para fora da região metropolitana, não é exigida escolaridade e não há treinamento disponível no local de trabalho. Exame toxicológico pós-contratação obrigatório, pago pelo empregador. Todos os funcionários, incluindo os temporários, serão submetidos ao exame da mesma forma. Número de horas semanais: 40. Horário de trabalho (início/término): 7h às 15h.</v>
      </c>
    </row>
    <row r="2349" ht="20.25" customHeight="1">
      <c r="A2349" s="8" t="s">
        <v>10347</v>
      </c>
      <c r="B2349" s="8" t="s">
        <v>10348</v>
      </c>
      <c r="C2349" s="8" t="s">
        <v>10349</v>
      </c>
      <c r="D2349" s="8" t="s">
        <v>87</v>
      </c>
      <c r="E2349" s="9" t="s">
        <v>19</v>
      </c>
      <c r="F2349" s="9" t="s">
        <v>20</v>
      </c>
      <c r="G2349" s="9" t="s">
        <v>94</v>
      </c>
      <c r="H2349" s="8" t="s">
        <v>10350</v>
      </c>
      <c r="I2349" s="8" t="s">
        <v>10351</v>
      </c>
      <c r="J2349" s="9">
        <v>14.06</v>
      </c>
      <c r="K2349" s="9">
        <v>10.0</v>
      </c>
      <c r="L2349" s="8" t="s">
        <v>10352</v>
      </c>
      <c r="M2349" s="8" t="s">
        <v>10353</v>
      </c>
      <c r="N2349" s="7" t="str">
        <f>IFERROR(__xludf.DUMMYFUNCTION("GOOGLETRANSLATE(L2349, ""en"", ""pt"")"),"Serviços de limpeza")</f>
        <v>Serviços de limpeza</v>
      </c>
      <c r="O2349" s="7" t="str">
        <f>IFERROR(__xludf.DUMMYFUNCTION("IF(M2349="""","""",GOOGLETRANSLATE(M2349,""en"",""pt""))"),"Limpar quartos de hóspedes, banheiros e áreas comuns do hotel, garantindo que sejam mantidos em condições limpas e higiênicas. Trocar a roupa de cama, arrumar as camas e repor toalhas, artigos de higiene pessoal e outras comodidades de acordo com os padrõ"&amp;"es do hotel. Varrer, passar pano, aspirar e tirar o pó dos quartos e corredores conforme necessário. Descartar o lixo e garantir o gerenciamento adequado de resíduos nas áreas designadas. Inspecionar e relatar quaisquer danos, problemas de manutenção ou i"&amp;"tens faltantes à gerência. Repor os materiais de limpeza e relatar à gerência a falta de estoque. Auxiliar nas tarefas de lavanderia, incluindo lavar, secar e dobrar roupas de cama quando necessário. Garantir o cumprimento de todas as normas de saúde e se"&amp;"gurança. Oferecer excelente atendimento ao cliente e atender às solicitações dos hóspedes por suprimentos adicionais ou serviço de quarto. Manter altos padrões de limpeza e organização em todos os quartos de hóspedes e áreas públicas. Classificação da vag"&amp;"a: 37-2012.00 - Camareiras e Auxiliares de Limpeza. A classificação e descrição da vaga/setor incluem informações gerais sobre o cargo, de acordo com o ONET/OES e o Sistema de Classificação Industrial da América do Norte. Consulte as Funções e a Ordem de "&amp;"Serviço para obter mais informações. Requisitos da Vaga Experiência Necessária: Sim Meses de Experiência Necessários: 1 Requisitos Especiais: CAPACIDADE DE FICAR EM PÉ, SE ABAIXAR, AJOELHAR E LEVANTAR ATÉ 11 KG POR PERÍODOS PROLONGADOS. DEVE SER DETALHIST"&amp;"A E CAPAZ DE SEGUIR INSTRUÇÕES. EXPERIÊNCIA ANTERIOR EM LIMPEZA OU SERVIÇOS DOMÉSTICOS É PREFERENCIAL, MAS NÃO OBRIGATÓRIA. DEVE TER DISPONIBILIDADE PARA TRABALHAR EM HORÁRIOS FLEXÍVEIS, INCLUINDO FINS DE SEMANA E FERIADOS. DEVE SEGUIR AS POLÍTICAS DA EMP"&amp;"RESA E OS PADRÕES DE APRESENTAÇÃO PESSOAL. Número de Horas por Semana: 40 Horário de Trabalho (Início/Término): 7h00 - 15h30")</f>
        <v>Limpar quartos de hóspedes, banheiros e áreas comuns do hotel, garantindo que sejam mantidos em condições limpas e higiênicas. Trocar a roupa de cama, arrumar as camas e repor toalhas, artigos de higiene pessoal e outras comodidades de acordo com os padrões do hotel. Varrer, passar pano, aspirar e tirar o pó dos quartos e corredores conforme necessário. Descartar o lixo e garantir o gerenciamento adequado de resíduos nas áreas designadas. Inspecionar e relatar quaisquer danos, problemas de manutenção ou itens faltantes à gerência. Repor os materiais de limpeza e relatar à gerência a falta de estoque. Auxiliar nas tarefas de lavanderia, incluindo lavar, secar e dobrar roupas de cama quando necessário. Garantir o cumprimento de todas as normas de saúde e segurança. Oferecer excelente atendimento ao cliente e atender às solicitações dos hóspedes por suprimentos adicionais ou serviço de quarto. Manter altos padrões de limpeza e organização em todos os quartos de hóspedes e áreas públicas. Classificação da vaga: 37-2012.00 - Camareiras e Auxiliares de Limpeza. A classificação e descrição da vaga/setor incluem informações gerais sobre o cargo, de acordo com o ONET/OES e o Sistema de Classificação Industrial da América do Norte. Consulte as Funções e a Ordem de Serviço para obter mais informações. Requisitos da Vaga Experiência Necessária: Sim Meses de Experiência Necessários: 1 Requisitos Especiais: CAPACIDADE DE FICAR EM PÉ, SE ABAIXAR, AJOELHAR E LEVANTAR ATÉ 11 KG POR PERÍODOS PROLONGADOS. DEVE SER DETALHISTA E CAPAZ DE SEGUIR INSTRUÇÕES. EXPERIÊNCIA ANTERIOR EM LIMPEZA OU SERVIÇOS DOMÉSTICOS É PREFERENCIAL, MAS NÃO OBRIGATÓRIA. DEVE TER DISPONIBILIDADE PARA TRABALHAR EM HORÁRIOS FLEXÍVEIS, INCLUINDO FINS DE SEMANA E FERIADOS. DEVE SEGUIR AS POLÍTICAS DA EMPRESA E OS PADRÕES DE APRESENTAÇÃO PESSOAL. Número de Horas por Semana: 40 Horário de Trabalho (Início/Término): 7h00 - 15h30</v>
      </c>
    </row>
    <row r="2350" ht="20.25" customHeight="1">
      <c r="A2350" s="3" t="s">
        <v>10354</v>
      </c>
      <c r="B2350" s="3" t="s">
        <v>9580</v>
      </c>
      <c r="C2350" s="3"/>
      <c r="D2350" s="3" t="s">
        <v>71</v>
      </c>
      <c r="E2350" s="4" t="s">
        <v>44</v>
      </c>
      <c r="F2350" s="4" t="s">
        <v>20</v>
      </c>
      <c r="G2350" s="4" t="s">
        <v>524</v>
      </c>
      <c r="H2350" s="3" t="s">
        <v>9581</v>
      </c>
      <c r="I2350" s="3" t="s">
        <v>9582</v>
      </c>
      <c r="J2350" s="4">
        <v>17.3</v>
      </c>
      <c r="K2350" s="4">
        <v>15.0</v>
      </c>
      <c r="L2350" s="3" t="s">
        <v>387</v>
      </c>
      <c r="M2350" s="3" t="s">
        <v>9783</v>
      </c>
      <c r="N2350" s="7" t="str">
        <f>IFERROR(__xludf.DUMMYFUNCTION("GOOGLETRANSLATE(L2350, ""en"", ""pt"")"),"Ordem de serviço não disponível")</f>
        <v>Ordem de serviço não disponível</v>
      </c>
      <c r="O2350" s="7" t="str">
        <f>IFERROR(__xludf.DUMMYFUNCTION("IF(M2350="""","""",GOOGLETRANSLATE(M2350,""en"",""pt""))"),"Preparar, temperar e cozinhar sopas, carnes, legumes, sobremesas ou outros alimentos. Garantir que os alimentos sejam armazenados e cozidos na temperatura correta, regulando a temperatura de fornos, grelhas e assadeiras. Inspecionar e limpar as áreas de p"&amp;"reparação, como equipamentos e superfícies de trabalho, ou áreas de serviço, para garantir práticas seguras e higiênicas de manipulação de alimentos. Garantir o frescor dos alimentos e ingredientes, verificando a qualidade, controlando os itens novos e an"&amp;"tigos e fazendo o rodízio do estoque. Classificação da vaga: 35-2014.00 - Cozinheiros, Restaurante. A classificação e descrição da vaga/setor incluem informações gerais sobre o cargo, de acordo com o ONET/OES e o Sistema de Classificação Industrial da Amé"&amp;"rica do Norte. Consulte as Funções e a Ordem de Serviço para obter mais informações. Requisitos da vaga: Experiência necessária: Sim. Meses de experiência necessários: 3. Número de horas por semana: 40. Horário de trabalho (início/término): 15h às 23h.")</f>
        <v>Preparar, temperar e cozinhar sopas, carnes, legumes, sobremesas ou outros alimentos. Garantir que os alimentos sejam armazenados e cozidos na temperatura correta, regulando a temperatura de fornos, grelhas e assadeiras. Inspecionar e limpar as áreas de preparação, como equipamentos e superfícies de trabalho, ou áreas de serviço, para garantir práticas seguras e higiênicas de manipulação de alimentos. Garantir o frescor dos alimentos e ingredientes, verificando a qualidade, controlando os itens novos e antigos e fazendo o rodízio do estoque. Classificação da vaga: 35-2014.00 - Cozinheiros, Restaurante. A classificação e descrição da vaga/setor incluem informações gerais sobre o cargo, de acordo com o ONET/OES e o Sistema de Classificação Industrial da América do Norte. Consulte as Funções e a Ordem de Serviço para obter mais informações. Requisitos da vaga: Experiência necessária: Sim. Meses de experiência necessários: 3. Número de horas por semana: 40. Horário de trabalho (início/término): 15h às 23h.</v>
      </c>
    </row>
    <row r="2351" ht="20.25" customHeight="1">
      <c r="A2351" s="8" t="s">
        <v>10355</v>
      </c>
      <c r="B2351" s="8" t="s">
        <v>7650</v>
      </c>
      <c r="C2351" s="8" t="s">
        <v>7651</v>
      </c>
      <c r="D2351" s="8" t="s">
        <v>306</v>
      </c>
      <c r="E2351" s="9" t="s">
        <v>19</v>
      </c>
      <c r="F2351" s="9" t="s">
        <v>20</v>
      </c>
      <c r="G2351" s="9" t="s">
        <v>307</v>
      </c>
      <c r="H2351" s="8" t="s">
        <v>7652</v>
      </c>
      <c r="I2351" s="8" t="s">
        <v>7653</v>
      </c>
      <c r="J2351" s="9">
        <v>5.49</v>
      </c>
      <c r="K2351" s="9">
        <v>15.0</v>
      </c>
      <c r="L2351" s="8" t="s">
        <v>10356</v>
      </c>
      <c r="M2351" s="8" t="s">
        <v>10357</v>
      </c>
      <c r="N2351" s="7" t="str">
        <f>IFERROR(__xludf.DUMMYFUNCTION("GOOGLETRANSLATE(L2351, ""en"", ""pt"")"),"Garçom")</f>
        <v>Garçom</v>
      </c>
      <c r="O2351" s="7" t="str">
        <f>IFERROR(__xludf.DUMMYFUNCTION("IF(M2351="""","""",GOOGLETRANSLATE(M2351,""en"",""pt""))"),"• Anotar pedidos de comida e bebida e servir refeições e bebidas aos clientes • Preparar e servir coquetéis • Oferecer atendimento cortês ao cliente e responder às suas solicitações Classificação da vaga: 35-3031.00 - Garçons e Garçonetes A classificação "&amp;"e descrição da vaga/setor incluem informações gerais sobre o cargo, de acordo com o ONET/OES e o Sistema de Classificação Industrial da América do Norte. Consulte as Funções e a Ordem de Serviço para obter mais informações. Requisitos da vaga Experiência "&amp;"necessária: Sim Meses de experiência necessários: 4 Requisitos especiais: Deve ser capaz de levantar 34 kg. Número de horas por semana: 40 Horário de trabalho (início/término): 15h às 22h")</f>
        <v>• Anotar pedidos de comida e bebida e servir refeições e bebidas aos clientes • Preparar e servir coquetéis • Oferecer atendimento cortês ao cliente e responder às suas solicitações Classificação da vaga: 35-3031.00 - Garçons e Garçonetes A classificação e descrição da vaga/setor incluem informações gerais sobre o cargo, de acordo com o ONET/OES e o Sistema de Classificação Industrial da América do Norte. Consulte as Funções e a Ordem de Serviço para obter mais informações. Requisitos da vaga Experiência necessária: Sim Meses de experiência necessários: 4 Requisitos especiais: Deve ser capaz de levantar 34 kg. Número de horas por semana: 40 Horário de trabalho (início/término): 15h às 22h</v>
      </c>
    </row>
    <row r="2352" ht="20.25" customHeight="1">
      <c r="A2352" s="3" t="s">
        <v>10358</v>
      </c>
      <c r="B2352" s="3" t="s">
        <v>10359</v>
      </c>
      <c r="C2352" s="3" t="s">
        <v>8981</v>
      </c>
      <c r="D2352" s="3" t="s">
        <v>71</v>
      </c>
      <c r="E2352" s="4" t="s">
        <v>19</v>
      </c>
      <c r="F2352" s="4" t="s">
        <v>20</v>
      </c>
      <c r="G2352" s="4" t="s">
        <v>524</v>
      </c>
      <c r="H2352" s="3" t="s">
        <v>10360</v>
      </c>
      <c r="I2352" s="3" t="s">
        <v>10361</v>
      </c>
      <c r="J2352" s="4">
        <v>18.75</v>
      </c>
      <c r="K2352" s="4">
        <v>55.0</v>
      </c>
      <c r="L2352" s="3" t="s">
        <v>1206</v>
      </c>
      <c r="M2352" s="3" t="s">
        <v>10362</v>
      </c>
      <c r="N2352" s="7" t="str">
        <f>IFERROR(__xludf.DUMMYFUNCTION("GOOGLETRANSLATE(L2352, ""en"", ""pt"")"),"Servidor")</f>
        <v>Servidor</v>
      </c>
      <c r="O2352" s="7" t="str">
        <f>IFERROR(__xludf.DUMMYFUNCTION("IF(M2352="""","""",GOOGLETRANSLATE(M2352,""en"",""pt""))"),"Receber e servir pedidos de comida e bebida; realizar a montagem e desmontagem de mesas e outras atividades diversas; pode ser necessário trabalhar em ambientes externos e em eventos de banquetes; pode ser necessário servir clientes utilizando carrinho de"&amp;" golfe. *Continuação da Seção F.a.5 abaixo: 40 horas semanais. Os turnos serão de 8 horas e podem variar conforme a necessidade, de acordo com o anúncio da vaga na Agência Estadual de Força de Trabalho e em outras fontes de anúncios de vagas H-2B, conform"&amp;"e os requisitos de recrutamento dos empregadores para trabalhadores em potencial no âmbito do programa H-2B. Turnos variáveis ​​ao longo de 7 dias da semana. Os turnos podem variar: das 6h às 23h. Classificação da vaga: 35-3041.00 - Garçons/Garçonetes, Nã"&amp;"o-Restaurante. A classificação e descrição da vaga/setor incluem informações gerais sobre o cargo, de acordo com o ONET/OES e o Sistema de Classificação Industrial da América do Norte. Consulte as Funções e a Ordem de Serviço para obter mais informações. "&amp;"Requisitos da vaga: Experiência necessária: Não. Requisitos especiais: Capacidade de se comunicar em inglês. Número de horas por semana: 40 Horário de trabalho (início/término): 6h00 - 23h00")</f>
        <v>Receber e servir pedidos de comida e bebida; realizar a montagem e desmontagem de mesas e outras atividades diversas; pode ser necessário trabalhar em ambientes externos e em eventos de banquetes; pode ser necessário servir clientes utilizando carrinho de golfe. *Continuação da Seção F.a.5 abaixo: 40 horas semanais. Os turnos serão de 8 horas e podem variar conforme a necessidade, de acordo com o anúncio da vaga na Agência Estadual de Força de Trabalho e em outras fontes de anúncios de vagas H-2B, conforme os requisitos de recrutamento dos empregadores para trabalhadores em potencial no âmbito do programa H-2B. Turnos variáveis ​​ao longo de 7 dias da semana. Os turnos podem variar: das 6h às 23h. Classificação da vaga: 35-3041.00 - Garçons/Garçonetes, Não-Restaurante. A classificação e descrição da vaga/setor incluem informações gerais sobre o cargo, de acordo com o ONET/OES e o Sistema de Classificação Industrial da América do Norte. Consulte as Funções e a Ordem de Serviço para obter mais informações. Requisitos da vaga: Experiência necessária: Não. Requisitos especiais: Capacidade de se comunicar em inglês. Número de horas por semana: 40 Horário de trabalho (início/término): 6h00 - 23h00</v>
      </c>
    </row>
    <row r="2353" ht="20.25" customHeight="1">
      <c r="A2353" s="8" t="s">
        <v>10363</v>
      </c>
      <c r="B2353" s="8" t="s">
        <v>10364</v>
      </c>
      <c r="C2353" s="8" t="s">
        <v>10365</v>
      </c>
      <c r="D2353" s="8" t="s">
        <v>71</v>
      </c>
      <c r="E2353" s="9" t="s">
        <v>44</v>
      </c>
      <c r="F2353" s="9" t="s">
        <v>20</v>
      </c>
      <c r="G2353" s="9" t="s">
        <v>118</v>
      </c>
      <c r="H2353" s="8" t="s">
        <v>10366</v>
      </c>
      <c r="I2353" s="8" t="s">
        <v>10367</v>
      </c>
      <c r="J2353" s="9">
        <v>16.07</v>
      </c>
      <c r="K2353" s="9">
        <v>40.0</v>
      </c>
      <c r="L2353" s="8" t="s">
        <v>4517</v>
      </c>
      <c r="M2353" s="8" t="s">
        <v>10368</v>
      </c>
      <c r="N2353" s="7" t="str">
        <f>IFERROR(__xludf.DUMMYFUNCTION("GOOGLETRANSLATE(L2353, ""en"", ""pt"")"),"tratador de estábulo")</f>
        <v>tratador de estábulo</v>
      </c>
      <c r="O2353" s="7" t="str">
        <f>IFERROR(__xludf.DUMMYFUNCTION("IF(M2353="""","""",GOOGLETRANSLATE(M2353,""en"",""pt""))"),"Cuida e limpa cavalos; exercita-os e inspeciona-os de acordo com as instruções. Classificação da função: 39-2021.00 - Cuidadores de Animais. A classificação e descrição da função/setor inclui informações gerais sobre o cargo, conforme o ONET/OES e o Siste"&amp;"ma de Classificação Industrial da América do Norte. Consulte as Funções e a Ordem de Serviço para obter mais informações. Requisitos da vaga: Experiência necessária: Sim. Meses de experiência necessários: 1. Requisitos especiais: Em relação à Seção F.a.5 "&amp;"A-H, os dias de trabalho podem variar. Em relação às Seções F.a.6a e F.a.6b, o horário de trabalho é das 5h às 11h e das 15h às 17h e pode variar. Número de horas por semana: 40. Horário de trabalho (início/término): 5h às 11h.")</f>
        <v>Cuida e limpa cavalos; exercita-os e inspeciona-os de acordo com as instruções. Classificação da função: 39-2021.00 - Cuidadores de Animais. A classificação e descrição da função/setor inclui informações gerais sobre o cargo, conforme o ONET/OES e o Sistema de Classificação Industrial da América do Norte. Consulte as Funções e a Ordem de Serviço para obter mais informações. Requisitos da vaga: Experiência necessária: Sim. Meses de experiência necessários: 1. Requisitos especiais: Em relação à Seção F.a.5 A-H, os dias de trabalho podem variar. Em relação às Seções F.a.6a e F.a.6b, o horário de trabalho é das 5h às 11h e das 15h às 17h e pode variar. Número de horas por semana: 40. Horário de trabalho (início/término): 5h às 11h.</v>
      </c>
    </row>
    <row r="2354" ht="20.25" customHeight="1">
      <c r="A2354" s="3" t="s">
        <v>10369</v>
      </c>
      <c r="B2354" s="3" t="s">
        <v>10370</v>
      </c>
      <c r="C2354" s="3" t="s">
        <v>8981</v>
      </c>
      <c r="D2354" s="3" t="s">
        <v>87</v>
      </c>
      <c r="E2354" s="4" t="s">
        <v>19</v>
      </c>
      <c r="F2354" s="4" t="s">
        <v>20</v>
      </c>
      <c r="G2354" s="4" t="s">
        <v>524</v>
      </c>
      <c r="H2354" s="3" t="s">
        <v>10371</v>
      </c>
      <c r="I2354" s="3" t="s">
        <v>10372</v>
      </c>
      <c r="J2354" s="4">
        <v>18.0</v>
      </c>
      <c r="K2354" s="4">
        <v>2.0</v>
      </c>
      <c r="L2354" s="3" t="s">
        <v>1684</v>
      </c>
      <c r="M2354" s="3" t="s">
        <v>10373</v>
      </c>
      <c r="N2354" s="7" t="str">
        <f>IFERROR(__xludf.DUMMYFUNCTION("GOOGLETRANSLATE(L2354, ""en"", ""pt"")"),"Barman")</f>
        <v>Barman</v>
      </c>
      <c r="O2354" s="7" t="str">
        <f>IFERROR(__xludf.DUMMYFUNCTION("IF(M2354="""","""",GOOGLETRANSLATE(M2354,""en"",""pt""))"),"Anotar pedidos de bebidas. Preparar e servir drinks. Limpar a área do bar. Poderá ser necessário anotar pedidos de comida e fazer recomendações sobre vinhos e outros produtos. Solicitar e exibir bebidas alcoólicas e suprimentos. Manter a área do bar limpa"&amp;" e trabalhar de acordo com as normas estaduais rigorosamente aplicadas. *Continuação da Seção F.a.5 abaixo: 40 horas semanais. Os turnos serão de 8 horas, podendo variar conforme a necessidade, de acordo com o anúncio da vaga na Agência Estadual de Força "&amp;"de Trabalho e em outras fontes de anúncios de vagas H-2B, conforme os requisitos de recrutamento dos empregadores para trabalhadores em potencial no âmbito do programa H-2B. Turnos variáveis ​​ao longo de 7 dias da semana. Os turnos podem variar das 6h às"&amp;" 23h. Classificação da vaga: 35-3011.00 - Bartenders. A classificação e descrição da vaga/setor incluem informações gerais sobre o cargo, de acordo com o ONET/OES e o Sistema de Classificação Industrial da América do Norte. Consulte as Funções e a Ordem d"&amp;"e Serviço para obter mais informações. Requisitos da vaga: Experiência necessária: Não. Requisitos especiais: HABILIDADE DE SE COMUNICAR EM INGLÊS. O EMPREGADOR EXIGE QUE O TESTE DE DROGAS PRÉ-ADMISSÃO SEJA REALIZADO IGUALMENTE ENTRE OS TRABALHADORES AMER"&amp;"ICANOS E OS TRABALHADORES COM VISTO H-2B. Número de horas por semana: 40. Horário de trabalho (início/término): 6h às 23h.")</f>
        <v>Anotar pedidos de bebidas. Preparar e servir drinks. Limpar a área do bar. Poderá ser necessário anotar pedidos de comida e fazer recomendações sobre vinhos e outros produtos. Solicitar e exibir bebidas alcoólicas e suprimentos. Manter a área do bar limpa e trabalhar de acordo com as normas estaduais rigorosamente aplicadas. *Continuação da Seção F.a.5 abaixo: 40 horas semanais. Os turnos serão de 8 horas, podendo variar conforme a necessidade, de acordo com o anúncio da vaga na Agência Estadual de Força de Trabalho e em outras fontes de anúncios de vagas H-2B, conforme os requisitos de recrutamento dos empregadores para trabalhadores em potencial no âmbito do programa H-2B. Turnos variáveis ​​ao longo de 7 dias da semana. Os turnos podem variar das 6h às 23h. Classificação da vaga: 35-3011.00 - Bartenders. A classificação e descrição da vaga/setor incluem informações gerais sobre o cargo, de acordo com o ONET/OES e o Sistema de Classificação Industrial da América do Norte. Consulte as Funções e a Ordem de Serviço para obter mais informações. Requisitos da vaga: Experiência necessária: Não. Requisitos especiais: HABILIDADE DE SE COMUNICAR EM INGLÊS. O EMPREGADOR EXIGE QUE O TESTE DE DROGAS PRÉ-ADMISSÃO SEJA REALIZADO IGUALMENTE ENTRE OS TRABALHADORES AMERICANOS E OS TRABALHADORES COM VISTO H-2B. Número de horas por semana: 40. Horário de trabalho (início/término): 6h às 23h.</v>
      </c>
    </row>
    <row r="2355" ht="20.25" customHeight="1">
      <c r="A2355" s="8" t="s">
        <v>10374</v>
      </c>
      <c r="B2355" s="8" t="s">
        <v>10370</v>
      </c>
      <c r="C2355" s="8" t="s">
        <v>8981</v>
      </c>
      <c r="D2355" s="8" t="s">
        <v>87</v>
      </c>
      <c r="E2355" s="9" t="s">
        <v>19</v>
      </c>
      <c r="F2355" s="9" t="s">
        <v>20</v>
      </c>
      <c r="G2355" s="9" t="s">
        <v>524</v>
      </c>
      <c r="H2355" s="8" t="s">
        <v>10371</v>
      </c>
      <c r="I2355" s="8" t="s">
        <v>10372</v>
      </c>
      <c r="J2355" s="9">
        <v>18.0</v>
      </c>
      <c r="K2355" s="9">
        <v>3.0</v>
      </c>
      <c r="L2355" s="8" t="s">
        <v>586</v>
      </c>
      <c r="M2355" s="8" t="s">
        <v>10375</v>
      </c>
      <c r="N2355" s="7" t="str">
        <f>IFERROR(__xludf.DUMMYFUNCTION("GOOGLETRANSLATE(L2355, ""en"", ""pt"")"),"Cozinheiro de linha")</f>
        <v>Cozinheiro de linha</v>
      </c>
      <c r="O2355" s="7" t="str">
        <f>IFERROR(__xludf.DUMMYFUNCTION("IF(M2355="""","""",GOOGLETRANSLATE(M2355,""en"",""pt""))"),"Prepara, tempera e cozinha sopas, carnes, legumes, frutas, sobremesas e outros alimentos diversos para consumo; observa as diretrizes da receita e os procedimentos de higiene. *Continuação da Seção F.a.5 abaixo: 40 horas semanais. Os turnos serão de 8 hor"&amp;"as e podem variar conforme a necessidade, de acordo com o anúncio da vaga na Agência Estadual de Força de Trabalho e em outras fontes de anúncios de vagas H-2B, conforme os requisitos de recrutamento dos empregadores para trabalhadores em potencial no âmb"&amp;"ito do programa H-2B. Turnos variáveis ​​ao longo de 7 dias da semana. Os turnos podem variar: das 6h às 23h. Classificação da vaga: 35-2014.00 - Cozinheiros, Restaurante. A classificação e a descrição da vaga/setor incluem informações gerais sobre o carg"&amp;"o, de acordo com o ONET/OES e o Sistema de Classificação Industrial da América do Norte. Consulte as Funções e a Ordem de Serviço para obter mais informações. Requisitos da vaga: Experiência necessária: Não. Requisitos especiais: HABILIDADE DE SE COMUNICA"&amp;"R EM INGLÊS. O EMPREGADOR EXIGE QUE O TESTE DE DROGAS PRÉ-ADMISSÃO SEJA REALIZADO IGUALMENTE ENTRE OS TRABALHADORES AMERICANOS E OS TRABALHADORES COM VISTO H-2B. Número de horas por semana: 40. Horário de trabalho (início/término): 6h às 23h.")</f>
        <v>Prepara, tempera e cozinha sopas, carnes, legumes, frutas, sobremesas e outros alimentos diversos para consumo; observa as diretrizes da receita e os procedimentos de higiene. *Continuação da Seção F.a.5 abaixo: 40 horas semanais. Os turnos serão de 8 horas e podem variar conforme a necessidade, de acordo com o anúncio da vaga na Agência Estadual de Força de Trabalho e em outras fontes de anúncios de vagas H-2B, conforme os requisitos de recrutamento dos empregadores para trabalhadores em potencial no âmbito do programa H-2B. Turnos variáveis ​​ao longo de 7 dias da semana. Os turnos podem variar: das 6h às 23h. Classificação da vaga: 35-2014.00 - Cozinheiros, Restaurante. A classificação e a descrição da vaga/setor incluem informações gerais sobre o cargo, de acordo com o ONET/OES e o Sistema de Classificação Industrial da América do Norte. Consulte as Funções e a Ordem de Serviço para obter mais informações. Requisitos da vaga: Experiência necessária: Não. Requisitos especiais: HABILIDADE DE SE COMUNICAR EM INGLÊS. O EMPREGADOR EXIGE QUE O TESTE DE DROGAS PRÉ-ADMISSÃO SEJA REALIZADO IGUALMENTE ENTRE OS TRABALHADORES AMERICANOS E OS TRABALHADORES COM VISTO H-2B. Número de horas por semana: 40. Horário de trabalho (início/término): 6h às 23h.</v>
      </c>
    </row>
    <row r="2356" ht="20.25" customHeight="1">
      <c r="A2356" s="3" t="s">
        <v>10376</v>
      </c>
      <c r="B2356" s="3" t="s">
        <v>10370</v>
      </c>
      <c r="C2356" s="3" t="s">
        <v>8981</v>
      </c>
      <c r="D2356" s="3" t="s">
        <v>87</v>
      </c>
      <c r="E2356" s="4" t="s">
        <v>19</v>
      </c>
      <c r="F2356" s="4" t="s">
        <v>20</v>
      </c>
      <c r="G2356" s="4" t="s">
        <v>524</v>
      </c>
      <c r="H2356" s="3" t="s">
        <v>10371</v>
      </c>
      <c r="I2356" s="3" t="s">
        <v>10372</v>
      </c>
      <c r="J2356" s="4">
        <v>17.0</v>
      </c>
      <c r="K2356" s="4">
        <v>4.0</v>
      </c>
      <c r="L2356" s="3" t="s">
        <v>1206</v>
      </c>
      <c r="M2356" s="3" t="s">
        <v>10377</v>
      </c>
      <c r="N2356" s="7" t="str">
        <f>IFERROR(__xludf.DUMMYFUNCTION("GOOGLETRANSLATE(L2356, ""en"", ""pt"")"),"Servidor")</f>
        <v>Servidor</v>
      </c>
      <c r="O2356" s="7" t="str">
        <f>IFERROR(__xludf.DUMMYFUNCTION("IF(M2356="""","""",GOOGLETRANSLATE(M2356,""en"",""pt""))"),"Receber e servir pedidos de comida e bebida; realizar a montagem e desmontagem de mesas e outras atividades diversas; pode ser necessário trabalhar em ambientes externos e em eventos de banquetes; pode ser necessário servir clientes utilizando carrinho de"&amp;" golfe. *Continuação da Seção F.a.5 abaixo: 40 horas semanais. Os turnos serão de 8 horas e podem variar conforme a necessidade, de acordo com o anúncio da vaga na Agência Estadual de Força de Trabalho e em outras fontes de anúncios de vagas H-2B, conform"&amp;"e os requisitos de recrutamento dos empregadores para trabalhadores em potencial no âmbito do programa H-2B. Turnos variáveis ​​ao longo de 7 dias da semana. Os turnos podem variar: das 6h às 23h. Classificação da vaga: 35-3041.00 - Garçons/Garçonetes, Nã"&amp;"o-Restaurante. A classificação e descrição da vaga/setor inclui informações gerais sobre o cargo, de acordo com o ONET/OES e o Sistema de Classificação Industrial da América do Norte. Consulte as Funções e a Ordem de Serviço para obter mais informações. R"&amp;"equisitos da vaga: Experiência necessária: Não. Requisitos especiais: HABILIDADE DE SE COMUNICAR EM INGLÊS. O EMPREGADOR EXIGE QUE O TESTE DE DROGAS PRÉ-ADMISSÃO SEJA REALIZADO IGUALMENTE ENTRE OS TRABALHADORES AMERICANOS E OS TRABALHADORES COM VISTO H-2B"&amp;". Número de horas por semana: 40. Horário de trabalho (início/término): 6h às 23h.")</f>
        <v>Receber e servir pedidos de comida e bebida; realizar a montagem e desmontagem de mesas e outras atividades diversas; pode ser necessário trabalhar em ambientes externos e em eventos de banquetes; pode ser necessário servir clientes utilizando carrinho de golfe. *Continuação da Seção F.a.5 abaixo: 40 horas semanais. Os turnos serão de 8 horas e podem variar conforme a necessidade, de acordo com o anúncio da vaga na Agência Estadual de Força de Trabalho e em outras fontes de anúncios de vagas H-2B, conforme os requisitos de recrutamento dos empregadores para trabalhadores em potencial no âmbito do programa H-2B. Turnos variáveis ​​ao longo de 7 dias da semana. Os turnos podem variar: das 6h às 23h. Classificação da vaga: 35-3041.00 - Garçons/Garçonetes, Não-Restaurante. A classificação e descrição da vaga/setor inclui informações gerais sobre o cargo, de acordo com o ONET/OES e o Sistema de Classificação Industrial da América do Norte. Consulte as Funções e a Ordem de Serviço para obter mais informações. Requisitos da vaga: Experiência necessária: Não. Requisitos especiais: HABILIDADE DE SE COMUNICAR EM INGLÊS. O EMPREGADOR EXIGE QUE O TESTE DE DROGAS PRÉ-ADMISSÃO SEJA REALIZADO IGUALMENTE ENTRE OS TRABALHADORES AMERICANOS E OS TRABALHADORES COM VISTO H-2B. Número de horas por semana: 40. Horário de trabalho (início/término): 6h às 23h.</v>
      </c>
    </row>
    <row r="2357" ht="20.25" customHeight="1">
      <c r="A2357" s="8" t="s">
        <v>10378</v>
      </c>
      <c r="B2357" s="8" t="s">
        <v>10370</v>
      </c>
      <c r="C2357" s="8" t="s">
        <v>8981</v>
      </c>
      <c r="D2357" s="8" t="s">
        <v>87</v>
      </c>
      <c r="E2357" s="9" t="s">
        <v>19</v>
      </c>
      <c r="F2357" s="9" t="s">
        <v>20</v>
      </c>
      <c r="G2357" s="9" t="s">
        <v>524</v>
      </c>
      <c r="H2357" s="8" t="s">
        <v>10371</v>
      </c>
      <c r="I2357" s="8" t="s">
        <v>10372</v>
      </c>
      <c r="J2357" s="9">
        <v>18.0</v>
      </c>
      <c r="K2357" s="9">
        <v>1.0</v>
      </c>
      <c r="L2357" s="8" t="s">
        <v>2821</v>
      </c>
      <c r="M2357" s="8" t="s">
        <v>10379</v>
      </c>
      <c r="N2357" s="7" t="str">
        <f>IFERROR(__xludf.DUMMYFUNCTION("GOOGLETRANSLATE(L2357, ""en"", ""pt"")"),"Auxiliar de Recreação")</f>
        <v>Auxiliar de Recreação</v>
      </c>
      <c r="O2357" s="7" t="str">
        <f>IFERROR(__xludf.DUMMYFUNCTION("IF(M2357="""","""",GOOGLETRANSLATE(M2357,""en"",""pt""))"),"O funcionário poderá ser solicitado a executar qualquer uma das seguintes tarefas: monitorar as atividades no campo de golfe, complexo de tênis, complexo aquático e spa e academia; prestar assistência administrativa aos membros, incluindo a verificação de"&amp;" cartões de membro, confirmação de reservas, organização de mercadorias e fornecimento de informações sobre as instalações; realizar a limpeza básica de carrinhos e tacos de golfe e transportar os equipamentos de golfe e automóveis dos membros de e para a"&amp;"s instalações do clube. A tarefa de assistência administrativa envolve a etiquetagem das bagagens com etiquetas de envio de retorno e, em seguida, o transporte das bagagens da sede do clube para o departamento de expedição/recebimento. As tarefas relacion"&amp;"adas ao transporte de automóveis de visitantes exigem que o funcionário encontre o visitante na entrada da sede do clube; abra a porta do motorista imediatamente após a chegada; e realize uma rápida e discreta inspeção visual para verificar se há danos pr"&amp;"é-existentes; transporte do visitante em seu automóvel de e para uma área segura e designada para membros do clube até a área de espera do campo de golfe; transporte do automóvel para o estacionamento designado para visitantes da sede do clube; e leve o a"&amp;"utomóvel até a entrada das instalações da sede do clube, quando solicitado. *Continuação na Seção F.a.5 abaixo: 40 horas semanais. Os turnos serão de 8 horas, podendo variar conforme a necessidade, de acordo com o anúncio de vaga da Agência Estadual de Fo"&amp;"rça de Trabalho e outras fontes de anúncios de vagas H-2B, conforme os requisitos de recrutamento dos empregadores para trabalhadores em potencial no âmbito do programa H-2B. Turnos variáveis ​​ao longo de 7 dias da semana. Os turnos podem variar das 6h à"&amp;"s 23h. Classificação da vaga: 53-3053.00 - Motoristas de Transporte e Choferes. A classificação e descrição da vaga/setor incluem informações gerais sobre o cargo, de acordo com o ONET/OES e o Sistema de Classificação Industrial da América do Norte (NAICS"&amp;"). Consulte as Funções e a Ordem de Serviço para obter mais informações. Requisitos da vaga: Experiência exigida: Não. Requisitos especiais: HABILIDADE DE SE COMUNICAR EM INGLÊS. O EMPREGADOR EXIGE QUE O TESTE DE DROGAS PRÉ-ADMISSÃO SEJA REALIZADO IGUALME"&amp;"NTE ENTRE OS TRABALHADORES AMERICANOS E OS TRABALHADORES H-2B. Número de horas por semana: 40. Horário de trabalho (início/término): 6h. - 23:00")</f>
        <v>O funcionário poderá ser solicitado a executar qualquer uma das seguintes tarefas: monitorar as atividades no campo de golfe, complexo de tênis, complexo aquático e spa e academia; prestar assistência administrativa aos membros, incluindo a verificação de cartões de membro, confirmação de reservas, organização de mercadorias e fornecimento de informações sobre as instalações; realizar a limpeza básica de carrinhos e tacos de golfe e transportar os equipamentos de golfe e automóveis dos membros de e para as instalações do clube. A tarefa de assistência administrativa envolve a etiquetagem das bagagens com etiquetas de envio de retorno e, em seguida, o transporte das bagagens da sede do clube para o departamento de expedição/recebimento. As tarefas relacionadas ao transporte de automóveis de visitantes exigem que o funcionário encontre o visitante na entrada da sede do clube; abra a porta do motorista imediatamente após a chegada; e realize uma rápida e discreta inspeção visual para verificar se há danos pré-existentes; transporte do visitante em seu automóvel de e para uma área segura e designada para membros do clube até a área de espera do campo de golfe; transporte do automóvel para o estacionamento designado para visitantes da sede do clube; e leve o automóvel até a entrada das instalações da sede do clube, quando solicitado. *Continuação na Seção F.a.5 abaixo: 40 horas semanais. Os turnos serão de 8 horas, podendo variar conforme a necessidade, de acordo com o anúncio de vaga da Agência Estadual de Força de Trabalho e outras fontes de anúncios de vagas H-2B, conforme os requisitos de recrutamento dos empregadores para trabalhadores em potencial no âmbito do programa H-2B. Turnos variáveis ​​ao longo de 7 dias da semana. Os turnos podem variar das 6h às 23h. Classificação da vaga: 53-3053.00 - Motoristas de Transporte e Choferes. A classificação e descrição da vaga/setor incluem informações gerais sobre o cargo, de acordo com o ONET/OES e o Sistema de Classificação Industrial da América do Norte (NAICS). Consulte as Funções e a Ordem de Serviço para obter mais informações. Requisitos da vaga: Experiência exigida: Não. Requisitos especiais: HABILIDADE DE SE COMUNICAR EM INGLÊS. O EMPREGADOR EXIGE QUE O TESTE DE DROGAS PRÉ-ADMISSÃO SEJA REALIZADO IGUALMENTE ENTRE OS TRABALHADORES AMERICANOS E OS TRABALHADORES H-2B. Número de horas por semana: 40. Horário de trabalho (início/término): 6h. - 23:00</v>
      </c>
    </row>
    <row r="2358" ht="20.25" customHeight="1">
      <c r="A2358" s="3" t="s">
        <v>10380</v>
      </c>
      <c r="B2358" s="3" t="s">
        <v>10381</v>
      </c>
      <c r="C2358" s="3" t="s">
        <v>3824</v>
      </c>
      <c r="D2358" s="3" t="s">
        <v>64</v>
      </c>
      <c r="E2358" s="4" t="s">
        <v>44</v>
      </c>
      <c r="F2358" s="4" t="s">
        <v>20</v>
      </c>
      <c r="G2358" s="4" t="s">
        <v>345</v>
      </c>
      <c r="H2358" s="3" t="s">
        <v>10382</v>
      </c>
      <c r="I2358" s="3" t="s">
        <v>10383</v>
      </c>
      <c r="J2358" s="4">
        <v>18.93</v>
      </c>
      <c r="K2358" s="4">
        <v>40.0</v>
      </c>
      <c r="L2358" s="3" t="s">
        <v>10384</v>
      </c>
      <c r="M2358" s="3" t="s">
        <v>10385</v>
      </c>
      <c r="N2358" s="7" t="str">
        <f>IFERROR(__xludf.DUMMYFUNCTION("GOOGLETRANSLATE(L2358, ""en"", ""pt"")"),"Novo trabalhador de preparação de pedreira")</f>
        <v>Novo trabalhador de preparação de pedreira</v>
      </c>
      <c r="O2358" s="7" t="str">
        <f>IFERROR(__xludf.DUMMYFUNCTION("IF(M2358="""","""",GOOGLETRANSLATE(M2358,""en"",""pt""))"),"Executar trabalhos manuais para preparar terrenos recém-adquiridos e propriedades de pedreiras existentes para futuras operações de extração, incluindo a limpeza de mato, ervas daninhas, trepadeiras, grama, arbustos, mudas, vegetação rasteira e outras veg"&amp;"etações excessivas em áreas de trabalho designadas; remover galhos caídos, pedras soltas, gravetos, folhas e outros detritos e obstruções naturais; e coletar, arrastar, amarrar, empilhar e remover a vegetação e os materiais orgânicos removidos. Estabelece"&amp;"r e manter caminhos de acesso de terra batida e rotas de entrada e saída em toda a propriedade, limpando a vegetação e os detritos das rotas de circulação designadas e mantendo essas rotas de acesso desobstruídas para o acesso ao local. Essas tarefas são "&amp;"executadas manualmente e com ferramentas manuais e de jardinagem, incluindo podadores, tesouras de poda, foices, enxadas, serras manuais, serras de poda, ancinhos, pás, enxadas, forcados, carrinhos de mão, carrinhos de transporte, cordas e lonas. Este tra"&amp;"balho não envolve terraplanagem, escavação, nivelamento, carregamento de terra, construção de estradas ou leitos de estradas, nem a operação de equipamentos pesados ​​de construção. O trabalho consiste em coletar, separar, transportar, carregar, descarreg"&amp;"ar, mover, empilhar e posicionar materiais, ferramentas, suprimentos, entulhos, lixo, sucata e resíduos manualmente e utilizando carrinhos de mão, carrinhos de transporte, plataformas rolantes, baldes, lonas, cordas, pás, ancinhos, pegadores de lixo e fer"&amp;"ramentas manuais similares para movimentação de materiais. Também inclui a limpeza de edifícios existentes, galpões de armazenamento, abrigos de trabalho, áreas de armazenamento e outras estruturas do local, bem como a limpeza e manutenção de calçadas e o"&amp;"utras áreas externas, varrendo e removendo sujeira, poeira, folhas, teias de aranha, lixo e detritos. Essas tarefas são realizadas utilizando vassouras de empurrar, vassouras de palha, esfregões, pás de lixo, escovas de limpeza, panos de limpeza, baldes e"&amp;" produtos de limpeza não especializados. O trabalho consiste em receber e seguir instruções verbais para determinar as tarefas diárias; manter as áreas de trabalho e de armazenamento de ferramentas e equipamentos limpas e organizadas; Seguir todos os proc"&amp;"edimentos de segurança da empresa e do local de trabalho e usar os equipamentos de proteção individual necessários; e executar outras tarefas gerais de trabalho braçal e de manutenção de áreas externas, conforme designado. Classificação do Cargo: 37-3011."&amp;"00 - Trabalhadores de Paisagismo e Manutenção de Áreas Externas. A classificação e descrição do cargo/setor inclui informações gerais sobre a posição, de acordo com o ONET/OES e o Sistema de Classificação Industrial da América do Norte (NAICS). Consulte a"&amp;"s Funções e a Ordem de Serviço para obter mais informações. Requisitos do Cargo Experiência Necessária: Não. Requisitos Especiais: Pode ser necessário realizar horas extras e trabalhar nos fins de semana. O horário de trabalho pode variar, dependendo das "&amp;"condições climáticas. É necessário ser capaz de realizar trabalho braçal e físico ao ar livre em todas as condições climáticas (calor, frio, chuva, neve, etc.). É necessário ser capaz de levantar até 36 kg. É necessário ser capaz de usar ferramentas manua"&amp;"is e equipamentos manuais com segurança. Número de Horas por Semana: 40. Horário de Trabalho (Início/Término): 8h às 17h.")</f>
        <v>Executar trabalhos manuais para preparar terrenos recém-adquiridos e propriedades de pedreiras existentes para futuras operações de extração, incluindo a limpeza de mato, ervas daninhas, trepadeiras, grama, arbustos, mudas, vegetação rasteira e outras vegetações excessivas em áreas de trabalho designadas; remover galhos caídos, pedras soltas, gravetos, folhas e outros detritos e obstruções naturais; e coletar, arrastar, amarrar, empilhar e remover a vegetação e os materiais orgânicos removidos. Estabelecer e manter caminhos de acesso de terra batida e rotas de entrada e saída em toda a propriedade, limpando a vegetação e os detritos das rotas de circulação designadas e mantendo essas rotas de acesso desobstruídas para o acesso ao local. Essas tarefas são executadas manualmente e com ferramentas manuais e de jardinagem, incluindo podadores, tesouras de poda, foices, enxadas, serras manuais, serras de poda, ancinhos, pás, enxadas, forcados, carrinhos de mão, carrinhos de transporte, cordas e lonas. Este trabalho não envolve terraplanagem, escavação, nivelamento, carregamento de terra, construção de estradas ou leitos de estradas, nem a operação de equipamentos pesados ​​de construção. O trabalho consiste em coletar, separar, transportar, carregar, descarregar, mover, empilhar e posicionar materiais, ferramentas, suprimentos, entulhos, lixo, sucata e resíduos manualmente e utilizando carrinhos de mão, carrinhos de transporte, plataformas rolantes, baldes, lonas, cordas, pás, ancinhos, pegadores de lixo e ferramentas manuais similares para movimentação de materiais. Também inclui a limpeza de edifícios existentes, galpões de armazenamento, abrigos de trabalho, áreas de armazenamento e outras estruturas do local, bem como a limpeza e manutenção de calçadas e outras áreas externas, varrendo e removendo sujeira, poeira, folhas, teias de aranha, lixo e detritos. Essas tarefas são realizadas utilizando vassouras de empurrar, vassouras de palha, esfregões, pás de lixo, escovas de limpeza, panos de limpeza, baldes e produtos de limpeza não especializados. O trabalho consiste em receber e seguir instruções verbais para determinar as tarefas diárias; manter as áreas de trabalho e de armazenamento de ferramentas e equipamentos limpas e organizadas; Seguir todos os procedimentos de segurança da empresa e do local de trabalho e usar os equipamentos de proteção individual necessários; e executar outras tarefas gerais de trabalho braçal e de manutenção de áreas externas, conforme designado. Classificação do Cargo: 37-3011.00 - Trabalhadores de Paisagismo e Manutenção de Áreas Externas. A classificação e descrição do cargo/setor inclui informações gerais sobre a posição, de acordo com o ONET/OES e o Sistema de Classificação Industrial da América do Norte (NAICS). Consulte as Funções e a Ordem de Serviço para obter mais informações. Requisitos do Cargo Experiência Necessária: Não. Requisitos Especiais: Pode ser necessário realizar horas extras e trabalhar nos fins de semana. O horário de trabalho pode variar, dependendo das condições climáticas. É necessário ser capaz de realizar trabalho braçal e físico ao ar livre em todas as condições climáticas (calor, frio, chuva, neve, etc.). É necessário ser capaz de levantar até 36 kg. É necessário ser capaz de usar ferramentas manuais e equipamentos manuais com segurança. Número de Horas por Semana: 40. Horário de Trabalho (Início/Término): 8h às 17h.</v>
      </c>
    </row>
    <row r="2359" ht="20.25" customHeight="1">
      <c r="A2359" s="8" t="s">
        <v>10386</v>
      </c>
      <c r="B2359" s="8" t="s">
        <v>10387</v>
      </c>
      <c r="C2359" s="8" t="s">
        <v>8981</v>
      </c>
      <c r="D2359" s="8" t="s">
        <v>71</v>
      </c>
      <c r="E2359" s="9" t="s">
        <v>19</v>
      </c>
      <c r="F2359" s="9" t="s">
        <v>20</v>
      </c>
      <c r="G2359" s="9" t="s">
        <v>524</v>
      </c>
      <c r="H2359" s="8" t="s">
        <v>10388</v>
      </c>
      <c r="I2359" s="8" t="s">
        <v>10389</v>
      </c>
      <c r="J2359" s="9">
        <v>18.74</v>
      </c>
      <c r="K2359" s="9">
        <v>6.0</v>
      </c>
      <c r="L2359" s="8" t="s">
        <v>1684</v>
      </c>
      <c r="M2359" s="8" t="s">
        <v>10390</v>
      </c>
      <c r="N2359" s="7" t="str">
        <f>IFERROR(__xludf.DUMMYFUNCTION("GOOGLETRANSLATE(L2359, ""en"", ""pt"")"),"Barman")</f>
        <v>Barman</v>
      </c>
      <c r="O2359" s="7" t="str">
        <f>IFERROR(__xludf.DUMMYFUNCTION("IF(M2359="""","""",GOOGLETRANSLATE(M2359,""en"",""pt""))"),"Anotar pedidos de bebidas; preparar e servir drinques; limpar a área do bar; poderá ser necessário anotar pedidos de comida e fazer recomendações sobre vinhos e outros produtos; solicitar e exibir bebidas alcoólicas e suprimentos; manter a área do bar lim"&amp;"pa e trabalhar de acordo com as normas estaduais rigorosamente aplicadas. *Continuação da Seção F.a.5 abaixo: 40 horas semanais. Os turnos serão de 8 horas e podem variar conforme a necessidade, de acordo com o anúncio da vaga na Agência Estadual de Força"&amp;" de Trabalho e em outras fontes de anúncios de vagas H-2B, conforme os requisitos de recrutamento dos empregadores para trabalhadores em potencial no âmbito do programa H-2B. Turnos variáveis ​​ao longo de 7 dias da semana. Os turnos podem variar: das 6h "&amp;"às 23h. Classificação da vaga: 35-3011.00 - Bartenders. A classificação e descrição da vaga/setor incluem informações gerais sobre o cargo, provenientes do ONET/OES e do Sistema de Classificação Industrial da América do Norte. Consulte as Funções e a Orde"&amp;"m de Serviço para obter mais informações. Requisitos da vaga Experiência exigida: Não Requisitos especiais: O EMPREGADOR EXIGE QUE A VERIFICAÇÃO DE ANTECEDENTES CRIMINAIS PRÉ-ADMISSÃO E O TESTE DE DROGAS PÓS-ADMISSÃO SEJAM REALIZADOS IGUALMENTE PARA OS TR"&amp;"ABALHADORES AMERICANOS E PARA OS TRABALHADORES COM VISTO H-2B. HABILIDADE DE SE COMUNICAR EM INGLÊS. Número de horas por semana: 40 Horário de trabalho (início/término): 6h às 23h")</f>
        <v>Anotar pedidos de bebidas; preparar e servir drinques; limpar a área do bar; poderá ser necessário anotar pedidos de comida e fazer recomendações sobre vinhos e outros produtos; solicitar e exibir bebidas alcoólicas e suprimentos; manter a área do bar limpa e trabalhar de acordo com as normas estaduais rigorosamente aplicadas. *Continuação da Seção F.a.5 abaixo: 40 horas semanais. Os turnos serão de 8 horas e podem variar conforme a necessidade, de acordo com o anúncio da vaga na Agência Estadual de Força de Trabalho e em outras fontes de anúncios de vagas H-2B, conforme os requisitos de recrutamento dos empregadores para trabalhadores em potencial no âmbito do programa H-2B. Turnos variáveis ​​ao longo de 7 dias da semana. Os turnos podem variar: das 6h às 23h. Classificação da vaga: 35-3011.00 - Bartenders. A classificação e descrição da vaga/setor incluem informações gerais sobre o cargo, provenientes do ONET/OES e do Sistema de Classificação Industrial da América do Norte. Consulte as Funções e a Ordem de Serviço para obter mais informações. Requisitos da vaga Experiência exigida: Não Requisitos especiais: O EMPREGADOR EXIGE QUE A VERIFICAÇÃO DE ANTECEDENTES CRIMINAIS PRÉ-ADMISSÃO E O TESTE DE DROGAS PÓS-ADMISSÃO SEJAM REALIZADOS IGUALMENTE PARA OS TRABALHADORES AMERICANOS E PARA OS TRABALHADORES COM VISTO H-2B. HABILIDADE DE SE COMUNICAR EM INGLÊS. Número de horas por semana: 40 Horário de trabalho (início/término): 6h às 23h</v>
      </c>
    </row>
    <row r="2360" ht="20.25" customHeight="1">
      <c r="A2360" s="3" t="s">
        <v>10391</v>
      </c>
      <c r="B2360" s="3" t="s">
        <v>10387</v>
      </c>
      <c r="C2360" s="3" t="s">
        <v>8981</v>
      </c>
      <c r="D2360" s="3" t="s">
        <v>71</v>
      </c>
      <c r="E2360" s="4" t="s">
        <v>19</v>
      </c>
      <c r="F2360" s="4" t="s">
        <v>20</v>
      </c>
      <c r="G2360" s="4" t="s">
        <v>524</v>
      </c>
      <c r="H2360" s="3" t="s">
        <v>10388</v>
      </c>
      <c r="I2360" s="3" t="s">
        <v>10389</v>
      </c>
      <c r="J2360" s="4">
        <v>19.5</v>
      </c>
      <c r="K2360" s="4">
        <v>9.0</v>
      </c>
      <c r="L2360" s="3" t="s">
        <v>586</v>
      </c>
      <c r="M2360" s="3" t="s">
        <v>10392</v>
      </c>
      <c r="N2360" s="7" t="str">
        <f>IFERROR(__xludf.DUMMYFUNCTION("GOOGLETRANSLATE(L2360, ""en"", ""pt"")"),"Cozinheiro de linha")</f>
        <v>Cozinheiro de linha</v>
      </c>
      <c r="O2360" s="7" t="str">
        <f>IFERROR(__xludf.DUMMYFUNCTION("IF(M2360="""","""",GOOGLETRANSLATE(M2360,""en"",""pt""))"),"Prepara, tempera e cozinha sopas, carnes, legumes, frutas, sobremesas e outros alimentos diversos para consumo; observa as diretrizes da receita e os procedimentos de higiene. *Continuação da Seção F.a.5 abaixo: 40 horas semanais. Os turnos serão de 8 hor"&amp;"as e podem variar conforme a necessidade, de acordo com o anúncio da vaga na Agência Estadual de Força de Trabalho e em outras fontes de anúncios de vagas H-2B, conforme os requisitos de recrutamento dos empregadores para trabalhadores em potencial no âmb"&amp;"ito do programa H-2B. Turnos variáveis ​​ao longo de 7 dias da semana. Os turnos podem variar: das 6h às 23h. Classificação da vaga: 35-2014.00 - Cozinheiros, Restaurante. A classificação e a descrição da vaga/setor incluem informações gerais sobre o carg"&amp;"o, de acordo com o ONET/OES e o Sistema de Classificação Industrial da América do Norte. Consulte as Funções e a Ordem de Serviço para obter mais informações. Requisitos da vaga Experiência exigida: Não Requisitos especiais: O EMPREGADOR EXIGE QUE A VERIF"&amp;"ICAÇÃO DE ANTECEDENTES CRIMINAIS PRÉ-ADMISSÃO E O TESTE DE DROGAS PÓS-ADMISSÃO SEJAM REALIZADOS IGUALMENTE PARA OS TRABALHADORES AMERICANOS E PARA OS TRABALHADORES COM VISTO H-2B. HABILIDADE DE SE COMUNICAR EM INGLÊS. Número de horas por semana: 40 Horári"&amp;"o de trabalho (início/término): 6h às 23h")</f>
        <v>Prepara, tempera e cozinha sopas, carnes, legumes, frutas, sobremesas e outros alimentos diversos para consumo; observa as diretrizes da receita e os procedimentos de higiene. *Continuação da Seção F.a.5 abaixo: 40 horas semanais. Os turnos serão de 8 horas e podem variar conforme a necessidade, de acordo com o anúncio da vaga na Agência Estadual de Força de Trabalho e em outras fontes de anúncios de vagas H-2B, conforme os requisitos de recrutamento dos empregadores para trabalhadores em potencial no âmbito do programa H-2B. Turnos variáveis ​​ao longo de 7 dias da semana. Os turnos podem variar: das 6h às 23h. Classificação da vaga: 35-2014.00 - Cozinheiros, Restaurante. A classificação e a descrição da vaga/setor incluem informações gerais sobre o cargo, de acordo com o ONET/OES e o Sistema de Classificação Industrial da América do Norte. Consulte as Funções e a Ordem de Serviço para obter mais informações. Requisitos da vaga Experiência exigida: Não Requisitos especiais: O EMPREGADOR EXIGE QUE A VERIFICAÇÃO DE ANTECEDENTES CRIMINAIS PRÉ-ADMISSÃO E O TESTE DE DROGAS PÓS-ADMISSÃO SEJAM REALIZADOS IGUALMENTE PARA OS TRABALHADORES AMERICANOS E PARA OS TRABALHADORES COM VISTO H-2B. HABILIDADE DE SE COMUNICAR EM INGLÊS. Número de horas por semana: 40 Horário de trabalho (início/término): 6h às 23h</v>
      </c>
    </row>
    <row r="2361" ht="20.25" customHeight="1">
      <c r="A2361" s="8" t="s">
        <v>10393</v>
      </c>
      <c r="B2361" s="8" t="s">
        <v>10387</v>
      </c>
      <c r="C2361" s="8" t="s">
        <v>8981</v>
      </c>
      <c r="D2361" s="8" t="s">
        <v>71</v>
      </c>
      <c r="E2361" s="9" t="s">
        <v>19</v>
      </c>
      <c r="F2361" s="9" t="s">
        <v>20</v>
      </c>
      <c r="G2361" s="9" t="s">
        <v>524</v>
      </c>
      <c r="H2361" s="8" t="s">
        <v>10388</v>
      </c>
      <c r="I2361" s="8" t="s">
        <v>10389</v>
      </c>
      <c r="J2361" s="9">
        <v>17.0</v>
      </c>
      <c r="K2361" s="9">
        <v>2.0</v>
      </c>
      <c r="L2361" s="8" t="s">
        <v>3312</v>
      </c>
      <c r="M2361" s="8" t="s">
        <v>10394</v>
      </c>
      <c r="N2361" s="7" t="str">
        <f>IFERROR(__xludf.DUMMYFUNCTION("GOOGLETRANSLATE(L2361, ""en"", ""pt"")"),"Anfitrião/anfitriã")</f>
        <v>Anfitrião/anfitriã</v>
      </c>
      <c r="O2361" s="7" t="str">
        <f>IFERROR(__xludf.DUMMYFUNCTION("IF(M2361="""","""",GOOGLETRANSLATE(M2361,""en"",""pt""))"),"Recepciona, acompanha e entrega os cardápios aos clientes; auxilia em tarefas diversas de limpeza/polimento, etc., conforme necessário. As tarefas de limpeza/polimento e a(s) área(s) onde a limpeza é realizada são um requisito diário de serviço para recep"&amp;"cionistas, ocorrendo na entrada do restaurante e consistindo especificamente em manter a limpeza e a aparência impecável da entrada, com foco no balcão de recepção e nas áreas de mesas dos clientes. As principais responsabilidades incluem higienizar cardá"&amp;"pios, limpar superfícies de alto contato, limpar o balcão de recepção e polir maçanetas, para garantir uma primeira impressão positiva. *Continuação da Seção F.a.5 abaixo: 40 horas semanais. Os turnos serão de 8 horas e podem variar conforme a necessidade"&amp;", de acordo com o anúncio de vaga da Agência Estadual de Força de Trabalho e outras fontes de anúncios de emprego H-2B, conforme os requisitos de recrutamento dos empregadores para trabalhadores em potencial sob o programa H-2B. Turnos variáveis ​​ao long"&amp;"o de 7 dias da semana. Os turnos podem variar: das 6h às 23h. Classificação da vaga: 35-9031.00 - Recepcionistas, Restaurante, Bar e Cafeteria. A classificação e descrição da vaga/setor inclui informações gerais sobre a posição, conforme o ONET/OES e o Si"&amp;"stema de Classificação Industrial da América do Norte (NAICS). Consulte as Funções e a Ordem de Serviço para obter mais informações. Requisitos da vaga: Experiência exigida: Não. Requisitos especiais: O EMPREGADOR EXIGE A VERIFICAÇÃO DE ANTECEDENTES CRIMI"&amp;"NAIS PRÉ-ADMISSÃO E O TESTE DE DROGAS PÓS-ADMISSÃO, PARA QUE SEJAM REALIZADOS IGUALMENTE PARA TRABALHADORES AMERICANOS E TRABALHADORES COM VISTO H-2B. HABILIDADE DE SE COMUNICAR EM INGLÊS. Número de horas por semana: 40. Horário de trabalho (início/términ"&amp;"o): 6h às 23h.")</f>
        <v>Recepciona, acompanha e entrega os cardápios aos clientes; auxilia em tarefas diversas de limpeza/polimento, etc., conforme necessário. As tarefas de limpeza/polimento e a(s) área(s) onde a limpeza é realizada são um requisito diário de serviço para recepcionistas, ocorrendo na entrada do restaurante e consistindo especificamente em manter a limpeza e a aparência impecável da entrada, com foco no balcão de recepção e nas áreas de mesas dos clientes. As principais responsabilidades incluem higienizar cardápios, limpar superfícies de alto contato, limpar o balcão de recepção e polir maçanetas, para garantir uma primeira impressão positiva. *Continuação da Seção F.a.5 abaixo: 40 horas semanais. Os turnos serão de 8 horas e podem variar conforme a necessidade, de acordo com o anúncio de vaga da Agência Estadual de Força de Trabalho e outras fontes de anúncios de emprego H-2B, conforme os requisitos de recrutamento dos empregadores para trabalhadores em potencial sob o programa H-2B. Turnos variáveis ​​ao longo de 7 dias da semana. Os turnos podem variar: das 6h às 23h. Classificação da vaga: 35-9031.00 - Recepcionistas, Restaurante, Bar e Cafeteria. A classificação e descrição da vaga/setor inclui informações gerais sobre a posição, conforme o ONET/OES e o Sistema de Classificação Industrial da América do Norte (NAICS). Consulte as Funções e a Ordem de Serviço para obter mais informações. Requisitos da vaga: Experiência exigida: Não. Requisitos especiais: O EMPREGADOR EXIGE A VERIFICAÇÃO DE ANTECEDENTES CRIMINAIS PRÉ-ADMISSÃO E O TESTE DE DROGAS PÓS-ADMISSÃO, PARA QUE SEJAM REALIZADOS IGUALMENTE PARA TRABALHADORES AMERICANOS E TRABALHADORES COM VISTO H-2B. HABILIDADE DE SE COMUNICAR EM INGLÊS. Número de horas por semana: 40. Horário de trabalho (início/término): 6h às 23h.</v>
      </c>
    </row>
    <row r="2362" ht="20.25" customHeight="1">
      <c r="A2362" s="3" t="s">
        <v>10395</v>
      </c>
      <c r="B2362" s="3" t="s">
        <v>10387</v>
      </c>
      <c r="C2362" s="3" t="s">
        <v>8981</v>
      </c>
      <c r="D2362" s="3" t="s">
        <v>71</v>
      </c>
      <c r="E2362" s="4" t="s">
        <v>19</v>
      </c>
      <c r="F2362" s="4" t="s">
        <v>20</v>
      </c>
      <c r="G2362" s="4" t="s">
        <v>524</v>
      </c>
      <c r="H2362" s="3" t="s">
        <v>10388</v>
      </c>
      <c r="I2362" s="3" t="s">
        <v>10389</v>
      </c>
      <c r="J2362" s="4">
        <v>18.57</v>
      </c>
      <c r="K2362" s="4">
        <v>15.0</v>
      </c>
      <c r="L2362" s="3" t="s">
        <v>1206</v>
      </c>
      <c r="M2362" s="3" t="s">
        <v>9010</v>
      </c>
      <c r="N2362" s="7" t="str">
        <f>IFERROR(__xludf.DUMMYFUNCTION("GOOGLETRANSLATE(L2362, ""en"", ""pt"")"),"Servidor")</f>
        <v>Servidor</v>
      </c>
      <c r="O2362" s="7" t="str">
        <f>IFERROR(__xludf.DUMMYFUNCTION("IF(M2362="""","""",GOOGLETRANSLATE(M2362,""en"",""pt""))"),"Receber e servir pedidos de comida e bebida; realizar a montagem e desmontagem de mesas e outras atividades diversas; poderá ser necessário trabalhar em ambientes externos e em eventos de banquetes; poderá ser necessário servir clientes utilizando carrinh"&amp;"o de golfe. *Continuação da Seção F.a.5 abaixo: 40 horas semanais. Os turnos serão de 8 horas e poderão variar conforme a necessidade, de acordo com o anúncio da vaga na Agência Estadual de Força de Trabalho e em outras fontes de anúncios de vagas H-2B, c"&amp;"onforme os requisitos de recrutamento dos empregadores para trabalhadores em potencial no âmbito do programa H-2B. Turnos variáveis ​​ao longo de 7 dias da semana. Os turnos podem variar: das 6h às 23h. Classificação da vaga: 35-3031.00 - Garçons e Garçon"&amp;"etes. A classificação e descrição da vaga/setor inclui informações gerais sobre o cargo, provenientes do ONET/OES e do Sistema de Classificação Industrial da América do Norte. Consulte as Funções e a Ordem de Serviço para obter mais informações. Requisito"&amp;"s da vaga Experiência exigida: Não Requisitos especiais: O EMPREGADOR EXIGE QUE A VERIFICAÇÃO DE ANTECEDENTES CRIMINAIS PRÉ-ADMISSÃO E O TESTE DE DROGAS PÓS-ADMISSÃO SEJAM REALIZADOS IGUALMENTE PARA OS TRABALHADORES AMERICANOS E PARA OS TRABALHADORES COM "&amp;"VISTO H-2B. HABILIDADE DE SE COMUNICAR EM INGLÊS. Número de horas por semana: 40 Horário de trabalho (início/término): 6h às 23h")</f>
        <v>Receber e servir pedidos de comida e bebida; realizar a montagem e desmontagem de mesas e outras atividades diversas; poderá ser necessário trabalhar em ambientes externos e em eventos de banquetes; poderá ser necessário servir clientes utilizando carrinho de golfe. *Continuação da Seção F.a.5 abaixo: 40 horas semanais. Os turnos serão de 8 horas e poderão variar conforme a necessidade, de acordo com o anúncio da vaga na Agência Estadual de Força de Trabalho e em outras fontes de anúncios de vagas H-2B, conforme os requisitos de recrutamento dos empregadores para trabalhadores em potencial no âmbito do programa H-2B. Turnos variáveis ​​ao longo de 7 dias da semana. Os turnos podem variar: das 6h às 23h. Classificação da vaga: 35-3031.00 - Garçons e Garçonetes. A classificação e descrição da vaga/setor inclui informações gerais sobre o cargo, provenientes do ONET/OES e do Sistema de Classificação Industrial da América do Norte. Consulte as Funções e a Ordem de Serviço para obter mais informações. Requisitos da vaga Experiência exigida: Não Requisitos especiais: O EMPREGADOR EXIGE QUE A VERIFICAÇÃO DE ANTECEDENTES CRIMINAIS PRÉ-ADMISSÃO E O TESTE DE DROGAS PÓS-ADMISSÃO SEJAM REALIZADOS IGUALMENTE PARA OS TRABALHADORES AMERICANOS E PARA OS TRABALHADORES COM VISTO H-2B. HABILIDADE DE SE COMUNICAR EM INGLÊS. Número de horas por semana: 40 Horário de trabalho (início/término): 6h às 23h</v>
      </c>
    </row>
    <row r="2363" ht="20.25" customHeight="1">
      <c r="A2363" s="8" t="s">
        <v>10396</v>
      </c>
      <c r="B2363" s="8" t="s">
        <v>10387</v>
      </c>
      <c r="C2363" s="8" t="s">
        <v>8981</v>
      </c>
      <c r="D2363" s="8" t="s">
        <v>71</v>
      </c>
      <c r="E2363" s="9" t="s">
        <v>19</v>
      </c>
      <c r="F2363" s="9" t="s">
        <v>20</v>
      </c>
      <c r="G2363" s="9" t="s">
        <v>524</v>
      </c>
      <c r="H2363" s="8" t="s">
        <v>10388</v>
      </c>
      <c r="I2363" s="8" t="s">
        <v>10389</v>
      </c>
      <c r="J2363" s="9">
        <v>18.57</v>
      </c>
      <c r="K2363" s="9">
        <v>1.0</v>
      </c>
      <c r="L2363" s="8" t="s">
        <v>354</v>
      </c>
      <c r="M2363" s="8" t="s">
        <v>10397</v>
      </c>
      <c r="N2363" s="7" t="str">
        <f>IFERROR(__xludf.DUMMYFUNCTION("GOOGLETRANSLATE(L2363, ""en"", ""pt"")"),"Governanta")</f>
        <v>Governanta</v>
      </c>
      <c r="O2363" s="7" t="str">
        <f>IFERROR(__xludf.DUMMYFUNCTION("IF(M2363="""","""",GOOGLETRANSLATE(M2363,""en"",""pt""))"),"Limpar áreas comuns, corredores, quartos e vestiários, incluindo tirar o pó, passar pano leve, aspirar e, ocasionalmente, remover lixo/roupas sujas. Carregar, lavar e guardar roupas de cama e banho, especificamente incluindo a lavagem de toalhas de mesa, "&amp;"roupas de cama de quartos de hóspedes, roupas de cama das instalações, uniformes das instalações, toalhas de banho, cortinas e tecidos decorativos. *Continuação da Seção F.a.5 abaixo: 40 horas semanais. Os turnos serão de 8 horas e podem variar conforme a"&amp;" necessidade, de acordo com o anúncio da vaga na Agência Estadual de Força de Trabalho e em outras fontes de anúncios de vagas H-2B, conforme os requisitos de recrutamento dos empregadores para trabalhadores em potencial no âmbito do programa H-2B. Turnos"&amp;" variáveis ​​ao longo de 7 dias da semana. Os turnos podem variar: das 6h às 23h. Classificação da vaga: 37-2012.00 - Empregadas Domésticas e Auxiliares de Limpeza. A classificação e descrição da vaga/setor inclui informações gerais sobre o cargo, de acor"&amp;"do com o ONET/OES e o Sistema de Classificação Industrial da América do Norte. Consulte as Funções e a Ordem de Serviço para obter mais informações. Requisitos da vaga Experiência exigida: Não Requisitos especiais: O EMPREGADOR EXIGE QUE A VERIFICAÇÃO DE "&amp;"ANTECEDENTES CRIMINAIS PRÉ-ADMISSÃO E O TESTE DE DROGAS PÓS-ADMISSÃO SEJAM REALIZADOS IGUALMENTE PARA OS TRABALHADORES AMERICANOS E PARA OS TRABALHADORES COM VISTO H-2B. HABILIDADE DE SE COMUNICAR EM INGLÊS. Número de horas por semana: 40 Horário de traba"&amp;"lho (início/término): 6h às 23h")</f>
        <v>Limpar áreas comuns, corredores, quartos e vestiários, incluindo tirar o pó, passar pano leve, aspirar e, ocasionalmente, remover lixo/roupas sujas. Carregar, lavar e guardar roupas de cama e banho, especificamente incluindo a lavagem de toalhas de mesa, roupas de cama de quartos de hóspedes, roupas de cama das instalações, uniformes das instalações, toalhas de banho, cortinas e tecidos decorativos. *Continuação da Seção F.a.5 abaixo: 40 horas semanais. Os turnos serão de 8 horas e podem variar conforme a necessidade, de acordo com o anúncio da vaga na Agência Estadual de Força de Trabalho e em outras fontes de anúncios de vagas H-2B, conforme os requisitos de recrutamento dos empregadores para trabalhadores em potencial no âmbito do programa H-2B. Turnos variáveis ​​ao longo de 7 dias da semana. Os turnos podem variar: das 6h às 23h. Classificação da vaga: 37-2012.00 - Empregadas Domésticas e Auxiliares de Limpeza. A classificação e descrição da vaga/setor inclui informações gerais sobre o cargo, de acordo com o ONET/OES e o Sistema de Classificação Industrial da América do Norte. Consulte as Funções e a Ordem de Serviço para obter mais informações. Requisitos da vaga Experiência exigida: Não Requisitos especiais: O EMPREGADOR EXIGE QUE A VERIFICAÇÃO DE ANTECEDENTES CRIMINAIS PRÉ-ADMISSÃO E O TESTE DE DROGAS PÓS-ADMISSÃO SEJAM REALIZADOS IGUALMENTE PARA OS TRABALHADORES AMERICANOS E PARA OS TRABALHADORES COM VISTO H-2B. HABILIDADE DE SE COMUNICAR EM INGLÊS. Número de horas por semana: 40 Horário de trabalho (início/término): 6h às 23h</v>
      </c>
    </row>
    <row r="2364" ht="20.25" customHeight="1">
      <c r="A2364" s="3" t="s">
        <v>10398</v>
      </c>
      <c r="B2364" s="3" t="s">
        <v>10387</v>
      </c>
      <c r="C2364" s="3" t="s">
        <v>8981</v>
      </c>
      <c r="D2364" s="3" t="s">
        <v>71</v>
      </c>
      <c r="E2364" s="4" t="s">
        <v>44</v>
      </c>
      <c r="F2364" s="4" t="s">
        <v>20</v>
      </c>
      <c r="G2364" s="4" t="s">
        <v>524</v>
      </c>
      <c r="H2364" s="3" t="s">
        <v>10388</v>
      </c>
      <c r="I2364" s="3" t="s">
        <v>10389</v>
      </c>
      <c r="J2364" s="4">
        <v>17.0</v>
      </c>
      <c r="K2364" s="4">
        <v>2.0</v>
      </c>
      <c r="L2364" s="3" t="s">
        <v>2821</v>
      </c>
      <c r="M2364" s="3" t="s">
        <v>10399</v>
      </c>
      <c r="N2364" s="7" t="str">
        <f>IFERROR(__xludf.DUMMYFUNCTION("GOOGLETRANSLATE(L2364, ""en"", ""pt"")"),"Auxiliar de Recreação")</f>
        <v>Auxiliar de Recreação</v>
      </c>
      <c r="O2364" s="7" t="str">
        <f>IFERROR(__xludf.DUMMYFUNCTION("IF(M2364="""","""",GOOGLETRANSLATE(M2364,""en"",""pt""))"),"O funcionário poderá ser solicitado a desempenhar qualquer uma das seguintes funções: monitorar as atividades no campo de golfe, complexo de tênis, complexo aquático, spa e academia; prestar assistência administrativa aos membros, incluindo a verificação "&amp;"de cartões de membro, confirmação de reservas, organização de mercadorias, equipamentos, guarda de bolsas e fornecimento de informações sobre as instalações; realizar a limpeza básica de carrinhos de golfe e tacos, e transportar os equipamentos de golfe e"&amp;" automóveis dos membros de e para as instalações do clube. A limpeza dos carrinhos de golfe e de quaisquer outros veículos é uma tarefa diária exigida dos auxiliares de recreação, destinada a manter a longevidade dos equipamentos, aprimorar a experiência "&amp;"dos membros e garantir altos padrões de higienização. Esse processo envolve uma rotina rápida e estruturada após o retorno dos carrinhos do campo. Uma limpeza básica típica leva aproximadamente 15 a 20 minutos e inclui a remoção do lixo, lavagem, limpeza "&amp;"das superfícies, limpeza dos assentos, limpeza do para-brisa, das rodas e secagem das superfícies do carrinho de golfe. As tarefas relacionadas ao transporte de automóveis de e para as instalações exigem uma combinação de hospitalidade, segurança e organi"&amp;"zação rigorosa. Essa função geralmente representa o primeiro e o último ponto de contato com o membro, o que envolve cumprimentá-lo na entrada; Abrir a porta do motorista imediatamente após a chegada; realizar uma inspeção visual rápida e discreta para ve"&amp;"rificar se há danos pré-existentes; levar o veículo para a frente das instalações do clube, mediante solicitação do associado. *Continuação da Seção F.a.5 abaixo: 40 horas semanais. Os turnos serão de 8 horas e podem variar conforme a necessidade, de acor"&amp;"do com o anúncio da vaga na Agência Estadual de Força de Trabalho e em outras fontes de anúncios de vagas H-2B, conforme os requisitos de recrutamento dos empregadores para trabalhadores em potencial no âmbito do programa H-2B. Turnos variáveis ​​ao longo"&amp;" de 7 dias da semana. Os turnos podem variar: das 6h às 23h. Classificação do Cargo: 53-6021.00 - Manobristas. A classificação e descrição do cargo/setor incluem informações gerais sobre a posição, de acordo com o ONET/OES e o Sistema de Classificação Ind"&amp;"ustrial da América do Norte. Consulte as Funções e a Ordem de Serviço para obter mais informações. Requisitos da vaga Experiência exigida: Não Requisitos especiais: O EMPREGADOR EXIGE QUE A VERIFICAÇÃO DE ANTECEDENTES CRIMINAIS PRÉ-ADMISSÃO E O TESTE DE D"&amp;"ROGAS PÓS-ADMISSÃO SEJAM REALIZADOS IGUALMENTE PARA OS TRABALHADORES AMERICANOS E PARA OS TRABALHADORES COM VISTO H-2B. HABILIDADE DE SE COMUNICAR EM INGLÊS. Número de horas por semana: 40 Horário de trabalho (início/término): 6h às 23h")</f>
        <v>O funcionário poderá ser solicitado a desempenhar qualquer uma das seguintes funções: monitorar as atividades no campo de golfe, complexo de tênis, complexo aquático, spa e academia; prestar assistência administrativa aos membros, incluindo a verificação de cartões de membro, confirmação de reservas, organização de mercadorias, equipamentos, guarda de bolsas e fornecimento de informações sobre as instalações; realizar a limpeza básica de carrinhos de golfe e tacos, e transportar os equipamentos de golfe e automóveis dos membros de e para as instalações do clube. A limpeza dos carrinhos de golfe e de quaisquer outros veículos é uma tarefa diária exigida dos auxiliares de recreação, destinada a manter a longevidade dos equipamentos, aprimorar a experiência dos membros e garantir altos padrões de higienização. Esse processo envolve uma rotina rápida e estruturada após o retorno dos carrinhos do campo. Uma limpeza básica típica leva aproximadamente 15 a 20 minutos e inclui a remoção do lixo, lavagem, limpeza das superfícies, limpeza dos assentos, limpeza do para-brisa, das rodas e secagem das superfícies do carrinho de golfe. As tarefas relacionadas ao transporte de automóveis de e para as instalações exigem uma combinação de hospitalidade, segurança e organização rigorosa. Essa função geralmente representa o primeiro e o último ponto de contato com o membro, o que envolve cumprimentá-lo na entrada; Abrir a porta do motorista imediatamente após a chegada; realizar uma inspeção visual rápida e discreta para verificar se há danos pré-existentes; levar o veículo para a frente das instalações do clube, mediante solicitação do associado. *Continuação da Seção F.a.5 abaixo: 40 horas semanais. Os turnos serão de 8 horas e podem variar conforme a necessidade, de acordo com o anúncio da vaga na Agência Estadual de Força de Trabalho e em outras fontes de anúncios de vagas H-2B, conforme os requisitos de recrutamento dos empregadores para trabalhadores em potencial no âmbito do programa H-2B. Turnos variáveis ​​ao longo de 7 dias da semana. Os turnos podem variar: das 6h às 23h. Classificação do Cargo: 53-6021.00 - Manobristas. A classificação e descrição do cargo/setor incluem informações gerais sobre a posição, de acordo com o ONET/OES e o Sistema de Classificação Industrial da América do Norte. Consulte as Funções e a Ordem de Serviço para obter mais informações. Requisitos da vaga Experiência exigida: Não Requisitos especiais: O EMPREGADOR EXIGE QUE A VERIFICAÇÃO DE ANTECEDENTES CRIMINAIS PRÉ-ADMISSÃO E O TESTE DE DROGAS PÓS-ADMISSÃO SEJAM REALIZADOS IGUALMENTE PARA OS TRABALHADORES AMERICANOS E PARA OS TRABALHADORES COM VISTO H-2B. HABILIDADE DE SE COMUNICAR EM INGLÊS. Número de horas por semana: 40 Horário de trabalho (início/término): 6h às 23h</v>
      </c>
    </row>
    <row r="2365" ht="20.25" customHeight="1">
      <c r="A2365" s="8" t="s">
        <v>10400</v>
      </c>
      <c r="B2365" s="8" t="s">
        <v>10387</v>
      </c>
      <c r="C2365" s="8" t="s">
        <v>8981</v>
      </c>
      <c r="D2365" s="8" t="s">
        <v>71</v>
      </c>
      <c r="E2365" s="9" t="s">
        <v>44</v>
      </c>
      <c r="F2365" s="9" t="s">
        <v>20</v>
      </c>
      <c r="G2365" s="9" t="s">
        <v>524</v>
      </c>
      <c r="H2365" s="8" t="s">
        <v>10388</v>
      </c>
      <c r="I2365" s="8" t="s">
        <v>10389</v>
      </c>
      <c r="J2365" s="9">
        <v>21.05</v>
      </c>
      <c r="K2365" s="9">
        <v>1.0</v>
      </c>
      <c r="L2365" s="8" t="s">
        <v>4654</v>
      </c>
      <c r="M2365" s="8" t="s">
        <v>10401</v>
      </c>
      <c r="N2365" s="7" t="str">
        <f>IFERROR(__xludf.DUMMYFUNCTION("GOOGLETRANSLATE(L2365, ""en"", ""pt"")"),"Capitão do servidor")</f>
        <v>Capitão do servidor</v>
      </c>
      <c r="O2365" s="7" t="str">
        <f>IFERROR(__xludf.DUMMYFUNCTION("IF(M2365="""","""",GOOGLETRANSLATE(M2365,""en"",""pt""))"),"Supervisionar a equipe de atendimento durante a preparação, o serviço e a limpeza; treinar novos garçons no salão; construir e manter um bom relacionamento com os membros do clube; assumir funções de garçom quando necessário, principalmente no atendimento"&amp;" a convidados de honra e VIPs; ser um exemplo a ser seguido e garantir o mais alto nível de serviço prestado pela equipe de atendimento do clube. *Continuação da Seção F.a.5 abaixo: 40 horas semanais. Os turnos serão de 8 horas e podem variar conforme a n"&amp;"ecessidade, de acordo com o anúncio da vaga na Agência Estadual de Força de Trabalho e em outras fontes de anúncios de vagas H-2B, conforme os requisitos de recrutamento dos empregadores para trabalhadores em potencial no âmbito do programa H-2B. Turnos v"&amp;"ariáveis ​​ao longo de 7 dias da semana. Os turnos podem variar das 6h às 23h. Classificação do Cargo: 35-1012.00 - Supervisores de Primeira Linha de Preparadores e Servidores de Alimentos. A classificação e a descrição do cargo/setor incluem informações "&amp;"gerais sobre a posição, de acordo com o ONET/OES e o Sistema de Classificação Industrial da América do Norte. Consulte as Funções e a Ordem de Serviço para obter mais informações. Requisitos da vaga Experiência necessária: Sim Meses de experiência necessá"&amp;"rios: 6 Requisitos especiais: O EMPREGADOR EXIGE QUE A VERIFICAÇÃO DE ANTECEDENTES CRIMINAIS PRÉ-ADMISSÃO E O TESTE DE DROGAS PÓS-ADMISSÃO SEJAM REALIZADOS IGUALMENTE PARA OS TRABALHADORES AMERICANOS E PARA OS TRABALHADORES COM VISTO H-2B. HABILIDADE DE S"&amp;"E COMUNICAR EM INGLÊS. OS 6 MESES DE EXPERIÊNCIA EXIGIDOS NO ITEM F.A.9 REFEREM-SE A 6 MESES DE EXPERIÊNCIA COMO GARÇOM OU GARÇOM SÊNIOR EM UM ESTABELECIMENTO DE HOSPITALIDADE. Número de horas por semana: 40 Horário de trabalho (início/término): 6h00 - 23"&amp;"h00")</f>
        <v>Supervisionar a equipe de atendimento durante a preparação, o serviço e a limpeza; treinar novos garçons no salão; construir e manter um bom relacionamento com os membros do clube; assumir funções de garçom quando necessário, principalmente no atendimento a convidados de honra e VIPs; ser um exemplo a ser seguido e garantir o mais alto nível de serviço prestado pela equipe de atendimento do clube. *Continuação da Seção F.a.5 abaixo: 40 horas semanais. Os turnos serão de 8 horas e podem variar conforme a necessidade, de acordo com o anúncio da vaga na Agência Estadual de Força de Trabalho e em outras fontes de anúncios de vagas H-2B, conforme os requisitos de recrutamento dos empregadores para trabalhadores em potencial no âmbito do programa H-2B. Turnos variáveis ​​ao longo de 7 dias da semana. Os turnos podem variar das 6h às 23h. Classificação do Cargo: 35-1012.00 - Supervisores de Primeira Linha de Preparadores e Servidores de Alimentos. A classificação e a descrição do cargo/setor incluem informações gerais sobre a posição, de acordo com o ONET/OES e o Sistema de Classificação Industrial da América do Norte. Consulte as Funções e a Ordem de Serviço para obter mais informações. Requisitos da vaga Experiência necessária: Sim Meses de experiência necessários: 6 Requisitos especiais: O EMPREGADOR EXIGE QUE A VERIFICAÇÃO DE ANTECEDENTES CRIMINAIS PRÉ-ADMISSÃO E O TESTE DE DROGAS PÓS-ADMISSÃO SEJAM REALIZADOS IGUALMENTE PARA OS TRABALHADORES AMERICANOS E PARA OS TRABALHADORES COM VISTO H-2B. HABILIDADE DE SE COMUNICAR EM INGLÊS. OS 6 MESES DE EXPERIÊNCIA EXIGIDOS NO ITEM F.A.9 REFEREM-SE A 6 MESES DE EXPERIÊNCIA COMO GARÇOM OU GARÇOM SÊNIOR EM UM ESTABELECIMENTO DE HOSPITALIDADE. Número de horas por semana: 40 Horário de trabalho (início/término): 6h00 - 23h00</v>
      </c>
    </row>
    <row r="2366" ht="20.25" customHeight="1">
      <c r="A2366" s="3" t="s">
        <v>10402</v>
      </c>
      <c r="B2366" s="3" t="s">
        <v>10403</v>
      </c>
      <c r="C2366" s="3" t="s">
        <v>10365</v>
      </c>
      <c r="D2366" s="3" t="s">
        <v>71</v>
      </c>
      <c r="E2366" s="4" t="s">
        <v>19</v>
      </c>
      <c r="F2366" s="4" t="s">
        <v>20</v>
      </c>
      <c r="G2366" s="4" t="s">
        <v>118</v>
      </c>
      <c r="H2366" s="3" t="s">
        <v>10404</v>
      </c>
      <c r="I2366" s="3" t="s">
        <v>10405</v>
      </c>
      <c r="J2366" s="4">
        <v>16.67</v>
      </c>
      <c r="K2366" s="4">
        <v>16.0</v>
      </c>
      <c r="L2366" s="3" t="s">
        <v>4517</v>
      </c>
      <c r="M2366" s="3" t="s">
        <v>10368</v>
      </c>
      <c r="N2366" s="7" t="str">
        <f>IFERROR(__xludf.DUMMYFUNCTION("GOOGLETRANSLATE(L2366, ""en"", ""pt"")"),"tratador de estábulo")</f>
        <v>tratador de estábulo</v>
      </c>
      <c r="O2366" s="7" t="str">
        <f>IFERROR(__xludf.DUMMYFUNCTION("IF(M2366="""","""",GOOGLETRANSLATE(M2366,""en"",""pt""))"),"Cuida e limpa cavalos; exercita-os e inspeciona-os de acordo com as instruções. Classificação da função: 39-2021.00 - Cuidadores de Animais. A classificação e descrição da função/setor inclui informações gerais sobre o cargo, conforme o ONET/OES e o Siste"&amp;"ma de Classificação Industrial da América do Norte. Consulte as Funções e a Ordem de Serviço para obter mais informações. Requisitos da vaga: Experiência necessária: Sim. Meses de experiência necessários: 1. Requisitos especiais: Em relação à Seção F.a.5 "&amp;"A-H, os dias de trabalho podem variar. Em relação às Seções F.a.6a e F.a.6b, o horário de trabalho é das 5h às 11h e das 15h às 17h e pode variar. Número de horas por semana: 40. Horário de trabalho (início/término): 5h às 11h.")</f>
        <v>Cuida e limpa cavalos; exercita-os e inspeciona-os de acordo com as instruções. Classificação da função: 39-2021.00 - Cuidadores de Animais. A classificação e descrição da função/setor inclui informações gerais sobre o cargo, conforme o ONET/OES e o Sistema de Classificação Industrial da América do Norte. Consulte as Funções e a Ordem de Serviço para obter mais informações. Requisitos da vaga: Experiência necessária: Sim. Meses de experiência necessários: 1. Requisitos especiais: Em relação à Seção F.a.5 A-H, os dias de trabalho podem variar. Em relação às Seções F.a.6a e F.a.6b, o horário de trabalho é das 5h às 11h e das 15h às 17h e pode variar. Número de horas por semana: 40. Horário de trabalho (início/término): 5h às 11h.</v>
      </c>
    </row>
    <row r="2367" ht="20.25" customHeight="1">
      <c r="A2367" s="8" t="s">
        <v>10406</v>
      </c>
      <c r="B2367" s="8" t="s">
        <v>10407</v>
      </c>
      <c r="C2367" s="8" t="s">
        <v>10365</v>
      </c>
      <c r="D2367" s="8" t="s">
        <v>51</v>
      </c>
      <c r="E2367" s="9" t="s">
        <v>19</v>
      </c>
      <c r="F2367" s="9" t="s">
        <v>20</v>
      </c>
      <c r="G2367" s="9" t="s">
        <v>118</v>
      </c>
      <c r="H2367" s="8" t="s">
        <v>10408</v>
      </c>
      <c r="I2367" s="8" t="s">
        <v>10409</v>
      </c>
      <c r="J2367" s="9">
        <v>14.09</v>
      </c>
      <c r="K2367" s="9">
        <v>20.0</v>
      </c>
      <c r="L2367" s="8" t="s">
        <v>4517</v>
      </c>
      <c r="M2367" s="8" t="s">
        <v>10410</v>
      </c>
      <c r="N2367" s="7" t="str">
        <f>IFERROR(__xludf.DUMMYFUNCTION("GOOGLETRANSLATE(L2367, ""en"", ""pt"")"),"tratador de estábulo")</f>
        <v>tratador de estábulo</v>
      </c>
      <c r="O2367" s="7" t="str">
        <f>IFERROR(__xludf.DUMMYFUNCTION("IF(M2367="""","""",GOOGLETRANSLATE(M2367,""en"",""pt""))"),"Cuida e limpa cavalos; exercita-os e inspeciona-os de acordo com as instruções. Classificação da função: 39-2021.00 - Cuidadores de Animais. A classificação e descrição da função/setor inclui informações gerais sobre o cargo, conforme o ONET/OES e o Siste"&amp;"ma de Classificação Industrial da América do Norte. Consulte as Funções e a Ordem de Serviço para obter mais informações. Requisitos da vaga: Experiência necessária: Sim. Meses de experiência necessários: 1. Requisitos especiais: Em relação à Seção F.a.5 "&amp;"A-H, os dias de trabalho podem variar. Em relação às Seções F.a.6a e F.a.6b, o horário de trabalho é das 5h às 11h e das 15h às 17h, podendo variar. Número de horas por semana: 45. Horário de trabalho (início/término): 5h às 11h.")</f>
        <v>Cuida e limpa cavalos; exercita-os e inspeciona-os de acordo com as instruções. Classificação da função: 39-2021.00 - Cuidadores de Animais. A classificação e descrição da função/setor inclui informações gerais sobre o cargo, conforme o ONET/OES e o Sistema de Classificação Industrial da América do Norte. Consulte as Funções e a Ordem de Serviço para obter mais informações. Requisitos da vaga: Experiência necessária: Sim. Meses de experiência necessários: 1. Requisitos especiais: Em relação à Seção F.a.5 A-H, os dias de trabalho podem variar. Em relação às Seções F.a.6a e F.a.6b, o horário de trabalho é das 5h às 11h e das 15h às 17h, podendo variar. Número de horas por semana: 45. Horário de trabalho (início/término): 5h às 11h.</v>
      </c>
    </row>
    <row r="2368" ht="20.25" customHeight="1">
      <c r="A2368" s="3" t="s">
        <v>10411</v>
      </c>
      <c r="B2368" s="3" t="s">
        <v>10407</v>
      </c>
      <c r="C2368" s="3" t="s">
        <v>10365</v>
      </c>
      <c r="D2368" s="3" t="s">
        <v>28</v>
      </c>
      <c r="E2368" s="4" t="s">
        <v>19</v>
      </c>
      <c r="F2368" s="4" t="s">
        <v>20</v>
      </c>
      <c r="G2368" s="4" t="s">
        <v>118</v>
      </c>
      <c r="H2368" s="3" t="s">
        <v>10408</v>
      </c>
      <c r="I2368" s="3" t="s">
        <v>10409</v>
      </c>
      <c r="J2368" s="4">
        <v>13.7</v>
      </c>
      <c r="K2368" s="4">
        <v>45.0</v>
      </c>
      <c r="L2368" s="3" t="s">
        <v>4517</v>
      </c>
      <c r="M2368" s="3" t="s">
        <v>10368</v>
      </c>
      <c r="N2368" s="7" t="str">
        <f>IFERROR(__xludf.DUMMYFUNCTION("GOOGLETRANSLATE(L2368, ""en"", ""pt"")"),"tratador de estábulo")</f>
        <v>tratador de estábulo</v>
      </c>
      <c r="O2368" s="7" t="str">
        <f>IFERROR(__xludf.DUMMYFUNCTION("IF(M2368="""","""",GOOGLETRANSLATE(M2368,""en"",""pt""))"),"Cuida e limpa cavalos; exercita-os e inspeciona-os de acordo com as instruções. Classificação da função: 39-2021.00 - Cuidadores de Animais. A classificação e descrição da função/setor inclui informações gerais sobre o cargo, conforme o ONET/OES e o Siste"&amp;"ma de Classificação Industrial da América do Norte. Consulte as Funções e a Ordem de Serviço para obter mais informações. Requisitos da vaga: Experiência necessária: Sim. Meses de experiência necessários: 1. Requisitos especiais: Em relação à Seção F.a.5 "&amp;"A-H, os dias de trabalho podem variar. Em relação às Seções F.a.6a e F.a.6b, o horário de trabalho é das 5h às 11h e das 15h às 17h e pode variar. Número de horas por semana: 40. Horário de trabalho (início/término): 5h às 11h.")</f>
        <v>Cuida e limpa cavalos; exercita-os e inspeciona-os de acordo com as instruções. Classificação da função: 39-2021.00 - Cuidadores de Animais. A classificação e descrição da função/setor inclui informações gerais sobre o cargo, conforme o ONET/OES e o Sistema de Classificação Industrial da América do Norte. Consulte as Funções e a Ordem de Serviço para obter mais informações. Requisitos da vaga: Experiência necessária: Sim. Meses de experiência necessários: 1. Requisitos especiais: Em relação à Seção F.a.5 A-H, os dias de trabalho podem variar. Em relação às Seções F.a.6a e F.a.6b, o horário de trabalho é das 5h às 11h e das 15h às 17h e pode variar. Número de horas por semana: 40. Horário de trabalho (início/término): 5h às 11h.</v>
      </c>
    </row>
    <row r="2369" ht="20.25" customHeight="1">
      <c r="A2369" s="8" t="s">
        <v>10412</v>
      </c>
      <c r="B2369" s="8" t="s">
        <v>10407</v>
      </c>
      <c r="C2369" s="8" t="s">
        <v>10365</v>
      </c>
      <c r="D2369" s="8" t="s">
        <v>28</v>
      </c>
      <c r="E2369" s="9" t="s">
        <v>44</v>
      </c>
      <c r="F2369" s="9" t="s">
        <v>20</v>
      </c>
      <c r="G2369" s="9" t="s">
        <v>118</v>
      </c>
      <c r="H2369" s="8" t="s">
        <v>10408</v>
      </c>
      <c r="I2369" s="8" t="s">
        <v>10413</v>
      </c>
      <c r="J2369" s="9">
        <v>14.22</v>
      </c>
      <c r="K2369" s="9">
        <v>55.0</v>
      </c>
      <c r="L2369" s="8" t="s">
        <v>4517</v>
      </c>
      <c r="M2369" s="8" t="s">
        <v>10368</v>
      </c>
      <c r="N2369" s="7" t="str">
        <f>IFERROR(__xludf.DUMMYFUNCTION("GOOGLETRANSLATE(L2369, ""en"", ""pt"")"),"tratador de estábulo")</f>
        <v>tratador de estábulo</v>
      </c>
      <c r="O2369" s="7" t="str">
        <f>IFERROR(__xludf.DUMMYFUNCTION("IF(M2369="""","""",GOOGLETRANSLATE(M2369,""en"",""pt""))"),"Cuida e limpa cavalos; exercita-os e inspeciona-os de acordo com as instruções. Classificação da função: 39-2021.00 - Cuidadores de Animais. A classificação e descrição da função/setor inclui informações gerais sobre o cargo, conforme o ONET/OES e o Siste"&amp;"ma de Classificação Industrial da América do Norte. Consulte as Funções e a Ordem de Serviço para obter mais informações. Requisitos da vaga: Experiência necessária: Sim. Meses de experiência necessários: 1. Requisitos especiais: Em relação à Seção F.a.5 "&amp;"A-H, os dias de trabalho podem variar. Em relação às Seções F.a.6a e F.a.6b, o horário de trabalho é das 5h às 11h e das 15h às 17h e pode variar. Número de horas por semana: 40. Horário de trabalho (início/término): 5h às 11h.")</f>
        <v>Cuida e limpa cavalos; exercita-os e inspeciona-os de acordo com as instruções. Classificação da função: 39-2021.00 - Cuidadores de Animais. A classificação e descrição da função/setor inclui informações gerais sobre o cargo, conforme o ONET/OES e o Sistema de Classificação Industrial da América do Norte. Consulte as Funções e a Ordem de Serviço para obter mais informações. Requisitos da vaga: Experiência necessária: Sim. Meses de experiência necessários: 1. Requisitos especiais: Em relação à Seção F.a.5 A-H, os dias de trabalho podem variar. Em relação às Seções F.a.6a e F.a.6b, o horário de trabalho é das 5h às 11h e das 15h às 17h e pode variar. Número de horas por semana: 40. Horário de trabalho (início/término): 5h às 11h.</v>
      </c>
    </row>
    <row r="2370" ht="20.25" customHeight="1">
      <c r="A2370" s="3" t="s">
        <v>10414</v>
      </c>
      <c r="B2370" s="3" t="s">
        <v>10407</v>
      </c>
      <c r="C2370" s="3" t="s">
        <v>10365</v>
      </c>
      <c r="D2370" s="3" t="s">
        <v>154</v>
      </c>
      <c r="E2370" s="4" t="s">
        <v>44</v>
      </c>
      <c r="F2370" s="4" t="s">
        <v>20</v>
      </c>
      <c r="G2370" s="4" t="s">
        <v>118</v>
      </c>
      <c r="H2370" s="3" t="s">
        <v>10408</v>
      </c>
      <c r="I2370" s="3" t="s">
        <v>10409</v>
      </c>
      <c r="J2370" s="4">
        <v>14.55</v>
      </c>
      <c r="K2370" s="4">
        <v>35.0</v>
      </c>
      <c r="L2370" s="3" t="s">
        <v>4517</v>
      </c>
      <c r="M2370" s="3" t="s">
        <v>10368</v>
      </c>
      <c r="N2370" s="7" t="str">
        <f>IFERROR(__xludf.DUMMYFUNCTION("GOOGLETRANSLATE(L2370, ""en"", ""pt"")"),"tratador de estábulo")</f>
        <v>tratador de estábulo</v>
      </c>
      <c r="O2370" s="7" t="str">
        <f>IFERROR(__xludf.DUMMYFUNCTION("IF(M2370="""","""",GOOGLETRANSLATE(M2370,""en"",""pt""))"),"Cuida e limpa cavalos; exercita-os e inspeciona-os de acordo com as instruções. Classificação da função: 39-2021.00 - Cuidadores de Animais. A classificação e descrição da função/setor inclui informações gerais sobre o cargo, conforme o ONET/OES e o Siste"&amp;"ma de Classificação Industrial da América do Norte. Consulte as Funções e a Ordem de Serviço para obter mais informações. Requisitos da vaga: Experiência necessária: Sim. Meses de experiência necessários: 1. Requisitos especiais: Em relação à Seção F.a.5 "&amp;"A-H, os dias de trabalho podem variar. Em relação às Seções F.a.6a e F.a.6b, o horário de trabalho é das 5h às 11h e das 15h às 17h e pode variar. Número de horas por semana: 40. Horário de trabalho (início/término): 5h às 11h.")</f>
        <v>Cuida e limpa cavalos; exercita-os e inspeciona-os de acordo com as instruções. Classificação da função: 39-2021.00 - Cuidadores de Animais. A classificação e descrição da função/setor inclui informações gerais sobre o cargo, conforme o ONET/OES e o Sistema de Classificação Industrial da América do Norte. Consulte as Funções e a Ordem de Serviço para obter mais informações. Requisitos da vaga: Experiência necessária: Sim. Meses de experiência necessários: 1. Requisitos especiais: Em relação à Seção F.a.5 A-H, os dias de trabalho podem variar. Em relação às Seções F.a.6a e F.a.6b, o horário de trabalho é das 5h às 11h e das 15h às 17h e pode variar. Número de horas por semana: 40. Horário de trabalho (início/término): 5h às 11h.</v>
      </c>
    </row>
    <row r="2371" ht="20.25" customHeight="1">
      <c r="A2371" s="8" t="s">
        <v>10415</v>
      </c>
      <c r="B2371" s="8" t="s">
        <v>10416</v>
      </c>
      <c r="C2371" s="8"/>
      <c r="D2371" s="8" t="s">
        <v>102</v>
      </c>
      <c r="E2371" s="9" t="s">
        <v>19</v>
      </c>
      <c r="F2371" s="9" t="s">
        <v>20</v>
      </c>
      <c r="G2371" s="9" t="s">
        <v>229</v>
      </c>
      <c r="H2371" s="8" t="s">
        <v>10417</v>
      </c>
      <c r="I2371" s="8" t="s">
        <v>10418</v>
      </c>
      <c r="J2371" s="9">
        <v>23.78</v>
      </c>
      <c r="K2371" s="9">
        <v>20.0</v>
      </c>
      <c r="L2371" s="8" t="s">
        <v>3465</v>
      </c>
      <c r="M2371" s="8" t="s">
        <v>10419</v>
      </c>
      <c r="N2371" s="7" t="str">
        <f>IFERROR(__xludf.DUMMYFUNCTION("GOOGLETRANSLATE(L2371, ""en"", ""pt"")"),"Montador")</f>
        <v>Montador</v>
      </c>
      <c r="O2371" s="7" t="str">
        <f>IFERROR(__xludf.DUMMYFUNCTION("IF(M2371="""","""",GOOGLETRANSLATE(M2371,""en"",""pt""))"),"O montador de treliças trabalhará com treliças de metal e madeira, produzindo treliças, peças ou componentes para treliças, dependendo do tamanho e das medidas dos projetos. Suas responsabilidades incluem montar materiais pré-cortados, garantindo a precis"&amp;"ão da montagem, utilizando réguas e calibradores, encaixando as peças, colocando placas de reforço de metal sobre as juntas de conexão e conectando as peças nas juntas. Ele poderá produzir ou auxiliar na produção de componentes de acordo com as instruções"&amp;", utilizando ferramentas manuais e máquinas para a construção de treliças, como martelos, serras, serras de corte, prensas dobradeiras, gabaritos e grampos para manter os membros no lugar durante a montagem, e cortadora a laser para o corte preciso de com"&amp;"ponentes. Poderá também utilizar elevadores para treliças pesadas, como as utilizadas em telhados na construção civil. Suas responsabilidades incluem puxar placas, empilhar o produto acabado, cintar e marcar os materiais, e empurrar os produtos para a pos"&amp;"ição correta manualmente ou com guindaste, em carrinhos, até a área de trabalho apropriada ou armazená-los ao final do expediente, mantendo a área limpa e livre de peças perigosas. Classificação da Função: 53-7021.00 - Operadores de Guindaste e Torre. A c"&amp;"lassificação e descrição da função/setor inclui informações gerais sobre o cargo, de acordo com o ONET/OES e o Sistema de Classificação Industrial da América do Norte (NAICS). Consulte as Funções e a Ordem de Serviço para obter mais informações. Requisito"&amp;"s da Função Experiência Necessária: Sim Meses de Experiência Necessários: 3 Requisitos Especiais: Três meses de experiência como montador de treliças em construções residenciais ou comerciais. Deve ser capaz de se curvar, levantar e sustentar até 23 kg, a"&amp;"lém de trabalhar em condições climáticas de calor extremo. Será necessário viajar dentro de vários condados. Não há treinamento no local de trabalho disponível e não é exigida escolaridade. Exame toxicológico pós-contratação obrigatório, pago pelo emprega"&amp;"dor. Todos os trabalhadores, americanos e estrangeiros, serão submetidos ao exame da mesma forma. Número de Horas por Semana: 40 Horário de Trabalho (Início/Término): 7h00 - 15h30.")</f>
        <v>O montador de treliças trabalhará com treliças de metal e madeira, produzindo treliças, peças ou componentes para treliças, dependendo do tamanho e das medidas dos projetos. Suas responsabilidades incluem montar materiais pré-cortados, garantindo a precisão da montagem, utilizando réguas e calibradores, encaixando as peças, colocando placas de reforço de metal sobre as juntas de conexão e conectando as peças nas juntas. Ele poderá produzir ou auxiliar na produção de componentes de acordo com as instruções, utilizando ferramentas manuais e máquinas para a construção de treliças, como martelos, serras, serras de corte, prensas dobradeiras, gabaritos e grampos para manter os membros no lugar durante a montagem, e cortadora a laser para o corte preciso de componentes. Poderá também utilizar elevadores para treliças pesadas, como as utilizadas em telhados na construção civil. Suas responsabilidades incluem puxar placas, empilhar o produto acabado, cintar e marcar os materiais, e empurrar os produtos para a posição correta manualmente ou com guindaste, em carrinhos, até a área de trabalho apropriada ou armazená-los ao final do expediente, mantendo a área limpa e livre de peças perigosas. Classificação da Função: 53-7021.00 - Operadores de Guindaste e Torre. A classificação e descrição da função/setor inclui informações gerais sobre o cargo, de acordo com o ONET/OES e o Sistema de Classificação Industrial da América do Norte (NAICS). Consulte as Funções e a Ordem de Serviço para obter mais informações. Requisitos da Função Experiência Necessária: Sim Meses de Experiência Necessários: 3 Requisitos Especiais: Três meses de experiência como montador de treliças em construções residenciais ou comerciais. Deve ser capaz de se curvar, levantar e sustentar até 23 kg, além de trabalhar em condições climáticas de calor extremo. Será necessário viajar dentro de vários condados. Não há treinamento no local de trabalho disponível e não é exigida escolaridade. Exame toxicológico pós-contratação obrigatório, pago pelo empregador. Todos os trabalhadores, americanos e estrangeiros, serão submetidos ao exame da mesma forma. Número de Horas por Semana: 40 Horário de Trabalho (Início/Término): 7h00 - 15h30.</v>
      </c>
    </row>
    <row r="2372" ht="20.25" customHeight="1">
      <c r="A2372" s="3" t="s">
        <v>10420</v>
      </c>
      <c r="B2372" s="3" t="s">
        <v>10421</v>
      </c>
      <c r="C2372" s="3" t="s">
        <v>10365</v>
      </c>
      <c r="D2372" s="3" t="s">
        <v>271</v>
      </c>
      <c r="E2372" s="4" t="s">
        <v>44</v>
      </c>
      <c r="F2372" s="4" t="s">
        <v>20</v>
      </c>
      <c r="G2372" s="4" t="s">
        <v>65</v>
      </c>
      <c r="H2372" s="3" t="s">
        <v>10422</v>
      </c>
      <c r="I2372" s="3" t="s">
        <v>10423</v>
      </c>
      <c r="J2372" s="4">
        <v>19.42</v>
      </c>
      <c r="K2372" s="4">
        <v>60.0</v>
      </c>
      <c r="L2372" s="3" t="s">
        <v>59</v>
      </c>
      <c r="M2372" s="3" t="s">
        <v>10424</v>
      </c>
      <c r="N2372" s="7" t="str">
        <f>IFERROR(__xludf.DUMMYFUNCTION("GOOGLETRANSLATE(L2372, ""en"", ""pt"")"),"Trabalhador de paisagismo")</f>
        <v>Trabalhador de paisagismo</v>
      </c>
      <c r="O2372" s="7" t="str">
        <f>IFERROR(__xludf.DUMMYFUNCTION("IF(M2372="""","""",GOOGLETRANSLATE(M2372,""en"",""pt""))"),"Paisagismo e manutenção de terrenos utilizando ferramentas manuais ou elétricas. Os trabalhadores geralmente executam uma variedade de tarefas, que podem incluir qualquer combinação das seguintes: colocação de grama, corte de grama, poda, plantio, irrigaç"&amp;"ão, fertilização, escavação e rastelagem. Também podem realizar pequenos reparos e procedimentos de manutenção em equipamentos utilizados em serviços de paisagismo e arboricultura, como escoramento, plantio, poda, remoção, pulverização, cirurgia e corte. "&amp;"Classificação da vaga: 37-3011.00 - Trabalhadores de Paisagismo e Manutenção de Terrenos. A classificação e descrição da vaga/setor incluem informações gerais sobre o cargo, de acordo com o ONET/OES e o Sistema de Classificação Industrial da América do No"&amp;"rte (NAICS). Consulte as Funções e a Ordem de Serviço para obter mais informações. Requisitos da vaga: Experiência exigida: Sim. Meses de experiência exigidos: 1. Número de horas por semana: 40. Horário de trabalho (início/término): 9h às 17h.")</f>
        <v>Paisagismo e manutenção de terrenos utilizando ferramentas manuais ou elétricas. Os trabalhadores geralmente executam uma variedade de tarefas, que podem incluir qualquer combinação das seguintes: colocação de grama, corte de grama, poda, plantio, irrigação, fertilização, escavação e rastelagem. Também podem realizar pequenos reparos e procedimentos de manutenção em equipamentos utilizados em serviços de paisagismo e arboricultura, como escoramento, plantio, poda, remoção, pulverização, cirurgia e corte. Classificação da vaga: 37-3011.00 - Trabalhadores de Paisagismo e Manutenção de Terrenos. A classificação e descrição da vaga/setor incluem informações gerais sobre o cargo, de acordo com o ONET/OES e o Sistema de Classificação Industrial da América do Norte (NAICS). Consulte as Funções e a Ordem de Serviço para obter mais informações. Requisitos da vaga: Experiência exigida: Sim. Meses de experiência exigidos: 1. Número de horas por semana: 40. Horário de trabalho (início/término): 9h às 17h.</v>
      </c>
    </row>
    <row r="2373" ht="20.25" customHeight="1">
      <c r="A2373" s="8" t="s">
        <v>10425</v>
      </c>
      <c r="B2373" s="8" t="s">
        <v>10426</v>
      </c>
      <c r="C2373" s="8" t="s">
        <v>8981</v>
      </c>
      <c r="D2373" s="8" t="s">
        <v>71</v>
      </c>
      <c r="E2373" s="9" t="s">
        <v>19</v>
      </c>
      <c r="F2373" s="9" t="s">
        <v>20</v>
      </c>
      <c r="G2373" s="9" t="s">
        <v>524</v>
      </c>
      <c r="H2373" s="8" t="s">
        <v>10427</v>
      </c>
      <c r="I2373" s="8" t="s">
        <v>10428</v>
      </c>
      <c r="J2373" s="9">
        <v>18.25</v>
      </c>
      <c r="K2373" s="9">
        <v>6.0</v>
      </c>
      <c r="L2373" s="8" t="s">
        <v>586</v>
      </c>
      <c r="M2373" s="8" t="s">
        <v>10429</v>
      </c>
      <c r="N2373" s="7" t="str">
        <f>IFERROR(__xludf.DUMMYFUNCTION("GOOGLETRANSLATE(L2373, ""en"", ""pt"")"),"Cozinheiro de linha")</f>
        <v>Cozinheiro de linha</v>
      </c>
      <c r="O2373" s="7" t="str">
        <f>IFERROR(__xludf.DUMMYFUNCTION("IF(M2373="""","""",GOOGLETRANSLATE(M2373,""en"",""pt""))"),"Prepara, tempera e cozinha sopas, carnes, legumes, frutas, sobremesas e outros alimentos diversos para consumo; observa as diretrizes da receita e os procedimentos de higiene. *Continuação da Seção F.a.5 abaixo: 40 horas semanais. Os turnos serão de 8 hor"&amp;"as e podem variar conforme a necessidade, de acordo com o anúncio da vaga na Agência Estadual de Força de Trabalho e em outras fontes de anúncios de vagas H-2B, conforme os requisitos de recrutamento dos empregadores para trabalhadores em potencial no âmb"&amp;"ito do programa H-2B. Turnos variáveis ​​ao longo de 7 dias da semana. Os turnos podem variar: das 6h às 23h. Classificação da vaga: 35-2014.00 - Cozinheiros, Restaurante. A classificação e a descrição da vaga/setor incluem informações gerais sobre o carg"&amp;"o, de acordo com o ONET/OES e o Sistema de Classificação Industrial da América do Norte. Consulte as Funções e a Ordem de Serviço para obter mais informações. Requisitos da vaga Experiência exigida: Não Requisitos especiais: O EMPREGADOR EXIGE QUE A VERIF"&amp;"ICAÇÃO DE ANTECEDENTES CRIMINAIS PRÉ-ADMISSÃO E O TESTE DE DROGAS PÓS-ADMISSÃO SEJAM REALIZADOS IGUALMENTE PARA OS TRABALHADORES AMERICANOS E PARA OS TRABALHADORES COM VISTO H-2B. Capacidade de se comunicar em inglês. Número de horas por semana: 40 Horári"&amp;"o de trabalho (início/término): 6h às 23h")</f>
        <v>Prepara, tempera e cozinha sopas, carnes, legumes, frutas, sobremesas e outros alimentos diversos para consumo; observa as diretrizes da receita e os procedimentos de higiene. *Continuação da Seção F.a.5 abaixo: 40 horas semanais. Os turnos serão de 8 horas e podem variar conforme a necessidade, de acordo com o anúncio da vaga na Agência Estadual de Força de Trabalho e em outras fontes de anúncios de vagas H-2B, conforme os requisitos de recrutamento dos empregadores para trabalhadores em potencial no âmbito do programa H-2B. Turnos variáveis ​​ao longo de 7 dias da semana. Os turnos podem variar: das 6h às 23h. Classificação da vaga: 35-2014.00 - Cozinheiros, Restaurante. A classificação e a descrição da vaga/setor incluem informações gerais sobre o cargo, de acordo com o ONET/OES e o Sistema de Classificação Industrial da América do Norte. Consulte as Funções e a Ordem de Serviço para obter mais informações. Requisitos da vaga Experiência exigida: Não Requisitos especiais: O EMPREGADOR EXIGE QUE A VERIFICAÇÃO DE ANTECEDENTES CRIMINAIS PRÉ-ADMISSÃO E O TESTE DE DROGAS PÓS-ADMISSÃO SEJAM REALIZADOS IGUALMENTE PARA OS TRABALHADORES AMERICANOS E PARA OS TRABALHADORES COM VISTO H-2B. Capacidade de se comunicar em inglês. Número de horas por semana: 40 Horário de trabalho (início/término): 6h às 23h</v>
      </c>
    </row>
    <row r="2374" ht="20.25" customHeight="1">
      <c r="A2374" s="3" t="s">
        <v>10430</v>
      </c>
      <c r="B2374" s="3" t="s">
        <v>10426</v>
      </c>
      <c r="C2374" s="3" t="s">
        <v>8981</v>
      </c>
      <c r="D2374" s="3" t="s">
        <v>71</v>
      </c>
      <c r="E2374" s="4" t="s">
        <v>19</v>
      </c>
      <c r="F2374" s="4" t="s">
        <v>20</v>
      </c>
      <c r="G2374" s="4" t="s">
        <v>524</v>
      </c>
      <c r="H2374" s="3" t="s">
        <v>10427</v>
      </c>
      <c r="I2374" s="3" t="s">
        <v>10428</v>
      </c>
      <c r="J2374" s="4">
        <v>22.75</v>
      </c>
      <c r="K2374" s="4">
        <v>1.0</v>
      </c>
      <c r="L2374" s="3" t="s">
        <v>4654</v>
      </c>
      <c r="M2374" s="3" t="s">
        <v>10431</v>
      </c>
      <c r="N2374" s="7" t="str">
        <f>IFERROR(__xludf.DUMMYFUNCTION("GOOGLETRANSLATE(L2374, ""en"", ""pt"")"),"Capitão do servidor")</f>
        <v>Capitão do servidor</v>
      </c>
      <c r="O2374" s="7" t="str">
        <f>IFERROR(__xludf.DUMMYFUNCTION("IF(M2374="""","""",GOOGLETRANSLATE(M2374,""en"",""pt""))"),"Supervisionar a equipe de atendimento durante a preparação, o serviço e a limpeza; treinar novos garçons no salão; construir e manter um bom relacionamento com os membros do clube; assumir funções de garçom quando necessário, principalmente no atendimento"&amp;" a convidados de honra e VIPs; ser um exemplo a ser seguido e garantir o mais alto nível de serviço prestado pela equipe de atendimento do clube. *Continuação da Seção F.a.5 abaixo: 40 horas semanais. Os turnos serão de 8 horas e podem variar conforme a n"&amp;"ecessidade, de acordo com o anúncio da vaga na Agência Estadual de Força de Trabalho e em outras fontes de anúncios de vagas H-2B, conforme os requisitos de recrutamento dos empregadores para trabalhadores em potencial no âmbito do programa H-2B. Turnos v"&amp;"ariáveis ​​ao longo de 7 dias da semana. Os turnos podem variar das 6h às 23h. Classificação do Cargo: 35-1012.00 - Supervisores de Primeira Linha de Preparadores e Servidores de Alimentos. A classificação e a descrição do cargo/setor incluem informações "&amp;"gerais sobre a posição, de acordo com o ONET/OES e o Sistema de Classificação Industrial da América do Norte. Consulte as Funções e a Ordem de Serviço para obter mais informações. Requisitos da vaga Experiência necessária: Sim Meses de experiência necessá"&amp;"rios: 6 Requisitos especiais: O EMPREGADOR EXIGE QUE A VERIFICAÇÃO DE ANTECEDENTES CRIMINAIS PRÉ-ADMISSÃO E O TESTE DE DROGAS PÓS-ADMISSÃO SEJAM REALIZADOS IGUALMENTE PARA OS TRABALHADORES AMERICANOS E PARA OS TRABALHADORES COM VISTO H-2B. Capacidade de s"&amp;"e comunicar em inglês. Os 6 meses de experiência exigidos no quadro F.A.9 referem-se a 6 meses de experiência como garçom/garçonete ou garçom/garçonete sênior em um estabelecimento de hotelaria. Número de horas por semana: 40 Horário de trabalho (início/t"&amp;"érmino): 6h às 23h")</f>
        <v>Supervisionar a equipe de atendimento durante a preparação, o serviço e a limpeza; treinar novos garçons no salão; construir e manter um bom relacionamento com os membros do clube; assumir funções de garçom quando necessário, principalmente no atendimento a convidados de honra e VIPs; ser um exemplo a ser seguido e garantir o mais alto nível de serviço prestado pela equipe de atendimento do clube. *Continuação da Seção F.a.5 abaixo: 40 horas semanais. Os turnos serão de 8 horas e podem variar conforme a necessidade, de acordo com o anúncio da vaga na Agência Estadual de Força de Trabalho e em outras fontes de anúncios de vagas H-2B, conforme os requisitos de recrutamento dos empregadores para trabalhadores em potencial no âmbito do programa H-2B. Turnos variáveis ​​ao longo de 7 dias da semana. Os turnos podem variar das 6h às 23h. Classificação do Cargo: 35-1012.00 - Supervisores de Primeira Linha de Preparadores e Servidores de Alimentos. A classificação e a descrição do cargo/setor incluem informações gerais sobre a posição, de acordo com o ONET/OES e o Sistema de Classificação Industrial da América do Norte. Consulte as Funções e a Ordem de Serviço para obter mais informações. Requisitos da vaga Experiência necessária: Sim Meses de experiência necessários: 6 Requisitos especiais: O EMPREGADOR EXIGE QUE A VERIFICAÇÃO DE ANTECEDENTES CRIMINAIS PRÉ-ADMISSÃO E O TESTE DE DROGAS PÓS-ADMISSÃO SEJAM REALIZADOS IGUALMENTE PARA OS TRABALHADORES AMERICANOS E PARA OS TRABALHADORES COM VISTO H-2B. Capacidade de se comunicar em inglês. Os 6 meses de experiência exigidos no quadro F.A.9 referem-se a 6 meses de experiência como garçom/garçonete ou garçom/garçonete sênior em um estabelecimento de hotelaria. Número de horas por semana: 40 Horário de trabalho (início/término): 6h às 23h</v>
      </c>
    </row>
    <row r="2375" ht="20.25" customHeight="1">
      <c r="A2375" s="8" t="s">
        <v>10432</v>
      </c>
      <c r="B2375" s="8" t="s">
        <v>10426</v>
      </c>
      <c r="C2375" s="8" t="s">
        <v>8981</v>
      </c>
      <c r="D2375" s="8" t="s">
        <v>71</v>
      </c>
      <c r="E2375" s="9" t="s">
        <v>44</v>
      </c>
      <c r="F2375" s="9" t="s">
        <v>20</v>
      </c>
      <c r="G2375" s="9" t="s">
        <v>524</v>
      </c>
      <c r="H2375" s="8" t="s">
        <v>10427</v>
      </c>
      <c r="I2375" s="8" t="s">
        <v>10428</v>
      </c>
      <c r="J2375" s="9">
        <v>15.75</v>
      </c>
      <c r="K2375" s="9">
        <v>1.0</v>
      </c>
      <c r="L2375" s="8" t="s">
        <v>2821</v>
      </c>
      <c r="M2375" s="8" t="s">
        <v>10433</v>
      </c>
      <c r="N2375" s="7" t="str">
        <f>IFERROR(__xludf.DUMMYFUNCTION("GOOGLETRANSLATE(L2375, ""en"", ""pt"")"),"Auxiliar de Recreação")</f>
        <v>Auxiliar de Recreação</v>
      </c>
      <c r="O2375" s="7" t="str">
        <f>IFERROR(__xludf.DUMMYFUNCTION("IF(M2375="""","""",GOOGLETRANSLATE(M2375,""en"",""pt""))"),"O funcionário poderá ser solicitado a desempenhar qualquer uma das seguintes funções: monitorar as atividades no campo de golfe e no complexo de tênis; prestar assistência administrativa aos membros, incluindo a verificação de cartões de membro, confirmaç"&amp;"ão de reservas, organização de mercadorias e fornecimento de informações sobre as instalações; transportar os equipamentos de golfe dos membros de e para as instalações do clube. *Continuação da Seção F.a.5 abaixo: 40 horas semanais. Os turnos serão de 8 "&amp;"horas e podem variar conforme a necessidade, de acordo com o anúncio da vaga na Agência Estadual de Força de Trabalho e em outras fontes de anúncios de vagas H-2B, conforme os requisitos de recrutamento dos empregadores para candidatos ao programa H-2B. T"&amp;"urnos variáveis ​​ao longo de 7 dias da semana. Os turnos podem variar: das 6h às 23h. Classificação da vaga: 39-3091.00 - Atendentes de Diversão e Recreação. A classificação e a descrição da vaga/setor incluem informações gerais sobre o cargo, de acordo "&amp;"com o ONET/OES e o Sistema de Classificação Industrial da América do Norte. Consulte as Funções e a Ordem de Serviço para obter mais informações. Requisitos da vaga Experiência exigida: Não Requisitos especiais: O EMPREGADOR EXIGE QUE A VERIFICAÇÃO DE ANT"&amp;"ECEDENTES CRIMINAIS PRÉ-ADMISSÃO E O TESTE DE DROGAS PÓS-ADMISSÃO SEJAM REALIZADOS IGUALMENTE PARA OS TRABALHADORES AMERICANOS E PARA OS TRABALHADORES COM VISTO H-2B. Capacidade de se comunicar em inglês. Número de horas por semana: 40 Horário de trabalho"&amp;" (início/término): 6h às 23h")</f>
        <v>O funcionário poderá ser solicitado a desempenhar qualquer uma das seguintes funções: monitorar as atividades no campo de golfe e no complexo de tênis; prestar assistência administrativa aos membros, incluindo a verificação de cartões de membro, confirmação de reservas, organização de mercadorias e fornecimento de informações sobre as instalações; transportar os equipamentos de golfe dos membros de e para as instalações do clube. *Continuação da Seção F.a.5 abaixo: 40 horas semanais. Os turnos serão de 8 horas e podem variar conforme a necessidade, de acordo com o anúncio da vaga na Agência Estadual de Força de Trabalho e em outras fontes de anúncios de vagas H-2B, conforme os requisitos de recrutamento dos empregadores para candidatos ao programa H-2B. Turnos variáveis ​​ao longo de 7 dias da semana. Os turnos podem variar: das 6h às 23h. Classificação da vaga: 39-3091.00 - Atendentes de Diversão e Recreação. A classificação e a descrição da vaga/setor incluem informações gerais sobre o cargo, de acordo com o ONET/OES e o Sistema de Classificação Industrial da América do Norte. Consulte as Funções e a Ordem de Serviço para obter mais informações. Requisitos da vaga Experiência exigida: Não Requisitos especiais: O EMPREGADOR EXIGE QUE A VERIFICAÇÃO DE ANTECEDENTES CRIMINAIS PRÉ-ADMISSÃO E O TESTE DE DROGAS PÓS-ADMISSÃO SEJAM REALIZADOS IGUALMENTE PARA OS TRABALHADORES AMERICANOS E PARA OS TRABALHADORES COM VISTO H-2B. Capacidade de se comunicar em inglês. Número de horas por semana: 40 Horário de trabalho (início/término): 6h às 23h</v>
      </c>
    </row>
    <row r="2376" ht="20.25" customHeight="1">
      <c r="A2376" s="3" t="s">
        <v>10434</v>
      </c>
      <c r="B2376" s="3" t="s">
        <v>10426</v>
      </c>
      <c r="C2376" s="3" t="s">
        <v>8981</v>
      </c>
      <c r="D2376" s="3" t="s">
        <v>71</v>
      </c>
      <c r="E2376" s="4" t="s">
        <v>44</v>
      </c>
      <c r="F2376" s="4" t="s">
        <v>20</v>
      </c>
      <c r="G2376" s="4" t="s">
        <v>524</v>
      </c>
      <c r="H2376" s="3" t="s">
        <v>10427</v>
      </c>
      <c r="I2376" s="3" t="s">
        <v>10428</v>
      </c>
      <c r="J2376" s="4">
        <v>18.75</v>
      </c>
      <c r="K2376" s="4">
        <v>20.0</v>
      </c>
      <c r="L2376" s="3" t="s">
        <v>1206</v>
      </c>
      <c r="M2376" s="3" t="s">
        <v>10435</v>
      </c>
      <c r="N2376" s="7" t="str">
        <f>IFERROR(__xludf.DUMMYFUNCTION("GOOGLETRANSLATE(L2376, ""en"", ""pt"")"),"Servidor")</f>
        <v>Servidor</v>
      </c>
      <c r="O2376" s="7" t="str">
        <f>IFERROR(__xludf.DUMMYFUNCTION("IF(M2376="""","""",GOOGLETRANSLATE(M2376,""en"",""pt""))"),"Receber e servir pedidos de comida e bebida; realizar a montagem e desmontagem de mesas e outras atividades diversas; poderá ser necessário trabalhar em ambientes externos e em eventos de banquetes; poderá ser necessário servir clientes utilizando carrinh"&amp;"o de golfe. *Continuação da Seção F.a.5 abaixo: 40 horas semanais. Os turnos serão de 8 horas e poderão variar conforme a necessidade, de acordo com o anúncio da vaga na Agência Estadual de Força de Trabalho e em outras fontes de anúncios de vagas H-2B, c"&amp;"onforme os requisitos de recrutamento dos empregadores para trabalhadores em potencial no âmbito do programa H-2B. Turnos variáveis ​​ao longo de 7 dias da semana. Os turnos podem variar: das 6h às 23h. Classificação da vaga: 35-3031.00 - Garçons e Garçon"&amp;"etes. A classificação e descrição da vaga/setor inclui informações gerais sobre o cargo, provenientes do ONET/OES e do Sistema de Classificação Industrial da América do Norte. Consulte as Funções e a Ordem de Serviço para obter mais informações. Requisito"&amp;"s da vaga Experiência exigida: Não Requisitos especiais: O EMPREGADOR EXIGE QUE A VERIFICAÇÃO DE ANTECEDENTES CRIMINAIS PRÉ-ADMISSÃO E O TESTE DE DROGAS PÓS-ADMISSÃO SEJAM REALIZADOS IGUALMENTE PARA OS TRABALHADORES AMERICANOS E PARA OS TRABALHADORES COM "&amp;"VISTO H-2B. Capacidade de se comunicar em inglês. Número de horas por semana: 40 Horário de trabalho (início/término): 6h às 23h")</f>
        <v>Receber e servir pedidos de comida e bebida; realizar a montagem e desmontagem de mesas e outras atividades diversas; poderá ser necessário trabalhar em ambientes externos e em eventos de banquetes; poderá ser necessário servir clientes utilizando carrinho de golfe. *Continuação da Seção F.a.5 abaixo: 40 horas semanais. Os turnos serão de 8 horas e poderão variar conforme a necessidade, de acordo com o anúncio da vaga na Agência Estadual de Força de Trabalho e em outras fontes de anúncios de vagas H-2B, conforme os requisitos de recrutamento dos empregadores para trabalhadores em potencial no âmbito do programa H-2B. Turnos variáveis ​​ao longo de 7 dias da semana. Os turnos podem variar: das 6h às 23h. Classificação da vaga: 35-3031.00 - Garçons e Garçonetes. A classificação e descrição da vaga/setor inclui informações gerais sobre o cargo, provenientes do ONET/OES e do Sistema de Classificação Industrial da América do Norte. Consulte as Funções e a Ordem de Serviço para obter mais informações. Requisitos da vaga Experiência exigida: Não Requisitos especiais: O EMPREGADOR EXIGE QUE A VERIFICAÇÃO DE ANTECEDENTES CRIMINAIS PRÉ-ADMISSÃO E O TESTE DE DROGAS PÓS-ADMISSÃO SEJAM REALIZADOS IGUALMENTE PARA OS TRABALHADORES AMERICANOS E PARA OS TRABALHADORES COM VISTO H-2B. Capacidade de se comunicar em inglês. Número de horas por semana: 40 Horário de trabalho (início/término): 6h às 23h</v>
      </c>
    </row>
    <row r="2377" ht="20.25" customHeight="1">
      <c r="A2377" s="8" t="s">
        <v>10436</v>
      </c>
      <c r="B2377" s="8" t="s">
        <v>10437</v>
      </c>
      <c r="C2377" s="8" t="s">
        <v>10438</v>
      </c>
      <c r="D2377" s="8" t="s">
        <v>306</v>
      </c>
      <c r="E2377" s="9" t="s">
        <v>44</v>
      </c>
      <c r="F2377" s="9" t="s">
        <v>20</v>
      </c>
      <c r="G2377" s="9" t="s">
        <v>345</v>
      </c>
      <c r="H2377" s="8" t="s">
        <v>10439</v>
      </c>
      <c r="I2377" s="8" t="s">
        <v>10440</v>
      </c>
      <c r="J2377" s="9">
        <v>19.93</v>
      </c>
      <c r="K2377" s="9">
        <v>3.0</v>
      </c>
      <c r="L2377" s="8" t="s">
        <v>10441</v>
      </c>
      <c r="M2377" s="8" t="s">
        <v>10442</v>
      </c>
      <c r="N2377" s="7" t="str">
        <f>IFERROR(__xludf.DUMMYFUNCTION("GOOGLETRANSLATE(L2377, ""en"", ""pt"")"),"Trabalhadores de manutenção e reparo de inverno")</f>
        <v>Trabalhadores de manutenção e reparo de inverno</v>
      </c>
      <c r="O2377" s="7" t="str">
        <f>IFERROR(__xludf.DUMMYFUNCTION("IF(M2377="""","""",GOOGLETRANSLATE(M2377,""en"",""pt""))"),"Responsável pela remoção de neve utilizando pás, ancinhos, sopradores de neve e equipamentos relacionados. Deve ter disponibilidade flexível, em regime de plantão 24 horas por dia, 7 dias por semana, para responder às condições climáticas conforme necessá"&amp;"rio. Realiza manutenção e reparos de rotina em equipamentos utilizando ferramentas manuais. Executa tarefas agrícolas e hortícolas em clima frio, incluindo limpeza, poda, corte e plantio que não puderam ser realizadas durante os meses mais quentes. Pode, "&amp;"ocasionalmente, dirigir um veículo da empresa. Manutenção e Reparo de Equipamentos Não Mecânicos: • Inspecionar ferramentas de remoção de neve e equipamentos manuais (por exemplo, pás, ancinhos, quebra-gelos) em busca de rachaduras, fixadores soltos ou ca"&amp;"bos desgastados. • Reparar ou substituir cabos de ferramentas danificados ou quebrados, removendo os cabos antigos e instalando novos cabos de madeira ou fibra de vidro utilizando martelos, chaves e chaves de fenda. • Apertar ou substituir parafusos, porc"&amp;"as ou arruelas em equipamentos como peças externas de sopradores de neve (por exemplo, cabos, carcaças – não o motor interno ou sistemas de transmissão) utilizando ferramentas manuais. • Afiar ou limar manualmente as bordas de pás e raspadores de gelo par"&amp;"a manter a eficiência. • Lubrificar as partes móveis de equipamentos pequenos e não motorizados, como rodas espalhadoras ou cabos ajustáveis, com pistolas de graxa manuais ou latas de óleo. • Verificar e remendar furos ou rasgos em carrinhos de mão ou caç"&amp;"ambas usando pequenos remendos, adesivos ou peças de reposição. Ferramentas Utilizadas: • Ferramentas manuais comuns, como: o Martelos o Chaves de fenda o Chaves ajustáveis ​​o Alicates o Limas manuais o Serras manuais (para cortar cabos ou tábuas de repo"&amp;"sição) • Ferramentas de lubrificação, como pistolas de graxa manuais e latas de óleo. Materiais Utilizados: • Peças de reposição (porcas, parafusos, arruelas). • Cabos e empunhaduras de reposição (madeira, fibra de vidro). • Lubrificantes (óleo ou graxa)."&amp;" • Adesivos ou kits de remendo para reparos não estruturais. Tipos de Equipamentos em Manutenção: • Ferramentas manuais para remoção de neve: pás, raspadores, ancinhos. • Equipamentos manuais: espalhadores de sal ou areia. • Ferramentas manuais de jardina"&amp;"gem utilizadas em tarefas de inverno: tesouras de poda, podadores de galhos e serras manuais. • Carrinhos ou carrinhos de mão não motorizados utilizados para movimentar neve, cobertura vegetal ou detritos. Escopo do Trabalho: • A manutenção e os reparos s"&amp;"e limitam estritamente a ferramentas manuais não mecânicas e às peças externas, de fácil manutenção pelo usuário, de sopradores de neve simples (por exemplo, ajustes na alça ou aperto de parafusos), sem qualquer reparo, manutenção ou ajuste de motores de "&amp;"combustão interna, transmissões ou conjuntos mecânicos complexos. • Essas tarefas garantem que o equipamento permaneça funcional e seguro para a manutenção de inverno e para o trabalho de jardinagem em clima frio em paisagismo/manutenção de propriedades r"&amp;"esidenciais e comerciais. Contexto do Setor: • O trabalho é realizado nas áreas de paisagismo, manutenção de propriedades e jardinagem em locais residenciais e comerciais que necessitam de serviços sazonais de inverno. O trabalho será realizado no local d"&amp;"a obra/local do cliente e nas instalações da Sharpe. Classificação da Função: 49-9071.00 - Trabalhadores de Manutenção e Reparos, Geral. A classificação e descrição da função/setor inclui informações gerais sobre o cargo, conforme ONET/OES e o Sistema de "&amp;"Classificação Industrial da América do Norte (NAICS). Consulte as Funções e a Ordem de Serviço para obter mais informações. Requisitos da Função Experiência Necessária: Não. Requisitos Especiais: Capacidade de levantar o peso necessário para desempenhar a"&amp;"s funções deste cargo, conforme avaliação do trabalhador. Capacidade de tolerar condições climáticas severas de inverno. Número de Horas por Semana: 35. Horário de Trabalho (Início/Término): 8h00 - 16h30.")</f>
        <v>Responsável pela remoção de neve utilizando pás, ancinhos, sopradores de neve e equipamentos relacionados. Deve ter disponibilidade flexível, em regime de plantão 24 horas por dia, 7 dias por semana, para responder às condições climáticas conforme necessário. Realiza manutenção e reparos de rotina em equipamentos utilizando ferramentas manuais. Executa tarefas agrícolas e hortícolas em clima frio, incluindo limpeza, poda, corte e plantio que não puderam ser realizadas durante os meses mais quentes. Pode, ocasionalmente, dirigir um veículo da empresa. Manutenção e Reparo de Equipamentos Não Mecânicos: • Inspecionar ferramentas de remoção de neve e equipamentos manuais (por exemplo, pás, ancinhos, quebra-gelos) em busca de rachaduras, fixadores soltos ou cabos desgastados. • Reparar ou substituir cabos de ferramentas danificados ou quebrados, removendo os cabos antigos e instalando novos cabos de madeira ou fibra de vidro utilizando martelos, chaves e chaves de fenda. • Apertar ou substituir parafusos, porcas ou arruelas em equipamentos como peças externas de sopradores de neve (por exemplo, cabos, carcaças – não o motor interno ou sistemas de transmissão) utilizando ferramentas manuais. • Afiar ou limar manualmente as bordas de pás e raspadores de gelo para manter a eficiência. • Lubrificar as partes móveis de equipamentos pequenos e não motorizados, como rodas espalhadoras ou cabos ajustáveis, com pistolas de graxa manuais ou latas de óleo. • Verificar e remendar furos ou rasgos em carrinhos de mão ou caçambas usando pequenos remendos, adesivos ou peças de reposição. Ferramentas Utilizadas: • Ferramentas manuais comuns, como: o Martelos o Chaves de fenda o Chaves ajustáveis ​​o Alicates o Limas manuais o Serras manuais (para cortar cabos ou tábuas de reposição) • Ferramentas de lubrificação, como pistolas de graxa manuais e latas de óleo. Materiais Utilizados: • Peças de reposição (porcas, parafusos, arruelas). • Cabos e empunhaduras de reposição (madeira, fibra de vidro). • Lubrificantes (óleo ou graxa). • Adesivos ou kits de remendo para reparos não estruturais. Tipos de Equipamentos em Manutenção: • Ferramentas manuais para remoção de neve: pás, raspadores, ancinhos. • Equipamentos manuais: espalhadores de sal ou areia. • Ferramentas manuais de jardinagem utilizadas em tarefas de inverno: tesouras de poda, podadores de galhos e serras manuais. • Carrinhos ou carrinhos de mão não motorizados utilizados para movimentar neve, cobertura vegetal ou detritos. Escopo do Trabalho: • A manutenção e os reparos se limitam estritamente a ferramentas manuais não mecânicas e às peças externas, de fácil manutenção pelo usuário, de sopradores de neve simples (por exemplo, ajustes na alça ou aperto de parafusos), sem qualquer reparo, manutenção ou ajuste de motores de combustão interna, transmissões ou conjuntos mecânicos complexos. • Essas tarefas garantem que o equipamento permaneça funcional e seguro para a manutenção de inverno e para o trabalho de jardinagem em clima frio em paisagismo/manutenção de propriedades residenciais e comerciais. Contexto do Setor: • O trabalho é realizado nas áreas de paisagismo, manutenção de propriedades e jardinagem em locais residenciais e comerciais que necessitam de serviços sazonais de inverno. O trabalho será realizado no local da obra/local do cliente e nas instalações da Sharpe. Classificação da Função: 49-9071.00 - Trabalhadores de Manutenção e Reparos, Geral. A classificação e descrição da função/setor inclui informações gerais sobre o cargo, conforme ONET/OES e o Sistema de Classificação Industrial da América do Norte (NAICS). Consulte as Funções e a Ordem de Serviço para obter mais informações. Requisitos da Função Experiência Necessária: Não. Requisitos Especiais: Capacidade de levantar o peso necessário para desempenhar as funções deste cargo, conforme avaliação do trabalhador. Capacidade de tolerar condições climáticas severas de inverno. Número de Horas por Semana: 35. Horário de Trabalho (Início/Término): 8h00 - 16h30.</v>
      </c>
    </row>
    <row r="2378" ht="20.25" customHeight="1">
      <c r="A2378" s="3" t="s">
        <v>10443</v>
      </c>
      <c r="B2378" s="3" t="s">
        <v>10444</v>
      </c>
      <c r="C2378" s="3" t="s">
        <v>9739</v>
      </c>
      <c r="D2378" s="3" t="s">
        <v>71</v>
      </c>
      <c r="E2378" s="4" t="s">
        <v>19</v>
      </c>
      <c r="F2378" s="4" t="s">
        <v>20</v>
      </c>
      <c r="G2378" s="4" t="s">
        <v>524</v>
      </c>
      <c r="H2378" s="3" t="s">
        <v>10445</v>
      </c>
      <c r="I2378" s="3" t="s">
        <v>10446</v>
      </c>
      <c r="J2378" s="4">
        <v>15.86</v>
      </c>
      <c r="K2378" s="4">
        <v>7.0</v>
      </c>
      <c r="L2378" s="3" t="s">
        <v>10447</v>
      </c>
      <c r="M2378" s="3" t="s">
        <v>10448</v>
      </c>
      <c r="N2378" s="7" t="str">
        <f>IFERROR(__xludf.DUMMYFUNCTION("GOOGLETRANSLATE(L2378, ""en"", ""pt"")"),"Mensageiro")</f>
        <v>Mensageiro</v>
      </c>
      <c r="O2378" s="7" t="str">
        <f>IFERROR(__xludf.DUMMYFUNCTION("IF(M2378="""","""",GOOGLETRANSLATE(M2378,""en"",""pt""))"),"Funções: Responsável por receber e etiquetar bagagens, recepcionar hóspedes e acompanhá-los até seus quartos, transportar hóspedes pelas dependências do hotel, manter a limpeza dos lobbies ou áreas de entrada e transferir bagagens, malas e pacotes de e pa"&amp;"ra quartos, áreas de carga, veículos ou terminais de transporte, manualmente ou utilizando carrinhos de bagagem. Os mensageiros podem precisar levantar e carregar até 23 kg. Requisitos: Três (3) meses de experiência em hotel de luxo, resort ou clube priva"&amp;"do são necessários. Treinamento no local de trabalho será fornecido. O candidato deve apresentar um Certificado de Antecedentes Criminais pré-admissional. Remuneração: US$ 14,00 por hora mais gorjeta, pago quinzenalmente. O empregador garante que o salári"&amp;"o por hora não será inferior ao salário vigente de US$ 15,86 por hora. Horas extras disponíveis a US$ 23,79 por hora. O funcionário pode ser elegível para compensação adicional na forma de pagamento de feriados de até US$ 500,00. Elegível para moradia sub"&amp;"sidiada pela empresa. Turnos: O horário de trabalho pode variar e incluir turnos noturnos, fins de semana e feriados. O trabalho pode ser realizado em qualquer dia da semana, de segunda a domingo. Exemplos de turnos: 7h às 14h, 9h às 16h ou 16h às 11h. Os"&amp;" horários dos turnos podem variar. Classificação do Cargo: 39-6011.00 - Carregadores de Bagagem e Mensageiros. A classificação e descrição do cargo/setor incluem informações gerais sobre a posição, de acordo com o ONET/OES e o Sistema de Classificação Ind"&amp;"ustrial da América do Norte. Consulte as Funções e a Ordem de Serviço para obter mais informações. Requisitos do Cargo: Experiência Necessária: Sim. Meses de Experiência Necessários: 3. Requisitos Especiais: Três (3) meses de experiência em um hotel de al"&amp;"to padrão, resort ou clube privado são necessários. Treinamento no local de trabalho é fornecido. O candidato deverá apresentar um atestado de antecedentes criminais pré-admissional. Número de horas semanais: 35. Horário de trabalho (início/término): 7h à"&amp;"s 14h.")</f>
        <v>Funções: Responsável por receber e etiquetar bagagens, recepcionar hóspedes e acompanhá-los até seus quartos, transportar hóspedes pelas dependências do hotel, manter a limpeza dos lobbies ou áreas de entrada e transferir bagagens, malas e pacotes de e para quartos, áreas de carga, veículos ou terminais de transporte, manualmente ou utilizando carrinhos de bagagem. Os mensageiros podem precisar levantar e carregar até 23 kg. Requisitos: Três (3) meses de experiência em hotel de luxo, resort ou clube privado são necessários. Treinamento no local de trabalho será fornecido. O candidato deve apresentar um Certificado de Antecedentes Criminais pré-admissional. Remuneração: US$ 14,00 por hora mais gorjeta, pago quinzenalmente. O empregador garante que o salário por hora não será inferior ao salário vigente de US$ 15,86 por hora. Horas extras disponíveis a US$ 23,79 por hora. O funcionário pode ser elegível para compensação adicional na forma de pagamento de feriados de até US$ 500,00. Elegível para moradia subsidiada pela empresa. Turnos: O horário de trabalho pode variar e incluir turnos noturnos, fins de semana e feriados. O trabalho pode ser realizado em qualquer dia da semana, de segunda a domingo. Exemplos de turnos: 7h às 14h, 9h às 16h ou 16h às 11h. Os horários dos turnos podem variar. Classificação do Cargo: 39-6011.00 - Carregadores de Bagagem e Mensageiros. A classificação e descrição do cargo/setor incluem informações gerais sobre a posição, de acordo com o ONET/OES e o Sistema de Classificação Industrial da América do Norte. Consulte as Funções e a Ordem de Serviço para obter mais informações. Requisitos do Cargo: Experiência Necessária: Sim. Meses de Experiência Necessários: 3. Requisitos Especiais: Três (3) meses de experiência em um hotel de alto padrão, resort ou clube privado são necessários. Treinamento no local de trabalho é fornecido. O candidato deverá apresentar um atestado de antecedentes criminais pré-admissional. Número de horas semanais: 35. Horário de trabalho (início/término): 7h às 14h.</v>
      </c>
    </row>
    <row r="2379" ht="20.25" customHeight="1">
      <c r="A2379" s="8" t="s">
        <v>10449</v>
      </c>
      <c r="B2379" s="8" t="s">
        <v>10444</v>
      </c>
      <c r="C2379" s="8" t="s">
        <v>9739</v>
      </c>
      <c r="D2379" s="8" t="s">
        <v>71</v>
      </c>
      <c r="E2379" s="9" t="s">
        <v>19</v>
      </c>
      <c r="F2379" s="9" t="s">
        <v>20</v>
      </c>
      <c r="G2379" s="9" t="s">
        <v>524</v>
      </c>
      <c r="H2379" s="8" t="s">
        <v>10445</v>
      </c>
      <c r="I2379" s="8" t="s">
        <v>10446</v>
      </c>
      <c r="J2379" s="9">
        <v>23.66</v>
      </c>
      <c r="K2379" s="9">
        <v>7.0</v>
      </c>
      <c r="L2379" s="8" t="s">
        <v>10450</v>
      </c>
      <c r="M2379" s="8" t="s">
        <v>10451</v>
      </c>
      <c r="N2379" s="7" t="str">
        <f>IFERROR(__xludf.DUMMYFUNCTION("GOOGLETRANSLATE(L2379, ""en"", ""pt"")"),"Engenheiro de Manutenção")</f>
        <v>Engenheiro de Manutenção</v>
      </c>
      <c r="O2379" s="7" t="str">
        <f>IFERROR(__xludf.DUMMYFUNCTION("IF(M2379="""","""",GOOGLETRANSLATE(M2379,""en"",""pt""))"),"Responsabilidades: Responsável por atender e responder às solicitações dos hóspedes, comunicar-se com eles para resolver problemas de manutenção, realizar verificações diárias e manutenção preventiva em ferramentas e equipamentos, além de solucionar probl"&amp;"emas e realizar reparos básicos em todos os tipos de equipamentos, incluindo equipamentos hidráulicos e elétricos. Requisitos: Seis (6) meses de experiência em manutenção em um hotel de alto padrão, resort ou clube privado são necessários. Treinamento no "&amp;"local de trabalho será fornecido. O candidato deverá apresentar um atestado de antecedentes criminais pré-admissional. Remuneração: De US$ 23,66 a US$ 27,00 por hora, pago quinzenalmente. Horas extras disponíveis a US$ 35,49 a US$ 40,50 por hora. O funcio"&amp;"nário poderá ser elegível para remuneração adicional na forma de pagamento de feriados de até US$ 500,00. Elegível para moradia subsidiada pela empresa. Turnos: O horário de trabalho pode variar e incluir turnos noturnos, fins de semana e feriados. O trab"&amp;"alho pode ser realizado em qualquer dia da semana, de segunda a domingo. Exemplos de turnos: 7h às 14h, 9h às 16h ou 16h às 23h. O horário de trabalho pode variar. Classificação da vaga: 49-9071.00 - Trabalhadores de Manutenção e Reparos, Geral. A classif"&amp;"icação e descrição da vaga/setor inclui informações gerais sobre o cargo, de acordo com o ONET/OES e o Sistema de Classificação Industrial da América do Norte (NAICS). Consulte as Funções e a Ordem de Serviço para obter mais informações. Requisitos da vag"&amp;"a: Experiência necessária: Sim. Meses de experiência necessários: 6. Requisitos especiais: Seis (6) meses de experiência em manutenção em um hotel de alto padrão, resort ou clube privado são necessários. Treinamento no local de trabalho será fornecido. O "&amp;"candidato deverá apresentar um Certificado de Antecedentes Criminais pré-admissional. Número de horas por semana: 35. Horário de trabalho (início/término): 7h às 14h.")</f>
        <v>Responsabilidades: Responsável por atender e responder às solicitações dos hóspedes, comunicar-se com eles para resolver problemas de manutenção, realizar verificações diárias e manutenção preventiva em ferramentas e equipamentos, além de solucionar problemas e realizar reparos básicos em todos os tipos de equipamentos, incluindo equipamentos hidráulicos e elétricos. Requisitos: Seis (6) meses de experiência em manutenção em um hotel de alto padrão, resort ou clube privado são necessários. Treinamento no local de trabalho será fornecido. O candidato deverá apresentar um atestado de antecedentes criminais pré-admissional. Remuneração: De US$ 23,66 a US$ 27,00 por hora, pago quinzenalmente. Horas extras disponíveis a US$ 35,49 a US$ 40,50 por hora. O funcionário poderá ser elegível para remuneração adicional na forma de pagamento de feriados de até US$ 500,00. Elegível para moradia subsidiada pela empresa. Turnos: O horário de trabalho pode variar e incluir turnos noturnos, fins de semana e feriados. O trabalho pode ser realizado em qualquer dia da semana, de segunda a domingo. Exemplos de turnos: 7h às 14h, 9h às 16h ou 16h às 23h. O horário de trabalho pode variar. Classificação da vaga: 49-9071.00 - Trabalhadores de Manutenção e Reparos, Geral. A classificação e descrição da vaga/setor inclui informações gerais sobre o cargo, de acordo com o ONET/OES e o Sistema de Classificação Industrial da América do Norte (NAICS). Consulte as Funções e a Ordem de Serviço para obter mais informações. Requisitos da vaga: Experiência necessária: Sim. Meses de experiência necessários: 6. Requisitos especiais: Seis (6) meses de experiência em manutenção em um hotel de alto padrão, resort ou clube privado são necessários. Treinamento no local de trabalho será fornecido. O candidato deverá apresentar um Certificado de Antecedentes Criminais pré-admissional. Número de horas por semana: 35. Horário de trabalho (início/término): 7h às 14h.</v>
      </c>
    </row>
    <row r="2380" ht="20.25" customHeight="1">
      <c r="A2380" s="3" t="s">
        <v>10452</v>
      </c>
      <c r="B2380" s="3" t="s">
        <v>10444</v>
      </c>
      <c r="C2380" s="3" t="s">
        <v>9739</v>
      </c>
      <c r="D2380" s="3" t="s">
        <v>71</v>
      </c>
      <c r="E2380" s="4" t="s">
        <v>19</v>
      </c>
      <c r="F2380" s="4" t="s">
        <v>20</v>
      </c>
      <c r="G2380" s="4" t="s">
        <v>524</v>
      </c>
      <c r="H2380" s="3" t="s">
        <v>10445</v>
      </c>
      <c r="I2380" s="3" t="s">
        <v>10446</v>
      </c>
      <c r="J2380" s="4">
        <v>24.0</v>
      </c>
      <c r="K2380" s="4">
        <v>4.0</v>
      </c>
      <c r="L2380" s="3" t="s">
        <v>7943</v>
      </c>
      <c r="M2380" s="3" t="s">
        <v>10453</v>
      </c>
      <c r="N2380" s="7" t="str">
        <f>IFERROR(__xludf.DUMMYFUNCTION("GOOGLETRANSLATE(L2380, ""en"", ""pt"")"),"Supervisor de Restaurante")</f>
        <v>Supervisor de Restaurante</v>
      </c>
      <c r="O2380" s="7" t="str">
        <f>IFERROR(__xludf.DUMMYFUNCTION("IF(M2380="""","""",GOOGLETRANSLATE(M2380,""en"",""pt""))"),"Responsabilidades: Resolver reclamações de clientes relacionadas ao serviço de alimentação. Auxiliar no planejamento de horários, treinamento e interação com os clientes. Treinar funcionários em procedimentos de serviço, higiene e segurança. Inspecionar s"&amp;"uprimentos, equipamentos e áreas de trabalho para garantir um serviço eficiente e a conformidade com os padrões. Requisitos: Seis (6) meses de experiência supervisionando equipes e operações de restaurantes em ambientes de alta gastronomia ou de grande mo"&amp;"vimento, em restaurantes sofisticados, resorts ou clubes privados. Treinamento no local de trabalho será fornecido. O candidato deverá apresentar um atestado de antecedentes criminais pré-admissional. Remuneração: US$ 24,00 por hora, pago quinzenalmente. "&amp;"Horas extras disponíveis a US$ 36,00 por hora. O funcionário poderá ser elegível para remuneração adicional na forma de pagamento de feriados de até US$ 500,00. Elegível para moradia subsidiada pela empresa. Turnos: A escala de trabalho pode variar e incl"&amp;"uir turnos noturnos, fins de semana e feriados. O trabalho pode ser realizado em qualquer dia da semana, de segunda a domingo. Exemplos de turnos: 7h às 14h, 9h às 16h ou 16h às 11h. Os horários dos turnos podem variar. Classificação da vaga: 35-1012.00 -"&amp;" Supervisores de primeira linha de trabalhadores de preparação e serviço de alimentos. A classificação e descrição da vaga/setor incluem informações gerais sobre o cargo, de acordo com o ONET/OES e o Sistema de Classificação Industrial da América do Norte"&amp;" (NAICS). Consulte as atribuições e a ordem de serviço para obter mais informações. Requisitos da vaga: Experiência necessária: Sim. Meses de experiência necessários: 6. Requisitos especiais: Seis (6) meses de experiência supervisionando equipes e operaçõ"&amp;"es de restaurantes em um ambiente de alta gastronomia ou de grande movimento, em um restaurante sofisticado, resort ou clube privado. Treinamento no local de trabalho será fornecido. O candidato deverá apresentar um atestado de antecedentes criminais pré-"&amp;"admissional. Número de horas por semana: 35. Horário de trabalho (início/término): 7h às 14h.")</f>
        <v>Responsabilidades: Resolver reclamações de clientes relacionadas ao serviço de alimentação. Auxiliar no planejamento de horários, treinamento e interação com os clientes. Treinar funcionários em procedimentos de serviço, higiene e segurança. Inspecionar suprimentos, equipamentos e áreas de trabalho para garantir um serviço eficiente e a conformidade com os padrões. Requisitos: Seis (6) meses de experiência supervisionando equipes e operações de restaurantes em ambientes de alta gastronomia ou de grande movimento, em restaurantes sofisticados, resorts ou clubes privados. Treinamento no local de trabalho será fornecido. O candidato deverá apresentar um atestado de antecedentes criminais pré-admissional. Remuneração: US$ 24,00 por hora, pago quinzenalmente. Horas extras disponíveis a US$ 36,00 por hora. O funcionário poderá ser elegível para remuneração adicional na forma de pagamento de feriados de até US$ 500,00. Elegível para moradia subsidiada pela empresa. Turnos: A escala de trabalho pode variar e incluir turnos noturnos, fins de semana e feriados. O trabalho pode ser realizado em qualquer dia da semana, de segunda a domingo. Exemplos de turnos: 7h às 14h, 9h às 16h ou 16h às 11h. Os horários dos turnos podem variar. Classificação da vaga: 35-1012.00 - Supervisores de primeira linha de trabalhadores de preparação e serviço de alimentos. A classificação e descrição da vaga/setor incluem informações gerais sobre o cargo, de acordo com o ONET/OES e o Sistema de Classificação Industrial da América do Norte (NAICS). Consulte as atribuições e a ordem de serviço para obter mais informações. Requisitos da vaga: Experiência necessária: Sim. Meses de experiência necessários: 6. Requisitos especiais: Seis (6) meses de experiência supervisionando equipes e operações de restaurantes em um ambiente de alta gastronomia ou de grande movimento, em um restaurante sofisticado, resort ou clube privado. Treinamento no local de trabalho será fornecido. O candidato deverá apresentar um atestado de antecedentes criminais pré-admissional. Número de horas por semana: 35. Horário de trabalho (início/término): 7h às 14h.</v>
      </c>
    </row>
    <row r="2381" ht="20.25" customHeight="1">
      <c r="A2381" s="8" t="s">
        <v>10454</v>
      </c>
      <c r="B2381" s="8" t="s">
        <v>10444</v>
      </c>
      <c r="C2381" s="8" t="s">
        <v>9739</v>
      </c>
      <c r="D2381" s="8" t="s">
        <v>71</v>
      </c>
      <c r="E2381" s="9" t="s">
        <v>19</v>
      </c>
      <c r="F2381" s="9" t="s">
        <v>20</v>
      </c>
      <c r="G2381" s="9" t="s">
        <v>524</v>
      </c>
      <c r="H2381" s="8" t="s">
        <v>10445</v>
      </c>
      <c r="I2381" s="8" t="s">
        <v>10446</v>
      </c>
      <c r="J2381" s="9">
        <v>17.91</v>
      </c>
      <c r="K2381" s="9">
        <v>5.0</v>
      </c>
      <c r="L2381" s="8" t="s">
        <v>5135</v>
      </c>
      <c r="M2381" s="8" t="s">
        <v>10455</v>
      </c>
      <c r="N2381" s="7" t="str">
        <f>IFERROR(__xludf.DUMMYFUNCTION("GOOGLETRANSLATE(L2381, ""en"", ""pt"")"),"Assistente de Garçom")</f>
        <v>Assistente de Garçom</v>
      </c>
      <c r="O2381" s="7" t="str">
        <f>IFERROR(__xludf.DUMMYFUNCTION("IF(M2381="""","""",GOOGLETRANSLATE(M2381,""en"",""pt""))"),"Responsabilidades: Retirar rapidamente os utensílios de mesa sujos e prepará-los para novos clientes. Repor prontamente e consistentemente todos os utensílios de serviço conforme prescrito. Manter o estoque e a limpeza das estações de trabalho durante tod"&amp;"as as refeições, com os equipamentos necessários, incluindo talheres, guardanapos e condimentos. Limpar as mesas e cadeiras, mover mesas e cadeiras e limpar o chão conforme necessário. Servir aos clientes bebidas, pães e manteiga para iniciar sua experiên"&amp;"cia gastronômica e repor conforme necessário. Auxiliar os garçons no serviço de alimentos e bebidas para garantir a satisfação dos clientes. Auxiliar os garçons levando os pratos da cozinha até a mesa do cliente de forma organizada e ágil. Garantir que ca"&amp;"da cliente receba o prato correto, conforme solicitado, e que a comida seja apresentada de forma impecável. Comunicar-se com a cozinha e os garçons para coordenar o tempo de entrega dos pratos. Oferecer aos clientes itens adicionais mediante solicitação, "&amp;"como condimentos, talheres, guardanapos ou reposições de bebidas, para aumentar a satisfação. Monitorar as mesas dos clientes para antecipar necessidades, como retirar pratos usados ​​entre os pratos ou repor a água nos copos. Auxiliar os clientes com sua"&amp;"s dúvidas de forma profissional e cortês, ou encaminhá-los prontamente a um garçom caso necessitem de mais assistência. Auxiliar o garçom para garantir que todos os componentes da refeição (entradas, pratos principais, acompanhamentos e bebidas) sejam ser"&amp;"vidos de forma ágil e sem atrasos. Contribuir para o ritmo do serviço, evitando que os clientes sofram com esperas apressadas ou prolongadas entre os pratos. Manter proativamente um ambiente limpo e organizado, removendo prontamente os pratos usados ​​e m"&amp;"antendo as áreas de serviço limpas. Coordenar com o garçom e a cozinha para garantir a remoção e substituição oportunas dos pratos sujos, minimizando interrupções na experiência do cliente. Transportar toda a louça suja do salão para a área de lavagem par"&amp;"a a devida higienização. Executar todas as tarefas auxiliares designadas, incluindo a reposição de condimentos e a organização dos aparadores. Requisitos: Três (3) meses de experiência como auxiliar de garçom em um ambiente de alta gastronomia ou de grand"&amp;"e movimento, em um restaurante sofisticado, resort ou clube privado, são necessários. Treinamento no local de trabalho será fornecido. É necessária a verificação de antecedentes criminais antes da contratação. Remuneração: Salário: Cargo com gorjetas, com"&amp;" salário de US$ 8,00 a US$ 10,00 por hora, pago quinzenalmente. O empregador garante que o salário por hora não será inferior ao salário vigente de US$ 17,91 por hora. Horas extras disponíveis a US$ 26,87 por hora. O funcionário pode ser elegível para rem"&amp;"uneração adicional na forma de pagamento de feriados de até US$ 500,00. Elegível para moradia subsidiada pela empresa. Turnos: O horário de trabalho pode variar e incluir turnos noturnos, fins de semana e feriados. O trabalho pode ser realizado em qualque"&amp;"r dia da semana, de segunda a domingo. Exemplos de turnos: 7h às 14h, 9h às 16h ou 16h às 11h. Os horários dos turnos podem variar. Classificação do Cargo: 35-9011.00 - Atendentes de Salão de Jantar e Cafeteria e Auxiliares de Bar. A classificação e descr"&amp;"ição do cargo/setor incluem informações gerais sobre a posição, de acordo com o ONET/OES e o Sistema de Classificação Industrial da América do Norte (NAICS). Consulte as Funções e a Ordem de Serviço para obter mais informações. Requisitos da vaga Experiên"&amp;"cia necessária: Sim Meses de experiência necessários: 3 Requisitos especiais: Três (3) meses de experiência como auxiliar de garçom em um ambiente de alta gastronomia ou de grande movimento em um restaurante sofisticado, resort ou clube privado são necess"&amp;"ários. Treinamento no local de trabalho será fornecido. O candidato deverá apresentar um atestado de antecedentes criminais pré-admissional. Número de horas por semana: 35 Horário de trabalho (início/término): 7h às 14h")</f>
        <v>Responsabilidades: Retirar rapidamente os utensílios de mesa sujos e prepará-los para novos clientes. Repor prontamente e consistentemente todos os utensílios de serviço conforme prescrito. Manter o estoque e a limpeza das estações de trabalho durante todas as refeições, com os equipamentos necessários, incluindo talheres, guardanapos e condimentos. Limpar as mesas e cadeiras, mover mesas e cadeiras e limpar o chão conforme necessário. Servir aos clientes bebidas, pães e manteiga para iniciar sua experiência gastronômica e repor conforme necessário. Auxiliar os garçons no serviço de alimentos e bebidas para garantir a satisfação dos clientes. Auxiliar os garçons levando os pratos da cozinha até a mesa do cliente de forma organizada e ágil. Garantir que cada cliente receba o prato correto, conforme solicitado, e que a comida seja apresentada de forma impecável. Comunicar-se com a cozinha e os garçons para coordenar o tempo de entrega dos pratos. Oferecer aos clientes itens adicionais mediante solicitação, como condimentos, talheres, guardanapos ou reposições de bebidas, para aumentar a satisfação. Monitorar as mesas dos clientes para antecipar necessidades, como retirar pratos usados ​​entre os pratos ou repor a água nos copos. Auxiliar os clientes com suas dúvidas de forma profissional e cortês, ou encaminhá-los prontamente a um garçom caso necessitem de mais assistência. Auxiliar o garçom para garantir que todos os componentes da refeição (entradas, pratos principais, acompanhamentos e bebidas) sejam servidos de forma ágil e sem atrasos. Contribuir para o ritmo do serviço, evitando que os clientes sofram com esperas apressadas ou prolongadas entre os pratos. Manter proativamente um ambiente limpo e organizado, removendo prontamente os pratos usados ​​e mantendo as áreas de serviço limpas. Coordenar com o garçom e a cozinha para garantir a remoção e substituição oportunas dos pratos sujos, minimizando interrupções na experiência do cliente. Transportar toda a louça suja do salão para a área de lavagem para a devida higienização. Executar todas as tarefas auxiliares designadas, incluindo a reposição de condimentos e a organização dos aparadores. Requisitos: Três (3) meses de experiência como auxiliar de garçom em um ambiente de alta gastronomia ou de grande movimento, em um restaurante sofisticado, resort ou clube privado, são necessários. Treinamento no local de trabalho será fornecido. É necessária a verificação de antecedentes criminais antes da contratação. Remuneração: Salário: Cargo com gorjetas, com salário de US$ 8,00 a US$ 10,00 por hora, pago quinzenalmente. O empregador garante que o salário por hora não será inferior ao salário vigente de US$ 17,91 por hora. Horas extras disponíveis a US$ 26,87 por hora. O funcionário pode ser elegível para remuneração adicional na forma de pagamento de feriados de até US$ 500,00. Elegível para moradia subsidiada pela empresa. Turnos: O horário de trabalho pode variar e incluir turnos noturnos, fins de semana e feriados. O trabalho pode ser realizado em qualquer dia da semana, de segunda a domingo. Exemplos de turnos: 7h às 14h, 9h às 16h ou 16h às 11h. Os horários dos turnos podem variar. Classificação do Cargo: 35-9011.00 - Atendentes de Salão de Jantar e Cafeteria e Auxiliares de Bar. A classificação e descrição do cargo/setor incluem informações gerais sobre a posição, de acordo com o ONET/OES e o Sistema de Classificação Industrial da América do Norte (NAICS). Consulte as Funções e a Ordem de Serviço para obter mais informações. Requisitos da vaga Experiência necessária: Sim Meses de experiência necessários: 3 Requisitos especiais: Três (3) meses de experiência como auxiliar de garçom em um ambiente de alta gastronomia ou de grande movimento em um restaurante sofisticado, resort ou clube privado são necessários. Treinamento no local de trabalho será fornecido. O candidato deverá apresentar um atestado de antecedentes criminais pré-admissional. Número de horas por semana: 35 Horário de trabalho (início/término): 7h às 14h</v>
      </c>
    </row>
    <row r="2382" ht="20.25" customHeight="1">
      <c r="A2382" s="3" t="s">
        <v>10456</v>
      </c>
      <c r="B2382" s="3" t="s">
        <v>10444</v>
      </c>
      <c r="C2382" s="3" t="s">
        <v>9739</v>
      </c>
      <c r="D2382" s="3" t="s">
        <v>71</v>
      </c>
      <c r="E2382" s="4" t="s">
        <v>44</v>
      </c>
      <c r="F2382" s="4" t="s">
        <v>20</v>
      </c>
      <c r="G2382" s="4" t="s">
        <v>524</v>
      </c>
      <c r="H2382" s="3" t="s">
        <v>10445</v>
      </c>
      <c r="I2382" s="3" t="s">
        <v>10446</v>
      </c>
      <c r="J2382" s="4">
        <v>24.0</v>
      </c>
      <c r="K2382" s="4">
        <v>18.0</v>
      </c>
      <c r="L2382" s="3" t="s">
        <v>387</v>
      </c>
      <c r="M2382" s="3" t="s">
        <v>10457</v>
      </c>
      <c r="N2382" s="7" t="str">
        <f>IFERROR(__xludf.DUMMYFUNCTION("GOOGLETRANSLATE(L2382, ""en"", ""pt"")"),"Ordem de serviço não disponível")</f>
        <v>Ordem de serviço não disponível</v>
      </c>
      <c r="O2382" s="7" t="str">
        <f>IFERROR(__xludf.DUMMYFUNCTION("IF(M2382="""","""",GOOGLETRANSLATE(M2382,""en"",""pt""))"),"Funções: Responsável pelo preparo, tempero e cozimento de sopas, carnes, legumes, sobremesas e outros pratos em um restaurante. Requisitos: Seis (6) meses de experiência culinária em um ambiente de alta gastronomia ou de grande movimento, em um restaurant"&amp;"e sofisticado, resort ou clube privado, são necessários. Treinamento no local de trabalho será fornecido. O candidato deverá apresentar um atestado de antecedentes criminais pré-admissional. Salário: US$ 24,00 por hora, pago quinzenalmente. Horas extras d"&amp;"isponíveis a US$ 36,00 por hora. O funcionário poderá ser elegível para remuneração adicional na forma de pagamento de feriados de até US$ 500,00. Elegível para moradia subsidiada pela empresa. Turnos: O horário de trabalho pode variar e incluir turnos no"&amp;"turnos, fins de semana e feriados. O trabalho pode ser realizado em qualquer dia da semana, de segunda a domingo. Exemplos de turnos: 7h às 14h, 9h às 16h ou 16h às 11h. Os horários dos turnos podem variar. Classificação da Função: 35-2014.00 - Cozinheiro"&amp;"s, Restaurante. A classificação e descrição da função/setor inclui informações gerais sobre o cargo, de acordo com o ONET/OES e o Sistema de Classificação Industrial da América do Norte. Consulte as Funções e a Ordem de Serviço para obter mais informações"&amp;". Requisitos da Função: Experiência Necessária: Sim. Meses de Experiência Necessários: 6. Requisitos Especiais: Seis (6) meses de experiência culinária em um ambiente de alta gastronomia ou de grande movimento, em um restaurante sofisticado, resort ou clu"&amp;"be privado, são necessários. Treinamento no local de trabalho será fornecido. O candidato deverá apresentar um Certificado de Antecedentes Criminais pré-admissional. Número de Horas por Semana: 35. Horário de Trabalho (Início/Término): 7h00 - 14h00.")</f>
        <v>Funções: Responsável pelo preparo, tempero e cozimento de sopas, carnes, legumes, sobremesas e outros pratos em um restaurante. Requisitos: Seis (6) meses de experiência culinária em um ambiente de alta gastronomia ou de grande movimento, em um restaurante sofisticado, resort ou clube privado, são necessários. Treinamento no local de trabalho será fornecido. O candidato deverá apresentar um atestado de antecedentes criminais pré-admissional. Salário: US$ 24,00 por hora, pago quinzenalmente. Horas extras disponíveis a US$ 36,00 por hora. O funcionário poderá ser elegível para remuneração adicional na forma de pagamento de feriados de até US$ 500,00. Elegível para moradia subsidiada pela empresa. Turnos: O horário de trabalho pode variar e incluir turnos noturnos, fins de semana e feriados. O trabalho pode ser realizado em qualquer dia da semana, de segunda a domingo. Exemplos de turnos: 7h às 14h, 9h às 16h ou 16h às 11h. Os horários dos turnos podem variar. Classificação da Função: 35-2014.00 - Cozinheiros, Restaurante. A classificação e descrição da função/setor inclui informações gerais sobre o cargo, de acordo com o ONET/OES e o Sistema de Classificação Industrial da América do Norte. Consulte as Funções e a Ordem de Serviço para obter mais informações. Requisitos da Função: Experiência Necessária: Sim. Meses de Experiência Necessários: 6. Requisitos Especiais: Seis (6) meses de experiência culinária em um ambiente de alta gastronomia ou de grande movimento, em um restaurante sofisticado, resort ou clube privado, são necessários. Treinamento no local de trabalho será fornecido. O candidato deverá apresentar um Certificado de Antecedentes Criminais pré-admissional. Número de Horas por Semana: 35. Horário de Trabalho (Início/Término): 7h00 - 14h00.</v>
      </c>
    </row>
    <row r="2383" ht="20.25" customHeight="1">
      <c r="A2383" s="8" t="s">
        <v>10458</v>
      </c>
      <c r="B2383" s="8" t="s">
        <v>10444</v>
      </c>
      <c r="C2383" s="8" t="s">
        <v>9739</v>
      </c>
      <c r="D2383" s="8" t="s">
        <v>71</v>
      </c>
      <c r="E2383" s="9" t="s">
        <v>44</v>
      </c>
      <c r="F2383" s="9" t="s">
        <v>20</v>
      </c>
      <c r="G2383" s="9" t="s">
        <v>524</v>
      </c>
      <c r="H2383" s="8" t="s">
        <v>10445</v>
      </c>
      <c r="I2383" s="8" t="s">
        <v>10446</v>
      </c>
      <c r="J2383" s="9">
        <v>15.6</v>
      </c>
      <c r="K2383" s="9">
        <v>14.0</v>
      </c>
      <c r="L2383" s="8" t="s">
        <v>10459</v>
      </c>
      <c r="M2383" s="8" t="s">
        <v>10460</v>
      </c>
      <c r="N2383" s="7" t="str">
        <f>IFERROR(__xludf.DUMMYFUNCTION("GOOGLETRANSLATE(L2383, ""en"", ""pt"")"),"Atendente de Piscina")</f>
        <v>Atendente de Piscina</v>
      </c>
      <c r="O2383" s="7" t="str">
        <f>IFERROR(__xludf.DUMMYFUNCTION("IF(M2383="""","""",GOOGLETRANSLATE(M2383,""en"",""pt""))"),"Responsabilidades: Responsável por monitorar as atividades para garantir o cumprimento das regras e procedimentos de segurança; manter a limpeza da área da piscina e dos equipamentos; fornecer informações sobre as regras e regulamentos das instalações; ma"&amp;"nter o inventário de equipamentos/roupas de cama; montar cadeiras e guarda-sóis, armazenar e recuperar itens conforme necessário; e manter registros diários de atividades da piscina. Requisitos: Três (3) meses de experiência em um hotel de alto padrão, re"&amp;"sort ou clube privado são necessários. Treinamento no local de trabalho será fornecido. O candidato deve fornecer uma verificação de antecedentes criminais pré-emprego. Remuneração: US$ 14,00 por hora mais gorjeta, pago quinzenalmente. O empregador garant"&amp;"e que a remuneração por hora não será inferior ao salário vigente de US$ 15,60 por hora. Horas extras disponíveis a US$ 23,40 por hora. O funcionário pode ser elegível para remuneração adicional na forma de pagamento de feriado de até US$ 500,00. Elegível"&amp;" para moradia subsidiada pela empresa. Turnos: O horário de trabalho pode variar e pode incluir noites, fins de semana e feriados. O trabalho pode ser realizado em qualquer dia da semana, de segunda a domingo. Exemplos de turnos: 7h às 14h, 9h às 16h ou 1"&amp;"6h às 11h. Os horários dos turnos podem variar. Classificação da vaga: 39-3091.00 - Atendentes de Diversão e Recreação. A classificação e descrição da vaga/setor incluem informações gerais sobre o cargo, de acordo com o ONET/OES e o Sistema de Classificaç"&amp;"ão Industrial da América do Norte (NAICS). Consulte as Funções e a Ordem de Serviço para obter mais informações. Requisitos da vaga: Experiência necessária: Sim. Meses de experiência necessários: 3. Requisitos especiais: Três (3) meses de experiência em u"&amp;"m hotel de alto padrão, resort ou clube privado são necessários. Treinamento no local de trabalho será fornecido. O candidato deve apresentar um Certificado de Antecedentes Criminais pré-admissional. Número de horas por semana: 35. Horário de trabalho (in"&amp;"ício/término): 7h às 14h.")</f>
        <v>Responsabilidades: Responsável por monitorar as atividades para garantir o cumprimento das regras e procedimentos de segurança; manter a limpeza da área da piscina e dos equipamentos; fornecer informações sobre as regras e regulamentos das instalações; manter o inventário de equipamentos/roupas de cama; montar cadeiras e guarda-sóis, armazenar e recuperar itens conforme necessário; e manter registros diários de atividades da piscina. Requisitos: Três (3) meses de experiência em um hotel de alto padrão, resort ou clube privado são necessários. Treinamento no local de trabalho será fornecido. O candidato deve fornecer uma verificação de antecedentes criminais pré-emprego. Remuneração: US$ 14,00 por hora mais gorjeta, pago quinzenalmente. O empregador garante que a remuneração por hora não será inferior ao salário vigente de US$ 15,60 por hora. Horas extras disponíveis a US$ 23,40 por hora. O funcionário pode ser elegível para remuneração adicional na forma de pagamento de feriado de até US$ 500,00. Elegível para moradia subsidiada pela empresa. Turnos: O horário de trabalho pode variar e pode incluir noites, fins de semana e feriados. O trabalho pode ser realizado em qualquer dia da semana, de segunda a domingo. Exemplos de turnos: 7h às 14h, 9h às 16h ou 16h às 11h. Os horários dos turnos podem variar. Classificação da vaga: 39-3091.00 - Atendentes de Diversão e Recreação. A classificação e descrição da vaga/setor incluem informações gerais sobre o cargo, de acordo com o ONET/OES e o Sistema de Classificação Industrial da América do Norte (NAICS). Consulte as Funções e a Ordem de Serviço para obter mais informações. Requisitos da vaga: Experiência necessária: Sim. Meses de experiência necessários: 3. Requisitos especiais: Três (3) meses de experiência em um hotel de alto padrão, resort ou clube privado são necessários. Treinamento no local de trabalho será fornecido. O candidato deve apresentar um Certificado de Antecedentes Criminais pré-admissional. Número de horas por semana: 35. Horário de trabalho (início/término): 7h às 14h.</v>
      </c>
    </row>
    <row r="2384" ht="20.25" customHeight="1">
      <c r="A2384" s="3" t="s">
        <v>10461</v>
      </c>
      <c r="B2384" s="3" t="s">
        <v>10444</v>
      </c>
      <c r="C2384" s="3" t="s">
        <v>9739</v>
      </c>
      <c r="D2384" s="3" t="s">
        <v>71</v>
      </c>
      <c r="E2384" s="4" t="s">
        <v>44</v>
      </c>
      <c r="F2384" s="4" t="s">
        <v>20</v>
      </c>
      <c r="G2384" s="4" t="s">
        <v>524</v>
      </c>
      <c r="H2384" s="3" t="s">
        <v>10445</v>
      </c>
      <c r="I2384" s="3" t="s">
        <v>10446</v>
      </c>
      <c r="J2384" s="4">
        <v>18.0</v>
      </c>
      <c r="K2384" s="4">
        <v>15.0</v>
      </c>
      <c r="L2384" s="3" t="s">
        <v>4724</v>
      </c>
      <c r="M2384" s="3" t="s">
        <v>10462</v>
      </c>
      <c r="N2384" s="7" t="str">
        <f>IFERROR(__xludf.DUMMYFUNCTION("GOOGLETRANSLATE(L2384, ""en"", ""pt"")"),"Camareira")</f>
        <v>Camareira</v>
      </c>
      <c r="O2384" s="7" t="str">
        <f>IFERROR(__xludf.DUMMYFUNCTION("IF(M2384="""","""",GOOGLETRANSLATE(M2384,""en"",""pt""))"),"Responsabilidades: Responsável pela limpeza e manutenção de todos os quartos, suítes e áreas comuns internas do Boca Raton Resort &amp; Club, incluindo aspirar pisos, tirar o pó, repor roupas de cama e toalhas, desinfetar banheiros e lavar janelas. Requisitos"&amp;": Três (3) meses de experiência em hotel de alto padrão, resort ou clube privado. Treinamento no local de trabalho será fornecido. O candidato deverá apresentar um atestado de antecedentes criminais pré-admissional. Remuneração: US$ 18,00 por hora, pago q"&amp;"uinzenalmente. A posição é elegível para participação nos lucros do resort, portanto, o salário real com gorjetas pode ocasionalmente ser maior. Horas extras disponíveis a US$ 27,00 por hora. O funcionário poderá ser elegível para remuneração adicional na"&amp;" forma de pagamento de feriados de até US$ 500,00. Elegível para moradia subsidiada pela empresa. Turnos: O horário de trabalho pode variar e incluir noites, fins de semana e feriados. O trabalho pode ser realizado em qualquer dia da semana, de segunda a "&amp;"domingo. Exemplos de turnos: 7h às 14h, 9h às 16h ou 16h às 11h. Os horários dos turnos podem variar. Classificação da vaga: 37-2012.00 - Camareiras e Auxiliares de Limpeza. A classificação e descrição da vaga/setor incluem informações gerais sobre o carg"&amp;"o, de acordo com o ONET/OES e o Sistema de Classificação Industrial da América do Norte (NAICS). Consulte as Funções e a Ordem de Serviço para obter mais informações. Requisitos da vaga: Experiência necessária: Sim. Meses de experiência necessários: 3. Re"&amp;"quisitos especiais: É necessário ter três (3) meses de experiência em um hotel de alto padrão, resort ou clube privado. Treinamento no local de trabalho será fornecido. O candidato deverá apresentar um Certificado de Antecedentes Criminais pré-admissional"&amp;". Número de horas por semana: 35. Horário de trabalho (início/término): 7h às 14h.")</f>
        <v>Responsabilidades: Responsável pela limpeza e manutenção de todos os quartos, suítes e áreas comuns internas do Boca Raton Resort &amp; Club, incluindo aspirar pisos, tirar o pó, repor roupas de cama e toalhas, desinfetar banheiros e lavar janelas. Requisitos: Três (3) meses de experiência em hotel de alto padrão, resort ou clube privado. Treinamento no local de trabalho será fornecido. O candidato deverá apresentar um atestado de antecedentes criminais pré-admissional. Remuneração: US$ 18,00 por hora, pago quinzenalmente. A posição é elegível para participação nos lucros do resort, portanto, o salário real com gorjetas pode ocasionalmente ser maior. Horas extras disponíveis a US$ 27,00 por hora. O funcionário poderá ser elegível para remuneração adicional na forma de pagamento de feriados de até US$ 500,00. Elegível para moradia subsidiada pela empresa. Turnos: O horário de trabalho pode variar e incluir noites, fins de semana e feriados. O trabalho pode ser realizado em qualquer dia da semana, de segunda a domingo. Exemplos de turnos: 7h às 14h, 9h às 16h ou 16h às 11h. Os horários dos turnos podem variar. Classificação da vaga: 37-2012.00 - Camareiras e Auxiliares de Limpeza. A classificação e descrição da vaga/setor incluem informações gerais sobre o cargo, de acordo com o ONET/OES e o Sistema de Classificação Industrial da América do Norte (NAICS). Consulte as Funções e a Ordem de Serviço para obter mais informações. Requisitos da vaga: Experiência necessária: Sim. Meses de experiência necessários: 3. Requisitos especiais: É necessário ter três (3) meses de experiência em um hotel de alto padrão, resort ou clube privado. Treinamento no local de trabalho será fornecido. O candidato deverá apresentar um Certificado de Antecedentes Criminais pré-admissional. Número de horas por semana: 35. Horário de trabalho (início/término): 7h às 14h.</v>
      </c>
    </row>
    <row r="2385" ht="20.25" customHeight="1">
      <c r="A2385" s="8" t="s">
        <v>10463</v>
      </c>
      <c r="B2385" s="8" t="s">
        <v>10444</v>
      </c>
      <c r="C2385" s="8" t="s">
        <v>9739</v>
      </c>
      <c r="D2385" s="8" t="s">
        <v>71</v>
      </c>
      <c r="E2385" s="9" t="s">
        <v>44</v>
      </c>
      <c r="F2385" s="9" t="s">
        <v>20</v>
      </c>
      <c r="G2385" s="9" t="s">
        <v>524</v>
      </c>
      <c r="H2385" s="8" t="s">
        <v>10445</v>
      </c>
      <c r="I2385" s="8" t="s">
        <v>10446</v>
      </c>
      <c r="J2385" s="9">
        <v>18.71</v>
      </c>
      <c r="K2385" s="9">
        <v>14.0</v>
      </c>
      <c r="L2385" s="8" t="s">
        <v>1206</v>
      </c>
      <c r="M2385" s="8" t="s">
        <v>10464</v>
      </c>
      <c r="N2385" s="7" t="str">
        <f>IFERROR(__xludf.DUMMYFUNCTION("GOOGLETRANSLATE(L2385, ""en"", ""pt"")"),"Servidor")</f>
        <v>Servidor</v>
      </c>
      <c r="O2385" s="7" t="str">
        <f>IFERROR(__xludf.DUMMYFUNCTION("IF(M2385="""","""",GOOGLETRANSLATE(M2385,""en"",""pt""))"),"Funções: Responsável por recepcionar os clientes, preparar as áreas de refeição, anotar e registrar pedidos, transportar bandejas e pratos, servir alimentos e bebidas, e limpar e desocupar as mesas. Requisitos: Seis (6) meses de experiência em atendimento"&amp;" em um ambiente de alta gastronomia ou de grande movimento em um restaurante sofisticado, resort ou clube privado são necessários. Treinamento no local de trabalho será fornecido. O candidato deverá apresentar um Certificado de Antecedentes Criminais pré-"&amp;"admissional. Remuneração: Cargo com gorjetas, com salário de US$ 8,00 a US$ 10,00 por hora, pago quinzenalmente. O empregador garante que o salário por hora não será inferior ao salário vigente de US$ 18,71 por hora. Horas extras disponíveis a US$ 28,07 p"&amp;"or hora. O empregador garantirá o salário em qualquer semana de trabalho em que a remuneração total (incluindo gorjetas) não atinja o salário vigente ou o valor da hora extra. O funcionário poderá ser elegível para remuneração adicional na forma de pagame"&amp;"nto de feriados de até US$ 500,00. Elegível para moradia subsidiada pela empresa. Turnos: O horário de trabalho pode variar e incluir turnos noturnos, fins de semana e feriados. O trabalho pode ser realizado em qualquer dia da semana, de segunda a domingo"&amp;". Exemplos de turnos: 7h às 14h, 9h às 16h ou 16h às 11h. Os horários dos turnos podem variar. Classificação da vaga: 35-3031.00 - Garçons e Garçonetes. A classificação e descrição da vaga/setor incluem informações gerais sobre o cargo, de acordo com o ON"&amp;"ET/OES e o Sistema de Classificação Industrial da América do Norte (NAICS). Consulte as Funções e a Ordem de Serviço para obter mais informações. Requisitos da vaga: Experiência necessária: Sim. Meses de experiência necessários: 6. Requisitos especiais: S"&amp;"eis (6) meses de experiência em atendimento em um ambiente de alta gastronomia ou de grande movimento, em um restaurante sofisticado, resort ou clube privado, são necessários. Treinamento no local de trabalho é fornecido. O candidato deve fornecer uma ver"&amp;"ificação de antecedentes criminais pré-emprego. Número de horas por semana: 35. Horário de trabalho (início/término): 7h. - 14h00")</f>
        <v>Funções: Responsável por recepcionar os clientes, preparar as áreas de refeição, anotar e registrar pedidos, transportar bandejas e pratos, servir alimentos e bebidas, e limpar e desocupar as mesas. Requisitos: Seis (6) meses de experiência em atendimento em um ambiente de alta gastronomia ou de grande movimento em um restaurante sofisticado, resort ou clube privado são necessários. Treinamento no local de trabalho será fornecido. O candidato deverá apresentar um Certificado de Antecedentes Criminais pré-admissional. Remuneração: Cargo com gorjetas, com salário de US$ 8,00 a US$ 10,00 por hora, pago quinzenalmente. O empregador garante que o salário por hora não será inferior ao salário vigente de US$ 18,71 por hora. Horas extras disponíveis a US$ 28,07 por hora. O empregador garantirá o salário em qualquer semana de trabalho em que a remuneração total (incluindo gorjetas) não atinja o salário vigente ou o valor da hora extra. O funcionário poderá ser elegível para remuneração adicional na forma de pagamento de feriados de até US$ 500,00. Elegível para moradia subsidiada pela empresa. Turnos: O horário de trabalho pode variar e incluir turnos noturnos, fins de semana e feriados. O trabalho pode ser realizado em qualquer dia da semana, de segunda a domingo. Exemplos de turnos: 7h às 14h, 9h às 16h ou 16h às 11h. Os horários dos turnos podem variar. Classificação da vaga: 35-3031.00 - Garçons e Garçonetes. A classificação e descrição da vaga/setor incluem informações gerais sobre o cargo, de acordo com o ONET/OES e o Sistema de Classificação Industrial da América do Norte (NAICS). Consulte as Funções e a Ordem de Serviço para obter mais informações. Requisitos da vaga: Experiência necessária: Sim. Meses de experiência necessários: 6. Requisitos especiais: Seis (6) meses de experiência em atendimento em um ambiente de alta gastronomia ou de grande movimento, em um restaurante sofisticado, resort ou clube privado, são necessários. Treinamento no local de trabalho é fornecido. O candidato deve fornecer uma verificação de antecedentes criminais pré-emprego. Número de horas por semana: 35. Horário de trabalho (início/término): 7h. - 14h00</v>
      </c>
    </row>
    <row r="2386" ht="20.25" customHeight="1">
      <c r="A2386" s="3" t="s">
        <v>10465</v>
      </c>
      <c r="B2386" s="3" t="s">
        <v>10466</v>
      </c>
      <c r="C2386" s="3" t="s">
        <v>8981</v>
      </c>
      <c r="D2386" s="3" t="s">
        <v>71</v>
      </c>
      <c r="E2386" s="4" t="s">
        <v>19</v>
      </c>
      <c r="F2386" s="4" t="s">
        <v>20</v>
      </c>
      <c r="G2386" s="4" t="s">
        <v>524</v>
      </c>
      <c r="H2386" s="3" t="s">
        <v>10467</v>
      </c>
      <c r="I2386" s="3" t="s">
        <v>10468</v>
      </c>
      <c r="J2386" s="4">
        <v>19.51</v>
      </c>
      <c r="K2386" s="4">
        <v>4.0</v>
      </c>
      <c r="L2386" s="3" t="s">
        <v>1684</v>
      </c>
      <c r="M2386" s="3" t="s">
        <v>10469</v>
      </c>
      <c r="N2386" s="7" t="str">
        <f>IFERROR(__xludf.DUMMYFUNCTION("GOOGLETRANSLATE(L2386, ""en"", ""pt"")"),"Barman")</f>
        <v>Barman</v>
      </c>
      <c r="O2386" s="7" t="str">
        <f>IFERROR(__xludf.DUMMYFUNCTION("IF(M2386="""","""",GOOGLETRANSLATE(M2386,""en"",""pt""))"),"Anotar pedidos de bebidas. Preparar e servir drinks. Limpar a área do bar. Poderá ser necessário anotar pedidos de comida e fazer recomendações sobre vinhos e outros produtos. Solicitar e exibir bebidas alcoólicas e suprimentos. Manter a área do bar limpa"&amp;" e trabalhar de acordo com as normas estaduais rigorosamente aplicadas. *Continuação da Seção F.a.5 abaixo: 40 horas semanais. Os turnos serão de 8 horas, podendo variar conforme a necessidade, de acordo com o anúncio da vaga na Agência Estadual de Força "&amp;"de Trabalho e em outras fontes de anúncios de vagas H-2B, conforme os requisitos de recrutamento dos empregadores para trabalhadores em potencial no âmbito do programa H-2B. Turnos variáveis ​​ao longo de 7 dias da semana. Os turnos podem variar das 6h às"&amp;" 23h. Classificação da vaga: 35-3011.00 - Bartenders. A classificação e descrição da vaga/setor incluem informações gerais sobre o cargo, provenientes do ONET/OES e do Sistema de Classificação Industrial da América do Norte. Consulte as Funções e a Ordem "&amp;"de Serviço para obter mais informações. Requisitos da vaga Experiência exigida: Não Requisitos especiais: O EMPREGADOR EXIGE QUE A VERIFICAÇÃO DE ANTECEDENTES CRIMINAIS E O TESTE DE DROGAS PRÉ-ADMISSÃO SEJAM REALIZADOS IGUALMENTE PARA TRABALHADORES AMERIC"&amp;"ANOS E TRABALHADORES COM VISTO H-2B. Capacidade de se comunicar em inglês. Número de horas por semana: 40 Horário de trabalho (início/término): 6h às 23h")</f>
        <v>Anotar pedidos de bebidas. Preparar e servir drinks. Limpar a área do bar. Poderá ser necessário anotar pedidos de comida e fazer recomendações sobre vinhos e outros produtos. Solicitar e exibir bebidas alcoólicas e suprimentos. Manter a área do bar limpa e trabalhar de acordo com as normas estaduais rigorosamente aplicadas. *Continuação da Seção F.a.5 abaixo: 40 horas semanais. Os turnos serão de 8 horas, podendo variar conforme a necessidade, de acordo com o anúncio da vaga na Agência Estadual de Força de Trabalho e em outras fontes de anúncios de vagas H-2B, conforme os requisitos de recrutamento dos empregadores para trabalhadores em potencial no âmbito do programa H-2B. Turnos variáveis ​​ao longo de 7 dias da semana. Os turnos podem variar das 6h às 23h. Classificação da vaga: 35-3011.00 - Bartenders. A classificação e descrição da vaga/setor incluem informações gerais sobre o cargo, provenientes do ONET/OES e do Sistema de Classificação Industrial da América do Norte. Consulte as Funções e a Ordem de Serviço para obter mais informações. Requisitos da vaga Experiência exigida: Não Requisitos especiais: O EMPREGADOR EXIGE QUE A VERIFICAÇÃO DE ANTECEDENTES CRIMINAIS E O TESTE DE DROGAS PRÉ-ADMISSÃO SEJAM REALIZADOS IGUALMENTE PARA TRABALHADORES AMERICANOS E TRABALHADORES COM VISTO H-2B. Capacidade de se comunicar em inglês. Número de horas por semana: 40 Horário de trabalho (início/término): 6h às 23h</v>
      </c>
    </row>
    <row r="2387" ht="20.25" customHeight="1">
      <c r="A2387" s="8" t="s">
        <v>10470</v>
      </c>
      <c r="B2387" s="8" t="s">
        <v>10466</v>
      </c>
      <c r="C2387" s="8" t="s">
        <v>8981</v>
      </c>
      <c r="D2387" s="8" t="s">
        <v>71</v>
      </c>
      <c r="E2387" s="9" t="s">
        <v>19</v>
      </c>
      <c r="F2387" s="9" t="s">
        <v>20</v>
      </c>
      <c r="G2387" s="9" t="s">
        <v>524</v>
      </c>
      <c r="H2387" s="8" t="s">
        <v>10467</v>
      </c>
      <c r="I2387" s="8" t="s">
        <v>10468</v>
      </c>
      <c r="J2387" s="9">
        <v>18.0</v>
      </c>
      <c r="K2387" s="9">
        <v>12.0</v>
      </c>
      <c r="L2387" s="8" t="s">
        <v>586</v>
      </c>
      <c r="M2387" s="8" t="s">
        <v>10471</v>
      </c>
      <c r="N2387" s="7" t="str">
        <f>IFERROR(__xludf.DUMMYFUNCTION("GOOGLETRANSLATE(L2387, ""en"", ""pt"")"),"Cozinheiro de linha")</f>
        <v>Cozinheiro de linha</v>
      </c>
      <c r="O2387" s="7" t="str">
        <f>IFERROR(__xludf.DUMMYFUNCTION("IF(M2387="""","""",GOOGLETRANSLATE(M2387,""en"",""pt""))"),"Prepara, tempera e cozinha sopas, carnes, legumes, frutas, sobremesas e outros alimentos diversos para consumo; observa as diretrizes da receita e os procedimentos de higiene. *Continuação da Seção F.a.5 abaixo: 40 horas semanais. Os turnos serão de 8 hor"&amp;"as e podem variar conforme a necessidade, de acordo com o anúncio da vaga na Agência Estadual de Força de Trabalho e em outras fontes de anúncios de vagas H-2B, conforme os requisitos de recrutamento dos empregadores para trabalhadores em potencial no âmb"&amp;"ito do programa H-2B. Turnos variáveis ​​ao longo de 7 dias da semana. Os turnos podem variar: das 6h às 23h. Classificação da vaga: 35-2014.00 - Cozinheiros, Restaurante. A classificação e a descrição da vaga/setor incluem informações gerais sobre o carg"&amp;"o, provenientes do ONET/OES e do Sistema de Classificação Industrial da América do Norte. Consulte as Funções e a Ordem de Serviço para obter mais informações. Requisitos da vaga Experiência exigida: Não Requisitos especiais: O EMPREGADOR EXIGE QUE A VERI"&amp;"FICAÇÃO DE ANTECEDENTES CRIMINAIS E O TESTE DE DROGAS PRÉ-ADMISSÃO SEJAM REALIZADOS IGUALMENTE PARA TRABALHADORES AMERICANOS E TRABALHADORES COM VISTO H-2B. Capacidade de se comunicar em inglês. Número de horas por semana: 40 Horário de trabalho (início/t"&amp;"érmino): 6h às 23h")</f>
        <v>Prepara, tempera e cozinha sopas, carnes, legumes, frutas, sobremesas e outros alimentos diversos para consumo; observa as diretrizes da receita e os procedimentos de higiene. *Continuação da Seção F.a.5 abaixo: 40 horas semanais. Os turnos serão de 8 horas e podem variar conforme a necessidade, de acordo com o anúncio da vaga na Agência Estadual de Força de Trabalho e em outras fontes de anúncios de vagas H-2B, conforme os requisitos de recrutamento dos empregadores para trabalhadores em potencial no âmbito do programa H-2B. Turnos variáveis ​​ao longo de 7 dias da semana. Os turnos podem variar: das 6h às 23h. Classificação da vaga: 35-2014.00 - Cozinheiros, Restaurante. A classificação e a descrição da vaga/setor incluem informações gerais sobre o cargo, provenientes do ONET/OES e do Sistema de Classificação Industrial da América do Norte. Consulte as Funções e a Ordem de Serviço para obter mais informações. Requisitos da vaga Experiência exigida: Não Requisitos especiais: O EMPREGADOR EXIGE QUE A VERIFICAÇÃO DE ANTECEDENTES CRIMINAIS E O TESTE DE DROGAS PRÉ-ADMISSÃO SEJAM REALIZADOS IGUALMENTE PARA TRABALHADORES AMERICANOS E TRABALHADORES COM VISTO H-2B. Capacidade de se comunicar em inglês. Número de horas por semana: 40 Horário de trabalho (início/término): 6h às 23h</v>
      </c>
    </row>
    <row r="2388" ht="20.25" customHeight="1">
      <c r="A2388" s="3" t="s">
        <v>10472</v>
      </c>
      <c r="B2388" s="3" t="s">
        <v>10466</v>
      </c>
      <c r="C2388" s="3" t="s">
        <v>8981</v>
      </c>
      <c r="D2388" s="3" t="s">
        <v>71</v>
      </c>
      <c r="E2388" s="4" t="s">
        <v>19</v>
      </c>
      <c r="F2388" s="4" t="s">
        <v>20</v>
      </c>
      <c r="G2388" s="4" t="s">
        <v>524</v>
      </c>
      <c r="H2388" s="3" t="s">
        <v>10467</v>
      </c>
      <c r="I2388" s="3" t="s">
        <v>10468</v>
      </c>
      <c r="J2388" s="4">
        <v>17.0</v>
      </c>
      <c r="K2388" s="4">
        <v>8.0</v>
      </c>
      <c r="L2388" s="3" t="s">
        <v>3312</v>
      </c>
      <c r="M2388" s="3" t="s">
        <v>10473</v>
      </c>
      <c r="N2388" s="7" t="str">
        <f>IFERROR(__xludf.DUMMYFUNCTION("GOOGLETRANSLATE(L2388, ""en"", ""pt"")"),"Anfitrião/anfitriã")</f>
        <v>Anfitrião/anfitriã</v>
      </c>
      <c r="O2388" s="7" t="str">
        <f>IFERROR(__xludf.DUMMYFUNCTION("IF(M2388="""","""",GOOGLETRANSLATE(M2388,""en"",""pt""))"),"Recepciona, acompanha e entrega os cardápios aos clientes; auxilia em tarefas diversas de limpeza/polimento, etc., conforme necessário. As tarefas de limpeza/polimento e a(s) área(s) onde a limpeza é realizada são um requisito diário de serviço para recep"&amp;"cionistas, ocorrendo na entrada do restaurante e consistindo especificamente em manter a limpeza e a aparência impecável da entrada, com foco no balcão de recepção e nas áreas de mesas dos clientes. As principais responsabilidades incluem higienizar cardá"&amp;"pios, limpar superfícies de alto contato, limpar o balcão de recepção e polir maçanetas, para garantir uma primeira impressão positiva. *Continuação da Seção F.a.5 abaixo: 40 horas semanais. Os turnos serão de 8 horas e podem variar conforme a necessidade"&amp;", de acordo com o anúncio de vaga da Agência Estadual de Força de Trabalho e outras fontes de anúncios de emprego H-2B, conforme os requisitos de recrutamento dos empregadores para trabalhadores em potencial sob o programa H-2B. Turnos variáveis ​​ao long"&amp;"o de 7 dias da semana. Os turnos podem variar: das 6h às 23h. Classificação da vaga: 35-9031.00 - Recepcionistas, Restaurante, Bar e Cafeteria. A classificação e descrição da vaga/setor inclui informações gerais sobre a posição, conforme o ONET/OES e o Si"&amp;"stema de Classificação Industrial da América do Norte (NAICS). Consulte as Funções e a Ordem de Serviço para obter mais informações. Requisitos da vaga: Experiência exigida: Não. Requisitos especiais: O EMPREGADOR EXIGE A VERIFICAÇÃO DE ANTECEDENTES CRIMI"&amp;"NAIS E O TESTE DE DROGAS PRÉ-ADMISSÃO, IGUALMENTE PARA TRABALHADORES AMERICANOS E TRABALHADORES COM VISTO H-2B. Habilidade para se comunicar em inglês. Número de horas por semana: 40. Horário de trabalho (início/término): 6h às 23h.")</f>
        <v>Recepciona, acompanha e entrega os cardápios aos clientes; auxilia em tarefas diversas de limpeza/polimento, etc., conforme necessário. As tarefas de limpeza/polimento e a(s) área(s) onde a limpeza é realizada são um requisito diário de serviço para recepcionistas, ocorrendo na entrada do restaurante e consistindo especificamente em manter a limpeza e a aparência impecável da entrada, com foco no balcão de recepção e nas áreas de mesas dos clientes. As principais responsabilidades incluem higienizar cardápios, limpar superfícies de alto contato, limpar o balcão de recepção e polir maçanetas, para garantir uma primeira impressão positiva. *Continuação da Seção F.a.5 abaixo: 40 horas semanais. Os turnos serão de 8 horas e podem variar conforme a necessidade, de acordo com o anúncio de vaga da Agência Estadual de Força de Trabalho e outras fontes de anúncios de emprego H-2B, conforme os requisitos de recrutamento dos empregadores para trabalhadores em potencial sob o programa H-2B. Turnos variáveis ​​ao longo de 7 dias da semana. Os turnos podem variar: das 6h às 23h. Classificação da vaga: 35-9031.00 - Recepcionistas, Restaurante, Bar e Cafeteria. A classificação e descrição da vaga/setor inclui informações gerais sobre a posição, conforme o ONET/OES e o Sistema de Classificação Industrial da América do Norte (NAICS). Consulte as Funções e a Ordem de Serviço para obter mais informações. Requisitos da vaga: Experiência exigida: Não. Requisitos especiais: O EMPREGADOR EXIGE A VERIFICAÇÃO DE ANTECEDENTES CRIMINAIS E O TESTE DE DROGAS PRÉ-ADMISSÃO, IGUALMENTE PARA TRABALHADORES AMERICANOS E TRABALHADORES COM VISTO H-2B. Habilidade para se comunicar em inglês. Número de horas por semana: 40. Horário de trabalho (início/término): 6h às 23h.</v>
      </c>
    </row>
    <row r="2389" ht="20.25" customHeight="1">
      <c r="A2389" s="8" t="s">
        <v>10474</v>
      </c>
      <c r="B2389" s="8" t="s">
        <v>10466</v>
      </c>
      <c r="C2389" s="8" t="s">
        <v>8981</v>
      </c>
      <c r="D2389" s="8" t="s">
        <v>71</v>
      </c>
      <c r="E2389" s="9" t="s">
        <v>19</v>
      </c>
      <c r="F2389" s="9" t="s">
        <v>20</v>
      </c>
      <c r="G2389" s="9" t="s">
        <v>524</v>
      </c>
      <c r="H2389" s="8" t="s">
        <v>10467</v>
      </c>
      <c r="I2389" s="8" t="s">
        <v>10468</v>
      </c>
      <c r="J2389" s="9">
        <v>23.0</v>
      </c>
      <c r="K2389" s="9">
        <v>5.0</v>
      </c>
      <c r="L2389" s="8" t="s">
        <v>4654</v>
      </c>
      <c r="M2389" s="8" t="s">
        <v>10475</v>
      </c>
      <c r="N2389" s="7" t="str">
        <f>IFERROR(__xludf.DUMMYFUNCTION("GOOGLETRANSLATE(L2389, ""en"", ""pt"")"),"Capitão do servidor")</f>
        <v>Capitão do servidor</v>
      </c>
      <c r="O2389" s="7" t="str">
        <f>IFERROR(__xludf.DUMMYFUNCTION("IF(M2389="""","""",GOOGLETRANSLATE(M2389,""en"",""pt""))"),"Supervisionar a equipe de atendimento durante a preparação, o serviço e a limpeza; treinar novos garçons no salão; construir e manter um bom relacionamento com os membros do clube; assumir funções de garçom quando necessário, principalmente no atendimento"&amp;" a convidados de honra e VIPs; ser um exemplo a ser seguido e garantir o mais alto nível de serviço prestado pela equipe de atendimento do clube. *Continuação da Seção F.a.5 abaixo: 40 horas semanais. Os turnos serão de 8 horas e podem variar conforme a n"&amp;"ecessidade, de acordo com o anúncio da vaga na Agência Estadual de Força de Trabalho e em outras fontes de anúncios de vagas H-2B, conforme os requisitos de recrutamento dos empregadores para trabalhadores em potencial no âmbito do programa H-2B. Turnos v"&amp;"ariáveis ​​ao longo de 7 dias da semana. Os turnos podem variar das 6h às 23h. Classificação do Cargo: 35-1012.00 - Supervisores de Primeira Linha de Preparadores e Servidores de Alimentos. A classificação e a descrição do cargo/setor incluem informações "&amp;"gerais sobre a posição, de acordo com o ONET/OES e o Sistema de Classificação Industrial da América do Norte. Consulte as Funções e a Ordem de Serviço para obter mais informações. Requisitos da vaga Experiência necessária: Sim Meses de experiência necessá"&amp;"rios: 6 Requisitos especiais: O EMPREGADOR EXIGE QUE A VERIFICAÇÃO DE ANTECEDENTES CRIMINAIS E O TESTE DE DROGAS PRÉ-ADMISSÃO SEJAM REALIZADOS IGUALMENTE PARA OS TRABALHADORES AMERICANOS E OS TRABALHADORES COM VISTO H-2B. Habilidade de se comunicar em ing"&amp;"lês. Os 6 meses de experiência exigidos no quadro F.A.9 referem-se a 6 meses de experiência como garçom/garçonete ou garçom/garçonete sênior em um estabelecimento de hotelaria. Número de horas por semana: 40 Horário de trabalho (início/término): 6h às 23h")</f>
        <v>Supervisionar a equipe de atendimento durante a preparação, o serviço e a limpeza; treinar novos garçons no salão; construir e manter um bom relacionamento com os membros do clube; assumir funções de garçom quando necessário, principalmente no atendimento a convidados de honra e VIPs; ser um exemplo a ser seguido e garantir o mais alto nível de serviço prestado pela equipe de atendimento do clube. *Continuação da Seção F.a.5 abaixo: 40 horas semanais. Os turnos serão de 8 horas e podem variar conforme a necessidade, de acordo com o anúncio da vaga na Agência Estadual de Força de Trabalho e em outras fontes de anúncios de vagas H-2B, conforme os requisitos de recrutamento dos empregadores para trabalhadores em potencial no âmbito do programa H-2B. Turnos variáveis ​​ao longo de 7 dias da semana. Os turnos podem variar das 6h às 23h. Classificação do Cargo: 35-1012.00 - Supervisores de Primeira Linha de Preparadores e Servidores de Alimentos. A classificação e a descrição do cargo/setor incluem informações gerais sobre a posição, de acordo com o ONET/OES e o Sistema de Classificação Industrial da América do Norte. Consulte as Funções e a Ordem de Serviço para obter mais informações. Requisitos da vaga Experiência necessária: Sim Meses de experiência necessários: 6 Requisitos especiais: O EMPREGADOR EXIGE QUE A VERIFICAÇÃO DE ANTECEDENTES CRIMINAIS E O TESTE DE DROGAS PRÉ-ADMISSÃO SEJAM REALIZADOS IGUALMENTE PARA OS TRABALHADORES AMERICANOS E OS TRABALHADORES COM VISTO H-2B. Habilidade de se comunicar em inglês. Os 6 meses de experiência exigidos no quadro F.A.9 referem-se a 6 meses de experiência como garçom/garçonete ou garçom/garçonete sênior em um estabelecimento de hotelaria. Número de horas por semana: 40 Horário de trabalho (início/término): 6h às 23h</v>
      </c>
    </row>
    <row r="2390" ht="20.25" customHeight="1">
      <c r="A2390" s="3" t="s">
        <v>10476</v>
      </c>
      <c r="B2390" s="3" t="s">
        <v>10466</v>
      </c>
      <c r="C2390" s="3" t="s">
        <v>8981</v>
      </c>
      <c r="D2390" s="3" t="s">
        <v>71</v>
      </c>
      <c r="E2390" s="4" t="s">
        <v>19</v>
      </c>
      <c r="F2390" s="4" t="s">
        <v>20</v>
      </c>
      <c r="G2390" s="4" t="s">
        <v>524</v>
      </c>
      <c r="H2390" s="3" t="s">
        <v>10467</v>
      </c>
      <c r="I2390" s="3" t="s">
        <v>10468</v>
      </c>
      <c r="J2390" s="4">
        <v>17.0</v>
      </c>
      <c r="K2390" s="4">
        <v>10.0</v>
      </c>
      <c r="L2390" s="3" t="s">
        <v>2821</v>
      </c>
      <c r="M2390" s="3" t="s">
        <v>10477</v>
      </c>
      <c r="N2390" s="7" t="str">
        <f>IFERROR(__xludf.DUMMYFUNCTION("GOOGLETRANSLATE(L2390, ""en"", ""pt"")"),"Auxiliar de Recreação")</f>
        <v>Auxiliar de Recreação</v>
      </c>
      <c r="O2390" s="7" t="str">
        <f>IFERROR(__xludf.DUMMYFUNCTION("IF(M2390="""","""",GOOGLETRANSLATE(M2390,""en"",""pt""))"),"O funcionário poderá ser solicitado a desempenhar qualquer uma das seguintes funções: monitorar as atividades no campo de golfe e no complexo de tênis; prestar assistência administrativa aos membros, incluindo a verificação de cartões de membro, confirmaç"&amp;"ão de reservas, organização de mercadorias e fornecimento de informações sobre as instalações; transportar os equipamentos de golfe dos membros de e para as instalações do clube. As funções relacionadas ao transporte dos equipamentos de golfe dos membros "&amp;"de e para as instalações do clube incluem encontrar os membros na área de entrega de tacos das instalações do clube e descarregar os tacos de golfe de seus veículos; transportar as bolsas de e para uma área de armazenamento segura e designada para os memb"&amp;"ros do clube; carregar as bolsas de golfe nos carrinhos e garantir que estejam prontas para o jogador na área de espera; limpar os tacos após o uso, devolver as bolsas ao armazenamento ou transportá-las de volta para o carro do membro. *Continuação da Seç"&amp;"ão F.a.5 abaixo: 40 horas semanais. Os turnos serão de 8 horas e podem variar conforme a necessidade, de acordo com o anúncio de vaga da Agência Estadual de Força de Trabalho e outras fontes de anúncios de emprego H-2B, conforme os requisitos de recrutame"&amp;"nto dos empregadores para potenciais trabalhadores no âmbito do programa H-2B. Turnos variáveis ​​ao longo de 7 dias da semana. Os turnos podem variar: das 6h às 23h. Classificação da vaga: 39-3091.00 - Atendentes de Parques de Diversões e Recreação. A cl"&amp;"assificação e descrição da vaga/setor incluem informações gerais sobre o cargo, de acordo com o ONET/OES e o Sistema de Classificação Industrial da América do Norte (NAICS). Consulte as Funções e a Ordem de Serviço para obter mais informações. Requisitos "&amp;"da vaga: Experiência exigida: Não. Requisitos especiais: O EMPREGADOR EXIGE A VERIFICAÇÃO DE ANTECEDENTES CRIMINAIS E O TESTE DE DROGAS PRÉ-ADMISSÃO, IGUALMENTE PARA TRABALHADORES AMERICANOS E TRABALHADORES COM VISTO H-2B. Capacidade de se comunicar em in"&amp;"glês. Número de horas por semana: 40. Horário de trabalho (início/término): 6h às 23h.")</f>
        <v>O funcionário poderá ser solicitado a desempenhar qualquer uma das seguintes funções: monitorar as atividades no campo de golfe e no complexo de tênis; prestar assistência administrativa aos membros, incluindo a verificação de cartões de membro, confirmação de reservas, organização de mercadorias e fornecimento de informações sobre as instalações; transportar os equipamentos de golfe dos membros de e para as instalações do clube. As funções relacionadas ao transporte dos equipamentos de golfe dos membros de e para as instalações do clube incluem encontrar os membros na área de entrega de tacos das instalações do clube e descarregar os tacos de golfe de seus veículos; transportar as bolsas de e para uma área de armazenamento segura e designada para os membros do clube; carregar as bolsas de golfe nos carrinhos e garantir que estejam prontas para o jogador na área de espera; limpar os tacos após o uso, devolver as bolsas ao armazenamento ou transportá-las de volta para o carro do membro. *Continuação da Seção F.a.5 abaixo: 40 horas semanais. Os turnos serão de 8 horas e podem variar conforme a necessidade, de acordo com o anúncio de vaga da Agência Estadual de Força de Trabalho e outras fontes de anúncios de emprego H-2B, conforme os requisitos de recrutamento dos empregadores para potenciais trabalhadores no âmbito do programa H-2B. Turnos variáveis ​​ao longo de 7 dias da semana. Os turnos podem variar: das 6h às 23h. Classificação da vaga: 39-3091.00 - Atendentes de Parques de Diversões e Recreação. A classificação e descrição da vaga/setor incluem informações gerais sobre o cargo, de acordo com o ONET/OES e o Sistema de Classificação Industrial da América do Norte (NAICS). Consulte as Funções e a Ordem de Serviço para obter mais informações. Requisitos da vaga: Experiência exigida: Não. Requisitos especiais: O EMPREGADOR EXIGE A VERIFICAÇÃO DE ANTECEDENTES CRIMINAIS E O TESTE DE DROGAS PRÉ-ADMISSÃO, IGUALMENTE PARA TRABALHADORES AMERICANOS E TRABALHADORES COM VISTO H-2B. Capacidade de se comunicar em inglês. Número de horas por semana: 40. Horário de trabalho (início/término): 6h às 23h.</v>
      </c>
    </row>
    <row r="2391" ht="20.25" customHeight="1">
      <c r="A2391" s="8" t="s">
        <v>10478</v>
      </c>
      <c r="B2391" s="8" t="s">
        <v>10466</v>
      </c>
      <c r="C2391" s="8" t="s">
        <v>8981</v>
      </c>
      <c r="D2391" s="8" t="s">
        <v>71</v>
      </c>
      <c r="E2391" s="9" t="s">
        <v>44</v>
      </c>
      <c r="F2391" s="9" t="s">
        <v>20</v>
      </c>
      <c r="G2391" s="9" t="s">
        <v>524</v>
      </c>
      <c r="H2391" s="8" t="s">
        <v>10467</v>
      </c>
      <c r="I2391" s="8" t="s">
        <v>10468</v>
      </c>
      <c r="J2391" s="9">
        <v>18.75</v>
      </c>
      <c r="K2391" s="9">
        <v>25.0</v>
      </c>
      <c r="L2391" s="8" t="s">
        <v>1206</v>
      </c>
      <c r="M2391" s="8" t="s">
        <v>10479</v>
      </c>
      <c r="N2391" s="7" t="str">
        <f>IFERROR(__xludf.DUMMYFUNCTION("GOOGLETRANSLATE(L2391, ""en"", ""pt"")"),"Servidor")</f>
        <v>Servidor</v>
      </c>
      <c r="O2391" s="7" t="str">
        <f>IFERROR(__xludf.DUMMYFUNCTION("IF(M2391="""","""",GOOGLETRANSLATE(M2391,""en"",""pt""))"),"Receber e servir pedidos de comida e bebida; realizar a montagem e desmontagem de mesas e outras atividades diversas; poderá ser necessário trabalhar em ambientes externos e em eventos de banquetes; poderá ser necessário servir clientes utilizando carrinh"&amp;"o de golfe. *Continuação da Seção F.a.5 abaixo: 40 horas semanais. Os turnos serão de 8 horas e poderão variar conforme a necessidade, de acordo com o anúncio da vaga na Agência Estadual de Força de Trabalho e em outras fontes de anúncios de vagas H-2B, c"&amp;"onforme os requisitos de recrutamento dos empregadores para trabalhadores em potencial no âmbito do programa H-2B. Turnos variáveis ​​ao longo de 7 dias da semana. Os turnos podem variar: das 6h às 23h. Classificação da vaga: 35-3031.00 - Garçons e Garçon"&amp;"etes. A classificação e descrição da vaga/setor inclui informações gerais sobre o cargo, provenientes do ONET/OES e do Sistema de Classificação Industrial da América do Norte. Consulte as Funções e a Ordem de Serviço para obter mais informações. Requisito"&amp;"s da vaga Experiência exigida: Não Requisitos especiais: O EMPREGADOR EXIGE QUE A VERIFICAÇÃO DE ANTECEDENTES CRIMINAIS E O TESTE DE DROGAS PRÉ-ADMISSÃO SEJAM REALIZADOS IGUALMENTE PARA TRABALHADORES AMERICANOS E TRABALHADORES COM VISTO H-2B. Capacidade d"&amp;"e se comunicar em inglês. Número de horas por semana: 40 Horário de trabalho (início/término): 6h às 23h")</f>
        <v>Receber e servir pedidos de comida e bebida; realizar a montagem e desmontagem de mesas e outras atividades diversas; poderá ser necessário trabalhar em ambientes externos e em eventos de banquetes; poderá ser necessário servir clientes utilizando carrinho de golfe. *Continuação da Seção F.a.5 abaixo: 40 horas semanais. Os turnos serão de 8 horas e poderão variar conforme a necessidade, de acordo com o anúncio da vaga na Agência Estadual de Força de Trabalho e em outras fontes de anúncios de vagas H-2B, conforme os requisitos de recrutamento dos empregadores para trabalhadores em potencial no âmbito do programa H-2B. Turnos variáveis ​​ao longo de 7 dias da semana. Os turnos podem variar: das 6h às 23h. Classificação da vaga: 35-3031.00 - Garçons e Garçonetes. A classificação e descrição da vaga/setor inclui informações gerais sobre o cargo, provenientes do ONET/OES e do Sistema de Classificação Industrial da América do Norte. Consulte as Funções e a Ordem de Serviço para obter mais informações. Requisitos da vaga Experiência exigida: Não Requisitos especiais: O EMPREGADOR EXIGE QUE A VERIFICAÇÃO DE ANTECEDENTES CRIMINAIS E O TESTE DE DROGAS PRÉ-ADMISSÃO SEJAM REALIZADOS IGUALMENTE PARA TRABALHADORES AMERICANOS E TRABALHADORES COM VISTO H-2B. Capacidade de se comunicar em inglês. Número de horas por semana: 40 Horário de trabalho (início/término): 6h às 23h</v>
      </c>
    </row>
    <row r="2392" ht="20.25" customHeight="1">
      <c r="A2392" s="3" t="s">
        <v>10480</v>
      </c>
      <c r="B2392" s="3" t="s">
        <v>10318</v>
      </c>
      <c r="C2392" s="3" t="s">
        <v>10319</v>
      </c>
      <c r="D2392" s="3" t="s">
        <v>532</v>
      </c>
      <c r="E2392" s="4" t="s">
        <v>19</v>
      </c>
      <c r="F2392" s="4" t="s">
        <v>20</v>
      </c>
      <c r="G2392" s="4" t="s">
        <v>345</v>
      </c>
      <c r="H2392" s="3" t="s">
        <v>10320</v>
      </c>
      <c r="I2392" s="3" t="s">
        <v>10321</v>
      </c>
      <c r="J2392" s="4">
        <v>37.62</v>
      </c>
      <c r="K2392" s="4">
        <v>5.0</v>
      </c>
      <c r="L2392" s="3" t="s">
        <v>10481</v>
      </c>
      <c r="M2392" s="3" t="s">
        <v>10482</v>
      </c>
      <c r="N2392" s="7" t="str">
        <f>IFERROR(__xludf.DUMMYFUNCTION("GOOGLETRANSLATE(L2392, ""en"", ""pt"")"),"Escalador")</f>
        <v>Escalador</v>
      </c>
      <c r="O2392" s="7" t="str">
        <f>IFERROR(__xludf.DUMMYFUNCTION("IF(M2392="""","""",GOOGLETRANSLATE(M2392,""en"",""pt""))"),"Cinco (5) vagas temporárias em tempo integral para Escalador de Árvores estão disponíveis para início em 1º de outubro de 2026 e término em 30 de abril de 2027, com turno diurno de quarenta horas semanais (segunda a sexta, das 8h às 16h), com salário de U"&amp;"S$ 37,62 ou mais por hora, e possibilidade de horas extras com pagamento de US$ 56,43 ou mais por hora. Os Escaladores de Árvores da Bartlett atuam como membros de nossa equipe de cuidados com árvores. Eles realizam escaladas e amarrações básicas em árvor"&amp;"es, podas e cortes, além de abaixamento de galhos e ramos. Os Escaladores utilizam ganchos e cintos de escalada para acessar as áreas de trabalho. Utilizam serras elétricas e tesouras de poda para cortar galhos mortos ou em excesso de árvores ou arbustos,"&amp;" visando melhorar a saúde e a produtividade. Os Escaladores também auxiliam na inspeção de árvores em busca de riscos potenciais e participam de um treinamento diário de segurança. Para esta vaga, é necessário ter concluído o ensino médio e possuir seis m"&amp;"eses de experiência na área. Os Escaladores atuam como membros de nossa equipe de cuidados com árvores. Um mês de treinamento remunerado em serviço capacitará todos os contratados para que possam identificar espécies de árvores e riscos à segurança, além "&amp;"de utilizar serras e outras ferramentas para remoção de galhos e detritos com segurança. Os escaladores trabalharão nos seguintes tipos de propriedades: residenciais, comerciais e municipais, incluindo gramados, campi universitários e prefeituras, nos con"&amp;"dados listados. Classificação da vaga: 37-3013.00 - Podadores e aparadores de árvores. A classificação e descrição da vaga/setor inclui informações gerais sobre o cargo, de acordo com o ONET/OES e o Sistema de Classificação Industrial da América do Norte."&amp;" Consulte as Funções e a Ordem de Serviço para obter mais informações. Requisitos da vaga: Experiência exigida: Sim. Meses de experiência exigidos: 6. Requisitos especiais: 6 meses de experiência profissional anterior na área; um mês de treinamento remune"&amp;"rado em serviço para identificação de espécies de árvores, riscos à segurança e uso seguro de ferramentas. Número de horas por semana: 40 Horário de trabalho (início/término): 8h00 - 16h00")</f>
        <v>Cinco (5) vagas temporárias em tempo integral para Escalador de Árvores estão disponíveis para início em 1º de outubro de 2026 e término em 30 de abril de 2027, com turno diurno de quarenta horas semanais (segunda a sexta, das 8h às 16h), com salário de US$ 37,62 ou mais por hora, e possibilidade de horas extras com pagamento de US$ 56,43 ou mais por hora. Os Escaladores de Árvores da Bartlett atuam como membros de nossa equipe de cuidados com árvores. Eles realizam escaladas e amarrações básicas em árvores, podas e cortes, além de abaixamento de galhos e ramos. Os Escaladores utilizam ganchos e cintos de escalada para acessar as áreas de trabalho. Utilizam serras elétricas e tesouras de poda para cortar galhos mortos ou em excesso de árvores ou arbustos, visando melhorar a saúde e a produtividade. Os Escaladores também auxiliam na inspeção de árvores em busca de riscos potenciais e participam de um treinamento diário de segurança. Para esta vaga, é necessário ter concluído o ensino médio e possuir seis meses de experiência na área. Os Escaladores atuam como membros de nossa equipe de cuidados com árvores. Um mês de treinamento remunerado em serviço capacitará todos os contratados para que possam identificar espécies de árvores e riscos à segurança, além de utilizar serras e outras ferramentas para remoção de galhos e detritos com segurança. Os escaladores trabalharão nos seguintes tipos de propriedades: residenciais, comerciais e municipais, incluindo gramados, campi universitários e prefeituras, nos condados listados. Classificação da vaga: 37-3013.00 - Podadores e aparadores de árvores. A classificação e descrição da vaga/setor inclui informações gerais sobre o cargo, de acordo com o ONET/OES e o Sistema de Classificação Industrial da América do Norte. Consulte as Funções e a Ordem de Serviço para obter mais informações. Requisitos da vaga: Experiência exigida: Sim. Meses de experiência exigidos: 6. Requisitos especiais: 6 meses de experiência profissional anterior na área; um mês de treinamento remunerado em serviço para identificação de espécies de árvores, riscos à segurança e uso seguro de ferramentas. Número de horas por semana: 40 Horário de trabalho (início/término): 8h00 - 16h00</v>
      </c>
    </row>
    <row r="2393" ht="20.25" customHeight="1">
      <c r="A2393" s="8" t="s">
        <v>10483</v>
      </c>
      <c r="B2393" s="8" t="s">
        <v>10318</v>
      </c>
      <c r="C2393" s="8" t="s">
        <v>10319</v>
      </c>
      <c r="D2393" s="8" t="s">
        <v>532</v>
      </c>
      <c r="E2393" s="9" t="s">
        <v>19</v>
      </c>
      <c r="F2393" s="9" t="s">
        <v>20</v>
      </c>
      <c r="G2393" s="9" t="s">
        <v>345</v>
      </c>
      <c r="H2393" s="8" t="s">
        <v>10324</v>
      </c>
      <c r="I2393" s="8" t="s">
        <v>10325</v>
      </c>
      <c r="J2393" s="9">
        <v>30.35</v>
      </c>
      <c r="K2393" s="9">
        <v>5.0</v>
      </c>
      <c r="L2393" s="8" t="s">
        <v>10481</v>
      </c>
      <c r="M2393" s="8" t="s">
        <v>10484</v>
      </c>
      <c r="N2393" s="7" t="str">
        <f>IFERROR(__xludf.DUMMYFUNCTION("GOOGLETRANSLATE(L2393, ""en"", ""pt"")"),"Escalador")</f>
        <v>Escalador</v>
      </c>
      <c r="O2393" s="7" t="str">
        <f>IFERROR(__xludf.DUMMYFUNCTION("IF(M2393="""","""",GOOGLETRANSLATE(M2393,""en"",""pt""))"),"Estão disponíveis 5 vagas temporárias em tempo integral para Escalador de Árvores, com início em 1º de outubro de 2026 e término em 30 de abril de 2027. O turno é diurno, com 40 horas semanais, de segunda a sexta-feira, das 8h às 16h, com salário de US$ 3"&amp;"0,35 ou mais por hora, e possibilidade de horas extras com pagamento de US$ 45,53 ou mais por hora. Os Escaladores de Árvores da Bartlett integram nossa equipe de cuidados com árvores. Suas funções incluem escalada e içamento de cargas, poda, corte e abai"&amp;"xamento de galhos e ramos. Os Escaladores utilizam ganchos e cintos de escalada para acessar as áreas de trabalho. Eles também utilizam motosserras e tesouras de poda para cortar galhos mortos ou em excesso de árvores ou arbustos, visando melhorar a saúde"&amp;" e a produtividade. Os Escaladores auxiliam na inspeção das árvores para identificar possíveis riscos e participam de um treinamento diário de segurança. Para esta vaga, é necessário ter concluído o ensino médio e possuir seis meses de experiência comprov"&amp;"ada em trabalhos de campo e/ou familiaridade com espécies de árvores. Um mês de treinamento remunerado em serviço capacita os novos contratados para que possam identificar espécies de árvores e riscos de escalada, além de utilizar com segurança tesouras d"&amp;"e poda, serras e outras ferramentas manuais e elétricas para remoção de galhos e detritos. Os escaladores trabalharão nos seguintes tipos de propriedade: residencial, comercial e municipal, incluindo gramados, campi universitários e prefeituras, nos conda"&amp;"dos listados. Classificação da vaga: 37-3013.00 - Podadores e aparadores de árvores. A classificação e descrição da vaga/setor inclui informações gerais sobre o cargo, de acordo com o ONET/OES e o Sistema de Classificação Industrial da América do Norte (N"&amp;"AICS). Consulte as Funções e a Ordem de Serviço para obter mais informações. Requisitos da vaga: Experiência exigida: Sim. Meses de experiência exigidos: 6. Requisitos especiais: 1 mês de treinamento remunerado em serviço em espécies de árvores e seguranç"&amp;"a no uso de ferramentas; e seis meses de experiência prévia em trabalho de campo e/ou familiaridade com espécies de árvores. Número de horas por semana: 40 Horário de trabalho (início/término): 8h00 - 16h00")</f>
        <v>Estão disponíveis 5 vagas temporárias em tempo integral para Escalador de Árvores, com início em 1º de outubro de 2026 e término em 30 de abril de 2027. O turno é diurno, com 40 horas semanais, de segunda a sexta-feira, das 8h às 16h, com salário de US$ 30,35 ou mais por hora, e possibilidade de horas extras com pagamento de US$ 45,53 ou mais por hora. Os Escaladores de Árvores da Bartlett integram nossa equipe de cuidados com árvores. Suas funções incluem escalada e içamento de cargas, poda, corte e abaixamento de galhos e ramos. Os Escaladores utilizam ganchos e cintos de escalada para acessar as áreas de trabalho. Eles também utilizam motosserras e tesouras de poda para cortar galhos mortos ou em excesso de árvores ou arbustos, visando melhorar a saúde e a produtividade. Os Escaladores auxiliam na inspeção das árvores para identificar possíveis riscos e participam de um treinamento diário de segurança. Para esta vaga, é necessário ter concluído o ensino médio e possuir seis meses de experiência comprovada em trabalhos de campo e/ou familiaridade com espécies de árvores. Um mês de treinamento remunerado em serviço capacita os novos contratados para que possam identificar espécies de árvores e riscos de escalada, além de utilizar com segurança tesouras de poda, serras e outras ferramentas manuais e elétricas para remoção de galhos e detritos. Os escaladores trabalharão nos seguintes tipos de propriedade: residencial, comercial e municipal, incluindo gramados, campi universitários e prefeituras, nos condados listados. Classificação da vaga: 37-3013.00 - Podadores e aparadores de árvores. A classificação e descrição da vaga/setor inclui informações gerais sobre o cargo, de acordo com o ONET/OES e o Sistema de Classificação Industrial da América do Norte (NAICS). Consulte as Funções e a Ordem de Serviço para obter mais informações. Requisitos da vaga: Experiência exigida: Sim. Meses de experiência exigidos: 6. Requisitos especiais: 1 mês de treinamento remunerado em serviço em espécies de árvores e segurança no uso de ferramentas; e seis meses de experiência prévia em trabalho de campo e/ou familiaridade com espécies de árvores. Número de horas por semana: 40 Horário de trabalho (início/término): 8h00 - 16h00</v>
      </c>
    </row>
    <row r="2394" ht="20.25" customHeight="1">
      <c r="A2394" s="3" t="s">
        <v>10485</v>
      </c>
      <c r="B2394" s="3" t="s">
        <v>10486</v>
      </c>
      <c r="C2394" s="3" t="s">
        <v>8981</v>
      </c>
      <c r="D2394" s="3" t="s">
        <v>71</v>
      </c>
      <c r="E2394" s="4" t="s">
        <v>44</v>
      </c>
      <c r="F2394" s="4" t="s">
        <v>20</v>
      </c>
      <c r="G2394" s="4" t="s">
        <v>524</v>
      </c>
      <c r="H2394" s="3" t="s">
        <v>10487</v>
      </c>
      <c r="I2394" s="3" t="s">
        <v>10488</v>
      </c>
      <c r="J2394" s="4">
        <v>19.0</v>
      </c>
      <c r="K2394" s="4">
        <v>6.0</v>
      </c>
      <c r="L2394" s="3" t="s">
        <v>1206</v>
      </c>
      <c r="M2394" s="3" t="s">
        <v>9280</v>
      </c>
      <c r="N2394" s="7" t="str">
        <f>IFERROR(__xludf.DUMMYFUNCTION("GOOGLETRANSLATE(L2394, ""en"", ""pt"")"),"Servidor")</f>
        <v>Servidor</v>
      </c>
      <c r="O2394" s="7" t="str">
        <f>IFERROR(__xludf.DUMMYFUNCTION("IF(M2394="""","""",GOOGLETRANSLATE(M2394,""en"",""pt""))"),"Receber e servir pedidos de comida e bebida; realizar a montagem e desmontagem de mesas e outras atividades diversas; pode ser necessário trabalhar em ambientes externos e em eventos de banquetes; pode ser necessário servir clientes utilizando carrinhos d"&amp;"e golfe. *Continuação da Seção F.a.5 abaixo: 40 horas semanais. Os turnos serão de 8 horas e podem variar conforme a necessidade, de acordo com o anúncio da vaga na Agência Estadual de Força de Trabalho e em outras fontes de anúncios de vagas H-2B, confor"&amp;"me os requisitos de recrutamento dos empregadores para trabalhadores em potencial no âmbito do programa H-2B. Turnos variáveis ​​ao longo de 7 dias da semana. Os turnos podem variar: das 6h às 23h. Classificação da vaga: 35-3031.00 - Garçons e Garçonetes."&amp;" A classificação e descrição da vaga/setor inclui informações gerais sobre o cargo, de acordo com o ONET/OES e o Sistema de Classificação Industrial da América do Norte. Consulte as Funções e a Ordem de Serviço para obter mais informações. Requisitos da v"&amp;"aga: Experiência necessária: Não. Requisitos especiais: HABILIDADE DE SE COMUNICAR EM INGLÊS. Número de horas por semana: 40 Horário de trabalho (início/término): 6h00 - 23h00")</f>
        <v>Receber e servir pedidos de comida e bebida; realizar a montagem e desmontagem de mesas e outras atividades diversas; pode ser necessário trabalhar em ambientes externos e em eventos de banquetes; pode ser necessário servir clientes utilizando carrinhos de golfe. *Continuação da Seção F.a.5 abaixo: 40 horas semanais. Os turnos serão de 8 horas e podem variar conforme a necessidade, de acordo com o anúncio da vaga na Agência Estadual de Força de Trabalho e em outras fontes de anúncios de vagas H-2B, conforme os requisitos de recrutamento dos empregadores para trabalhadores em potencial no âmbito do programa H-2B. Turnos variáveis ​​ao longo de 7 dias da semana. Os turnos podem variar: das 6h às 23h. Classificação da vaga: 35-3031.00 - Garçons e Garçonetes. A classificação e descrição da vaga/setor inclui informações gerais sobre o cargo, de acordo com o ONET/OES e o Sistema de Classificação Industrial da América do Norte. Consulte as Funções e a Ordem de Serviço para obter mais informações. Requisitos da vaga: Experiência necessária: Não. Requisitos especiais: HABILIDADE DE SE COMUNICAR EM INGLÊS. Número de horas por semana: 40 Horário de trabalho (início/término): 6h00 - 23h00</v>
      </c>
    </row>
    <row r="2395" ht="20.25" customHeight="1">
      <c r="A2395" s="8" t="s">
        <v>10489</v>
      </c>
      <c r="B2395" s="8" t="s">
        <v>8056</v>
      </c>
      <c r="C2395" s="8" t="s">
        <v>8981</v>
      </c>
      <c r="D2395" s="8" t="s">
        <v>71</v>
      </c>
      <c r="E2395" s="9" t="s">
        <v>19</v>
      </c>
      <c r="F2395" s="9" t="s">
        <v>20</v>
      </c>
      <c r="G2395" s="9" t="s">
        <v>524</v>
      </c>
      <c r="H2395" s="8" t="s">
        <v>10490</v>
      </c>
      <c r="I2395" s="8" t="s">
        <v>10491</v>
      </c>
      <c r="J2395" s="9">
        <v>21.48</v>
      </c>
      <c r="K2395" s="9">
        <v>3.0</v>
      </c>
      <c r="L2395" s="8" t="s">
        <v>1684</v>
      </c>
      <c r="M2395" s="8" t="s">
        <v>9158</v>
      </c>
      <c r="N2395" s="7" t="str">
        <f>IFERROR(__xludf.DUMMYFUNCTION("GOOGLETRANSLATE(L2395, ""en"", ""pt"")"),"Barman")</f>
        <v>Barman</v>
      </c>
      <c r="O2395" s="7" t="str">
        <f>IFERROR(__xludf.DUMMYFUNCTION("IF(M2395="""","""",GOOGLETRANSLATE(M2395,""en"",""pt""))"),"Anotar pedidos de bebidas. Preparar e servir drinks. Limpar a área do bar. Poderá ser necessário anotar pedidos de comida e fazer recomendações sobre vinhos e outros produtos. Solicitar e exibir bebidas alcoólicas e suprimentos. Manter a área do bar limpa"&amp;" e trabalhar de acordo com as normas estaduais rigorosamente aplicadas. *Continuação da Seção F.a.5 abaixo: 40 horas semanais. Os turnos serão de 8 horas, podendo variar conforme a necessidade, de acordo com o anúncio da vaga na Agência Estadual de Força "&amp;"de Trabalho e em outras fontes de anúncios de vagas H-2B, conforme os requisitos de recrutamento dos empregadores para trabalhadores em potencial sob o programa H-2B. Turnos variáveis ​​ao longo de 7 dias da semana. Os turnos podem variar: das 6h às 23h. "&amp;"Classificação da vaga: 35-3011.00 - Bartenders. A classificação e descrição da vaga/setor incluem informações gerais sobre o cargo, de acordo com o ONET/OES e o Sistema de Classificação Industrial da América do Norte. Consulte as Funções e a Ordem de Serv"&amp;"iço para obter mais informações. Requisitos da vaga Experiência necessária: Não Requisitos especiais: O EMPREGADOR EXIGE QUE A VERIFICAÇÃO DE ANTECEDENTES CRIMINAIS PRÉ-ADMISSÃO E O TESTE DE DROGAS PÓS-ADMISSÃO SEJAM REALIZADOS IGUALMENTE PARA TRABALHADOR"&amp;"ES AMERICANOS E TRABALHADORES COM VISTO H-2B. HABILIDADE DE SE COMUNICAR EM INGLÊS. Número de horas por semana: 40 Horário de trabalho (início/término): 6h às 23h")</f>
        <v>Anotar pedidos de bebidas. Preparar e servir drinks. Limpar a área do bar. Poderá ser necessário anotar pedidos de comida e fazer recomendações sobre vinhos e outros produtos. Solicitar e exibir bebidas alcoólicas e suprimentos. Manter a área do bar limpa e trabalhar de acordo com as normas estaduais rigorosamente aplicadas. *Continuação da Seção F.a.5 abaixo: 40 horas semanais. Os turnos serão de 8 horas, podendo variar conforme a necessidade, de acordo com o anúncio da vaga na Agência Estadual de Força de Trabalho e em outras fontes de anúncios de vagas H-2B, conforme os requisitos de recrutamento dos empregadores para trabalhadores em potencial sob o programa H-2B. Turnos variáveis ​​ao longo de 7 dias da semana. Os turnos podem variar: das 6h às 23h. Classificação da vaga: 35-3011.00 - Bartenders. A classificação e descrição da vaga/setor incluem informações gerais sobre o cargo, de acordo com o ONET/OES e o Sistema de Classificação Industrial da América do Norte. Consulte as Funções e a Ordem de Serviço para obter mais informações. Requisitos da vaga Experiência necessária: Não Requisitos especiais: O EMPREGADOR EXIGE QUE A VERIFICAÇÃO DE ANTECEDENTES CRIMINAIS PRÉ-ADMISSÃO E O TESTE DE DROGAS PÓS-ADMISSÃO SEJAM REALIZADOS IGUALMENTE PARA TRABALHADORES AMERICANOS E TRABALHADORES COM VISTO H-2B. HABILIDADE DE SE COMUNICAR EM INGLÊS. Número de horas por semana: 40 Horário de trabalho (início/término): 6h às 23h</v>
      </c>
    </row>
    <row r="2396" ht="20.25" customHeight="1">
      <c r="A2396" s="3" t="s">
        <v>10492</v>
      </c>
      <c r="B2396" s="3" t="s">
        <v>8056</v>
      </c>
      <c r="C2396" s="3" t="s">
        <v>8981</v>
      </c>
      <c r="D2396" s="3" t="s">
        <v>71</v>
      </c>
      <c r="E2396" s="4" t="s">
        <v>19</v>
      </c>
      <c r="F2396" s="4" t="s">
        <v>20</v>
      </c>
      <c r="G2396" s="4" t="s">
        <v>524</v>
      </c>
      <c r="H2396" s="3" t="s">
        <v>10490</v>
      </c>
      <c r="I2396" s="3" t="s">
        <v>10491</v>
      </c>
      <c r="J2396" s="4">
        <v>19.88</v>
      </c>
      <c r="K2396" s="4">
        <v>6.0</v>
      </c>
      <c r="L2396" s="3" t="s">
        <v>586</v>
      </c>
      <c r="M2396" s="3" t="s">
        <v>9168</v>
      </c>
      <c r="N2396" s="7" t="str">
        <f>IFERROR(__xludf.DUMMYFUNCTION("GOOGLETRANSLATE(L2396, ""en"", ""pt"")"),"Cozinheiro de linha")</f>
        <v>Cozinheiro de linha</v>
      </c>
      <c r="O2396" s="7" t="str">
        <f>IFERROR(__xludf.DUMMYFUNCTION("IF(M2396="""","""",GOOGLETRANSLATE(M2396,""en"",""pt""))"),"Prepara, tempera e cozinha sopas, carnes, legumes, frutas, sobremesas e outros alimentos diversos para consumo; observa as diretrizes da receita e os procedimentos de higiene. *Continuação da Seção F.a.5 abaixo: 40 horas semanais. Os turnos serão de 8 hor"&amp;"as e podem variar conforme a necessidade, de acordo com o anúncio da vaga na Agência Estadual de Força de Trabalho e em outras fontes de anúncios de vagas H-2B, conforme os requisitos de recrutamento dos empregadores para trabalhadores em potencial no âmb"&amp;"ito do programa H-2B. Turnos variáveis ​​ao longo de 7 dias da semana. Os turnos podem variar: das 6h às 23h. Classificação da vaga: 35-2014.00 - Cozinheiros, Restaurante. A classificação e a descrição da vaga/setor incluem informações gerais sobre o carg"&amp;"o, provenientes do ONET/OES e do Sistema de Classificação Industrial da América do Norte. Consulte as Funções e a Ordem de Serviço para obter mais informações. Requisitos da vaga Experiência necessária: Não Requisitos especiais: O EMPREGADOR EXIGE QUE A V"&amp;"ERIFICAÇÃO DE ANTECEDENTES CRIMINAIS PRÉ-ADMISSÃO E O TESTE DE DROGAS PÓS-ADMISSÃO SEJAM REALIZADOS IGUALMENTE PARA TRABALHADORES AMERICANOS E TRABALHADORES COM VISTO H-2B. HABILIDADE DE SE COMUNICAR EM INGLÊS. Número de horas por semana: 40 Horário de tr"&amp;"abalho (início/término): 6h às 23h")</f>
        <v>Prepara, tempera e cozinha sopas, carnes, legumes, frutas, sobremesas e outros alimentos diversos para consumo; observa as diretrizes da receita e os procedimentos de higiene. *Continuação da Seção F.a.5 abaixo: 40 horas semanais. Os turnos serão de 8 horas e podem variar conforme a necessidade, de acordo com o anúncio da vaga na Agência Estadual de Força de Trabalho e em outras fontes de anúncios de vagas H-2B, conforme os requisitos de recrutamento dos empregadores para trabalhadores em potencial no âmbito do programa H-2B. Turnos variáveis ​​ao longo de 7 dias da semana. Os turnos podem variar: das 6h às 23h. Classificação da vaga: 35-2014.00 - Cozinheiros, Restaurante. A classificação e a descrição da vaga/setor incluem informações gerais sobre o cargo, provenientes do ONET/OES e do Sistema de Classificação Industrial da América do Norte. Consulte as Funções e a Ordem de Serviço para obter mais informações. Requisitos da vaga Experiência necessária: Não Requisitos especiais: O EMPREGADOR EXIGE QUE A VERIFICAÇÃO DE ANTECEDENTES CRIMINAIS PRÉ-ADMISSÃO E O TESTE DE DROGAS PÓS-ADMISSÃO SEJAM REALIZADOS IGUALMENTE PARA TRABALHADORES AMERICANOS E TRABALHADORES COM VISTO H-2B. HABILIDADE DE SE COMUNICAR EM INGLÊS. Número de horas por semana: 40 Horário de trabalho (início/término): 6h às 23h</v>
      </c>
    </row>
    <row r="2397" ht="20.25" customHeight="1">
      <c r="A2397" s="8" t="s">
        <v>10493</v>
      </c>
      <c r="B2397" s="8" t="s">
        <v>8056</v>
      </c>
      <c r="C2397" s="8" t="s">
        <v>8981</v>
      </c>
      <c r="D2397" s="8" t="s">
        <v>71</v>
      </c>
      <c r="E2397" s="9" t="s">
        <v>19</v>
      </c>
      <c r="F2397" s="9" t="s">
        <v>20</v>
      </c>
      <c r="G2397" s="9" t="s">
        <v>524</v>
      </c>
      <c r="H2397" s="8" t="s">
        <v>10490</v>
      </c>
      <c r="I2397" s="8" t="s">
        <v>10491</v>
      </c>
      <c r="J2397" s="9">
        <v>15.12</v>
      </c>
      <c r="K2397" s="9">
        <v>1.0</v>
      </c>
      <c r="L2397" s="8" t="s">
        <v>3312</v>
      </c>
      <c r="M2397" s="8" t="s">
        <v>10494</v>
      </c>
      <c r="N2397" s="7" t="str">
        <f>IFERROR(__xludf.DUMMYFUNCTION("GOOGLETRANSLATE(L2397, ""en"", ""pt"")"),"Anfitrião/anfitriã")</f>
        <v>Anfitrião/anfitriã</v>
      </c>
      <c r="O2397" s="7" t="str">
        <f>IFERROR(__xludf.DUMMYFUNCTION("IF(M2397="""","""",GOOGLETRANSLATE(M2397,""en"",""pt""))"),"Recepciona, acompanha e entrega os cardápios aos clientes; auxilia em tarefas diversas de limpeza/polimento, etc., conforme necessário. As tarefas de limpeza/polimento e a(s) área(s) onde a limpeza é realizada são um requisito diário de serviço para recep"&amp;"cionistas, ocorrendo na entrada do restaurante e consistindo especificamente em manter a limpeza e a aparência impecável da entrada, com foco no balcão de recepção e nas áreas de mesas dos clientes. As principais responsabilidades incluem higienizar cardá"&amp;"pios, limpar superfícies de alto contato, limpar o balcão de recepção e polir maçanetas, para garantir uma primeira impressão positiva. *Continuação da Seção F.a.5 abaixo: 40 horas semanais. Os turnos serão de 8 horas e podem variar conforme a necessidade"&amp;", de acordo com o anúncio de vaga da Agência Estadual de Força de Trabalho e outras fontes de anúncios de emprego H-2B, conforme os requisitos de recrutamento dos empregadores para trabalhadores em potencial sob o programa H-2B. Turnos variáveis ​​ao long"&amp;"o de 7 dias da semana. Os turnos podem variar: das 6h às 23h. Classificação da vaga: 35-9031.00 - Recepcionistas, Restaurante, Bar e Cafeteria. A classificação e descrição da vaga/setor inclui informações gerais sobre a posição, conforme o ONET/OES e o Si"&amp;"stema de Classificação Industrial da América do Norte (NAICS). Consulte as Funções e a Ordem de Serviço para obter mais informações. Requisitos da vaga: Experiência exigida: Não. Requisitos especiais: O EMPREGADOR EXIGE A VERIFICAÇÃO DE ANTECEDENTES CRIMI"&amp;"NAIS PRÉ-ADMISSÃO E O TESTE DE DROGAS PÓS-ADMISSÃO, PARA QUE SEJAM REALIZADOS IGUALMENTE PARA TRABALHADORES AMERICANOS E TRABALHADORES COM VISTO H-2B. HABILIDADE DE SE COMUNICAR EM INGLÊS. Número de horas por semana: 40. Horário de trabalho (início/términ"&amp;"o): 6h às 23h.")</f>
        <v>Recepciona, acompanha e entrega os cardápios aos clientes; auxilia em tarefas diversas de limpeza/polimento, etc., conforme necessário. As tarefas de limpeza/polimento e a(s) área(s) onde a limpeza é realizada são um requisito diário de serviço para recepcionistas, ocorrendo na entrada do restaurante e consistindo especificamente em manter a limpeza e a aparência impecável da entrada, com foco no balcão de recepção e nas áreas de mesas dos clientes. As principais responsabilidades incluem higienizar cardápios, limpar superfícies de alto contato, limpar o balcão de recepção e polir maçanetas, para garantir uma primeira impressão positiva. *Continuação da Seção F.a.5 abaixo: 40 horas semanais. Os turnos serão de 8 horas e podem variar conforme a necessidade, de acordo com o anúncio de vaga da Agência Estadual de Força de Trabalho e outras fontes de anúncios de emprego H-2B, conforme os requisitos de recrutamento dos empregadores para trabalhadores em potencial sob o programa H-2B. Turnos variáveis ​​ao longo de 7 dias da semana. Os turnos podem variar: das 6h às 23h. Classificação da vaga: 35-9031.00 - Recepcionistas, Restaurante, Bar e Cafeteria. A classificação e descrição da vaga/setor inclui informações gerais sobre a posição, conforme o ONET/OES e o Sistema de Classificação Industrial da América do Norte (NAICS). Consulte as Funções e a Ordem de Serviço para obter mais informações. Requisitos da vaga: Experiência exigida: Não. Requisitos especiais: O EMPREGADOR EXIGE A VERIFICAÇÃO DE ANTECEDENTES CRIMINAIS PRÉ-ADMISSÃO E O TESTE DE DROGAS PÓS-ADMISSÃO, PARA QUE SEJAM REALIZADOS IGUALMENTE PARA TRABALHADORES AMERICANOS E TRABALHADORES COM VISTO H-2B. HABILIDADE DE SE COMUNICAR EM INGLÊS. Número de horas por semana: 40. Horário de trabalho (início/término): 6h às 23h.</v>
      </c>
    </row>
    <row r="2398" ht="20.25" customHeight="1">
      <c r="A2398" s="3" t="s">
        <v>10495</v>
      </c>
      <c r="B2398" s="3" t="s">
        <v>8056</v>
      </c>
      <c r="C2398" s="3" t="s">
        <v>8981</v>
      </c>
      <c r="D2398" s="3" t="s">
        <v>71</v>
      </c>
      <c r="E2398" s="4" t="s">
        <v>19</v>
      </c>
      <c r="F2398" s="4" t="s">
        <v>20</v>
      </c>
      <c r="G2398" s="4" t="s">
        <v>524</v>
      </c>
      <c r="H2398" s="3" t="s">
        <v>10490</v>
      </c>
      <c r="I2398" s="3" t="s">
        <v>10491</v>
      </c>
      <c r="J2398" s="4">
        <v>16.35</v>
      </c>
      <c r="K2398" s="4">
        <v>3.0</v>
      </c>
      <c r="L2398" s="3" t="s">
        <v>5135</v>
      </c>
      <c r="M2398" s="3" t="s">
        <v>9164</v>
      </c>
      <c r="N2398" s="7" t="str">
        <f>IFERROR(__xludf.DUMMYFUNCTION("GOOGLETRANSLATE(L2398, ""en"", ""pt"")"),"Assistente de Garçom")</f>
        <v>Assistente de Garçom</v>
      </c>
      <c r="O2398" s="7" t="str">
        <f>IFERROR(__xludf.DUMMYFUNCTION("IF(M2398="""","""",GOOGLETRANSLATE(M2398,""en"",""pt""))"),"Auxiliar os garçons levando bebidas às mesas, reabastecendo os copos, recolhendo talheres/louças usados; limpar as áreas de serviço e os equipamentos; abastecer todos os utensílios e equipamentos necessários para o serviço. *Continuação da Seção F.a.5 aba"&amp;"ixo: 40 horas semanais. Os turnos serão de 8 horas e podem variar conforme a necessidade, de acordo com o anúncio da vaga na Agência Estadual de Força de Trabalho e em outras fontes de anúncios de vagas H-2B, conforme os requisitos de recrutamento dos emp"&amp;"regadores para trabalhadores em potencial no âmbito do programa H-2B. Turnos variáveis ​​ao longo de 7 dias da semana. Os turnos podem variar: das 6h às 23h. Classificação do Cargo: 35-9011.00 - Atendentes de Salão de Jantar e Cafeteria e Auxiliares de Ba"&amp;"rman. A classificação e descrição do cargo/setor incluem informações gerais sobre a posição, de acordo com o ONET/OES e o Sistema de Classificação Industrial da América do Norte. Consulte as Funções e a Ordem de Serviço para obter mais informações. Requis"&amp;"itos da vaga Experiência necessária: Não Requisitos especiais: O EMPREGADOR EXIGE QUE A VERIFICAÇÃO DE ANTECEDENTES CRIMINAIS PRÉ-ADMISSÃO E O TESTE DE DROGAS PÓS-ADMISSÃO SEJAM REALIZADOS IGUALMENTE PARA TRABALHADORES AMERICANOS E TRABALHADORES COM VISTO"&amp;" H-2B. HABILIDADE DE SE COMUNICAR EM INGLÊS. Número de horas por semana: 40 Horário de trabalho (início/término): 6h às 23h")</f>
        <v>Auxiliar os garçons levando bebidas às mesas, reabastecendo os copos, recolhendo talheres/louças usados; limpar as áreas de serviço e os equipamentos; abastecer todos os utensílios e equipamentos necessários para o serviço. *Continuação da Seção F.a.5 abaixo: 40 horas semanais. Os turnos serão de 8 horas e podem variar conforme a necessidade, de acordo com o anúncio da vaga na Agência Estadual de Força de Trabalho e em outras fontes de anúncios de vagas H-2B, conforme os requisitos de recrutamento dos empregadores para trabalhadores em potencial no âmbito do programa H-2B. Turnos variáveis ​​ao longo de 7 dias da semana. Os turnos podem variar: das 6h às 23h. Classificação do Cargo: 35-9011.00 - Atendentes de Salão de Jantar e Cafeteria e Auxiliares de Barman. A classificação e descrição do cargo/setor incluem informações gerais sobre a posição, de acordo com o ONET/OES e o Sistema de Classificação Industrial da América do Norte. Consulte as Funções e a Ordem de Serviço para obter mais informações. Requisitos da vaga Experiência necessária: Não Requisitos especiais: O EMPREGADOR EXIGE QUE A VERIFICAÇÃO DE ANTECEDENTES CRIMINAIS PRÉ-ADMISSÃO E O TESTE DE DROGAS PÓS-ADMISSÃO SEJAM REALIZADOS IGUALMENTE PARA TRABALHADORES AMERICANOS E TRABALHADORES COM VISTO H-2B. HABILIDADE DE SE COMUNICAR EM INGLÊS. Número de horas por semana: 40 Horário de trabalho (início/término): 6h às 23h</v>
      </c>
    </row>
    <row r="2399" ht="20.25" customHeight="1">
      <c r="A2399" s="8" t="s">
        <v>10496</v>
      </c>
      <c r="B2399" s="8" t="s">
        <v>8056</v>
      </c>
      <c r="C2399" s="8" t="s">
        <v>8981</v>
      </c>
      <c r="D2399" s="8" t="s">
        <v>71</v>
      </c>
      <c r="E2399" s="9" t="s">
        <v>44</v>
      </c>
      <c r="F2399" s="9" t="s">
        <v>20</v>
      </c>
      <c r="G2399" s="9" t="s">
        <v>524</v>
      </c>
      <c r="H2399" s="8" t="s">
        <v>10490</v>
      </c>
      <c r="I2399" s="8" t="s">
        <v>10491</v>
      </c>
      <c r="J2399" s="9">
        <v>20.13</v>
      </c>
      <c r="K2399" s="9">
        <v>5.0</v>
      </c>
      <c r="L2399" s="8" t="s">
        <v>1206</v>
      </c>
      <c r="M2399" s="8" t="s">
        <v>9162</v>
      </c>
      <c r="N2399" s="7" t="str">
        <f>IFERROR(__xludf.DUMMYFUNCTION("GOOGLETRANSLATE(L2399, ""en"", ""pt"")"),"Servidor")</f>
        <v>Servidor</v>
      </c>
      <c r="O2399" s="7" t="str">
        <f>IFERROR(__xludf.DUMMYFUNCTION("IF(M2399="""","""",GOOGLETRANSLATE(M2399,""en"",""pt""))"),"Receber e servir pedidos de comida e bebida; realizar a montagem e desmontagem de mesas e outras atividades diversas; poderá ser necessário trabalhar em ambientes externos e em eventos de banquetes; poderá ser necessário servir clientes utilizando carrinh"&amp;"o de golfe. *Continuação da Seção F.a.5 abaixo: 40 horas semanais. Os turnos serão de 8 horas e poderão variar conforme a necessidade, de acordo com o anúncio da vaga na Agência Estadual de Força de Trabalho e em outras fontes de anúncios de vagas H-2B, c"&amp;"onforme os requisitos de recrutamento dos empregadores para trabalhadores em potencial no âmbito do programa H-2B. Turnos variáveis ​​ao longo de 7 dias da semana. Os turnos podem variar: das 6h às 23h. Classificação da vaga: 35-3031.00 - Garçons e Garçon"&amp;"etes. A classificação e descrição da vaga/setor inclui informações gerais sobre o cargo, provenientes do ONET/OES e do Sistema de Classificação Industrial da América do Norte. Consulte as Funções e a Ordem de Serviço para obter mais informações. Requisito"&amp;"s da vaga Experiência necessária: Não Requisitos especiais: O EMPREGADOR EXIGE QUE A VERIFICAÇÃO DE ANTECEDENTES CRIMINAIS PRÉ-ADMISSÃO E O TESTE DE DROGAS PÓS-ADMISSÃO SEJAM REALIZADOS IGUALMENTE PARA TRABALHADORES AMERICANOS E TRABALHADORES COM VISTO H-"&amp;"2B. HABILIDADE DE SE COMUNICAR EM INGLÊS. Número de horas por semana: 40 Horário de trabalho (início/término): 6h às 23h")</f>
        <v>Receber e servir pedidos de comida e bebida; realizar a montagem e desmontagem de mesas e outras atividades diversas; poderá ser necessário trabalhar em ambientes externos e em eventos de banquetes; poderá ser necessário servir clientes utilizando carrinho de golfe. *Continuação da Seção F.a.5 abaixo: 40 horas semanais. Os turnos serão de 8 horas e poderão variar conforme a necessidade, de acordo com o anúncio da vaga na Agência Estadual de Força de Trabalho e em outras fontes de anúncios de vagas H-2B, conforme os requisitos de recrutamento dos empregadores para trabalhadores em potencial no âmbito do programa H-2B. Turnos variáveis ​​ao longo de 7 dias da semana. Os turnos podem variar: das 6h às 23h. Classificação da vaga: 35-3031.00 - Garçons e Garçonetes. A classificação e descrição da vaga/setor inclui informações gerais sobre o cargo, provenientes do ONET/OES e do Sistema de Classificação Industrial da América do Norte. Consulte as Funções e a Ordem de Serviço para obter mais informações. Requisitos da vaga Experiência necessária: Não Requisitos especiais: O EMPREGADOR EXIGE QUE A VERIFICAÇÃO DE ANTECEDENTES CRIMINAIS PRÉ-ADMISSÃO E O TESTE DE DROGAS PÓS-ADMISSÃO SEJAM REALIZADOS IGUALMENTE PARA TRABALHADORES AMERICANOS E TRABALHADORES COM VISTO H-2B. HABILIDADE DE SE COMUNICAR EM INGLÊS. Número de horas por semana: 40 Horário de trabalho (início/término): 6h às 23h</v>
      </c>
    </row>
    <row r="2400" ht="20.25" customHeight="1">
      <c r="A2400" s="3" t="s">
        <v>10497</v>
      </c>
      <c r="B2400" s="3" t="s">
        <v>10498</v>
      </c>
      <c r="C2400" s="3" t="s">
        <v>9739</v>
      </c>
      <c r="D2400" s="3" t="s">
        <v>71</v>
      </c>
      <c r="E2400" s="4" t="s">
        <v>19</v>
      </c>
      <c r="F2400" s="4" t="s">
        <v>20</v>
      </c>
      <c r="G2400" s="4" t="s">
        <v>1204</v>
      </c>
      <c r="H2400" s="3" t="s">
        <v>10499</v>
      </c>
      <c r="I2400" s="3" t="s">
        <v>10500</v>
      </c>
      <c r="J2400" s="4">
        <v>22.0</v>
      </c>
      <c r="K2400" s="4">
        <v>2.0</v>
      </c>
      <c r="L2400" s="3" t="s">
        <v>10501</v>
      </c>
      <c r="M2400" s="3" t="s">
        <v>10502</v>
      </c>
      <c r="N2400" s="7" t="str">
        <f>IFERROR(__xludf.DUMMYFUNCTION("GOOGLETRANSLATE(L2400, ""en"", ""pt"")"),"Guarda-caça")</f>
        <v>Guarda-caça</v>
      </c>
      <c r="O2400" s="7" t="str">
        <f>IFERROR(__xludf.DUMMYFUNCTION("IF(M2400="""","""",GOOGLETRANSLATE(M2400,""en"",""pt""))"),"Responsabilidades: Responsável por desenvolver o estilo europeu de caça à perdiz em Amistad Ranch. Isso inclui trabalhar com o gerente do rancho no planejamento estratégico e posicionamento de coberturas para caça, cercas vivas e plataformas de tiro. Gara"&amp;"ntir que um regime adequado de alimentação e hidratação seja seguido após a soltura das aves. Garantir que os currais de soltura sejam de alto padrão, à prova de predadores e bem conservados. Auxiliar o chefe de guarda-caça no cuidado, segurança e bem-est"&amp;"ar dos animais e aves de caça, garantindo que a saúde e a segurança sejam mantidas em todos os momentos. Criar faisões e perdizes para a temporada de caça. Alimentar. Controlar predadores. Garantir o bem-estar e a segurança dos animais. Supervisionar diar"&amp;"iamente o rebanho. Preparar ração e água para o rebanho. Carregar e descarregar recursos físicos dentro da área de trabalho. Monitorar e manter a saúde e a segurança em todos os momentos. Manter os equipamentos. Cuidados gerais com os animais. Realizar as"&amp;" atividades de encerramento da temporada, incluindo manutenção, reparo e armazenamento de equipamentos ao final da temporada. Requisitos: Mínimo de 12 meses de experiência como guarda-caça no estilo europeu tradicional. Verificações de antecedentes e exam"&amp;"es toxicológicos pré-admissionais são realizados igualmente para trabalhadores americanos e trabalhadores com visto H-2B. É necessário ter disponibilidade para trabalhar no mínimo 6 dias por semana, dependendo da escala. Salário: US$ 22,00 a US$ 25,00 por"&amp;" hora. Horas extras podem ser feitas conforme a necessidade da empresa, com pagamento de US$ 33,00 a US$ 37,50 por hora. Gorjetas são pagas a critério do funcionário. Bônus de desempenho da empresa de até 15% do salário. Turnos: Durante este período, a fa"&amp;"zenda opera 7 dias por semana, das 7h às 18h30; os turnos variam de acordo com a necessidade, com um mínimo de 40 horas semanais. Classificação da vaga: 45-2093.00 - Trabalhadores rurais, animais de fazenda, rancho e aquicultura. A classificação e descriç"&amp;"ão da vaga/setor incluem informações gerais sobre o cargo, de acordo com o ONET/OES e o Sistema de Classificação Industrial da América do Norte (NAICS). Consulte as atribuições e a ordem de serviço para obter mais informações. Requisitos da vaga Experiênc"&amp;"ia necessária: Sim Meses de experiência necessários: 12 Requisitos especiais: Mínimo de 12 meses de experiência como Guarda-caça no estilo tradicional europeu. Verificações de antecedentes e exames toxicológicos pré-admissionais serão realizados igualment"&amp;"e para candidatos americanos e trabalhadores com visto H2B. Disponibilidade para trabalhar no mínimo 6 dias por semana, dependendo da escala. Número de horas por semana: 40 Horário de trabalho (início/término): 7h às 18h30")</f>
        <v>Responsabilidades: Responsável por desenvolver o estilo europeu de caça à perdiz em Amistad Ranch. Isso inclui trabalhar com o gerente do rancho no planejamento estratégico e posicionamento de coberturas para caça, cercas vivas e plataformas de tiro. Garantir que um regime adequado de alimentação e hidratação seja seguido após a soltura das aves. Garantir que os currais de soltura sejam de alto padrão, à prova de predadores e bem conservados. Auxiliar o chefe de guarda-caça no cuidado, segurança e bem-estar dos animais e aves de caça, garantindo que a saúde e a segurança sejam mantidas em todos os momentos. Criar faisões e perdizes para a temporada de caça. Alimentar. Controlar predadores. Garantir o bem-estar e a segurança dos animais. Supervisionar diariamente o rebanho. Preparar ração e água para o rebanho. Carregar e descarregar recursos físicos dentro da área de trabalho. Monitorar e manter a saúde e a segurança em todos os momentos. Manter os equipamentos. Cuidados gerais com os animais. Realizar as atividades de encerramento da temporada, incluindo manutenção, reparo e armazenamento de equipamentos ao final da temporada. Requisitos: Mínimo de 12 meses de experiência como guarda-caça no estilo europeu tradicional. Verificações de antecedentes e exames toxicológicos pré-admissionais são realizados igualmente para trabalhadores americanos e trabalhadores com visto H-2B. É necessário ter disponibilidade para trabalhar no mínimo 6 dias por semana, dependendo da escala. Salário: US$ 22,00 a US$ 25,00 por hora. Horas extras podem ser feitas conforme a necessidade da empresa, com pagamento de US$ 33,00 a US$ 37,50 por hora. Gorjetas são pagas a critério do funcionário. Bônus de desempenho da empresa de até 15% do salário. Turnos: Durante este período, a fazenda opera 7 dias por semana, das 7h às 18h30; os turnos variam de acordo com a necessidade, com um mínimo de 40 horas semanais. Classificação da vaga: 45-2093.00 - Trabalhadores rurais, animais de fazenda, rancho e aquicultura. A classificação e descrição da vaga/setor incluem informações gerais sobre o cargo, de acordo com o ONET/OES e o Sistema de Classificação Industrial da América do Norte (NAICS). Consulte as atribuições e a ordem de serviço para obter mais informações. Requisitos da vaga Experiência necessária: Sim Meses de experiência necessários: 12 Requisitos especiais: Mínimo de 12 meses de experiência como Guarda-caça no estilo tradicional europeu. Verificações de antecedentes e exames toxicológicos pré-admissionais serão realizados igualmente para candidatos americanos e trabalhadores com visto H2B. Disponibilidade para trabalhar no mínimo 6 dias por semana, dependendo da escala. Número de horas por semana: 40 Horário de trabalho (início/término): 7h às 18h30</v>
      </c>
    </row>
    <row r="2401" ht="20.25" customHeight="1">
      <c r="A2401" s="8" t="s">
        <v>10503</v>
      </c>
      <c r="B2401" s="8" t="s">
        <v>10498</v>
      </c>
      <c r="C2401" s="8" t="s">
        <v>9739</v>
      </c>
      <c r="D2401" s="8" t="s">
        <v>71</v>
      </c>
      <c r="E2401" s="9" t="s">
        <v>19</v>
      </c>
      <c r="F2401" s="9" t="s">
        <v>20</v>
      </c>
      <c r="G2401" s="9" t="s">
        <v>1204</v>
      </c>
      <c r="H2401" s="8" t="s">
        <v>10499</v>
      </c>
      <c r="I2401" s="8" t="s">
        <v>10500</v>
      </c>
      <c r="J2401" s="9">
        <v>35.0</v>
      </c>
      <c r="K2401" s="9">
        <v>1.0</v>
      </c>
      <c r="L2401" s="8" t="s">
        <v>10504</v>
      </c>
      <c r="M2401" s="8" t="s">
        <v>10505</v>
      </c>
      <c r="N2401" s="7" t="str">
        <f>IFERROR(__xludf.DUMMYFUNCTION("GOOGLETRANSLATE(L2401, ""en"", ""pt"")"),"Gerente da casa / Mordomo")</f>
        <v>Gerente da casa / Mordomo</v>
      </c>
      <c r="O2401" s="7" t="str">
        <f>IFERROR(__xludf.DUMMYFUNCTION("IF(M2401="""","""",GOOGLETRANSLATE(M2401,""en"",""pt""))"),"Responsabilidades: Garantir o bom funcionamento diário da casa; gerenciar, manter e aprimorar continuamente a qualidade dos serviços prestados na residência, assegurando que os mais altos padrões e as melhores práticas sejam alcançados em todos os aspecto"&amp;"s da casa; auxiliar no treinamento da equipe e organizar as tarefas e a escala de trabalho dos funcionários domésticos; agendar e supervisionar os fornecedores de serviços terceirizados; auxiliar nas medidas de segurança da casa e da família; supervisiona"&amp;"r e participar da organização adequada das mesas e da preparação de eventos; coordenar com outros funcionários, conforme necessário, bem como com outras áreas da organização do empregador; atender o telefone da residência; recepcionar os visitantes e supe"&amp;"rvisionar a recepção; auxiliar no carregamento e descarregamento dos veículos da família; controlar o orçamento da casa e o estoque de suprimentos; realizar limpeza e manutenção; supervisionar a organização das malas e dos preparativos de viagem da famíli"&amp;"a; auxiliar no planejamento e organização de festas e eventos na casa; supervisionar e participar da organização adequada das mesas e da preparação de eventos; servir refeições e bebidas e prestar serviços de garçom; atuar como mordomo pessoal da casa e/o"&amp;"u do proprietário; realizar tarefas domésticas leves; cuidar de roupas, porcelanas finas, prataria e cristais; cuidar e inventariar obras de arte e antiguidades; Manutenção de automóveis; segurança do empregador e da residência; coordenação e agendamento "&amp;"de prestadores de serviços; realização de tarefas (compras, presentes, lavanderia); gestão da agenda da casa; e supervisão da equipe doméstica. Não há restaurante público ou comercial em funcionamento nas instalações. Auxiliar em funções relacionadas a se"&amp;"rviços, como supervisionar a correta arrumação das mesas, supervisionar o serviço de refeições e coordenar com o chef particular para garantir uma hospitalidade impecável em um ambiente residencial privado, não em um estabelecimento comercial de alimentaç"&amp;"ão. Monitorar o acesso à residência, receber visitantes, atender o telefone da residência e coordenar com a equipe de segurança da fazenda. Carregar/descarregar bagagens, equipamentos de caça, suprimentos domésticos ou itens pessoais de familiares e visit"&amp;"antes durante viagens ou visitas à fazenda. Supervisionar e participar da manutenção e limpeza geral da residência principal, incluindo tarefas domésticas leves (por exemplo, tirar o pó, organizar os espaços de convivência e manter a limpeza das áreas soc"&amp;"iais), enquanto gerencia outros funcionários domésticos. Supervisionar e realizar a arrumação formal das mesas, o serviço de refeições e o serviço de bebidas em um ambiente de jantar privado. Auxiliar em tarefas de limpeza leves, como organizar quartos, p"&amp;"reparar acomodações para hóspedes, manter o inventário da casa e garantir que as áreas comuns estejam sempre prontas para receber hóspedes. Zelar pela conservação e segurança de itens valiosos da casa, incluindo obras de arte, antiguidades, porcelana fina"&amp;", cristais e prataria. Coordenar a manutenção e o serviço dos veículos da família, agendando revisões de rotina, limpeza, abastecimento e inspeções, frequentemente em conjunto com fornecedores ou funcionários no local. Realizar manutenções leves e verific"&amp;"ações de prontidão (por exemplo, pressão dos pneus, fluidos). Cuidar dos cães dos proprietários, incluindo alimentação, exercícios e transporte entre as residências. Requisitos: Mínimo de 24 meses de experiência em casas de campo europeias tradicionais. V"&amp;"erificação de antecedentes e exames toxicológicos pré-admissionais serão realizados igualmente para trabalhadores americanos e trabalhadores com visto H-2B. Salário: US$ 35,00 a US$ 40,00 por hora. O salário varia de acordo com a experiência. Hora extra: "&amp;"US$ 52,50 a US$ 60,00 por hora. Turnos: Durante este período, o Rancho opera 7 dias por semana, das 7h às 18h30; os turnos variam de acordo com a necessidade, com um mínimo de 40 horas semanais. Além disso, há 20 horas extras (variáveis). Classificação do"&amp;" Cargo: 39-1022.00 - Supervisores de Primeira Linha de Trabalhadores de Serviços Pessoais. A classificação e descrição do cargo/setor incluem informações gerais sobre a posição, de acordo com o ONET/OES e o Sistema de Classificação Industrial da América d"&amp;"o Norte. Consulte as Funções e a Ordem de Serviço para obter mais informações. Requisitos do Cargo Experiência Necessária: Sim Meses de Experiência Necessária: 24 Requisitos Especiais: Mínimo de 24 meses de experiência em casas de campo tradicionais europ"&amp;"eias. Verificações de antecedentes e exames toxicológicos pré-admissionais são realizados igualmente para trabalhadores americanos e com visto H2B. Disponibilidade para trabalhar no mínimo 6 dias por semana, dependendo da escala. Número de Horas por Seman"&amp;"a: 40 Horário de Trabalho (Início/Término): 7h às 18h30.")</f>
        <v>Responsabilidades: Garantir o bom funcionamento diário da casa; gerenciar, manter e aprimorar continuamente a qualidade dos serviços prestados na residência, assegurando que os mais altos padrões e as melhores práticas sejam alcançados em todos os aspectos da casa; auxiliar no treinamento da equipe e organizar as tarefas e a escala de trabalho dos funcionários domésticos; agendar e supervisionar os fornecedores de serviços terceirizados; auxiliar nas medidas de segurança da casa e da família; supervisionar e participar da organização adequada das mesas e da preparação de eventos; coordenar com outros funcionários, conforme necessário, bem como com outras áreas da organização do empregador; atender o telefone da residência; recepcionar os visitantes e supervisionar a recepção; auxiliar no carregamento e descarregamento dos veículos da família; controlar o orçamento da casa e o estoque de suprimentos; realizar limpeza e manutenção; supervisionar a organização das malas e dos preparativos de viagem da família; auxiliar no planejamento e organização de festas e eventos na casa; supervisionar e participar da organização adequada das mesas e da preparação de eventos; servir refeições e bebidas e prestar serviços de garçom; atuar como mordomo pessoal da casa e/ou do proprietário; realizar tarefas domésticas leves; cuidar de roupas, porcelanas finas, prataria e cristais; cuidar e inventariar obras de arte e antiguidades; Manutenção de automóveis; segurança do empregador e da residência; coordenação e agendamento de prestadores de serviços; realização de tarefas (compras, presentes, lavanderia); gestão da agenda da casa; e supervisão da equipe doméstica. Não há restaurante público ou comercial em funcionamento nas instalações. Auxiliar em funções relacionadas a serviços, como supervisionar a correta arrumação das mesas, supervisionar o serviço de refeições e coordenar com o chef particular para garantir uma hospitalidade impecável em um ambiente residencial privado, não em um estabelecimento comercial de alimentação. Monitorar o acesso à residência, receber visitantes, atender o telefone da residência e coordenar com a equipe de segurança da fazenda. Carregar/descarregar bagagens, equipamentos de caça, suprimentos domésticos ou itens pessoais de familiares e visitantes durante viagens ou visitas à fazenda. Supervisionar e participar da manutenção e limpeza geral da residência principal, incluindo tarefas domésticas leves (por exemplo, tirar o pó, organizar os espaços de convivência e manter a limpeza das áreas sociais), enquanto gerencia outros funcionários domésticos. Supervisionar e realizar a arrumação formal das mesas, o serviço de refeições e o serviço de bebidas em um ambiente de jantar privado. Auxiliar em tarefas de limpeza leves, como organizar quartos, preparar acomodações para hóspedes, manter o inventário da casa e garantir que as áreas comuns estejam sempre prontas para receber hóspedes. Zelar pela conservação e segurança de itens valiosos da casa, incluindo obras de arte, antiguidades, porcelana fina, cristais e prataria. Coordenar a manutenção e o serviço dos veículos da família, agendando revisões de rotina, limpeza, abastecimento e inspeções, frequentemente em conjunto com fornecedores ou funcionários no local. Realizar manutenções leves e verificações de prontidão (por exemplo, pressão dos pneus, fluidos). Cuidar dos cães dos proprietários, incluindo alimentação, exercícios e transporte entre as residências. Requisitos: Mínimo de 24 meses de experiência em casas de campo europeias tradicionais. Verificação de antecedentes e exames toxicológicos pré-admissionais serão realizados igualmente para trabalhadores americanos e trabalhadores com visto H-2B. Salário: US$ 35,00 a US$ 40,00 por hora. O salário varia de acordo com a experiência. Hora extra: US$ 52,50 a US$ 60,00 por hora. Turnos: Durante este período, o Rancho opera 7 dias por semana, das 7h às 18h30; os turnos variam de acordo com a necessidade, com um mínimo de 40 horas semanais. Além disso, há 20 horas extras (variáveis). Classificação do Cargo: 39-1022.00 - Supervisores de Primeira Linha de Trabalhadores de Serviços Pessoais. A classificação e descrição do cargo/setor incluem informações gerais sobre a posição, de acordo com o ONET/OES e o Sistema de Classificação Industrial da América do Norte. Consulte as Funções e a Ordem de Serviço para obter mais informações. Requisitos do Cargo Experiência Necessária: Sim Meses de Experiência Necessária: 24 Requisitos Especiais: Mínimo de 24 meses de experiência em casas de campo tradicionais europeias. Verificações de antecedentes e exames toxicológicos pré-admissionais são realizados igualmente para trabalhadores americanos e com visto H2B. Disponibilidade para trabalhar no mínimo 6 dias por semana, dependendo da escala. Número de Horas por Semana: 40 Horário de Trabalho (Início/Término): 7h às 18h30.</v>
      </c>
    </row>
    <row r="2402" ht="20.25" customHeight="1">
      <c r="A2402" s="3" t="s">
        <v>10506</v>
      </c>
      <c r="B2402" s="3" t="s">
        <v>10507</v>
      </c>
      <c r="C2402" s="3" t="s">
        <v>10508</v>
      </c>
      <c r="D2402" s="3" t="s">
        <v>71</v>
      </c>
      <c r="E2402" s="4" t="s">
        <v>19</v>
      </c>
      <c r="F2402" s="4" t="s">
        <v>20</v>
      </c>
      <c r="G2402" s="4" t="s">
        <v>524</v>
      </c>
      <c r="H2402" s="3" t="s">
        <v>10509</v>
      </c>
      <c r="I2402" s="3" t="s">
        <v>10510</v>
      </c>
      <c r="J2402" s="4">
        <v>15.6</v>
      </c>
      <c r="K2402" s="4">
        <v>2.0</v>
      </c>
      <c r="L2402" s="3" t="s">
        <v>2821</v>
      </c>
      <c r="M2402" s="3" t="s">
        <v>10511</v>
      </c>
      <c r="N2402" s="7" t="str">
        <f>IFERROR(__xludf.DUMMYFUNCTION("GOOGLETRANSLATE(L2402, ""en"", ""pt"")"),"Auxiliar de Recreação")</f>
        <v>Auxiliar de Recreação</v>
      </c>
      <c r="O2402" s="7" t="str">
        <f>IFERROR(__xludf.DUMMYFUNCTION("IF(M2402="""","""",GOOGLETRANSLATE(M2402,""en"",""pt""))"),"O funcionário poderá ser solicitado a desempenhar qualquer uma das seguintes funções: monitorar as atividades no campo de golfe, complexo de tênis, complexo aquático e spa e academia; prestar assistência administrativa aos membros, incluindo verificação d"&amp;"e cartões de membro, confirmação de reservas, organização de mercadorias e fornecimento de informações sobre as instalações; realizar a limpeza básica dos carrinhos de golfe, removendo detritos e limpando os tacos. Transportar os equipamentos de golfe dos"&amp;" membros de e para as instalações do clube. Classificação da vaga: 39-3091.00 - Atendentes de Diversão e Recreação. A classificação e descrição da vaga/setor incluem informações gerais sobre o cargo, de acordo com o ONET/OES e o Sistema de Classificação I"&amp;"ndustrial da América do Norte. Consulte as Funções e a Ordem de Serviço para obter mais informações. Requisitos da vaga: Experiência exigida: Não. Requisitos especiais: Aprovação na verificação policial pré-admissional; capacidade de se comunicar em inglê"&amp;"s; teste toxicológico pós-admissional. O empregador exige que a verificação policial pré-admissional e o teste toxicológico pós-admissional sejam realizados igualmente para trabalhadores americanos e trabalhadores com visto H-2B. *CONTINUAÇÃO DA SEÇÃO F.A"&amp;".5 DA ETA 9142 ACIMA: 40 HORAS SEMANAIS CONSISTIRÃO EM TURNOS DE 8 HORAS QUE PODEM VARIAR CONFORME A NECESSIDADE AO LONGO DOS 7 DIAS DA SEMANA. O TURNO PODE VARIAR DAS 6H ÀS 23H. Número de horas por semana: 40. Horário de trabalho (início/término): 9h às "&amp;"18h.")</f>
        <v>O funcionário poderá ser solicitado a desempenhar qualquer uma das seguintes funções: monitorar as atividades no campo de golfe, complexo de tênis, complexo aquático e spa e academia; prestar assistência administrativa aos membros, incluindo verificação de cartões de membro, confirmação de reservas, organização de mercadorias e fornecimento de informações sobre as instalações; realizar a limpeza básica dos carrinhos de golfe, removendo detritos e limpando os tacos. Transportar os equipamentos de golfe dos membros de e para as instalações do clube. Classificação da vaga: 39-3091.00 - Atendentes de Diversão e Recreação. A classificação e descrição da vaga/setor incluem informações gerais sobre o cargo, de acordo com o ONET/OES e o Sistema de Classificação Industrial da América do Norte. Consulte as Funções e a Ordem de Serviço para obter mais informações. Requisitos da vaga: Experiência exigida: Não. Requisitos especiais: Aprovação na verificação policial pré-admissional; capacidade de se comunicar em inglês; teste toxicológico pós-admissional. O empregador exige que a verificação policial pré-admissional e o teste toxicológico pós-admissional sejam realizados igualmente para trabalhadores americanos e trabalhadores com visto H-2B. *CONTINUAÇÃO DA SEÇÃO F.A.5 DA ETA 9142 ACIMA: 40 HORAS SEMANAIS CONSISTIRÃO EM TURNOS DE 8 HORAS QUE PODEM VARIAR CONFORME A NECESSIDADE AO LONGO DOS 7 DIAS DA SEMANA. O TURNO PODE VARIAR DAS 6H ÀS 23H. Número de horas por semana: 40. Horário de trabalho (início/término): 9h às 18h.</v>
      </c>
    </row>
    <row r="2403" ht="20.25" customHeight="1">
      <c r="A2403" s="8" t="s">
        <v>10512</v>
      </c>
      <c r="B2403" s="8" t="s">
        <v>10507</v>
      </c>
      <c r="C2403" s="8" t="s">
        <v>10508</v>
      </c>
      <c r="D2403" s="8" t="s">
        <v>71</v>
      </c>
      <c r="E2403" s="9" t="s">
        <v>19</v>
      </c>
      <c r="F2403" s="9" t="s">
        <v>20</v>
      </c>
      <c r="G2403" s="9" t="s">
        <v>524</v>
      </c>
      <c r="H2403" s="8" t="s">
        <v>10509</v>
      </c>
      <c r="I2403" s="8" t="s">
        <v>10510</v>
      </c>
      <c r="J2403" s="9">
        <v>19.55</v>
      </c>
      <c r="K2403" s="9">
        <v>4.0</v>
      </c>
      <c r="L2403" s="8" t="s">
        <v>1684</v>
      </c>
      <c r="M2403" s="8" t="s">
        <v>10513</v>
      </c>
      <c r="N2403" s="7" t="str">
        <f>IFERROR(__xludf.DUMMYFUNCTION("GOOGLETRANSLATE(L2403, ""en"", ""pt"")"),"Barman")</f>
        <v>Barman</v>
      </c>
      <c r="O2403" s="7" t="str">
        <f>IFERROR(__xludf.DUMMYFUNCTION("IF(M2403="""","""",GOOGLETRANSLATE(M2403,""en"",""pt""))"),"Receber pedidos de bebidas; preparar e servir drinques; limpar a área do bar; poderá ser necessário receber pedidos de comida e fazer recomendações sobre vinhos e outros produtos; solicitar e exibir bebidas alcoólicas e suprimentos; manter a área do bar l"&amp;"impa e trabalhar de acordo com as normas estaduais rigorosamente aplicadas. Classificação da vaga: 35-3011.00 - Bartenders. A classificação e descrição da vaga/setor incluem informações gerais sobre o cargo, conforme o ONET/OES e o Sistema de Classificaçã"&amp;"o Industrial da América do Norte. Consulte as Funções e a Ordem de Serviço para obter mais informações. Requisitos da vaga: Experiência exigida: Não. Requisitos especiais: Aprovação na verificação de antecedentes criminais pré-admissional; capacidade de s"&amp;"e comunicar em inglês; teste toxicológico pós-admissional. O empregador exige que a verificação de antecedentes criminais pré-admissional e o teste toxicológico pós-admissional sejam realizados igualmente para trabalhadores americanos e trabalhadores com "&amp;"visto H-2B. *CONTINUAÇÃO DA SEÇÃO F.A.5 DA ETA 9142 ACIMA: 40 HORAS SEMANAIS CONSISTIRÃO EM TURNOS DE 8 HORAS QUE PODEM VARIAR CONFORME A NECESSIDADE AO LONGO DOS 7 DIAS DA SEMANA. O TURNO PODE VARIAR DAS 6H ÀS 23H. Número de horas por semana: 40. Horário"&amp;" de trabalho (início/término): 9h às 18h.")</f>
        <v>Receber pedidos de bebidas; preparar e servir drinques; limpar a área do bar; poderá ser necessário receber pedidos de comida e fazer recomendações sobre vinhos e outros produtos; solicitar e exibir bebidas alcoólicas e suprimentos; manter a área do bar limpa e trabalhar de acordo com as normas estaduais rigorosamente aplicadas. Classificação da vaga: 35-3011.00 - Bartenders. A classificação e descrição da vaga/setor incluem informações gerais sobre o cargo, conforme o ONET/OES e o Sistema de Classificação Industrial da América do Norte. Consulte as Funções e a Ordem de Serviço para obter mais informações. Requisitos da vaga: Experiência exigida: Não. Requisitos especiais: Aprovação na verificação de antecedentes criminais pré-admissional; capacidade de se comunicar em inglês; teste toxicológico pós-admissional. O empregador exige que a verificação de antecedentes criminais pré-admissional e o teste toxicológico pós-admissional sejam realizados igualmente para trabalhadores americanos e trabalhadores com visto H-2B. *CONTINUAÇÃO DA SEÇÃO F.A.5 DA ETA 9142 ACIMA: 40 HORAS SEMANAIS CONSISTIRÃO EM TURNOS DE 8 HORAS QUE PODEM VARIAR CONFORME A NECESSIDADE AO LONGO DOS 7 DIAS DA SEMANA. O TURNO PODE VARIAR DAS 6H ÀS 23H. Número de horas por semana: 40. Horário de trabalho (início/término): 9h às 18h.</v>
      </c>
    </row>
    <row r="2404" ht="20.25" customHeight="1">
      <c r="A2404" s="3" t="s">
        <v>10514</v>
      </c>
      <c r="B2404" s="3" t="s">
        <v>10507</v>
      </c>
      <c r="C2404" s="3" t="s">
        <v>10508</v>
      </c>
      <c r="D2404" s="3" t="s">
        <v>71</v>
      </c>
      <c r="E2404" s="4" t="s">
        <v>44</v>
      </c>
      <c r="F2404" s="4" t="s">
        <v>20</v>
      </c>
      <c r="G2404" s="4" t="s">
        <v>524</v>
      </c>
      <c r="H2404" s="3" t="s">
        <v>10509</v>
      </c>
      <c r="I2404" s="3" t="s">
        <v>10510</v>
      </c>
      <c r="J2404" s="4">
        <v>19.0</v>
      </c>
      <c r="K2404" s="4">
        <v>10.0</v>
      </c>
      <c r="L2404" s="3" t="s">
        <v>586</v>
      </c>
      <c r="M2404" s="3" t="s">
        <v>10515</v>
      </c>
      <c r="N2404" s="7" t="str">
        <f>IFERROR(__xludf.DUMMYFUNCTION("GOOGLETRANSLATE(L2404, ""en"", ""pt"")"),"Cozinheiro de linha")</f>
        <v>Cozinheiro de linha</v>
      </c>
      <c r="O2404" s="7" t="str">
        <f>IFERROR(__xludf.DUMMYFUNCTION("IF(M2404="""","""",GOOGLETRANSLATE(M2404,""en"",""pt""))"),"Prepara, tempera e cozinha sopas, carnes, legumes, frutas, sobremesas e outros alimentos diversos para consumo; observa as diretrizes da receita e outros procedimentos de higiene. Classificação do Cargo: 35-2014.00 - Cozinheiros, Restaurante. A classifica"&amp;"ção e descrição do cargo/setor inclui informações gerais sobre a posição, de acordo com o ONET/OES e o Sistema de Classificação Industrial da América do Norte. Consulte as Funções e a Ordem de Serviço para obter mais informações. Requisitos do Cargo: Expe"&amp;"riência Necessária: Não. Requisitos Especiais: Aprovação na verificação policial pré-admissional; teste toxicológico pós-admissional. O empregador exige que a verificação policial pré-admissional e o teste toxicológico pós-admissional sejam realizados igu"&amp;"almente entre os trabalhadores americanos e os trabalhadores com visto H-2B. *CONTINUAÇÃO DA SEÇÃO F.A.5 DO ETA 9142 ACIMA: 40 HORAS SEMANAIS CONSISTIRÃO EM TURNOS DE 8 HORAS QUE PODEM VARIAR CONFORME A NECESSIDADE, AO LONGO DOS 7 DIAS DA SEMANA. O turno "&amp;"pode variar entre 6h e 23h. Número de horas por semana: 40. Horário de trabalho (início/término): 9h às 18h.")</f>
        <v>Prepara, tempera e cozinha sopas, carnes, legumes, frutas, sobremesas e outros alimentos diversos para consumo; observa as diretrizes da receita e outros procedimentos de higiene. Classificação do Cargo: 35-2014.00 - Cozinheiros, Restaurante. A classificação e descrição do cargo/setor inclui informações gerais sobre a posição, de acordo com o ONET/OES e o Sistema de Classificação Industrial da América do Norte. Consulte as Funções e a Ordem de Serviço para obter mais informações. Requisitos do Cargo: Experiência Necessária: Não. Requisitos Especiais: Aprovação na verificação policial pré-admissional; teste toxicológico pós-admissional. O empregador exige que a verificação policial pré-admissional e o teste toxicológico pós-admissional sejam realizados igualmente entre os trabalhadores americanos e os trabalhadores com visto H-2B. *CONTINUAÇÃO DA SEÇÃO F.A.5 DO ETA 9142 ACIMA: 40 HORAS SEMANAIS CONSISTIRÃO EM TURNOS DE 8 HORAS QUE PODEM VARIAR CONFORME A NECESSIDADE, AO LONGO DOS 7 DIAS DA SEMANA. O turno pode variar entre 6h e 23h. Número de horas por semana: 40. Horário de trabalho (início/término): 9h às 18h.</v>
      </c>
    </row>
    <row r="2405" ht="20.25" customHeight="1">
      <c r="A2405" s="8" t="s">
        <v>10516</v>
      </c>
      <c r="B2405" s="8" t="s">
        <v>10507</v>
      </c>
      <c r="C2405" s="8" t="s">
        <v>10508</v>
      </c>
      <c r="D2405" s="8" t="s">
        <v>71</v>
      </c>
      <c r="E2405" s="9" t="s">
        <v>44</v>
      </c>
      <c r="F2405" s="9" t="s">
        <v>20</v>
      </c>
      <c r="G2405" s="9" t="s">
        <v>524</v>
      </c>
      <c r="H2405" s="8" t="s">
        <v>10509</v>
      </c>
      <c r="I2405" s="8" t="s">
        <v>10510</v>
      </c>
      <c r="J2405" s="9">
        <v>17.95</v>
      </c>
      <c r="K2405" s="9">
        <v>7.0</v>
      </c>
      <c r="L2405" s="8" t="s">
        <v>5135</v>
      </c>
      <c r="M2405" s="8" t="s">
        <v>10517</v>
      </c>
      <c r="N2405" s="7" t="str">
        <f>IFERROR(__xludf.DUMMYFUNCTION("GOOGLETRANSLATE(L2405, ""en"", ""pt"")"),"Assistente de Garçom")</f>
        <v>Assistente de Garçom</v>
      </c>
      <c r="O2405" s="7" t="str">
        <f>IFERROR(__xludf.DUMMYFUNCTION("IF(M2405="""","""",GOOGLETRANSLATE(M2405,""en"",""pt""))"),"Auxiliar os garçons levando bebidas às mesas, reabastecendo as bebidas, recolhendo talheres/louças usados; limpando as áreas de serviço e os equipamentos; abastecendo todos os utensílios e equipamentos necessários para o serviço. Classificação da vaga: 35"&amp;"-9011.00 - Atendentes de Salão e Cafeteria e Auxiliares de Bar. A classificação e descrição da vaga/setor incluem informações gerais sobre o cargo, de acordo com o ONET/OES e o Sistema de Classificação Industrial da América do Norte. Consulte as Funções e"&amp;" a Ordem de Serviço para obter mais informações. Requisitos da vaga: Experiência exigida: Não. Requisitos especiais: Aprovação na verificação de antecedentes criminais pré-admissional; capacidade de se comunicar em inglês; teste toxicológico pós-admission"&amp;"al. O empregador exige que a verificação de antecedentes criminais pré-admissional e o teste toxicológico pós-admissional sejam realizados igualmente para trabalhadores americanos e trabalhadores com visto H-2B. *CONTINUAÇÃO DA SEÇÃO F.A.5 DA ETA 9142 ACI"&amp;"MA: 40 HORAS SEMANAIS CONSISTIRÃO EM TURNOS DE 8 HORAS QUE PODEM VARIAR CONFORME A NECESSIDADE AO LONGO DOS 7 DIAS DA SEMANA. O TURNO PODE VARIAR DAS 6H ÀS 23H. Número de horas por semana: 40. Horário de trabalho (início/término): 9h às 18h.")</f>
        <v>Auxiliar os garçons levando bebidas às mesas, reabastecendo as bebidas, recolhendo talheres/louças usados; limpando as áreas de serviço e os equipamentos; abastecendo todos os utensílios e equipamentos necessários para o serviço. Classificação da vaga: 35-9011.00 - Atendentes de Salão e Cafeteria e Auxiliares de Bar. A classificação e descrição da vaga/setor incluem informações gerais sobre o cargo, de acordo com o ONET/OES e o Sistema de Classificação Industrial da América do Norte. Consulte as Funções e a Ordem de Serviço para obter mais informações. Requisitos da vaga: Experiência exigida: Não. Requisitos especiais: Aprovação na verificação de antecedentes criminais pré-admissional; capacidade de se comunicar em inglês; teste toxicológico pós-admissional. O empregador exige que a verificação de antecedentes criminais pré-admissional e o teste toxicológico pós-admissional sejam realizados igualmente para trabalhadores americanos e trabalhadores com visto H-2B. *CONTINUAÇÃO DA SEÇÃO F.A.5 DA ETA 9142 ACIMA: 40 HORAS SEMANAIS CONSISTIRÃO EM TURNOS DE 8 HORAS QUE PODEM VARIAR CONFORME A NECESSIDADE AO LONGO DOS 7 DIAS DA SEMANA. O TURNO PODE VARIAR DAS 6H ÀS 23H. Número de horas por semana: 40. Horário de trabalho (início/término): 9h às 18h.</v>
      </c>
    </row>
    <row r="2406" ht="20.25" customHeight="1">
      <c r="A2406" s="3" t="s">
        <v>10518</v>
      </c>
      <c r="B2406" s="3" t="s">
        <v>10507</v>
      </c>
      <c r="C2406" s="3" t="s">
        <v>10508</v>
      </c>
      <c r="D2406" s="3" t="s">
        <v>71</v>
      </c>
      <c r="E2406" s="4" t="s">
        <v>44</v>
      </c>
      <c r="F2406" s="4" t="s">
        <v>20</v>
      </c>
      <c r="G2406" s="4" t="s">
        <v>524</v>
      </c>
      <c r="H2406" s="3" t="s">
        <v>10509</v>
      </c>
      <c r="I2406" s="3" t="s">
        <v>10510</v>
      </c>
      <c r="J2406" s="4">
        <v>16.3</v>
      </c>
      <c r="K2406" s="4">
        <v>3.0</v>
      </c>
      <c r="L2406" s="3" t="s">
        <v>3312</v>
      </c>
      <c r="M2406" s="3" t="s">
        <v>10519</v>
      </c>
      <c r="N2406" s="7" t="str">
        <f>IFERROR(__xludf.DUMMYFUNCTION("GOOGLETRANSLATE(L2406, ""en"", ""pt"")"),"Anfitrião/anfitriã")</f>
        <v>Anfitrião/anfitriã</v>
      </c>
      <c r="O2406" s="7" t="str">
        <f>IFERROR(__xludf.DUMMYFUNCTION("IF(M2406="""","""",GOOGLETRANSLATE(M2406,""en"",""pt""))"),"Recepciona, acompanha e entrega os cardápios aos clientes; auxilia em tarefas diversas de limpeza/polimento, etc., conforme necessário, incluindo a realização de limpezas simples na área de refeições/restaurantes e a higienização dos cardápios. Classifica"&amp;"ção da vaga: 35-9031.00 - Recepcionistas, Restaurante, Lounge e Cafeteria. A classificação e descrição da vaga/setor incluem informações gerais sobre o cargo, de acordo com o ONET/OES e o Sistema de Classificação Industrial da América do Norte (NAICS). Co"&amp;"nsulte as Funções e a Ordem de Serviço para obter mais informações. Requisitos da vaga: Experiência exigida: Não. Requisitos especiais: Aprovação na verificação de antecedentes criminais pré-admissional; capacidade de se comunicar em inglês; teste toxicol"&amp;"ógico pós-admissional. O empregador exige que a verificação de antecedentes criminais pré-admissional e o teste toxicológico pós-admissional sejam realizados igualmente para trabalhadores americanos e trabalhadores com visto H-2B. *CONTINUAÇÃO DA SEÇÃO F."&amp;"A.5 DA ETA 9142 ACIMA: 40 HORAS SEMANAIS CONSISTIRÃO EM TURNOS DE 8 HORAS QUE PODEM VARIAR CONFORME A NECESSIDADE AO LONGO DOS 7 DIAS DA SEMANA. O TURNO PODE VARIAR DAS 6H ÀS 23H. Número de horas por semana: 40. Horário de trabalho (início/término): 9h às"&amp;" 18h.")</f>
        <v>Recepciona, acompanha e entrega os cardápios aos clientes; auxilia em tarefas diversas de limpeza/polimento, etc., conforme necessário, incluindo a realização de limpezas simples na área de refeições/restaurantes e a higienização dos cardápios. Classificação da vaga: 35-9031.00 - Recepcionistas, Restaurante, Lounge e Cafeteria. A classificação e descrição da vaga/setor incluem informações gerais sobre o cargo, de acordo com o ONET/OES e o Sistema de Classificação Industrial da América do Norte (NAICS). Consulte as Funções e a Ordem de Serviço para obter mais informações. Requisitos da vaga: Experiência exigida: Não. Requisitos especiais: Aprovação na verificação de antecedentes criminais pré-admissional; capacidade de se comunicar em inglês; teste toxicológico pós-admissional. O empregador exige que a verificação de antecedentes criminais pré-admissional e o teste toxicológico pós-admissional sejam realizados igualmente para trabalhadores americanos e trabalhadores com visto H-2B. *CONTINUAÇÃO DA SEÇÃO F.A.5 DA ETA 9142 ACIMA: 40 HORAS SEMANAIS CONSISTIRÃO EM TURNOS DE 8 HORAS QUE PODEM VARIAR CONFORME A NECESSIDADE AO LONGO DOS 7 DIAS DA SEMANA. O TURNO PODE VARIAR DAS 6H ÀS 23H. Número de horas por semana: 40. Horário de trabalho (início/término): 9h às 18h.</v>
      </c>
    </row>
    <row r="2407" ht="20.25" customHeight="1">
      <c r="A2407" s="8" t="s">
        <v>10520</v>
      </c>
      <c r="B2407" s="8" t="s">
        <v>10521</v>
      </c>
      <c r="C2407" s="8" t="s">
        <v>3981</v>
      </c>
      <c r="D2407" s="8" t="s">
        <v>36</v>
      </c>
      <c r="E2407" s="9" t="s">
        <v>44</v>
      </c>
      <c r="F2407" s="9" t="s">
        <v>20</v>
      </c>
      <c r="G2407" s="9" t="s">
        <v>4046</v>
      </c>
      <c r="H2407" s="8" t="s">
        <v>10522</v>
      </c>
      <c r="I2407" s="8" t="s">
        <v>10523</v>
      </c>
      <c r="J2407" s="9">
        <v>15.64</v>
      </c>
      <c r="K2407" s="9">
        <v>1.0</v>
      </c>
      <c r="L2407" s="8" t="s">
        <v>9304</v>
      </c>
      <c r="M2407" s="8" t="s">
        <v>10524</v>
      </c>
      <c r="N2407" s="7" t="str">
        <f>IFERROR(__xludf.DUMMYFUNCTION("GOOGLETRANSLATE(L2407, ""en"", ""pt"")"),"Auxiliar de saúde domiciliar")</f>
        <v>Auxiliar de saúde domiciliar</v>
      </c>
      <c r="O2407" s="7" t="str">
        <f>IFERROR(__xludf.DUMMYFUNCTION("IF(M2407="""","""",GOOGLETRANSLATE(M2407,""en"",""pt""))"),"***Resposta à Solicitação de Informações*** Todas as tarefas são realizadas na casa do beneficiário como assistência rotineira e não clínica de cuidados pessoais, sob um plano de cuidados estabelecido e supervisionado por profissionais de saúde licenciado"&amp;"s (como o médico e/ou enfermeiro do beneficiário). O auxiliar não diagnostica, prescreve ou elabora terapia ou tratamento de forma independente; o auxiliar auxilia e reforça as atividades de acordo com os métodos e instruções prescritos por esses profissi"&amp;"onais e relata as respostas do beneficiário e qualquer mudança em sua condição a eles. As tarefas de habilidades cognitivas e de linguagem são atividades de apoio à vida diária, não terapia especializada. Ao auxiliar nas rotinas comuns (refeições, vestir-"&amp;"se, higiene pessoal e recreação), o auxiliar incentiva e reforça a comunicação e o engajamento básico por meio de: conversas com o beneficiário e estímulo a respostas verbais; nomeação e repetição de palavras para objetos, pessoas e atividades comuns; uso"&amp;" de gestos simples e sinais básicos para ajudar o beneficiário a entender e expressar suas necessidades (por exemplo, sinais para “comer”, “beber”, “mais” ou “ajuda”); e utilizando cartões com figuras, fotografias e livros ilustrados para que o beneficiár"&amp;"io possa apontar ou identificar objetos, pessoas e atividades. O auxiliar repete esses mesmos estímulos consistentemente ao longo do dia para que o beneficiário possa praticar a expressão de desejos e necessidades durante as rotinas normais. As técnicas, "&amp;"tecnologias e equipamentos utilizados são limitados a itens comuns e não médicos: cartões ou pranchas com figuras e comunicação, cartões de memória, fotografias, livros ilustrados, objetos domésticos comuns e os próprios estímulos verbais e gestos básicos"&amp;" ou sinais do auxiliar. O auxiliar não utiliza equipamentos médicos, diagnósticos ou terapêuticos especializados e não fornece terapia especializada. O auxiliar realiza tudo o que foi descrito acima com base em métodos prescritos, seguindo o plano de cuid"&amp;"ados individualizado do beneficiário e as orientações dos profissionais de saúde supervisores. ***Original*** A principal responsabilidade é manter um alto nível de bem-estar e segurança para o beneficiário em todos os momentos. Isso inclui: cuidados pess"&amp;"oais em todas as atividades da vida diária, como alimentação e hidratação, higiene adequada, cuidados com a aparência e socialização, utilizando boas maneiras. Também inclui o desenvolvimento de habilidades cognitivas por meio de intervenções com objetivo"&amp;"s, como linguagem e comunicação por verbalização, linguagem de sinais, gestos e figuras; e mobilização por meio de atividades recreativas com habilidades motoras finas e grossas. Classificação da função: 31-1121.00 - Auxiliares de Saúde Domiciliar. A clas"&amp;"sificação e descrição da função/setor inclui informações gerais sobre o cargo, de acordo com o ONET/OES e o Sistema de Classificação Industrial da América do Norte. Consulte as Funções e a Ordem de Serviço para obter mais informações. Requisitos da vaga: "&amp;"Experiência exigida: Não. Requisitos especiais: Primeiros Socorros e RCP. Número de horas por semana: 44. Horário de trabalho (início/término): 8h às 17h.")</f>
        <v>***Resposta à Solicitação de Informações*** Todas as tarefas são realizadas na casa do beneficiário como assistência rotineira e não clínica de cuidados pessoais, sob um plano de cuidados estabelecido e supervisionado por profissionais de saúde licenciados (como o médico e/ou enfermeiro do beneficiário). O auxiliar não diagnostica, prescreve ou elabora terapia ou tratamento de forma independente; o auxiliar auxilia e reforça as atividades de acordo com os métodos e instruções prescritos por esses profissionais e relata as respostas do beneficiário e qualquer mudança em sua condição a eles. As tarefas de habilidades cognitivas e de linguagem são atividades de apoio à vida diária, não terapia especializada. Ao auxiliar nas rotinas comuns (refeições, vestir-se, higiene pessoal e recreação), o auxiliar incentiva e reforça a comunicação e o engajamento básico por meio de: conversas com o beneficiário e estímulo a respostas verbais; nomeação e repetição de palavras para objetos, pessoas e atividades comuns; uso de gestos simples e sinais básicos para ajudar o beneficiário a entender e expressar suas necessidades (por exemplo, sinais para “comer”, “beber”, “mais” ou “ajuda”); e utilizando cartões com figuras, fotografias e livros ilustrados para que o beneficiário possa apontar ou identificar objetos, pessoas e atividades. O auxiliar repete esses mesmos estímulos consistentemente ao longo do dia para que o beneficiário possa praticar a expressão de desejos e necessidades durante as rotinas normais. As técnicas, tecnologias e equipamentos utilizados são limitados a itens comuns e não médicos: cartões ou pranchas com figuras e comunicação, cartões de memória, fotografias, livros ilustrados, objetos domésticos comuns e os próprios estímulos verbais e gestos básicos ou sinais do auxiliar. O auxiliar não utiliza equipamentos médicos, diagnósticos ou terapêuticos especializados e não fornece terapia especializada. O auxiliar realiza tudo o que foi descrito acima com base em métodos prescritos, seguindo o plano de cuidados individualizado do beneficiário e as orientações dos profissionais de saúde supervisores. ***Original*** A principal responsabilidade é manter um alto nível de bem-estar e segurança para o beneficiário em todos os momentos. Isso inclui: cuidados pessoais em todas as atividades da vida diária, como alimentação e hidratação, higiene adequada, cuidados com a aparência e socialização, utilizando boas maneiras. Também inclui o desenvolvimento de habilidades cognitivas por meio de intervenções com objetivos, como linguagem e comunicação por verbalização, linguagem de sinais, gestos e figuras; e mobilização por meio de atividades recreativas com habilidades motoras finas e grossas. Classificação da função: 31-1121.00 - Auxiliares de Saúde Domiciliar. A classificação e descrição da função/setor inclui informações gerais sobre o cargo, de acordo com o ONET/OES e o Sistema de Classificação Industrial da América do Norte. Consulte as Funções e a Ordem de Serviço para obter mais informações. Requisitos da vaga: Experiência exigida: Não. Requisitos especiais: Primeiros Socorros e RCP. Número de horas por semana: 44. Horário de trabalho (início/término): 8h às 17h.</v>
      </c>
    </row>
    <row r="2408" ht="20.25" customHeight="1">
      <c r="A2408" s="3" t="s">
        <v>10525</v>
      </c>
      <c r="B2408" s="3" t="s">
        <v>10526</v>
      </c>
      <c r="C2408" s="3" t="s">
        <v>3981</v>
      </c>
      <c r="D2408" s="3" t="s">
        <v>87</v>
      </c>
      <c r="E2408" s="4" t="s">
        <v>44</v>
      </c>
      <c r="F2408" s="4" t="s">
        <v>20</v>
      </c>
      <c r="G2408" s="4" t="s">
        <v>8938</v>
      </c>
      <c r="H2408" s="3" t="s">
        <v>10527</v>
      </c>
      <c r="I2408" s="3" t="s">
        <v>10528</v>
      </c>
      <c r="J2408" s="4">
        <v>15.52</v>
      </c>
      <c r="K2408" s="4">
        <v>1.0</v>
      </c>
      <c r="L2408" s="3" t="s">
        <v>387</v>
      </c>
      <c r="M2408" s="3" t="s">
        <v>10529</v>
      </c>
      <c r="N2408" s="7" t="str">
        <f>IFERROR(__xludf.DUMMYFUNCTION("GOOGLETRANSLATE(L2408, ""en"", ""pt"")"),"Ordem de serviço não disponível")</f>
        <v>Ordem de serviço não disponível</v>
      </c>
      <c r="O2408" s="7" t="str">
        <f>IFERROR(__xludf.DUMMYFUNCTION("IF(M2408="""","""",GOOGLETRANSLATE(M2408,""en"",""pt""))"),"***Resposta à Solicitação de Informações*** Refeições: A babá não prepara as três refeições diárias. As refeições são preparadas com antecedência por um cozinheiro, pelos pais ou por terceiros. A babá providencia para que as refeições pré-preparadas sejam"&amp;" servidas à criança sob seus cuidados: ela coloca a comida na frente da criança e a aquece, se necessário, usando o micro-ondas disponível na casa. A comida é consumida pela criança sob seus cuidados. Outras Tarefas Domésticas: Essas tarefas consistem em "&amp;"arrumar as malas da criança para viagens, organizar o quarto da criança quando estiver bagunçado durante o trabalho da babá e auxiliar no desfralde, quando necessário, na ausência dos pais. Não são necessárias ferramentas, equipamentos ou materiais especi"&amp;"ais para realizar essas tarefas. ***Original*** Cuidados e Desenvolvimento Infantil Orientação Suave: Em hipótese alguma a criança poderá se envolver em qualquer atividade considerada perigosa pelos pais ou pela babá. As crianças não devem ser espancadas,"&amp;" agredidas ou tocadas com força por transgressões. Seguir o Horário de Sonecas: A babá garantirá que as crianças sigam o horário e a rotina de sonecas estabelecidos pelos pais. Preparar Refeições/Lanches Saudáveis: A babá providenciará três refeições comp"&amp;"letas por dia, dois lanches saudáveis ​​por dia e mamadeiras conforme necessário. Tempo Diário ao Ar Livre: A babá passará pelo menos 90 minutos por dia ao ar livre com a criança, se o tempo permitir, no quintal da casa dos pais ou em parques aprovados pe"&amp;"los pais. Atualizações Diárias para os Pais: A babá fornecerá aos pais atualizações diárias por mensagem de texto, foto ou vídeo. Transporte com Consentimento Prévio dos Pais: As crianças não serão transportadas sem o consentimento prévio e as instruções "&amp;"dos pais, e nenhuma pessoa tem permissão para transportar as crianças sem esse consentimento. As crianças não serão transportadas para a casa de outra pessoa sem o consentimento prévio dos pais. Veículo da Família e Cadeirinha: Todo o transporte será feit"&amp;"o no veículo dos pais e com uma cadeirinha apropriada, fornecida e aprovada pelos pais. Custos do Seguro: Os pais arcarão com os custos do seguro. Tarefas Domésticas: Limpar Mamadeiras/Pratos Usados ​​pela Criança: A babá é responsável pela limpeza diária"&amp;" de todas as mamadeiras, copos, pratos, etc., usados ​​pela criança e pela babá, incluindo colocar a louça suja na lava-louças e iniciar o ciclo apropriado. Varrer/Aspirar e Limpar Bancadas: A babá irá aspirar e/ou varrer embaixo das mesas da cozinha e li"&amp;"mpar as mesas e bancadas após as refeições, conforme necessário. Recolher Brinquedos/Roupas nas Áreas de Brincar: A babá irá recolher os brinquedos e roupas diariamente nas áreas de brincar da criança (incluindo os quartos da criança, sala de jogos, sala "&amp;"de estar e área externa) e trocar os brinquedos periodicamente. Outras Tarefas Domésticas: A babá será responsável por outras tarefas domésticas, conforme razoavelmente solicitado pelos pais, incluindo arrumar as malas da criança para viagens e organizar "&amp;"o quarto da criança. Outras Responsabilidades e Habilidades Adicionais: Seguir as Regras para Liberar a Criança: A babá não liberará as crianças para nenhum parente, vizinho, amigo da família ou pai/mãe de amigo(a) sem a autorização expressa dos pais. For"&amp;"necimento de Materiais e Equipamentos: Os pais deverão fornecer proteção adequada contra sol, chuva e neve para a criança (ex.: protetor solar, casacos). Protocolo de Emergência: Em caso de emergência, a babá deverá ligar imediatamente para o 911 e, em se"&amp;"guida, notificar os pais. Habilidades e Treinamento Específicos: A babá deverá possuir excelentes habilidades de comunicação verbal, bem como conhecimento da cultura escocesa/britânica e treinamento para preparar a criança para uma possível admissão no si"&amp;"stema de escolas particulares escocês. Classificação da Função: 39-9011.01 - Babás. A classificação e descrição da função/setor incluem informações gerais sobre o cargo, de acordo com o ONET/OES e o Sistema de Classificação Industrial da América do Norte."&amp;" Consulte as Funções e a Ordem de Serviço para obter mais informações. Requisitos da Função: Experiência Necessária: Não. Número de Horas por Semana: 50. Horário de Trabalho (Início/Término): 8h às 17h.")</f>
        <v>***Resposta à Solicitação de Informações*** Refeições: A babá não prepara as três refeições diárias. As refeições são preparadas com antecedência por um cozinheiro, pelos pais ou por terceiros. A babá providencia para que as refeições pré-preparadas sejam servidas à criança sob seus cuidados: ela coloca a comida na frente da criança e a aquece, se necessário, usando o micro-ondas disponível na casa. A comida é consumida pela criança sob seus cuidados. Outras Tarefas Domésticas: Essas tarefas consistem em arrumar as malas da criança para viagens, organizar o quarto da criança quando estiver bagunçado durante o trabalho da babá e auxiliar no desfralde, quando necessário, na ausência dos pais. Não são necessárias ferramentas, equipamentos ou materiais especiais para realizar essas tarefas. ***Original*** Cuidados e Desenvolvimento Infantil Orientação Suave: Em hipótese alguma a criança poderá se envolver em qualquer atividade considerada perigosa pelos pais ou pela babá. As crianças não devem ser espancadas, agredidas ou tocadas com força por transgressões. Seguir o Horário de Sonecas: A babá garantirá que as crianças sigam o horário e a rotina de sonecas estabelecidos pelos pais. Preparar Refeições/Lanches Saudáveis: A babá providenciará três refeições completas por dia, dois lanches saudáveis ​​por dia e mamadeiras conforme necessário. Tempo Diário ao Ar Livre: A babá passará pelo menos 90 minutos por dia ao ar livre com a criança, se o tempo permitir, no quintal da casa dos pais ou em parques aprovados pelos pais. Atualizações Diárias para os Pais: A babá fornecerá aos pais atualizações diárias por mensagem de texto, foto ou vídeo. Transporte com Consentimento Prévio dos Pais: As crianças não serão transportadas sem o consentimento prévio e as instruções dos pais, e nenhuma pessoa tem permissão para transportar as crianças sem esse consentimento. As crianças não serão transportadas para a casa de outra pessoa sem o consentimento prévio dos pais. Veículo da Família e Cadeirinha: Todo o transporte será feito no veículo dos pais e com uma cadeirinha apropriada, fornecida e aprovada pelos pais. Custos do Seguro: Os pais arcarão com os custos do seguro. Tarefas Domésticas: Limpar Mamadeiras/Pratos Usados ​​pela Criança: A babá é responsável pela limpeza diária de todas as mamadeiras, copos, pratos, etc., usados ​​pela criança e pela babá, incluindo colocar a louça suja na lava-louças e iniciar o ciclo apropriado. Varrer/Aspirar e Limpar Bancadas: A babá irá aspirar e/ou varrer embaixo das mesas da cozinha e limpar as mesas e bancadas após as refeições, conforme necessário. Recolher Brinquedos/Roupas nas Áreas de Brincar: A babá irá recolher os brinquedos e roupas diariamente nas áreas de brincar da criança (incluindo os quartos da criança, sala de jogos, sala de estar e área externa) e trocar os brinquedos periodicamente. Outras Tarefas Domésticas: A babá será responsável por outras tarefas domésticas, conforme razoavelmente solicitado pelos pais, incluindo arrumar as malas da criança para viagens e organizar o quarto da criança. Outras Responsabilidades e Habilidades Adicionais: Seguir as Regras para Liberar a Criança: A babá não liberará as crianças para nenhum parente, vizinho, amigo da família ou pai/mãe de amigo(a) sem a autorização expressa dos pais. Fornecimento de Materiais e Equipamentos: Os pais deverão fornecer proteção adequada contra sol, chuva e neve para a criança (ex.: protetor solar, casacos). Protocolo de Emergência: Em caso de emergência, a babá deverá ligar imediatamente para o 911 e, em seguida, notificar os pais. Habilidades e Treinamento Específicos: A babá deverá possuir excelentes habilidades de comunicação verbal, bem como conhecimento da cultura escocesa/britânica e treinamento para preparar a criança para uma possível admissão no sistema de escolas particulares escocês. Classificação da Função: 39-9011.01 - Babás. A classificação e descrição da função/setor incluem informações gerais sobre o cargo, de acordo com o ONET/OES e o Sistema de Classificação Industrial da América do Norte. Consulte as Funções e a Ordem de Serviço para obter mais informações. Requisitos da Função: Experiência Necessária: Não. Número de Horas por Semana: 50. Horário de Trabalho (Início/Término): 8h às 17h.</v>
      </c>
    </row>
    <row r="2409" ht="20.25" customHeight="1">
      <c r="A2409" s="8" t="s">
        <v>10530</v>
      </c>
      <c r="B2409" s="8" t="s">
        <v>10359</v>
      </c>
      <c r="C2409" s="8" t="s">
        <v>8981</v>
      </c>
      <c r="D2409" s="8" t="s">
        <v>71</v>
      </c>
      <c r="E2409" s="9" t="s">
        <v>19</v>
      </c>
      <c r="F2409" s="9" t="s">
        <v>20</v>
      </c>
      <c r="G2409" s="9" t="s">
        <v>524</v>
      </c>
      <c r="H2409" s="8" t="s">
        <v>10360</v>
      </c>
      <c r="I2409" s="8" t="s">
        <v>10361</v>
      </c>
      <c r="J2409" s="9">
        <v>23.0</v>
      </c>
      <c r="K2409" s="9">
        <v>12.0</v>
      </c>
      <c r="L2409" s="8" t="s">
        <v>4654</v>
      </c>
      <c r="M2409" s="8" t="s">
        <v>10531</v>
      </c>
      <c r="N2409" s="7" t="str">
        <f>IFERROR(__xludf.DUMMYFUNCTION("GOOGLETRANSLATE(L2409, ""en"", ""pt"")"),"Capitão do servidor")</f>
        <v>Capitão do servidor</v>
      </c>
      <c r="O2409" s="7" t="str">
        <f>IFERROR(__xludf.DUMMYFUNCTION("IF(M2409="""","""",GOOGLETRANSLATE(M2409,""en"",""pt""))"),"Receber e servir pedidos de comida e bebida; realizar atividades de montagem e desmontagem de mesas e outros eventos; pode ser necessário trabalhar em ambientes externos e em banquetes; pode ser necessário servir clientes em carrinhos de golfe; supervisio"&amp;"nar a equipe de serviço durante a montagem; treinar novos garçons; construir e manter um bom relacionamento com os membros do clube; ser um exemplo a ser seguido e garantir que a equipe de serviço do clube ofereça o mais alto nível de atendimento. *Contin"&amp;"uação da Seção F.a.5 abaixo: 40 horas semanais. Os turnos serão de 8 horas e podem variar conforme a necessidade, de acordo com o anúncio de vaga da Agência Estadual de Força de Trabalho e outras fontes de anúncios de emprego H-2B, conforme os requisitos "&amp;"de recrutamento dos empregadores para trabalhadores em potencial no âmbito do programa H-2B. Turnos variáveis ​​ao longo de 7 dias da semana. Os turnos podem variar das 6h às 23h. Classificação da Função: 35-1012.00 - Supervisores de Primeira Linha de Pre"&amp;"paradores e Servidores de Alimentos. A classificação e descrição da função/setor inclui informações gerais sobre o cargo, de acordo com o ONET/OES e o Sistema de Classificação Industrial da América do Norte (NAICS). Consulte as Funções e a Ordem de Serviç"&amp;"o para obter mais informações. Requisitos da Função Experiência Necessária: Sim Meses de Experiência Necessários: 6 Requisitos Especiais: HABILIDADE DE SE COMUNICAR EM INGLÊS. Os 6 meses de experiência exigidos no Quadro F.A.9 referem-se a 6 meses de expe"&amp;"riência como garçom/garçonete ou garçom/garçonete sênior em um ambiente de hotelaria. Número de Horas por Semana: 40 Horário de Trabalho (Início/Término): 6h00 - 23h00")</f>
        <v>Receber e servir pedidos de comida e bebida; realizar atividades de montagem e desmontagem de mesas e outros eventos; pode ser necessário trabalhar em ambientes externos e em banquetes; pode ser necessário servir clientes em carrinhos de golfe; supervisionar a equipe de serviço durante a montagem; treinar novos garçons; construir e manter um bom relacionamento com os membros do clube; ser um exemplo a ser seguido e garantir que a equipe de serviço do clube ofereça o mais alto nível de atendimento. *Continuação da Seção F.a.5 abaixo: 40 horas semanais. Os turnos serão de 8 horas e podem variar conforme a necessidade, de acordo com o anúncio de vaga da Agência Estadual de Força de Trabalho e outras fontes de anúncios de emprego H-2B, conforme os requisitos de recrutamento dos empregadores para trabalhadores em potencial no âmbito do programa H-2B. Turnos variáveis ​​ao longo de 7 dias da semana. Os turnos podem variar das 6h às 23h. Classificação da Função: 35-1012.00 - Supervisores de Primeira Linha de Preparadores e Servidores de Alimentos. A classificação e descrição da função/setor inclui informações gerais sobre o cargo, de acordo com o ONET/OES e o Sistema de Classificação Industrial da América do Norte (NAICS). Consulte as Funções e a Ordem de Serviço para obter mais informações. Requisitos da Função Experiência Necessária: Sim Meses de Experiência Necessários: 6 Requisitos Especiais: HABILIDADE DE SE COMUNICAR EM INGLÊS. Os 6 meses de experiência exigidos no Quadro F.A.9 referem-se a 6 meses de experiência como garçom/garçonete ou garçom/garçonete sênior em um ambiente de hotelaria. Número de Horas por Semana: 40 Horário de Trabalho (Início/Término): 6h00 - 23h00</v>
      </c>
    </row>
    <row r="2410" ht="20.25" customHeight="1">
      <c r="A2410" s="3" t="s">
        <v>10532</v>
      </c>
      <c r="B2410" s="3" t="s">
        <v>10533</v>
      </c>
      <c r="C2410" s="3" t="s">
        <v>10534</v>
      </c>
      <c r="D2410" s="3" t="s">
        <v>154</v>
      </c>
      <c r="E2410" s="4" t="s">
        <v>19</v>
      </c>
      <c r="F2410" s="4" t="s">
        <v>20</v>
      </c>
      <c r="G2410" s="4" t="s">
        <v>198</v>
      </c>
      <c r="H2410" s="3" t="s">
        <v>10535</v>
      </c>
      <c r="I2410" s="3" t="s">
        <v>10536</v>
      </c>
      <c r="J2410" s="4">
        <v>16.2</v>
      </c>
      <c r="K2410" s="4">
        <v>8.0</v>
      </c>
      <c r="L2410" s="3" t="s">
        <v>387</v>
      </c>
      <c r="M2410" s="3" t="s">
        <v>10537</v>
      </c>
      <c r="N2410" s="7" t="str">
        <f>IFERROR(__xludf.DUMMYFUNCTION("GOOGLETRANSLATE(L2410, ""en"", ""pt"")"),"Ordem de serviço não disponível")</f>
        <v>Ordem de serviço não disponível</v>
      </c>
      <c r="O2410" s="7" t="str">
        <f>IFERROR(__xludf.DUMMYFUNCTION("IF(M2410="""","""",GOOGLETRANSLATE(M2410,""en"",""pt""))"),"Preparar, temperar e cozinhar pratos como sopas, carnes, legumes ou sobremesas em restaurantes. Pode ser necessário encomendar suprimentos, manter registros e contas, precificar itens no cardápio ou planejar o cardápio. Auxiliará em outras áreas do restau"&amp;"rante conforme necessário. Classificação da vaga: 35-2014.00 - Cozinheiros, Restaurante. A classificação e descrição da vaga/setor incluem informações gerais sobre o cargo, de acordo com o ONET/OES e o Sistema de Classificação Industrial da América do Nor"&amp;"te. Consulte as Funções e a Ordem de Serviço para obter mais informações. Requisitos da vaga: Experiência necessária: Não. Número de horas por semana: 35. Horário de trabalho (início/término): 11h às 17h.")</f>
        <v>Preparar, temperar e cozinhar pratos como sopas, carnes, legumes ou sobremesas em restaurantes. Pode ser necessário encomendar suprimentos, manter registros e contas, precificar itens no cardápio ou planejar o cardápio. Auxiliará em outras áreas do restaurante conforme necessário. Classificação da vaga: 35-2014.00 - Cozinheiros, Restaurante. A classificação e descrição da vaga/setor incluem informações gerais sobre o cargo, de acordo com o ONET/OES e o Sistema de Classificação Industrial da América do Norte. Consulte as Funções e a Ordem de Serviço para obter mais informações. Requisitos da vaga: Experiência necessária: Não. Número de horas por semana: 35. Horário de trabalho (início/término): 11h às 17h.</v>
      </c>
    </row>
    <row r="2411" ht="20.25" customHeight="1">
      <c r="A2411" s="8" t="s">
        <v>10538</v>
      </c>
      <c r="B2411" s="8" t="s">
        <v>10539</v>
      </c>
      <c r="C2411" s="8" t="s">
        <v>4272</v>
      </c>
      <c r="D2411" s="8" t="s">
        <v>126</v>
      </c>
      <c r="E2411" s="9" t="s">
        <v>19</v>
      </c>
      <c r="F2411" s="9" t="s">
        <v>20</v>
      </c>
      <c r="G2411" s="9" t="s">
        <v>146</v>
      </c>
      <c r="H2411" s="8" t="s">
        <v>10540</v>
      </c>
      <c r="I2411" s="8" t="s">
        <v>10541</v>
      </c>
      <c r="J2411" s="9">
        <v>23.57</v>
      </c>
      <c r="K2411" s="9">
        <v>2.0</v>
      </c>
      <c r="L2411" s="8" t="s">
        <v>10542</v>
      </c>
      <c r="M2411" s="8" t="s">
        <v>10543</v>
      </c>
      <c r="N2411" s="7" t="str">
        <f>IFERROR(__xludf.DUMMYFUNCTION("GOOGLETRANSLATE(L2411, ""en"", ""pt"")"),"Operário de construção civil e paisagismo")</f>
        <v>Operário de construção civil e paisagismo</v>
      </c>
      <c r="O2411" s="7" t="str">
        <f>IFERROR(__xludf.DUMMYFUNCTION("IF(M2411="""","""",GOOGLETRANSLATE(M2411,""en"",""pt""))"),"Executar trabalhos gerais de construção e paisagismo, incluindo preparação do terreno, manuseio de materiais e limpeza. Auxiliar no carregamento e descarregamento de materiais, escavação, abertura de valas e aterro. Realizar tarefas de paisagismo, como pl"&amp;"antio, nivelamento e suporte básico de irrigação. Operar ferramentas manuais e equipamentos de pequeno porte. Manter a segurança e a limpeza do local de trabalho. Seguir as instruções do supervisor e auxiliar trabalhadores qualificados quando necessário. "&amp;"O trabalho é realizado ao ar livre, em condições climáticas variáveis. Classificação da função: 47-2061.00 - Auxiliares de Construção. A classificação e a descrição da função/setor incluem informações gerais sobre o cargo, de acordo com o ONET/OES e o Sis"&amp;"tema de Classificação Industrial da América do Norte (NAICS). Consulte as Funções e a Ordem de Serviço para obter mais informações. Requisitos da função: Experiência necessária: Não. Requisitos especiais: Nenhum. F.a.5 A-H. (continuação): 8 horas por dia."&amp;" Segunda a sexta, das 7h às 16h. Possibilidade de horas extras. Número de horas por semana: 40. Horário de trabalho (início/término): 7h. - 16:00")</f>
        <v>Executar trabalhos gerais de construção e paisagismo, incluindo preparação do terreno, manuseio de materiais e limpeza. Auxiliar no carregamento e descarregamento de materiais, escavação, abertura de valas e aterro. Realizar tarefas de paisagismo, como plantio, nivelamento e suporte básico de irrigação. Operar ferramentas manuais e equipamentos de pequeno porte. Manter a segurança e a limpeza do local de trabalho. Seguir as instruções do supervisor e auxiliar trabalhadores qualificados quando necessário. O trabalho é realizado ao ar livre, em condições climáticas variáveis. Classificação da função: 47-2061.00 - Auxiliares de Construção. A classificação e a descrição da função/setor incluem informações gerais sobre o cargo, de acordo com o ONET/OES e o Sistema de Classificação Industrial da América do Norte (NAICS). Consulte as Funções e a Ordem de Serviço para obter mais informações. Requisitos da função: Experiência necessária: Não. Requisitos especiais: Nenhum. F.a.5 A-H. (continuação): 8 horas por dia. Segunda a sexta, das 7h às 16h. Possibilidade de horas extras. Número de horas por semana: 40. Horário de trabalho (início/término): 7h. - 16:00</v>
      </c>
    </row>
    <row r="2412" ht="20.25" customHeight="1">
      <c r="A2412" s="3" t="s">
        <v>10544</v>
      </c>
      <c r="B2412" s="3" t="s">
        <v>10545</v>
      </c>
      <c r="C2412" s="3" t="s">
        <v>10546</v>
      </c>
      <c r="D2412" s="3" t="s">
        <v>249</v>
      </c>
      <c r="E2412" s="4" t="s">
        <v>19</v>
      </c>
      <c r="F2412" s="4" t="s">
        <v>20</v>
      </c>
      <c r="G2412" s="4" t="s">
        <v>345</v>
      </c>
      <c r="H2412" s="3" t="s">
        <v>10547</v>
      </c>
      <c r="I2412" s="3" t="s">
        <v>10548</v>
      </c>
      <c r="J2412" s="4">
        <v>17.24</v>
      </c>
      <c r="K2412" s="4">
        <v>2.0</v>
      </c>
      <c r="L2412" s="3" t="s">
        <v>10549</v>
      </c>
      <c r="M2412" s="3" t="s">
        <v>10550</v>
      </c>
      <c r="N2412" s="7" t="str">
        <f>IFERROR(__xludf.DUMMYFUNCTION("GOOGLETRANSLATE(L2412, ""en"", ""pt"")"),"Cozinheiro(a) de restaurante / Auxiliar de cozinha")</f>
        <v>Cozinheiro(a) de restaurante / Auxiliar de cozinha</v>
      </c>
      <c r="O2412" s="7" t="str">
        <f>IFERROR(__xludf.DUMMYFUNCTION("IF(M2412="""","""",GOOGLETRANSLATE(M2412,""en"",""pt""))"),"***Resposta à Solicitação de Informações*** Durante períodos de maior movimento de clientes, o Cozinheiro/Auxiliar de Cozinha desempenha as seguintes funções em coordenação com a equipe da cozinha: • Agiliza o transporte dos pratos preparados das estações"&amp;" de preparo para a área de serviço, a fim de manter a temperatura adequada dos alimentos e o tempo de serviço; • Repõe os ingredientes e suprimentos pré-preparados nas estações de preparo em uso para garantir o preparo ininterrupto dos alimentos; • Auxili"&amp;"a em diversas estações de preparo (incluindo grelha, fritadeira ou sautée) quando o volume de pedidos excede a capacidade de uma única estação; • Coordena com a equipe de lavagem de louça para manter um suprimento contínuo de utensílios e panelas limpos d"&amp;"urante os períodos de maior movimento; e • Comunica o tempo de preparo e o status dos pedidos com outros membros da equipe da cozinha para garantir que todos os componentes dos pedidos dos clientes sejam finalizados e empratados simultaneamente. ***Origin"&amp;"al F.a.2*** Preparar, temperar e cozinhar os itens do cardápio utilizando grelhas, fritadeiras, fornos e fogões, de acordo com as receitas estabelecidas e as especificações do restaurante. Organizar e abastecer as estações de trabalho com os ingredientes "&amp;"e equipamentos necessários antes de cada período de serviço. Lavar, descascar, picar, fatiar e porcionar os ingredientes conforme necessário para o preparo diário dos alimentos. Monitorar as temperaturas de cozimento e garantir que os alimentos sejam prep"&amp;"arados e apresentados de acordo com os padrões do restaurante. Manter a limpeza e a higienização das superfícies de cozimento, utensílios, equipamentos e áreas de preparação de alimentos, em conformidade com as normas de saúde e segurança alimentar aplicá"&amp;"veis. Armazenar e rotacionar o estoque de alimentos de acordo com os padrões de segurança alimentar para minimizar o desperdício e garantir o frescor. Auxiliar na contagem de estoque e comunicar a falta de suprimentos à gerência da cozinha. Apoiar as oper"&amp;"ações da equipe da cozinha durante os períodos de maior movimento de clientes para garantir um serviço de alimentação rápido e consistente. Classificação do Cargo: 35-2014.00 - Cozinheiros, Restaurante. A classificação e a descrição do cargo/setor incluem"&amp;" informações gerais sobre a posição, de acordo com o ONET/OES e o Sistema de Classificação Industrial da América do Norte. Consulte as Funções e a Ordem de Serviço para obter mais informações. Requisitos do Cargo Experiência Necessária: Não. Requisitos Es"&amp;"peciais: Deve ser capaz de ficar em pé por longos períodos e levantar e carregar até 18 kg. Deve ter disponibilidade para trabalhar à noite, nos fins de semana e feriados, conforme a escala. Número de Horas por Semana: 40. Horário de Trabalho (Início/Térm"&amp;"ino): 16h às 22h.")</f>
        <v>***Resposta à Solicitação de Informações*** Durante períodos de maior movimento de clientes, o Cozinheiro/Auxiliar de Cozinha desempenha as seguintes funções em coordenação com a equipe da cozinha: • Agiliza o transporte dos pratos preparados das estações de preparo para a área de serviço, a fim de manter a temperatura adequada dos alimentos e o tempo de serviço; • Repõe os ingredientes e suprimentos pré-preparados nas estações de preparo em uso para garantir o preparo ininterrupto dos alimentos; • Auxilia em diversas estações de preparo (incluindo grelha, fritadeira ou sautée) quando o volume de pedidos excede a capacidade de uma única estação; • Coordena com a equipe de lavagem de louça para manter um suprimento contínuo de utensílios e panelas limpos durante os períodos de maior movimento; e • Comunica o tempo de preparo e o status dos pedidos com outros membros da equipe da cozinha para garantir que todos os componentes dos pedidos dos clientes sejam finalizados e empratados simultaneamente. ***Original F.a.2*** Preparar, temperar e cozinhar os itens do cardápio utilizando grelhas, fritadeiras, fornos e fogões, de acordo com as receitas estabelecidas e as especificações do restaurante. Organizar e abastecer as estações de trabalho com os ingredientes e equipamentos necessários antes de cada período de serviço. Lavar, descascar, picar, fatiar e porcionar os ingredientes conforme necessário para o preparo diário dos alimentos. Monitorar as temperaturas de cozimento e garantir que os alimentos sejam preparados e apresentados de acordo com os padrões do restaurante. Manter a limpeza e a higienização das superfícies de cozimento, utensílios, equipamentos e áreas de preparação de alimentos, em conformidade com as normas de saúde e segurança alimentar aplicáveis. Armazenar e rotacionar o estoque de alimentos de acordo com os padrões de segurança alimentar para minimizar o desperdício e garantir o frescor. Auxiliar na contagem de estoque e comunicar a falta de suprimentos à gerência da cozinha. Apoiar as operações da equipe da cozinha durante os períodos de maior movimento de clientes para garantir um serviço de alimentação rápido e consistente. Classificação do Cargo: 35-2014.00 - Cozinheiros, Restaurante. A classificação e a descrição do cargo/setor incluem informações gerais sobre a posição, de acordo com o ONET/OES e o Sistema de Classificação Industrial da América do Norte. Consulte as Funções e a Ordem de Serviço para obter mais informações. Requisitos do Cargo Experiência Necessária: Não. Requisitos Especiais: Deve ser capaz de ficar em pé por longos períodos e levantar e carregar até 18 kg. Deve ter disponibilidade para trabalhar à noite, nos fins de semana e feriados, conforme a escala. Número de Horas por Semana: 40. Horário de Trabalho (Início/Término): 16h às 22h.</v>
      </c>
    </row>
    <row r="2413" ht="20.25" customHeight="1">
      <c r="A2413" s="8" t="s">
        <v>10551</v>
      </c>
      <c r="B2413" s="8" t="s">
        <v>10552</v>
      </c>
      <c r="C2413" s="8" t="s">
        <v>3981</v>
      </c>
      <c r="D2413" s="8" t="s">
        <v>71</v>
      </c>
      <c r="E2413" s="9" t="s">
        <v>19</v>
      </c>
      <c r="F2413" s="9" t="s">
        <v>20</v>
      </c>
      <c r="G2413" s="9" t="s">
        <v>10553</v>
      </c>
      <c r="H2413" s="8" t="s">
        <v>10554</v>
      </c>
      <c r="I2413" s="8" t="s">
        <v>10555</v>
      </c>
      <c r="J2413" s="9">
        <v>16.15</v>
      </c>
      <c r="K2413" s="9">
        <v>1.0</v>
      </c>
      <c r="L2413" s="8" t="s">
        <v>387</v>
      </c>
      <c r="M2413" s="8" t="s">
        <v>10556</v>
      </c>
      <c r="N2413" s="7" t="str">
        <f>IFERROR(__xludf.DUMMYFUNCTION("GOOGLETRANSLATE(L2413, ""en"", ""pt"")"),"Ordem de serviço não disponível")</f>
        <v>Ordem de serviço não disponível</v>
      </c>
      <c r="O2413" s="7" t="str">
        <f>IFERROR(__xludf.DUMMYFUNCTION("IF(M2413="""","""",GOOGLETRANSLATE(M2413,""en"",""pt""))"),"***Resposta à Solicitação de Informações*** - Refeições (Questão 1): A babá não prepara as três refeições diárias. As refeições são preparadas com antecedência por um cozinheiro, pelos pais ou por terceiros. A babá providencia para que as refeições pré-pr"&amp;"eparadas sejam servidas à criança sob seus cuidados: ela coloca a comida na frente da criança e a aquece, se necessário, usando o micro-ondas disponível na casa. A comida é consumida pela criança sob seus cuidados. - Outras Tarefas Domésticas (Questão 2):"&amp;" Essas tarefas consistem em arrumar as malas da criança para viagens, organizar o quarto da criança quando estiver bagunçado durante o trabalho da babá e auxiliar no desfralde, quando necessário, na ausência dos pais. Não são necessárias ferramentas, equi"&amp;"pamentos ou materiais especiais para realizar essas tarefas. ***Original*** Deveres gerais: A babá deve fornecer cuidados responsáveis ​​a uma criança. • Orientação gentil: Em hipótese alguma a criança poderá se envolver em qualquer atividade considerada "&amp;"perigosa pelos pais ou pela babá. A criança não deve ser punida com palmadas, socos ou toques violentos por transgressões. • Transporte: A criança não será transportada sem o consentimento prévio e as instruções dos pais. A criança não será transportada p"&amp;"ara a casa de outra pessoa sem o consentimento prévio dos pais. Todo o transporte será feito no veículo dos pais e com a cadeirinha apropriada, fornecida e aprovada pelos pais. Nenhuma pessoa tem permissão para transportar a criança sem o consentimento pr"&amp;"évio dos pais. • Refeições: A babá providenciará três refeições completas por dia, dois lanches saudáveis ​​por dia e mamadeiras conforme necessário. • Sonecas: A babá garantirá que a criança siga o horário e a rotina de sonecas fornecidos pelos pais. • D"&amp;"iretrizes para liberar a criança: A babá não liberará a criança para nenhum parente, vizinho, amigo da família ou pai/mãe de amigo(a) sem a autorização expressa dos pais. • Tempo ao ar livre: A babá passará pelo menos trinta (30) minutos por dia ao ar liv"&amp;"re com a criança, se o tempo permitir, no quintal da casa dos pais ou em parques aprovados pelos pais. A babá garantirá proteção adequada contra sol, chuva e neve para a criança (por exemplo, protetor solar, jaquetas, etc., a serem providenciados pelos pa"&amp;"is). • Atualizações regulares para os pais: A babá fornecerá aos pais uma atualização diária por mensagem de texto ou e-mail. Tarefas domésticas: A babá será responsável pelas seguintes tarefas domésticas como parte de seu trabalho: i. Utensílios de cozin"&amp;"ha/mamadeiras: Limpeza diária de todas as mamadeiras, copos, pratos, etc., usados ​​pela criança e pela babá (por exemplo, a babá colocará a louça suja na lava-louças e ligará a lava-louças apropriada). A babá também passará aspirador de pó e/ou varrerá e"&amp;"mbaixo das mesas da cozinha e limpará as mesas e bancadas após as refeições, conforme necessário. ii. Área de recreação: Recolher diariamente os brinquedos e roupas nas áreas de recreação da criança (incluindo os quartos da criança, sala de brinquedos, sa"&amp;"la de estar e área externa) e trocar os brinquedos periodicamente. iii. Lavanderia da Criança: Lavagem semanal, ou mediante solicitação, das roupas do bebê, incluindo roupas, lençóis, babadores, capa da cadeirinha de alimentação, trocador, etc. iv. Outras"&amp;" Tarefas Domésticas: A babá será responsável por outras tarefas domésticas, conforme razoavelmente solicitado pelos pais (por exemplo, arrumar as malas da criança para viagens, organizar o quarto da criança, auxiliar no desfralde, etc.). Classificação da "&amp;"Função: 39-9011.01 - Babás. A classificação e descrição da função/setor incluem informações gerais sobre o cargo, de acordo com o ONET/OES e o Sistema de Classificação Industrial da América do Norte. Consulte as Funções e a Ordem de Serviço para obter mai"&amp;"s informações. Requisitos da Função: Experiência Necessária: Não. Requisitos Especiais: NENHUM. Número de Horas por Semana: 48. Horário de Trabalho (Início/Término): 8h00 - 20h00.")</f>
        <v>***Resposta à Solicitação de Informações*** - Refeições (Questão 1): A babá não prepara as três refeições diárias. As refeições são preparadas com antecedência por um cozinheiro, pelos pais ou por terceiros. A babá providencia para que as refeições pré-preparadas sejam servidas à criança sob seus cuidados: ela coloca a comida na frente da criança e a aquece, se necessário, usando o micro-ondas disponível na casa. A comida é consumida pela criança sob seus cuidados. - Outras Tarefas Domésticas (Questão 2): Essas tarefas consistem em arrumar as malas da criança para viagens, organizar o quarto da criança quando estiver bagunçado durante o trabalho da babá e auxiliar no desfralde, quando necessário, na ausência dos pais. Não são necessárias ferramentas, equipamentos ou materiais especiais para realizar essas tarefas. ***Original*** Deveres gerais: A babá deve fornecer cuidados responsáveis ​​a uma criança. • Orientação gentil: Em hipótese alguma a criança poderá se envolver em qualquer atividade considerada perigosa pelos pais ou pela babá. A criança não deve ser punida com palmadas, socos ou toques violentos por transgressões. • Transporte: A criança não será transportada sem o consentimento prévio e as instruções dos pais. A criança não será transportada para a casa de outra pessoa sem o consentimento prévio dos pais. Todo o transporte será feito no veículo dos pais e com a cadeirinha apropriada, fornecida e aprovada pelos pais. Nenhuma pessoa tem permissão para transportar a criança sem o consentimento prévio dos pais. • Refeições: A babá providenciará três refeições completas por dia, dois lanches saudáveis ​​por dia e mamadeiras conforme necessário. • Sonecas: A babá garantirá que a criança siga o horário e a rotina de sonecas fornecidos pelos pais. • Diretrizes para liberar a criança: A babá não liberará a criança para nenhum parente, vizinho, amigo da família ou pai/mãe de amigo(a) sem a autorização expressa dos pais. • Tempo ao ar livre: A babá passará pelo menos trinta (30) minutos por dia ao ar livre com a criança, se o tempo permitir, no quintal da casa dos pais ou em parques aprovados pelos pais. A babá garantirá proteção adequada contra sol, chuva e neve para a criança (por exemplo, protetor solar, jaquetas, etc., a serem providenciados pelos pais). • Atualizações regulares para os pais: A babá fornecerá aos pais uma atualização diária por mensagem de texto ou e-mail. Tarefas domésticas: A babá será responsável pelas seguintes tarefas domésticas como parte de seu trabalho: i. Utensílios de cozinha/mamadeiras: Limpeza diária de todas as mamadeiras, copos, pratos, etc., usados ​​pela criança e pela babá (por exemplo, a babá colocará a louça suja na lava-louças e ligará a lava-louças apropriada). A babá também passará aspirador de pó e/ou varrerá embaixo das mesas da cozinha e limpará as mesas e bancadas após as refeições, conforme necessário. ii. Área de recreação: Recolher diariamente os brinquedos e roupas nas áreas de recreação da criança (incluindo os quartos da criança, sala de brinquedos, sala de estar e área externa) e trocar os brinquedos periodicamente. iii. Lavanderia da Criança: Lavagem semanal, ou mediante solicitação, das roupas do bebê, incluindo roupas, lençóis, babadores, capa da cadeirinha de alimentação, trocador, etc. iv. Outras Tarefas Domésticas: A babá será responsável por outras tarefas domésticas, conforme razoavelmente solicitado pelos pais (por exemplo, arrumar as malas da criança para viagens, organizar o quarto da criança, auxiliar no desfralde, etc.). Classificação da Função: 39-9011.01 - Babás. A classificação e descrição da função/setor incluem informações gerais sobre o cargo, de acordo com o ONET/OES e o Sistema de Classificação Industrial da América do Norte. Consulte as Funções e a Ordem de Serviço para obter mais informações. Requisitos da Função: Experiência Necessária: Não. Requisitos Especiais: NENHUM. Número de Horas por Semana: 48. Horário de Trabalho (Início/Término): 8h00 - 20h00.</v>
      </c>
    </row>
    <row r="2414" ht="20.25" customHeight="1">
      <c r="A2414" s="3" t="s">
        <v>10557</v>
      </c>
      <c r="B2414" s="3" t="s">
        <v>10558</v>
      </c>
      <c r="C2414" s="3" t="s">
        <v>10559</v>
      </c>
      <c r="D2414" s="3" t="s">
        <v>10560</v>
      </c>
      <c r="E2414" s="4" t="s">
        <v>19</v>
      </c>
      <c r="F2414" s="4" t="s">
        <v>20</v>
      </c>
      <c r="G2414" s="4" t="s">
        <v>155</v>
      </c>
      <c r="H2414" s="3" t="s">
        <v>10561</v>
      </c>
      <c r="I2414" s="3" t="s">
        <v>10562</v>
      </c>
      <c r="J2414" s="4">
        <v>15.68</v>
      </c>
      <c r="K2414" s="4">
        <v>3.0</v>
      </c>
      <c r="L2414" s="3" t="s">
        <v>10563</v>
      </c>
      <c r="M2414" s="3" t="s">
        <v>10564</v>
      </c>
      <c r="N2414" s="7" t="str">
        <f>IFERROR(__xludf.DUMMYFUNCTION("GOOGLETRANSLATE(L2414, ""en"", ""pt"")"),"Associado de vendas")</f>
        <v>Associado de vendas</v>
      </c>
      <c r="O2414" s="7" t="str">
        <f>IFERROR(__xludf.DUMMYFUNCTION("IF(M2414="""","""",GOOGLETRANSLATE(M2414,""en"",""pt""))"),"Preparar a loja, o estoque e os equipamentos para o dia de trabalho. Abrir e fechar a loja. Auxiliar os clientes com dúvidas sobre vendas. Utilizar o conhecimento do produto e técnicas de vendas para fechar negócios com sucesso. Manter o estoque, garantin"&amp;"do que todas as quantidades correspondam aos registros da loja, que o estoque esteja armazenado adequadamente para evitar danos e que a limpeza seja feita com frequência. Classificação da vaga: 41-2031.00 - Vendedor(a) de Varejo. A classificação e a descr"&amp;"ição da vaga/setor incluem informações gerais sobre o cargo, de acordo com o ONET/OES e o Sistema de Classificação Industrial da América do Norte (NAICS). Consulte as Funções e a Ordem de Serviço para obter mais informações. Requisitos da vaga: Experiênci"&amp;"a necessária: Sim. Meses de experiência necessários: 6. Requisitos especiais: Seis meses de experiência como associado(a) de vendas, vendedor(a) ou em função similar em uma loja voltada para passageiros de cruzeiros e/ou turistas. É IMPRESCINDÍVEL TER CON"&amp;"HECIMENTO DE JOIAS E DE MARKETING PARA O TIME DE CRUZEIROS. Número de horas por semana: 40. Horário de trabalho (início/término): 6h. - 14h00")</f>
        <v>Preparar a loja, o estoque e os equipamentos para o dia de trabalho. Abrir e fechar a loja. Auxiliar os clientes com dúvidas sobre vendas. Utilizar o conhecimento do produto e técnicas de vendas para fechar negócios com sucesso. Manter o estoque, garantindo que todas as quantidades correspondam aos registros da loja, que o estoque esteja armazenado adequadamente para evitar danos e que a limpeza seja feita com frequência. Classificação da vaga: 41-2031.00 - Vendedor(a) de Varejo. A classificação e a descrição da vaga/setor incluem informações gerais sobre o cargo, de acordo com o ONET/OES e o Sistema de Classificação Industrial da América do Norte (NAICS). Consulte as Funções e a Ordem de Serviço para obter mais informações. Requisitos da vaga: Experiência necessária: Sim. Meses de experiência necessários: 6. Requisitos especiais: Seis meses de experiência como associado(a) de vendas, vendedor(a) ou em função similar em uma loja voltada para passageiros de cruzeiros e/ou turistas. É IMPRESCINDÍVEL TER CONHECIMENTO DE JOIAS E DE MARKETING PARA O TIME DE CRUZEIROS. Número de horas por semana: 40. Horário de trabalho (início/término): 6h. - 14h00</v>
      </c>
    </row>
    <row r="2415" ht="20.25" customHeight="1">
      <c r="A2415" s="8" t="s">
        <v>10565</v>
      </c>
      <c r="B2415" s="8" t="s">
        <v>10566</v>
      </c>
      <c r="C2415" s="8" t="s">
        <v>10508</v>
      </c>
      <c r="D2415" s="8" t="s">
        <v>71</v>
      </c>
      <c r="E2415" s="9" t="s">
        <v>19</v>
      </c>
      <c r="F2415" s="9" t="s">
        <v>20</v>
      </c>
      <c r="G2415" s="9" t="s">
        <v>524</v>
      </c>
      <c r="H2415" s="8" t="s">
        <v>10567</v>
      </c>
      <c r="I2415" s="8" t="s">
        <v>10568</v>
      </c>
      <c r="J2415" s="9">
        <v>17.3</v>
      </c>
      <c r="K2415" s="9">
        <v>7.0</v>
      </c>
      <c r="L2415" s="8" t="s">
        <v>586</v>
      </c>
      <c r="M2415" s="8" t="s">
        <v>10569</v>
      </c>
      <c r="N2415" s="7" t="str">
        <f>IFERROR(__xludf.DUMMYFUNCTION("GOOGLETRANSLATE(L2415, ""en"", ""pt"")"),"Cozinheiro de linha")</f>
        <v>Cozinheiro de linha</v>
      </c>
      <c r="O2415" s="7" t="str">
        <f>IFERROR(__xludf.DUMMYFUNCTION("IF(M2415="""","""",GOOGLETRANSLATE(M2415,""en"",""pt""))"),"Prepara, tempera e cozinha sopas, carnes, legumes, frutas, sobremesas e outros alimentos diversos para consumo; observa as diretrizes da receita e os procedimentos de higiene. Classificação da vaga: 35-2014.00 - Cozinheiros, Restaurante. A classificação e"&amp;" a descrição da vaga/setor incluem informações gerais sobre o cargo, de acordo com o ONET/OES e o Sistema de Classificação Industrial da América do Norte. Consulte as Funções e a Ordem de Serviço para obter mais informações. Requisitos da vaga: Experiênci"&amp;"a exigida: Sim. Meses de experiência exigidos: 3. Requisitos especiais: Aprovação na verificação de antecedentes criminais pré-admissional; teste toxicológico pós-admissional. O empregador exige que a verificação de antecedentes criminais pré-admissional "&amp;"e o teste toxicológico pós-admissional sejam realizados igualmente para trabalhadores americanos e trabalhadores com visto H-2B. *CONTINUAÇÃO DA SEÇÃO F.A.5 DA ETA 9142 ACIMA: 40 HORAS SEMANAIS CONSISTIRÃO EM TURNOS DE 8 HORAS QUE PODEM VARIAR CONFORME A "&amp;"NECESSIDADE AO LONGO DOS 7 DIAS DA SEMANA. O TURNO PODE VARIAR DAS 6H ÀS 23H. Número de horas por semana: 40. Horário de trabalho (início/término): 9h às 18h.")</f>
        <v>Prepara, tempera e cozinha sopas, carnes, legumes, frutas, sobremesas e outros alimentos diversos para consumo; observa as diretrizes da receita e os procedimentos de higiene. Classificação da vaga: 35-2014.00 - Cozinheiros, Restaurante. A classificação e a descrição da vaga/setor incluem informações gerais sobre o cargo, de acordo com o ONET/OES e o Sistema de Classificação Industrial da América do Norte. Consulte as Funções e a Ordem de Serviço para obter mais informações. Requisitos da vaga: Experiência exigida: Sim. Meses de experiência exigidos: 3. Requisitos especiais: Aprovação na verificação de antecedentes criminais pré-admissional; teste toxicológico pós-admissional. O empregador exige que a verificação de antecedentes criminais pré-admissional e o teste toxicológico pós-admissional sejam realizados igualmente para trabalhadores americanos e trabalhadores com visto H-2B. *CONTINUAÇÃO DA SEÇÃO F.A.5 DA ETA 9142 ACIMA: 40 HORAS SEMANAIS CONSISTIRÃO EM TURNOS DE 8 HORAS QUE PODEM VARIAR CONFORME A NECESSIDADE AO LONGO DOS 7 DIAS DA SEMANA. O TURNO PODE VARIAR DAS 6H ÀS 23H. Número de horas por semana: 40. Horário de trabalho (início/término): 9h às 18h.</v>
      </c>
    </row>
    <row r="2416" ht="20.25" customHeight="1">
      <c r="A2416" s="3" t="s">
        <v>10570</v>
      </c>
      <c r="B2416" s="3" t="s">
        <v>10566</v>
      </c>
      <c r="C2416" s="3" t="s">
        <v>10508</v>
      </c>
      <c r="D2416" s="3" t="s">
        <v>71</v>
      </c>
      <c r="E2416" s="4" t="s">
        <v>19</v>
      </c>
      <c r="F2416" s="4" t="s">
        <v>20</v>
      </c>
      <c r="G2416" s="4" t="s">
        <v>524</v>
      </c>
      <c r="H2416" s="3" t="s">
        <v>10567</v>
      </c>
      <c r="I2416" s="3" t="s">
        <v>10568</v>
      </c>
      <c r="J2416" s="4">
        <v>18.71</v>
      </c>
      <c r="K2416" s="4">
        <v>17.0</v>
      </c>
      <c r="L2416" s="3" t="s">
        <v>1206</v>
      </c>
      <c r="M2416" s="3" t="s">
        <v>10571</v>
      </c>
      <c r="N2416" s="7" t="str">
        <f>IFERROR(__xludf.DUMMYFUNCTION("GOOGLETRANSLATE(L2416, ""en"", ""pt"")"),"Servidor")</f>
        <v>Servidor</v>
      </c>
      <c r="O2416" s="7" t="str">
        <f>IFERROR(__xludf.DUMMYFUNCTION("IF(M2416="""","""",GOOGLETRANSLATE(M2416,""en"",""pt""))"),"Receber e servir pedidos de comida e bebida; realizar atividades de montagem e desmontagem de mesas e outras tarefas diversas; pode ser necessário trabalhar em ambientes externos e em eventos de banquetes; pode ser necessário servir clientes utilizando ca"&amp;"rrinhos de golfe. Classificação da vaga: 35-3031.00 - Garçons e Garçonetes. A classificação e descrição da vaga/setor inclui informações gerais sobre o cargo, de acordo com o ONET/OES e o Sistema de Classificação Industrial da América do Norte (NAICS). Co"&amp;"nsulte as Funções e a Ordem de Serviço para obter mais informações. Requisitos da vaga: Experiência exigida: Sim. Meses de experiência exigidos: 3. Requisitos especiais: Aprovação na verificação de antecedentes criminais pré-admissional; capacidade de se "&amp;"comunicar em inglês; teste toxicológico pós-admissional. O empregador exige que a verificação de antecedentes criminais pré-admissional e o teste toxicológico pós-admissional sejam realizados igualmente para trabalhadores americanos e trabalhadores com vi"&amp;"sto H-2B. *CONTINUAÇÃO DA SEÇÃO F.A.5 DA ETA 9142 ACIMA: 40 HORAS SEMANAIS CONSISTIRÃO EM TURNOS DE 8 HORAS QUE PODEM VARIAR CONFORME A NECESSIDADE AO LONGO DOS 7 DIAS DA SEMANA. O TURNO PODE VARIAR DAS 6H ÀS 23H. Número de horas por semana: 40. Horário d"&amp;"e trabalho (início/término): 9h às 18h.")</f>
        <v>Receber e servir pedidos de comida e bebida; realizar atividades de montagem e desmontagem de mesas e outras tarefas diversas; pode ser necessário trabalhar em ambientes externos e em eventos de banquetes; pode ser necessário servir clientes utilizando carrinhos de golfe. Classificação da vaga: 35-3031.00 - Garçons e Garçonetes. A classificação e descrição da vaga/setor inclui informações gerais sobre o cargo, de acordo com o ONET/OES e o Sistema de Classificação Industrial da América do Norte (NAICS). Consulte as Funções e a Ordem de Serviço para obter mais informações. Requisitos da vaga: Experiência exigida: Sim. Meses de experiência exigidos: 3. Requisitos especiais: Aprovação na verificação de antecedentes criminais pré-admissional; capacidade de se comunicar em inglês; teste toxicológico pós-admissional. O empregador exige que a verificação de antecedentes criminais pré-admissional e o teste toxicológico pós-admissional sejam realizados igualmente para trabalhadores americanos e trabalhadores com visto H-2B. *CONTINUAÇÃO DA SEÇÃO F.A.5 DA ETA 9142 ACIMA: 40 HORAS SEMANAIS CONSISTIRÃO EM TURNOS DE 8 HORAS QUE PODEM VARIAR CONFORME A NECESSIDADE AO LONGO DOS 7 DIAS DA SEMANA. O TURNO PODE VARIAR DAS 6H ÀS 23H. Número de horas por semana: 40. Horário de trabalho (início/término): 9h às 18h.</v>
      </c>
    </row>
    <row r="2417" ht="20.25" customHeight="1">
      <c r="A2417" s="8" t="s">
        <v>10572</v>
      </c>
      <c r="B2417" s="8" t="s">
        <v>10566</v>
      </c>
      <c r="C2417" s="8" t="s">
        <v>10508</v>
      </c>
      <c r="D2417" s="8" t="s">
        <v>71</v>
      </c>
      <c r="E2417" s="9" t="s">
        <v>19</v>
      </c>
      <c r="F2417" s="9" t="s">
        <v>20</v>
      </c>
      <c r="G2417" s="9" t="s">
        <v>524</v>
      </c>
      <c r="H2417" s="8" t="s">
        <v>10573</v>
      </c>
      <c r="I2417" s="8" t="s">
        <v>10568</v>
      </c>
      <c r="J2417" s="9">
        <v>15.6</v>
      </c>
      <c r="K2417" s="9">
        <v>4.0</v>
      </c>
      <c r="L2417" s="8" t="s">
        <v>2821</v>
      </c>
      <c r="M2417" s="8" t="s">
        <v>10574</v>
      </c>
      <c r="N2417" s="7" t="str">
        <f>IFERROR(__xludf.DUMMYFUNCTION("GOOGLETRANSLATE(L2417, ""en"", ""pt"")"),"Auxiliar de Recreação")</f>
        <v>Auxiliar de Recreação</v>
      </c>
      <c r="O2417" s="7" t="str">
        <f>IFERROR(__xludf.DUMMYFUNCTION("IF(M2417="""","""",GOOGLETRANSLATE(M2417,""en"",""pt""))"),"O funcionário poderá ser solicitado a desempenhar qualquer uma das seguintes funções: monitorar as atividades no campo de golfe; prestar assistência administrativa aos sócios, incluindo a verificação de cartões de sócio, confirmação de reservas, organizaç"&amp;"ão de mercadorias e fornecimento de informações sobre as instalações; realizar a limpeza básica dos carrinhos de golfe, removendo detritos e limpando os tacos; e transportar os equipamentos/bolsas de golfe dos sócios e os próprios sócios dentro das instal"&amp;"ações, de e para a sede do clube, utilizando carrinhos de golfe. Classificação da vaga: 39-3091.00 - Atendentes de Diversão e Recreação. A classificação e a descrição da vaga/setor incluem informações gerais sobre o cargo, de acordo com o ONET/OES e o Sis"&amp;"tema de Classificação Industrial da América do Norte. Consulte as Funções e a Ordem de Serviço para obter mais informações. Requisitos da vaga: Experiência exigida: Não. Requisitos especiais: Aprovação na verificação de antecedentes criminais pré-admissio"&amp;"nal; capacidade de se comunicar em inglês; teste toxicológico pós-admissional. O empregador exige que a verificação de antecedentes criminais pré-admissional e o teste toxicológico pós-admissional sejam realizados igualmente para trabalhadores americanos "&amp;"e trabalhadores com visto H-2B. *CONTINUAÇÃO DA SEÇÃO F.A.5 DA ETA 9142 ACIMA: 40 HORAS SEMANAIS CONSISTIRÃO EM TURNOS DE 8 HORAS QUE PODEM VARIAR CONFORME A NECESSIDADE AO LONGO DOS 7 DIAS DA SEMANA. O TURNO PODE VARIAR DAS 6H ÀS 23H. Número de horas por"&amp;" semana: 40. Horário de trabalho (início/término): 9h às 18h.")</f>
        <v>O funcionário poderá ser solicitado a desempenhar qualquer uma das seguintes funções: monitorar as atividades no campo de golfe; prestar assistência administrativa aos sócios, incluindo a verificação de cartões de sócio, confirmação de reservas, organização de mercadorias e fornecimento de informações sobre as instalações; realizar a limpeza básica dos carrinhos de golfe, removendo detritos e limpando os tacos; e transportar os equipamentos/bolsas de golfe dos sócios e os próprios sócios dentro das instalações, de e para a sede do clube, utilizando carrinhos de golfe. Classificação da vaga: 39-3091.00 - Atendentes de Diversão e Recreação. A classificação e a descrição da vaga/setor incluem informações gerais sobre o cargo, de acordo com o ONET/OES e o Sistema de Classificação Industrial da América do Norte. Consulte as Funções e a Ordem de Serviço para obter mais informações. Requisitos da vaga: Experiência exigida: Não. Requisitos especiais: Aprovação na verificação de antecedentes criminais pré-admissional; capacidade de se comunicar em inglês; teste toxicológico pós-admissional. O empregador exige que a verificação de antecedentes criminais pré-admissional e o teste toxicológico pós-admissional sejam realizados igualmente para trabalhadores americanos e trabalhadores com visto H-2B. *CONTINUAÇÃO DA SEÇÃO F.A.5 DA ETA 9142 ACIMA: 40 HORAS SEMANAIS CONSISTIRÃO EM TURNOS DE 8 HORAS QUE PODEM VARIAR CONFORME A NECESSIDADE AO LONGO DOS 7 DIAS DA SEMANA. O TURNO PODE VARIAR DAS 6H ÀS 23H. Número de horas por semana: 40. Horário de trabalho (início/término): 9h às 18h.</v>
      </c>
    </row>
    <row r="2418" ht="20.25" customHeight="1">
      <c r="A2418" s="3" t="s">
        <v>10575</v>
      </c>
      <c r="B2418" s="3" t="s">
        <v>10566</v>
      </c>
      <c r="C2418" s="3" t="s">
        <v>10508</v>
      </c>
      <c r="D2418" s="3" t="s">
        <v>71</v>
      </c>
      <c r="E2418" s="4" t="s">
        <v>44</v>
      </c>
      <c r="F2418" s="4" t="s">
        <v>20</v>
      </c>
      <c r="G2418" s="4" t="s">
        <v>2339</v>
      </c>
      <c r="H2418" s="3" t="s">
        <v>10567</v>
      </c>
      <c r="I2418" s="3" t="s">
        <v>10568</v>
      </c>
      <c r="J2418" s="4">
        <v>22.56</v>
      </c>
      <c r="K2418" s="4">
        <v>3.0</v>
      </c>
      <c r="L2418" s="3" t="s">
        <v>4654</v>
      </c>
      <c r="M2418" s="3" t="s">
        <v>10576</v>
      </c>
      <c r="N2418" s="7" t="str">
        <f>IFERROR(__xludf.DUMMYFUNCTION("GOOGLETRANSLATE(L2418, ""en"", ""pt"")"),"Capitão do servidor")</f>
        <v>Capitão do servidor</v>
      </c>
      <c r="O2418" s="7" t="str">
        <f>IFERROR(__xludf.DUMMYFUNCTION("IF(M2418="""","""",GOOGLETRANSLATE(M2418,""en"",""pt""))"),"Supervisionar a equipe de atendimento durante a preparação, o serviço e a limpeza; treinar novos garçons no salão; construir e manter um bom relacionamento com os membros do clube; assumir funções de garçom quando necessário, principalmente no atendimento"&amp;" a convidados de honra e VIPs; ser um exemplo a ser seguido e garantir o mais alto nível de serviço prestado pela equipe de atendimento do clube. Supervisionar aproximadamente 4 a 5 pessoas. Classificação da vaga: 35-1012.00 - Supervisores de Primeira Lin"&amp;"ha de Preparadores e Servidores de Alimentos. A classificação e a descrição da vaga/setor incluem informações gerais sobre o cargo, de acordo com o ONET/OES e o Sistema de Classificação Industrial da América do Norte (NAICS). Consulte as Funções e a Ordem"&amp;" de Serviço para obter mais informações. Requisitos da vaga: Experiência exigida: Sim. Meses de experiência exigidos: 6. Requisitos especiais: Aprovação na verificação de antecedentes criminais pré-admissional; capacidade de se comunicar em inglês; teste "&amp;"toxicológico pós-admissional. O empregador exige que a verificação de antecedentes criminais pré-admissional e o teste toxicológico pós-admissional sejam realizados igualmente para trabalhadores americanos e trabalhadores com visto H-2B. *CONTINUAÇÃO DA S"&amp;"EÇÃO F.A.5 DA ETA 9142 ACIMA: 40 HORAS SEMANAIS CONSISTIRÃO EM TURNOS DE 8 HORAS QUE PODEM VARIAR CONFORME A NECESSIDADE AO LONGO DOS 7 DIAS DA SEMANA. O TURNO PODE VARIAR DAS 6H ÀS 23H. Número de horas por semana: 40. Horário de trabalho (início/término)"&amp;": 9h às 18h.")</f>
        <v>Supervisionar a equipe de atendimento durante a preparação, o serviço e a limpeza; treinar novos garçons no salão; construir e manter um bom relacionamento com os membros do clube; assumir funções de garçom quando necessário, principalmente no atendimento a convidados de honra e VIPs; ser um exemplo a ser seguido e garantir o mais alto nível de serviço prestado pela equipe de atendimento do clube. Supervisionar aproximadamente 4 a 5 pessoas. Classificação da vaga: 35-1012.00 - Supervisores de Primeira Linha de Preparadores e Servidores de Alimentos. A classificação e a descrição da vaga/setor incluem informações gerais sobre o cargo, de acordo com o ONET/OES e o Sistema de Classificação Industrial da América do Norte (NAICS). Consulte as Funções e a Ordem de Serviço para obter mais informações. Requisitos da vaga: Experiência exigida: Sim. Meses de experiência exigidos: 6. Requisitos especiais: Aprovação na verificação de antecedentes criminais pré-admissional; capacidade de se comunicar em inglês; teste toxicológico pós-admissional. O empregador exige que a verificação de antecedentes criminais pré-admissional e o teste toxicológico pós-admissional sejam realizados igualmente para trabalhadores americanos e trabalhadores com visto H-2B. *CONTINUAÇÃO DA SEÇÃO F.A.5 DA ETA 9142 ACIMA: 40 HORAS SEMANAIS CONSISTIRÃO EM TURNOS DE 8 HORAS QUE PODEM VARIAR CONFORME A NECESSIDADE AO LONGO DOS 7 DIAS DA SEMANA. O TURNO PODE VARIAR DAS 6H ÀS 23H. Número de horas por semana: 40. Horário de trabalho (início/término): 9h às 18h.</v>
      </c>
    </row>
    <row r="2419" ht="20.25" customHeight="1">
      <c r="A2419" s="8" t="s">
        <v>10577</v>
      </c>
      <c r="B2419" s="8" t="s">
        <v>10578</v>
      </c>
      <c r="C2419" s="8" t="s">
        <v>9739</v>
      </c>
      <c r="D2419" s="8" t="s">
        <v>71</v>
      </c>
      <c r="E2419" s="9" t="s">
        <v>19</v>
      </c>
      <c r="F2419" s="9" t="s">
        <v>20</v>
      </c>
      <c r="G2419" s="9" t="s">
        <v>345</v>
      </c>
      <c r="H2419" s="8" t="s">
        <v>10579</v>
      </c>
      <c r="I2419" s="8" t="s">
        <v>10580</v>
      </c>
      <c r="J2419" s="9">
        <v>15.6</v>
      </c>
      <c r="K2419" s="9">
        <v>36.0</v>
      </c>
      <c r="L2419" s="8" t="s">
        <v>10581</v>
      </c>
      <c r="M2419" s="8" t="s">
        <v>10582</v>
      </c>
      <c r="N2419" s="7" t="str">
        <f>IFERROR(__xludf.DUMMYFUNCTION("GOOGLETRANSLATE(L2419, ""en"", ""pt"")"),"Caddie de golfe")</f>
        <v>Caddie de golfe</v>
      </c>
      <c r="O2419" s="7" t="str">
        <f>IFERROR(__xludf.DUMMYFUNCTION("IF(M2419="""","""",GOOGLETRANSLATE(M2419,""en"",""pt""))"),"Funções: Prestar serviços tradicionais de caddie, incluindo carregar as bolsas, aconselhar os jogadores na escolha do taco adequado para o jogo, ler os greens e rastelar os bunkers. Requisitos: Mínimo de 3 meses de experiência tradicional como caddie nos "&amp;"últimos 5 anos. Verificações de antecedentes e exames toxicológicos pré-admissionais serão realizados igualmente para candidatos americanos e com visto H2B. Disponibilidade para trabalhar no mínimo 6 dias por semana, dependendo da escala. Remuneração: US$"&amp;" 95,00 por volta a pé de 18 buracos; US$ 47,50 por volta a pé de 9 buracos; US$ 47,50 por volta como caddie de 18 buracos; e US$ 23,75 por volta como caddie de 9 buracos. No entanto, a remuneração não será inferior ao salário vigente de US$ 15,60/hora. Ho"&amp;"ras extras poderão ser pagas a US$ 23,40/hora, conforme a necessidade da empresa. Gorjetas pagas a critério do sócio do clube. Turnos: Durante este período, o Clube funciona 7 dias por semana, das 7h às 18h30; os turnos variam de acordo com a necessidade,"&amp;" com um mínimo de 35 horas de trabalho por semana. Classificação do Cargo: 39-3091.00 - Atendentes de Diversão e Recreação. A classificação e descrição do cargo/setor incluem informações gerais sobre a posição, de acordo com o ONET/OES e o Sistema de Clas"&amp;"sificação Industrial da América do Norte (NAICS). Consulte as Funções e a Ordem de Serviço para obter mais informações. Requisitos do Cargo Experiência Necessária: Sim Meses de Experiência Necessários: 3 Requisitos Especiais: Mínimo de 3 meses de experiên"&amp;"cia tradicional como caddie nos últimos 5 anos. Verificações de antecedentes e exames toxicológicos pré-admissionais são realizados igualmente para trabalhadores americanos e com visto H2B. Disponibilidade para trabalhar no mínimo 6 dias por semana, depen"&amp;"dendo da escala. Número de Horas por Semana: 35 Horário de Trabalho (Início/Término): 7h às 18h30.")</f>
        <v>Funções: Prestar serviços tradicionais de caddie, incluindo carregar as bolsas, aconselhar os jogadores na escolha do taco adequado para o jogo, ler os greens e rastelar os bunkers. Requisitos: Mínimo de 3 meses de experiência tradicional como caddie nos últimos 5 anos. Verificações de antecedentes e exames toxicológicos pré-admissionais serão realizados igualmente para candidatos americanos e com visto H2B. Disponibilidade para trabalhar no mínimo 6 dias por semana, dependendo da escala. Remuneração: US$ 95,00 por volta a pé de 18 buracos; US$ 47,50 por volta a pé de 9 buracos; US$ 47,50 por volta como caddie de 18 buracos; e US$ 23,75 por volta como caddie de 9 buracos. No entanto, a remuneração não será inferior ao salário vigente de US$ 15,60/hora. Horas extras poderão ser pagas a US$ 23,40/hora, conforme a necessidade da empresa. Gorjetas pagas a critério do sócio do clube. Turnos: Durante este período, o Clube funciona 7 dias por semana, das 7h às 18h30; os turnos variam de acordo com a necessidade, com um mínimo de 35 horas de trabalho por semana. Classificação do Cargo: 39-3091.00 - Atendentes de Diversão e Recreação. A classificação e descrição do cargo/setor incluem informações gerais sobre a posição, de acordo com o ONET/OES e o Sistema de Classificação Industrial da América do Norte (NAICS). Consulte as Funções e a Ordem de Serviço para obter mais informações. Requisitos do Cargo Experiência Necessária: Sim Meses de Experiência Necessários: 3 Requisitos Especiais: Mínimo de 3 meses de experiência tradicional como caddie nos últimos 5 anos. Verificações de antecedentes e exames toxicológicos pré-admissionais são realizados igualmente para trabalhadores americanos e com visto H2B. Disponibilidade para trabalhar no mínimo 6 dias por semana, dependendo da escala. Número de Horas por Semana: 35 Horário de Trabalho (Início/Término): 7h às 18h30.</v>
      </c>
    </row>
    <row r="2420" ht="20.25" customHeight="1">
      <c r="A2420" s="3" t="s">
        <v>10583</v>
      </c>
      <c r="B2420" s="3" t="s">
        <v>10584</v>
      </c>
      <c r="C2420" s="3" t="s">
        <v>10337</v>
      </c>
      <c r="D2420" s="3" t="s">
        <v>532</v>
      </c>
      <c r="E2420" s="4" t="s">
        <v>19</v>
      </c>
      <c r="F2420" s="4" t="s">
        <v>20</v>
      </c>
      <c r="G2420" s="4" t="s">
        <v>56</v>
      </c>
      <c r="H2420" s="3" t="s">
        <v>10585</v>
      </c>
      <c r="I2420" s="3" t="s">
        <v>10586</v>
      </c>
      <c r="J2420" s="4">
        <v>43.84</v>
      </c>
      <c r="K2420" s="4">
        <v>40.0</v>
      </c>
      <c r="L2420" s="3" t="s">
        <v>59</v>
      </c>
      <c r="M2420" s="3" t="s">
        <v>10587</v>
      </c>
      <c r="N2420" s="7" t="str">
        <f>IFERROR(__xludf.DUMMYFUNCTION("GOOGLETRANSLATE(L2420, ""en"", ""pt"")"),"Trabalhador de paisagismo")</f>
        <v>Trabalhador de paisagismo</v>
      </c>
      <c r="O2420" s="7" t="str">
        <f>IFERROR(__xludf.DUMMYFUNCTION("IF(M2420="""","""",GOOGLETRANSLATE(M2420,""en"",""pt""))"),"***Resposta à Solicitação de Informações*** Os trabalhadores operarão equipamentos mecanizados de paisagismo e irrigação para transportar, distribuir e instalar materiais utilizados em projetos de reforma, paisagismo e manutenção de campos de golfe. As ta"&amp;"refas específicas para as quais o equipamento será utilizado incluem movimentar e colocar grama, areia, cascalho, substrato para greens, materiais de irrigação, componentes de aspersores e outros suprimentos de paisagismo; preparar áreas ajardinadas para "&amp;"instalação de irrigação; auxiliar na instalação de sistemas de irrigação; e manter os campos de golfe e as superfícies de jogo. Os trabalhadores utilizarão ferramentas manuais e elétricas comumente empregadas em atividades de paisagismo e jardinagem, incl"&amp;"uindo pás, ancinhos, carrinhos de mão, compactadores, facas de grama, roçadeiras e ferramentas de instalação de irrigação. Os trabalhadores também podem operar os seguintes equipamentos para remover a grama existente e preparar o terreno para a instalação"&amp;" de grama em placas, bem como para distribuir materiais de paisagismo em toda a propriedade: veículo utilitário Kubota RTV-X1140WL-A (25 HP; peso operacional de 2.380 a 2.390 libras; capacidade de carga de 1.600 libras) usado para transportar materiais de"&amp;" paisagismo, suprimentos de irrigação, ferramentas e equipamentos por todo o campo de golfe; trator Kubota MX5200 com reboque Gearmore (55 HP; peso operacional de 6.800 libras) usado para transportar e distribuir areia, mistura para greens, cascalho, gram"&amp;"a em placas e outros materiais de paisagismo; cortador de grama Billy Goat SC182HCA (5,5 HP; peso operacional de 395 libras) usado para remover a grama existente em preparação para a instalação de grama em placas e melhorias paisagísticas; e compactador d"&amp;"e solo Mikasa Multiquip MTX60HD com motor Honda GX100 (2,8 HP; peso operacional de 64 kg) usado para compactar o solo e aterrar ao redor de instalações de irrigação e áreas ajardinadas. ***Original*** Executa diversas tarefas de reforma e paisagismo de ca"&amp;"mpos de golfe, incluindo a preparação de áreas ajardinadas e de jogo; prepara componentes do sistema de irrigação, cola/funde conexões e interligações; instala tubulações de irrigação, fios e aspersores; utiliza ferramentas manuais para instalar drenagem "&amp;"e interligações de irrigação; espalha e assenta materiais como sementes de grama, grama em placas, substrato para greens, cascalho e areia; opera equipamentos mecanizados para movimentar e instalar materiais. Os trabalhadores auxiliam na instalação de com"&amp;"ponentes de irrigação do campo de golfe. Os trabalhadores usarão equipamentos de paisagismo e irrigação, juntamente com pás e outras ferramentas manuais, para nivelar superfícies e preparar áreas para irrigação, conforme necessário. O trabalho geralmente "&amp;"é realizado de segunda a sexta, das 7h às 17h, mas fins de semana e horas extras podem ser necessários, dependendo das condições climáticas. ***Se necessário, o empregador pretende auxiliar trabalhadores estrangeiros e não residentes nos EUA contratados d"&amp;"e acordo com esta ordem de serviço a garantir acomodação paga pelo trabalhador, não excedendo o custo justo de mercado razoável. Classificação do Cargo: 47-2073.00 - Operadores de Máquinas e Outros Operadores de Equipamentos de Construção. A classificação"&amp;" e descrição do cargo/setor incluem informações gerais sobre a posição, de acordo com o ONET/OES e o Sistema de Classificação Industrial da América do Norte. Consulte as Funções e a Ordem de Serviço para obter mais informações. Requisitos do Cargo Experiê"&amp;"ncia Necessária: Sim Meses de Experiência Necessária: 3 Requisitos Especiais: 3 meses de experiência utilizando conhecimento básico de layout de campo de golfe; Conhecimento de sistemas de irrigação de campos de golfe, incluindo a capacidade de instalar/r"&amp;"eparar componentes principais; conhecimento de tarefas de paisagismo em campos de golfe, incluindo construção/reparo de greens, tees e bunkers. 3 meses de experiência operando qualquer um dos seguintes equipamentos: trator, minicarregadeira, arado/escavad"&amp;"eira. Disponibilidade para realizar horas extras, conforme necessário. Número de horas por semana: 45. Horário de trabalho (início/término): 7h às 17h.")</f>
        <v>***Resposta à Solicitação de Informações*** Os trabalhadores operarão equipamentos mecanizados de paisagismo e irrigação para transportar, distribuir e instalar materiais utilizados em projetos de reforma, paisagismo e manutenção de campos de golfe. As tarefas específicas para as quais o equipamento será utilizado incluem movimentar e colocar grama, areia, cascalho, substrato para greens, materiais de irrigação, componentes de aspersores e outros suprimentos de paisagismo; preparar áreas ajardinadas para instalação de irrigação; auxiliar na instalação de sistemas de irrigação; e manter os campos de golfe e as superfícies de jogo. Os trabalhadores utilizarão ferramentas manuais e elétricas comumente empregadas em atividades de paisagismo e jardinagem, incluindo pás, ancinhos, carrinhos de mão, compactadores, facas de grama, roçadeiras e ferramentas de instalação de irrigação. Os trabalhadores também podem operar os seguintes equipamentos para remover a grama existente e preparar o terreno para a instalação de grama em placas, bem como para distribuir materiais de paisagismo em toda a propriedade: veículo utilitário Kubota RTV-X1140WL-A (25 HP; peso operacional de 2.380 a 2.390 libras; capacidade de carga de 1.600 libras) usado para transportar materiais de paisagismo, suprimentos de irrigação, ferramentas e equipamentos por todo o campo de golfe; trator Kubota MX5200 com reboque Gearmore (55 HP; peso operacional de 6.800 libras) usado para transportar e distribuir areia, mistura para greens, cascalho, grama em placas e outros materiais de paisagismo; cortador de grama Billy Goat SC182HCA (5,5 HP; peso operacional de 395 libras) usado para remover a grama existente em preparação para a instalação de grama em placas e melhorias paisagísticas; e compactador de solo Mikasa Multiquip MTX60HD com motor Honda GX100 (2,8 HP; peso operacional de 64 kg) usado para compactar o solo e aterrar ao redor de instalações de irrigação e áreas ajardinadas. ***Original*** Executa diversas tarefas de reforma e paisagismo de campos de golfe, incluindo a preparação de áreas ajardinadas e de jogo; prepara componentes do sistema de irrigação, cola/funde conexões e interligações; instala tubulações de irrigação, fios e aspersores; utiliza ferramentas manuais para instalar drenagem e interligações de irrigação; espalha e assenta materiais como sementes de grama, grama em placas, substrato para greens, cascalho e areia; opera equipamentos mecanizados para movimentar e instalar materiais. Os trabalhadores auxiliam na instalação de componentes de irrigação do campo de golfe. Os trabalhadores usarão equipamentos de paisagismo e irrigação, juntamente com pás e outras ferramentas manuais, para nivelar superfícies e preparar áreas para irrigação, conforme necessário. O trabalho geralmente é realizado de segunda a sexta, das 7h às 17h, mas fins de semana e horas extras podem ser necessários, dependendo das condições climáticas. ***Se necessário, o empregador pretende auxiliar trabalhadores estrangeiros e não residentes nos EUA contratados de acordo com esta ordem de serviço a garantir acomodação paga pelo trabalhador, não excedendo o custo justo de mercado razoável. Classificação do Cargo: 47-2073.00 - Operadores de Máquinas e Outros Operadores de Equipamentos de Construção. A classificação e descrição do cargo/setor incluem informações gerais sobre a posição, de acordo com o ONET/OES e o Sistema de Classificação Industrial da América do Norte. Consulte as Funções e a Ordem de Serviço para obter mais informações. Requisitos do Cargo Experiência Necessária: Sim Meses de Experiência Necessária: 3 Requisitos Especiais: 3 meses de experiência utilizando conhecimento básico de layout de campo de golfe; Conhecimento de sistemas de irrigação de campos de golfe, incluindo a capacidade de instalar/reparar componentes principais; conhecimento de tarefas de paisagismo em campos de golfe, incluindo construção/reparo de greens, tees e bunkers. 3 meses de experiência operando qualquer um dos seguintes equipamentos: trator, minicarregadeira, arado/escavadeira. Disponibilidade para realizar horas extras, conforme necessário. Número de horas por semana: 45. Horário de trabalho (início/término): 7h às 17h.</v>
      </c>
    </row>
    <row r="2421" ht="20.25" customHeight="1">
      <c r="A2421" s="8" t="s">
        <v>10588</v>
      </c>
      <c r="B2421" s="8" t="s">
        <v>10584</v>
      </c>
      <c r="C2421" s="8" t="s">
        <v>10337</v>
      </c>
      <c r="D2421" s="8" t="s">
        <v>532</v>
      </c>
      <c r="E2421" s="9" t="s">
        <v>19</v>
      </c>
      <c r="F2421" s="9" t="s">
        <v>20</v>
      </c>
      <c r="G2421" s="9" t="s">
        <v>56</v>
      </c>
      <c r="H2421" s="8" t="s">
        <v>10585</v>
      </c>
      <c r="I2421" s="8" t="s">
        <v>10586</v>
      </c>
      <c r="J2421" s="9">
        <v>45.18</v>
      </c>
      <c r="K2421" s="9">
        <v>30.0</v>
      </c>
      <c r="L2421" s="8" t="s">
        <v>59</v>
      </c>
      <c r="M2421" s="8" t="s">
        <v>10587</v>
      </c>
      <c r="N2421" s="7" t="str">
        <f>IFERROR(__xludf.DUMMYFUNCTION("GOOGLETRANSLATE(L2421, ""en"", ""pt"")"),"Trabalhador de paisagismo")</f>
        <v>Trabalhador de paisagismo</v>
      </c>
      <c r="O2421" s="7" t="str">
        <f>IFERROR(__xludf.DUMMYFUNCTION("IF(M2421="""","""",GOOGLETRANSLATE(M2421,""en"",""pt""))"),"***Resposta à Solicitação de Informações*** Os trabalhadores operarão equipamentos mecanizados de paisagismo e irrigação para transportar, distribuir e instalar materiais utilizados em projetos de reforma, paisagismo e manutenção de campos de golfe. As ta"&amp;"refas específicas para as quais o equipamento será utilizado incluem movimentar e colocar grama, areia, cascalho, substrato para greens, materiais de irrigação, componentes de aspersores e outros suprimentos de paisagismo; preparar áreas ajardinadas para "&amp;"instalação de irrigação; auxiliar na instalação de sistemas de irrigação; e manter os campos de golfe e as superfícies de jogo. Os trabalhadores utilizarão ferramentas manuais e elétricas comumente empregadas em atividades de paisagismo e jardinagem, incl"&amp;"uindo pás, ancinhos, carrinhos de mão, compactadores, facas de grama, roçadeiras e ferramentas de instalação de irrigação. Os trabalhadores também podem operar os seguintes equipamentos para remover a grama existente e preparar o terreno para a instalação"&amp;" de grama em placas, bem como para distribuir materiais de paisagismo em toda a propriedade: veículo utilitário Kubota RTV-X1140WL-A (25 HP; peso operacional de 2.380 a 2.390 libras; capacidade de carga de 1.600 libras) usado para transportar materiais de"&amp;" paisagismo, suprimentos de irrigação, ferramentas e equipamentos por todo o campo de golfe; trator Kubota MX5200 com reboque Gearmore (55 HP; peso operacional de 6.800 libras) usado para transportar e distribuir areia, mistura para greens, cascalho, gram"&amp;"a em placas e outros materiais de paisagismo; cortador de grama Billy Goat SC182HCA (5,5 HP; peso operacional de 395 libras) usado para remover a grama existente em preparação para a instalação de grama em placas e melhorias paisagísticas; e compactador d"&amp;"e solo Mikasa Multiquip MTX60HD com motor Honda GX100 (2,8 HP; peso operacional de 64 kg) usado para compactar o solo e aterrar ao redor de instalações de irrigação e áreas ajardinadas. ***Original*** Executa diversas tarefas de reforma e paisagismo de ca"&amp;"mpos de golfe, incluindo a preparação de áreas ajardinadas e de jogo; prepara componentes do sistema de irrigação, cola/funde conexões e interligações; instala tubulações de irrigação, fios e aspersores; utiliza ferramentas manuais para instalar drenagem "&amp;"e interligações de irrigação; espalha e assenta materiais como sementes de grama, grama em placas, substrato para greens, cascalho e areia; opera equipamentos mecanizados para movimentar e instalar materiais. Os trabalhadores auxiliam na instalação de com"&amp;"ponentes de irrigação do campo de golfe. Os trabalhadores usarão equipamentos de paisagismo e irrigação, juntamente com pás e outras ferramentas manuais, para nivelar superfícies e preparar áreas para irrigação, conforme necessário. O trabalho geralmente "&amp;"é realizado de segunda a sexta, das 7h às 17h, mas fins de semana e horas extras podem ser necessários, dependendo das condições climáticas. ***Se necessário, o empregador pretende auxiliar trabalhadores estrangeiros e não residentes nos EUA contratados d"&amp;"e acordo com esta ordem de serviço a garantir acomodação paga pelo trabalhador, não excedendo o custo justo de mercado razoável. Classificação do Cargo: 47-2073.00 - Operadores de Máquinas e Outros Operadores de Equipamentos de Construção. A classificação"&amp;" e descrição do cargo/setor incluem informações gerais sobre a posição, de acordo com o ONET/OES e o Sistema de Classificação Industrial da América do Norte. Consulte as Funções e a Ordem de Serviço para obter mais informações. Requisitos do Cargo Experiê"&amp;"ncia Necessária: Sim Meses de Experiência Necessária: 3 Requisitos Especiais: 3 meses de experiência utilizando conhecimento básico de layout de campo de golfe; Conhecimento de sistemas de irrigação de campos de golfe, incluindo a capacidade de instalar/r"&amp;"eparar componentes principais; conhecimento de tarefas de paisagismo em campos de golfe, incluindo construção/reparo de greens, tees e bunkers. 3 meses de experiência operando qualquer um dos seguintes equipamentos: trator, minicarregadeira, arado/escavad"&amp;"eira. Disponibilidade para realizar horas extras, conforme necessário. Número de horas por semana: 45. Horário de trabalho (início/término): 7h às 17h.")</f>
        <v>***Resposta à Solicitação de Informações*** Os trabalhadores operarão equipamentos mecanizados de paisagismo e irrigação para transportar, distribuir e instalar materiais utilizados em projetos de reforma, paisagismo e manutenção de campos de golfe. As tarefas específicas para as quais o equipamento será utilizado incluem movimentar e colocar grama, areia, cascalho, substrato para greens, materiais de irrigação, componentes de aspersores e outros suprimentos de paisagismo; preparar áreas ajardinadas para instalação de irrigação; auxiliar na instalação de sistemas de irrigação; e manter os campos de golfe e as superfícies de jogo. Os trabalhadores utilizarão ferramentas manuais e elétricas comumente empregadas em atividades de paisagismo e jardinagem, incluindo pás, ancinhos, carrinhos de mão, compactadores, facas de grama, roçadeiras e ferramentas de instalação de irrigação. Os trabalhadores também podem operar os seguintes equipamentos para remover a grama existente e preparar o terreno para a instalação de grama em placas, bem como para distribuir materiais de paisagismo em toda a propriedade: veículo utilitário Kubota RTV-X1140WL-A (25 HP; peso operacional de 2.380 a 2.390 libras; capacidade de carga de 1.600 libras) usado para transportar materiais de paisagismo, suprimentos de irrigação, ferramentas e equipamentos por todo o campo de golfe; trator Kubota MX5200 com reboque Gearmore (55 HP; peso operacional de 6.800 libras) usado para transportar e distribuir areia, mistura para greens, cascalho, grama em placas e outros materiais de paisagismo; cortador de grama Billy Goat SC182HCA (5,5 HP; peso operacional de 395 libras) usado para remover a grama existente em preparação para a instalação de grama em placas e melhorias paisagísticas; e compactador de solo Mikasa Multiquip MTX60HD com motor Honda GX100 (2,8 HP; peso operacional de 64 kg) usado para compactar o solo e aterrar ao redor de instalações de irrigação e áreas ajardinadas. ***Original*** Executa diversas tarefas de reforma e paisagismo de campos de golfe, incluindo a preparação de áreas ajardinadas e de jogo; prepara componentes do sistema de irrigação, cola/funde conexões e interligações; instala tubulações de irrigação, fios e aspersores; utiliza ferramentas manuais para instalar drenagem e interligações de irrigação; espalha e assenta materiais como sementes de grama, grama em placas, substrato para greens, cascalho e areia; opera equipamentos mecanizados para movimentar e instalar materiais. Os trabalhadores auxiliam na instalação de componentes de irrigação do campo de golfe. Os trabalhadores usarão equipamentos de paisagismo e irrigação, juntamente com pás e outras ferramentas manuais, para nivelar superfícies e preparar áreas para irrigação, conforme necessário. O trabalho geralmente é realizado de segunda a sexta, das 7h às 17h, mas fins de semana e horas extras podem ser necessários, dependendo das condições climáticas. ***Se necessário, o empregador pretende auxiliar trabalhadores estrangeiros e não residentes nos EUA contratados de acordo com esta ordem de serviço a garantir acomodação paga pelo trabalhador, não excedendo o custo justo de mercado razoável. Classificação do Cargo: 47-2073.00 - Operadores de Máquinas e Outros Operadores de Equipamentos de Construção. A classificação e descrição do cargo/setor incluem informações gerais sobre a posição, de acordo com o ONET/OES e o Sistema de Classificação Industrial da América do Norte. Consulte as Funções e a Ordem de Serviço para obter mais informações. Requisitos do Cargo Experiência Necessária: Sim Meses de Experiência Necessária: 3 Requisitos Especiais: 3 meses de experiência utilizando conhecimento básico de layout de campo de golfe; Conhecimento de sistemas de irrigação de campos de golfe, incluindo a capacidade de instalar/reparar componentes principais; conhecimento de tarefas de paisagismo em campos de golfe, incluindo construção/reparo de greens, tees e bunkers. 3 meses de experiência operando qualquer um dos seguintes equipamentos: trator, minicarregadeira, arado/escavadeira. Disponibilidade para realizar horas extras, conforme necessário. Número de horas por semana: 45. Horário de trabalho (início/término): 7h às 17h.</v>
      </c>
    </row>
    <row r="2422" ht="20.25" customHeight="1">
      <c r="A2422" s="3" t="s">
        <v>10589</v>
      </c>
      <c r="B2422" s="3" t="s">
        <v>10584</v>
      </c>
      <c r="C2422" s="3" t="s">
        <v>10337</v>
      </c>
      <c r="D2422" s="3" t="s">
        <v>64</v>
      </c>
      <c r="E2422" s="4" t="s">
        <v>19</v>
      </c>
      <c r="F2422" s="4" t="s">
        <v>20</v>
      </c>
      <c r="G2422" s="4" t="s">
        <v>56</v>
      </c>
      <c r="H2422" s="3" t="s">
        <v>10585</v>
      </c>
      <c r="I2422" s="3" t="s">
        <v>10586</v>
      </c>
      <c r="J2422" s="4">
        <v>25.72</v>
      </c>
      <c r="K2422" s="4">
        <v>40.0</v>
      </c>
      <c r="L2422" s="3" t="s">
        <v>59</v>
      </c>
      <c r="M2422" s="3" t="s">
        <v>10587</v>
      </c>
      <c r="N2422" s="7" t="str">
        <f>IFERROR(__xludf.DUMMYFUNCTION("GOOGLETRANSLATE(L2422, ""en"", ""pt"")"),"Trabalhador de paisagismo")</f>
        <v>Trabalhador de paisagismo</v>
      </c>
      <c r="O2422" s="7" t="str">
        <f>IFERROR(__xludf.DUMMYFUNCTION("IF(M2422="""","""",GOOGLETRANSLATE(M2422,""en"",""pt""))"),"***Resposta à Solicitação de Informações*** Os trabalhadores operarão equipamentos mecanizados de paisagismo e irrigação para transportar, distribuir e instalar materiais utilizados em projetos de reforma, paisagismo e manutenção de campos de golfe. As ta"&amp;"refas específicas para as quais o equipamento será utilizado incluem movimentar e colocar grama, areia, cascalho, substrato para greens, materiais de irrigação, componentes de aspersores e outros suprimentos de paisagismo; preparar áreas ajardinadas para "&amp;"instalação de irrigação; auxiliar na instalação de sistemas de irrigação; e manter os campos de golfe e as superfícies de jogo. Os trabalhadores utilizarão ferramentas manuais e elétricas comumente empregadas em atividades de paisagismo e jardinagem, incl"&amp;"uindo pás, ancinhos, carrinhos de mão, compactadores, facas de grama, roçadeiras e ferramentas de instalação de irrigação. Os trabalhadores também podem operar os seguintes equipamentos para remover a grama existente e preparar o terreno para a instalação"&amp;" de grama em placas, bem como para distribuir materiais de paisagismo em toda a propriedade: veículo utilitário Kubota RTV-X1140WL-A (25 HP; peso operacional de 2.380 a 2.390 libras; capacidade de carga de 1.600 libras) usado para transportar materiais de"&amp;" paisagismo, suprimentos de irrigação, ferramentas e equipamentos por todo o campo de golfe; trator Kubota MX5200 com reboque Gearmore (55 HP; peso operacional de 6.800 libras) usado para transportar e distribuir areia, mistura para greens, cascalho, gram"&amp;"a em placas e outros materiais de paisagismo; cortador de grama Billy Goat SC182HCA (5,5 HP; peso operacional de 395 libras) usado para remover a grama existente em preparação para a instalação de grama em placas e melhorias paisagísticas; e compactador d"&amp;"e solo Mikasa Multiquip MTX60HD com motor Honda GX100 (2,8 HP; peso operacional de 64 kg) usado para compactar o solo e aterrar ao redor de instalações de irrigação e áreas ajardinadas. ***Original*** Executa diversas tarefas de reforma e paisagismo de ca"&amp;"mpos de golfe, incluindo a preparação de áreas ajardinadas e de jogo; prepara componentes do sistema de irrigação, cola/funde conexões e interligações; instala tubulações de irrigação, fios e aspersores; utiliza ferramentas manuais para instalar drenagem "&amp;"e interligações de irrigação; espalha e assenta materiais como sementes de grama, grama em placas, substrato para greens, cascalho e areia; opera equipamentos mecanizados para movimentar e instalar materiais. Os trabalhadores auxiliam na instalação de com"&amp;"ponentes de irrigação do campo de golfe. Os trabalhadores usarão equipamentos de paisagismo e irrigação, juntamente com pás e outras ferramentas manuais, para nivelar superfícies e preparar áreas para irrigação, conforme necessário. O trabalho geralmente "&amp;"é realizado de segunda a sexta, das 7h às 17h, mas fins de semana e horas extras podem ser necessários, dependendo das condições climáticas. ***Se necessário, o empregador pretende auxiliar trabalhadores estrangeiros e não residentes nos EUA contratados d"&amp;"e acordo com esta ordem de serviço a garantir acomodação paga pelo trabalhador, não excedendo o custo justo de mercado razoável. Classificação do Cargo: 47-2073.00 - Operadores de Máquinas e Outros Operadores de Equipamentos de Construção. A classificação"&amp;" e descrição do cargo/setor incluem informações gerais sobre a posição, de acordo com o ONET/OES e o Sistema de Classificação Industrial da América do Norte. Consulte as Funções e a Ordem de Serviço para obter mais informações. Requisitos do Cargo Experiê"&amp;"ncia Necessária: Sim Meses de Experiência Necessária: 3 Requisitos Especiais: 3 meses de experiência utilizando conhecimento básico de layout de campo de golfe; Conhecimento de sistemas de irrigação de campos de golfe, incluindo a capacidade de instalar/r"&amp;"eparar componentes principais; conhecimento de tarefas de paisagismo em campos de golfe, incluindo construção/reparo de greens, tees e bunkers. 3 meses de experiência operando qualquer um dos seguintes equipamentos: trator, minicarregadeira, arado/escavad"&amp;"eira. Disponibilidade para realizar horas extras, conforme necessário. Número de horas por semana: 45. Horário de trabalho (início/término): 7h às 17h.")</f>
        <v>***Resposta à Solicitação de Informações*** Os trabalhadores operarão equipamentos mecanizados de paisagismo e irrigação para transportar, distribuir e instalar materiais utilizados em projetos de reforma, paisagismo e manutenção de campos de golfe. As tarefas específicas para as quais o equipamento será utilizado incluem movimentar e colocar grama, areia, cascalho, substrato para greens, materiais de irrigação, componentes de aspersores e outros suprimentos de paisagismo; preparar áreas ajardinadas para instalação de irrigação; auxiliar na instalação de sistemas de irrigação; e manter os campos de golfe e as superfícies de jogo. Os trabalhadores utilizarão ferramentas manuais e elétricas comumente empregadas em atividades de paisagismo e jardinagem, incluindo pás, ancinhos, carrinhos de mão, compactadores, facas de grama, roçadeiras e ferramentas de instalação de irrigação. Os trabalhadores também podem operar os seguintes equipamentos para remover a grama existente e preparar o terreno para a instalação de grama em placas, bem como para distribuir materiais de paisagismo em toda a propriedade: veículo utilitário Kubota RTV-X1140WL-A (25 HP; peso operacional de 2.380 a 2.390 libras; capacidade de carga de 1.600 libras) usado para transportar materiais de paisagismo, suprimentos de irrigação, ferramentas e equipamentos por todo o campo de golfe; trator Kubota MX5200 com reboque Gearmore (55 HP; peso operacional de 6.800 libras) usado para transportar e distribuir areia, mistura para greens, cascalho, grama em placas e outros materiais de paisagismo; cortador de grama Billy Goat SC182HCA (5,5 HP; peso operacional de 395 libras) usado para remover a grama existente em preparação para a instalação de grama em placas e melhorias paisagísticas; e compactador de solo Mikasa Multiquip MTX60HD com motor Honda GX100 (2,8 HP; peso operacional de 64 kg) usado para compactar o solo e aterrar ao redor de instalações de irrigação e áreas ajardinadas. ***Original*** Executa diversas tarefas de reforma e paisagismo de campos de golfe, incluindo a preparação de áreas ajardinadas e de jogo; prepara componentes do sistema de irrigação, cola/funde conexões e interligações; instala tubulações de irrigação, fios e aspersores; utiliza ferramentas manuais para instalar drenagem e interligações de irrigação; espalha e assenta materiais como sementes de grama, grama em placas, substrato para greens, cascalho e areia; opera equipamentos mecanizados para movimentar e instalar materiais. Os trabalhadores auxiliam na instalação de componentes de irrigação do campo de golfe. Os trabalhadores usarão equipamentos de paisagismo e irrigação, juntamente com pás e outras ferramentas manuais, para nivelar superfícies e preparar áreas para irrigação, conforme necessário. O trabalho geralmente é realizado de segunda a sexta, das 7h às 17h, mas fins de semana e horas extras podem ser necessários, dependendo das condições climáticas. ***Se necessário, o empregador pretende auxiliar trabalhadores estrangeiros e não residentes nos EUA contratados de acordo com esta ordem de serviço a garantir acomodação paga pelo trabalhador, não excedendo o custo justo de mercado razoável. Classificação do Cargo: 47-2073.00 - Operadores de Máquinas e Outros Operadores de Equipamentos de Construção. A classificação e descrição do cargo/setor incluem informações gerais sobre a posição, de acordo com o ONET/OES e o Sistema de Classificação Industrial da América do Norte. Consulte as Funções e a Ordem de Serviço para obter mais informações. Requisitos do Cargo Experiência Necessária: Sim Meses de Experiência Necessária: 3 Requisitos Especiais: 3 meses de experiência utilizando conhecimento básico de layout de campo de golfe; Conhecimento de sistemas de irrigação de campos de golfe, incluindo a capacidade de instalar/reparar componentes principais; conhecimento de tarefas de paisagismo em campos de golfe, incluindo construção/reparo de greens, tees e bunkers. 3 meses de experiência operando qualquer um dos seguintes equipamentos: trator, minicarregadeira, arado/escavadeira. Disponibilidade para realizar horas extras, conforme necessário. Número de horas por semana: 45. Horário de trabalho (início/término): 7h às 17h.</v>
      </c>
    </row>
    <row r="2423" ht="20.25" customHeight="1">
      <c r="A2423" s="8" t="s">
        <v>10590</v>
      </c>
      <c r="B2423" s="8" t="s">
        <v>10591</v>
      </c>
      <c r="C2423" s="8" t="s">
        <v>10337</v>
      </c>
      <c r="D2423" s="8" t="s">
        <v>532</v>
      </c>
      <c r="E2423" s="9" t="s">
        <v>19</v>
      </c>
      <c r="F2423" s="9" t="s">
        <v>20</v>
      </c>
      <c r="G2423" s="9" t="s">
        <v>56</v>
      </c>
      <c r="H2423" s="8" t="s">
        <v>10585</v>
      </c>
      <c r="I2423" s="8" t="s">
        <v>10586</v>
      </c>
      <c r="J2423" s="9">
        <v>43.84</v>
      </c>
      <c r="K2423" s="9">
        <v>3.0</v>
      </c>
      <c r="L2423" s="8" t="s">
        <v>3563</v>
      </c>
      <c r="M2423" s="8" t="s">
        <v>10592</v>
      </c>
      <c r="N2423" s="7" t="str">
        <f>IFERROR(__xludf.DUMMYFUNCTION("GOOGLETRANSLATE(L2423, ""en"", ""pt"")"),"Capataz")</f>
        <v>Capataz</v>
      </c>
      <c r="O2423" s="7" t="str">
        <f>IFERROR(__xludf.DUMMYFUNCTION("IF(M2423="""","""",GOOGLETRANSLATE(M2423,""en"",""pt""))"),"***Resposta à Solicitação de Informações*** Os trabalhadores operarão equipamentos mecanizados de paisagismo e irrigação para transportar, distribuir e instalar materiais utilizados em projetos de reforma, paisagismo e manutenção de campos de golfe. As ta"&amp;"refas específicas para as quais o equipamento será utilizado incluem movimentar e colocar grama, areia, cascalho, substrato para greens, materiais de irrigação, componentes de aspersores e outros suprimentos de paisagismo; preparar áreas ajardinadas para "&amp;"instalação de irrigação; auxiliar na instalação de sistemas de irrigação; e manter os campos de golfe e as superfícies de jogo. Os trabalhadores utilizarão ferramentas manuais e elétricas comumente empregadas em atividades de paisagismo e jardinagem, incl"&amp;"uindo pás, ancinhos, carrinhos de mão, compactadores, facas de grama, roçadeiras e ferramentas de instalação de irrigação. Os trabalhadores também podem operar os seguintes equipamentos para remover a grama existente e preparar o terreno para a instalação"&amp;" de grama em placas, bem como para distribuir materiais de paisagismo em toda a propriedade: veículo utilitário Kubota RTV-X1140WL-A (25 HP; peso operacional de 2.380 a 2.390 libras; capacidade de carga de 1.600 libras) usado para transportar materiais de"&amp;" paisagismo, suprimentos de irrigação, ferramentas e equipamentos por todo o campo de golfe; trator Kubota MX5200 com reboque Gearmore (55 HP; peso operacional de 6.800 libras) usado para transportar e distribuir areia, mistura para greens, cascalho, gram"&amp;"a em placas e outros materiais de paisagismo; cortador de grama Billy Goat SC182HCA (5,5 HP; peso operacional de 395 libras) usado para remover a grama existente em preparação para a instalação de grama em placas e melhorias paisagísticas; e compactador d"&amp;"e solo Mikasa Multiquip MTX60HD com motor Honda GX100 (2,8 HP; peso operacional de 64 kg) usado para compactar o solo e aterrar ao redor de instalações de irrigação e áreas ajardinadas. ***Original*** Trabalho braçal em canteiros de obras de campos de gol"&amp;"fe, atuando em demarcação/layout, drenagem, bunkers, acabamento, greens e tees, operação de equipamentos, etc.; informa as equipes sobre as atividades planejadas para o dia e as equipa com as ferramentas e materiais necessários; instrui, supervisiona e tr"&amp;"eina as equipes nas tarefas designadas, como instalação de irrigação, criação de tees e bunkers, colocação de grama, semeadura, demarcação/sinalização, operação e manutenção de equipamentos; gerencia o estoque de equipamentos, suprimentos, materiais e com"&amp;"bustível; identifica e elimina o desperdício potencial que possa ocorrer durante a execução das tarefas designadas, incluindo desperdício de materiais como aspersores de irrigação, tubos e fios de irrigação, cascalho e mistura para greens; garante que os "&amp;"equipamentos e ferramentas designados sejam mantidos adequadamente por meio da realização de manutenção preventiva de rotina; Auxilia na manutenção dos registros do projeto, como comprovantes de entrega, ordens de compra e listas de presença em reuniões d"&amp;"e segurança; auxilia na criação de desenhos ""as-built""; e reporta possíveis problemas ao Superintendente do Projeto. O TRABALHO É GERALMENTE REALIZADO DE SEGUNDA A SEXTA, DAS 7H ÀS 17H, MAS FINS DE SEMANA E HORAS EXTRAS PODEM SER NECESSÁRIOS, DEPENDENDO"&amp;" DAS CONDIÇÕES CLIMÁTICAS. ***SE NECESSÁRIO, O EMPREGADOR PRETENDE AUXILIAR TRABALHADORES ESTRANGEIROS E NÃO LOCAIS DOS EUA CONTRATADOS DE ACORDO COM ESTA ORDEM DE SERVIÇO A OBTER ALOJAMENTO PAGO PELO TRABALHADOR, NÃO EXCEDENDO O VALOR JUSTO DE MERCADO. C"&amp;"lassificação do Cargo: 47-2073.00 - Operadores de Máquinas e Outros Operadores de Equipamentos de Construção. A classificação e descrição do cargo/setor inclui informações gerais sobre a posição, de acordo com o ONET/OES e o Sistema de Classificação Indus"&amp;"trial da América do Norte. Consulte as Funções e a Ordem de Serviço para obter mais informações. Requisitos da vaga Experiência necessária: Sim Meses de experiência necessários: 12 Requisitos especiais: Certificação como Fundidor de Tubos Certificado por "&amp;"um fornecedor reconhecido, como CMF Global, ISCO, Ewing Irrigation ou ADS. 12 meses de experiência em construção e reforma de campos de golfe. Disponibilidade para realizar horas extras, quando necessário. Número de horas por semana: 45 Horário de trabalh"&amp;"o (início/término): 7h às 17h")</f>
        <v>***Resposta à Solicitação de Informações*** Os trabalhadores operarão equipamentos mecanizados de paisagismo e irrigação para transportar, distribuir e instalar materiais utilizados em projetos de reforma, paisagismo e manutenção de campos de golfe. As tarefas específicas para as quais o equipamento será utilizado incluem movimentar e colocar grama, areia, cascalho, substrato para greens, materiais de irrigação, componentes de aspersores e outros suprimentos de paisagismo; preparar áreas ajardinadas para instalação de irrigação; auxiliar na instalação de sistemas de irrigação; e manter os campos de golfe e as superfícies de jogo. Os trabalhadores utilizarão ferramentas manuais e elétricas comumente empregadas em atividades de paisagismo e jardinagem, incluindo pás, ancinhos, carrinhos de mão, compactadores, facas de grama, roçadeiras e ferramentas de instalação de irrigação. Os trabalhadores também podem operar os seguintes equipamentos para remover a grama existente e preparar o terreno para a instalação de grama em placas, bem como para distribuir materiais de paisagismo em toda a propriedade: veículo utilitário Kubota RTV-X1140WL-A (25 HP; peso operacional de 2.380 a 2.390 libras; capacidade de carga de 1.600 libras) usado para transportar materiais de paisagismo, suprimentos de irrigação, ferramentas e equipamentos por todo o campo de golfe; trator Kubota MX5200 com reboque Gearmore (55 HP; peso operacional de 6.800 libras) usado para transportar e distribuir areia, mistura para greens, cascalho, grama em placas e outros materiais de paisagismo; cortador de grama Billy Goat SC182HCA (5,5 HP; peso operacional de 395 libras) usado para remover a grama existente em preparação para a instalação de grama em placas e melhorias paisagísticas; e compactador de solo Mikasa Multiquip MTX60HD com motor Honda GX100 (2,8 HP; peso operacional de 64 kg) usado para compactar o solo e aterrar ao redor de instalações de irrigação e áreas ajardinadas. ***Original*** Trabalho braçal em canteiros de obras de campos de golfe, atuando em demarcação/layout, drenagem, bunkers, acabamento, greens e tees, operação de equipamentos, etc.; informa as equipes sobre as atividades planejadas para o dia e as equipa com as ferramentas e materiais necessários; instrui, supervisiona e treina as equipes nas tarefas designadas, como instalação de irrigação, criação de tees e bunkers, colocação de grama, semeadura, demarcação/sinalização, operação e manutenção de equipamentos; gerencia o estoque de equipamentos, suprimentos, materiais e combustível; identifica e elimina o desperdício potencial que possa ocorrer durante a execução das tarefas designadas, incluindo desperdício de materiais como aspersores de irrigação, tubos e fios de irrigação, cascalho e mistura para greens; garante que os equipamentos e ferramentas designados sejam mantidos adequadamente por meio da realização de manutenção preventiva de rotina; Auxilia na manutenção dos registros do projeto, como comprovantes de entrega, ordens de compra e listas de presença em reuniões de segurança; auxilia na criação de desenhos "as-built"; e reporta possíveis problemas ao Superintendente do Projeto. O TRABALHO É GERALMENTE REALIZADO DE SEGUNDA A SEXTA, DAS 7H ÀS 17H, MAS FINS DE SEMANA E HORAS EXTRAS PODEM SER NECESSÁRIOS, DEPENDENDO DAS CONDIÇÕES CLIMÁTICAS. ***SE NECESSÁRIO, O EMPREGADOR PRETENDE AUXILIAR TRABALHADORES ESTRANGEIROS E NÃO LOCAIS DOS EUA CONTRATADOS DE ACORDO COM ESTA ORDEM DE SERVIÇO A OBTER ALOJAMENTO PAGO PELO TRABALHADOR, NÃO EXCEDENDO O VALOR JUSTO DE MERCADO. Classificação do Cargo: 47-2073.00 - Operadores de Máquinas e Outros Operadores de Equipamentos de Construção. A classificação e descrição do cargo/setor inclui informações gerais sobre a posição, de acordo com o ONET/OES e o Sistema de Classificação Industrial da América do Norte. Consulte as Funções e a Ordem de Serviço para obter mais informações. Requisitos da vaga Experiência necessária: Sim Meses de experiência necessários: 12 Requisitos especiais: Certificação como Fundidor de Tubos Certificado por um fornecedor reconhecido, como CMF Global, ISCO, Ewing Irrigation ou ADS. 12 meses de experiência em construção e reforma de campos de golfe. Disponibilidade para realizar horas extras, quando necessário. Número de horas por semana: 45 Horário de trabalho (início/término): 7h às 17h</v>
      </c>
    </row>
    <row r="2424" ht="20.25" customHeight="1">
      <c r="A2424" s="3" t="s">
        <v>10593</v>
      </c>
      <c r="B2424" s="3" t="s">
        <v>10591</v>
      </c>
      <c r="C2424" s="3" t="s">
        <v>10337</v>
      </c>
      <c r="D2424" s="3" t="s">
        <v>532</v>
      </c>
      <c r="E2424" s="4" t="s">
        <v>19</v>
      </c>
      <c r="F2424" s="4" t="s">
        <v>20</v>
      </c>
      <c r="G2424" s="4" t="s">
        <v>56</v>
      </c>
      <c r="H2424" s="3" t="s">
        <v>10585</v>
      </c>
      <c r="I2424" s="3" t="s">
        <v>10586</v>
      </c>
      <c r="J2424" s="4">
        <v>45.18</v>
      </c>
      <c r="K2424" s="4">
        <v>1.0</v>
      </c>
      <c r="L2424" s="3" t="s">
        <v>3563</v>
      </c>
      <c r="M2424" s="3" t="s">
        <v>10594</v>
      </c>
      <c r="N2424" s="7" t="str">
        <f>IFERROR(__xludf.DUMMYFUNCTION("GOOGLETRANSLATE(L2424, ""en"", ""pt"")"),"Capataz")</f>
        <v>Capataz</v>
      </c>
      <c r="O2424" s="7" t="str">
        <f>IFERROR(__xludf.DUMMYFUNCTION("IF(M2424="""","""",GOOGLETRANSLATE(M2424,""en"",""pt""))"),"***Resposta à Solicitação de Informações*** Os trabalhadores operarão equipamentos mecanizados de paisagismo e irrigação para transportar, distribuir e instalar materiais utilizados em projetos de reforma, paisagismo e manutenção de campos de golfe. As ta"&amp;"refas específicas para as quais o equipamento será utilizado incluem movimentar e colocar grama, areia, cascalho, substrato para greens, materiais de irrigação, componentes de aspersores e outros suprimentos de paisagismo; preparar áreas ajardinadas para "&amp;"instalação de irrigação; auxiliar na instalação de sistemas de irrigação; e manter os campos de golfe e as superfícies de jogo. Os trabalhadores utilizarão ferramentas manuais e elétricas comumente empregadas em atividades de paisagismo e jardinagem, incl"&amp;"uindo pás, ancinhos, carrinhos de mão, compactadores, facas de grama, roçadeiras e ferramentas de instalação de irrigação. Os trabalhadores também podem operar os seguintes equipamentos para remover a grama existente e preparar o terreno para a instalação"&amp;" de grama em placas, bem como para distribuir materiais de paisagismo em toda a propriedade: veículo utilitário Kubota RTV-X1140WL-A (25 HP; peso operacional de 2.380 a 2.390 libras; capacidade de carga de 1.600 libras) usado para transportar materiais de"&amp;" paisagismo, suprimentos de irrigação, ferramentas e equipamentos por todo o campo de golfe; trator Kubota MX5200 com reboque Gearmore (55 HP; peso operacional de 6.800 libras) usado para transportar e distribuir areia, mistura para greens, cascalho, gram"&amp;"a em placas e outros materiais de paisagismo; cortador de grama Billy Goat SC182HCA (5,5 HP; peso operacional de 395 libras) usado para remover a grama existente em preparação para a instalação de grama em placas e melhorias paisagísticas; e compactador d"&amp;"e solo Mikasa Multiquip MTX60HD com motor Honda GX100 (2,8 HP; peso operacional de 64 kg) usado para compactar o solo e aterrar ao redor de instalações de irrigação e áreas ajardinadas. ***Original*** Trabalho braçal em canteiros de obras de campos de gol"&amp;"fe, atuando em demarcação/layout, drenagem, bunkers, acabamento, greens e tees, operação de equipamentos, etc.; informa as equipes sobre as atividades planejadas para o dia e as equipa com as ferramentas e materiais necessários; instrui, supervisiona e tr"&amp;"eina as equipes nas tarefas designadas, como instalação de irrigação, criação de tees e bunkers, colocação de grama, semeadura, demarcação/sinalização, operação e manutenção de equipamentos; gerencia o estoque de equipamentos, suprimentos, materiais e com"&amp;"bustível; identifica e elimina o desperdício potencial que possa ocorrer durante a execução das tarefas designadas, incluindo desperdício de materiais como aspersores de irrigação, tubos e fios de irrigação, cascalho e mistura para greens; garante que os "&amp;"equipamentos e ferramentas designados sejam mantidos adequadamente por meio da realização de manutenção preventiva de rotina; Auxilia na manutenção dos registros do projeto, como comprovantes de entrega, ordens de compra e listas de presença em reuniões d"&amp;"e segurança; auxilia na criação de desenhos ""as-built""; e reporta possíveis problemas ao Superintendente do Projeto. O TRABALHO É GERALMENTE REALIZADO DE SEGUNDA A SEXTA, DAS 7H ÀS 17H, MAS FINS DE SEMANA E HORAS EXTRAS PODEM SER NECESSÁRIOS, DEPENDENDO"&amp;" DAS CONDIÇÕES CLIMÁTICAS. ***SE NECESSÁRIO, O EMPREGADOR PRETENDE AUXILIAR TRABALHADORES ESTRANGEIROS E NÃO LOCAIS DOS EUA CONTRATADOS DE ACORDO COM ESTA ORDEM DE SERVIÇO A OBTER ALOJAMENTO PAGO PELO TRABALHADOR, NÃO EXCEDENDO O VALOR JUSTO DE MERCADO. C"&amp;"lassificação do Cargo: 47-2073.00 - Operadores de Máquinas e Outros Operadores de Equipamentos de Construção. A classificação e descrição do cargo/setor inclui informações gerais sobre a posição, de acordo com o ONET/OES e o Sistema de Classificação Indus"&amp;"trial da América do Norte. Consulte as Funções e a Ordem de Serviço para obter mais informações. Requisitos da vaga Experiência necessária: Sim Meses de experiência necessários: 12 Requisitos especiais: Certificação como Fundidor de Tubos Certificado por "&amp;"um fornecedor reconhecido, como CMF Global, ISCO, Ewing Irrigation ou ADS. 12 meses de experiência em construção e reforma de campos de golfe. Disponibilidade para realizar horas extras, quando necessário. Número de horas por semana: 45 Horário de trabalh"&amp;"o (início/término): 7h às 17h")</f>
        <v>***Resposta à Solicitação de Informações*** Os trabalhadores operarão equipamentos mecanizados de paisagismo e irrigação para transportar, distribuir e instalar materiais utilizados em projetos de reforma, paisagismo e manutenção de campos de golfe. As tarefas específicas para as quais o equipamento será utilizado incluem movimentar e colocar grama, areia, cascalho, substrato para greens, materiais de irrigação, componentes de aspersores e outros suprimentos de paisagismo; preparar áreas ajardinadas para instalação de irrigação; auxiliar na instalação de sistemas de irrigação; e manter os campos de golfe e as superfícies de jogo. Os trabalhadores utilizarão ferramentas manuais e elétricas comumente empregadas em atividades de paisagismo e jardinagem, incluindo pás, ancinhos, carrinhos de mão, compactadores, facas de grama, roçadeiras e ferramentas de instalação de irrigação. Os trabalhadores também podem operar os seguintes equipamentos para remover a grama existente e preparar o terreno para a instalação de grama em placas, bem como para distribuir materiais de paisagismo em toda a propriedade: veículo utilitário Kubota RTV-X1140WL-A (25 HP; peso operacional de 2.380 a 2.390 libras; capacidade de carga de 1.600 libras) usado para transportar materiais de paisagismo, suprimentos de irrigação, ferramentas e equipamentos por todo o campo de golfe; trator Kubota MX5200 com reboque Gearmore (55 HP; peso operacional de 6.800 libras) usado para transportar e distribuir areia, mistura para greens, cascalho, grama em placas e outros materiais de paisagismo; cortador de grama Billy Goat SC182HCA (5,5 HP; peso operacional de 395 libras) usado para remover a grama existente em preparação para a instalação de grama em placas e melhorias paisagísticas; e compactador de solo Mikasa Multiquip MTX60HD com motor Honda GX100 (2,8 HP; peso operacional de 64 kg) usado para compactar o solo e aterrar ao redor de instalações de irrigação e áreas ajardinadas. ***Original*** Trabalho braçal em canteiros de obras de campos de golfe, atuando em demarcação/layout, drenagem, bunkers, acabamento, greens e tees, operação de equipamentos, etc.; informa as equipes sobre as atividades planejadas para o dia e as equipa com as ferramentas e materiais necessários; instrui, supervisiona e treina as equipes nas tarefas designadas, como instalação de irrigação, criação de tees e bunkers, colocação de grama, semeadura, demarcação/sinalização, operação e manutenção de equipamentos; gerencia o estoque de equipamentos, suprimentos, materiais e combustível; identifica e elimina o desperdício potencial que possa ocorrer durante a execução das tarefas designadas, incluindo desperdício de materiais como aspersores de irrigação, tubos e fios de irrigação, cascalho e mistura para greens; garante que os equipamentos e ferramentas designados sejam mantidos adequadamente por meio da realização de manutenção preventiva de rotina; Auxilia na manutenção dos registros do projeto, como comprovantes de entrega, ordens de compra e listas de presença em reuniões de segurança; auxilia na criação de desenhos "as-built"; e reporta possíveis problemas ao Superintendente do Projeto. O TRABALHO É GERALMENTE REALIZADO DE SEGUNDA A SEXTA, DAS 7H ÀS 17H, MAS FINS DE SEMANA E HORAS EXTRAS PODEM SER NECESSÁRIOS, DEPENDENDO DAS CONDIÇÕES CLIMÁTICAS. ***SE NECESSÁRIO, O EMPREGADOR PRETENDE AUXILIAR TRABALHADORES ESTRANGEIROS E NÃO LOCAIS DOS EUA CONTRATADOS DE ACORDO COM ESTA ORDEM DE SERVIÇO A OBTER ALOJAMENTO PAGO PELO TRABALHADOR, NÃO EXCEDENDO O VALOR JUSTO DE MERCADO. Classificação do Cargo: 47-2073.00 - Operadores de Máquinas e Outros Operadores de Equipamentos de Construção. A classificação e descrição do cargo/setor inclui informações gerais sobre a posição, de acordo com o ONET/OES e o Sistema de Classificação Industrial da América do Norte. Consulte as Funções e a Ordem de Serviço para obter mais informações. Requisitos da vaga Experiência necessária: Sim Meses de experiência necessários: 12 Requisitos especiais: Certificação como Fundidor de Tubos Certificado por um fornecedor reconhecido, como CMF Global, ISCO, Ewing Irrigation ou ADS. 12 meses de experiência em construção e reforma de campos de golfe. Disponibilidade para realizar horas extras, quando necessário. Número de horas por semana: 45 Horário de trabalho (início/término): 7h às 17h</v>
      </c>
    </row>
    <row r="2425" ht="20.25" customHeight="1">
      <c r="A2425" s="8" t="s">
        <v>10595</v>
      </c>
      <c r="B2425" s="8" t="s">
        <v>10596</v>
      </c>
      <c r="C2425" s="8" t="s">
        <v>4272</v>
      </c>
      <c r="D2425" s="8" t="s">
        <v>505</v>
      </c>
      <c r="E2425" s="9" t="s">
        <v>19</v>
      </c>
      <c r="F2425" s="9" t="s">
        <v>20</v>
      </c>
      <c r="G2425" s="9" t="s">
        <v>212</v>
      </c>
      <c r="H2425" s="8" t="s">
        <v>10597</v>
      </c>
      <c r="I2425" s="8" t="s">
        <v>10598</v>
      </c>
      <c r="J2425" s="9">
        <v>15.0</v>
      </c>
      <c r="K2425" s="9">
        <v>8.0</v>
      </c>
      <c r="L2425" s="8" t="s">
        <v>10599</v>
      </c>
      <c r="M2425" s="8" t="s">
        <v>10600</v>
      </c>
      <c r="N2425" s="7" t="str">
        <f>IFERROR(__xludf.DUMMYFUNCTION("GOOGLETRANSLATE(L2425, ""en"", ""pt"")"),"Assistente de Salão")</f>
        <v>Assistente de Salão</v>
      </c>
      <c r="O2425" s="7" t="str">
        <f>IFERROR(__xludf.DUMMYFUNCTION("IF(M2425="""","""",GOOGLETRANSLATE(M2425,""en"",""pt""))"),"Auxiliar o cabeleireiro lavando o cabelo do cliente, desembaraçando-o quando necessário e separando-o em mechas. As seguintes ferramentas, materiais e equipamentos podem ser utilizados para realizar essas tarefas: pente e/ou escova, xampu, condicionador, "&amp;"secador de cabelo e vaporizadores. Essas tarefas preparam o cliente para o cabeleireiro, permitindo que ele inicie o processo de estilização do cabelo para mudar ou manter a imagem do cliente. Manter a limpeza e a aparência profissional do salão, incluind"&amp;"o varrer cabelos do chão, limpar as estações de trabalho, higienizar ferramentas e equipamentos, organizar suprimentos e manter as áreas de atendimento limpas e apresentáveis ​​para clientes e funcionários. Classificação da Função: 39-5093.00 - Lavadores "&amp;"de Cabelo. A classificação e descrição da função/setor inclui informações gerais sobre o cargo, de acordo com o ONET/OES e o Sistema de Classificação Industrial da América do Norte. Consulte as Funções e a Ordem de Serviço para obter mais informações. Req"&amp;"uisitos da Função: Experiência Necessária: Não. Requisitos Especiais: Nenhum. F.a.5 A-H. (continuação): 35 horas por semana. Jornada de trabalho de 7 horas. De terça a sábado, das 8h às 16h. Horas extras obrigatórias. Número de horas por semana: 35. Horár"&amp;"io de trabalho (início/término): 8h às 16h.")</f>
        <v>Auxiliar o cabeleireiro lavando o cabelo do cliente, desembaraçando-o quando necessário e separando-o em mechas. As seguintes ferramentas, materiais e equipamentos podem ser utilizados para realizar essas tarefas: pente e/ou escova, xampu, condicionador, secador de cabelo e vaporizadores. Essas tarefas preparam o cliente para o cabeleireiro, permitindo que ele inicie o processo de estilização do cabelo para mudar ou manter a imagem do cliente. Manter a limpeza e a aparência profissional do salão, incluindo varrer cabelos do chão, limpar as estações de trabalho, higienizar ferramentas e equipamentos, organizar suprimentos e manter as áreas de atendimento limpas e apresentáveis ​​para clientes e funcionários. Classificação da Função: 39-5093.00 - Lavadores de Cabelo. A classificação e descrição da função/setor inclui informações gerais sobre o cargo, de acordo com o ONET/OES e o Sistema de Classificação Industrial da América do Norte. Consulte as Funções e a Ordem de Serviço para obter mais informações. Requisitos da Função: Experiência Necessária: Não. Requisitos Especiais: Nenhum. F.a.5 A-H. (continuação): 35 horas por semana. Jornada de trabalho de 7 horas. De terça a sábado, das 8h às 16h. Horas extras obrigatórias. Número de horas por semana: 35. Horário de trabalho (início/término): 8h às 16h.</v>
      </c>
    </row>
    <row r="2426" ht="20.25" customHeight="1">
      <c r="A2426" s="3" t="s">
        <v>10601</v>
      </c>
      <c r="B2426" s="3" t="s">
        <v>10602</v>
      </c>
      <c r="C2426" s="3" t="s">
        <v>3981</v>
      </c>
      <c r="D2426" s="3" t="s">
        <v>64</v>
      </c>
      <c r="E2426" s="4" t="s">
        <v>19</v>
      </c>
      <c r="F2426" s="4" t="s">
        <v>20</v>
      </c>
      <c r="G2426" s="4" t="s">
        <v>307</v>
      </c>
      <c r="H2426" s="3" t="s">
        <v>10603</v>
      </c>
      <c r="I2426" s="3" t="s">
        <v>10604</v>
      </c>
      <c r="J2426" s="4">
        <v>14.81</v>
      </c>
      <c r="K2426" s="4">
        <v>1.0</v>
      </c>
      <c r="L2426" s="3" t="s">
        <v>387</v>
      </c>
      <c r="M2426" s="3" t="s">
        <v>10605</v>
      </c>
      <c r="N2426" s="7" t="str">
        <f>IFERROR(__xludf.DUMMYFUNCTION("GOOGLETRANSLATE(L2426, ""en"", ""pt"")"),"Ordem de serviço não disponível")</f>
        <v>Ordem de serviço não disponível</v>
      </c>
      <c r="O2426" s="7" t="str">
        <f>IFERROR(__xludf.DUMMYFUNCTION("IF(M2426="""","""",GOOGLETRANSLATE(M2426,""en"",""pt""))"),"Deveres gerais: A babá deverá fornecer cuidados responsáveis ​​às crianças e auxiliar nas tarefas domésticas. Isso inclui, mas não se limita ao seguinte: • Orientação gentil: Em nenhuma hipótese será permitido que uma criança participe de qualquer ativida"&amp;"de considerada perigosa pelos pais ou pela babá. As crianças não devem ser palmadas, agredidas ou tocadas com força por transgressões. • Transporte: As crianças não serão transportadas sem o consentimento prévio e as instruções dos pais. As crianças não s"&amp;"erão transportadas para a casa de outra pessoa sem o consentimento prévio dos pais. Todo o transporte será feito no veículo dos pais e com cadeirinha apropriada, fornecida e aprovada pelos pais. Nenhuma pessoa, além de cuidadores ou babás aprovados pelos "&amp;"pais, tem permissão para transportar as crianças sem o consentimento prévio dos pais. Os pais arcarão com todas as despesas razoáveis ​​associadas, incluindo o seguro do carro e o combustível da babá (a babá será reembolsada pelos custos de combustível as"&amp;"sociados ao transporte das crianças, não para viagens pessoais). • Refeições: A babá providenciará três refeições completas por dia, lanches saudáveis ​​e mamadeiras. • Sonecas: A babá garantirá que as crianças sigam o horário e a rotina de sonecas estabe"&amp;"lecidos pelos pais. • Diretrizes para liberar as crianças: A babá não liberará as crianças para nenhum parente, vizinho, amigo da família ou pai/mãe de amigo(a) sem a autorização expressa dos pais. • Tempo ao ar livre: A babá passará pelo menos sessenta ("&amp;"60) minutos por dia ao ar livre com a criança, se o tempo permitir, no quintal da casa dos pais ou em parques aprovados pelos pais. A babá garantirá proteção adequada contra sol ou chuva/neve para a criança (por exemplo, protetor solar, jaquetas, etc., a "&amp;"serem providenciados pelos pais). • Atualizações regulares para os pais: A babá fornecerá aos pais uma atualização diária por mensagem de texto ou e-mail. Tarefas domésticas: A babá será responsável pelas seguintes tarefas domésticas como parte de seu tra"&amp;"balho: i. Utensílios de cozinha/mamadeiras: Limpeza diária de todas as mamadeiras, copos, pratos, etc., utilizados pela criança e pela babá (por exemplo, a babá colocará a louça suja na lava-louças e ligará a máquina apropriada). A babá também aspirará e/"&amp;"ou varrerá embaixo das mesas da cozinha e limpará as mesas e bancadas após as refeições, conforme necessário. ii. Área de brincar: Recolher diariamente os brinquedos e roupas das áreas de brincar da criança (incluindo os quartos da criança, sala de brinqu"&amp;"edos, sala de estar e área externa) e trocar os brinquedos periodicamente. iii. Lavanderia: Lavagem e passagem das roupas e roupas de cama das crianças semanalmente. iv. Cozinha: Planejamento semanal das refeições e preparo antecipado das refeições para a"&amp;"s crianças, que serão armazenadas no freezer. As refeições a serem preparadas para as crianças devem ser acordadas com os pais antes do preparo. v. Atividades: Organização, agendamento e participação em aulas, encontros com outras crianças e atividades ap"&amp;"ropriadas, a serem acordadas com os pais. Classificação da Função: 39-9011.01 - Babás. A classificação e descrição da função/setor inclui informações gerais sobre o cargo, de acordo com o ONET/OES e o Sistema de Classificação Industrial da América do Nort"&amp;"e. Consulte as Funções e a Ordem de Serviço para obter mais informações. Requisitos da Função: Experiência Necessária: Não. Requisitos Especiais: A babá concorda em obter o treinamento de Certificação em Ressuscitação Cardiopulmonar (RCP) para bebês antes"&amp;" ou depois de chegar ao local de trabalho. O empregador reembolsará a babá pelos custos de tal certificação. A babá deverá fazer aulas de direção nos EUA, caso não possua carteira de habilitação ou possua uma carteira de habilitação estrangeira. Número de"&amp;" Horas por Semana: 50. Horário de Trabalho (Início/Término): 8h às 18h.")</f>
        <v>Deveres gerais: A babá deverá fornecer cuidados responsáveis ​​às crianças e auxiliar nas tarefas domésticas. Isso inclui, mas não se limita ao seguinte: • Orientação gentil: Em nenhuma hipótese será permitido que uma criança participe de qualquer atividade considerada perigosa pelos pais ou pela babá. As crianças não devem ser palmadas, agredidas ou tocadas com força por transgressões. • Transporte: As crianças não serão transportadas sem o consentimento prévio e as instruções dos pais. As crianças não serão transportadas para a casa de outra pessoa sem o consentimento prévio dos pais. Todo o transporte será feito no veículo dos pais e com cadeirinha apropriada, fornecida e aprovada pelos pais. Nenhuma pessoa, além de cuidadores ou babás aprovados pelos pais, tem permissão para transportar as crianças sem o consentimento prévio dos pais. Os pais arcarão com todas as despesas razoáveis ​​associadas, incluindo o seguro do carro e o combustível da babá (a babá será reembolsada pelos custos de combustível associados ao transporte das crianças, não para viagens pessoais). • Refeições: A babá providenciará três refeições completas por dia, lanches saudáveis ​​e mamadeiras. • Sonecas: A babá garantirá que as crianças sigam o horário e a rotina de sonecas estabelecidos pelos pais. • Diretrizes para liberar as crianças: A babá não liberará as crianças para nenhum parente, vizinho, amigo da família ou pai/mãe de amigo(a) sem a autorização expressa dos pais. • Tempo ao ar livre: A babá passará pelo menos sessenta (60) minutos por dia ao ar livre com a criança, se o tempo permitir, no quintal da casa dos pais ou em parques aprovados pelos pais. A babá garantirá proteção adequada contra sol ou chuva/neve para a criança (por exemplo, protetor solar, jaquetas, etc., a serem providenciados pelos pais). • Atualizações regulares para os pais: A babá fornecerá aos pais uma atualização diária por mensagem de texto ou e-mail. Tarefas domésticas: A babá será responsável pelas seguintes tarefas domésticas como parte de seu trabalho: i. Utensílios de cozinha/mamadeiras: Limpeza diária de todas as mamadeiras, copos, pratos, etc., utilizados pela criança e pela babá (por exemplo, a babá colocará a louça suja na lava-louças e ligará a máquina apropriada). A babá também aspirará e/ou varrerá embaixo das mesas da cozinha e limpará as mesas e bancadas após as refeições, conforme necessário. ii. Área de brincar: Recolher diariamente os brinquedos e roupas das áreas de brincar da criança (incluindo os quartos da criança, sala de brinquedos, sala de estar e área externa) e trocar os brinquedos periodicamente. iii. Lavanderia: Lavagem e passagem das roupas e roupas de cama das crianças semanalmente. iv. Cozinha: Planejamento semanal das refeições e preparo antecipado das refeições para as crianças, que serão armazenadas no freezer. As refeições a serem preparadas para as crianças devem ser acordadas com os pais antes do preparo. v. Atividades: Organização, agendamento e participação em aulas, encontros com outras crianças e atividades apropriadas, a serem acordadas com os pais. Classificação da Função: 39-9011.01 - Babás. A classificação e descrição da função/setor inclui informações gerais sobre o cargo, de acordo com o ONET/OES e o Sistema de Classificação Industrial da América do Norte. Consulte as Funções e a Ordem de Serviço para obter mais informações. Requisitos da Função: Experiência Necessária: Não. Requisitos Especiais: A babá concorda em obter o treinamento de Certificação em Ressuscitação Cardiopulmonar (RCP) para bebês antes ou depois de chegar ao local de trabalho. O empregador reembolsará a babá pelos custos de tal certificação. A babá deverá fazer aulas de direção nos EUA, caso não possua carteira de habilitação ou possua uma carteira de habilitação estrangeira. Número de Horas por Semana: 50. Horário de Trabalho (Início/Término): 8h às 18h.</v>
      </c>
    </row>
    <row r="2427" ht="20.25" customHeight="1">
      <c r="A2427" s="8" t="s">
        <v>10606</v>
      </c>
      <c r="B2427" s="8" t="s">
        <v>10607</v>
      </c>
      <c r="C2427" s="8" t="s">
        <v>8685</v>
      </c>
      <c r="D2427" s="8" t="s">
        <v>271</v>
      </c>
      <c r="E2427" s="9" t="s">
        <v>44</v>
      </c>
      <c r="F2427" s="9" t="s">
        <v>20</v>
      </c>
      <c r="G2427" s="9" t="s">
        <v>229</v>
      </c>
      <c r="H2427" s="8" t="s">
        <v>10608</v>
      </c>
      <c r="I2427" s="8" t="s">
        <v>10609</v>
      </c>
      <c r="J2427" s="9">
        <v>21.79</v>
      </c>
      <c r="K2427" s="9">
        <v>6.0</v>
      </c>
      <c r="L2427" s="8" t="s">
        <v>10610</v>
      </c>
      <c r="M2427" s="8" t="s">
        <v>10611</v>
      </c>
      <c r="N2427" s="7" t="str">
        <f>IFERROR(__xludf.DUMMYFUNCTION("GOOGLETRANSLATE(L2427, ""en"", ""pt"")"),"Montador/fabricante de estruturas metálicas")</f>
        <v>Montador/fabricante de estruturas metálicas</v>
      </c>
      <c r="O2427" s="7" t="str">
        <f>IFERROR(__xludf.DUMMYFUNCTION("IF(M2427="""","""",GOOGLETRANSLATE(M2427,""en"",""pt""))"),"Fabricar, ajustar, montar e soldar componentes mecânicos e estruturais de aço para projetos industriais e de mineração, incluindo calhas, plataformas, escadas, suportes e outras estruturas pesadas de aço. Ler e interpretar desenhos de fabricação, plantas,"&amp;" símbolos de soldagem e especificações do projeto. Realizar o traçado, preparação de materiais, ajuste, corte, esmerilhamento, furação, soldagem, preparação de superfície e acabamento de componentes de aço. Operar equipamentos de fabricação e ferramentas "&amp;"manuais, incluindo máquinas de solda, esmerilhadeiras, equipamentos de corte CNC, instrumentos de medição, equipamentos de movimentação de materiais e outras ferramentas industriais de fabricação. Realizar soldagem SMAW, FCAW e TIG conforme necessário par"&amp;"a concluir o trabalho de fabricação e montagem de estruturas metálicas. Seguir os procedimentos da empresa, as especificações do projeto, os padrões de qualidade e os requisitos de segurança do trabalho aplicáveis. Classificação da vaga: 51-2041.00 - Fabr"&amp;"icantes e Montadores de Estruturas Metálicas. A classificação e descrição da vaga/indústria incluem informações gerais sobre o cargo, de acordo com o ONET/OES e o Sistema de Classificação Industrial da América do Norte (NAICS). Consulte as Funções e a Ord"&amp;"em de Serviço para obter mais informações. Requisitos da Vaga Experiência Necessária: Sim Meses de Experiência Necessários: 24 Requisitos Especiais: Horário de trabalho previsto: Segunda a sexta-feira; Turnos disponíveis das 6h às 18h; 40 horas semanais g"&amp;"arantidas. Horas Extras: Horas extras disponíveis/previstas e serão pagas conforme exigido pelas leis federais e estaduais aplicáveis. Salário oferecido: De US$ 21,79 a US$ 30,00, dependendo da experiência e qualificações, e no mínimo o salário máximo exi"&amp;"gido pela legislação aplicável. Remuneração por hora extra: De US$ 32,69 a US$ 45 por hora, conforme exigido pela legislação aplicável. O empregador poderá pagar taxas de hora extra mais altas, dependendo da taxa normal e do salário efetivamente oferecido"&amp;". Número de Horas por Semana: 40 Horário de Trabalho (Início/Término): 6h às 18h")</f>
        <v>Fabricar, ajustar, montar e soldar componentes mecânicos e estruturais de aço para projetos industriais e de mineração, incluindo calhas, plataformas, escadas, suportes e outras estruturas pesadas de aço. Ler e interpretar desenhos de fabricação, plantas, símbolos de soldagem e especificações do projeto. Realizar o traçado, preparação de materiais, ajuste, corte, esmerilhamento, furação, soldagem, preparação de superfície e acabamento de componentes de aço. Operar equipamentos de fabricação e ferramentas manuais, incluindo máquinas de solda, esmerilhadeiras, equipamentos de corte CNC, instrumentos de medição, equipamentos de movimentação de materiais e outras ferramentas industriais de fabricação. Realizar soldagem SMAW, FCAW e TIG conforme necessário para concluir o trabalho de fabricação e montagem de estruturas metálicas. Seguir os procedimentos da empresa, as especificações do projeto, os padrões de qualidade e os requisitos de segurança do trabalho aplicáveis. Classificação da vaga: 51-2041.00 - Fabricantes e Montadores de Estruturas Metálicas. A classificação e descrição da vaga/indústria incluem informações gerais sobre o cargo, de acordo com o ONET/OES e o Sistema de Classificação Industrial da América do Norte (NAICS). Consulte as Funções e a Ordem de Serviço para obter mais informações. Requisitos da Vaga Experiência Necessária: Sim Meses de Experiência Necessários: 24 Requisitos Especiais: Horário de trabalho previsto: Segunda a sexta-feira; Turnos disponíveis das 6h às 18h; 40 horas semanais garantidas. Horas Extras: Horas extras disponíveis/previstas e serão pagas conforme exigido pelas leis federais e estaduais aplicáveis. Salário oferecido: De US$ 21,79 a US$ 30,00, dependendo da experiência e qualificações, e no mínimo o salário máximo exigido pela legislação aplicável. Remuneração por hora extra: De US$ 32,69 a US$ 45 por hora, conforme exigido pela legislação aplicável. O empregador poderá pagar taxas de hora extra mais altas, dependendo da taxa normal e do salário efetivamente oferecido. Número de Horas por Semana: 40 Horário de Trabalho (Início/Término): 6h às 18h</v>
      </c>
    </row>
    <row r="2428" ht="20.25" customHeight="1">
      <c r="A2428" s="3" t="s">
        <v>10612</v>
      </c>
      <c r="B2428" s="3" t="s">
        <v>10613</v>
      </c>
      <c r="C2428" s="3" t="s">
        <v>4272</v>
      </c>
      <c r="D2428" s="3" t="s">
        <v>254</v>
      </c>
      <c r="E2428" s="4" t="s">
        <v>44</v>
      </c>
      <c r="F2428" s="4" t="s">
        <v>20</v>
      </c>
      <c r="G2428" s="4" t="s">
        <v>377</v>
      </c>
      <c r="H2428" s="3" t="s">
        <v>10614</v>
      </c>
      <c r="I2428" s="3" t="s">
        <v>10615</v>
      </c>
      <c r="J2428" s="4">
        <v>22.3</v>
      </c>
      <c r="K2428" s="4">
        <v>15.0</v>
      </c>
      <c r="L2428" s="3" t="s">
        <v>121</v>
      </c>
      <c r="M2428" s="3" t="s">
        <v>10616</v>
      </c>
      <c r="N2428" s="7" t="str">
        <f>IFERROR(__xludf.DUMMYFUNCTION("GOOGLETRANSLATE(L2428, ""en"", ""pt"")"),"Trabalhador braçal")</f>
        <v>Trabalhador braçal</v>
      </c>
      <c r="O2428" s="7" t="str">
        <f>IFERROR(__xludf.DUMMYFUNCTION("IF(M2428="""","""",GOOGLETRANSLATE(M2428,""en"",""pt""))"),"Limpeza da área de trabalho geral, incluindo varrição; Recolhimento e carregamento de materiais em centros de distribuição, como a Home Depot. O funcionário não precisará dirigir o veículo. Auxílio na montagem de andaimes. Movimentação e manuseio de ferra"&amp;"mentas para outros trabalhadores, como geradores, compressores de ar, ferramentas elétricas, serras de mesa e furadeiras elétricas. Classificação da vaga: 47-2061.00 - Auxiliares de Construção. A classificação e descrição da vaga/setor incluem informações"&amp;" gerais sobre o cargo, de acordo com o ONET/OES e o Sistema de Classificação Industrial da América do Norte (NAICS). Consulte as Funções e a Ordem de Serviço para obter mais informações. Requisitos da vaga: Experiência necessária: Não. Requisitos especiai"&amp;"s: Nenhum. F.a.5 A-H. (continuação): Jornada de trabalho de 8 horas. Segunda a sexta, das 8h às 16h. 5 a 10 horas extras disponíveis. Número de horas por semana: 40. Horário de trabalho (início/término): 8h às 16h.")</f>
        <v>Limpeza da área de trabalho geral, incluindo varrição; Recolhimento e carregamento de materiais em centros de distribuição, como a Home Depot. O funcionário não precisará dirigir o veículo. Auxílio na montagem de andaimes. Movimentação e manuseio de ferramentas para outros trabalhadores, como geradores, compressores de ar, ferramentas elétricas, serras de mesa e furadeiras elétricas. Classificação da vaga: 47-2061.00 - Auxiliares de Construção. A classificação e descrição da vaga/setor incluem informações gerais sobre o cargo, de acordo com o ONET/OES e o Sistema de Classificação Industrial da América do Norte (NAICS). Consulte as Funções e a Ordem de Serviço para obter mais informações. Requisitos da vaga: Experiência necessária: Não. Requisitos especiais: Nenhum. F.a.5 A-H. (continuação): Jornada de trabalho de 8 horas. Segunda a sexta, das 8h às 16h. 5 a 10 horas extras disponíveis. Número de horas por semana: 40. Horário de trabalho (início/término): 8h às 16h.</v>
      </c>
    </row>
    <row r="2429" ht="20.25" customHeight="1">
      <c r="A2429" s="8" t="s">
        <v>10617</v>
      </c>
      <c r="B2429" s="8" t="s">
        <v>10618</v>
      </c>
      <c r="C2429" s="8" t="s">
        <v>9739</v>
      </c>
      <c r="D2429" s="8" t="s">
        <v>71</v>
      </c>
      <c r="E2429" s="9" t="s">
        <v>44</v>
      </c>
      <c r="F2429" s="9" t="s">
        <v>20</v>
      </c>
      <c r="G2429" s="9" t="s">
        <v>345</v>
      </c>
      <c r="H2429" s="8" t="s">
        <v>10619</v>
      </c>
      <c r="I2429" s="8" t="s">
        <v>10620</v>
      </c>
      <c r="J2429" s="9">
        <v>16.2</v>
      </c>
      <c r="K2429" s="9">
        <v>15.0</v>
      </c>
      <c r="L2429" s="8" t="s">
        <v>354</v>
      </c>
      <c r="M2429" s="8" t="s">
        <v>10621</v>
      </c>
      <c r="N2429" s="7" t="str">
        <f>IFERROR(__xludf.DUMMYFUNCTION("GOOGLETRANSLATE(L2429, ""en"", ""pt"")"),"Governanta")</f>
        <v>Governanta</v>
      </c>
      <c r="O2429" s="7" t="str">
        <f>IFERROR(__xludf.DUMMYFUNCTION("IF(M2429="""","""",GOOGLETRANSLATE(M2429,""en"",""pt""))"),"Responsabilidades: Os funcionários serão responsáveis ​​por garantir altos padrões de limpeza nos quartos de hóspedes designados, de forma eficiente. As responsabilidades incluem, entre outras, limpar o quarto e o banheiro, arrumar as camas, trocar lençói"&amp;"s e toalhas, recolher e descartar o lixo, repor produtos de higiene pessoal, passar pano e tirar o pó. Manter todos os equipamentos limpos e interagir com os hóspedes e colegas do hotel conforme necessário. É necessário ter capacidade para levantar, puxar"&amp;" e empurrar peso moderado. É preciso ser capaz de ficar em pé, caminhar, se abaixar e/ou alcançar objetos durante todo o turno, incluindo a movimentação entre andares e prédios com carrinhos e equipamentos grandes. Não será oferecido treinamento no local "&amp;"de trabalho. Requisitos: 3 meses de experiência em limpeza. É preciso ser capaz de levantar 9 kg, trabalhar em pé por longos períodos, abaixar-se para pegar itens e limpar, e girar colchões. A verificação de antecedentes criminais e o teste toxicológico p"&amp;"ré-emprego são obrigatórios e serão aplicados igualmente a trabalhadores americanos e com visto H-2B. Salário: Os funcionários receberão no mínimo US$ 16,20 por hora. Horas extras estarão disponíveis conforme a necessidade, com pagamento de US$ 24,30. O e"&amp;"mpregador fará todos os descontos no salário do funcionário, conforme exigido por lei. Os funcionários receberão o pagamento semanalmente, às sextas-feiras, por meio de depósito direto. Os funcionários são elegíveis para bônus sazonais. Turnos: Mínimo de "&amp;"35 horas por semana. De domingo a sábado, das 7h às 16h, com 1 a 2 dias de folga por semana. Pode ser necessário trabalhar nos fins de semana e fazer horas extras. Classificação do Cargo: 37-2012.00 - Empregadas Domésticas e Auxiliares de Limpeza. A class"&amp;"ificação e descrição do cargo/setor incluem informações gerais sobre a posição, de acordo com o ONET/OES e o Sistema de Classificação Industrial da América do Norte (NAICS). Consulte as Funções e a Ordem de Serviço para obter mais informações. Requisitos "&amp;"do Cargo: Experiência Necessária: Sim. Meses de Experiência Necessários: 3. Requisitos Especiais: 3 meses de experiência em limpeza doméstica. É necessário ser capaz de levantar 9 kg, trabalhar em pé por longos períodos, agachar-se para pegar objetos e li"&amp;"mpar, e girar colchões. A verificação de antecedentes criminais e o teste antidrogas pré-emprego são obrigatórios e serão aplicados igualmente a trabalhadores americanos e com visto H-2B. Número de horas por semana: 35. Horário de trabalho (início/término"&amp;"): 7h às 16h.")</f>
        <v>Responsabilidades: Os funcionários serão responsáveis ​​por garantir altos padrões de limpeza nos quartos de hóspedes designados, de forma eficiente. As responsabilidades incluem, entre outras, limpar o quarto e o banheiro, arrumar as camas, trocar lençóis e toalhas, recolher e descartar o lixo, repor produtos de higiene pessoal, passar pano e tirar o pó. Manter todos os equipamentos limpos e interagir com os hóspedes e colegas do hotel conforme necessário. É necessário ter capacidade para levantar, puxar e empurrar peso moderado. É preciso ser capaz de ficar em pé, caminhar, se abaixar e/ou alcançar objetos durante todo o turno, incluindo a movimentação entre andares e prédios com carrinhos e equipamentos grandes. Não será oferecido treinamento no local de trabalho. Requisitos: 3 meses de experiência em limpeza. É preciso ser capaz de levantar 9 kg, trabalhar em pé por longos períodos, abaixar-se para pegar itens e limpar, e girar colchões. A verificação de antecedentes criminais e o teste toxicológico pré-emprego são obrigatórios e serão aplicados igualmente a trabalhadores americanos e com visto H-2B. Salário: Os funcionários receberão no mínimo US$ 16,20 por hora. Horas extras estarão disponíveis conforme a necessidade, com pagamento de US$ 24,30. O empregador fará todos os descontos no salário do funcionário, conforme exigido por lei. Os funcionários receberão o pagamento semanalmente, às sextas-feiras, por meio de depósito direto. Os funcionários são elegíveis para bônus sazonais. Turnos: Mínimo de 35 horas por semana. De domingo a sábado, das 7h às 16h, com 1 a 2 dias de folga por semana. Pode ser necessário trabalhar nos fins de semana e fazer horas extras. Classificação do Cargo: 37-2012.00 - Empregadas Domésticas e Auxiliares de Limpeza. A classificação e descrição do cargo/setor incluem informações gerais sobre a posição, de acordo com o ONET/OES e o Sistema de Classificação Industrial da América do Norte (NAICS). Consulte as Funções e a Ordem de Serviço para obter mais informações. Requisitos do Cargo: Experiência Necessária: Sim. Meses de Experiência Necessários: 3. Requisitos Especiais: 3 meses de experiência em limpeza doméstica. É necessário ser capaz de levantar 9 kg, trabalhar em pé por longos períodos, agachar-se para pegar objetos e limpar, e girar colchões. A verificação de antecedentes criminais e o teste antidrogas pré-emprego são obrigatórios e serão aplicados igualmente a trabalhadores americanos e com visto H-2B. Número de horas por semana: 35. Horário de trabalho (início/término): 7h às 16h.</v>
      </c>
    </row>
    <row r="2430" ht="20.25" customHeight="1">
      <c r="A2430" s="3" t="s">
        <v>10622</v>
      </c>
      <c r="B2430" s="3" t="s">
        <v>4136</v>
      </c>
      <c r="C2430" s="3" t="s">
        <v>920</v>
      </c>
      <c r="D2430" s="3" t="s">
        <v>1297</v>
      </c>
      <c r="E2430" s="4" t="s">
        <v>19</v>
      </c>
      <c r="F2430" s="4" t="s">
        <v>20</v>
      </c>
      <c r="G2430" s="4" t="s">
        <v>155</v>
      </c>
      <c r="H2430" s="3" t="s">
        <v>4137</v>
      </c>
      <c r="I2430" s="3" t="s">
        <v>10162</v>
      </c>
      <c r="J2430" s="4">
        <v>19.69</v>
      </c>
      <c r="K2430" s="4">
        <v>15.0</v>
      </c>
      <c r="L2430" s="3" t="s">
        <v>59</v>
      </c>
      <c r="M2430" s="3" t="s">
        <v>10623</v>
      </c>
      <c r="N2430" s="7" t="str">
        <f>IFERROR(__xludf.DUMMYFUNCTION("GOOGLETRANSLATE(L2430, ""en"", ""pt"")"),"Trabalhador de paisagismo")</f>
        <v>Trabalhador de paisagismo</v>
      </c>
      <c r="O2430" s="7" t="str">
        <f>IFERROR(__xludf.DUMMYFUNCTION("IF(M2430="""","""",GOOGLETRANSLATE(M2430,""en"",""pt""))"),"Plantio paisagístico, instalação de grama, cobertura morta, corte de grama, poda e capina. Levantar até 23 kg. Carregar e descarregar materiais. Classificação da vaga: 37-3011.00 - Trabalhadores de Paisagismo e Manutenção de Jardins. A classificação e des"&amp;"crição da vaga/setor incluem informações gerais sobre o cargo, de acordo com o ONET/OES e o Sistema de Classificação Industrial da América do Norte. Consulte as Funções e a Ordem de Serviço para obter mais informações. Requisitos da vaga: Experiência nece"&amp;"ssária: Não. Requisitos especiais: Nenhum. Número de horas por semana: 40. Horário de trabalho (início/término): 7h às 17h.")</f>
        <v>Plantio paisagístico, instalação de grama, cobertura morta, corte de grama, poda e capina. Levantar até 23 kg. Carregar e descarregar materiais. Classificação da vaga: 37-3011.00 - Trabalhadores de Paisagismo e Manutenção de Jardins. A classificação e descrição da vaga/setor incluem informações gerais sobre o cargo, de acordo com o ONET/OES e o Sistema de Classificação Industrial da América do Norte. Consulte as Funções e a Ordem de Serviço para obter mais informações. Requisitos da vaga: Experiência necessária: Não. Requisitos especiais: Nenhum. Número de horas por semana: 40. Horário de trabalho (início/término): 7h às 17h.</v>
      </c>
    </row>
    <row r="2431" ht="20.25" customHeight="1">
      <c r="A2431" s="8" t="s">
        <v>10624</v>
      </c>
      <c r="B2431" s="8" t="s">
        <v>10625</v>
      </c>
      <c r="C2431" s="8" t="s">
        <v>1369</v>
      </c>
      <c r="D2431" s="8" t="s">
        <v>64</v>
      </c>
      <c r="E2431" s="9" t="s">
        <v>44</v>
      </c>
      <c r="F2431" s="9" t="s">
        <v>20</v>
      </c>
      <c r="G2431" s="9" t="s">
        <v>384</v>
      </c>
      <c r="H2431" s="8" t="s">
        <v>10626</v>
      </c>
      <c r="I2431" s="8" t="s">
        <v>10627</v>
      </c>
      <c r="J2431" s="9">
        <v>17.26</v>
      </c>
      <c r="K2431" s="9">
        <v>2.0</v>
      </c>
      <c r="L2431" s="8" t="s">
        <v>3977</v>
      </c>
      <c r="M2431" s="8" t="s">
        <v>10628</v>
      </c>
      <c r="N2431" s="7" t="str">
        <f>IFERROR(__xludf.DUMMYFUNCTION("GOOGLETRANSLATE(L2431, ""en"", ""pt"")"),"Processador de frutos do mar")</f>
        <v>Processador de frutos do mar</v>
      </c>
      <c r="O2431" s="7" t="str">
        <f>IFERROR(__xludf.DUMMYFUNCTION("IF(M2431="""","""",GOOGLETRANSLATE(M2431,""en"",""pt""))"),"Processamento de peixes e camarões para torná-los seguros e prontos para o consumo. Lavagem, seleção, descamação, evisceração e remoção da cabeça dos frutos do mar. Esfolamento, aparo, filetagem e desossamento de peixes. Classificação e seleção de camarõe"&amp;"s por tamanho e qualidade. Classificação da função: 45-2041.00 - Classificadores e Selecionadores de Produtos Agrícolas. A classificação e descrição da função/setor inclui informações gerais sobre o cargo, de acordo com o ONET/OES e o Sistema de Classific"&amp;"ação Industrial da América do Norte. Consulte as Funções e a Ordem de Serviço para obter mais informações. Requisitos da vaga: Experiência necessária: Não. Requisitos especiais: 1 hora de intervalo para almoço não remunerado. Não são necessários experiênc"&amp;"ia, formação ou treinamento. Número de horas por semana: 35. Horário de trabalho (início/término): 6h às 14h.")</f>
        <v>Processamento de peixes e camarões para torná-los seguros e prontos para o consumo. Lavagem, seleção, descamação, evisceração e remoção da cabeça dos frutos do mar. Esfolamento, aparo, filetagem e desossamento de peixes. Classificação e seleção de camarões por tamanho e qualidade. Classificação da função: 45-2041.00 - Classificadores e Selecionadores de Produtos Agrícolas. A classificação e descrição da função/setor inclui informações gerais sobre o cargo, de acordo com o ONET/OES e o Sistema de Classificação Industrial da América do Norte. Consulte as Funções e a Ordem de Serviço para obter mais informações. Requisitos da vaga: Experiência necessária: Não. Requisitos especiais: 1 hora de intervalo para almoço não remunerado. Não são necessários experiência, formação ou treinamento. Número de horas por semana: 35. Horário de trabalho (início/término): 6h às 14h.</v>
      </c>
    </row>
    <row r="2432" ht="20.25" customHeight="1">
      <c r="A2432" s="3" t="s">
        <v>10629</v>
      </c>
      <c r="B2432" s="3" t="s">
        <v>10630</v>
      </c>
      <c r="C2432" s="3" t="s">
        <v>10631</v>
      </c>
      <c r="D2432" s="3" t="s">
        <v>64</v>
      </c>
      <c r="E2432" s="4" t="s">
        <v>44</v>
      </c>
      <c r="F2432" s="4" t="s">
        <v>20</v>
      </c>
      <c r="G2432" s="4" t="s">
        <v>56</v>
      </c>
      <c r="H2432" s="3" t="s">
        <v>10632</v>
      </c>
      <c r="I2432" s="3" t="s">
        <v>10633</v>
      </c>
      <c r="J2432" s="4">
        <v>26.85</v>
      </c>
      <c r="K2432" s="4">
        <v>30.0</v>
      </c>
      <c r="L2432" s="3" t="s">
        <v>10634</v>
      </c>
      <c r="M2432" s="3" t="s">
        <v>10635</v>
      </c>
      <c r="N2432" s="7" t="str">
        <f>IFERROR(__xludf.DUMMYFUNCTION("GOOGLETRANSLATE(L2432, ""en"", ""pt"")"),"Movimentador de Materiais")</f>
        <v>Movimentador de Materiais</v>
      </c>
      <c r="O2432" s="7" t="str">
        <f>IFERROR(__xludf.DUMMYFUNCTION("IF(M2432="""","""",GOOGLETRANSLATE(M2432,""en"",""pt""))"),"**Solicitação de Informação** 1. Máquinas: Transportadores de rolos motorizados e empilhadeiras elétricas manuais. 2. Produtos Defeituosos: Manuseio manual (menos de 23 kg), carrinho de mão manual ou empilhadeira elétrica manual. 3. Empilhadeiras: Transpa"&amp;"leteiras elétricas manuais e empilhadeiras elétricas (modelos Big Joe/Raymond). 4. Pintura: • Ferramentas: Escovas de arame, lixa e latas de tinta spray. • Finalidade: Retoques estéticos para evitar ferrugem externa. 5. Manutenção: • Tarefas: Raspar poeir"&amp;"a, limpar máquinas e lavar com lavadora de alta pressão. • Ferramentas: Chaves de fenda, chaves inglesas, alicates e lavadora de alta pressão. Peças/Engrenagens: Substituição de vedações de borracha contra poeira ou lâmpadas. A troca de engrenagens consis"&amp;"te em deslizar uma roda guia de plástico sobre um rolo transportador, desaparafusando uma proteção com uma chave inglesa. Não envolve reparos mecânicos internos, ajustes de sincronização ou qualquer trabalho no motor, transmissão, sistema elétrico ou hidr"&amp;"áulico. **Original** Carregar e descarregar pedras de construção de máquinas e esteiras, operar máquinas utilizadas no processo de produção realizado dentro do prédio, colocar pedras de construção em equipamentos ou em superfícies de trabalho para posteri"&amp;"or processamento, inspeção ou embalagem. Os trabalhadores manusearão e fornecerão materiais e ferramentas de pedra de construção para auxiliar os operários da produção. Transferirão produtos acabados, pedras de construção, ferramentas ou equipamentos entr"&amp;"e as áreas de armazenamento e de trabalho das fábricas e armazéns, manualmente ou utilizando carrinhos de mão ou empilhadeiras. Os trabalhadores também varrerão e coletarão lixo e detritos para descarte. Realizarão a remoção de ferrugem e a pintura de equ"&amp;"ipamentos e máquinas, como escavadeiras e minicarregadeiras. Auxiliarão nas tarefas de manutenção de final de temporada, como realizar pequenos reparos em máquinas (substituindo peças danificadas ou desgastadas), trocar engrenagens de máquinas e lavar áre"&amp;"as de trabalho, máquinas e equipamentos. Os trabalhadores também identificarão produtos de pedra de construção defeituosos e os realocarão para descarte ou reprocessamento. É necessário ser capaz de se curvar, agachar, ficar em pé por longos períodos e tr"&amp;"abalhar ao ar livre em climas quentes/frios. Classificação da vaga: 49-9043.00 - Operador de Manutenção de Máquinas. A classificação e descrição da vaga/setor inclui informações gerais sobre o cargo, conforme o ONET/OES e o Sistema de Classificação Indust"&amp;"rial da América do Norte (NAICS). Consulte as Funções e a Ordem de Serviço para obter mais informações. Requisitos da vaga: Experiência necessária: Não. Número de horas por semana: 41. Horário de trabalho (início/término): 7h às 17h.")</f>
        <v>**Solicitação de Informação** 1. Máquinas: Transportadores de rolos motorizados e empilhadeiras elétricas manuais. 2. Produtos Defeituosos: Manuseio manual (menos de 23 kg), carrinho de mão manual ou empilhadeira elétrica manual. 3. Empilhadeiras: Transpaleteiras elétricas manuais e empilhadeiras elétricas (modelos Big Joe/Raymond). 4. Pintura: • Ferramentas: Escovas de arame, lixa e latas de tinta spray. • Finalidade: Retoques estéticos para evitar ferrugem externa. 5. Manutenção: • Tarefas: Raspar poeira, limpar máquinas e lavar com lavadora de alta pressão. • Ferramentas: Chaves de fenda, chaves inglesas, alicates e lavadora de alta pressão. Peças/Engrenagens: Substituição de vedações de borracha contra poeira ou lâmpadas. A troca de engrenagens consiste em deslizar uma roda guia de plástico sobre um rolo transportador, desaparafusando uma proteção com uma chave inglesa. Não envolve reparos mecânicos internos, ajustes de sincronização ou qualquer trabalho no motor, transmissão, sistema elétrico ou hidráulico. **Original** Carregar e descarregar pedras de construção de máquinas e esteiras, operar máquinas utilizadas no processo de produção realizado dentro do prédio, colocar pedras de construção em equipamentos ou em superfícies de trabalho para posterior processamento, inspeção ou embalagem. Os trabalhadores manusearão e fornecerão materiais e ferramentas de pedra de construção para auxiliar os operários da produção. Transferirão produtos acabados, pedras de construção, ferramentas ou equipamentos entre as áreas de armazenamento e de trabalho das fábricas e armazéns, manualmente ou utilizando carrinhos de mão ou empilhadeiras. Os trabalhadores também varrerão e coletarão lixo e detritos para descarte. Realizarão a remoção de ferrugem e a pintura de equipamentos e máquinas, como escavadeiras e minicarregadeiras. Auxiliarão nas tarefas de manutenção de final de temporada, como realizar pequenos reparos em máquinas (substituindo peças danificadas ou desgastadas), trocar engrenagens de máquinas e lavar áreas de trabalho, máquinas e equipamentos. Os trabalhadores também identificarão produtos de pedra de construção defeituosos e os realocarão para descarte ou reprocessamento. É necessário ser capaz de se curvar, agachar, ficar em pé por longos períodos e trabalhar ao ar livre em climas quentes/frios. Classificação da vaga: 49-9043.00 - Operador de Manutenção de Máquinas. A classificação e descrição da vaga/setor inclui informações gerais sobre o cargo, conforme o ONET/OES e o Sistema de Classificação Industrial da América do Norte (NAICS). Consulte as Funções e a Ordem de Serviço para obter mais informações. Requisitos da vaga: Experiência necessária: Não. Número de horas por semana: 41. Horário de trabalho (início/término): 7h às 17h.</v>
      </c>
    </row>
    <row r="2433" ht="20.25" customHeight="1">
      <c r="A2433" s="8" t="s">
        <v>10636</v>
      </c>
      <c r="B2433" s="8" t="s">
        <v>10637</v>
      </c>
      <c r="C2433" s="8" t="s">
        <v>8981</v>
      </c>
      <c r="D2433" s="8" t="s">
        <v>71</v>
      </c>
      <c r="E2433" s="9" t="s">
        <v>19</v>
      </c>
      <c r="F2433" s="9" t="s">
        <v>20</v>
      </c>
      <c r="G2433" s="9" t="s">
        <v>524</v>
      </c>
      <c r="H2433" s="8" t="s">
        <v>10638</v>
      </c>
      <c r="I2433" s="8" t="s">
        <v>10639</v>
      </c>
      <c r="J2433" s="9">
        <v>20.0</v>
      </c>
      <c r="K2433" s="9">
        <v>12.0</v>
      </c>
      <c r="L2433" s="8" t="s">
        <v>1684</v>
      </c>
      <c r="M2433" s="8" t="s">
        <v>10640</v>
      </c>
      <c r="N2433" s="7" t="str">
        <f>IFERROR(__xludf.DUMMYFUNCTION("GOOGLETRANSLATE(L2433, ""en"", ""pt"")"),"Barman")</f>
        <v>Barman</v>
      </c>
      <c r="O2433" s="7" t="str">
        <f>IFERROR(__xludf.DUMMYFUNCTION("IF(M2433="""","""",GOOGLETRANSLATE(M2433,""en"",""pt""))"),"Anotar pedidos de bebidas. Preparar e servir drinks. Limpar a área do bar. Poderá ser necessário anotar pedidos de comida e fazer recomendações sobre vinhos e outros produtos. Solicitar e exibir bebidas alcoólicas e suprimentos. Manter a área do bar limpa"&amp;" e trabalhar de acordo com as normas estaduais rigorosamente aplicadas. *Continuação da Seção F.a.5 abaixo: 40 horas semanais. Os turnos serão de 8 horas, podendo variar conforme a necessidade, de acordo com o anúncio da vaga na Agência Estadual de Força "&amp;"de Trabalho e em outras fontes de anúncios de vagas H-2B, conforme os requisitos de recrutamento dos empregadores para trabalhadores em potencial no âmbito do programa H-2B. Turnos variáveis ​​ao longo de 7 dias da semana. Os turnos podem variar das 6h às"&amp;" 23h. Classificação da vaga: 35-3011.00 - Bartenders. A classificação e descrição da vaga/setor incluem informações gerais sobre o cargo, provenientes do ONET/OES e do Sistema de Classificação Industrial da América do Norte. Consulte as Funções e a Ordem "&amp;"de Serviço para obter mais informações. Requisitos da vaga Experiência exigida: Não Requisitos especiais: O EMPREGADOR EXIGE QUE A VERIFICAÇÃO DE ANTECEDENTES CRIMINAIS PRÉ-ADMISSÃO E O TESTE DE DROGAS PÓS-ADMISSÃO SEJAM REALIZADOS IGUALMENTE PARA OS TRAB"&amp;"ALHADORES AMERICANOS E PARA OS TRABALHADORES COM VISTO H-2B. HABILIDADE DE SE COMUNICAR EM INGLÊS. Número de horas por semana: 40 Horário de trabalho (início/término): 6h às 23h")</f>
        <v>Anotar pedidos de bebidas. Preparar e servir drinks. Limpar a área do bar. Poderá ser necessário anotar pedidos de comida e fazer recomendações sobre vinhos e outros produtos. Solicitar e exibir bebidas alcoólicas e suprimentos. Manter a área do bar limpa e trabalhar de acordo com as normas estaduais rigorosamente aplicadas. *Continuação da Seção F.a.5 abaixo: 40 horas semanais. Os turnos serão de 8 horas, podendo variar conforme a necessidade, de acordo com o anúncio da vaga na Agência Estadual de Força de Trabalho e em outras fontes de anúncios de vagas H-2B, conforme os requisitos de recrutamento dos empregadores para trabalhadores em potencial no âmbito do programa H-2B. Turnos variáveis ​​ao longo de 7 dias da semana. Os turnos podem variar das 6h às 23h. Classificação da vaga: 35-3011.00 - Bartenders. A classificação e descrição da vaga/setor incluem informações gerais sobre o cargo, provenientes do ONET/OES e do Sistema de Classificação Industrial da América do Norte. Consulte as Funções e a Ordem de Serviço para obter mais informações. Requisitos da vaga Experiência exigida: Não Requisitos especiais: O EMPREGADOR EXIGE QUE A VERIFICAÇÃO DE ANTECEDENTES CRIMINAIS PRÉ-ADMISSÃO E O TESTE DE DROGAS PÓS-ADMISSÃO SEJAM REALIZADOS IGUALMENTE PARA OS TRABALHADORES AMERICANOS E PARA OS TRABALHADORES COM VISTO H-2B. HABILIDADE DE SE COMUNICAR EM INGLÊS. Número de horas por semana: 40 Horário de trabalho (início/término): 6h às 23h</v>
      </c>
    </row>
    <row r="2434" ht="20.25" customHeight="1">
      <c r="A2434" s="3" t="s">
        <v>10641</v>
      </c>
      <c r="B2434" s="3" t="s">
        <v>10637</v>
      </c>
      <c r="C2434" s="3" t="s">
        <v>8981</v>
      </c>
      <c r="D2434" s="3" t="s">
        <v>71</v>
      </c>
      <c r="E2434" s="4" t="s">
        <v>19</v>
      </c>
      <c r="F2434" s="4" t="s">
        <v>20</v>
      </c>
      <c r="G2434" s="4" t="s">
        <v>524</v>
      </c>
      <c r="H2434" s="3" t="s">
        <v>10638</v>
      </c>
      <c r="I2434" s="3" t="s">
        <v>10639</v>
      </c>
      <c r="J2434" s="4">
        <v>19.0</v>
      </c>
      <c r="K2434" s="4">
        <v>69.0</v>
      </c>
      <c r="L2434" s="3" t="s">
        <v>1206</v>
      </c>
      <c r="M2434" s="3" t="s">
        <v>10435</v>
      </c>
      <c r="N2434" s="7" t="str">
        <f>IFERROR(__xludf.DUMMYFUNCTION("GOOGLETRANSLATE(L2434, ""en"", ""pt"")"),"Servidor")</f>
        <v>Servidor</v>
      </c>
      <c r="O2434" s="7" t="str">
        <f>IFERROR(__xludf.DUMMYFUNCTION("IF(M2434="""","""",GOOGLETRANSLATE(M2434,""en"",""pt""))"),"Receber e servir pedidos de comida e bebida; realizar a montagem e desmontagem de mesas e outras atividades diversas; poderá ser necessário trabalhar em ambientes externos e em eventos de banquetes; poderá ser necessário servir clientes utilizando carrinh"&amp;"o de golfe. *Continuação da Seção F.a.5 abaixo: 40 horas semanais. Os turnos serão de 8 horas e poderão variar conforme a necessidade, de acordo com o anúncio da vaga na Agência Estadual de Força de Trabalho e em outras fontes de anúncios de vagas H-2B, c"&amp;"onforme os requisitos de recrutamento dos empregadores para trabalhadores em potencial no âmbito do programa H-2B. Turnos variáveis ​​ao longo de 7 dias da semana. Os turnos podem variar: das 6h às 23h. Classificação da vaga: 35-3031.00 - Garçons e Garçon"&amp;"etes. A classificação e descrição da vaga/setor inclui informações gerais sobre o cargo, provenientes do ONET/OES e do Sistema de Classificação Industrial da América do Norte. Consulte as Funções e a Ordem de Serviço para obter mais informações. Requisito"&amp;"s da vaga Experiência exigida: Não Requisitos especiais: O EMPREGADOR EXIGE QUE A VERIFICAÇÃO DE ANTECEDENTES CRIMINAIS PRÉ-ADMISSÃO E O TESTE DE DROGAS PÓS-ADMISSÃO SEJAM REALIZADOS IGUALMENTE PARA OS TRABALHADORES AMERICANOS E PARA OS TRABALHADORES COM "&amp;"VISTO H-2B. Capacidade de se comunicar em inglês. Número de horas por semana: 40 Horário de trabalho (início/término): 6h às 23h")</f>
        <v>Receber e servir pedidos de comida e bebida; realizar a montagem e desmontagem de mesas e outras atividades diversas; poderá ser necessário trabalhar em ambientes externos e em eventos de banquetes; poderá ser necessário servir clientes utilizando carrinho de golfe. *Continuação da Seção F.a.5 abaixo: 40 horas semanais. Os turnos serão de 8 horas e poderão variar conforme a necessidade, de acordo com o anúncio da vaga na Agência Estadual de Força de Trabalho e em outras fontes de anúncios de vagas H-2B, conforme os requisitos de recrutamento dos empregadores para trabalhadores em potencial no âmbito do programa H-2B. Turnos variáveis ​​ao longo de 7 dias da semana. Os turnos podem variar: das 6h às 23h. Classificação da vaga: 35-3031.00 - Garçons e Garçonetes. A classificação e descrição da vaga/setor inclui informações gerais sobre o cargo, provenientes do ONET/OES e do Sistema de Classificação Industrial da América do Norte. Consulte as Funções e a Ordem de Serviço para obter mais informações. Requisitos da vaga Experiência exigida: Não Requisitos especiais: O EMPREGADOR EXIGE QUE A VERIFICAÇÃO DE ANTECEDENTES CRIMINAIS PRÉ-ADMISSÃO E O TESTE DE DROGAS PÓS-ADMISSÃO SEJAM REALIZADOS IGUALMENTE PARA OS TRABALHADORES AMERICANOS E PARA OS TRABALHADORES COM VISTO H-2B. Capacidade de se comunicar em inglês. Número de horas por semana: 40 Horário de trabalho (início/término): 6h às 23h</v>
      </c>
    </row>
    <row r="2435" ht="20.25" customHeight="1">
      <c r="A2435" s="8" t="s">
        <v>10642</v>
      </c>
      <c r="B2435" s="8" t="s">
        <v>10643</v>
      </c>
      <c r="C2435" s="8" t="s">
        <v>9739</v>
      </c>
      <c r="D2435" s="8" t="s">
        <v>71</v>
      </c>
      <c r="E2435" s="9" t="s">
        <v>19</v>
      </c>
      <c r="F2435" s="9" t="s">
        <v>20</v>
      </c>
      <c r="G2435" s="9" t="s">
        <v>80</v>
      </c>
      <c r="H2435" s="8" t="s">
        <v>10644</v>
      </c>
      <c r="I2435" s="8" t="s">
        <v>10645</v>
      </c>
      <c r="J2435" s="9">
        <v>15.22</v>
      </c>
      <c r="K2435" s="9">
        <v>4.0</v>
      </c>
      <c r="L2435" s="8" t="s">
        <v>10646</v>
      </c>
      <c r="M2435" s="8" t="s">
        <v>10647</v>
      </c>
      <c r="N2435" s="7" t="str">
        <f>IFERROR(__xludf.DUMMYFUNCTION("GOOGLETRANSLATE(L2435, ""en"", ""pt"")"),"Pregoeiro público")</f>
        <v>Pregoeiro público</v>
      </c>
      <c r="O2435" s="7" t="str">
        <f>IFERROR(__xludf.DUMMYFUNCTION("IF(M2435="""","""",GOOGLETRANSLATE(M2435,""en"",""pt""))"),"Responsabilidades: Responsável por recepcionar os hóspedes, abrir portas, manter as áreas de entrada e o pátio limpos, descarregar e transportar a bagagem dos hóspedes manualmente ou em carrinho de bagagem, prestar serviço de manobrista, atender às solici"&amp;"tações dos hóspedes e apresentar as comodidades. O serviço de manobrista inclui recepcionar os hóspedes na chegada. Abrir as portas dos veículos para os hóspedes e auxiliar na entrada e saída dos veículos. Emitir comprovantes de estacionamento, registrand"&amp;"o as informações do veículo, incluindo placa, marca/modelo e horário de chegada. Dirigir, estacionar e buscar os veículos dos hóspedes com segurança. Inspecionar os veículos quanto a danos pré-existentes na chegada e relatar quaisquer problemas de acordo "&amp;"com o protocolo da empresa. Buscar os veículos prontamente mediante solicitação do hóspede. Manter a limpeza e a organização do balcão de manobristas, das áreas de estacionamento e da área de entrada. Auxiliar no carregamento e descarregamento de bagagens"&amp;". Transportar a bagagem para os quartos e armazená-la no armário de bagagens para posterior transporte até os quartos. Requisitos: Um (1) ano de experiência como Mensageiro/Auxiliar de Bagagem em um hotel de alto padrão, resort ou clube privado é necessár"&amp;"io. Treinamento no local de trabalho será fornecido. O candidato deverá apresentar um atestado de antecedentes criminais pré-admissional. Salário: US$ 15,22 por hora, mais gorjetas, pago quinzenalmente. Horas extras disponíveis a US$ 22,83 por hora. Os fu"&amp;"ncionários podem ser elegíveis para remuneração adicional por desempenho. Benefícios adicionais e opcionais podem ser oferecidos ao trabalhador, para seu benefício exclusivo, incluindo, entre outros, seguro médico, odontológico e oftalmológico, auxílio-do"&amp;"ença de curto e longo prazo, plano de previdência 401k e seguro de vida. Caso o trabalhador opte por esses benefícios, os custos/contribuições serão descontados do salário. Turnos: A escala de trabalho pode variar e incluir turnos noturnos, fins de semana"&amp;" e feriados. O trabalho pode ser realizado em qualquer dia da semana, de segunda a domingo. Exemplos de turnos: das 6h às 14h ou das 14h às 22h. Os horários dos turnos podem variar. Classificação da Função: 39-6011.00 - Carregadores de Bagagem e Mensageir"&amp;"os. A classificação e descrição da função/setor inclui informações gerais sobre o cargo, de acordo com o ONET/OES e o Sistema de Classificação Industrial da América do Norte (NAICS). Consulte as Funções e a Ordem de Serviço para obter mais informações. Re"&amp;"quisitos da Função: Experiência Necessária: Sim. Meses de Experiência Necessários: 12. Requisitos Especiais: É necessário 1 ano de experiência como Mensageiro/Porteiro em um hotel de luxo, resort ou clube privado. Treinamento no local de trabalho será for"&amp;"necido. O candidato deverá apresentar um Certificado de Antecedentes Criminais pré-admissional. Número de Horas por Semana: 35. Horário de Trabalho (Início/Término): 6h às 14h.")</f>
        <v>Responsabilidades: Responsável por recepcionar os hóspedes, abrir portas, manter as áreas de entrada e o pátio limpos, descarregar e transportar a bagagem dos hóspedes manualmente ou em carrinho de bagagem, prestar serviço de manobrista, atender às solicitações dos hóspedes e apresentar as comodidades. O serviço de manobrista inclui recepcionar os hóspedes na chegada. Abrir as portas dos veículos para os hóspedes e auxiliar na entrada e saída dos veículos. Emitir comprovantes de estacionamento, registrando as informações do veículo, incluindo placa, marca/modelo e horário de chegada. Dirigir, estacionar e buscar os veículos dos hóspedes com segurança. Inspecionar os veículos quanto a danos pré-existentes na chegada e relatar quaisquer problemas de acordo com o protocolo da empresa. Buscar os veículos prontamente mediante solicitação do hóspede. Manter a limpeza e a organização do balcão de manobristas, das áreas de estacionamento e da área de entrada. Auxiliar no carregamento e descarregamento de bagagens. Transportar a bagagem para os quartos e armazená-la no armário de bagagens para posterior transporte até os quartos. Requisitos: Um (1) ano de experiência como Mensageiro/Auxiliar de Bagagem em um hotel de alto padrão, resort ou clube privado é necessário. Treinamento no local de trabalho será fornecido. O candidato deverá apresentar um atestado de antecedentes criminais pré-admissional. Salário: US$ 15,22 por hora, mais gorjetas, pago quinzenalmente. Horas extras disponíveis a US$ 22,83 por hora. Os funcionários podem ser elegíveis para remuneração adicional por desempenho. Benefícios adicionais e opcionais podem ser oferecidos ao trabalhador, para seu benefício exclusivo, incluindo, entre outros, seguro médico, odontológico e oftalmológico, auxílio-doença de curto e longo prazo, plano de previdência 401k e seguro de vida. Caso o trabalhador opte por esses benefícios, os custos/contribuições serão descontados do salário. Turnos: A escala de trabalho pode variar e incluir turnos noturnos, fins de semana e feriados. O trabalho pode ser realizado em qualquer dia da semana, de segunda a domingo. Exemplos de turnos: das 6h às 14h ou das 14h às 22h. Os horários dos turnos podem variar. Classificação da Função: 39-6011.00 - Carregadores de Bagagem e Mensageiros. A classificação e descrição da função/setor inclui informações gerais sobre o cargo, de acordo com o ONET/OES e o Sistema de Classificação Industrial da América do Norte (NAICS). Consulte as Funções e a Ordem de Serviço para obter mais informações. Requisitos da Função: Experiência Necessária: Sim. Meses de Experiência Necessários: 12. Requisitos Especiais: É necessário 1 ano de experiência como Mensageiro/Porteiro em um hotel de luxo, resort ou clube privado. Treinamento no local de trabalho será fornecido. O candidato deverá apresentar um Certificado de Antecedentes Criminais pré-admissional. Número de Horas por Semana: 35. Horário de Trabalho (Início/Término): 6h às 14h.</v>
      </c>
    </row>
    <row r="2436" ht="20.25" customHeight="1">
      <c r="A2436" s="3" t="s">
        <v>10648</v>
      </c>
      <c r="B2436" s="3" t="s">
        <v>10643</v>
      </c>
      <c r="C2436" s="3" t="s">
        <v>9739</v>
      </c>
      <c r="D2436" s="3" t="s">
        <v>71</v>
      </c>
      <c r="E2436" s="4" t="s">
        <v>19</v>
      </c>
      <c r="F2436" s="4" t="s">
        <v>20</v>
      </c>
      <c r="G2436" s="4" t="s">
        <v>80</v>
      </c>
      <c r="H2436" s="3" t="s">
        <v>10644</v>
      </c>
      <c r="I2436" s="3" t="s">
        <v>10645</v>
      </c>
      <c r="J2436" s="4">
        <v>16.98</v>
      </c>
      <c r="K2436" s="4">
        <v>28.0</v>
      </c>
      <c r="L2436" s="3" t="s">
        <v>4944</v>
      </c>
      <c r="M2436" s="3" t="s">
        <v>10649</v>
      </c>
      <c r="N2436" s="7" t="str">
        <f>IFERROR(__xludf.DUMMYFUNCTION("GOOGLETRANSLATE(L2436, ""en"", ""pt"")"),"Auxiliar de limpeza")</f>
        <v>Auxiliar de limpeza</v>
      </c>
      <c r="O2436" s="7" t="str">
        <f>IFERROR(__xludf.DUMMYFUNCTION("IF(M2436="""","""",GOOGLETRANSLATE(M2436,""en"",""pt""))"),"Responsabilidades: Responsável pela limpeza e manutenção de todos os quartos, suítes e áreas comuns internas do Cheeca Lodge &amp; Spa, incluindo aspirar pisos, tirar o pó, desinfetar banheiros e lavar janelas. Requisitos: Três (3) meses de experiência em lim"&amp;"peza são necessários. Experiência em hotéis de alto padrão, resorts ou clubes privados é preferencial. Treinamento no local de trabalho será fornecido. O candidato deverá apresentar um atestado de antecedentes criminais e um exame toxicológico pré-admissi"&amp;"onal. Remuneração: De US$ 16,98 a US$ 19,17 por hora, pago quinzenalmente. Horas extras disponíveis com remuneração de US$ 25,47 a US$ 28,76 por hora. Benefícios adicionais e opcionais podem ser oferecidos ao funcionário, para seu benefício exclusivo, inc"&amp;"luindo, entre outros, seguro médico, odontológico e oftalmológico, auxílio-doença de curto e longo prazo, plano de previdência 401k e seguro de vida. Caso o funcionário opte por esses benefícios, os custos/contribuições serão descontados do seu salário. T"&amp;"urnos: O horário de trabalho pode variar e incluir turnos noturnos, fins de semana e feriados. O trabalho pode ser realizado em qualquer dia da semana, de segunda a domingo. Exemplos de turnos: das 8h30 às 16h30, das 7h às 15h, das 8h às 16h ou das 15h às"&amp;" 23h. Os horários dos turnos podem variar. Classificação da vaga: 37-2012.00 - Camareiras e Auxiliares de Limpeza. A classificação e descrição da vaga/setor incluem informações gerais sobre o cargo, de acordo com o ONET/OES e o Sistema de Classificação In"&amp;"dustrial da América do Norte (NAICS). Consulte as Funções e a Ordem de Serviço para obter mais informações. Requisitos da vaga: Experiência necessária: Sim. Meses de experiência necessários: 3. Requisitos especiais: É necessário ter 3 meses de experiência"&amp;" em limpeza. Experiência em hotéis de alto padrão, resorts ou clubes privados é preferencial. Treinamento no local de trabalho será fornecido. O candidato deverá apresentar um atestado de antecedentes criminais e um exame toxicológico pré-admissional. Núm"&amp;"ero de horas por semana: 35 Horário de trabalho (início/término): 8h30 - 16h30")</f>
        <v>Responsabilidades: Responsável pela limpeza e manutenção de todos os quartos, suítes e áreas comuns internas do Cheeca Lodge &amp; Spa, incluindo aspirar pisos, tirar o pó, desinfetar banheiros e lavar janelas. Requisitos: Três (3) meses de experiência em limpeza são necessários. Experiência em hotéis de alto padrão, resorts ou clubes privados é preferencial. Treinamento no local de trabalho será fornecido. O candidato deverá apresentar um atestado de antecedentes criminais e um exame toxicológico pré-admissional. Remuneração: De US$ 16,98 a US$ 19,17 por hora, pago quinzenalmente. Horas extras disponíveis com remuneração de US$ 25,47 a US$ 28,76 por hora. Benefícios adicionais e opcionais podem ser oferecidos ao funcionário, para seu benefício exclusivo, incluindo, entre outros, seguro médico, odontológico e oftalmológico, auxílio-doença de curto e longo prazo, plano de previdência 401k e seguro de vida. Caso o funcionário opte por esses benefícios, os custos/contribuições serão descontados do seu salário. Turnos: O horário de trabalho pode variar e incluir turnos noturnos, fins de semana e feriados. O trabalho pode ser realizado em qualquer dia da semana, de segunda a domingo. Exemplos de turnos: das 8h30 às 16h30, das 7h às 15h, das 8h às 16h ou das 15h às 23h. Os horários dos turnos podem variar. Classificação da vaga: 37-2012.00 - Camareiras e Auxiliares de Limpeza. A classificação e descrição da vaga/setor incluem informações gerais sobre o cargo, de acordo com o ONET/OES e o Sistema de Classificação Industrial da América do Norte (NAICS). Consulte as Funções e a Ordem de Serviço para obter mais informações. Requisitos da vaga: Experiência necessária: Sim. Meses de experiência necessários: 3. Requisitos especiais: É necessário ter 3 meses de experiência em limpeza. Experiência em hotéis de alto padrão, resorts ou clubes privados é preferencial. Treinamento no local de trabalho será fornecido. O candidato deverá apresentar um atestado de antecedentes criminais e um exame toxicológico pré-admissional. Número de horas por semana: 35 Horário de trabalho (início/término): 8h30 - 16h30</v>
      </c>
    </row>
    <row r="2437" ht="20.25" customHeight="1">
      <c r="A2437" s="8" t="s">
        <v>10650</v>
      </c>
      <c r="B2437" s="8" t="s">
        <v>10643</v>
      </c>
      <c r="C2437" s="8" t="s">
        <v>9739</v>
      </c>
      <c r="D2437" s="8" t="s">
        <v>71</v>
      </c>
      <c r="E2437" s="9" t="s">
        <v>19</v>
      </c>
      <c r="F2437" s="9" t="s">
        <v>20</v>
      </c>
      <c r="G2437" s="9" t="s">
        <v>80</v>
      </c>
      <c r="H2437" s="8" t="s">
        <v>10644</v>
      </c>
      <c r="I2437" s="8" t="s">
        <v>10645</v>
      </c>
      <c r="J2437" s="9">
        <v>19.4</v>
      </c>
      <c r="K2437" s="9">
        <v>10.0</v>
      </c>
      <c r="L2437" s="8" t="s">
        <v>10651</v>
      </c>
      <c r="M2437" s="8" t="s">
        <v>10652</v>
      </c>
      <c r="N2437" s="7" t="str">
        <f>IFERROR(__xludf.DUMMYFUNCTION("GOOGLETRANSLATE(L2437, ""en"", ""pt"")"),"Chefe de Cozinha")</f>
        <v>Chefe de Cozinha</v>
      </c>
      <c r="O2437" s="7" t="str">
        <f>IFERROR(__xludf.DUMMYFUNCTION("IF(M2437="""","""",GOOGLETRANSLATE(M2437,""en"",""pt""))"),"Responsabilidades: Preparar, temperar e cozinhar sopas, carnes, legumes, sobremesas e outros pratos em um restaurante; supervisionar e coordenar (mas não supervisionar ou gerenciar diretamente) até 5 cozinheiros; consultar a equipe de supervisão para plan"&amp;"ejar cardápios; auxiliar o Chef Executivo na transmissão de instruções à equipe da cozinha quando este estiver ausente. Requisitos: Três (3) anos de experiência culinária em um ambiente de alta gastronomia ou de grande movimento são necessários. Experiênc"&amp;"ia em hotéis de luxo, resorts ou clubes privados é preferencial. Treinamento no local de trabalho será fornecido. O candidato deverá apresentar um atestado de antecedentes criminais e um exame toxicológico pré-admissional. Salário: De US$ 19,40 a US$ 21,0"&amp;"0 por hora, pago quinzenalmente. Horas extras disponíveis com adicional de US$ 29,10 a US$ 31,50 por hora. Benefícios adicionais e opcionais podem ser oferecidos ao trabalhador, para seu benefício exclusivo, incluindo, entre outros, seguro médico, odontol"&amp;"ógico e oftalmológico, auxílio-doença de curto e longo prazo, plano de previdência 401k e seguro de vida. Caso o trabalhador opte por esses benefícios, os custos/contribuições referentes a eles serão descontados do seu salário. Turnos: A escala de trabalh"&amp;"o pode variar e incluir turnos noturnos, fins de semana e feriados. O trabalho pode ser realizado em qualquer dia da semana, de segunda a domingo. Exemplos de turnos: das 5h às 13h, das 9h às 17h. Os horários dos turnos podem variar. Classificação da vaga"&amp;": 35-2014.00 - Cozinheiros, Restaurante. A classificação e a descrição da vaga/setor incluem informações gerais sobre o cargo, de acordo com o ONET/OES e o Sistema de Classificação Industrial da América do Norte (NAICS). Consulte a Descrição das Funções e"&amp;" a Ordem de Serviço para obter mais informações. Requisitos da Vaga Experiência Necessária: Sim Meses de Experiência Necessários: 36 Requisitos Especiais: Requisitos: Três (3) anos de experiência culinária em um ambiente de alta gastronomia ou de grande m"&amp;"ovimento são necessários. Experiência em hotéis de luxo, resorts ou clubes privados é preferencial. Treinamento no local de trabalho será fornecido. O candidato deverá apresentar comprovante de antecedentes criminais e exame toxicológico pré-admissional. "&amp;"Número de Horas por Semana: 35 Horário de Trabalho (Início/Término): 5h00 - 13h00")</f>
        <v>Responsabilidades: Preparar, temperar e cozinhar sopas, carnes, legumes, sobremesas e outros pratos em um restaurante; supervisionar e coordenar (mas não supervisionar ou gerenciar diretamente) até 5 cozinheiros; consultar a equipe de supervisão para planejar cardápios; auxiliar o Chef Executivo na transmissão de instruções à equipe da cozinha quando este estiver ausente. Requisitos: Três (3) anos de experiência culinária em um ambiente de alta gastronomia ou de grande movimento são necessários. Experiência em hotéis de luxo, resorts ou clubes privados é preferencial. Treinamento no local de trabalho será fornecido. O candidato deverá apresentar um atestado de antecedentes criminais e um exame toxicológico pré-admissional. Salário: De US$ 19,40 a US$ 21,00 por hora, pago quinzenalmente. Horas extras disponíveis com adicional de US$ 29,10 a US$ 31,50 por hora. Benefícios adicionais e opcionais podem ser oferecidos ao trabalhador, para seu benefício exclusivo, incluindo, entre outros, seguro médico, odontológico e oftalmológico, auxílio-doença de curto e longo prazo, plano de previdência 401k e seguro de vida. Caso o trabalhador opte por esses benefícios, os custos/contribuições referentes a eles serão descontados do seu salário. Turnos: A escala de trabalho pode variar e incluir turnos noturnos, fins de semana e feriados. O trabalho pode ser realizado em qualquer dia da semana, de segunda a domingo. Exemplos de turnos: das 5h às 13h, das 9h às 17h. Os horários dos turnos podem variar. Classificação da vaga: 35-2014.00 - Cozinheiros, Restaurante. A classificação e a descrição da vaga/setor incluem informações gerais sobre o cargo, de acordo com o ONET/OES e o Sistema de Classificação Industrial da América do Norte (NAICS). Consulte a Descrição das Funções e a Ordem de Serviço para obter mais informações. Requisitos da Vaga Experiência Necessária: Sim Meses de Experiência Necessários: 36 Requisitos Especiais: Requisitos: Três (3) anos de experiência culinária em um ambiente de alta gastronomia ou de grande movimento são necessários. Experiência em hotéis de luxo, resorts ou clubes privados é preferencial. Treinamento no local de trabalho será fornecido. O candidato deverá apresentar comprovante de antecedentes criminais e exame toxicológico pré-admissional. Número de Horas por Semana: 35 Horário de Trabalho (Início/Término): 5h00 - 13h00</v>
      </c>
    </row>
    <row r="2438" ht="20.25" customHeight="1">
      <c r="A2438" s="3" t="s">
        <v>10653</v>
      </c>
      <c r="B2438" s="3" t="s">
        <v>10643</v>
      </c>
      <c r="C2438" s="3" t="s">
        <v>9739</v>
      </c>
      <c r="D2438" s="3" t="s">
        <v>71</v>
      </c>
      <c r="E2438" s="4" t="s">
        <v>19</v>
      </c>
      <c r="F2438" s="4" t="s">
        <v>20</v>
      </c>
      <c r="G2438" s="4" t="s">
        <v>80</v>
      </c>
      <c r="H2438" s="3" t="s">
        <v>10644</v>
      </c>
      <c r="I2438" s="3" t="s">
        <v>10645</v>
      </c>
      <c r="J2438" s="4">
        <v>16.07</v>
      </c>
      <c r="K2438" s="4">
        <v>4.0</v>
      </c>
      <c r="L2438" s="3" t="s">
        <v>5723</v>
      </c>
      <c r="M2438" s="3" t="s">
        <v>10654</v>
      </c>
      <c r="N2438" s="7" t="str">
        <f>IFERROR(__xludf.DUMMYFUNCTION("GOOGLETRANSLATE(L2438, ""en"", ""pt"")"),"Atendente de Recreação")</f>
        <v>Atendente de Recreação</v>
      </c>
      <c r="O2438" s="7" t="str">
        <f>IFERROR(__xludf.DUMMYFUNCTION("IF(M2438="""","""",GOOGLETRANSLATE(M2438,""en"",""pt""))"),"Responsabilidades: Informar os hóspedes sobre as atividades disponíveis, auxiliar com os equipamentos disponíveis, como bicicletas, equipamentos de golfe, caiaques e pranchas de stand-up paddle; garantir que as áreas de acesso às piscinas, praia e píer es"&amp;"tejam limpas e livres de detritos; fornecer orientações precisas e sugestões aos hóspedes sobre as comodidades do resort e destinos próximos; recolher as toalhas usadas das espreguiçadeiras e colocá-las de volta na posição vertical. Requisitos: Seis (6) m"&amp;"eses de experiência em serviços de atividades recreativas em um hotel de alto padrão, resort ou clube privado. Treinamento no local de trabalho será fornecido. O candidato deverá apresentar um atestado de antecedentes criminais e um exame toxicológico pré"&amp;"-admissional. Remuneração: De US$ 16,07 a US$ 18,00 por hora, pago quinzenalmente. Horas extras disponíveis com remuneração de US$ 24,11 a US$ 27,00 por hora. Benefícios adicionais e opcionais poderão ser oferecidos ao funcionário, incluindo, entre outros"&amp;", seguro médico, odontológico e oftalmológico, auxílio-doença de curto e longo prazo, plano de previdência 401k e seguro de vida. Caso seja escolhida voluntariamente pelo funcionário, as contribuições/custos para benefícios serão deduzidos do salário. Tur"&amp;"nos: O horário de trabalho pode variar e incluir turnos noturnos, fins de semana e feriados. O trabalho pode ser realizado em qualquer dia da semana, de segunda a domingo. Exemplos de turnos: das 8h às 16h, das 11h às 19h. Os horários dos turnos podem var"&amp;"iar. Classificação da vaga: 39-3091.00 - Atendentes de Diversão e Recreação. A classificação e descrição da vaga/setor incluem informações gerais sobre o cargo, de acordo com o ONET/OES e o Sistema de Classificação Industrial da América do Norte (NAICS). "&amp;"Consulte as Funções e a Ordem de Serviço para obter mais informações. Requisitos da vaga: Experiência exigida: Sim. Meses de experiência exigidos: 6. Requisitos especiais: Seis (6) meses de experiência em serviços de atividades recreativas em um hotel de "&amp;"alto padrão, resort ou clube privado são necessários. Treinamento no local de trabalho será fornecido. O candidato deverá apresentar um atestado de antecedentes criminais e um exame toxicológico pré-admissional. Número de horas por semana: 35 Horário de t"&amp;"rabalho (início/término): 7h00 - 15h00")</f>
        <v>Responsabilidades: Informar os hóspedes sobre as atividades disponíveis, auxiliar com os equipamentos disponíveis, como bicicletas, equipamentos de golfe, caiaques e pranchas de stand-up paddle; garantir que as áreas de acesso às piscinas, praia e píer estejam limpas e livres de detritos; fornecer orientações precisas e sugestões aos hóspedes sobre as comodidades do resort e destinos próximos; recolher as toalhas usadas das espreguiçadeiras e colocá-las de volta na posição vertical. Requisitos: Seis (6) meses de experiência em serviços de atividades recreativas em um hotel de alto padrão, resort ou clube privado. Treinamento no local de trabalho será fornecido. O candidato deverá apresentar um atestado de antecedentes criminais e um exame toxicológico pré-admissional. Remuneração: De US$ 16,07 a US$ 18,00 por hora, pago quinzenalmente. Horas extras disponíveis com remuneração de US$ 24,11 a US$ 27,00 por hora. Benefícios adicionais e opcionais poderão ser oferecidos ao funcionário, incluindo, entre outros, seguro médico, odontológico e oftalmológico, auxílio-doença de curto e longo prazo, plano de previdência 401k e seguro de vida. Caso seja escolhida voluntariamente pelo funcionário, as contribuições/custos para benefícios serão deduzidos do salário. Turnos: O horário de trabalho pode variar e incluir turnos noturnos, fins de semana e feriados. O trabalho pode ser realizado em qualquer dia da semana, de segunda a domingo. Exemplos de turnos: das 8h às 16h, das 11h às 19h. Os horários dos turnos podem variar. Classificação da vaga: 39-3091.00 - Atendentes de Diversão e Recreação. A classificação e descrição da vaga/setor incluem informações gerais sobre o cargo, de acordo com o ONET/OES e o Sistema de Classificação Industrial da América do Norte (NAICS). Consulte as Funções e a Ordem de Serviço para obter mais informações. Requisitos da vaga: Experiência exigida: Sim. Meses de experiência exigidos: 6. Requisitos especiais: Seis (6) meses de experiência em serviços de atividades recreativas em um hotel de alto padrão, resort ou clube privado são necessários. Treinamento no local de trabalho será fornecido. O candidato deverá apresentar um atestado de antecedentes criminais e um exame toxicológico pré-admissional. Número de horas por semana: 35 Horário de trabalho (início/término): 7h00 - 15h00</v>
      </c>
    </row>
    <row r="2439" ht="20.25" customHeight="1">
      <c r="A2439" s="8" t="s">
        <v>10655</v>
      </c>
      <c r="B2439" s="8" t="s">
        <v>10643</v>
      </c>
      <c r="C2439" s="8" t="s">
        <v>9739</v>
      </c>
      <c r="D2439" s="8" t="s">
        <v>71</v>
      </c>
      <c r="E2439" s="9" t="s">
        <v>44</v>
      </c>
      <c r="F2439" s="9" t="s">
        <v>20</v>
      </c>
      <c r="G2439" s="9" t="s">
        <v>80</v>
      </c>
      <c r="H2439" s="8" t="s">
        <v>10644</v>
      </c>
      <c r="I2439" s="8" t="s">
        <v>10645</v>
      </c>
      <c r="J2439" s="9">
        <v>18.75</v>
      </c>
      <c r="K2439" s="9">
        <v>10.0</v>
      </c>
      <c r="L2439" s="8" t="s">
        <v>1690</v>
      </c>
      <c r="M2439" s="8" t="s">
        <v>10656</v>
      </c>
      <c r="N2439" s="7" t="str">
        <f>IFERROR(__xludf.DUMMYFUNCTION("GOOGLETRANSLATE(L2439, ""en"", ""pt"")"),"Atendente de Sala de Jantar")</f>
        <v>Atendente de Sala de Jantar</v>
      </c>
      <c r="O2439" s="7" t="str">
        <f>IFERROR(__xludf.DUMMYFUNCTION("IF(M2439="""","""",GOOGLETRANSLATE(M2439,""en"",""pt""))"),"Responsabilidades: Responsável por arrumar as mesas, transportar bandejas e pratos, limpar e retirar os pratos das mesas, servir água e café aos clientes, anotar os pedidos e solicitações dos hóspedes, entregar alimentos e bebidas aos quartos e mesas dos "&amp;"hóspedes e auxiliar na montagem de banquetes. Requisitos: Dois (2) anos de experiência em atendimento em um ambiente de alta gastronomia ou de grande movimento em um restaurante sofisticado, resort ou clube privado são necessários. Treinamento no local de"&amp;" trabalho será fornecido. O candidato deverá apresentar um atestado de antecedentes criminais e um exame toxicológico pré-admissional. Remuneração: Cargo com gorjetas, com salário garantido de pelo menos US$ 18,75 por hora, pago quinzenalmente. Horas extr"&amp;"as disponíveis a US$ 28,13 por hora. O empregador garantirá o salário em qualquer semana de trabalho em que a remuneração total (incluindo gorjetas) não atinja o salário mínimo vigente ou o valor da hora extra. Os funcionários podem ser elegíveis para rem"&amp;"uneração adicional na forma de pagamento baseado em desempenho. Benefícios adicionais e opcionais podem ser oferecidos ao trabalhador, para seu benefício exclusivo, incluindo, entre outros, seguro médico, odontológico e oftalmológico, auxílio-doença de cu"&amp;"rto e longo prazo, plano de previdência 401k e seguro de vida. Caso o trabalhador opte por esses benefícios, os custos/contribuições referentes a eles serão descontados do seu salário. Turnos: A escala de trabalho pode variar e incluir turnos noturnos, fi"&amp;"ns de semana e feriados. O trabalho pode ser realizado em qualquer dia da semana, de segunda a domingo. Exemplos de turnos: das 6h às 14h ou das 14h às 22h. Os horários dos turnos podem variar. Classificação da função: 35-3031.00 - Garçons e Garçonetes. A"&amp;" classificação e a descrição da função/setor incluem informações gerais sobre o cargo, de acordo com o ONET/OES e o Sistema de Classificação Industrial da América do Norte (NAICS). Consulte a Descrição das Funções e a Ordem de Serviço para obter mais info"&amp;"rmações. Requisitos da vaga Experiência necessária: Sim Meses de experiência necessários: 24 Requisitos especiais: Requisitos: 2 anos de experiência em atendimento ao público em um ambiente de alta gastronomia ou com grande volume de clientes, em um resta"&amp;"urante sofisticado, resort ou clube privado. Treinamento no local de trabalho será fornecido. O candidato deverá apresentar certidão negativa de antecedentes criminais e exame toxicológico pré-admissional. Número de horas por semana: 35 Horário de trabalh"&amp;"o (início/término): 6h às 14h")</f>
        <v>Responsabilidades: Responsável por arrumar as mesas, transportar bandejas e pratos, limpar e retirar os pratos das mesas, servir água e café aos clientes, anotar os pedidos e solicitações dos hóspedes, entregar alimentos e bebidas aos quartos e mesas dos hóspedes e auxiliar na montagem de banquetes. Requisitos: Dois (2) anos de experiência em atendimento em um ambiente de alta gastronomia ou de grande movimento em um restaurante sofisticado, resort ou clube privado são necessários. Treinamento no local de trabalho será fornecido. O candidato deverá apresentar um atestado de antecedentes criminais e um exame toxicológico pré-admissional. Remuneração: Cargo com gorjetas, com salário garantido de pelo menos US$ 18,75 por hora, pago quinzenalmente. Horas extras disponíveis a US$ 28,13 por hora. O empregador garantirá o salário em qualquer semana de trabalho em que a remuneração total (incluindo gorjetas) não atinja o salário mínimo vigente ou o valor da hora extra. Os funcionários podem ser elegíveis para remuneração adicional na forma de pagamento baseado em desempenho. Benefícios adicionais e opcionais podem ser oferecidos ao trabalhador, para seu benefício exclusivo, incluindo, entre outros, seguro médico, odontológico e oftalmológico, auxílio-doença de curto e longo prazo, plano de previdência 401k e seguro de vida. Caso o trabalhador opte por esses benefícios, os custos/contribuições referentes a eles serão descontados do seu salário. Turnos: A escala de trabalho pode variar e incluir turnos noturnos, fins de semana e feriados. O trabalho pode ser realizado em qualquer dia da semana, de segunda a domingo. Exemplos de turnos: das 6h às 14h ou das 14h às 22h. Os horários dos turnos podem variar. Classificação da função: 35-3031.00 - Garçons e Garçonetes. A classificação e a descrição da função/setor incluem informações gerais sobre o cargo, de acordo com o ONET/OES e o Sistema de Classificação Industrial da América do Norte (NAICS). Consulte a Descrição das Funções e a Ordem de Serviço para obter mais informações. Requisitos da vaga Experiência necessária: Sim Meses de experiência necessários: 24 Requisitos especiais: Requisitos: 2 anos de experiência em atendimento ao público em um ambiente de alta gastronomia ou com grande volume de clientes, em um restaurante sofisticado, resort ou clube privado. Treinamento no local de trabalho será fornecido. O candidato deverá apresentar certidão negativa de antecedentes criminais e exame toxicológico pré-admissional. Número de horas por semana: 35 Horário de trabalho (início/término): 6h às 14h</v>
      </c>
    </row>
    <row r="2440" ht="20.25" customHeight="1">
      <c r="A2440" s="3" t="s">
        <v>10657</v>
      </c>
      <c r="B2440" s="3" t="s">
        <v>10643</v>
      </c>
      <c r="C2440" s="3" t="s">
        <v>9739</v>
      </c>
      <c r="D2440" s="3" t="s">
        <v>71</v>
      </c>
      <c r="E2440" s="4" t="s">
        <v>44</v>
      </c>
      <c r="F2440" s="4" t="s">
        <v>20</v>
      </c>
      <c r="G2440" s="4" t="s">
        <v>80</v>
      </c>
      <c r="H2440" s="3" t="s">
        <v>10644</v>
      </c>
      <c r="I2440" s="3" t="s">
        <v>10645</v>
      </c>
      <c r="J2440" s="4">
        <v>23.4</v>
      </c>
      <c r="K2440" s="4">
        <v>4.0</v>
      </c>
      <c r="L2440" s="3" t="s">
        <v>4854</v>
      </c>
      <c r="M2440" s="3" t="s">
        <v>10658</v>
      </c>
      <c r="N2440" s="7" t="str">
        <f>IFERROR(__xludf.DUMMYFUNCTION("GOOGLETRANSLATE(L2440, ""en"", ""pt"")"),"Supervisor de Limpeza")</f>
        <v>Supervisor de Limpeza</v>
      </c>
      <c r="O2440" s="7" t="str">
        <f>IFERROR(__xludf.DUMMYFUNCTION("IF(M2440="""","""",GOOGLETRANSLATE(M2440,""en"",""pt""))"),"Responsabilidades: Liderar, treinar e monitorar o desempenho dos membros da equipe de limpeza para garantir que os padrões de limpeza do resort sejam atendidos. Realizar inspeções diárias nos quartos e verificações nas áreas públicas para garantir que tod"&amp;"as as áreas designadas atendam às expectativas de qualidade e limpeza. Requisitos: Dois (2) anos de experiência como Supervisor(a) de Limpeza em um resort de luxo. Experiência internacional é preferencial. Capacidade física para levantar até 23 kg, ficar "&amp;"em pé, se abaixar e caminhar por longos períodos. Treinamento no local de trabalho será fornecido. O(A) candidato(a) deverá apresentar um Certificado de Antecedentes Criminais e um Exame Toxicológico pré-admissional. Salário: US$ 23,40/hora. Horas extras "&amp;"disponíveis a US$ 35,10/hora. Benefícios adicionais e opcionais podem ser oferecidos ao(à) funcionário(a), para seu benefício exclusivo, incluindo, entre outros, seguro médico, odontológico e oftalmológico, auxílio-doença de curto e longo prazo, plano de "&amp;"previdência 401k e seguro de vida. Caso o(a) funcionário(a) opte por esses benefícios, os custos/contribuições para os benefícios serão descontados do salário. Turnos: O horário de trabalho pode variar e incluir turnos noturnos, fins de semana e feriados."&amp;" O trabalho pode ser realizado em qualquer dia da semana, de segunda a domingo. Exemplo de turno: das 8h às 16h. Os horários dos turnos podem variar. Classificação da vaga: 37-1011.00 - Supervisores de Primeira Linha de Funcionários de Limpeza e Higieniza"&amp;"ção. A classificação e descrição da vaga/setor incluem informações gerais sobre o cargo, de acordo com o ONET/OES e o Sistema de Classificação Industrial da América do Norte (NAICS). Consulte as Funções e a Ordem de Serviço para obter mais informações. Re"&amp;"quisitos da vaga: Experiência necessária: Sim. Meses de experiência necessários: 24. Requisitos especiais: Dois (2) anos de experiência como Supervisor de Limpeza em um resort de luxo. Experiência internacional é preferencial. Capacidade física para levan"&amp;"tar até 23 kg, ficar em pé, se abaixar e caminhar por longos períodos. Treinamento no local de trabalho será fornecido. O candidato deverá apresentar um Certificado de Antecedentes Criminais e um Exame Toxicológico pré-admissional. Número de horas por sem"&amp;"ana: 35 Horário de trabalho (início/término): 8h00 - 16h00")</f>
        <v>Responsabilidades: Liderar, treinar e monitorar o desempenho dos membros da equipe de limpeza para garantir que os padrões de limpeza do resort sejam atendidos. Realizar inspeções diárias nos quartos e verificações nas áreas públicas para garantir que todas as áreas designadas atendam às expectativas de qualidade e limpeza. Requisitos: Dois (2) anos de experiência como Supervisor(a) de Limpeza em um resort de luxo. Experiência internacional é preferencial. Capacidade física para levantar até 23 kg, ficar em pé, se abaixar e caminhar por longos períodos. Treinamento no local de trabalho será fornecido. O(A) candidato(a) deverá apresentar um Certificado de Antecedentes Criminais e um Exame Toxicológico pré-admissional. Salário: US$ 23,40/hora. Horas extras disponíveis a US$ 35,10/hora. Benefícios adicionais e opcionais podem ser oferecidos ao(à) funcionário(a), para seu benefício exclusivo, incluindo, entre outros, seguro médico, odontológico e oftalmológico, auxílio-doença de curto e longo prazo, plano de previdência 401k e seguro de vida. Caso o(a) funcionário(a) opte por esses benefícios, os custos/contribuições para os benefícios serão descontados do salário. Turnos: O horário de trabalho pode variar e incluir turnos noturnos, fins de semana e feriados. O trabalho pode ser realizado em qualquer dia da semana, de segunda a domingo. Exemplo de turno: das 8h às 16h. Os horários dos turnos podem variar. Classificação da vaga: 37-1011.00 - Supervisores de Primeira Linha de Funcionários de Limpeza e Higienização. A classificação e descrição da vaga/setor incluem informações gerais sobre o cargo, de acordo com o ONET/OES e o Sistema de Classificação Industrial da América do Norte (NAICS). Consulte as Funções e a Ordem de Serviço para obter mais informações. Requisitos da vaga: Experiência necessária: Sim. Meses de experiência necessários: 24. Requisitos especiais: Dois (2) anos de experiência como Supervisor de Limpeza em um resort de luxo. Experiência internacional é preferencial. Capacidade física para levantar até 23 kg, ficar em pé, se abaixar e caminhar por longos períodos. Treinamento no local de trabalho será fornecido. O candidato deverá apresentar um Certificado de Antecedentes Criminais e um Exame Toxicológico pré-admissional. Número de horas por semana: 35 Horário de trabalho (início/término): 8h00 - 16h00</v>
      </c>
    </row>
    <row r="2441" ht="20.25" customHeight="1">
      <c r="A2441" s="8" t="s">
        <v>10659</v>
      </c>
      <c r="B2441" s="8" t="s">
        <v>10643</v>
      </c>
      <c r="C2441" s="8" t="s">
        <v>9739</v>
      </c>
      <c r="D2441" s="8" t="s">
        <v>71</v>
      </c>
      <c r="E2441" s="9" t="s">
        <v>44</v>
      </c>
      <c r="F2441" s="9" t="s">
        <v>20</v>
      </c>
      <c r="G2441" s="9" t="s">
        <v>80</v>
      </c>
      <c r="H2441" s="8" t="s">
        <v>10644</v>
      </c>
      <c r="I2441" s="8" t="s">
        <v>10645</v>
      </c>
      <c r="J2441" s="9">
        <v>22.17</v>
      </c>
      <c r="K2441" s="9">
        <v>3.0</v>
      </c>
      <c r="L2441" s="8" t="s">
        <v>10450</v>
      </c>
      <c r="M2441" s="8" t="s">
        <v>10660</v>
      </c>
      <c r="N2441" s="7" t="str">
        <f>IFERROR(__xludf.DUMMYFUNCTION("GOOGLETRANSLATE(L2441, ""en"", ""pt"")"),"Engenheiro de Manutenção")</f>
        <v>Engenheiro de Manutenção</v>
      </c>
      <c r="O2441" s="7" t="str">
        <f>IFERROR(__xludf.DUMMYFUNCTION("IF(M2441="""","""",GOOGLETRANSLATE(M2441,""en"",""pt""))"),"Responsabilidades: Responsável por atender e responder às solicitações dos hóspedes, comunicar-se com eles para resolver problemas de manutenção, realizar verificações diárias e manutenção preventiva em ferramentas e equipamentos, além de solucionar probl"&amp;"emas e realizar reparos básicos em todos os tipos de equipamentos, incluindo equipamentos hidráulicos e elétricos. Requisitos: Dois (2) anos de experiência em manutenção são necessários. Experiência em hotéis de alto padrão, resorts ou clubes privados é p"&amp;"referencial. Treinamento no local de trabalho será fornecido. O candidato deverá apresentar um atestado de antecedentes criminais e um exame toxicológico pré-admissional. Salário: De US$ 22,17 a US$ 24,00 por hora, pago quinzenalmente. Horas extras dispon"&amp;"íveis com pagamento de US$ 33,26 a US$ 36,00 por hora. Benefícios adicionais e opcionais podem ser oferecidos ao funcionário, para seu benefício exclusivo, incluindo, entre outros, seguro médico, odontológico e oftalmológico, auxílio-doença de curto e lon"&amp;"go prazo, plano de previdência 401k e seguro de vida. Caso o funcionário opte por esses benefícios, os custos/contribuições serão descontados do salário. Turnos: O horário de trabalho pode variar e incluir turnos noturnos, fins de semana e feriados. O tra"&amp;"balho pode ser realizado em qualquer dia da semana, de segunda a domingo. Exemplos de turnos: 7h às 15h, 14h às 22h, 11h às 19h. Os horários dos turnos podem variar. Classificação da vaga: 49-9071.00 - Trabalhadores de Manutenção e Reparos, Geral. A class"&amp;"ificação e descrição da vaga/setor incluem informações gerais sobre o cargo, de acordo com o ONET/OES e o Sistema de Classificação Industrial da América do Norte (NAICS). Consulte as Funções e a Ordem de Serviço para obter mais informações. Requisitos da "&amp;"vaga: Experiência necessária: Sim. Meses de experiência necessários: 24. Requisitos especiais: Dois (2) anos de experiência em manutenção são necessários. Experiência em hotéis de alto padrão, resorts ou clubes privados é preferencial. Treinamento no loca"&amp;"l de trabalho será fornecido. O candidato deverá apresentar um atestado de antecedentes criminais e um exame toxicológico pré-admissional. Número de horas por semana: 35 Horário de trabalho (início/término): 8h00 - 16h00")</f>
        <v>Responsabilidades: Responsável por atender e responder às solicitações dos hóspedes, comunicar-se com eles para resolver problemas de manutenção, realizar verificações diárias e manutenção preventiva em ferramentas e equipamentos, além de solucionar problemas e realizar reparos básicos em todos os tipos de equipamentos, incluindo equipamentos hidráulicos e elétricos. Requisitos: Dois (2) anos de experiência em manutenção são necessários. Experiência em hotéis de alto padrão, resorts ou clubes privados é preferencial. Treinamento no local de trabalho será fornecido. O candidato deverá apresentar um atestado de antecedentes criminais e um exame toxicológico pré-admissional. Salário: De US$ 22,17 a US$ 24,00 por hora, pago quinzenalmente. Horas extras disponíveis com pagamento de US$ 33,26 a US$ 36,00 por hora. Benefícios adicionais e opcionais podem ser oferecidos ao funcionário, para seu benefício exclusivo, incluindo, entre outros, seguro médico, odontológico e oftalmológico, auxílio-doença de curto e longo prazo, plano de previdência 401k e seguro de vida. Caso o funcionário opte por esses benefícios, os custos/contribuições serão descontados do salário. Turnos: O horário de trabalho pode variar e incluir turnos noturnos, fins de semana e feriados. O trabalho pode ser realizado em qualquer dia da semana, de segunda a domingo. Exemplos de turnos: 7h às 15h, 14h às 22h, 11h às 19h. Os horários dos turnos podem variar. Classificação da vaga: 49-9071.00 - Trabalhadores de Manutenção e Reparos, Geral. A classificação e descrição da vaga/setor incluem informações gerais sobre o cargo, de acordo com o ONET/OES e o Sistema de Classificação Industrial da América do Norte (NAICS). Consulte as Funções e a Ordem de Serviço para obter mais informações. Requisitos da vaga: Experiência necessária: Sim. Meses de experiência necessários: 24. Requisitos especiais: Dois (2) anos de experiência em manutenção são necessários. Experiência em hotéis de alto padrão, resorts ou clubes privados é preferencial. Treinamento no local de trabalho será fornecido. O candidato deverá apresentar um atestado de antecedentes criminais e um exame toxicológico pré-admissional. Número de horas por semana: 35 Horário de trabalho (início/término): 8h00 - 16h00</v>
      </c>
    </row>
    <row r="2442" ht="20.25" customHeight="1">
      <c r="A2442" s="3" t="s">
        <v>10661</v>
      </c>
      <c r="B2442" s="3" t="s">
        <v>7316</v>
      </c>
      <c r="C2442" s="3" t="s">
        <v>7533</v>
      </c>
      <c r="D2442" s="3" t="s">
        <v>64</v>
      </c>
      <c r="E2442" s="4" t="s">
        <v>19</v>
      </c>
      <c r="F2442" s="4" t="s">
        <v>20</v>
      </c>
      <c r="G2442" s="4" t="s">
        <v>80</v>
      </c>
      <c r="H2442" s="3" t="s">
        <v>7317</v>
      </c>
      <c r="I2442" s="3" t="s">
        <v>10662</v>
      </c>
      <c r="J2442" s="4">
        <v>22.82</v>
      </c>
      <c r="K2442" s="4">
        <v>8.0</v>
      </c>
      <c r="L2442" s="3" t="s">
        <v>406</v>
      </c>
      <c r="M2442" s="3" t="s">
        <v>10663</v>
      </c>
      <c r="N2442" s="7" t="str">
        <f>IFERROR(__xludf.DUMMYFUNCTION("GOOGLETRANSLATE(L2442, ""en"", ""pt"")"),"Trabalhador")</f>
        <v>Trabalhador</v>
      </c>
      <c r="O2442" s="7" t="str">
        <f>IFERROR(__xludf.DUMMYFUNCTION("IF(M2442="""","""",GOOGLETRANSLATE(M2442,""en"",""pt""))"),"***Resposta à Solicitação de Informações*** Os trabalhadores utilizam empilhadeiras e paleteiras para movimentar paletes de produtos lácteos vencidos em galões até máquinas que desembalam/abrem/perfuram os galões para coletar o leite líquido vencido (que "&amp;"cai em um reservatório sob os paletes). O leite coletado é pasteurizado, resfriado a 36 graus e enviado a granel para os criadouros de bezerros, onde é fornecido diretamente aos animais na forma líquida. ***Atribuições Originais*** Manter as áreas de arma"&amp;"zenamento de equipamentos para garantir a proteção do estoque. Ocupações relacionadas: Ler ordens de serviço ou receber instruções verbais para determinar as tarefas ou as necessidades de materiais ou equipamentos. Ocupações relacionadas: Movimentar carga"&amp;"s, estoque ou outros materiais de e para áreas de armazenamento ou produção, docas de carga, veículos de entrega, navios ou contêineres, manualmente ou utilizando caminhões, tratores ou outros equipamentos. Ocupações relacionadas: Instalar dispositivos de"&amp;" proteção, como escoras, acolchoamento ou cintas, para evitar deslocamento ou danos aos itens transportados. Ocupações relacionadas: Separar a carga antes do carregamento e descarregamento. Classificação da função: 53-7051.00 - Operadores de Empilhadeiras"&amp;" e Tratores Industriais. A classificação e descrição da função/setor incluem informações gerais sobre o cargo, conforme o ONET/OES e o Sistema de Classificação Industrial da América do Norte (NAICS). Consulte as Funções e a Ordem de Serviço para obter mai"&amp;"s informações. Requisitos da função: Experiência necessária: Não. Número de horas por semana: 40. Horário de trabalho (início/término): 7h às 16h.")</f>
        <v>***Resposta à Solicitação de Informações*** Os trabalhadores utilizam empilhadeiras e paleteiras para movimentar paletes de produtos lácteos vencidos em galões até máquinas que desembalam/abrem/perfuram os galões para coletar o leite líquido vencido (que cai em um reservatório sob os paletes). O leite coletado é pasteurizado, resfriado a 36 graus e enviado a granel para os criadouros de bezerros, onde é fornecido diretamente aos animais na forma líquida. ***Atribuições Originais*** Manter as áreas de armazenamento de equipamentos para garantir a proteção do estoque. Ocupações relacionadas: Ler ordens de serviço ou receber instruções verbais para determinar as tarefas ou as necessidades de materiais ou equipamentos. Ocupações relacionadas: Movimentar cargas, estoque ou outros materiais de e para áreas de armazenamento ou produção, docas de carga, veículos de entrega, navios ou contêineres, manualmente ou utilizando caminhões, tratores ou outros equipamentos. Ocupações relacionadas: Instalar dispositivos de proteção, como escoras, acolchoamento ou cintas, para evitar deslocamento ou danos aos itens transportados. Ocupações relacionadas: Separar a carga antes do carregamento e descarregamento. Classificação da função: 53-7051.00 - Operadores de Empilhadeiras e Tratores Industriais. A classificação e descrição da função/setor incluem informações gerais sobre o cargo, conforme o ONET/OES e o Sistema de Classificação Industrial da América do Norte (NAICS). Consulte as Funções e a Ordem de Serviço para obter mais informações. Requisitos da função: Experiência necessária: Não. Número de horas por semana: 40. Horário de trabalho (início/término): 7h às 16h.</v>
      </c>
    </row>
    <row r="2443" ht="20.25" customHeight="1">
      <c r="A2443" s="8" t="s">
        <v>10664</v>
      </c>
      <c r="B2443" s="8" t="s">
        <v>10665</v>
      </c>
      <c r="C2443" s="8" t="s">
        <v>920</v>
      </c>
      <c r="D2443" s="8" t="s">
        <v>1103</v>
      </c>
      <c r="E2443" s="9" t="s">
        <v>19</v>
      </c>
      <c r="F2443" s="9" t="s">
        <v>20</v>
      </c>
      <c r="G2443" s="9" t="s">
        <v>404</v>
      </c>
      <c r="H2443" s="8" t="s">
        <v>9794</v>
      </c>
      <c r="I2443" s="8" t="s">
        <v>9795</v>
      </c>
      <c r="J2443" s="9">
        <v>17.08</v>
      </c>
      <c r="K2443" s="9">
        <v>60.0</v>
      </c>
      <c r="L2443" s="8" t="s">
        <v>1034</v>
      </c>
      <c r="M2443" s="8" t="s">
        <v>10666</v>
      </c>
      <c r="N2443" s="7" t="str">
        <f>IFERROR(__xludf.DUMMYFUNCTION("GOOGLETRANSLATE(L2443, ""en"", ""pt"")"),"Remoção de neve")</f>
        <v>Remoção de neve</v>
      </c>
      <c r="O2443" s="7" t="str">
        <f>IFERROR(__xludf.DUMMYFUNCTION("IF(M2443="""","""",GOOGLETRANSLATE(M2443,""en"",""pt""))"),"Remover neve com uma pá de neve e aplicar sal/derretedor de gelo com um espalhador manual. Requer levantamento de peso de até 23 kg. Classificação da função: 37-2011.00 - Zeladores e Faxineiros, exceto empregadas domésticas e auxiliares de limpeza. A clas"&amp;"sificação e descrição da função/setor inclui informações gerais sobre o cargo, conforme ONET/OES e o Sistema de Classificação Industrial da América do Norte (NAICS). Consulte as atribuições e a ordem de serviço para obter mais informações. Requisitos da f"&amp;"unção: Experiência necessária: Não. Número de horas por semana: 40. Horário de trabalho (início/término): 8h às 17h.")</f>
        <v>Remover neve com uma pá de neve e aplicar sal/derretedor de gelo com um espalhador manual. Requer levantamento de peso de até 23 kg. Classificação da função: 37-2011.00 - Zeladores e Faxineiros, exceto empregadas domésticas e auxiliares de limpeza. A classificação e descrição da função/setor inclui informações gerais sobre o cargo, conforme ONET/OES e o Sistema de Classificação Industrial da América do Norte (NAICS). Consulte as atribuições e a ordem de serviço para obter mais informações. Requisitos da função: Experiência necessária: Não. Número de horas por semana: 40. Horário de trabalho (início/término): 8h às 17h.</v>
      </c>
    </row>
    <row r="2444" ht="20.25" customHeight="1">
      <c r="A2444" s="3" t="s">
        <v>10667</v>
      </c>
      <c r="B2444" s="3" t="s">
        <v>10668</v>
      </c>
      <c r="C2444" s="3" t="s">
        <v>4272</v>
      </c>
      <c r="D2444" s="3" t="s">
        <v>126</v>
      </c>
      <c r="E2444" s="4" t="s">
        <v>19</v>
      </c>
      <c r="F2444" s="4" t="s">
        <v>20</v>
      </c>
      <c r="G2444" s="4" t="s">
        <v>404</v>
      </c>
      <c r="H2444" s="3" t="s">
        <v>10669</v>
      </c>
      <c r="I2444" s="3" t="s">
        <v>10670</v>
      </c>
      <c r="J2444" s="4">
        <v>23.0</v>
      </c>
      <c r="K2444" s="4">
        <v>6.0</v>
      </c>
      <c r="L2444" s="3" t="s">
        <v>10671</v>
      </c>
      <c r="M2444" s="3" t="s">
        <v>10672</v>
      </c>
      <c r="N2444" s="7" t="str">
        <f>IFERROR(__xludf.DUMMYFUNCTION("GOOGLETRANSLATE(L2444, ""en"", ""pt"")"),"Pessoas que limpam a neve")</f>
        <v>Pessoas que limpam a neve</v>
      </c>
      <c r="O2444" s="7" t="str">
        <f>IFERROR(__xludf.DUMMYFUNCTION("IF(M2444="""","""",GOOGLETRANSLATE(M2444,""en"",""pt""))"),"Remova a neve da calçada com uma pá e aplique areia ou sal para derreter gelo. Remova a neve e o gelo de calçadas, passarelas e áreas de acesso de pedestres para manter a segurança da passagem. Espalhe areia, sal ou sal para derreter gelo nas superfícies "&amp;"tratadas para reduzir o risco de escorregamento e ajudar a prevenir o acúmulo de gelo durante e após eventos climáticos de inverno. Classificação da vaga: 37-2011.00 - Zeladores e Faxineiros, exceto empregadas domésticas e faxineiras. A classificação e de"&amp;"scrição da vaga/setor incluem informações gerais sobre o cargo, de acordo com o ONET/OES e o Sistema de Classificação Industrial da América do Norte. Consulte as Funções e a Ordem de Serviço para obter mais informações. Requisitos da vaga: Experiência nec"&amp;"essária: Não. Requisitos especiais: Teste antidrogas pós-admissional poderá ser realizado caso o empregador tenha suspeita razoável de uso de drogas por parte do funcionário ou após um acidente. F.a.5 A-H. Jornada de trabalho de 5 horas. Domingo a sábado,"&amp;" das 4h às 9h. Possibilidade de horas extras. Número de horas por semana: 40 Horário de trabalho (início/término): 4h00 - 9h00")</f>
        <v>Remova a neve da calçada com uma pá e aplique areia ou sal para derreter gelo. Remova a neve e o gelo de calçadas, passarelas e áreas de acesso de pedestres para manter a segurança da passagem. Espalhe areia, sal ou sal para derreter gelo nas superfícies tratadas para reduzir o risco de escorregamento e ajudar a prevenir o acúmulo de gelo durante e após eventos climáticos de inverno. Classificação da vaga: 37-2011.00 - Zeladores e Faxineiros, exceto empregadas domésticas e faxineiras. A classificação e descrição da vaga/setor incluem informações gerais sobre o cargo, de acordo com o ONET/OES e o Sistema de Classificação Industrial da América do Norte. Consulte as Funções e a Ordem de Serviço para obter mais informações. Requisitos da vaga: Experiência necessária: Não. Requisitos especiais: Teste antidrogas pós-admissional poderá ser realizado caso o empregador tenha suspeita razoável de uso de drogas por parte do funcionário ou após um acidente. F.a.5 A-H. Jornada de trabalho de 5 horas. Domingo a sábado, das 4h às 9h. Possibilidade de horas extras. Número de horas por semana: 40 Horário de trabalho (início/término): 4h00 - 9h00</v>
      </c>
    </row>
    <row r="2445" ht="20.25" customHeight="1">
      <c r="A2445" s="8" t="s">
        <v>10673</v>
      </c>
      <c r="B2445" s="8" t="s">
        <v>10674</v>
      </c>
      <c r="C2445" s="8" t="s">
        <v>17</v>
      </c>
      <c r="D2445" s="8" t="s">
        <v>109</v>
      </c>
      <c r="E2445" s="9" t="s">
        <v>19</v>
      </c>
      <c r="F2445" s="9" t="s">
        <v>20</v>
      </c>
      <c r="G2445" s="9" t="s">
        <v>1764</v>
      </c>
      <c r="H2445" s="14" t="s">
        <v>10675</v>
      </c>
      <c r="I2445" s="8" t="s">
        <v>10676</v>
      </c>
      <c r="J2445" s="9">
        <v>19.86</v>
      </c>
      <c r="K2445" s="9">
        <v>1.0</v>
      </c>
      <c r="L2445" s="8" t="s">
        <v>321</v>
      </c>
      <c r="M2445" s="8" t="s">
        <v>10677</v>
      </c>
      <c r="N2445" s="7" t="str">
        <f>IFERROR(__xludf.DUMMYFUNCTION("GOOGLETRANSLATE(L2445, ""en"", ""pt"")"),"Trabalhadores de paisagismo")</f>
        <v>Trabalhadores de paisagismo</v>
      </c>
      <c r="O2445" s="7" t="str">
        <f>IFERROR(__xludf.DUMMYFUNCTION("IF(M2445="""","""",GOOGLETRANSLATE(M2445,""en"",""pt""))"),"Paisagismo e manutenção de terrenos utilizando ferramentas manuais ou elétricas. Os trabalhadores geralmente executam uma variedade de tarefas, que podem incluir qualquer combinação das seguintes: colocação de grama, corte de grama, poda, plantio, rega, f"&amp;"ertilização, escavação e rastelagem. Classificação da função: 37-3011.00 - Trabalhadores de Paisagismo e Manutenção de Terrenos. A classificação e descrição da função/setor inclui informações gerais sobre o cargo, de acordo com o ONET/OES e o Sistema de C"&amp;"lassificação Industrial da América do Norte (NAICS). Consulte as Funções e a Ordem de Serviço para obter mais informações. Requisitos da vaga: Experiência exigida: Sim. Meses de experiência exigidos: 3. Requisitos especiais: Requer três meses de experiênc"&amp;"ia prévia em paisagismo. Deve ser capaz de levantar/carregar 23 kg, quando necessário. Trabalho aos sábados, quando necessário. Testes aleatórios de drogas, pagos pelo empregador, após a contratação e em caso de suspeita de uso, são obrigatórios para trab"&amp;"alhadores estrangeiros e nacionais. O empregador pode oferecer mais horas de trabalho do que as estipuladas, dependendo do clima, das necessidades da empresa e de outras condições. Calor extremo, frio, chuva ou seca podem afetar o horário de trabalho exat"&amp;"o. Número de horas por semana: 40 Horário de trabalho (início/término): 8h00 - 16h30")</f>
        <v>Paisagismo e manutenção de terrenos utilizando ferramentas manuais ou elétricas. Os trabalhadores geralmente executam uma variedade de tarefas, que podem incluir qualquer combinação das seguintes: colocação de grama, corte de grama, poda, plantio, rega, fertilização, escavação e rastelagem. Classificação da função: 37-3011.00 - Trabalhadores de Paisagismo e Manutenção de Terrenos. A classificação e descrição da função/setor inclui informações gerais sobre o cargo, de acordo com o ONET/OES e o Sistema de Classificação Industrial da América do Norte (NAICS). Consulte as Funções e a Ordem de Serviço para obter mais informações. Requisitos da vaga: Experiência exigida: Sim. Meses de experiência exigidos: 3. Requisitos especiais: Requer três meses de experiência prévia em paisagismo. Deve ser capaz de levantar/carregar 23 kg, quando necessário. Trabalho aos sábados, quando necessário. Testes aleatórios de drogas, pagos pelo empregador, após a contratação e em caso de suspeita de uso, são obrigatórios para trabalhadores estrangeiros e nacionais. O empregador pode oferecer mais horas de trabalho do que as estipuladas, dependendo do clima, das necessidades da empresa e de outras condições. Calor extremo, frio, chuva ou seca podem afetar o horário de trabalho exato. Número de horas por semana: 40 Horário de trabalho (início/término): 8h00 - 16h30</v>
      </c>
    </row>
    <row r="2446" ht="20.25" customHeight="1">
      <c r="A2446" s="3" t="s">
        <v>10678</v>
      </c>
      <c r="B2446" s="3" t="s">
        <v>10679</v>
      </c>
      <c r="C2446" s="3" t="s">
        <v>3981</v>
      </c>
      <c r="D2446" s="3" t="s">
        <v>532</v>
      </c>
      <c r="E2446" s="4" t="s">
        <v>19</v>
      </c>
      <c r="F2446" s="4" t="s">
        <v>20</v>
      </c>
      <c r="G2446" s="4" t="s">
        <v>10680</v>
      </c>
      <c r="H2446" s="3" t="s">
        <v>10681</v>
      </c>
      <c r="I2446" s="3" t="s">
        <v>10682</v>
      </c>
      <c r="J2446" s="4">
        <v>39.09</v>
      </c>
      <c r="K2446" s="4">
        <v>1.0</v>
      </c>
      <c r="L2446" s="3" t="s">
        <v>4056</v>
      </c>
      <c r="M2446" s="3" t="s">
        <v>10683</v>
      </c>
      <c r="N2446" s="7" t="str">
        <f>IFERROR(__xludf.DUMMYFUNCTION("GOOGLETRANSLATE(L2446, ""en"", ""pt"")"),"Gerente da Casa")</f>
        <v>Gerente da Casa</v>
      </c>
      <c r="O2446" s="7" t="str">
        <f>IFERROR(__xludf.DUMMYFUNCTION("IF(M2446="""","""",GOOGLETRANSLATE(M2446,""en"",""pt""))"),"***Resposta à RFI*** (1) Trabalhadores supervisionados: a(s) babá(s) da família. A família atualmente emprega uma (1) babá designada para as crianças. A supervisão inclui definir a agenda e os horários da babá; atribuir e orientar tarefas relacionadas aos"&amp;" cuidados infantis; transmitir as instruções e padrões dos pais; atuar como ponto de contato entre os pais e a babá; e monitorar o desempenho. (2) Manutenção/reparos da casa: o(a) Gerente organiza, agenda, supervisiona e verifica o trabalho de prestadores"&amp;" de serviços externos e não realiza reparos. Tarefas: identificar necessidades (por exemplo, HVAC, encanamento, limpeza da casa, manutenção elétrica, conserto de eletrodomésticos, paisagismo, serviços gerais); selecionar prestadores de serviços; comparar "&amp;"orçamentos; agendar o acesso ao local de acordo com os horários da família/equipe; aprovar pagamentos; manter registros; e acompanhar a garantia. Autoridade: pode selecionar, contratar e pagar prestadores de serviços de rotina/recorrentes (ex.: faxineiros"&amp;") sem aprovação prévia, dentro de um orçamento por projeto definido pelos pais, e orientar os fornecedores quanto ao escopo, local e prazo; Projetos não rotineiros ou de custo mais elevado, acima desse limite, são submetidos à aprovação final dos pais, co"&amp;"m a recomendação do Gerente. Deveres de supervisão: monitorar o progresso no local; inspecionar o trabalho quanto ao escopo e à qualidade; . Esses contratados são fornecedores independentes, não funcionários domésticos. Ferramentas: computador/laptop, sma"&amp;"rtphone, e-mail, aplicativos de agendamento, planilhas e registros digitais, e métodos de pagamento (pagamento de contas online, cartões domésticos ou cheque); os contratados fornecem suas próprias ferramentas e materiais. (3) Contas domésticas/tarefas ad"&amp;"ministrativas: receber, organizar e rastrear contas/faturas (serviços públicos, internet/cabo/telefone, seguros, assinaturas, serviços); acompanhar datas de vencimento e pagar em dia por meio de internet banking, débito automático ou cheque; manter regist"&amp;"ros de contas, recibos e pagamentos; acompanhar os gastos em relação a um orçamento e conciliar as contas; gerenciar a correspondência e os documentos da casa; e lidar com a documentação das crianças (matrícula escolar, formulários médicos/de seguro); Téc"&amp;"nicas/tecnologias/equipamentos: computador/laptop e smartphone; plataformas de internet banking e pagamento de contas; Software de planilha (ex.: Excel, Google Sheets) e/ou software de finanças/orçamento (ex.: Quicken, QuickBooks); aplicativos de e-mail e"&amp;" calendário; scanner, impressora e arquivamento digital/em nuvem e físico; e métodos de pagamento, incluindo cartões domésticos e cheques. ***Original*** Esta é uma vaga para Gerente Doméstico em uma residência com vários funcionários domésticos. O Gerent"&amp;"e Doméstico será responsável por gerenciar os horários e calendários da casa, incluindo os horários das crianças e dos profissionais de cuidados infantis designados para essas crianças. Uma das crianças é um bebê. As responsabilidades incluem: planejament"&amp;"o, organização e coordenação de eventos para as crianças; agendamento de consultas para necessidades pessoais e profissionais das crianças e da família; agendamento de serviços de manutenção e reparos domésticos e supervisão do projeto; gerenciamento das "&amp;"contas domésticas e tarefas administrativas para os pais, relacionadas tanto à família quanto às crianças; realização de tarefas e recados necessários, como entrega de compras; supervisão de outros funcionários domésticos, como babás, sendo que a família "&amp;"possui uma. Compras de alimentos, suprimentos e outros itens solicitados. Outras tarefas domésticas: O(A) funcionário(a) doméstico(a) será responsável, ocasionalmente, pelas seguintes tarefas domésticas como parte de suas funções: i. Louças/mamadeiras: Au"&amp;"xiliar, quando necessário, na limpeza diária de todas as mamadeiras, copos, pratos, etc., utilizados pela criança e pela equipe doméstica. ii. Área de recreação: Recolher diariamente os brinquedos e roupas das áreas de recreação da criança (incluindo os q"&amp;"uartos da criança, sala de jogos, sala de estar e área externa) e trocar os brinquedos periodicamente. iii. Lavanderia da criança: Lavar semanalmente, ou mediante solicitação, as roupas do bebê, incluindo roupas, lençóis, babadores, capa da cadeirinha de "&amp;"alimentação, trocador, etc. Classificação da função: 11-9179.00 - Gerentes de Serviços Pessoais, Outros. A classificação e descrição da função/setor inclui informações gerais sobre o cargo, de acordo com o ONET/OES e o Sistema de Classificação Industrial "&amp;"da América do Norte. Consulte as Funções e a Ordem de Serviço para obter mais informações. Requisitos da vaga Experiência necessária: Não Número de horas por semana: 44 Horário de trabalho (início/término): 8h às 17h")</f>
        <v>***Resposta à RFI*** (1) Trabalhadores supervisionados: a(s) babá(s) da família. A família atualmente emprega uma (1) babá designada para as crianças. A supervisão inclui definir a agenda e os horários da babá; atribuir e orientar tarefas relacionadas aos cuidados infantis; transmitir as instruções e padrões dos pais; atuar como ponto de contato entre os pais e a babá; e monitorar o desempenho. (2) Manutenção/reparos da casa: o(a) Gerente organiza, agenda, supervisiona e verifica o trabalho de prestadores de serviços externos e não realiza reparos. Tarefas: identificar necessidades (por exemplo, HVAC, encanamento, limpeza da casa, manutenção elétrica, conserto de eletrodomésticos, paisagismo, serviços gerais); selecionar prestadores de serviços; comparar orçamentos; agendar o acesso ao local de acordo com os horários da família/equipe; aprovar pagamentos; manter registros; e acompanhar a garantia. Autoridade: pode selecionar, contratar e pagar prestadores de serviços de rotina/recorrentes (ex.: faxineiros) sem aprovação prévia, dentro de um orçamento por projeto definido pelos pais, e orientar os fornecedores quanto ao escopo, local e prazo; Projetos não rotineiros ou de custo mais elevado, acima desse limite, são submetidos à aprovação final dos pais, com a recomendação do Gerente. Deveres de supervisão: monitorar o progresso no local; inspecionar o trabalho quanto ao escopo e à qualidade; . Esses contratados são fornecedores independentes, não funcionários domésticos. Ferramentas: computador/laptop, smartphone, e-mail, aplicativos de agendamento, planilhas e registros digitais, e métodos de pagamento (pagamento de contas online, cartões domésticos ou cheque); os contratados fornecem suas próprias ferramentas e materiais. (3) Contas domésticas/tarefas administrativas: receber, organizar e rastrear contas/faturas (serviços públicos, internet/cabo/telefone, seguros, assinaturas, serviços); acompanhar datas de vencimento e pagar em dia por meio de internet banking, débito automático ou cheque; manter registros de contas, recibos e pagamentos; acompanhar os gastos em relação a um orçamento e conciliar as contas; gerenciar a correspondência e os documentos da casa; e lidar com a documentação das crianças (matrícula escolar, formulários médicos/de seguro); Técnicas/tecnologias/equipamentos: computador/laptop e smartphone; plataformas de internet banking e pagamento de contas; Software de planilha (ex.: Excel, Google Sheets) e/ou software de finanças/orçamento (ex.: Quicken, QuickBooks); aplicativos de e-mail e calendário; scanner, impressora e arquivamento digital/em nuvem e físico; e métodos de pagamento, incluindo cartões domésticos e cheques. ***Original*** Esta é uma vaga para Gerente Doméstico em uma residência com vários funcionários domésticos. O Gerente Doméstico será responsável por gerenciar os horários e calendários da casa, incluindo os horários das crianças e dos profissionais de cuidados infantis designados para essas crianças. Uma das crianças é um bebê. As responsabilidades incluem: planejamento, organização e coordenação de eventos para as crianças; agendamento de consultas para necessidades pessoais e profissionais das crianças e da família; agendamento de serviços de manutenção e reparos domésticos e supervisão do projeto; gerenciamento das contas domésticas e tarefas administrativas para os pais, relacionadas tanto à família quanto às crianças; realização de tarefas e recados necessários, como entrega de compras; supervisão de outros funcionários domésticos, como babás, sendo que a família possui uma. Compras de alimentos, suprimentos e outros itens solicitados. Outras tarefas domésticas: O(A) funcionário(a) doméstico(a) será responsável, ocasionalmente, pelas seguintes tarefas domésticas como parte de suas funções: i. Louças/mamadeiras: Auxiliar, quando necessário, na limpeza diária de todas as mamadeiras, copos, pratos, etc., utilizados pela criança e pela equipe doméstica. ii. Área de recreação: Recolher diariamente os brinquedos e roupas das áreas de recreação da criança (incluindo os quartos da criança, sala de jogos, sala de estar e área externa) e trocar os brinquedos periodicamente. iii. Lavanderia da criança: Lavar semanalmente, ou mediante solicitação, as roupas do bebê, incluindo roupas, lençóis, babadores, capa da cadeirinha de alimentação, trocador, etc. Classificação da função: 11-9179.00 - Gerentes de Serviços Pessoais, Outros. A classificação e descrição da função/setor inclui informações gerais sobre o cargo, de acordo com o ONET/OES e o Sistema de Classificação Industrial da América do Norte. Consulte as Funções e a Ordem de Serviço para obter mais informações. Requisitos da vaga Experiência necessária: Não Número de horas por semana: 44 Horário de trabalho (início/término): 8h às 17h</v>
      </c>
    </row>
    <row r="2447" ht="20.25" customHeight="1">
      <c r="A2447" s="8" t="s">
        <v>10684</v>
      </c>
      <c r="B2447" s="8" t="s">
        <v>10685</v>
      </c>
      <c r="C2447" s="8" t="s">
        <v>10319</v>
      </c>
      <c r="D2447" s="8" t="s">
        <v>133</v>
      </c>
      <c r="E2447" s="9" t="s">
        <v>44</v>
      </c>
      <c r="F2447" s="9" t="s">
        <v>20</v>
      </c>
      <c r="G2447" s="9" t="s">
        <v>345</v>
      </c>
      <c r="H2447" s="8" t="s">
        <v>10686</v>
      </c>
      <c r="I2447" s="8" t="s">
        <v>10687</v>
      </c>
      <c r="J2447" s="9">
        <v>24.49</v>
      </c>
      <c r="K2447" s="9">
        <v>4.0</v>
      </c>
      <c r="L2447" s="8" t="s">
        <v>10688</v>
      </c>
      <c r="M2447" s="8" t="s">
        <v>10689</v>
      </c>
      <c r="N2447" s="7" t="str">
        <f>IFERROR(__xludf.DUMMYFUNCTION("GOOGLETRANSLATE(L2447, ""en"", ""pt"")"),"Escalador de árvores")</f>
        <v>Escalador de árvores</v>
      </c>
      <c r="O2447" s="7" t="str">
        <f>IFERROR(__xludf.DUMMYFUNCTION("IF(M2447="""","""",GOOGLETRANSLATE(M2447,""en"",""pt""))"),"Quatro (4) vagas temporárias em tempo integral para Escalador de Árvores estão disponíveis para início em 1º de outubro de 2026 e término em 30 de abril de 2027, em turno diurno, com 40 horas semanais – de segunda a sexta-feira, das 8h às 16h, com salário"&amp;" de US$ 24,49 ou mais por hora, e possibilidade de horas extras com pagamento de US$ 36,74 ou mais por hora. Os Escaladores de Árvores realizam escaladas e içamento de árvores, podas e cortes de galhos em excesso, além de abaixar galhos e ramos. Eles trat"&amp;"am e cuidam das árvores utilizando serras manuais, tesouras de poda, podadores e podadores elétricos. Frequentemente, trabalham em alturas elevadas, próximos à copa das árvores ou em plataformas elevatórias montadas em caminhões. Os Escaladores de Árvores"&amp;" devem seguir todas as normas de segurança do setor, do município e da empresa, incluindo o uso correto dos equipamentos de proteção individual fornecidos pelo empregador. Eles são responsáveis ​​pela saúde, valor, aparência e produtividade das árvores e "&amp;"arbustos da região. Esta ocupação exige diploma de ensino médio e seis meses de experiência profissional relacionada a trabalhos em solo ou com espécies de árvores. Um mês de treinamento remunerado em serviço capacita os novos contratados para que possam "&amp;"identificar espécies de árvores e riscos de escalada, além de utilizar com segurança ferramentas elétricas e manuais e plataformas elevatórias. Classificação da função: 37-3013.00 - Podadores e aparadores de árvores. A classificação e descrição da função/"&amp;"setor inclui informações gerais sobre o cargo, de acordo com o ONET/OES e o Sistema de Classificação Industrial da América do Norte. Consulte as Funções e a Ordem de Serviço para obter mais informações. Requisitos da função: Experiência necessária: Sim. M"&amp;"eses de experiência necessários: 6. Requisitos especiais: SEIS MESES DE EXPERIÊNCIA PRÉVIA EM TRABALHO EM SOLO E/OU FAMILIARIDADE COM ESPÉCIES DE ÁRVORES; E UM MÊS DE TREINAMENTO EM SERVIÇO EM ESPÉCIES DE ÁRVORES, SEGURANÇA EM ESCALADA E SEGURANÇA NO USO "&amp;"DE FERRAMENTAS. Número de horas por semana: 40. Horário de trabalho (início/término): 8h. - 16:00")</f>
        <v>Quatro (4) vagas temporárias em tempo integral para Escalador de Árvores estão disponíveis para início em 1º de outubro de 2026 e término em 30 de abril de 2027, em turno diurno, com 40 horas semanais – de segunda a sexta-feira, das 8h às 16h, com salário de US$ 24,49 ou mais por hora, e possibilidade de horas extras com pagamento de US$ 36,74 ou mais por hora. Os Escaladores de Árvores realizam escaladas e içamento de árvores, podas e cortes de galhos em excesso, além de abaixar galhos e ramos. Eles tratam e cuidam das árvores utilizando serras manuais, tesouras de poda, podadores e podadores elétricos. Frequentemente, trabalham em alturas elevadas, próximos à copa das árvores ou em plataformas elevatórias montadas em caminhões. Os Escaladores de Árvores devem seguir todas as normas de segurança do setor, do município e da empresa, incluindo o uso correto dos equipamentos de proteção individual fornecidos pelo empregador. Eles são responsáveis ​​pela saúde, valor, aparência e produtividade das árvores e arbustos da região. Esta ocupação exige diploma de ensino médio e seis meses de experiência profissional relacionada a trabalhos em solo ou com espécies de árvores. Um mês de treinamento remunerado em serviço capacita os novos contratados para que possam identificar espécies de árvores e riscos de escalada, além de utilizar com segurança ferramentas elétricas e manuais e plataformas elevatórias. Classificação da função: 37-3013.00 - Podadores e aparadores de árvores. A classificação e descrição da função/setor inclui informações gerais sobre o cargo, de acordo com o ONET/OES e o Sistema de Classificação Industrial da América do Norte. Consulte as Funções e a Ordem de Serviço para obter mais informações. Requisitos da função: Experiência necessária: Sim. Meses de experiência necessários: 6. Requisitos especiais: SEIS MESES DE EXPERIÊNCIA PRÉVIA EM TRABALHO EM SOLO E/OU FAMILIARIDADE COM ESPÉCIES DE ÁRVORES; E UM MÊS DE TREINAMENTO EM SERVIÇO EM ESPÉCIES DE ÁRVORES, SEGURANÇA EM ESCALADA E SEGURANÇA NO USO DE FERRAMENTAS. Número de horas por semana: 40. Horário de trabalho (início/término): 8h. - 16:00</v>
      </c>
    </row>
    <row r="2448" ht="20.25" customHeight="1">
      <c r="A2448" s="3" t="s">
        <v>10690</v>
      </c>
      <c r="B2448" s="3" t="s">
        <v>10691</v>
      </c>
      <c r="C2448" s="3"/>
      <c r="D2448" s="3" t="s">
        <v>36</v>
      </c>
      <c r="E2448" s="4" t="s">
        <v>19</v>
      </c>
      <c r="F2448" s="4" t="s">
        <v>20</v>
      </c>
      <c r="G2448" s="4" t="s">
        <v>377</v>
      </c>
      <c r="H2448" s="3" t="s">
        <v>10692</v>
      </c>
      <c r="I2448" s="3" t="s">
        <v>10693</v>
      </c>
      <c r="J2448" s="4">
        <v>18.29</v>
      </c>
      <c r="K2448" s="4">
        <v>60.0</v>
      </c>
      <c r="L2448" s="3" t="s">
        <v>83</v>
      </c>
      <c r="M2448" s="3" t="s">
        <v>10694</v>
      </c>
      <c r="N2448" s="7" t="str">
        <f>IFERROR(__xludf.DUMMYFUNCTION("GOOGLETRANSLATE(L2448, ""en"", ""pt"")"),"Trabalhador Florestal")</f>
        <v>Trabalhador Florestal</v>
      </c>
      <c r="O2448" s="7" t="str">
        <f>IFERROR(__xludf.DUMMYFUNCTION("IF(M2448="""","""",GOOGLETRANSLATE(M2448,""en"",""pt""))"),"Cavar buracos para plantar mudas de árvores sem raízes em J ou U, fixar cuidadosamente as mudas com terra, controlar o crescimento das mudas por meio de pulverização, podar manualmente, manter a vegetação ao redor, empilhar/remover detritos, identificar á"&amp;"rvores doentes/indesejáveis ​​e removê-las, desbastar e espaçar as árvores com o uso de serras elétricas e serras manuais. Coletar/embalar produtos florestais. Manter registros das árvores examinadas. As funções exigem movimentação de todo o corpo, como s"&amp;"ubir, levantar, equilibrar-se, caminhar, agachar-se e manusear materiais. Caminhadas extensas em terrenos acidentados. Classificação da função: 45-4011.00 - Trabalhadores Florestais e de Conservação. A classificação e descrição da função/setor incluem inf"&amp;"ormações gerais sobre o cargo, de acordo com o ONET/OES e o Sistema de Classificação Industrial da América do Norte. Consulte as Funções e a Ordem de Serviço para obter mais informações. Requisitos da função: Experiência necessária: Sim. Meses de experiên"&amp;"cia necessários: 3. Requisitos especiais: Trabalho fisicamente exigente. Número de horas por semana: 35. Horário de trabalho (início/término): 8h às 15h.")</f>
        <v>Cavar buracos para plantar mudas de árvores sem raízes em J ou U, fixar cuidadosamente as mudas com terra, controlar o crescimento das mudas por meio de pulverização, podar manualmente, manter a vegetação ao redor, empilhar/remover detritos, identificar árvores doentes/indesejáveis ​​e removê-las, desbastar e espaçar as árvores com o uso de serras elétricas e serras manuais. Coletar/embalar produtos florestais. Manter registros das árvores examinadas. As funções exigem movimentação de todo o corpo, como subir, levantar, equilibrar-se, caminhar, agachar-se e manusear materiais. Caminhadas extensas em terrenos acidentados. Classificação da função: 45-4011.00 - Trabalhadores Florestais e de Conservação. A classificação e descrição da função/setor incluem informações gerais sobre o cargo, de acordo com o ONET/OES e o Sistema de Classificação Industrial da América do Norte. Consulte as Funções e a Ordem de Serviço para obter mais informações. Requisitos da função: Experiência necessária: Sim. Meses de experiência necessários: 3. Requisitos especiais: Trabalho fisicamente exigente. Número de horas por semana: 35. Horário de trabalho (início/término): 8h às 15h.</v>
      </c>
    </row>
    <row r="2449" ht="20.25" customHeight="1">
      <c r="A2449" s="8" t="s">
        <v>10695</v>
      </c>
      <c r="B2449" s="8" t="s">
        <v>10691</v>
      </c>
      <c r="C2449" s="8"/>
      <c r="D2449" s="8" t="s">
        <v>36</v>
      </c>
      <c r="E2449" s="9" t="s">
        <v>44</v>
      </c>
      <c r="F2449" s="9" t="s">
        <v>20</v>
      </c>
      <c r="G2449" s="9" t="s">
        <v>377</v>
      </c>
      <c r="H2449" s="8" t="s">
        <v>10692</v>
      </c>
      <c r="I2449" s="8" t="s">
        <v>10693</v>
      </c>
      <c r="J2449" s="9">
        <v>17.87</v>
      </c>
      <c r="K2449" s="9">
        <v>100.0</v>
      </c>
      <c r="L2449" s="8" t="s">
        <v>10696</v>
      </c>
      <c r="M2449" s="8" t="s">
        <v>10697</v>
      </c>
      <c r="N2449" s="7" t="str">
        <f>IFERROR(__xludf.DUMMYFUNCTION("GOOGLETRANSLATE(L2449, ""en"", ""pt"")"),"Trabalhador de palha de pinheiro")</f>
        <v>Trabalhador de palha de pinheiro</v>
      </c>
      <c r="O2449" s="7" t="str">
        <f>IFERROR(__xludf.DUMMYFUNCTION("IF(M2449="""","""",GOOGLETRANSLATE(M2449,""en"",""pt""))"),"**Solicitação de Informações** Os trabalhadores irão rastelar, recolher, limpar e enfardar manualmente palha de pinheiro-de-folhas-longas em áreas florestais, utilizando ferramentas manuais como rastelos e forcados. A palha enfardada será então carregada "&amp;"manualmente em reboques para transporte. As tarefas incluem a remoção de detritos (pinhas, galhos e outros materiais indesejados) da palha durante o processo de enfardamento para garantir um produto limpo. Os trabalhadores também manterão a contagem da pr"&amp;"odução diária de fardos para fins de contabilização. O trabalho exige longas caminhadas em terrenos irregulares e arborizados, além da execução de tarefas físicas repetitivas, como levantar, curvar-se, equilibrar-se e agachar-se. O trabalho será realizado"&amp;" ao ar livre em plantações de pinheiros ou florestas manejadas onde a palha de pinheiro-de-folhas-longas é cultivada e colhida para uso paisagístico. Os funcionários utilizarão equipamentos manuais de enfardamento, reboques e ferramentas manuais (rastelos"&amp;", forcados e lonas) para concluir o trabalho. O funcionário trabalhará no setor de fornecimento florestal e paisagístico, especificamente na coleta e preparação de palha de pinheiro como produto de cobertura vegetal comercial. Nenhuma máquina é utilizada "&amp;"no processo de enfardamento. **Original** de produtos florestais de madeira/embalagem. Manter registros das árvores examinadas. As funções exigem movimentação de todo o corpo, como subir, levantar, equilibrar-se, caminhar, abaixar-se e manusear materiais."&amp;" Caminhadas extensas em terrenos acidentados. Classificação da função: 45-4011.00 - Trabalhadores Florestais e de Conservação. A classificação e descrição da função/setor incluem informações gerais sobre o cargo, de acordo com o ONET/OES e o Sistema de Cl"&amp;"assificação Industrial da América do Norte. Consulte as Funções e a Ordem de Serviço para obter mais informações. Requisitos da função: Experiência necessária: Sim. Meses de experiência necessários: 3. Requisitos especiais: Trabalho fisicamente exigente. "&amp;"Número de horas por semana: 35. Horário de trabalho (início/término): 8h às 15h.")</f>
        <v>**Solicitação de Informações** Os trabalhadores irão rastelar, recolher, limpar e enfardar manualmente palha de pinheiro-de-folhas-longas em áreas florestais, utilizando ferramentas manuais como rastelos e forcados. A palha enfardada será então carregada manualmente em reboques para transporte. As tarefas incluem a remoção de detritos (pinhas, galhos e outros materiais indesejados) da palha durante o processo de enfardamento para garantir um produto limpo. Os trabalhadores também manterão a contagem da produção diária de fardos para fins de contabilização. O trabalho exige longas caminhadas em terrenos irregulares e arborizados, além da execução de tarefas físicas repetitivas, como levantar, curvar-se, equilibrar-se e agachar-se. O trabalho será realizado ao ar livre em plantações de pinheiros ou florestas manejadas onde a palha de pinheiro-de-folhas-longas é cultivada e colhida para uso paisagístico. Os funcionários utilizarão equipamentos manuais de enfardamento, reboques e ferramentas manuais (rastelos, forcados e lonas) para concluir o trabalho. O funcionário trabalhará no setor de fornecimento florestal e paisagístico, especificamente na coleta e preparação de palha de pinheiro como produto de cobertura vegetal comercial. Nenhuma máquina é utilizada no processo de enfardamento. **Original** de produtos florestais de madeira/embalagem. Manter registros das árvores examinadas. As funções exigem movimentação de todo o corpo, como subir, levantar, equilibrar-se, caminhar, abaixar-se e manusear materiais. Caminhadas extensas em terrenos acidentados. Classificação da função: 45-4011.00 - Trabalhadores Florestais e de Conservação. A classificação e descrição da função/setor incluem informações gerais sobre o cargo, de acordo com o ONET/OES e o Sistema de Classificação Industrial da América do Norte. Consulte as Funções e a Ordem de Serviço para obter mais informações. Requisitos da função: Experiência necessária: Sim. Meses de experiência necessários: 3. Requisitos especiais: Trabalho fisicamente exigente. Número de horas por semana: 35. Horário de trabalho (início/término): 8h às 15h.</v>
      </c>
    </row>
    <row r="2450" ht="20.25" customHeight="1">
      <c r="A2450" s="3" t="s">
        <v>10698</v>
      </c>
      <c r="B2450" s="3" t="s">
        <v>10507</v>
      </c>
      <c r="C2450" s="3" t="s">
        <v>10508</v>
      </c>
      <c r="D2450" s="3" t="s">
        <v>71</v>
      </c>
      <c r="E2450" s="4" t="s">
        <v>19</v>
      </c>
      <c r="F2450" s="4" t="s">
        <v>20</v>
      </c>
      <c r="G2450" s="4" t="s">
        <v>524</v>
      </c>
      <c r="H2450" s="3" t="s">
        <v>10509</v>
      </c>
      <c r="I2450" s="3" t="s">
        <v>10510</v>
      </c>
      <c r="J2450" s="4">
        <v>18.75</v>
      </c>
      <c r="K2450" s="4">
        <v>10.0</v>
      </c>
      <c r="L2450" s="3" t="s">
        <v>1206</v>
      </c>
      <c r="M2450" s="3" t="s">
        <v>10699</v>
      </c>
      <c r="N2450" s="7" t="str">
        <f>IFERROR(__xludf.DUMMYFUNCTION("GOOGLETRANSLATE(L2450, ""en"", ""pt"")"),"Servidor")</f>
        <v>Servidor</v>
      </c>
      <c r="O2450" s="7" t="str">
        <f>IFERROR(__xludf.DUMMYFUNCTION("IF(M2450="""","""",GOOGLETRANSLATE(M2450,""en"",""pt""))"),"Receber e servir pedidos de comida e bebida; realizar a montagem e desmontagem do serviço de alimentação e outras atividades diversas; pode ser necessário trabalhar em ambientes externos e em eventos de banquetes; pode ser necessário servir clientes utili"&amp;"zando carrinhos de golfe. Classificação da vaga: 35-3031.00 - Garçons e Garçonetes. A classificação e descrição da vaga/setor inclui informações gerais sobre o cargo, de acordo com o ONET/OES e o Sistema de Classificação Industrial da América do Norte (NA"&amp;"ICS). Consulte as Funções e a Ordem de Serviço para obter mais informações. Requisitos da vaga: Experiência exigida: Não. Requisitos especiais: Aprovação na verificação de antecedentes criminais pré-admissional; capacidade de se comunicar em inglês; teste"&amp;" toxicológico pós-admissional. O empregador exige que a verificação de antecedentes criminais pré-admissional e o teste toxicológico pós-admissional sejam realizados igualmente para trabalhadores americanos e trabalhadores com visto H-2B. *CONTINUAÇÃO DA "&amp;"SEÇÃO F.A.5 DA ETA 9142 ACIMA: 40 HORAS SEMANAIS CONSISTIRÃO EM TURNOS DE 8 HORAS QUE PODEM VARIAR CONFORME A NECESSIDADE AO LONGO DOS 7 DIAS DA SEMANA. O TURNO PODE VARIAR DAS 6H ÀS 23H. Número de horas por semana: 40. Horário de trabalho (início/término"&amp;"): 9h às 18h.")</f>
        <v>Receber e servir pedidos de comida e bebida; realizar a montagem e desmontagem do serviço de alimentação e outras atividades diversas; pode ser necessário trabalhar em ambientes externos e em eventos de banquetes; pode ser necessário servir clientes utilizando carrinhos de golfe. Classificação da vaga: 35-3031.00 - Garçons e Garçonetes. A classificação e descrição da vaga/setor inclui informações gerais sobre o cargo, de acordo com o ONET/OES e o Sistema de Classificação Industrial da América do Norte (NAICS). Consulte as Funções e a Ordem de Serviço para obter mais informações. Requisitos da vaga: Experiência exigida: Não. Requisitos especiais: Aprovação na verificação de antecedentes criminais pré-admissional; capacidade de se comunicar em inglês; teste toxicológico pós-admissional. O empregador exige que a verificação de antecedentes criminais pré-admissional e o teste toxicológico pós-admissional sejam realizados igualmente para trabalhadores americanos e trabalhadores com visto H-2B. *CONTINUAÇÃO DA SEÇÃO F.A.5 DA ETA 9142 ACIMA: 40 HORAS SEMANAIS CONSISTIRÃO EM TURNOS DE 8 HORAS QUE PODEM VARIAR CONFORME A NECESSIDADE AO LONGO DOS 7 DIAS DA SEMANA. O TURNO PODE VARIAR DAS 6H ÀS 23H. Número de horas por semana: 40. Horário de trabalho (início/término): 9h às 18h.</v>
      </c>
    </row>
    <row r="2451" ht="20.25" customHeight="1">
      <c r="A2451" s="8" t="s">
        <v>10700</v>
      </c>
      <c r="B2451" s="8" t="s">
        <v>10507</v>
      </c>
      <c r="C2451" s="8" t="s">
        <v>10508</v>
      </c>
      <c r="D2451" s="8" t="s">
        <v>71</v>
      </c>
      <c r="E2451" s="9" t="s">
        <v>44</v>
      </c>
      <c r="F2451" s="9" t="s">
        <v>20</v>
      </c>
      <c r="G2451" s="9" t="s">
        <v>524</v>
      </c>
      <c r="H2451" s="8" t="s">
        <v>10509</v>
      </c>
      <c r="I2451" s="8" t="s">
        <v>10510</v>
      </c>
      <c r="J2451" s="9">
        <v>22.6</v>
      </c>
      <c r="K2451" s="9">
        <v>2.0</v>
      </c>
      <c r="L2451" s="8" t="s">
        <v>4654</v>
      </c>
      <c r="M2451" s="8" t="s">
        <v>10701</v>
      </c>
      <c r="N2451" s="7" t="str">
        <f>IFERROR(__xludf.DUMMYFUNCTION("GOOGLETRANSLATE(L2451, ""en"", ""pt"")"),"Capitão do servidor")</f>
        <v>Capitão do servidor</v>
      </c>
      <c r="O2451" s="7" t="str">
        <f>IFERROR(__xludf.DUMMYFUNCTION("IF(M2451="""","""",GOOGLETRANSLATE(M2451,""en"",""pt""))"),"Supervisionar a equipe de atendimento durante a preparação, o serviço e a limpeza; treinar novos garçons no salão; construir e manter um bom relacionamento com os membros do clube; assumir funções de garçom quando necessário, principalmente no atendimento"&amp;" a convidados de honra e VIPs; ser um exemplo a ser seguido e garantir o mais alto nível de serviço prestado pela equipe de atendimento do clube. Supervisionar aproximadamente 20 pessoas. Classificação da vaga: 35-1012.00 - Supervisores de Primeira Linha "&amp;"de Preparadores e Servidores de Alimentos. A classificação e a descrição da vaga/setor incluem informações gerais sobre o cargo, de acordo com o ONET/OES e o Sistema de Classificação Industrial da América do Norte. Consulte as Funções e a Ordem de Serviço"&amp;" para obter mais informações. Requisitos da vaga: Experiência exigida: Sim. Meses de experiência exigidos: 6. Requisitos especiais: Aprovação na verificação de antecedentes criminais pré-admissional; capacidade de se comunicar em inglês; teste toxicológic"&amp;"o pós-admissional. O empregador exige que a verificação de antecedentes criminais pré-admissional e o teste toxicológico pós-admissional sejam realizados igualmente para trabalhadores americanos e trabalhadores com visto H-2B. *Continuação da Seção F.A.5 "&amp;"da ETA 9142 acima: 40 horas semanais consistirão em turnos de 8 horas que podem variar conforme a necessidade, ao longo de 7 dias da semana. Os turnos podem variar das 6h às 23h. Número de horas por semana: 40. Horário de trabalho (início/término): 9h às "&amp;"18h.")</f>
        <v>Supervisionar a equipe de atendimento durante a preparação, o serviço e a limpeza; treinar novos garçons no salão; construir e manter um bom relacionamento com os membros do clube; assumir funções de garçom quando necessário, principalmente no atendimento a convidados de honra e VIPs; ser um exemplo a ser seguido e garantir o mais alto nível de serviço prestado pela equipe de atendimento do clube. Supervisionar aproximadamente 20 pessoas. Classificação da vaga: 35-1012.00 - Supervisores de Primeira Linha de Preparadores e Servidores de Alimentos. A classificação e a descrição da vaga/setor incluem informações gerais sobre o cargo, de acordo com o ONET/OES e o Sistema de Classificação Industrial da América do Norte. Consulte as Funções e a Ordem de Serviço para obter mais informações. Requisitos da vaga: Experiência exigida: Sim. Meses de experiência exigidos: 6. Requisitos especiais: Aprovação na verificação de antecedentes criminais pré-admissional; capacidade de se comunicar em inglês; teste toxicológico pós-admissional. O empregador exige que a verificação de antecedentes criminais pré-admissional e o teste toxicológico pós-admissional sejam realizados igualmente para trabalhadores americanos e trabalhadores com visto H-2B. *Continuação da Seção F.A.5 da ETA 9142 acima: 40 horas semanais consistirão em turnos de 8 horas que podem variar conforme a necessidade, ao longo de 7 dias da semana. Os turnos podem variar das 6h às 23h. Número de horas por semana: 40. Horário de trabalho (início/término): 9h às 18h.</v>
      </c>
    </row>
    <row r="2452" ht="20.25" customHeight="1">
      <c r="A2452" s="3" t="s">
        <v>10702</v>
      </c>
      <c r="B2452" s="3" t="s">
        <v>10703</v>
      </c>
      <c r="C2452" s="3" t="s">
        <v>10508</v>
      </c>
      <c r="D2452" s="3" t="s">
        <v>71</v>
      </c>
      <c r="E2452" s="4" t="s">
        <v>19</v>
      </c>
      <c r="F2452" s="4" t="s">
        <v>20</v>
      </c>
      <c r="G2452" s="4" t="s">
        <v>377</v>
      </c>
      <c r="H2452" s="3" t="s">
        <v>10704</v>
      </c>
      <c r="I2452" s="3" t="s">
        <v>10705</v>
      </c>
      <c r="J2452" s="4">
        <v>19.51</v>
      </c>
      <c r="K2452" s="4">
        <v>22.0</v>
      </c>
      <c r="L2452" s="3" t="s">
        <v>1684</v>
      </c>
      <c r="M2452" s="3" t="s">
        <v>10706</v>
      </c>
      <c r="N2452" s="7" t="str">
        <f>IFERROR(__xludf.DUMMYFUNCTION("GOOGLETRANSLATE(L2452, ""en"", ""pt"")"),"Barman")</f>
        <v>Barman</v>
      </c>
      <c r="O2452" s="7" t="str">
        <f>IFERROR(__xludf.DUMMYFUNCTION("IF(M2452="""","""",GOOGLETRANSLATE(M2452,""en"",""pt""))"),"Receber pedidos de bebidas; preparar e servir drinques; limpar a área do bar; poderá ser necessário receber pedidos de comida e fazer recomendações sobre vinhos e outros produtos; solicitar e exibir bebidas alcoólicas e suprimentos; manter a área do bar l"&amp;"impa e trabalhar de acordo com as normas estaduais rigorosamente aplicadas. Classificação da vaga: 35-3011.00 - Bartenders. A classificação e descrição da vaga/setor incluem informações gerais sobre o cargo, conforme o ONET/OES e o Sistema de Classificaçã"&amp;"o Industrial da América do Norte. Consulte as Funções e a Ordem de Serviço para obter mais informações. Requisitos da vaga: Experiência exigida: Não. Requisitos especiais: Aprovação na verificação de antecedentes criminais pré-admissional; capacidade de s"&amp;"e comunicar em inglês; teste toxicológico pós-admissional. O empregador exige que a verificação de antecedentes criminais pré-admissional e o teste toxicológico pós-admissional sejam realizados igualmente para trabalhadores americanos e trabalhadores com "&amp;"visto H-2B. *Continuação da Seção F.A.5 da ETA 9142 acima: 40 horas semanais consistirão em turnos de 8 horas que podem variar conforme a necessidade, ao longo de 7 dias da semana. Os turnos podem variar das 6h às 23h. Número de horas por semana: 40. Horá"&amp;"rio de trabalho (início/término): 9h às 18h.")</f>
        <v>Receber pedidos de bebidas; preparar e servir drinques; limpar a área do bar; poderá ser necessário receber pedidos de comida e fazer recomendações sobre vinhos e outros produtos; solicitar e exibir bebidas alcoólicas e suprimentos; manter a área do bar limpa e trabalhar de acordo com as normas estaduais rigorosamente aplicadas. Classificação da vaga: 35-3011.00 - Bartenders. A classificação e descrição da vaga/setor incluem informações gerais sobre o cargo, conforme o ONET/OES e o Sistema de Classificação Industrial da América do Norte. Consulte as Funções e a Ordem de Serviço para obter mais informações. Requisitos da vaga: Experiência exigida: Não. Requisitos especiais: Aprovação na verificação de antecedentes criminais pré-admissional; capacidade de se comunicar em inglês; teste toxicológico pós-admissional. O empregador exige que a verificação de antecedentes criminais pré-admissional e o teste toxicológico pós-admissional sejam realizados igualmente para trabalhadores americanos e trabalhadores com visto H-2B. *Continuação da Seção F.A.5 da ETA 9142 acima: 40 horas semanais consistirão em turnos de 8 horas que podem variar conforme a necessidade, ao longo de 7 dias da semana. Os turnos podem variar das 6h às 23h. Número de horas por semana: 40. Horário de trabalho (início/término): 9h às 18h.</v>
      </c>
    </row>
    <row r="2453" ht="20.25" customHeight="1">
      <c r="A2453" s="8" t="s">
        <v>10707</v>
      </c>
      <c r="B2453" s="8" t="s">
        <v>10703</v>
      </c>
      <c r="C2453" s="8" t="s">
        <v>10508</v>
      </c>
      <c r="D2453" s="8" t="s">
        <v>71</v>
      </c>
      <c r="E2453" s="9" t="s">
        <v>19</v>
      </c>
      <c r="F2453" s="9" t="s">
        <v>20</v>
      </c>
      <c r="G2453" s="9" t="s">
        <v>377</v>
      </c>
      <c r="H2453" s="8" t="s">
        <v>10704</v>
      </c>
      <c r="I2453" s="8" t="s">
        <v>10705</v>
      </c>
      <c r="J2453" s="9">
        <v>19.86</v>
      </c>
      <c r="K2453" s="9">
        <v>5.0</v>
      </c>
      <c r="L2453" s="8" t="s">
        <v>4884</v>
      </c>
      <c r="M2453" s="8" t="s">
        <v>10708</v>
      </c>
      <c r="N2453" s="7" t="str">
        <f>IFERROR(__xludf.DUMMYFUNCTION("GOOGLETRANSLATE(L2453, ""en"", ""pt"")"),"Salva-vidas")</f>
        <v>Salva-vidas</v>
      </c>
      <c r="O2453" s="7" t="str">
        <f>IFERROR(__xludf.DUMMYFUNCTION("IF(M2453="""","""",GOOGLETRANSLATE(M2453,""en"",""pt""))"),"Proteger e garantir a segurança das pessoas em uma piscina; fazer cumprir e aderir às políticas e procedimentos; auxiliar nas operações, manter/monitorar os produtos químicos; manter as instalações aquáticas limpas. Distribuir/recolher toalhas e executar "&amp;"outras tarefas atribuídas. Classificação do Cargo: 33-9092.00 - Salva-vidas, Patrulheiros de Esqui e Outros Trabalhadores de Serviços de Proteção Recreativa. A classificação e descrição do cargo/setor inclui informações gerais sobre a posição, de acordo c"&amp;"om o ONET/OES e o Sistema de Classificação Industrial da América do Norte. Consulte as Funções e a Ordem de Serviço para obter mais informações. Requisitos do Cargo Experiência Necessária: Não. Requisitos Especiais: Aprovação no curso de salva-vidas; Apro"&amp;"vação na verificação policial pré-admissional; Capacidade de se comunicar em inglês; teste toxicológico pós-admissional. O empregador exige que a verificação policial pré-admissional e o teste toxicológico pós-admissional sejam realizados igualmente para "&amp;"trabalhadores americanos e trabalhadores com visto H-2B. *Continuação da Seção F.A.5 da ETA 9142 acima: 40 horas semanais consistirão em turnos de 8 horas que podem variar conforme a necessidade, ao longo de 7 dias da semana. Os turnos podem variar das 6h"&amp;" às 23h. Número de horas por semana: 40. Horário de trabalho (início/término): 9h às 18h.")</f>
        <v>Proteger e garantir a segurança das pessoas em uma piscina; fazer cumprir e aderir às políticas e procedimentos; auxiliar nas operações, manter/monitorar os produtos químicos; manter as instalações aquáticas limpas. Distribuir/recolher toalhas e executar outras tarefas atribuídas. Classificação do Cargo: 33-9092.00 - Salva-vidas, Patrulheiros de Esqui e Outros Trabalhadores de Serviços de Proteção Recreativa. A classificação e descrição do cargo/setor inclui informações gerais sobre a posição, de acordo com o ONET/OES e o Sistema de Classificação Industrial da América do Norte. Consulte as Funções e a Ordem de Serviço para obter mais informações. Requisitos do Cargo Experiência Necessária: Não. Requisitos Especiais: Aprovação no curso de salva-vidas; Aprovação na verificação policial pré-admissional; Capacidade de se comunicar em inglês; teste toxicológico pós-admissional. O empregador exige que a verificação policial pré-admissional e o teste toxicológico pós-admissional sejam realizados igualmente para trabalhadores americanos e trabalhadores com visto H-2B. *Continuação da Seção F.A.5 da ETA 9142 acima: 40 horas semanais consistirão em turnos de 8 horas que podem variar conforme a necessidade, ao longo de 7 dias da semana. Os turnos podem variar das 6h às 23h. Número de horas por semana: 40. Horário de trabalho (início/término): 9h às 18h.</v>
      </c>
    </row>
    <row r="2454" ht="20.25" customHeight="1">
      <c r="A2454" s="3" t="s">
        <v>10709</v>
      </c>
      <c r="B2454" s="3" t="s">
        <v>10703</v>
      </c>
      <c r="C2454" s="3" t="s">
        <v>10508</v>
      </c>
      <c r="D2454" s="3" t="s">
        <v>71</v>
      </c>
      <c r="E2454" s="4" t="s">
        <v>19</v>
      </c>
      <c r="F2454" s="4" t="s">
        <v>20</v>
      </c>
      <c r="G2454" s="4" t="s">
        <v>377</v>
      </c>
      <c r="H2454" s="3" t="s">
        <v>10704</v>
      </c>
      <c r="I2454" s="3" t="s">
        <v>10705</v>
      </c>
      <c r="J2454" s="4">
        <v>19.25</v>
      </c>
      <c r="K2454" s="4">
        <v>53.0</v>
      </c>
      <c r="L2454" s="3" t="s">
        <v>586</v>
      </c>
      <c r="M2454" s="3" t="s">
        <v>10710</v>
      </c>
      <c r="N2454" s="7" t="str">
        <f>IFERROR(__xludf.DUMMYFUNCTION("GOOGLETRANSLATE(L2454, ""en"", ""pt"")"),"Cozinheiro de linha")</f>
        <v>Cozinheiro de linha</v>
      </c>
      <c r="O2454" s="7" t="str">
        <f>IFERROR(__xludf.DUMMYFUNCTION("IF(M2454="""","""",GOOGLETRANSLATE(M2454,""en"",""pt""))"),"Prepara, tempera e cozinha sopas, carnes, legumes, frutas, sobremesas e outros alimentos diversos para consumo; observa as diretrizes da receita e os procedimentos de higiene. Classificação do Cargo: 35-2014.00 - Cozinheiros, Restaurante. A classificação "&amp;"e descrição do cargo/setor inclui informações gerais sobre a posição, de acordo com o ONET/OES e o Sistema de Classificação Industrial da América do Norte. Consulte as Funções e a Ordem de Serviço para obter mais informações. Requisitos do Cargo Experiênc"&amp;"ia Necessária: Sim Meses de Experiência Necessários: 3 Requisitos Especiais: Aprovação na verificação policial pré-admissional; teste toxicológico pós-admissional. O empregador exige que a verificação policial pré-admissional e o teste toxicológico pós-ad"&amp;"missional sejam realizados igualmente entre os trabalhadores americanos e os trabalhadores com visto H-2B. *Continuação da Seção F.A.5 do ETA 9142 acima: 40 horas semanais consistirão em turnos de 8 horas que podem variar conforme a necessidade, ao longo "&amp;"de 7 dias da semana. Os turnos podem variar das 6h às 23h. Número de horas por semana: 40 Horário de trabalho (início/término): 9h00 - 18h00")</f>
        <v>Prepara, tempera e cozinha sopas, carnes, legumes, frutas, sobremesas e outros alimentos diversos para consumo; observa as diretrizes da receita e os procedimentos de higiene. Classificação do Cargo: 35-2014.00 - Cozinheiros, Restaurante. A classificação e descrição do cargo/setor inclui informações gerais sobre a posição, de acordo com o ONET/OES e o Sistema de Classificação Industrial da América do Norte. Consulte as Funções e a Ordem de Serviço para obter mais informações. Requisitos do Cargo Experiência Necessária: Sim Meses de Experiência Necessários: 3 Requisitos Especiais: Aprovação na verificação policial pré-admissional; teste toxicológico pós-admissional. O empregador exige que a verificação policial pré-admissional e o teste toxicológico pós-admissional sejam realizados igualmente entre os trabalhadores americanos e os trabalhadores com visto H-2B. *Continuação da Seção F.A.5 do ETA 9142 acima: 40 horas semanais consistirão em turnos de 8 horas que podem variar conforme a necessidade, ao longo de 7 dias da semana. Os turnos podem variar das 6h às 23h. Número de horas por semana: 40 Horário de trabalho (início/término): 9h00 - 18h00</v>
      </c>
    </row>
    <row r="2455" ht="20.25" customHeight="1">
      <c r="A2455" s="8" t="s">
        <v>10711</v>
      </c>
      <c r="B2455" s="8" t="s">
        <v>10703</v>
      </c>
      <c r="C2455" s="8" t="s">
        <v>10508</v>
      </c>
      <c r="D2455" s="8" t="s">
        <v>71</v>
      </c>
      <c r="E2455" s="9" t="s">
        <v>19</v>
      </c>
      <c r="F2455" s="9" t="s">
        <v>20</v>
      </c>
      <c r="G2455" s="9" t="s">
        <v>377</v>
      </c>
      <c r="H2455" s="8" t="s">
        <v>10704</v>
      </c>
      <c r="I2455" s="8" t="s">
        <v>10705</v>
      </c>
      <c r="J2455" s="9">
        <v>18.71</v>
      </c>
      <c r="K2455" s="9">
        <v>111.0</v>
      </c>
      <c r="L2455" s="8" t="s">
        <v>1206</v>
      </c>
      <c r="M2455" s="8" t="s">
        <v>10712</v>
      </c>
      <c r="N2455" s="7" t="str">
        <f>IFERROR(__xludf.DUMMYFUNCTION("GOOGLETRANSLATE(L2455, ""en"", ""pt"")"),"Servidor")</f>
        <v>Servidor</v>
      </c>
      <c r="O2455" s="7" t="str">
        <f>IFERROR(__xludf.DUMMYFUNCTION("IF(M2455="""","""",GOOGLETRANSLATE(M2455,""en"",""pt""))"),"Receber e servir pedidos de comida e bebida no clube e nas instalações de alimentação, utilizando bandejas, suportes rápidos e carrinhos utilitários; realizar atividades de montagem e limpeza de alimentos e outras tarefas diversas, incluindo preparar mesa"&amp;"s para refeições e organizar itens como toalhas de mesa, talheres e copos; limpar mesas, retirar pratos e copos de mesas e balcões e levá-los para a cozinha para lavagem, e organizar a estação de serviço. Pode ser necessário desempenhar funções em ambient"&amp;"es externos e em eventos e festas realizados no clube e nas instalações de alimentação, servindo comida e bebida aos convidados utilizando carrinhos utilitários e movendo mesas com carrinhos de transporte; e pode ser necessário servir clientes utilizando "&amp;"carrinhos de golfe. Classificação do Cargo: 35-3031.00 - Garçons e Garçonetes. A classificação e descrição do cargo/setor inclui informações gerais sobre a posição, de acordo com o ONET/OES e o Sistema de Classificação Industrial da América do Norte. Cons"&amp;"ulte as Funções e a Ordem de Serviço para obter mais informações. Requisitos do Cargo: Experiência Necessária: Não. Requisitos Especiais: Aprovação na verificação de antecedentes criminais pré-emprego; Capacidade de se comunicar em inglês; teste antidroga"&amp;"s pós-emprego. O empregador exige que a verificação policial pré-admissional e o teste antidrogas pós-admissional sejam realizados igualmente para os trabalhadores americanos e os trabalhadores com visto H-2B. *Continuação da Seção F.A.5 da ETA 9142 acima"&amp;": 40 horas semanais consistirão em turnos de 8 horas que podem variar conforme a necessidade, ao longo dos 7 dias da semana. Os turnos podem variar das 6h às 23h. Número de horas por semana: 40. Horário de trabalho (início/término): 9h às 18h.")</f>
        <v>Receber e servir pedidos de comida e bebida no clube e nas instalações de alimentação, utilizando bandejas, suportes rápidos e carrinhos utilitários; realizar atividades de montagem e limpeza de alimentos e outras tarefas diversas, incluindo preparar mesas para refeições e organizar itens como toalhas de mesa, talheres e copos; limpar mesas, retirar pratos e copos de mesas e balcões e levá-los para a cozinha para lavagem, e organizar a estação de serviço. Pode ser necessário desempenhar funções em ambientes externos e em eventos e festas realizados no clube e nas instalações de alimentação, servindo comida e bebida aos convidados utilizando carrinhos utilitários e movendo mesas com carrinhos de transporte; e pode ser necessário servir clientes utilizando carrinhos de golfe. Classificação do Cargo: 35-3031.00 - Garçons e Garçonetes. A classificação e descrição do cargo/setor inclui informações gerais sobre a posição, de acordo com o ONET/OES e o Sistema de Classificação Industrial da América do Norte. Consulte as Funções e a Ordem de Serviço para obter mais informações. Requisitos do Cargo: Experiência Necessária: Não. Requisitos Especiais: Aprovação na verificação de antecedentes criminais pré-emprego; Capacidade de se comunicar em inglês; teste antidrogas pós-emprego. O empregador exige que a verificação policial pré-admissional e o teste antidrogas pós-admissional sejam realizados igualmente para os trabalhadores americanos e os trabalhadores com visto H-2B. *Continuação da Seção F.A.5 da ETA 9142 acima: 40 horas semanais consistirão em turnos de 8 horas que podem variar conforme a necessidade, ao longo dos 7 dias da semana. Os turnos podem variar das 6h às 23h. Número de horas por semana: 40. Horário de trabalho (início/término): 9h às 18h.</v>
      </c>
    </row>
    <row r="2456" ht="20.25" customHeight="1">
      <c r="A2456" s="3" t="s">
        <v>10713</v>
      </c>
      <c r="B2456" s="3" t="s">
        <v>10703</v>
      </c>
      <c r="C2456" s="3" t="s">
        <v>10508</v>
      </c>
      <c r="D2456" s="3" t="s">
        <v>71</v>
      </c>
      <c r="E2456" s="4" t="s">
        <v>19</v>
      </c>
      <c r="F2456" s="4" t="s">
        <v>20</v>
      </c>
      <c r="G2456" s="4" t="s">
        <v>377</v>
      </c>
      <c r="H2456" s="3" t="s">
        <v>10704</v>
      </c>
      <c r="I2456" s="3" t="s">
        <v>10705</v>
      </c>
      <c r="J2456" s="4">
        <v>20.5</v>
      </c>
      <c r="K2456" s="4">
        <v>23.0</v>
      </c>
      <c r="L2456" s="3" t="s">
        <v>1206</v>
      </c>
      <c r="M2456" s="3" t="s">
        <v>10714</v>
      </c>
      <c r="N2456" s="7" t="str">
        <f>IFERROR(__xludf.DUMMYFUNCTION("GOOGLETRANSLATE(L2456, ""en"", ""pt"")"),"Servidor")</f>
        <v>Servidor</v>
      </c>
      <c r="O2456" s="7" t="str">
        <f>IFERROR(__xludf.DUMMYFUNCTION("IF(M2456="""","""",GOOGLETRANSLATE(M2456,""en"",""pt""))"),"Receber e servir pedidos de comida e bebida no clube e nas instalações de refeições, utilizando bandejas, suportes rápidos e carrinhos utilitários; realizar atividades de montagem e limpeza de alimentos e outras atividades diversas, incluindo preparar mes"&amp;"as para refeições e organizar itens como toalhas de mesa, talheres e copos; limpar mesas, retirar pratos e copos de mesas e balcões e levá-los para a cozinha para lavagem, e organizar a estação de serviço. Pode ser necessário desempenhar funções em ambien"&amp;"tes externos e em eventos e festas realizados no clube e nas instalações de refeições para servir comida e bebida aos convidados utilizando carrinhos utilitários e mover mesas utilizando carrinhos de transporte; e pode ser necessário servir clientes utili"&amp;"zando carrinho de golfe. Classificação do Cargo: 35-3031.00 - Garçons e Garçonetes. A classificação e descrição do cargo/setor inclui informações gerais sobre a posição de acordo com o ONET/OES e o Sistema de Classificação Industrial da América do Norte. "&amp;"Consulte as Funções e a Ordem de Serviço para obter mais informações. Requisitos do Cargo Experiência Necessária: Sim Meses de Experiência Necessários: 3 Requisitos Especiais: Aprovação na verificação policial pré-emprego; Capacidade de se comunicar em in"&amp;"glês; Teste antidrogas pós-emprego. O empregador exige que a verificação policial pré-emprego e o teste antidrogas pós-emprego sejam realizados igualmente para os trabalhadores americanos e os trabalhadores com visto H-2B. *Continuação da Seção F.A.5 da E"&amp;"TA 9142 acima: 40 horas semanais consistirão em turnos de 8 horas que podem variar conforme a necessidade, ao longo de 7 dias da semana. Os turnos podem variar das 6h às 23h. Número de horas por semana: 40. Horário de trabalho (início/término): 9h às 18h.")</f>
        <v>Receber e servir pedidos de comida e bebida no clube e nas instalações de refeições, utilizando bandejas, suportes rápidos e carrinhos utilitários; realizar atividades de montagem e limpeza de alimentos e outras atividades diversas, incluindo preparar mesas para refeições e organizar itens como toalhas de mesa, talheres e copos; limpar mesas, retirar pratos e copos de mesas e balcões e levá-los para a cozinha para lavagem, e organizar a estação de serviço. Pode ser necessário desempenhar funções em ambientes externos e em eventos e festas realizados no clube e nas instalações de refeições para servir comida e bebida aos convidados utilizando carrinhos utilitários e mover mesas utilizando carrinhos de transporte; e pode ser necessário servir clientes utilizando carrinho de golfe. Classificação do Cargo: 35-3031.00 - Garçons e Garçonetes. A classificação e descrição do cargo/setor inclui informações gerais sobre a posição de acordo com o ONET/OES e o Sistema de Classificação Industrial da América do Norte. Consulte as Funções e a Ordem de Serviço para obter mais informações. Requisitos do Cargo Experiência Necessária: Sim Meses de Experiência Necessários: 3 Requisitos Especiais: Aprovação na verificação policial pré-emprego; Capacidade de se comunicar em inglês; Teste antidrogas pós-emprego. O empregador exige que a verificação policial pré-emprego e o teste antidrogas pós-emprego sejam realizados igualmente para os trabalhadores americanos e os trabalhadores com visto H-2B. *Continuação da Seção F.A.5 da ETA 9142 acima: 40 horas semanais consistirão em turnos de 8 horas que podem variar conforme a necessidade, ao longo de 7 dias da semana. Os turnos podem variar das 6h às 23h. Número de horas por semana: 40. Horário de trabalho (início/término): 9h às 18h.</v>
      </c>
    </row>
    <row r="2457" ht="20.25" customHeight="1">
      <c r="A2457" s="8" t="s">
        <v>10715</v>
      </c>
      <c r="B2457" s="8" t="s">
        <v>10703</v>
      </c>
      <c r="C2457" s="8" t="s">
        <v>10508</v>
      </c>
      <c r="D2457" s="8" t="s">
        <v>71</v>
      </c>
      <c r="E2457" s="9" t="s">
        <v>44</v>
      </c>
      <c r="F2457" s="9" t="s">
        <v>20</v>
      </c>
      <c r="G2457" s="9" t="s">
        <v>377</v>
      </c>
      <c r="H2457" s="8" t="s">
        <v>10704</v>
      </c>
      <c r="I2457" s="8" t="s">
        <v>10705</v>
      </c>
      <c r="J2457" s="9">
        <v>17.91</v>
      </c>
      <c r="K2457" s="9">
        <v>22.0</v>
      </c>
      <c r="L2457" s="8" t="s">
        <v>3312</v>
      </c>
      <c r="M2457" s="8" t="s">
        <v>10716</v>
      </c>
      <c r="N2457" s="7" t="str">
        <f>IFERROR(__xludf.DUMMYFUNCTION("GOOGLETRANSLATE(L2457, ""en"", ""pt"")"),"Anfitrião/anfitriã")</f>
        <v>Anfitrião/anfitriã</v>
      </c>
      <c r="O2457" s="7" t="str">
        <f>IFERROR(__xludf.DUMMYFUNCTION("IF(M2457="""","""",GOOGLETRANSLATE(M2457,""en"",""pt""))"),"Recepciona, acompanha e entrega os cardápios aos clientes; auxilia em tarefas diversas de limpeza/polimento, etc., conforme necessário, incluindo limpeza básica na área de refeições/restaurantes, limpeza de cardápios e organização de mesas e talheres. Cla"&amp;"ssificação da vaga: 35-9011.00 - Atendentes de Salão e Cafeteria e Auxiliares de Bar. A classificação e descrição da vaga/setor incluem informações gerais sobre o cargo, de acordo com o ONET/OES e o Sistema de Classificação Industrial da América do Norte "&amp;"(NAICS). Consulte as Funções e a Ordem de Serviço para obter mais informações. Requisitos da vaga: Experiência exigida: Não. Requisitos especiais: Aprovação na verificação de antecedentes criminais pré-admissional; capacidade de se comunicar em inglês; te"&amp;"ste toxicológico pós-admissional. O empregador exige que a verificação de antecedentes criminais pré-admissional e o teste toxicológico pós-admissional sejam realizados igualmente para trabalhadores americanos e trabalhadores com visto H-2B. *Continuação "&amp;"da Seção F.A.5 da ETA 9142 acima: 40 horas semanais consistirão em turnos de 8 horas que podem variar conforme a necessidade, ao longo de 7 dias da semana. Os turnos podem variar das 6h às 23h. Número de horas por semana: 40. Horário de trabalho (início/t"&amp;"érmino): 9h às 18h.")</f>
        <v>Recepciona, acompanha e entrega os cardápios aos clientes; auxilia em tarefas diversas de limpeza/polimento, etc., conforme necessário, incluindo limpeza básica na área de refeições/restaurantes, limpeza de cardápios e organização de mesas e talheres. Classificação da vaga: 35-9011.00 - Atendentes de Salão e Cafeteria e Auxiliares de Bar. A classificação e descrição da vaga/setor incluem informações gerais sobre o cargo, de acordo com o ONET/OES e o Sistema de Classificação Industrial da América do Norte (NAICS). Consulte as Funções e a Ordem de Serviço para obter mais informações. Requisitos da vaga: Experiência exigida: Não. Requisitos especiais: Aprovação na verificação de antecedentes criminais pré-admissional; capacidade de se comunicar em inglês; teste toxicológico pós-admissional. O empregador exige que a verificação de antecedentes criminais pré-admissional e o teste toxicológico pós-admissional sejam realizados igualmente para trabalhadores americanos e trabalhadores com visto H-2B. *Continuação da Seção F.A.5 da ETA 9142 acima: 40 horas semanais consistirão em turnos de 8 horas que podem variar conforme a necessidade, ao longo de 7 dias da semana. Os turnos podem variar das 6h às 23h. Número de horas por semana: 40. Horário de trabalho (início/término): 9h às 18h.</v>
      </c>
    </row>
    <row r="2458" ht="20.25" customHeight="1">
      <c r="A2458" s="3" t="s">
        <v>10717</v>
      </c>
      <c r="B2458" s="3" t="s">
        <v>10703</v>
      </c>
      <c r="C2458" s="3" t="s">
        <v>10508</v>
      </c>
      <c r="D2458" s="3" t="s">
        <v>71</v>
      </c>
      <c r="E2458" s="4" t="s">
        <v>44</v>
      </c>
      <c r="F2458" s="4" t="s">
        <v>20</v>
      </c>
      <c r="G2458" s="4" t="s">
        <v>377</v>
      </c>
      <c r="H2458" s="3" t="s">
        <v>10704</v>
      </c>
      <c r="I2458" s="3" t="s">
        <v>10705</v>
      </c>
      <c r="J2458" s="4">
        <v>16.01</v>
      </c>
      <c r="K2458" s="4">
        <v>11.0</v>
      </c>
      <c r="L2458" s="3" t="s">
        <v>354</v>
      </c>
      <c r="M2458" s="3" t="s">
        <v>10718</v>
      </c>
      <c r="N2458" s="7" t="str">
        <f>IFERROR(__xludf.DUMMYFUNCTION("GOOGLETRANSLATE(L2458, ""en"", ""pt"")"),"Governanta")</f>
        <v>Governanta</v>
      </c>
      <c r="O2458" s="7" t="str">
        <f>IFERROR(__xludf.DUMMYFUNCTION("IF(M2458="""","""",GOOGLETRANSLATE(M2458,""en"",""pt""))"),"Limpar áreas comuns do clube, como saguão, cozinha, corredores, escritórios, restaurantes, quartos e banheiros, utilizando vassouras, esfregões e aspiradores de pó. Empilhar e organizar louças e talheres. Tirar o pó, lavar o chão, aspirar tapetes e carpet"&amp;"es, polir móveis e recolher o lixo/roupas de cama e banho. Classificação da vaga: 37-2012.00 - Empregadas Domésticas e Auxiliares de Limpeza. A classificação e descrição da vaga/setor incluem informações gerais sobre o cargo, de acordo com o ONET/OES e o "&amp;"Sistema de Classificação Industrial da América do Norte. Consulte as Funções e a Ordem de Serviço para obter mais informações. Requisitos da vaga: Experiência exigida: Não. Requisitos especiais: Aprovação na verificação de antecedentes criminais pré-admis"&amp;"sional; Capacidade de se comunicar em inglês; teste toxicológico pós-admissional. O empregador exige que a verificação de antecedentes criminais pré-admissional e o teste toxicológico pós-admissional sejam realizados igualmente para trabalhadores american"&amp;"os e trabalhadores com visto H-2B. *Continuação da Seção F.A.5 da ETA 9142 acima: 40 horas semanais consistirão em turnos de 8 horas que podem variar conforme a necessidade, ao longo de 7 dias da semana. Os turnos podem variar das 6h às 23h. Número de hor"&amp;"as por semana: 40. Horário de trabalho (início/término): 9h às 18h.")</f>
        <v>Limpar áreas comuns do clube, como saguão, cozinha, corredores, escritórios, restaurantes, quartos e banheiros, utilizando vassouras, esfregões e aspiradores de pó. Empilhar e organizar louças e talheres. Tirar o pó, lavar o chão, aspirar tapetes e carpetes, polir móveis e recolher o lixo/roupas de cama e banho. Classificação da vaga: 37-2012.00 - Empregadas Domésticas e Auxiliares de Limpeza. A classificação e descrição da vaga/setor incluem informações gerais sobre o cargo, de acordo com o ONET/OES e o Sistema de Classificação Industrial da América do Norte. Consulte as Funções e a Ordem de Serviço para obter mais informações. Requisitos da vaga: Experiência exigida: Não. Requisitos especiais: Aprovação na verificação de antecedentes criminais pré-admissional; Capacidade de se comunicar em inglês; teste toxicológico pós-admissional. O empregador exige que a verificação de antecedentes criminais pré-admissional e o teste toxicológico pós-admissional sejam realizados igualmente para trabalhadores americanos e trabalhadores com visto H-2B. *Continuação da Seção F.A.5 da ETA 9142 acima: 40 horas semanais consistirão em turnos de 8 horas que podem variar conforme a necessidade, ao longo de 7 dias da semana. Os turnos podem variar das 6h às 23h. Número de horas por semana: 40. Horário de trabalho (início/término): 9h às 18h.</v>
      </c>
    </row>
    <row r="2459" ht="20.25" customHeight="1">
      <c r="A2459" s="8" t="s">
        <v>10719</v>
      </c>
      <c r="B2459" s="8" t="s">
        <v>10703</v>
      </c>
      <c r="C2459" s="8" t="s">
        <v>10508</v>
      </c>
      <c r="D2459" s="8" t="s">
        <v>71</v>
      </c>
      <c r="E2459" s="9" t="s">
        <v>44</v>
      </c>
      <c r="F2459" s="9" t="s">
        <v>20</v>
      </c>
      <c r="G2459" s="9" t="s">
        <v>377</v>
      </c>
      <c r="H2459" s="8" t="s">
        <v>10704</v>
      </c>
      <c r="I2459" s="8" t="s">
        <v>10705</v>
      </c>
      <c r="J2459" s="9">
        <v>17.0</v>
      </c>
      <c r="K2459" s="9">
        <v>68.0</v>
      </c>
      <c r="L2459" s="8" t="s">
        <v>2821</v>
      </c>
      <c r="M2459" s="8" t="s">
        <v>10720</v>
      </c>
      <c r="N2459" s="7" t="str">
        <f>IFERROR(__xludf.DUMMYFUNCTION("GOOGLETRANSLATE(L2459, ""en"", ""pt"")"),"Auxiliar de Recreação")</f>
        <v>Auxiliar de Recreação</v>
      </c>
      <c r="O2459" s="7" t="str">
        <f>IFERROR(__xludf.DUMMYFUNCTION("IF(M2459="""","""",GOOGLETRANSLATE(M2459,""en"",""pt""))"),"O funcionário poderá ser solicitado a desempenhar qualquer uma das seguintes funções: monitorar as atividades no campo de golfe, complexo de tênis, complexo aquático, spa e academia; prestar assistência administrativa aos membros, incluindo a verificação "&amp;"de cartões de membro, confirmação de reservas, organização de mercadorias e fornecimento de informações sobre as instalações; realizar a limpeza básica dos carrinhos de golfe, removendo detritos e limpando os tacos; e transportar os equipamentos/bolsas de"&amp;" golfe dos membros, bem como os próprios membros, dentro das instalações, dos automóveis até a sede do clube e vice-versa, utilizando carrinhos de golfe. Classificação da vaga: 39-3091.00 - Atendentes de Diversão e Recreação. A classificação e descrição d"&amp;"a vaga/setor incluem informações gerais sobre o cargo, de acordo com o ONET/OES e o Sistema de Classificação Industrial da América do Norte. Consulte as Funções e a Ordem de Serviço para obter mais informações. Requisitos da vaga: Experiência exigida: Não"&amp;". Requisitos especiais: Aprovação na verificação de antecedentes criminais pré-admissional; capacidade de se comunicar em inglês; teste antidrogas pós-admissional. O empregador exige que a verificação policial pré-admissional e o teste antidrogas pós-admi"&amp;"ssional sejam realizados igualmente para os trabalhadores americanos e os trabalhadores com visto H-2B. *Continuação da Seção F.A.5 da ETA 9142 acima: 40 horas semanais consistirão em turnos de 8 horas que podem variar conforme a necessidade, ao longo dos"&amp;" 7 dias da semana. Os turnos podem variar das 6h às 23h. Número de horas por semana: 40. Horário de trabalho (início/término): 9h às 18h.")</f>
        <v>O funcionário poderá ser solicitado a desempenhar qualquer uma das seguintes funções: monitorar as atividades no campo de golfe, complexo de tênis, complexo aquático, spa e academia; prestar assistência administrativa aos membros, incluindo a verificação de cartões de membro, confirmação de reservas, organização de mercadorias e fornecimento de informações sobre as instalações; realizar a limpeza básica dos carrinhos de golfe, removendo detritos e limpando os tacos; e transportar os equipamentos/bolsas de golfe dos membros, bem como os próprios membros, dentro das instalações, dos automóveis até a sede do clube e vice-versa, utilizando carrinhos de golfe. Classificação da vaga: 39-3091.00 - Atendentes de Diversão e Recreação. A classificação e descrição da vaga/setor incluem informações gerais sobre o cargo, de acordo com o ONET/OES e o Sistema de Classificação Industrial da América do Norte. Consulte as Funções e a Ordem de Serviço para obter mais informações. Requisitos da vaga: Experiência exigida: Não. Requisitos especiais: Aprovação na verificação de antecedentes criminais pré-admissional; capacidade de se comunicar em inglês; teste antidrogas pós-admissional. O empregador exige que a verificação policial pré-admissional e o teste antidrogas pós-admissional sejam realizados igualmente para os trabalhadores americanos e os trabalhadores com visto H-2B. *Continuação da Seção F.A.5 da ETA 9142 acima: 40 horas semanais consistirão em turnos de 8 horas que podem variar conforme a necessidade, ao longo dos 7 dias da semana. Os turnos podem variar das 6h às 23h. Número de horas por semana: 40. Horário de trabalho (início/término): 9h às 18h.</v>
      </c>
    </row>
    <row r="2460" ht="20.25" customHeight="1">
      <c r="A2460" s="3" t="s">
        <v>10721</v>
      </c>
      <c r="B2460" s="3" t="s">
        <v>10703</v>
      </c>
      <c r="C2460" s="3" t="s">
        <v>10508</v>
      </c>
      <c r="D2460" s="3" t="s">
        <v>71</v>
      </c>
      <c r="E2460" s="4" t="s">
        <v>44</v>
      </c>
      <c r="F2460" s="4" t="s">
        <v>20</v>
      </c>
      <c r="G2460" s="4" t="s">
        <v>377</v>
      </c>
      <c r="H2460" s="3" t="s">
        <v>10704</v>
      </c>
      <c r="I2460" s="3" t="s">
        <v>10705</v>
      </c>
      <c r="J2460" s="4">
        <v>17.91</v>
      </c>
      <c r="K2460" s="4">
        <v>91.0</v>
      </c>
      <c r="L2460" s="3" t="s">
        <v>5135</v>
      </c>
      <c r="M2460" s="3" t="s">
        <v>10722</v>
      </c>
      <c r="N2460" s="7" t="str">
        <f>IFERROR(__xludf.DUMMYFUNCTION("GOOGLETRANSLATE(L2460, ""en"", ""pt"")"),"Assistente de Garçom")</f>
        <v>Assistente de Garçom</v>
      </c>
      <c r="O2460" s="7" t="str">
        <f>IFERROR(__xludf.DUMMYFUNCTION("IF(M2460="""","""",GOOGLETRANSLATE(M2460,""en"",""pt""))"),"Auxiliar os garçons levando bebidas às mesas, reabastecendo as bebidas, recolhendo talheres/louças usados; limpando as áreas de serviço e os equipamentos; abastecendo todos os utensílios e equipamentos necessários para o serviço. Classificação do Cargo: 3"&amp;"5-9011.00 - Atendentes de Salão e Cafeteria e Auxiliares de Bar. A classificação e descrição do cargo/setor inclui informações gerais sobre a posição, de acordo com o ONET/OES e o Sistema de Classificação Industrial da América do Norte. Consulte as Funçõe"&amp;"s e a Ordem de Serviço para obter mais informações. Requisitos do Cargo Experiência Necessária: Não. Requisitos Especiais: Aprovação na verificação policial pré-admissional; Capacidade de se comunicar em inglês; teste antidrogas pós-admissional. O emprega"&amp;"dor exige que a verificação policial pré-admissional e o teste antidrogas pós-admissional sejam realizados igualmente entre os trabalhadores americanos e os trabalhadores com visto H-2B. *Continuação da Seção F.A.5 do ETA 9142 acima: 40 horas semanais con"&amp;"sistirão em turnos de 8 horas que podem variar conforme a necessidade, ao longo dos 7 dias da semana. Os turnos podem variar das 6h às 23h. Número de horas por semana: 40. Horário de trabalho (início/término): 21h às 18h.")</f>
        <v>Auxiliar os garçons levando bebidas às mesas, reabastecendo as bebidas, recolhendo talheres/louças usados; limpando as áreas de serviço e os equipamentos; abastecendo todos os utensílios e equipamentos necessários para o serviço. Classificação do Cargo: 35-9011.00 - Atendentes de Salão e Cafeteria e Auxiliares de Bar. A classificação e descrição do cargo/setor inclui informações gerais sobre a posição, de acordo com o ONET/OES e o Sistema de Classificação Industrial da América do Norte. Consulte as Funções e a Ordem de Serviço para obter mais informações. Requisitos do Cargo Experiência Necessária: Não. Requisitos Especiais: Aprovação na verificação policial pré-admissional; Capacidade de se comunicar em inglês; teste antidrogas pós-admissional. O empregador exige que a verificação policial pré-admissional e o teste antidrogas pós-admissional sejam realizados igualmente entre os trabalhadores americanos e os trabalhadores com visto H-2B. *Continuação da Seção F.A.5 do ETA 9142 acima: 40 horas semanais consistirão em turnos de 8 horas que podem variar conforme a necessidade, ao longo dos 7 dias da semana. Os turnos podem variar das 6h às 23h. Número de horas por semana: 40. Horário de trabalho (início/término): 21h às 18h.</v>
      </c>
    </row>
    <row r="2461" ht="20.25" customHeight="1">
      <c r="A2461" s="8" t="s">
        <v>10723</v>
      </c>
      <c r="B2461" s="8" t="s">
        <v>10703</v>
      </c>
      <c r="C2461" s="8" t="s">
        <v>10508</v>
      </c>
      <c r="D2461" s="8" t="s">
        <v>71</v>
      </c>
      <c r="E2461" s="9" t="s">
        <v>44</v>
      </c>
      <c r="F2461" s="9" t="s">
        <v>20</v>
      </c>
      <c r="G2461" s="9" t="s">
        <v>377</v>
      </c>
      <c r="H2461" s="8" t="s">
        <v>10704</v>
      </c>
      <c r="I2461" s="8" t="s">
        <v>10705</v>
      </c>
      <c r="J2461" s="9">
        <v>23.0</v>
      </c>
      <c r="K2461" s="9">
        <v>20.0</v>
      </c>
      <c r="L2461" s="8" t="s">
        <v>4654</v>
      </c>
      <c r="M2461" s="8" t="s">
        <v>10701</v>
      </c>
      <c r="N2461" s="7" t="str">
        <f>IFERROR(__xludf.DUMMYFUNCTION("GOOGLETRANSLATE(L2461, ""en"", ""pt"")"),"Capitão do servidor")</f>
        <v>Capitão do servidor</v>
      </c>
      <c r="O2461" s="7" t="str">
        <f>IFERROR(__xludf.DUMMYFUNCTION("IF(M2461="""","""",GOOGLETRANSLATE(M2461,""en"",""pt""))"),"Supervisionar a equipe de atendimento durante a preparação, o serviço e a limpeza; treinar novos garçons no salão; construir e manter um bom relacionamento com os membros do clube; assumir funções de garçom quando necessário, principalmente no atendimento"&amp;" a convidados de honra e VIPs; ser um exemplo a ser seguido e garantir o mais alto nível de serviço prestado pela equipe de atendimento do clube. Supervisionar aproximadamente 20 pessoas. Classificação da vaga: 35-1012.00 - Supervisores de Primeira Linha "&amp;"de Preparadores e Servidores de Alimentos. A classificação e a descrição da vaga/setor incluem informações gerais sobre o cargo, de acordo com o ONET/OES e o Sistema de Classificação Industrial da América do Norte. Consulte as Funções e a Ordem de Serviço"&amp;" para obter mais informações. Requisitos da vaga: Experiência exigida: Sim. Meses de experiência exigidos: 6. Requisitos especiais: Aprovação na verificação de antecedentes criminais pré-admissional; capacidade de se comunicar em inglês; teste toxicológic"&amp;"o pós-admissional. O empregador exige que a verificação de antecedentes criminais pré-admissional e o teste toxicológico pós-admissional sejam realizados igualmente para trabalhadores americanos e trabalhadores com visto H-2B. *Continuação da Seção F.A.5 "&amp;"da ETA 9142 acima: 40 horas semanais consistirão em turnos de 8 horas que podem variar conforme a necessidade, ao longo de 7 dias da semana. Os turnos podem variar das 6h às 23h. Número de horas por semana: 40. Horário de trabalho (início/término): 9h às "&amp;"18h.")</f>
        <v>Supervisionar a equipe de atendimento durante a preparação, o serviço e a limpeza; treinar novos garçons no salão; construir e manter um bom relacionamento com os membros do clube; assumir funções de garçom quando necessário, principalmente no atendimento a convidados de honra e VIPs; ser um exemplo a ser seguido e garantir o mais alto nível de serviço prestado pela equipe de atendimento do clube. Supervisionar aproximadamente 20 pessoas. Classificação da vaga: 35-1012.00 - Supervisores de Primeira Linha de Preparadores e Servidores de Alimentos. A classificação e a descrição da vaga/setor incluem informações gerais sobre o cargo, de acordo com o ONET/OES e o Sistema de Classificação Industrial da América do Norte. Consulte as Funções e a Ordem de Serviço para obter mais informações. Requisitos da vaga: Experiência exigida: Sim. Meses de experiência exigidos: 6. Requisitos especiais: Aprovação na verificação de antecedentes criminais pré-admissional; capacidade de se comunicar em inglês; teste toxicológico pós-admissional. O empregador exige que a verificação de antecedentes criminais pré-admissional e o teste toxicológico pós-admissional sejam realizados igualmente para trabalhadores americanos e trabalhadores com visto H-2B. *Continuação da Seção F.A.5 da ETA 9142 acima: 40 horas semanais consistirão em turnos de 8 horas que podem variar conforme a necessidade, ao longo de 7 dias da semana. Os turnos podem variar das 6h às 23h. Número de horas por semana: 40. Horário de trabalho (início/término): 9h às 18h.</v>
      </c>
    </row>
    <row r="2462" ht="20.25" customHeight="1">
      <c r="A2462" s="3" t="s">
        <v>10724</v>
      </c>
      <c r="B2462" s="3" t="s">
        <v>10725</v>
      </c>
      <c r="C2462" s="3" t="s">
        <v>10726</v>
      </c>
      <c r="D2462" s="3" t="s">
        <v>254</v>
      </c>
      <c r="E2462" s="4" t="s">
        <v>19</v>
      </c>
      <c r="F2462" s="4" t="s">
        <v>20</v>
      </c>
      <c r="G2462" s="4" t="s">
        <v>377</v>
      </c>
      <c r="H2462" s="3" t="s">
        <v>10727</v>
      </c>
      <c r="I2462" s="3" t="s">
        <v>10728</v>
      </c>
      <c r="J2462" s="4">
        <v>14.62</v>
      </c>
      <c r="K2462" s="4">
        <v>2.0</v>
      </c>
      <c r="L2462" s="3" t="s">
        <v>387</v>
      </c>
      <c r="M2462" s="3" t="s">
        <v>10729</v>
      </c>
      <c r="N2462" s="7" t="str">
        <f>IFERROR(__xludf.DUMMYFUNCTION("GOOGLETRANSLATE(L2462, ""en"", ""pt"")"),"Ordem de serviço não disponível")</f>
        <v>Ordem de serviço não disponível</v>
      </c>
      <c r="O2462" s="7" t="str">
        <f>IFERROR(__xludf.DUMMYFUNCTION("IF(M2462="""","""",GOOGLETRANSLATE(M2462,""en"",""pt""))"),"Cozinheiros preparam, temperam e cozinham pratos como sopas, legumes, carnes e sobremesas em restaurantes. Garantem a consistência, a qualidade e a segurança dos alimentos para nossos clientes. Realizam a manutenção e limpeza diárias da cozinha e dos equi"&amp;"pamentos, como lava-louças, grelha, fritadeira, churrasqueira, refrigeradores, etc. Pesam e porcionam os alimentos. Classificação da vaga: 37-2011.00 - Zeladores e Faxineiros, exceto empregadas domésticas e auxiliares de limpeza. A classificação e a descr"&amp;"ição da vaga/setor incluem informações gerais sobre o cargo, de acordo com o ONET/OES e o Sistema de Classificação Industrial da América do Norte. Consulte as Funções e a Ordem de Serviço para obter mais informações. Requisitos da vaga: Experiência necess"&amp;"ária: Não. Requisitos especiais: Capacidade e disposição para seguir instruções e trabalhar em pé por muitas horas. O empregador oferecerá pelo menos 40 horas de trabalho por semana, de domingo a sábado, entre 10h e 14h e entre 16h e 20h, com folgas variá"&amp;"veis. Número de horas por semana: 40 Horário de trabalho (início/término): 10:00 - 16:00")</f>
        <v>Cozinheiros preparam, temperam e cozinham pratos como sopas, legumes, carnes e sobremesas em restaurantes. Garantem a consistência, a qualidade e a segurança dos alimentos para nossos clientes. Realizam a manutenção e limpeza diárias da cozinha e dos equipamentos, como lava-louças, grelha, fritadeira, churrasqueira, refrigeradores, etc. Pesam e porcionam os alimentos. Classificação da vaga: 37-2011.00 - Zeladores e Faxineiros, exceto empregadas domésticas e auxiliares de limpeza. A classificação e a descrição da vaga/setor incluem informações gerais sobre o cargo, de acordo com o ONET/OES e o Sistema de Classificação Industrial da América do Norte. Consulte as Funções e a Ordem de Serviço para obter mais informações. Requisitos da vaga: Experiência necessária: Não. Requisitos especiais: Capacidade e disposição para seguir instruções e trabalhar em pé por muitas horas. O empregador oferecerá pelo menos 40 horas de trabalho por semana, de domingo a sábado, entre 10h e 14h e entre 16h e 20h, com folgas variáveis. Número de horas por semana: 40 Horário de trabalho (início/término): 10:00 - 16:00</v>
      </c>
    </row>
    <row r="2463" ht="20.25" customHeight="1">
      <c r="A2463" s="8" t="s">
        <v>10730</v>
      </c>
      <c r="B2463" s="8" t="s">
        <v>10731</v>
      </c>
      <c r="C2463" s="8" t="s">
        <v>10726</v>
      </c>
      <c r="D2463" s="8" t="s">
        <v>55</v>
      </c>
      <c r="E2463" s="9" t="s">
        <v>19</v>
      </c>
      <c r="F2463" s="9" t="s">
        <v>20</v>
      </c>
      <c r="G2463" s="9" t="s">
        <v>377</v>
      </c>
      <c r="H2463" s="8" t="s">
        <v>10732</v>
      </c>
      <c r="I2463" s="8" t="s">
        <v>10733</v>
      </c>
      <c r="J2463" s="9">
        <v>15.95</v>
      </c>
      <c r="K2463" s="9">
        <v>3.0</v>
      </c>
      <c r="L2463" s="8" t="s">
        <v>10356</v>
      </c>
      <c r="M2463" s="8" t="s">
        <v>10734</v>
      </c>
      <c r="N2463" s="7" t="str">
        <f>IFERROR(__xludf.DUMMYFUNCTION("GOOGLETRANSLATE(L2463, ""en"", ""pt"")"),"Garçom")</f>
        <v>Garçom</v>
      </c>
      <c r="O2463" s="7" t="str">
        <f>IFERROR(__xludf.DUMMYFUNCTION("IF(M2463="""","""",GOOGLETRANSLATE(M2463,""en"",""pt""))"),"***Resposta à Solicitação de Informações*** As referências a varrer, passar pano e limpar/tirar o pó de móveis e acessórios dizem respeito a ""tarefas secundárias"" para os garçons, que incluem a organização rotineira e localizada da estação de mesa e do "&amp;"balcão de atendimento designados a cada garçom. Essas são tarefas menores e ocasionais, geralmente realizadas no início ou no final do turno, ou quando um cliente solicita a limpeza de algo devido a um derramamento. Limpar móveis e tirar o pó se refere si"&amp;"mplesmente a passar desinfetante em mesas e cadeiras antes ou depois de os clientes se sentarem, para garantir um ambiente limpo, ou a uma limpeza superficial das áreas de serviço imediato (como o balcão de atendimento) durante a abertura ou o fechamento "&amp;"do estabelecimento. Varrer e passar pano se limita estritamente à limpeza localizada embaixo e ao redor das mesas designadas a cada garçom, caso um cliente derrame comida ou bebida durante o serviço. A grande maioria do tempo do funcionário é dedicada às "&amp;"funções tradicionais de garçom/garçonete. O funcionário não realizará limpezas pesadas, profundas ou manutenção geral do estabelecimento. O empregador contrata funcionários dedicados ou serviços comerciais para tarefas de limpeza, como limpeza profunda da"&amp;" cozinha, lavagem de pisos, esvaziamento de contêineres de lixo comerciais ou manutenção de banheiros. As tarefas de limpeza do garçom se restringem estritamente à área de atendimento ao cliente, para garantir a limpeza imediata e os padrões de hospitalid"&amp;"ade. ***Original F.a.2*** Atendimento ao cliente na mesa, preparação de bebidas, pré e pós-limpeza (varrer, passar pano, tirar o pó/limpar móveis e acessórios), pré-preparação (abastecer as áreas de serviço com embalagens para viagem, copos, tampas, enche"&amp;"r recipientes de gelo, enrolar talheres), reposição de estoque (bar, molhos, nachos, cestas, forros); tarefas gerais de limpeza; retirar o lixo; trocar os sacos de lixo; encher e reabastecer bebidas; servir nachos e molhos; recepcionar e acomodar os clien"&amp;"tes; limpar as mesas e prepará-las para os próximos clientes; receber e embalar pedidos para viagem; receber pagamentos dos clientes. Classificação da Função: 35-3031.00 - Garçons e Garçonetes. A classificação e descrição da função/setor inclui informaçõe"&amp;"s gerais sobre o cargo, de acordo com o ONET/OES e o Sistema de Classificação Industrial da América do Norte (NAICS). Consulte as Funções e a Ordem de Serviço para obter mais informações. Requisitos da Função: Experiência Necessária: Não. Requisitos Espec"&amp;"iais: Capacidade de trabalhar em um ambiente muito dinâmico e exigente. Capacidade de levantar até 18 kg. Capacidade de trabalhar com agilidade e permanecer em pé por longos períodos. Disponibilidade para trabalhar durante a semana, fins de semana e feria"&amp;"dos. O empregador oferecerá pelo menos 40 horas de trabalho por semana, de domingo a sábado, entre 10h30 e 21h30, com folgas variáveis. A empresa não fornecerá alojamento, mas auxiliará os funcionários na busca por moradia, se necessário. Número de Horas "&amp;"por Semana: 40. Horário de Trabalho (Início/Término): 10h30 - 21h30.")</f>
        <v>***Resposta à Solicitação de Informações*** As referências a varrer, passar pano e limpar/tirar o pó de móveis e acessórios dizem respeito a "tarefas secundárias" para os garçons, que incluem a organização rotineira e localizada da estação de mesa e do balcão de atendimento designados a cada garçom. Essas são tarefas menores e ocasionais, geralmente realizadas no início ou no final do turno, ou quando um cliente solicita a limpeza de algo devido a um derramamento. Limpar móveis e tirar o pó se refere simplesmente a passar desinfetante em mesas e cadeiras antes ou depois de os clientes se sentarem, para garantir um ambiente limpo, ou a uma limpeza superficial das áreas de serviço imediato (como o balcão de atendimento) durante a abertura ou o fechamento do estabelecimento. Varrer e passar pano se limita estritamente à limpeza localizada embaixo e ao redor das mesas designadas a cada garçom, caso um cliente derrame comida ou bebida durante o serviço. A grande maioria do tempo do funcionário é dedicada às funções tradicionais de garçom/garçonete. O funcionário não realizará limpezas pesadas, profundas ou manutenção geral do estabelecimento. O empregador contrata funcionários dedicados ou serviços comerciais para tarefas de limpeza, como limpeza profunda da cozinha, lavagem de pisos, esvaziamento de contêineres de lixo comerciais ou manutenção de banheiros. As tarefas de limpeza do garçom se restringem estritamente à área de atendimento ao cliente, para garantir a limpeza imediata e os padrões de hospitalidade. ***Original F.a.2*** Atendimento ao cliente na mesa, preparação de bebidas, pré e pós-limpeza (varrer, passar pano, tirar o pó/limpar móveis e acessórios), pré-preparação (abastecer as áreas de serviço com embalagens para viagem, copos, tampas, encher recipientes de gelo, enrolar talheres), reposição de estoque (bar, molhos, nachos, cestas, forros); tarefas gerais de limpeza; retirar o lixo; trocar os sacos de lixo; encher e reabastecer bebidas; servir nachos e molhos; recepcionar e acomodar os clientes; limpar as mesas e prepará-las para os próximos clientes; receber e embalar pedidos para viagem; receber pagamentos dos clientes. Classificação da Função: 35-3031.00 - Garçons e Garçonetes. A classificação e descrição da função/setor inclui informações gerais sobre o cargo, de acordo com o ONET/OES e o Sistema de Classificação Industrial da América do Norte (NAICS). Consulte as Funções e a Ordem de Serviço para obter mais informações. Requisitos da Função: Experiência Necessária: Não. Requisitos Especiais: Capacidade de trabalhar em um ambiente muito dinâmico e exigente. Capacidade de levantar até 18 kg. Capacidade de trabalhar com agilidade e permanecer em pé por longos períodos. Disponibilidade para trabalhar durante a semana, fins de semana e feriados. O empregador oferecerá pelo menos 40 horas de trabalho por semana, de domingo a sábado, entre 10h30 e 21h30, com folgas variáveis. A empresa não fornecerá alojamento, mas auxiliará os funcionários na busca por moradia, se necessário. Número de Horas por Semana: 40. Horário de Trabalho (Início/Término): 10h30 - 21h30.</v>
      </c>
    </row>
    <row r="2464" ht="20.25" customHeight="1">
      <c r="A2464" s="3" t="s">
        <v>10735</v>
      </c>
      <c r="B2464" s="3" t="s">
        <v>10736</v>
      </c>
      <c r="C2464" s="3" t="s">
        <v>10726</v>
      </c>
      <c r="D2464" s="3" t="s">
        <v>55</v>
      </c>
      <c r="E2464" s="4" t="s">
        <v>19</v>
      </c>
      <c r="F2464" s="4" t="s">
        <v>20</v>
      </c>
      <c r="G2464" s="4" t="s">
        <v>377</v>
      </c>
      <c r="H2464" s="3" t="s">
        <v>10737</v>
      </c>
      <c r="I2464" s="3" t="s">
        <v>10738</v>
      </c>
      <c r="J2464" s="4">
        <v>18.07</v>
      </c>
      <c r="K2464" s="4">
        <v>3.0</v>
      </c>
      <c r="L2464" s="3" t="s">
        <v>387</v>
      </c>
      <c r="M2464" s="3" t="s">
        <v>10739</v>
      </c>
      <c r="N2464" s="7" t="str">
        <f>IFERROR(__xludf.DUMMYFUNCTION("GOOGLETRANSLATE(L2464, ""en"", ""pt"")"),"Ordem de serviço não disponível")</f>
        <v>Ordem de serviço não disponível</v>
      </c>
      <c r="O2464" s="7" t="str">
        <f>IFERROR(__xludf.DUMMYFUNCTION("IF(M2464="""","""",GOOGLETRANSLATE(M2464,""en"",""pt""))"),"Cozinheiros preparam, temperam e cozinham pratos como sopas, legumes, carnes e sobremesas em restaurantes. Garantem a consistência, a qualidade e a segurança dos alimentos para nossos clientes. Realizam a manutenção e limpeza diárias da cozinha e dos equi"&amp;"pamentos, como lava-louças, grelha, fritadeira, churrasqueira, refrigeradores, etc. Pesam e porcionam os alimentos. Classificação da vaga: 35-2014.00 - Cozinheiros, Restaurante. A classificação e a descrição da vaga/setor incluem informações gerais sobre "&amp;"o cargo, de acordo com o ONET/OES e o Sistema de Classificação Industrial da América do Norte. Consulte as Funções e a Ordem de Serviço para obter mais informações. Requisitos da vaga: Experiência necessária: Não. Requisitos especiais: Capacidade e dispos"&amp;"ição para seguir instruções e trabalhar em pé por muitas horas. O empregador oferecerá pelo menos 40 horas de trabalho por semana, de domingo a sábado, entre 11h e 21h30, com folgas variáveis. Número de horas por semana: 40. Horário de trabalho (início/té"&amp;"rmino): 11h às 21h30.")</f>
        <v>Cozinheiros preparam, temperam e cozinham pratos como sopas, legumes, carnes e sobremesas em restaurantes. Garantem a consistência, a qualidade e a segurança dos alimentos para nossos clientes. Realizam a manutenção e limpeza diárias da cozinha e dos equipamentos, como lava-louças, grelha, fritadeira, churrasqueira, refrigeradores, etc. Pesam e porcionam os alimentos. Classificação da vaga: 35-2014.00 - Cozinheiros, Restaurante. A classificação e a descrição da vaga/setor incluem informações gerais sobre o cargo, de acordo com o ONET/OES e o Sistema de Classificação Industrial da América do Norte. Consulte as Funções e a Ordem de Serviço para obter mais informações. Requisitos da vaga: Experiência necessária: Não. Requisitos especiais: Capacidade e disposição para seguir instruções e trabalhar em pé por muitas horas. O empregador oferecerá pelo menos 40 horas de trabalho por semana, de domingo a sábado, entre 11h e 21h30, com folgas variáveis. Número de horas por semana: 40. Horário de trabalho (início/término): 11h às 21h30.</v>
      </c>
    </row>
    <row r="2465" ht="20.25" customHeight="1">
      <c r="A2465" s="8" t="s">
        <v>10740</v>
      </c>
      <c r="B2465" s="8" t="s">
        <v>10736</v>
      </c>
      <c r="C2465" s="8" t="s">
        <v>10726</v>
      </c>
      <c r="D2465" s="8" t="s">
        <v>55</v>
      </c>
      <c r="E2465" s="9" t="s">
        <v>19</v>
      </c>
      <c r="F2465" s="9" t="s">
        <v>20</v>
      </c>
      <c r="G2465" s="9" t="s">
        <v>377</v>
      </c>
      <c r="H2465" s="8" t="s">
        <v>10737</v>
      </c>
      <c r="I2465" s="8" t="s">
        <v>10738</v>
      </c>
      <c r="J2465" s="9">
        <v>15.95</v>
      </c>
      <c r="K2465" s="9">
        <v>3.0</v>
      </c>
      <c r="L2465" s="8" t="s">
        <v>1206</v>
      </c>
      <c r="M2465" s="8" t="s">
        <v>10741</v>
      </c>
      <c r="N2465" s="7" t="str">
        <f>IFERROR(__xludf.DUMMYFUNCTION("GOOGLETRANSLATE(L2465, ""en"", ""pt"")"),"Servidor")</f>
        <v>Servidor</v>
      </c>
      <c r="O2465" s="7" t="str">
        <f>IFERROR(__xludf.DUMMYFUNCTION("IF(M2465="""","""",GOOGLETRANSLATE(M2465,""en"",""pt""))"),"Receber e entregar os cardápios aos clientes; responder a perguntas sobre os itens do cardápio; anotar os pedidos de comida e bebida para transmitir à equipe da cozinha; garantir que os clientes estejam satisfeitos com as refeições e resolver quaisquer pr"&amp;"oblemas; verificar a identificação para a compra de bebidas alcoólicas; servir a comida aos clientes; preparar as contas discriminando o custo total da refeição e os impostos; receber os pagamentos dos clientes; retirar pratos e copos das mesas e limpá-la"&amp;"s após os clientes terminarem de comer; preparar e arrumar as mesas para as refeições; realizar outras tarefas de limpeza no restaurante conforme necessário, como limpar o chão, abastecer e organizar o balcão de atendimento, retirar o lixo e limpar as sup"&amp;"erfícies. Classificação da vaga: 35-3031.00 - Garçons e Garçonetes. A classificação e a descrição da vaga/setor incluem informações gerais sobre o cargo, de acordo com o ONET/OES e o Sistema de Classificação Industrial da América do Norte. Consulte as Fun"&amp;"ções e a Ordem de Serviço para obter mais informações. Requisitos da vaga: Experiência necessária: Não. Requisitos especiais: Capacidade e disposição para seguir instruções e trabalhar em pé por muitas horas. O empregador oferecerá pelo menos 40 horas de "&amp;"trabalho por semana, de domingo a sábado, entre as 11h e as 21h30, com folgas variáveis. Número de horas por semana: 40. Horário de trabalho (início/término): 11h às 21h30.")</f>
        <v>Receber e entregar os cardápios aos clientes; responder a perguntas sobre os itens do cardápio; anotar os pedidos de comida e bebida para transmitir à equipe da cozinha; garantir que os clientes estejam satisfeitos com as refeições e resolver quaisquer problemas; verificar a identificação para a compra de bebidas alcoólicas; servir a comida aos clientes; preparar as contas discriminando o custo total da refeição e os impostos; receber os pagamentos dos clientes; retirar pratos e copos das mesas e limpá-las após os clientes terminarem de comer; preparar e arrumar as mesas para as refeições; realizar outras tarefas de limpeza no restaurante conforme necessário, como limpar o chão, abastecer e organizar o balcão de atendimento, retirar o lixo e limpar as superfícies. Classificação da vaga: 35-3031.00 - Garçons e Garçonetes. A classificação e a descrição da vaga/setor incluem informações gerais sobre o cargo, de acordo com o ONET/OES e o Sistema de Classificação Industrial da América do Norte. Consulte as Funções e a Ordem de Serviço para obter mais informações. Requisitos da vaga: Experiência necessária: Não. Requisitos especiais: Capacidade e disposição para seguir instruções e trabalhar em pé por muitas horas. O empregador oferecerá pelo menos 40 horas de trabalho por semana, de domingo a sábado, entre as 11h e as 21h30, com folgas variáveis. Número de horas por semana: 40. Horário de trabalho (início/término): 11h às 21h30.</v>
      </c>
    </row>
    <row r="2466" ht="20.25" customHeight="1">
      <c r="A2466" s="3" t="s">
        <v>10742</v>
      </c>
      <c r="B2466" s="3" t="s">
        <v>10743</v>
      </c>
      <c r="C2466" s="3" t="s">
        <v>10744</v>
      </c>
      <c r="D2466" s="3" t="s">
        <v>79</v>
      </c>
      <c r="E2466" s="4" t="s">
        <v>19</v>
      </c>
      <c r="F2466" s="4" t="s">
        <v>20</v>
      </c>
      <c r="G2466" s="4" t="s">
        <v>3670</v>
      </c>
      <c r="H2466" s="3" t="s">
        <v>10745</v>
      </c>
      <c r="I2466" s="3" t="s">
        <v>10746</v>
      </c>
      <c r="J2466" s="4">
        <v>17.96</v>
      </c>
      <c r="K2466" s="4">
        <v>32.0</v>
      </c>
      <c r="L2466" s="3" t="s">
        <v>10747</v>
      </c>
      <c r="M2466" s="3" t="s">
        <v>10748</v>
      </c>
      <c r="N2466" s="7" t="str">
        <f>IFERROR(__xludf.DUMMYFUNCTION("GOOGLETRANSLATE(L2466, ""en"", ""pt"")"),"Mão de obra em um frigorífico")</f>
        <v>Mão de obra em um frigorífico</v>
      </c>
      <c r="O2466" s="7" t="str">
        <f>IFERROR(__xludf.DUMMYFUNCTION("IF(M2466="""","""",GOOGLETRANSLATE(M2466,""en"",""pt""))"),"O funcionário retirará as caixas formadas da máquina de formar caixas, colocando-as em uma esteira de caixas vazias. Os funcionários manterão as linhas de embalagem abastecidas com tampas de caixas, papel de embalagem, sacos para peras e prendedores para "&amp;"selar os sacos em esteiras de armazenamento de tamanho apropriado. Os funcionários abrirão paletes e colocarão o papelão nas lixeiras de reciclagem. Os funcionários serão designados para a limpeza das instalações, como varrer folhas de pera, remover exces"&amp;"so de papel de embalagem do chão, limpar mesas e recolher peras do chão da linha de embalagem. Os funcionários pesarão caixas de frutas, colocarão os materiais de embalagem nas linhas de embalagem, colocarão ""meias"" nas frutas, montarão as caixas, reemb"&amp;"alarão e empacotarão caixas de frutas, etiquetarão caixas, sacos e embalagens. O funcionário realizará tarefas de embalagem de frutas na unidade Diamond Odell &amp; Central. Quase todo o trabalho é feito na altura da cintura. O funcionário coloca a caixa vazi"&amp;"a no ""cavalete"" e, com uma mão, retira as frutas da esteira e, com a outra mão, as embrulha e coloca na caixa até que esteja cheia. Classificação da função: 53-7064.00 - Embaladores e empacotadores manuais. A classificação e descrição da função/setor in"&amp;"clui informações gerais sobre o cargo, conforme o ONET/OES e o Sistema de Classificação Industrial da América do Norte (NAICS). Consulte a descrição das funções e a ordem de serviço para obter mais informações. Requisitos da vaga Experiência necessária: N"&amp;"ão Requisitos especiais: Resistência: Sentado: Nunca Em pé: Continuamente por mais de 6 horas Caminhando: Ocasionalmente por 1 a 3 horas Requisitos físicos: Levantar: 0,5 a 4,5 kg Frequentemente por 3 a 6 horas 5 a 9 kg Intermitentemente por menos de 1 ho"&amp;"ra 9,5 a 22,5 kg Frequentemente por 3 a 6 horas 23 a 34 kg Improvável por 0 horas 34 a 45 kg Improvável por 0 horas Carregar: 0,5 a 4,5 kg Intermitentemente por menos de 4 horas 5 a 9 kg Ocasionalmente por menos de 4 horas 9,5 a 22,5 kg Improvável por 0 h"&amp;"oras 23 a 34 kg Improvável por 0 horas 34 a 45 kg Improvável por 0 horas Empurrar: 0,5 a 4,5 kg Ocasionalmente por 1 a 3 horas 5 a 9 kg Ocasionalmente por 1 a 4 horas 9,5 a 22,5 kg Improvável por 0 horas 51-75 lbs (23-34 kg) - improvável 0 h 76-100 lbs (3"&amp;"4-45 kg) - improvável 0 h Puxar: 1-10 lbs (0,5-4,5 kg) - Frequentemente 3-6 h 11-20 lbs (5-9 kg) - Ocasionalmente 1-3 h 21-50 lbs (9,5-23 kg) - Ocasionalmente 1-3 h 51-75 lbs (23-34 kg) - improvável 0 h 76-100 lbs (34-45 kg) - improvável 0 h Curvar-se - i"&amp;"ntermitente &lt; 1 h Torcer - Frequentemente 3-6 h Agachar-se - intermitente &lt; 1 h Ajoelhar-se - improvável 0 h Rastejar - improvável 0 h Caminhar em superfície plana - Ocasionalmente 1-3 h Caminhar em superfície irregular - improvável 0 h Subir escadas - in"&amp;"termitente &lt; 1 h Subir escada de mão - improvável 0 h Alcançar acima do ombro - improvável 0 h Uso dos braços - Contínuo 6+ h Uso do pulso - Contínuo 6+ h Uso das mãos - Contínuo 6+ h (a) Preensão contínua por mais de 6 horas (b) Aperto contínuo por mais "&amp;"de 6 horas. Operação com pedal improvável por 0 horas. Ambiente: Interno contínuo por mais de 6 horas. Externo improvável por 0 horas. Calor improvável por 0 horas. Frio improvável por 0 horas. Poeira improvável por 0 horas. Ruído contínuo por mais de 6 h"&amp;"oras. Outros contínuos por mais de 6 horas. Dias/Horários/Escala: Segunda a sexta-feira, turno diurno: 7h às 14h30. Turno vespertino: 16h às 23h30. Os funcionários podem trabalhar em qualquer uma das instalações localizadas em 3515 Chevron Drive, Hood Riv"&amp;"er, OR 97031, ou 3364 Odell Hwy, Hood River, OR 97031. Número de horas por semana: 35. Horário de trabalho (início/término): 7h às 14h30.")</f>
        <v>O funcionário retirará as caixas formadas da máquina de formar caixas, colocando-as em uma esteira de caixas vazias. Os funcionários manterão as linhas de embalagem abastecidas com tampas de caixas, papel de embalagem, sacos para peras e prendedores para selar os sacos em esteiras de armazenamento de tamanho apropriado. Os funcionários abrirão paletes e colocarão o papelão nas lixeiras de reciclagem. Os funcionários serão designados para a limpeza das instalações, como varrer folhas de pera, remover excesso de papel de embalagem do chão, limpar mesas e recolher peras do chão da linha de embalagem. Os funcionários pesarão caixas de frutas, colocarão os materiais de embalagem nas linhas de embalagem, colocarão "meias" nas frutas, montarão as caixas, reembalarão e empacotarão caixas de frutas, etiquetarão caixas, sacos e embalagens. O funcionário realizará tarefas de embalagem de frutas na unidade Diamond Odell &amp; Central. Quase todo o trabalho é feito na altura da cintura. O funcionário coloca a caixa vazia no "cavalete" e, com uma mão, retira as frutas da esteira e, com a outra mão, as embrulha e coloca na caixa até que esteja cheia. Classificação da função: 53-7064.00 - Embaladores e empacotadores manuais. A classificação e descrição da função/setor inclui informações gerais sobre o cargo, conforme o ONET/OES e o Sistema de Classificação Industrial da América do Norte (NAICS). Consulte a descrição das funções e a ordem de serviço para obter mais informações. Requisitos da vaga Experiência necessária: Não Requisitos especiais: Resistência: Sentado: Nunca Em pé: Continuamente por mais de 6 horas Caminhando: Ocasionalmente por 1 a 3 horas Requisitos físicos: Levantar: 0,5 a 4,5 kg Frequentemente por 3 a 6 horas 5 a 9 kg Intermitentemente por menos de 1 hora 9,5 a 22,5 kg Frequentemente por 3 a 6 horas 23 a 34 kg Improvável por 0 horas 34 a 45 kg Improvável por 0 horas Carregar: 0,5 a 4,5 kg Intermitentemente por menos de 4 horas 5 a 9 kg Ocasionalmente por menos de 4 horas 9,5 a 22,5 kg Improvável por 0 horas 23 a 34 kg Improvável por 0 horas 34 a 45 kg Improvável por 0 horas Empurrar: 0,5 a 4,5 kg Ocasionalmente por 1 a 3 horas 5 a 9 kg Ocasionalmente por 1 a 4 horas 9,5 a 22,5 kg Improvável por 0 horas 51-75 lbs (23-34 kg) - improvável 0 h 76-100 lbs (34-45 kg) - improvável 0 h Puxar: 1-10 lbs (0,5-4,5 kg) - Frequentemente 3-6 h 11-20 lbs (5-9 kg) - Ocasionalmente 1-3 h 21-50 lbs (9,5-23 kg) - Ocasionalmente 1-3 h 51-75 lbs (23-34 kg) - improvável 0 h 76-100 lbs (34-45 kg) - improvável 0 h Curvar-se - intermitente &lt; 1 h Torcer - Frequentemente 3-6 h Agachar-se - intermitente &lt; 1 h Ajoelhar-se - improvável 0 h Rastejar - improvável 0 h Caminhar em superfície plana - Ocasionalmente 1-3 h Caminhar em superfície irregular - improvável 0 h Subir escadas - intermitente &lt; 1 h Subir escada de mão - improvável 0 h Alcançar acima do ombro - improvável 0 h Uso dos braços - Contínuo 6+ h Uso do pulso - Contínuo 6+ h Uso das mãos - Contínuo 6+ h (a) Preensão contínua por mais de 6 horas (b) Aperto contínuo por mais de 6 horas. Operação com pedal improvável por 0 horas. Ambiente: Interno contínuo por mais de 6 horas. Externo improvável por 0 horas. Calor improvável por 0 horas. Frio improvável por 0 horas. Poeira improvável por 0 horas. Ruído contínuo por mais de 6 horas. Outros contínuos por mais de 6 horas. Dias/Horários/Escala: Segunda a sexta-feira, turno diurno: 7h às 14h30. Turno vespertino: 16h às 23h30. Os funcionários podem trabalhar em qualquer uma das instalações localizadas em 3515 Chevron Drive, Hood River, OR 97031, ou 3364 Odell Hwy, Hood River, OR 97031. Número de horas por semana: 35. Horário de trabalho (início/término): 7h às 14h30.</v>
      </c>
    </row>
    <row r="2467" ht="20.25" customHeight="1">
      <c r="A2467" s="8" t="s">
        <v>10749</v>
      </c>
      <c r="B2467" s="8" t="s">
        <v>10750</v>
      </c>
      <c r="C2467" s="8" t="s">
        <v>3937</v>
      </c>
      <c r="D2467" s="8" t="s">
        <v>18</v>
      </c>
      <c r="E2467" s="9" t="s">
        <v>19</v>
      </c>
      <c r="F2467" s="9" t="s">
        <v>20</v>
      </c>
      <c r="G2467" s="9" t="s">
        <v>404</v>
      </c>
      <c r="H2467" s="8" t="s">
        <v>10751</v>
      </c>
      <c r="I2467" s="8" t="s">
        <v>10752</v>
      </c>
      <c r="J2467" s="9">
        <v>21.08</v>
      </c>
      <c r="K2467" s="9">
        <v>4.0</v>
      </c>
      <c r="L2467" s="8" t="s">
        <v>10753</v>
      </c>
      <c r="M2467" s="8" t="s">
        <v>10754</v>
      </c>
      <c r="N2467" s="7" t="str">
        <f>IFERROR(__xludf.DUMMYFUNCTION("GOOGLETRANSLATE(L2467, ""en"", ""pt"")"),"Instalador de pisos")</f>
        <v>Instalador de pisos</v>
      </c>
      <c r="O2467" s="7" t="str">
        <f>IFERROR(__xludf.DUMMYFUNCTION("IF(M2467="""","""",GOOGLETRANSLATE(M2467,""en"",""pt""))"),"Instalar pisos resilientes, vinílicos, laminados, linóleo e cortiça em instalações comerciais e residenciais. Inspecionar superfícies para determinar o layout e identificar defeitos. Preparar o contrapiso limpando, raspando, lixando e preenchendo rachadur"&amp;"as, buracos ou áreas irregulares para garantir uma base lisa e nivelada. Medir e cortar materiais de piso usando ferramentas manuais, trenas, réguas e estiletes. Aplicar adesivos, colas ou mástique uniformemente no contrapiso usando desempenadeiras dentad"&amp;"as. Assentar os materiais de piso de acordo com layouts de design específicos, alinhando juntas e bordas com precisão. Usar rolos de piso e rolos manuais para alisar bolhas de ar e garantir uma boa aderência. Instalar perfis de transição, rodapés e moldur"&amp;"as em portas e paredes. Limpar o excesso de adesivo e detritos da obra. Operar com segurança ferramentas manuais e elétricas padrão, incluindo serras de esquadria, serras de corte inferior e serras de batente. Manter e organizar os equipamentos. Deve ser "&amp;"capaz de levantar, empurrar e puxar materiais com peso de até 23 kg. O trabalho envolve ajoelhar-se, curvar-se, inclinar-se e ficar em pé com frequência por longos períodos. Classificação da função: 47-2042.00 - Instaladores de Pisos, exceto Carpetes, Mad"&amp;"eira e Azulejos. A classificação e descrição da função/setor incluem informações gerais sobre o cargo, de acordo com o ONET/OES e o Sistema de Classificação Industrial da América do Norte (NAICS). Consulte as Funções e a Ordem de Serviço para obter mais i"&amp;"nformações. Requisitos da vaga: Experiência necessária: Não. Requisitos especiais: Capacidade de levantar e carregar 23 kg. Disponibilidade para horas extras e trabalho aos fins de semana. Testes toxicológicos aleatórios após a contratação. Número de hora"&amp;"s semanais: 40. Horário de trabalho (início/término): 8h às 17h.")</f>
        <v>Instalar pisos resilientes, vinílicos, laminados, linóleo e cortiça em instalações comerciais e residenciais. Inspecionar superfícies para determinar o layout e identificar defeitos. Preparar o contrapiso limpando, raspando, lixando e preenchendo rachaduras, buracos ou áreas irregulares para garantir uma base lisa e nivelada. Medir e cortar materiais de piso usando ferramentas manuais, trenas, réguas e estiletes. Aplicar adesivos, colas ou mástique uniformemente no contrapiso usando desempenadeiras dentadas. Assentar os materiais de piso de acordo com layouts de design específicos, alinhando juntas e bordas com precisão. Usar rolos de piso e rolos manuais para alisar bolhas de ar e garantir uma boa aderência. Instalar perfis de transição, rodapés e molduras em portas e paredes. Limpar o excesso de adesivo e detritos da obra. Operar com segurança ferramentas manuais e elétricas padrão, incluindo serras de esquadria, serras de corte inferior e serras de batente. Manter e organizar os equipamentos. Deve ser capaz de levantar, empurrar e puxar materiais com peso de até 23 kg. O trabalho envolve ajoelhar-se, curvar-se, inclinar-se e ficar em pé com frequência por longos períodos. Classificação da função: 47-2042.00 - Instaladores de Pisos, exceto Carpetes, Madeira e Azulejos. A classificação e descrição da função/setor incluem informações gerais sobre o cargo, de acordo com o ONET/OES e o Sistema de Classificação Industrial da América do Norte (NAICS). Consulte as Funções e a Ordem de Serviço para obter mais informações. Requisitos da vaga: Experiência necessária: Não. Requisitos especiais: Capacidade de levantar e carregar 23 kg. Disponibilidade para horas extras e trabalho aos fins de semana. Testes toxicológicos aleatórios após a contratação. Número de horas semanais: 40. Horário de trabalho (início/término): 8h às 17h.</v>
      </c>
    </row>
    <row r="2468" ht="20.25" customHeight="1">
      <c r="A2468" s="3" t="s">
        <v>10755</v>
      </c>
      <c r="B2468" s="3" t="s">
        <v>10756</v>
      </c>
      <c r="C2468" s="3" t="s">
        <v>10757</v>
      </c>
      <c r="D2468" s="3" t="s">
        <v>1190</v>
      </c>
      <c r="E2468" s="4" t="s">
        <v>44</v>
      </c>
      <c r="F2468" s="4" t="s">
        <v>20</v>
      </c>
      <c r="G2468" s="4" t="s">
        <v>524</v>
      </c>
      <c r="H2468" s="3" t="s">
        <v>10758</v>
      </c>
      <c r="I2468" s="3" t="s">
        <v>10759</v>
      </c>
      <c r="J2468" s="4">
        <v>31.89</v>
      </c>
      <c r="K2468" s="4">
        <v>2.0</v>
      </c>
      <c r="L2468" s="3" t="s">
        <v>10760</v>
      </c>
      <c r="M2468" s="3" t="s">
        <v>10761</v>
      </c>
      <c r="N2468" s="7" t="str">
        <f>IFERROR(__xludf.DUMMYFUNCTION("GOOGLETRANSLATE(L2468, ""en"", ""pt"")"),"Especialista em Recrutamento e Retenção de Participantes em Acampamentos")</f>
        <v>Especialista em Recrutamento e Retenção de Participantes em Acampamentos</v>
      </c>
      <c r="O2468" s="7" t="str">
        <f>IFERROR(__xludf.DUMMYFUNCTION("IF(M2468="""","""",GOOGLETRANSLATE(M2468,""en"",""pt""))"),"Recrutar participantes para os acampamentos, informando os clientes em potencial sobre os programas, custos e disponibilidade por meio de apresentações, reuniões via Zoom e ligações. Elaborar e enviar os contratos necessários para a inscrição nos acampame"&amp;"ntos. Comunicar os prazos de inscrição e pagamento às famílias. Desenvolver apresentações de vendas e planejar eventos para destacar os serviços do acampamento. Promover nossos acampamentos e aluguéis para grupos, realizando apresentações e distribuindo m"&amp;"ateriais promocionais. Resolver as dúvidas e problemas dos clientes conforme surgirem. Revisar as listas de participantes e os formulários de inscrição para garantir que todas as informações relevantes estejam corretas e atualizadas. Consultar publicações"&amp;" do setor e concluir os treinamentos da American Camp Association para se manter atualizado sobre as tendências e as melhores práticas do setor. Classificação da vaga: 41-3091.00 - Representantes de Vendas de Serviços, exceto Publicidade, Seguros, Serviço"&amp;"s Financeiros e Viagens. A classificação e a descrição da vaga/setor incluem informações gerais sobre o cargo, de acordo com o ONET/OES e o Sistema de Classificação Industrial da América do Norte. Consulte as Funções e a Ordem de Serviço para obter mais i"&amp;"nformações. Requisitos da vaga Experiência necessária: Sim Meses de experiência necessários: 12 Requisitos especiais: 12 meses de experiência prévia em Vendas, Administração de Acampamento de Verão ou Recrutamento Número de horas por semana: 35 Horário de"&amp;" trabalho (início/término): 8h00 - 16h45")</f>
        <v>Recrutar participantes para os acampamentos, informando os clientes em potencial sobre os programas, custos e disponibilidade por meio de apresentações, reuniões via Zoom e ligações. Elaborar e enviar os contratos necessários para a inscrição nos acampamentos. Comunicar os prazos de inscrição e pagamento às famílias. Desenvolver apresentações de vendas e planejar eventos para destacar os serviços do acampamento. Promover nossos acampamentos e aluguéis para grupos, realizando apresentações e distribuindo materiais promocionais. Resolver as dúvidas e problemas dos clientes conforme surgirem. Revisar as listas de participantes e os formulários de inscrição para garantir que todas as informações relevantes estejam corretas e atualizadas. Consultar publicações do setor e concluir os treinamentos da American Camp Association para se manter atualizado sobre as tendências e as melhores práticas do setor. Classificação da vaga: 41-3091.00 - Representantes de Vendas de Serviços, exceto Publicidade, Seguros, Serviços Financeiros e Viagens. A classificação e a descrição da vaga/setor incluem informações gerais sobre o cargo, de acordo com o ONET/OES e o Sistema de Classificação Industrial da América do Norte. Consulte as Funções e a Ordem de Serviço para obter mais informações. Requisitos da vaga Experiência necessária: Sim Meses de experiência necessários: 12 Requisitos especiais: 12 meses de experiência prévia em Vendas, Administração de Acampamento de Verão ou Recrutamento Número de horas por semana: 35 Horário de trabalho (início/término): 8h00 - 16h45</v>
      </c>
    </row>
    <row r="2469" ht="20.25" customHeight="1">
      <c r="A2469" s="8" t="s">
        <v>10762</v>
      </c>
      <c r="B2469" s="8" t="s">
        <v>10763</v>
      </c>
      <c r="C2469" s="8" t="s">
        <v>10726</v>
      </c>
      <c r="D2469" s="8" t="s">
        <v>71</v>
      </c>
      <c r="E2469" s="9" t="s">
        <v>19</v>
      </c>
      <c r="F2469" s="9" t="s">
        <v>20</v>
      </c>
      <c r="G2469" s="9" t="s">
        <v>4629</v>
      </c>
      <c r="H2469" s="8" t="s">
        <v>10764</v>
      </c>
      <c r="I2469" s="8" t="s">
        <v>10765</v>
      </c>
      <c r="J2469" s="9">
        <v>15.74</v>
      </c>
      <c r="K2469" s="9">
        <v>24.0</v>
      </c>
      <c r="L2469" s="8" t="s">
        <v>4517</v>
      </c>
      <c r="M2469" s="8" t="s">
        <v>10766</v>
      </c>
      <c r="N2469" s="7" t="str">
        <f>IFERROR(__xludf.DUMMYFUNCTION("GOOGLETRANSLATE(L2469, ""en"", ""pt"")"),"tratador de estábulo")</f>
        <v>tratador de estábulo</v>
      </c>
      <c r="O2469" s="7" t="str">
        <f>IFERROR(__xludf.DUMMYFUNCTION("IF(M2469="""","""",GOOGLETRANSLATE(M2469,""en"",""pt""))"),"Cuidar de cavalos vivos. As tarefas incluem alimentar, dar água, banhar, exercitar, passear e embarcar os cavalos. Limpar e manter as baias. Trabalho em turnos divididos. Área de descanso fornecida. Classificação da vaga: 39-2021.00 - Cuidadores de Animai"&amp;"s. A classificação e descrição da vaga/setor inclui informações gerais sobre o cargo, de acordo com o ONET/OES e o Sistema de Classificação Industrial da América do Norte. Consulte as Funções e a Ordem de Serviço para obter mais informações. Requisitos da"&amp;" vaga: Experiência necessária: Não. Requisitos especiais: Disposição para trabalhar com cavalos vivos. O empregador oferece 40 horas de trabalho por semana, de segunda a sexta-feira, das 5h30 às 11h30 e das 14h30 às 16h30. Número de horas por semana: 40. "&amp;"Horário de trabalho (início/término): 5h30 - 16h30.")</f>
        <v>Cuidar de cavalos vivos. As tarefas incluem alimentar, dar água, banhar, exercitar, passear e embarcar os cavalos. Limpar e manter as baias. Trabalho em turnos divididos. Área de descanso fornecida. Classificação da vaga: 39-2021.00 - Cuidadores de Animais. A classificação e descrição da vaga/setor inclui informações gerais sobre o cargo, de acordo com o ONET/OES e o Sistema de Classificação Industrial da América do Norte. Consulte as Funções e a Ordem de Serviço para obter mais informações. Requisitos da vaga: Experiência necessária: Não. Requisitos especiais: Disposição para trabalhar com cavalos vivos. O empregador oferece 40 horas de trabalho por semana, de segunda a sexta-feira, das 5h30 às 11h30 e das 14h30 às 16h30. Número de horas por semana: 40. Horário de trabalho (início/término): 5h30 - 16h30.</v>
      </c>
    </row>
    <row r="2470" ht="20.25" customHeight="1">
      <c r="A2470" s="3" t="s">
        <v>10767</v>
      </c>
      <c r="B2470" s="3" t="s">
        <v>10763</v>
      </c>
      <c r="C2470" s="3" t="s">
        <v>10726</v>
      </c>
      <c r="D2470" s="3" t="s">
        <v>71</v>
      </c>
      <c r="E2470" s="4" t="s">
        <v>44</v>
      </c>
      <c r="F2470" s="4" t="s">
        <v>20</v>
      </c>
      <c r="G2470" s="4" t="s">
        <v>4629</v>
      </c>
      <c r="H2470" s="3" t="s">
        <v>10764</v>
      </c>
      <c r="I2470" s="3" t="s">
        <v>10765</v>
      </c>
      <c r="J2470" s="4">
        <v>21.21</v>
      </c>
      <c r="K2470" s="4">
        <v>8.0</v>
      </c>
      <c r="L2470" s="3" t="s">
        <v>10768</v>
      </c>
      <c r="M2470" s="3" t="s">
        <v>10769</v>
      </c>
      <c r="N2470" s="7" t="str">
        <f>IFERROR(__xludf.DUMMYFUNCTION("GOOGLETRANSLATE(L2470, ""en"", ""pt"")"),"Cavaleiro de exercício")</f>
        <v>Cavaleiro de exercício</v>
      </c>
      <c r="O2470" s="7" t="str">
        <f>IFERROR(__xludf.DUMMYFUNCTION("IF(M2470="""","""",GOOGLETRANSLATE(M2470,""en"",""pt""))"),"Domar e montar cavalos puro-sangue. Acostumar os cavalos a usar arreios, a responder a comandos e a condicioná-los para corridas. Classificação da função: 39-2011.00 - Treinadores de Animais. A classificação e descrição da função/setor inclui informações "&amp;"gerais sobre o cargo, de acordo com o ONET/OES e o Sistema de Classificação Industrial da América do Norte. Consulte as Funções e a Ordem de Serviço para obter mais informações. Requisitos da vaga: Experiência necessária: Não. Requisitos especiais: Dispos"&amp;"ição para montar cavalos puro-sangue vivos, às vezes em alta velocidade e por longas distâncias, sem assistência. O horário de trabalho é de segunda a sexta-feira, das 6h às 12h, e aos sábados, das 6h às 11h30. Número de horas por semana: 35. Horário de t"&amp;"rabalho (início/término): 6h às 12h.")</f>
        <v>Domar e montar cavalos puro-sangue. Acostumar os cavalos a usar arreios, a responder a comandos e a condicioná-los para corridas. Classificação da função: 39-2011.00 - Treinadores de Animais. A classificação e descrição da função/setor inclui informações gerais sobre o cargo, de acordo com o ONET/OES e o Sistema de Classificação Industrial da América do Norte. Consulte as Funções e a Ordem de Serviço para obter mais informações. Requisitos da vaga: Experiência necessária: Não. Requisitos especiais: Disposição para montar cavalos puro-sangue vivos, às vezes em alta velocidade e por longas distâncias, sem assistência. O horário de trabalho é de segunda a sexta-feira, das 6h às 12h, e aos sábados, das 6h às 11h30. Número de horas por semana: 35. Horário de trabalho (início/término): 6h às 12h.</v>
      </c>
    </row>
    <row r="2471" ht="20.25" customHeight="1">
      <c r="A2471" s="8" t="s">
        <v>10770</v>
      </c>
      <c r="B2471" s="8" t="s">
        <v>10771</v>
      </c>
      <c r="C2471" s="8" t="s">
        <v>10726</v>
      </c>
      <c r="D2471" s="8" t="s">
        <v>254</v>
      </c>
      <c r="E2471" s="9" t="s">
        <v>19</v>
      </c>
      <c r="F2471" s="9" t="s">
        <v>20</v>
      </c>
      <c r="G2471" s="9" t="s">
        <v>377</v>
      </c>
      <c r="H2471" s="8" t="s">
        <v>10727</v>
      </c>
      <c r="I2471" s="8" t="s">
        <v>10728</v>
      </c>
      <c r="J2471" s="9">
        <v>15.04</v>
      </c>
      <c r="K2471" s="9">
        <v>4.0</v>
      </c>
      <c r="L2471" s="8" t="s">
        <v>387</v>
      </c>
      <c r="M2471" s="8" t="s">
        <v>10772</v>
      </c>
      <c r="N2471" s="7" t="str">
        <f>IFERROR(__xludf.DUMMYFUNCTION("GOOGLETRANSLATE(L2471, ""en"", ""pt"")"),"Ordem de serviço não disponível")</f>
        <v>Ordem de serviço não disponível</v>
      </c>
      <c r="O2471" s="7" t="str">
        <f>IFERROR(__xludf.DUMMYFUNCTION("IF(M2471="""","""",GOOGLETRANSLATE(M2471,""en"",""pt""))"),"Cozinheiros preparam, temperam e cozinham pratos como sopas, legumes, carnes e sobremesas em restaurantes. Garantem a consistência, a qualidade e a segurança dos alimentos para nossos clientes. Realizam a manutenção e limpeza diárias da cozinha e dos equi"&amp;"pamentos, como lava-louças, grelha, fritadeira, forno, refrigeradores, etc. Pesam e porcionam os alimentos. Classificação da vaga: 35-2014.00 - Cozinheiros, Restaurante. A classificação e a descrição da vaga/setor incluem informações gerais sobre o cargo,"&amp;" de acordo com o ONET/OES e o Sistema de Classificação Industrial da América do Norte. Consulte as Funções e a Ordem de Serviço para obter mais informações. Requisitos da vaga: Experiência necessária: Não. Requisitos especiais: Capacidade e disposição par"&amp;"a seguir instruções e trabalhar em pé por muitas horas. O empregador oferecerá pelo menos 40 horas de trabalho por semana, de domingo a sábado, entre 10h e 14h e entre 16h e 20h, com folgas variáveis. Número de horas por semana: 40. Horário de trabalho (i"&amp;"nício/término): 10h. - 20h00")</f>
        <v>Cozinheiros preparam, temperam e cozinham pratos como sopas, legumes, carnes e sobremesas em restaurantes. Garantem a consistência, a qualidade e a segurança dos alimentos para nossos clientes. Realizam a manutenção e limpeza diárias da cozinha e dos equipamentos, como lava-louças, grelha, fritadeira, forno, refrigeradores, etc. Pesam e porcionam os alimentos. Classificação da vaga: 35-2014.00 - Cozinheiros, Restaurante. A classificação e a descrição da vaga/setor incluem informações gerais sobre o cargo, de acordo com o ONET/OES e o Sistema de Classificação Industrial da América do Norte. Consulte as Funções e a Ordem de Serviço para obter mais informações. Requisitos da vaga: Experiência necessária: Não. Requisitos especiais: Capacidade e disposição para seguir instruções e trabalhar em pé por muitas horas. O empregador oferecerá pelo menos 40 horas de trabalho por semana, de domingo a sábado, entre 10h e 14h e entre 16h e 20h, com folgas variáveis. Número de horas por semana: 40. Horário de trabalho (início/término): 10h. - 20h00</v>
      </c>
    </row>
    <row r="2472" ht="20.25" customHeight="1">
      <c r="A2472" s="3" t="s">
        <v>10773</v>
      </c>
      <c r="B2472" s="3" t="s">
        <v>10774</v>
      </c>
      <c r="C2472" s="3" t="s">
        <v>10726</v>
      </c>
      <c r="D2472" s="3" t="s">
        <v>55</v>
      </c>
      <c r="E2472" s="4" t="s">
        <v>19</v>
      </c>
      <c r="F2472" s="4" t="s">
        <v>20</v>
      </c>
      <c r="G2472" s="4" t="s">
        <v>377</v>
      </c>
      <c r="H2472" s="3" t="s">
        <v>10737</v>
      </c>
      <c r="I2472" s="3" t="s">
        <v>10738</v>
      </c>
      <c r="J2472" s="4">
        <v>18.07</v>
      </c>
      <c r="K2472" s="4">
        <v>3.0</v>
      </c>
      <c r="L2472" s="3" t="s">
        <v>387</v>
      </c>
      <c r="M2472" s="3" t="s">
        <v>10739</v>
      </c>
      <c r="N2472" s="7" t="str">
        <f>IFERROR(__xludf.DUMMYFUNCTION("GOOGLETRANSLATE(L2472, ""en"", ""pt"")"),"Ordem de serviço não disponível")</f>
        <v>Ordem de serviço não disponível</v>
      </c>
      <c r="O2472" s="7" t="str">
        <f>IFERROR(__xludf.DUMMYFUNCTION("IF(M2472="""","""",GOOGLETRANSLATE(M2472,""en"",""pt""))"),"Cozinheiros preparam, temperam e cozinham pratos como sopas, legumes, carnes e sobremesas em restaurantes. Garantem a consistência, a qualidade e a segurança dos alimentos para nossos clientes. Realizam a manutenção e limpeza diárias da cozinha e dos equi"&amp;"pamentos, como lava-louças, grelha, fritadeira, churrasqueira, refrigeradores, etc. Pesam e porcionam os alimentos. Classificação da vaga: 35-2014.00 - Cozinheiros, Restaurante. A classificação e a descrição da vaga/setor incluem informações gerais sobre "&amp;"o cargo, de acordo com o ONET/OES e o Sistema de Classificação Industrial da América do Norte. Consulte as Funções e a Ordem de Serviço para obter mais informações. Requisitos da vaga: Experiência necessária: Não. Requisitos especiais: Capacidade e dispos"&amp;"ição para seguir instruções e trabalhar em pé por muitas horas. O empregador oferecerá pelo menos 40 horas de trabalho por semana, de domingo a sábado, entre 11h e 21h30, com folgas variáveis. Número de horas por semana: 40. Horário de trabalho (início/té"&amp;"rmino): 11h às 21h30.")</f>
        <v>Cozinheiros preparam, temperam e cozinham pratos como sopas, legumes, carnes e sobremesas em restaurantes. Garantem a consistência, a qualidade e a segurança dos alimentos para nossos clientes. Realizam a manutenção e limpeza diárias da cozinha e dos equipamentos, como lava-louças, grelha, fritadeira, churrasqueira, refrigeradores, etc. Pesam e porcionam os alimentos. Classificação da vaga: 35-2014.00 - Cozinheiros, Restaurante. A classificação e a descrição da vaga/setor incluem informações gerais sobre o cargo, de acordo com o ONET/OES e o Sistema de Classificação Industrial da América do Norte. Consulte as Funções e a Ordem de Serviço para obter mais informações. Requisitos da vaga: Experiência necessária: Não. Requisitos especiais: Capacidade e disposição para seguir instruções e trabalhar em pé por muitas horas. O empregador oferecerá pelo menos 40 horas de trabalho por semana, de domingo a sábado, entre 11h e 21h30, com folgas variáveis. Número de horas por semana: 40. Horário de trabalho (início/término): 11h às 21h30.</v>
      </c>
    </row>
    <row r="2473" ht="20.25" customHeight="1">
      <c r="A2473" s="8" t="s">
        <v>10775</v>
      </c>
      <c r="B2473" s="8" t="s">
        <v>10774</v>
      </c>
      <c r="C2473" s="8" t="s">
        <v>10726</v>
      </c>
      <c r="D2473" s="8" t="s">
        <v>55</v>
      </c>
      <c r="E2473" s="9" t="s">
        <v>19</v>
      </c>
      <c r="F2473" s="9" t="s">
        <v>20</v>
      </c>
      <c r="G2473" s="9" t="s">
        <v>377</v>
      </c>
      <c r="H2473" s="8" t="s">
        <v>10737</v>
      </c>
      <c r="I2473" s="8" t="s">
        <v>10738</v>
      </c>
      <c r="J2473" s="9">
        <v>15.95</v>
      </c>
      <c r="K2473" s="9">
        <v>3.0</v>
      </c>
      <c r="L2473" s="8" t="s">
        <v>1206</v>
      </c>
      <c r="M2473" s="8" t="s">
        <v>10741</v>
      </c>
      <c r="N2473" s="7" t="str">
        <f>IFERROR(__xludf.DUMMYFUNCTION("GOOGLETRANSLATE(L2473, ""en"", ""pt"")"),"Servidor")</f>
        <v>Servidor</v>
      </c>
      <c r="O2473" s="7" t="str">
        <f>IFERROR(__xludf.DUMMYFUNCTION("IF(M2473="""","""",GOOGLETRANSLATE(M2473,""en"",""pt""))"),"Receber e entregar os cardápios aos clientes; responder a perguntas sobre os itens do cardápio; anotar os pedidos de comida e bebida para transmitir à equipe da cozinha; garantir que os clientes estejam satisfeitos com as refeições e resolver quaisquer pr"&amp;"oblemas; verificar a identificação para a compra de bebidas alcoólicas; servir a comida aos clientes; preparar as contas discriminando o custo total da refeição e os impostos; receber os pagamentos dos clientes; retirar pratos e copos das mesas e limpá-la"&amp;"s após os clientes terminarem de comer; preparar e arrumar as mesas para as refeições; realizar outras tarefas de limpeza no restaurante conforme necessário, como limpar o chão, abastecer e organizar o balcão de atendimento, retirar o lixo e limpar as sup"&amp;"erfícies. Classificação da vaga: 35-3031.00 - Garçons e Garçonetes. A classificação e a descrição da vaga/setor incluem informações gerais sobre o cargo, de acordo com o ONET/OES e o Sistema de Classificação Industrial da América do Norte. Consulte as Fun"&amp;"ções e a Ordem de Serviço para obter mais informações. Requisitos da vaga: Experiência necessária: Não. Requisitos especiais: Capacidade e disposição para seguir instruções e trabalhar em pé por muitas horas. O empregador oferecerá pelo menos 40 horas de "&amp;"trabalho por semana, de domingo a sábado, entre as 11h e as 21h30, com folgas variáveis. Número de horas por semana: 40. Horário de trabalho (início/término): 11h às 21h30.")</f>
        <v>Receber e entregar os cardápios aos clientes; responder a perguntas sobre os itens do cardápio; anotar os pedidos de comida e bebida para transmitir à equipe da cozinha; garantir que os clientes estejam satisfeitos com as refeições e resolver quaisquer problemas; verificar a identificação para a compra de bebidas alcoólicas; servir a comida aos clientes; preparar as contas discriminando o custo total da refeição e os impostos; receber os pagamentos dos clientes; retirar pratos e copos das mesas e limpá-las após os clientes terminarem de comer; preparar e arrumar as mesas para as refeições; realizar outras tarefas de limpeza no restaurante conforme necessário, como limpar o chão, abastecer e organizar o balcão de atendimento, retirar o lixo e limpar as superfícies. Classificação da vaga: 35-3031.00 - Garçons e Garçonetes. A classificação e a descrição da vaga/setor incluem informações gerais sobre o cargo, de acordo com o ONET/OES e o Sistema de Classificação Industrial da América do Norte. Consulte as Funções e a Ordem de Serviço para obter mais informações. Requisitos da vaga: Experiência necessária: Não. Requisitos especiais: Capacidade e disposição para seguir instruções e trabalhar em pé por muitas horas. O empregador oferecerá pelo menos 40 horas de trabalho por semana, de domingo a sábado, entre as 11h e as 21h30, com folgas variáveis. Número de horas por semana: 40. Horário de trabalho (início/término): 11h às 21h30.</v>
      </c>
    </row>
    <row r="2474" ht="20.25" customHeight="1">
      <c r="A2474" s="3" t="s">
        <v>10776</v>
      </c>
      <c r="B2474" s="3" t="s">
        <v>10777</v>
      </c>
      <c r="C2474" s="3" t="s">
        <v>10726</v>
      </c>
      <c r="D2474" s="3" t="s">
        <v>71</v>
      </c>
      <c r="E2474" s="4" t="s">
        <v>19</v>
      </c>
      <c r="F2474" s="4" t="s">
        <v>20</v>
      </c>
      <c r="G2474" s="4" t="s">
        <v>4629</v>
      </c>
      <c r="H2474" s="3" t="s">
        <v>10778</v>
      </c>
      <c r="I2474" s="3" t="s">
        <v>10779</v>
      </c>
      <c r="J2474" s="4">
        <v>16.29</v>
      </c>
      <c r="K2474" s="4">
        <v>17.0</v>
      </c>
      <c r="L2474" s="3" t="s">
        <v>4517</v>
      </c>
      <c r="M2474" s="3" t="s">
        <v>10780</v>
      </c>
      <c r="N2474" s="7" t="str">
        <f>IFERROR(__xludf.DUMMYFUNCTION("GOOGLETRANSLATE(L2474, ""en"", ""pt"")"),"tratador de estábulo")</f>
        <v>tratador de estábulo</v>
      </c>
      <c r="O2474" s="7" t="str">
        <f>IFERROR(__xludf.DUMMYFUNCTION("IF(M2474="""","""",GOOGLETRANSLATE(M2474,""en"",""pt""))"),"Cuidar de cavalos vivos. As tarefas incluem alimentar, dar água, banhar, exercitar, passear e embarcar os cavalos. Limpar e manter as baias. Classificação da vaga: 39-2021.00 - Cuidadores de Animais. A classificação e descrição da vaga/setor inclui inform"&amp;"ações gerais sobre o cargo, de acordo com o ONET/OES e o Sistema de Classificação Industrial da América do Norte. Consulte as Funções e a Ordem de Serviço para obter mais informações. Requisitos da vaga: Experiência necessária: Não. Requisitos especiais: "&amp;"Disposição para trabalhar com cavalos puro-sangue vivos. Os funcionários terão direito a pelo menos 40 horas de trabalho por semana, de segunda a sábado, entre 6h e 12h e entre 13h30 e 16h. Número de horas por semana: 40. Horário de trabalho (início/térmi"&amp;"no): 6h às 16h.")</f>
        <v>Cuidar de cavalos vivos. As tarefas incluem alimentar, dar água, banhar, exercitar, passear e embarcar os cavalos. Limpar e manter as baias. Classificação da vaga: 39-2021.00 - Cuidadores de Animais. A classificação e descrição da vaga/setor inclui informações gerais sobre o cargo, de acordo com o ONET/OES e o Sistema de Classificação Industrial da América do Norte. Consulte as Funções e a Ordem de Serviço para obter mais informações. Requisitos da vaga: Experiência necessária: Não. Requisitos especiais: Disposição para trabalhar com cavalos puro-sangue vivos. Os funcionários terão direito a pelo menos 40 horas de trabalho por semana, de segunda a sábado, entre 6h e 12h e entre 13h30 e 16h. Número de horas por semana: 40. Horário de trabalho (início/término): 6h às 16h.</v>
      </c>
    </row>
    <row r="2475" ht="20.25" customHeight="1">
      <c r="A2475" s="8" t="s">
        <v>10781</v>
      </c>
      <c r="B2475" s="8" t="s">
        <v>10584</v>
      </c>
      <c r="C2475" s="8" t="s">
        <v>10337</v>
      </c>
      <c r="D2475" s="8" t="s">
        <v>532</v>
      </c>
      <c r="E2475" s="9" t="s">
        <v>19</v>
      </c>
      <c r="F2475" s="9" t="s">
        <v>20</v>
      </c>
      <c r="G2475" s="9" t="s">
        <v>56</v>
      </c>
      <c r="H2475" s="8" t="s">
        <v>10585</v>
      </c>
      <c r="I2475" s="8" t="s">
        <v>10586</v>
      </c>
      <c r="J2475" s="9">
        <v>43.84</v>
      </c>
      <c r="K2475" s="9">
        <v>30.0</v>
      </c>
      <c r="L2475" s="8" t="s">
        <v>59</v>
      </c>
      <c r="M2475" s="8" t="s">
        <v>10587</v>
      </c>
      <c r="N2475" s="7" t="str">
        <f>IFERROR(__xludf.DUMMYFUNCTION("GOOGLETRANSLATE(L2475, ""en"", ""pt"")"),"Trabalhador de paisagismo")</f>
        <v>Trabalhador de paisagismo</v>
      </c>
      <c r="O2475" s="7" t="str">
        <f>IFERROR(__xludf.DUMMYFUNCTION("IF(M2475="""","""",GOOGLETRANSLATE(M2475,""en"",""pt""))"),"***Resposta à Solicitação de Informações*** Os trabalhadores operarão equipamentos mecanizados de paisagismo e irrigação para transportar, distribuir e instalar materiais utilizados em projetos de reforma, paisagismo e manutenção de campos de golfe. As ta"&amp;"refas específicas para as quais o equipamento será utilizado incluem movimentar e colocar grama, areia, cascalho, substrato para greens, materiais de irrigação, componentes de aspersores e outros suprimentos de paisagismo; preparar áreas ajardinadas para "&amp;"instalação de irrigação; auxiliar na instalação de sistemas de irrigação; e manter os campos de golfe e as superfícies de jogo. Os trabalhadores utilizarão ferramentas manuais e elétricas comumente empregadas em atividades de paisagismo e jardinagem, incl"&amp;"uindo pás, ancinhos, carrinhos de mão, compactadores, facas de grama, roçadeiras e ferramentas de instalação de irrigação. Os trabalhadores também podem operar os seguintes equipamentos para remover a grama existente e preparar o terreno para a instalação"&amp;" de grama em placas, bem como para distribuir materiais de paisagismo em toda a propriedade: veículo utilitário Kubota RTV-X1140WL-A (25 HP; peso operacional de 2.380 a 2.390 libras; capacidade de carga de 1.600 libras) usado para transportar materiais de"&amp;" paisagismo, suprimentos de irrigação, ferramentas e equipamentos por todo o campo de golfe; trator Kubota MX5200 com reboque Gearmore (55 HP; peso operacional de 6.800 libras) usado para transportar e distribuir areia, mistura para greens, cascalho, gram"&amp;"a em placas e outros materiais de paisagismo; cortador de grama Billy Goat SC182HCA (5,5 HP; peso operacional de 395 libras) usado para remover a grama existente em preparação para a instalação de grama em placas e melhorias paisagísticas; e compactador d"&amp;"e solo Mikasa Multiquip MTX60HD com motor Honda GX100 (2,8 HP; peso operacional de 64 kg) usado para compactar o solo e aterrar ao redor de instalações de irrigação e áreas ajardinadas. ***Original*** Executa diversas tarefas de reforma e paisagismo de ca"&amp;"mpos de golfe, incluindo a preparação de áreas ajardinadas e de jogo; prepara componentes do sistema de irrigação, cola/funde conexões e interligações; instala tubulações de irrigação, fios e aspersores; utiliza ferramentas manuais para instalar drenagem "&amp;"e interligações de irrigação; espalha e assenta materiais como sementes de grama, grama em placas, substrato para greens, cascalho e areia; opera equipamentos mecanizados para movimentar e instalar materiais. Os trabalhadores auxiliam na instalação de com"&amp;"ponentes de irrigação do campo de golfe. Os trabalhadores usarão equipamentos de paisagismo e irrigação, juntamente com pás e outras ferramentas manuais, para nivelar superfícies e preparar áreas para irrigação, conforme necessário. O trabalho geralmente "&amp;"é realizado de segunda a sexta, das 7h às 17h, mas fins de semana e horas extras podem ser necessários, dependendo das condições climáticas. ***Se necessário, o empregador pretende auxiliar trabalhadores estrangeiros e não residentes nos EUA contratados d"&amp;"e acordo com esta ordem de serviço a garantir acomodação paga pelo trabalhador, não excedendo o custo justo de mercado razoável. Classificação do Cargo: 47-2073.00 - Operadores de Máquinas e Outros Operadores de Equipamentos de Construção. A classificação"&amp;" e descrição do cargo/setor incluem informações gerais sobre a posição, de acordo com o ONET/OES e o Sistema de Classificação Industrial da América do Norte. Consulte as Funções e a Ordem de Serviço para obter mais informações. Requisitos do Cargo Experiê"&amp;"ncia Necessária: Sim Meses de Experiência Necessária: 3 Requisitos Especiais: 3 meses de experiência utilizando conhecimento básico de layout de campo de golfe; Conhecimento de sistemas de irrigação de campos de golfe, incluindo a capacidade de instalar/r"&amp;"eparar componentes principais; conhecimento de tarefas de paisagismo em campos de golfe, incluindo construção/reparo de greens, tees e bunkers. 3 meses de experiência operando qualquer um dos seguintes equipamentos: trator, minicarregadeira, arado/escavad"&amp;"eira. Disponibilidade para realizar horas extras, conforme necessário. Número de horas por semana: 45. Horário de trabalho (início/término): 7h às 17h.")</f>
        <v>***Resposta à Solicitação de Informações*** Os trabalhadores operarão equipamentos mecanizados de paisagismo e irrigação para transportar, distribuir e instalar materiais utilizados em projetos de reforma, paisagismo e manutenção de campos de golfe. As tarefas específicas para as quais o equipamento será utilizado incluem movimentar e colocar grama, areia, cascalho, substrato para greens, materiais de irrigação, componentes de aspersores e outros suprimentos de paisagismo; preparar áreas ajardinadas para instalação de irrigação; auxiliar na instalação de sistemas de irrigação; e manter os campos de golfe e as superfícies de jogo. Os trabalhadores utilizarão ferramentas manuais e elétricas comumente empregadas em atividades de paisagismo e jardinagem, incluindo pás, ancinhos, carrinhos de mão, compactadores, facas de grama, roçadeiras e ferramentas de instalação de irrigação. Os trabalhadores também podem operar os seguintes equipamentos para remover a grama existente e preparar o terreno para a instalação de grama em placas, bem como para distribuir materiais de paisagismo em toda a propriedade: veículo utilitário Kubota RTV-X1140WL-A (25 HP; peso operacional de 2.380 a 2.390 libras; capacidade de carga de 1.600 libras) usado para transportar materiais de paisagismo, suprimentos de irrigação, ferramentas e equipamentos por todo o campo de golfe; trator Kubota MX5200 com reboque Gearmore (55 HP; peso operacional de 6.800 libras) usado para transportar e distribuir areia, mistura para greens, cascalho, grama em placas e outros materiais de paisagismo; cortador de grama Billy Goat SC182HCA (5,5 HP; peso operacional de 395 libras) usado para remover a grama existente em preparação para a instalação de grama em placas e melhorias paisagísticas; e compactador de solo Mikasa Multiquip MTX60HD com motor Honda GX100 (2,8 HP; peso operacional de 64 kg) usado para compactar o solo e aterrar ao redor de instalações de irrigação e áreas ajardinadas. ***Original*** Executa diversas tarefas de reforma e paisagismo de campos de golfe, incluindo a preparação de áreas ajardinadas e de jogo; prepara componentes do sistema de irrigação, cola/funde conexões e interligações; instala tubulações de irrigação, fios e aspersores; utiliza ferramentas manuais para instalar drenagem e interligações de irrigação; espalha e assenta materiais como sementes de grama, grama em placas, substrato para greens, cascalho e areia; opera equipamentos mecanizados para movimentar e instalar materiais. Os trabalhadores auxiliam na instalação de componentes de irrigação do campo de golfe. Os trabalhadores usarão equipamentos de paisagismo e irrigação, juntamente com pás e outras ferramentas manuais, para nivelar superfícies e preparar áreas para irrigação, conforme necessário. O trabalho geralmente é realizado de segunda a sexta, das 7h às 17h, mas fins de semana e horas extras podem ser necessários, dependendo das condições climáticas. ***Se necessário, o empregador pretende auxiliar trabalhadores estrangeiros e não residentes nos EUA contratados de acordo com esta ordem de serviço a garantir acomodação paga pelo trabalhador, não excedendo o custo justo de mercado razoável. Classificação do Cargo: 47-2073.00 - Operadores de Máquinas e Outros Operadores de Equipamentos de Construção. A classificação e descrição do cargo/setor incluem informações gerais sobre a posição, de acordo com o ONET/OES e o Sistema de Classificação Industrial da América do Norte. Consulte as Funções e a Ordem de Serviço para obter mais informações. Requisitos do Cargo Experiência Necessária: Sim Meses de Experiência Necessária: 3 Requisitos Especiais: 3 meses de experiência utilizando conhecimento básico de layout de campo de golfe; Conhecimento de sistemas de irrigação de campos de golfe, incluindo a capacidade de instalar/reparar componentes principais; conhecimento de tarefas de paisagismo em campos de golfe, incluindo construção/reparo de greens, tees e bunkers. 3 meses de experiência operando qualquer um dos seguintes equipamentos: trator, minicarregadeira, arado/escavadeira. Disponibilidade para realizar horas extras, conforme necessário. Número de horas por semana: 45. Horário de trabalho (início/término): 7h às 17h.</v>
      </c>
    </row>
    <row r="2476" ht="20.25" customHeight="1">
      <c r="A2476" s="3" t="s">
        <v>10782</v>
      </c>
      <c r="B2476" s="3" t="s">
        <v>10584</v>
      </c>
      <c r="C2476" s="3" t="s">
        <v>10337</v>
      </c>
      <c r="D2476" s="3" t="s">
        <v>71</v>
      </c>
      <c r="E2476" s="4" t="s">
        <v>19</v>
      </c>
      <c r="F2476" s="4" t="s">
        <v>20</v>
      </c>
      <c r="G2476" s="4" t="s">
        <v>56</v>
      </c>
      <c r="H2476" s="3" t="s">
        <v>10585</v>
      </c>
      <c r="I2476" s="3" t="s">
        <v>10586</v>
      </c>
      <c r="J2476" s="4">
        <v>24.2</v>
      </c>
      <c r="K2476" s="4">
        <v>20.0</v>
      </c>
      <c r="L2476" s="3" t="s">
        <v>59</v>
      </c>
      <c r="M2476" s="3" t="s">
        <v>10587</v>
      </c>
      <c r="N2476" s="7" t="str">
        <f>IFERROR(__xludf.DUMMYFUNCTION("GOOGLETRANSLATE(L2476, ""en"", ""pt"")"),"Trabalhador de paisagismo")</f>
        <v>Trabalhador de paisagismo</v>
      </c>
      <c r="O2476" s="7" t="str">
        <f>IFERROR(__xludf.DUMMYFUNCTION("IF(M2476="""","""",GOOGLETRANSLATE(M2476,""en"",""pt""))"),"***Resposta à Solicitação de Informações*** Os trabalhadores operarão equipamentos mecanizados de paisagismo e irrigação para transportar, distribuir e instalar materiais utilizados em projetos de reforma, paisagismo e manutenção de campos de golfe. As ta"&amp;"refas específicas para as quais o equipamento será utilizado incluem movimentar e colocar grama, areia, cascalho, substrato para greens, materiais de irrigação, componentes de aspersores e outros suprimentos de paisagismo; preparar áreas ajardinadas para "&amp;"instalação de irrigação; auxiliar na instalação de sistemas de irrigação; e manter os campos de golfe e as superfícies de jogo. Os trabalhadores utilizarão ferramentas manuais e elétricas comumente empregadas em atividades de paisagismo e jardinagem, incl"&amp;"uindo pás, ancinhos, carrinhos de mão, compactadores, facas de grama, roçadeiras e ferramentas de instalação de irrigação. Os trabalhadores também podem operar os seguintes equipamentos para remover a grama existente e preparar o terreno para a instalação"&amp;" de grama em placas, bem como para distribuir materiais de paisagismo em toda a propriedade: veículo utilitário Kubota RTV-X1140WL-A (25 HP; peso operacional de 2.380 a 2.390 libras; capacidade de carga de 1.600 libras) usado para transportar materiais de"&amp;" paisagismo, suprimentos de irrigação, ferramentas e equipamentos por todo o campo de golfe; trator Kubota MX5200 com reboque Gearmore (55 HP; peso operacional de 6.800 libras) usado para transportar e distribuir areia, mistura para greens, cascalho, gram"&amp;"a em placas e outros materiais de paisagismo; cortador de grama Billy Goat SC182HCA (5,5 HP; peso operacional de 395 libras) usado para remover a grama existente em preparação para a instalação de grama em placas e melhorias paisagísticas; e compactador d"&amp;"e solo Mikasa Multiquip MTX60HD com motor Honda GX100 (2,8 HP; peso operacional de 64 kg) usado para compactar o solo e aterrar ao redor de instalações de irrigação e áreas ajardinadas. ***Original*** Executa diversas tarefas de reforma e paisagismo de ca"&amp;"mpos de golfe, incluindo a preparação de áreas ajardinadas e de jogo; prepara componentes do sistema de irrigação, cola/funde conexões e interligações; instala tubulações de irrigação, fios e aspersores; utiliza ferramentas manuais para instalar drenagem "&amp;"e interligações de irrigação; espalha e assenta materiais como sementes de grama, grama em placas, substrato para greens, cascalho e areia; opera equipamentos mecanizados para movimentar e instalar materiais. Os trabalhadores auxiliam na instalação de com"&amp;"ponentes de irrigação do campo de golfe. Os trabalhadores usarão equipamentos de paisagismo e irrigação, juntamente com pás e outras ferramentas manuais, para nivelar superfícies e preparar áreas para irrigação, conforme necessário. O trabalho geralmente "&amp;"é realizado de segunda a sexta, das 7h às 17h, mas fins de semana e horas extras podem ser necessários, dependendo das condições climáticas. ***Se necessário, o empregador pretende auxiliar trabalhadores estrangeiros e não residentes nos EUA contratados d"&amp;"e acordo com esta ordem de serviço a garantir acomodação paga pelo trabalhador, não excedendo o custo justo de mercado razoável. Classificação do Cargo: 47-2073.00 - Operadores de Máquinas e Outros Operadores de Equipamentos de Construção. A classificação"&amp;" e descrição do cargo/setor incluem informações gerais sobre a posição, de acordo com o ONET/OES e o Sistema de Classificação Industrial da América do Norte. Consulte as Funções e a Ordem de Serviço para obter mais informações. Requisitos do Cargo Experiê"&amp;"ncia Necessária: Sim Meses de Experiência Necessária: 3 Requisitos Especiais: 3 meses de experiência utilizando conhecimento básico de layout de campo de golfe; Conhecimento de sistemas de irrigação de campos de golfe, incluindo a capacidade de instalar/r"&amp;"eparar componentes principais; conhecimento de tarefas de paisagismo em campos de golfe, incluindo construção/reparo de greens, tees e bunkers. 3 meses de experiência operando qualquer um dos seguintes equipamentos: trator, minicarregadeira, arado/escavad"&amp;"eira. Disponibilidade para realizar horas extras, conforme necessário. Número de horas por semana: 45. Horário de trabalho (início/término): 7h às 17h.")</f>
        <v>***Resposta à Solicitação de Informações*** Os trabalhadores operarão equipamentos mecanizados de paisagismo e irrigação para transportar, distribuir e instalar materiais utilizados em projetos de reforma, paisagismo e manutenção de campos de golfe. As tarefas específicas para as quais o equipamento será utilizado incluem movimentar e colocar grama, areia, cascalho, substrato para greens, materiais de irrigação, componentes de aspersores e outros suprimentos de paisagismo; preparar áreas ajardinadas para instalação de irrigação; auxiliar na instalação de sistemas de irrigação; e manter os campos de golfe e as superfícies de jogo. Os trabalhadores utilizarão ferramentas manuais e elétricas comumente empregadas em atividades de paisagismo e jardinagem, incluindo pás, ancinhos, carrinhos de mão, compactadores, facas de grama, roçadeiras e ferramentas de instalação de irrigação. Os trabalhadores também podem operar os seguintes equipamentos para remover a grama existente e preparar o terreno para a instalação de grama em placas, bem como para distribuir materiais de paisagismo em toda a propriedade: veículo utilitário Kubota RTV-X1140WL-A (25 HP; peso operacional de 2.380 a 2.390 libras; capacidade de carga de 1.600 libras) usado para transportar materiais de paisagismo, suprimentos de irrigação, ferramentas e equipamentos por todo o campo de golfe; trator Kubota MX5200 com reboque Gearmore (55 HP; peso operacional de 6.800 libras) usado para transportar e distribuir areia, mistura para greens, cascalho, grama em placas e outros materiais de paisagismo; cortador de grama Billy Goat SC182HCA (5,5 HP; peso operacional de 395 libras) usado para remover a grama existente em preparação para a instalação de grama em placas e melhorias paisagísticas; e compactador de solo Mikasa Multiquip MTX60HD com motor Honda GX100 (2,8 HP; peso operacional de 64 kg) usado para compactar o solo e aterrar ao redor de instalações de irrigação e áreas ajardinadas. ***Original*** Executa diversas tarefas de reforma e paisagismo de campos de golfe, incluindo a preparação de áreas ajardinadas e de jogo; prepara componentes do sistema de irrigação, cola/funde conexões e interligações; instala tubulações de irrigação, fios e aspersores; utiliza ferramentas manuais para instalar drenagem e interligações de irrigação; espalha e assenta materiais como sementes de grama, grama em placas, substrato para greens, cascalho e areia; opera equipamentos mecanizados para movimentar e instalar materiais. Os trabalhadores auxiliam na instalação de componentes de irrigação do campo de golfe. Os trabalhadores usarão equipamentos de paisagismo e irrigação, juntamente com pás e outras ferramentas manuais, para nivelar superfícies e preparar áreas para irrigação, conforme necessário. O trabalho geralmente é realizado de segunda a sexta, das 7h às 17h, mas fins de semana e horas extras podem ser necessários, dependendo das condições climáticas. ***Se necessário, o empregador pretende auxiliar trabalhadores estrangeiros e não residentes nos EUA contratados de acordo com esta ordem de serviço a garantir acomodação paga pelo trabalhador, não excedendo o custo justo de mercado razoável. Classificação do Cargo: 47-2073.00 - Operadores de Máquinas e Outros Operadores de Equipamentos de Construção. A classificação e descrição do cargo/setor incluem informações gerais sobre a posição, de acordo com o ONET/OES e o Sistema de Classificação Industrial da América do Norte. Consulte as Funções e a Ordem de Serviço para obter mais informações. Requisitos do Cargo Experiência Necessária: Sim Meses de Experiência Necessária: 3 Requisitos Especiais: 3 meses de experiência utilizando conhecimento básico de layout de campo de golfe; Conhecimento de sistemas de irrigação de campos de golfe, incluindo a capacidade de instalar/reparar componentes principais; conhecimento de tarefas de paisagismo em campos de golfe, incluindo construção/reparo de greens, tees e bunkers. 3 meses de experiência operando qualquer um dos seguintes equipamentos: trator, minicarregadeira, arado/escavadeira. Disponibilidade para realizar horas extras, conforme necessário. Número de horas por semana: 45. Horário de trabalho (início/término): 7h às 17h.</v>
      </c>
    </row>
    <row r="2477" ht="20.25" customHeight="1">
      <c r="A2477" s="8" t="s">
        <v>10783</v>
      </c>
      <c r="B2477" s="8" t="s">
        <v>10584</v>
      </c>
      <c r="C2477" s="8" t="s">
        <v>10337</v>
      </c>
      <c r="D2477" s="8" t="s">
        <v>3015</v>
      </c>
      <c r="E2477" s="9" t="s">
        <v>19</v>
      </c>
      <c r="F2477" s="9" t="s">
        <v>20</v>
      </c>
      <c r="G2477" s="9" t="s">
        <v>56</v>
      </c>
      <c r="H2477" s="8" t="s">
        <v>10585</v>
      </c>
      <c r="I2477" s="8" t="s">
        <v>10586</v>
      </c>
      <c r="J2477" s="9">
        <v>19.48</v>
      </c>
      <c r="K2477" s="9">
        <v>20.0</v>
      </c>
      <c r="L2477" s="8" t="s">
        <v>59</v>
      </c>
      <c r="M2477" s="8" t="s">
        <v>10784</v>
      </c>
      <c r="N2477" s="7" t="str">
        <f>IFERROR(__xludf.DUMMYFUNCTION("GOOGLETRANSLATE(L2477, ""en"", ""pt"")"),"Trabalhador de paisagismo")</f>
        <v>Trabalhador de paisagismo</v>
      </c>
      <c r="O2477" s="7" t="str">
        <f>IFERROR(__xludf.DUMMYFUNCTION("IF(M2477="""","""",GOOGLETRANSLATE(M2477,""en"",""pt""))"),"***Resposta à Solicitação de Informações*** Os trabalhadores operarão equipamentos mecanizados de paisagismo e irrigação para transportar, distribuir e instalar materiais utilizados em projetos de reforma, paisagismo e manutenção de campos de golfe. As ta"&amp;"refas específicas para as quais o equipamento será utilizado incluem movimentar e colocar grama, areia, cascalho, substrato para greens, materiais de irrigação, componentes de aspersores e outros suprimentos de paisagismo; preparar áreas ajardinadas para "&amp;"instalação de irrigação; auxiliar na instalação de sistemas de irrigação; e manter os campos de golfe e as superfícies de jogo. Os trabalhadores utilizarão ferramentas manuais e elétricas comumente empregadas em atividades de paisagismo e jardinagem, incl"&amp;"uindo pás, ancinhos, carrinhos de mão, compactadores, facas de grama, roçadeiras e ferramentas de instalação de irrigação. Os trabalhadores podem, mas provavelmente não irão, operar os seguintes equipamentos para a remoção de grama e preparação do terreno"&amp;" para a instalação de nova grama em placas e distribuição de materiais de paisagismo em toda a propriedade: veículo utilitário Kubota RTV-X1140WL-A (25 HP; peso operacional de 2.380 a 2.390 libras; capacidade de carga de 1.600 libras); e compactador de so"&amp;"lo Multiquip MTX60HD Mikasa com motor Honda GX100 (2,8 HP; peso operacional de 141 libras) usado para compactar o solo e aterrar ao redor de instalações de irrigação e áreas ajardinadas. ***Original*** Executa diversas tarefas de reforma e paisagismo de c"&amp;"ampos de golfe, incluindo a preparação de áreas ajardinadas e de jogo; prepara componentes do sistema de irrigação, cola/funde conexões e interligações; instala linhas de irrigação, fios e aspersores; utiliza ferramentas manuais para instalar drenagem e i"&amp;"nterligações de irrigação; espalha e assenta materiais como sementes de grama, grama em placas, mistura para greens, cascalho e areia; Opera equipamentos mecanizados para movimentar e instalar materiais. Auxiliares na instalação de componentes de irrigaçã"&amp;"o em campos de golfe. Os trabalhadores utilizarão equipamentos de paisagismo e irrigação, juntamente com pás e outras ferramentas manuais, para nivelar o solo e preparar as áreas para irrigação, conforme necessário. O TRABALHO É GERALMENTE REALIZADO DE SE"&amp;"GUNDA A SEXTA, DAS 7H ÀS 17H, MAS FINS DE SEMANA E HORAS EXTRAS PODEM SER NECESSÁRIOS, DEPENDENDO DAS CONDIÇÕES CLIMÁTICAS. ***CASO NECESSÁRIO, O EMPREGADOR PRETENDE AUXILIAR TRABALHADORES ESTRANGEIROS E NÃO RESIDENTES NOS EUA CONTRATADOS DE ACORDO COM ES"&amp;"TA ORDEM DE EMPREGO A OBTER ALOJAMENTO PAGO PELO TRABALHADOR, NÃO EXCEDENDO O VALOR JUSTO DE MERCADO. Classificação do Cargo: 37-3011.00 - Trabalhadores de Paisagismo e Manutenção de Jardins. A classificação e descrição do cargo/setor incluem informações "&amp;"gerais sobre a posição, conforme o ONET/OES e o Sistema de Classificação Industrial da América do Norte. Consulte as Funções e a Ordem de Serviço para obter mais informações. Requisitos do Cargo Experiência Necessária: Sim Meses de Experiência Necessários"&amp;": 3 Requisitos Especiais: 3 meses de experiência utilizando conhecimento básico de layout de campos de golfe; compreensão de sistemas de irrigação de campos de golfe, incluindo a capacidade de instalar/reparar componentes-chave; conhecimento de tarefas de"&amp;" paisagismo de campos de golfe, incluindo construção/reparo de greens, tees e bunkers. Experiência de 3 meses operando qualquer um dos seguintes equipamentos: trator, minicarregadeira, arado/escavadeira. Disponibilidade para fazer horas extras, conforme n"&amp;"ecessário. Número de horas por semana: 45. Horário de trabalho (início/término): 7h às 17h.")</f>
        <v>***Resposta à Solicitação de Informações*** Os trabalhadores operarão equipamentos mecanizados de paisagismo e irrigação para transportar, distribuir e instalar materiais utilizados em projetos de reforma, paisagismo e manutenção de campos de golfe. As tarefas específicas para as quais o equipamento será utilizado incluem movimentar e colocar grama, areia, cascalho, substrato para greens, materiais de irrigação, componentes de aspersores e outros suprimentos de paisagismo; preparar áreas ajardinadas para instalação de irrigação; auxiliar na instalação de sistemas de irrigação; e manter os campos de golfe e as superfícies de jogo. Os trabalhadores utilizarão ferramentas manuais e elétricas comumente empregadas em atividades de paisagismo e jardinagem, incluindo pás, ancinhos, carrinhos de mão, compactadores, facas de grama, roçadeiras e ferramentas de instalação de irrigação. Os trabalhadores podem, mas provavelmente não irão, operar os seguintes equipamentos para a remoção de grama e preparação do terreno para a instalação de nova grama em placas e distribuição de materiais de paisagismo em toda a propriedade: veículo utilitário Kubota RTV-X1140WL-A (25 HP; peso operacional de 2.380 a 2.390 libras; capacidade de carga de 1.600 libras); e compactador de solo Multiquip MTX60HD Mikasa com motor Honda GX100 (2,8 HP; peso operacional de 141 libras) usado para compactar o solo e aterrar ao redor de instalações de irrigação e áreas ajardinadas. ***Original*** Executa diversas tarefas de reforma e paisagismo de campos de golfe, incluindo a preparação de áreas ajardinadas e de jogo; prepara componentes do sistema de irrigação, cola/funde conexões e interligações; instala linhas de irrigação, fios e aspersores; utiliza ferramentas manuais para instalar drenagem e interligações de irrigação; espalha e assenta materiais como sementes de grama, grama em placas, mistura para greens, cascalho e areia; Opera equipamentos mecanizados para movimentar e instalar materiais. Auxiliares na instalação de componentes de irrigação em campos de golfe. Os trabalhadores utilizarão equipamentos de paisagismo e irrigação, juntamente com pás e outras ferramentas manuais, para nivelar o solo e preparar as áreas para irrigação, conforme necessário. O TRABALHO É GERALMENTE REALIZADO DE SEGUNDA A SEXTA, DAS 7H ÀS 17H, MAS FINS DE SEMANA E HORAS EXTRAS PODEM SER NECESSÁRIOS, DEPENDENDO DAS CONDIÇÕES CLIMÁTICAS. ***CASO NECESSÁRIO, O EMPREGADOR PRETENDE AUXILIAR TRABALHADORES ESTRANGEIROS E NÃO RESIDENTES NOS EUA CONTRATADOS DE ACORDO COM ESTA ORDEM DE EMPREGO A OBTER ALOJAMENTO PAGO PELO TRABALHADOR, NÃO EXCEDENDO O VALOR JUSTO DE MERCADO. Classificação do Cargo: 37-3011.00 - Trabalhadores de Paisagismo e Manutenção de Jardins. A classificação e descrição do cargo/setor incluem informações gerais sobre a posição, conforme o ONET/OES e o Sistema de Classificação Industrial da América do Norte. Consulte as Funções e a Ordem de Serviço para obter mais informações. Requisitos do Cargo Experiência Necessária: Sim Meses de Experiência Necessários: 3 Requisitos Especiais: 3 meses de experiência utilizando conhecimento básico de layout de campos de golfe; compreensão de sistemas de irrigação de campos de golfe, incluindo a capacidade de instalar/reparar componentes-chave; conhecimento de tarefas de paisagismo de campos de golfe, incluindo construção/reparo de greens, tees e bunkers. Experiência de 3 meses operando qualquer um dos seguintes equipamentos: trator, minicarregadeira, arado/escavadeira. Disponibilidade para fazer horas extras, conforme necessário. Número de horas por semana: 45. Horário de trabalho (início/término): 7h às 17h.</v>
      </c>
    </row>
    <row r="2478" ht="20.25" customHeight="1">
      <c r="A2478" s="3" t="s">
        <v>10785</v>
      </c>
      <c r="B2478" s="3" t="s">
        <v>10591</v>
      </c>
      <c r="C2478" s="3" t="s">
        <v>10337</v>
      </c>
      <c r="D2478" s="3" t="s">
        <v>3015</v>
      </c>
      <c r="E2478" s="4" t="s">
        <v>44</v>
      </c>
      <c r="F2478" s="4" t="s">
        <v>20</v>
      </c>
      <c r="G2478" s="4" t="s">
        <v>56</v>
      </c>
      <c r="H2478" s="3" t="s">
        <v>10585</v>
      </c>
      <c r="I2478" s="3" t="s">
        <v>10586</v>
      </c>
      <c r="J2478" s="4">
        <v>28.13</v>
      </c>
      <c r="K2478" s="4">
        <v>3.0</v>
      </c>
      <c r="L2478" s="3" t="s">
        <v>3563</v>
      </c>
      <c r="M2478" s="3" t="s">
        <v>10786</v>
      </c>
      <c r="N2478" s="7" t="str">
        <f>IFERROR(__xludf.DUMMYFUNCTION("GOOGLETRANSLATE(L2478, ""en"", ""pt"")"),"Capataz")</f>
        <v>Capataz</v>
      </c>
      <c r="O2478" s="7" t="str">
        <f>IFERROR(__xludf.DUMMYFUNCTION("IF(M2478="""","""",GOOGLETRANSLATE(M2478,""en"",""pt""))"),"Trabalho braçal prático em canteiros de obras de campos de golfe, incluindo demarcação/layout, drenagem, bunkers, acabamento, greens e tees, operação de equipamentos, etc.; informa as equipes sobre as atividades planejadas para o dia e fornece as ferramen"&amp;"tas e materiais necessários; instrui, supervisiona e treina as equipes nas tarefas designadas, como instalação de irrigação, criação de tees e bunkers, plantio de grama, semeadura, demarcação/sinalização, operação e manutenção de equipamentos; gerencia o "&amp;"estoque de equipamentos, suprimentos, materiais e combustível; identifica e elimina possíveis desperdícios que possam ocorrer durante a execução das tarefas designadas, incluindo desperdício de materiais como aspersores de irrigação, tubos e fios de irrig"&amp;"ação, cascalho e mistura para greens; garante que os equipamentos e ferramentas designados sejam mantidos adequadamente por meio da realização de manutenção preventiva de rotina; auxilia na manutenção dos registros do projeto, como comprovantes de entrega"&amp;", ordens de compra e listas de reuniões de segurança; auxilia na criação de desenhos ""as-built""; e relata possíveis problemas ao Superintendente do Projeto. O trabalho geralmente é realizado de segunda a sexta, das 7h às 17h, mas fins de semana e horas "&amp;"extras podem ser necessários, dependendo das condições climáticas. ***Se necessário, o empregador pretende auxiliar trabalhadores estrangeiros e não residentes nos EUA contratados de acordo com esta ordem de serviço a garantir acomodação paga pelo trabalh"&amp;"ador, não excedendo o custo justo de mercado razoável. Classificação do cargo: 37-1012.00 - Supervisores de primeira linha de trabalhadores de paisagismo, jardinagem e manutenção de áreas verdes. A classificação e descrição do cargo/setor incluem informaç"&amp;"ões gerais sobre a posição, conforme o ONET/OES e o Sistema de Classificação Industrial da América do Norte. Consulte as atribuições e a ordem de serviço para obter mais informações. Requisitos da vaga Experiência necessária: Sim Meses de experiência nece"&amp;"ssários: 12 Requisitos especiais: Certificação como Fundidor de Tubos Certificado por um fornecedor reconhecido, como CMF Global, ISCO, Ewing Irrigation ou ADS. 12 meses de experiência em construção e reforma de campos de golfe. Disponibilidade para reali"&amp;"zar horas extras, quando necessário. Número de horas por semana: 45 Horário de trabalho (início/término): 7h às 17h")</f>
        <v>Trabalho braçal prático em canteiros de obras de campos de golfe, incluindo demarcação/layout, drenagem, bunkers, acabamento, greens e tees, operação de equipamentos, etc.; informa as equipes sobre as atividades planejadas para o dia e fornece as ferramentas e materiais necessários; instrui, supervisiona e treina as equipes nas tarefas designadas, como instalação de irrigação, criação de tees e bunkers, plantio de grama, semeadura, demarcação/sinalização, operação e manutenção de equipamentos; gerencia o estoque de equipamentos, suprimentos, materiais e combustível; identifica e elimina possíveis desperdícios que possam ocorrer durante a execução das tarefas designadas, incluindo desperdício de materiais como aspersores de irrigação, tubos e fios de irrigação, cascalho e mistura para greens; garante que os equipamentos e ferramentas designados sejam mantidos adequadamente por meio da realização de manutenção preventiva de rotina; auxilia na manutenção dos registros do projeto, como comprovantes de entrega, ordens de compra e listas de reuniões de segurança; auxilia na criação de desenhos "as-built"; e relata possíveis problemas ao Superintendente do Projeto. O trabalho geralmente é realizado de segunda a sexta, das 7h às 17h, mas fins de semana e horas extras podem ser necessários, dependendo das condições climáticas. ***Se necessário, o empregador pretende auxiliar trabalhadores estrangeiros e não residentes nos EUA contratados de acordo com esta ordem de serviço a garantir acomodação paga pelo trabalhador, não excedendo o custo justo de mercado razoável. Classificação do cargo: 37-1012.00 - Supervisores de primeira linha de trabalhadores de paisagismo, jardinagem e manutenção de áreas verdes. A classificação e descrição do cargo/setor incluem informações gerais sobre a posição, conforme o ONET/OES e o Sistema de Classificação Industrial da América do Norte. Consulte as atribuições e a ordem de serviço para obter mais informações. Requisitos da vaga Experiência necessária: Sim Meses de experiência necessários: 12 Requisitos especiais: Certificação como Fundidor de Tubos Certificado por um fornecedor reconhecido, como CMF Global, ISCO, Ewing Irrigation ou ADS. 12 meses de experiência em construção e reforma de campos de golfe. Disponibilidade para realizar horas extras, quando necessário. Número de horas por semana: 45 Horário de trabalho (início/término): 7h às 17h</v>
      </c>
    </row>
    <row r="2479" ht="20.25" customHeight="1">
      <c r="A2479" s="8" t="s">
        <v>10787</v>
      </c>
      <c r="B2479" s="8" t="s">
        <v>10788</v>
      </c>
      <c r="C2479" s="8" t="s">
        <v>10726</v>
      </c>
      <c r="D2479" s="8" t="s">
        <v>254</v>
      </c>
      <c r="E2479" s="9" t="s">
        <v>19</v>
      </c>
      <c r="F2479" s="9" t="s">
        <v>20</v>
      </c>
      <c r="G2479" s="9" t="s">
        <v>377</v>
      </c>
      <c r="H2479" s="8" t="s">
        <v>10727</v>
      </c>
      <c r="I2479" s="8" t="s">
        <v>10728</v>
      </c>
      <c r="J2479" s="9">
        <v>15.04</v>
      </c>
      <c r="K2479" s="9">
        <v>3.0</v>
      </c>
      <c r="L2479" s="8" t="s">
        <v>387</v>
      </c>
      <c r="M2479" s="8" t="s">
        <v>10789</v>
      </c>
      <c r="N2479" s="7" t="str">
        <f>IFERROR(__xludf.DUMMYFUNCTION("GOOGLETRANSLATE(L2479, ""en"", ""pt"")"),"Ordem de serviço não disponível")</f>
        <v>Ordem de serviço não disponível</v>
      </c>
      <c r="O2479" s="7" t="str">
        <f>IFERROR(__xludf.DUMMYFUNCTION("IF(M2479="""","""",GOOGLETRANSLATE(M2479,""en"",""pt""))"),"Cozinheiros preparam, temperam e cozinham pratos como sopas, legumes, carnes e sobremesas em restaurantes. Garantem a consistência, a qualidade e a segurança dos alimentos para os clientes. Realizam a manutenção e limpeza diárias dos equipamentos de cozin"&amp;"ha, como lava-louças, grelha, fritadeira, forno, refrigeradores, etc. Pesam e porcionam os alimentos. Classificação da vaga: 35-2014.00 - Cozinheiros, Restaurante. A classificação e a descrição da vaga/setor incluem informações gerais sobre o cargo, de ac"&amp;"ordo com o ONET/OES e o Sistema de Classificação Industrial da América do Norte. Consulte as Funções e a Ordem de Serviço para obter mais informações. Requisitos da vaga: Experiência exigida: Não. Requisitos especiais: O empregador oferecerá pelo menos 40"&amp;" horas de trabalho por semana, de domingo a sábado, entre 10h e 14h e entre 16h e 20h, com folgas variáveis. Número de horas por semana: 40. Horário de trabalho (início/término): 10h às 20h.")</f>
        <v>Cozinheiros preparam, temperam e cozinham pratos como sopas, legumes, carnes e sobremesas em restaurantes. Garantem a consistência, a qualidade e a segurança dos alimentos para os clientes. Realizam a manutenção e limpeza diárias dos equipamentos de cozinha, como lava-louças, grelha, fritadeira, forno, refrigeradores, etc. Pesam e porcionam os alimentos. Classificação da vaga: 35-2014.00 - Cozinheiros, Restaurante. A classificação e a descrição da vaga/setor incluem informações gerais sobre o cargo, de acordo com o ONET/OES e o Sistema de Classificação Industrial da América do Norte. Consulte as Funções e a Ordem de Serviço para obter mais informações. Requisitos da vaga: Experiência exigida: Não. Requisitos especiais: O empregador oferecerá pelo menos 40 horas de trabalho por semana, de domingo a sábado, entre 10h e 14h e entre 16h e 20h, com folgas variáveis. Número de horas por semana: 40. Horário de trabalho (início/término): 10h às 20h.</v>
      </c>
    </row>
    <row r="2480" ht="20.25" customHeight="1">
      <c r="A2480" s="3" t="s">
        <v>10790</v>
      </c>
      <c r="B2480" s="3" t="s">
        <v>10791</v>
      </c>
      <c r="C2480" s="3" t="s">
        <v>10792</v>
      </c>
      <c r="D2480" s="3" t="s">
        <v>140</v>
      </c>
      <c r="E2480" s="4" t="s">
        <v>19</v>
      </c>
      <c r="F2480" s="4" t="s">
        <v>20</v>
      </c>
      <c r="G2480" s="4" t="s">
        <v>377</v>
      </c>
      <c r="H2480" s="3" t="s">
        <v>10793</v>
      </c>
      <c r="I2480" s="3" t="s">
        <v>10794</v>
      </c>
      <c r="J2480" s="4">
        <v>15.86</v>
      </c>
      <c r="K2480" s="4">
        <v>70.0</v>
      </c>
      <c r="L2480" s="3" t="s">
        <v>10795</v>
      </c>
      <c r="M2480" s="3" t="s">
        <v>10796</v>
      </c>
      <c r="N2480" s="7" t="str">
        <f>IFERROR(__xludf.DUMMYFUNCTION("GOOGLETRANSLATE(L2480, ""en"", ""pt"")"),"padeiros")</f>
        <v>padeiros</v>
      </c>
      <c r="O2480" s="7" t="str">
        <f>IFERROR(__xludf.DUMMYFUNCTION("IF(M2480="""","""",GOOGLETRANSLATE(M2480,""en"",""pt""))"),"Embalar brownies, bolos, biscoitos e outras sobremesas em uma padaria. Montar, forrar e acolchoar caixas, embalagens e recipientes, utilizando ferramentas manuais. Trabalhar em um ambiente quente e em ritmo acelerado. Classificação da vaga: 51-3011.00 - P"&amp;"adeiros. A classificação e descrição da vaga/setor inclui informações gerais sobre o cargo, de acordo com o ONET/OES e o Sistema de Classificação Industrial da América do Norte (NAICS). Consulte as Funções e a Ordem de Serviço para obter mais informações."&amp;" Requisitos da vaga: Experiência necessária: Não. Requisitos especiais: 40 horas semanais, sendo a semana de trabalho considerada para o cálculo da remuneração, 5 dias de segunda a domingo, com dois dias de folga variáveis ​​(de acordo com os pedidos dos "&amp;"clientes). Turnos variados: Turno de Massa 1: 00h00 às 9h00 (ou até o término da produção); Turno de Embalagem 1: 01h00 às 10h00 (ou até o término da produção); Turno de Embalagem 2: 02h00 às 11h00 (ou até o término da produção); Turno de Decoração: 8h00 "&amp;"às 17h00 (ou até o término da produção); Turno de Massa 2: 9h00 às 18h00 (ou até o término da produção); Linha de Bolos Bundt Pequenos: 9h00 às 18h00 (ou até o término da produção). - Média de 40 horas semanais com 30 minutos de intervalo para almoço não "&amp;"remunerado. - Um intervalo remunerado de 10 minutos para turnos com mais de 8 horas de duração. Número de horas por semana: 56. Horário de trabalho (início/término): 8h00 às 17h00.")</f>
        <v>Embalar brownies, bolos, biscoitos e outras sobremesas em uma padaria. Montar, forrar e acolchoar caixas, embalagens e recipientes, utilizando ferramentas manuais. Trabalhar em um ambiente quente e em ritmo acelerado. Classificação da vaga: 51-3011.00 - Padeiros. A classificação e descrição da vaga/setor inclui informações gerais sobre o cargo, de acordo com o ONET/OES e o Sistema de Classificação Industrial da América do Norte (NAICS). Consulte as Funções e a Ordem de Serviço para obter mais informações. Requisitos da vaga: Experiência necessária: Não. Requisitos especiais: 40 horas semanais, sendo a semana de trabalho considerada para o cálculo da remuneração, 5 dias de segunda a domingo, com dois dias de folga variáveis ​​(de acordo com os pedidos dos clientes). Turnos variados: Turno de Massa 1: 00h00 às 9h00 (ou até o término da produção); Turno de Embalagem 1: 01h00 às 10h00 (ou até o término da produção); Turno de Embalagem 2: 02h00 às 11h00 (ou até o término da produção); Turno de Decoração: 8h00 às 17h00 (ou até o término da produção); Turno de Massa 2: 9h00 às 18h00 (ou até o término da produção); Linha de Bolos Bundt Pequenos: 9h00 às 18h00 (ou até o término da produção). - Média de 40 horas semanais com 30 minutos de intervalo para almoço não remunerado. - Um intervalo remunerado de 10 minutos para turnos com mais de 8 horas de duração. Número de horas por semana: 56. Horário de trabalho (início/término): 8h00 às 17h00.</v>
      </c>
    </row>
    <row r="2481" ht="20.25" customHeight="1">
      <c r="A2481" s="8" t="s">
        <v>10797</v>
      </c>
      <c r="B2481" s="8" t="s">
        <v>10798</v>
      </c>
      <c r="C2481" s="8" t="s">
        <v>101</v>
      </c>
      <c r="D2481" s="8" t="s">
        <v>498</v>
      </c>
      <c r="E2481" s="9" t="s">
        <v>19</v>
      </c>
      <c r="F2481" s="9" t="s">
        <v>20</v>
      </c>
      <c r="G2481" s="9" t="s">
        <v>80</v>
      </c>
      <c r="H2481" s="14" t="s">
        <v>10799</v>
      </c>
      <c r="I2481" s="8" t="s">
        <v>10800</v>
      </c>
      <c r="J2481" s="9">
        <v>16.67</v>
      </c>
      <c r="K2481" s="9">
        <v>3.0</v>
      </c>
      <c r="L2481" s="8" t="s">
        <v>387</v>
      </c>
      <c r="M2481" s="8" t="s">
        <v>10801</v>
      </c>
      <c r="N2481" s="7" t="str">
        <f>IFERROR(__xludf.DUMMYFUNCTION("GOOGLETRANSLATE(L2481, ""en"", ""pt"")"),"Ordem de serviço não disponível")</f>
        <v>Ordem de serviço não disponível</v>
      </c>
      <c r="O2481" s="7" t="str">
        <f>IFERROR(__xludf.DUMMYFUNCTION("IF(M2481="""","""",GOOGLETRANSLATE(M2481,""en"",""pt""))"),"As funções podem incluir: Manter as áreas de armazenamento e carrinhos bem abastecidos, limpos e organizados. Limpar quartos, corredores, saguões, salas de estar, banheiros, elevadores, escadas e outras áreas de trabalho, de forma a atender aos padrões de"&amp;" higiene. Esvaziar lixeiras, limpar cinzeiros e transportar outros lixos e resíduos para as áreas de descarte. Varrer, esfregar, encerar ou polir pisos, utilizando vassouras e esfregões. Repor suprimentos, como copos, roupas de cama, materiais de escrita "&amp;"e itens de banheiro. Limpar tapetes, carpetes, móveis estofados e cortinas, utilizando aspiradores de pó e lavadoras de carpetes. Lavar janelas, paredes, tetos e peças de madeira, encerando e polindo conforme necessário. Tirar o pó e polir móveis e equipa"&amp;"mentos. Desinfetar equipamentos e suprimentos. Separar, contar e etiquetar roupas de cama limpas e armazená-las em armários próprios. Separar roupas e outros artigos, carregar máquinas de lavar e passar e dobrar peças secas. Preparar salas para reuniões e"&amp;" organizar decorações, equipamentos de mídia e mobiliário para eventos sociais ou corporativos, além de outras atividades relacionadas a serviços domésticos, conforme SOC/OES 37-2012 (onetonline.org). Horário padrão/esperado: segunda a sábado, das 7h às 1"&amp;"5h. Oferecemos 35 horas semanais ou mais, sem incluir almoço e/ou intervalos. A escala semanal pode variar de acordo com as necessidades da empresa. Possibilidade de trabalho em fins de semana e feriados. Os horários de início e término, a carga horária o"&amp;"ferecida e/ou a possibilidade de horas extras podem variar, pois dependem de fatores como projetos/cronograma/necessidades do serviço, condições climáticas e tempo de deslocamento entre locais de trabalho (se aplicável). Horas extras são possíveis, mas nã"&amp;"o obrigatórias nem garantidas. A critério exclusivo do empregador: aumentos salariais e/ou bônus podem ser concedidos com base em fatores individuais, como desempenho ou habilidades (não garantidos). Classificação da Função: 37-2012.00 - Empregadas Domést"&amp;"icas e Auxiliares de Limpeza. A classificação e descrição da função/setor inclui informações gerais sobre o cargo, conforme o ONET/OES e o Sistema de Classificação Industrial da América do Norte (NAICS). Consulte as Funções e a Ordem de Serviço para obter"&amp;" mais informações. Requisitos da Função: Experiência Necessária: Não. Requisitos Especiais: É necessário comprovar autorização legal para trabalhar nos Estados Unidos. Ambiente de trabalho livre de drogas, álcool e tabaco. Executar atividades físicas, com"&amp;"o levantar, equilibrar-se, caminhar, abaixar-se, manusear, posicionar, mover e manipular materiais, utilizando força estática para exercer força muscular máxima para levantar, empurrar, puxar e carregar objetos de até 18 kg. Todos os candidatos devem ser "&amp;"capazes, dispostos e qualificados para executar o trabalho descrito e devem estar disponíveis durante todo o período especificado e trabalhar em todas as áreas da vaga. A critério/custo do Empregador: O trabalhador poderá ser submetido a testes aleatórios"&amp;" de drogas/álcool durante o emprego: teste positivo/recusa em cumprir o teste = demissão. Possível verificação de antecedentes após a contratação, por conta do empregador. O horário de trabalho pode variar de acordo com os picos e vales do turismo ao long"&amp;"o da temporada (+/-), podendo haver períodos de baixa temporada e/ou horas extras. Número de horas por semana: 35. Horário de trabalho (início/término): 7h às 15h.")</f>
        <v>As funções podem incluir: Manter as áreas de armazenamento e carrinhos bem abastecidos, limpos e organizados. Limpar quartos, corredores, saguões, salas de estar, banheiros, elevadores, escadas e outras áreas de trabalho, de forma a atender aos padrões de higiene. Esvaziar lixeiras, limpar cinzeiros e transportar outros lixos e resíduos para as áreas de descarte. Varrer, esfregar, encerar ou polir pisos, utilizando vassouras e esfregões. Repor suprimentos, como copos, roupas de cama, materiais de escrita e itens de banheiro. Limpar tapetes, carpetes, móveis estofados e cortinas, utilizando aspiradores de pó e lavadoras de carpetes. Lavar janelas, paredes, tetos e peças de madeira, encerando e polindo conforme necessário. Tirar o pó e polir móveis e equipamentos. Desinfetar equipamentos e suprimentos. Separar, contar e etiquetar roupas de cama limpas e armazená-las em armários próprios. Separar roupas e outros artigos, carregar máquinas de lavar e passar e dobrar peças secas. Preparar salas para reuniões e organizar decorações, equipamentos de mídia e mobiliário para eventos sociais ou corporativos, além de outras atividades relacionadas a serviços domésticos, conforme SOC/OES 37-2012 (onetonline.org). Horário padrão/esperado: segunda a sábado, das 7h às 15h. Oferecemos 35 horas semanais ou mais, sem incluir almoço e/ou intervalos. A escala semanal pode variar de acordo com as necessidades da empresa. Possibilidade de trabalho em fins de semana e feriados. Os horários de início e término, a carga horária oferecida e/ou a possibilidade de horas extras podem variar, pois dependem de fatores como projetos/cronograma/necessidades do serviço, condições climáticas e tempo de deslocamento entre locais de trabalho (se aplicável). Horas extras são possíveis, mas não obrigatórias nem garantidas. A critério exclusivo do empregador: aumentos salariais e/ou bônus podem ser concedidos com base em fatores individuais, como desempenho ou habilidades (não garantidos). Classificação da Função: 37-2012.00 - Empregadas Domésticas e Auxiliares de Limpeza. A classificação e descrição da função/setor inclui informações gerais sobre o cargo, conforme o ONET/OES e o Sistema de Classificação Industrial da América do Norte (NAICS). Consulte as Funções e a Ordem de Serviço para obter mais informações. Requisitos da Função: Experiência Necessária: Não. Requisitos Especiais: É necessário comprovar autorização legal para trabalhar nos Estados Unidos. Ambiente de trabalho livre de drogas, álcool e tabaco. Executar atividades físicas, como levantar, equilibrar-se, caminhar, abaixar-se, manusear, posicionar, mover e manipular materiais, utilizando força estática para exercer força muscular máxima para levantar, empurrar, puxar e carregar objetos de até 18 kg. Todos os candidatos devem ser capazes, dispostos e qualificados para executar o trabalho descrito e devem estar disponíveis durante todo o período especificado e trabalhar em todas as áreas da vaga. A critério/custo do Empregador: O trabalhador poderá ser submetido a testes aleatórios de drogas/álcool durante o emprego: teste positivo/recusa em cumprir o teste = demissão. Possível verificação de antecedentes após a contratação, por conta do empregador. O horário de trabalho pode variar de acordo com os picos e vales do turismo ao longo da temporada (+/-), podendo haver períodos de baixa temporada e/ou horas extras. Número de horas por semana: 35. Horário de trabalho (início/término): 7h às 15h.</v>
      </c>
    </row>
    <row r="2482" ht="20.25" customHeight="1">
      <c r="A2482" s="3" t="s">
        <v>10802</v>
      </c>
      <c r="B2482" s="3" t="s">
        <v>10803</v>
      </c>
      <c r="C2482" s="3" t="s">
        <v>10726</v>
      </c>
      <c r="D2482" s="3" t="s">
        <v>71</v>
      </c>
      <c r="E2482" s="4" t="s">
        <v>19</v>
      </c>
      <c r="F2482" s="4" t="s">
        <v>20</v>
      </c>
      <c r="G2482" s="4" t="s">
        <v>4629</v>
      </c>
      <c r="H2482" s="3" t="s">
        <v>10804</v>
      </c>
      <c r="I2482" s="3" t="s">
        <v>10805</v>
      </c>
      <c r="J2482" s="4">
        <v>16.29</v>
      </c>
      <c r="K2482" s="4">
        <v>40.0</v>
      </c>
      <c r="L2482" s="3" t="s">
        <v>4517</v>
      </c>
      <c r="M2482" s="3" t="s">
        <v>10806</v>
      </c>
      <c r="N2482" s="7" t="str">
        <f>IFERROR(__xludf.DUMMYFUNCTION("GOOGLETRANSLATE(L2482, ""en"", ""pt"")"),"tratador de estábulo")</f>
        <v>tratador de estábulo</v>
      </c>
      <c r="O2482" s="7" t="str">
        <f>IFERROR(__xludf.DUMMYFUNCTION("IF(M2482="""","""",GOOGLETRANSLATE(M2482,""en"",""pt""))"),"Cuidar de cavalos vivos. As tarefas incluem alimentar, dar água, banhar, exercitar, passear e embarcar os cavalos. Limpar e manter as baias. Trabalho em turnos divididos. Área de descanso fornecida. Classificação da vaga: 39-2021.00 - Cuidadores de Animai"&amp;"s. A classificação e descrição da vaga/setor inclui informações gerais sobre o cargo, de acordo com o ONET/OES e o Sistema de Classificação Industrial da América do Norte. Consulte as Funções e a Ordem de Serviço para obter mais informações. Requisitos da"&amp;" vaga: Experiência necessária: Não. Requisitos especiais: Disposição para trabalhar com cavalos puro-sangue. Os funcionários terão direito a pelo menos 40 horas de trabalho por semana, de segunda a sábado, entre 6h e 11h30 e entre 14h30 e 16h. Número de h"&amp;"oras por semana: 40. Horário de trabalho (início/término): 6h às 16h.")</f>
        <v>Cuidar de cavalos vivos. As tarefas incluem alimentar, dar água, banhar, exercitar, passear e embarcar os cavalos. Limpar e manter as baias. Trabalho em turnos divididos. Área de descanso fornecida. Classificação da vaga: 39-2021.00 - Cuidadores de Animais. A classificação e descrição da vaga/setor inclui informações gerais sobre o cargo, de acordo com o ONET/OES e o Sistema de Classificação Industrial da América do Norte. Consulte as Funções e a Ordem de Serviço para obter mais informações. Requisitos da vaga: Experiência necessária: Não. Requisitos especiais: Disposição para trabalhar com cavalos puro-sangue. Os funcionários terão direito a pelo menos 40 horas de trabalho por semana, de segunda a sábado, entre 6h e 11h30 e entre 14h30 e 16h. Número de horas por semana: 40. Horário de trabalho (início/término): 6h às 16h.</v>
      </c>
    </row>
    <row r="2483" ht="20.25" customHeight="1">
      <c r="A2483" s="8" t="s">
        <v>10807</v>
      </c>
      <c r="B2483" s="8" t="s">
        <v>7316</v>
      </c>
      <c r="C2483" s="8" t="s">
        <v>7533</v>
      </c>
      <c r="D2483" s="8" t="s">
        <v>36</v>
      </c>
      <c r="E2483" s="9" t="s">
        <v>44</v>
      </c>
      <c r="F2483" s="9" t="s">
        <v>20</v>
      </c>
      <c r="G2483" s="9" t="s">
        <v>80</v>
      </c>
      <c r="H2483" s="8" t="s">
        <v>7317</v>
      </c>
      <c r="I2483" s="8" t="s">
        <v>10662</v>
      </c>
      <c r="J2483" s="9">
        <v>20.23</v>
      </c>
      <c r="K2483" s="9">
        <v>8.0</v>
      </c>
      <c r="L2483" s="8" t="s">
        <v>406</v>
      </c>
      <c r="M2483" s="8" t="s">
        <v>10663</v>
      </c>
      <c r="N2483" s="7" t="str">
        <f>IFERROR(__xludf.DUMMYFUNCTION("GOOGLETRANSLATE(L2483, ""en"", ""pt"")"),"Trabalhador")</f>
        <v>Trabalhador</v>
      </c>
      <c r="O2483" s="7" t="str">
        <f>IFERROR(__xludf.DUMMYFUNCTION("IF(M2483="""","""",GOOGLETRANSLATE(M2483,""en"",""pt""))"),"***Resposta à Solicitação de Informações*** Os trabalhadores utilizam empilhadeiras e paleteiras para movimentar paletes de produtos lácteos vencidos em galões até máquinas que desembalam/abrem/perfuram os galões para coletar o leite líquido vencido (que "&amp;"cai em um reservatório sob os paletes). O leite coletado é pasteurizado, resfriado a 36 graus e enviado a granel para os criadouros de bezerros, onde é fornecido diretamente aos animais na forma líquida. ***Atribuições Originais*** Manter as áreas de arma"&amp;"zenamento de equipamentos para garantir a proteção do estoque. Ocupações relacionadas: Ler ordens de serviço ou receber instruções verbais para determinar as tarefas ou as necessidades de materiais ou equipamentos. Ocupações relacionadas: Movimentar carga"&amp;"s, estoque ou outros materiais de e para áreas de armazenamento ou produção, docas de carga, veículos de entrega, navios ou contêineres, manualmente ou utilizando caminhões, tratores ou outros equipamentos. Ocupações relacionadas: Instalar dispositivos de"&amp;" proteção, como escoras, acolchoamento ou cintas, para evitar deslocamento ou danos aos itens transportados. Ocupações relacionadas: Separar a carga antes do carregamento e descarregamento. Classificação da função: 53-7051.00 - Operadores de Empilhadeiras"&amp;" e Tratores Industriais. A classificação e descrição da função/setor incluem informações gerais sobre o cargo, conforme o ONET/OES e o Sistema de Classificação Industrial da América do Norte (NAICS). Consulte as Funções e a Ordem de Serviço para obter mai"&amp;"s informações. Requisitos da função: Experiência necessária: Não. Número de horas por semana: 40. Horário de trabalho (início/término): 7h às 16h.")</f>
        <v>***Resposta à Solicitação de Informações*** Os trabalhadores utilizam empilhadeiras e paleteiras para movimentar paletes de produtos lácteos vencidos em galões até máquinas que desembalam/abrem/perfuram os galões para coletar o leite líquido vencido (que cai em um reservatório sob os paletes). O leite coletado é pasteurizado, resfriado a 36 graus e enviado a granel para os criadouros de bezerros, onde é fornecido diretamente aos animais na forma líquida. ***Atribuições Originais*** Manter as áreas de armazenamento de equipamentos para garantir a proteção do estoque. Ocupações relacionadas: Ler ordens de serviço ou receber instruções verbais para determinar as tarefas ou as necessidades de materiais ou equipamentos. Ocupações relacionadas: Movimentar cargas, estoque ou outros materiais de e para áreas de armazenamento ou produção, docas de carga, veículos de entrega, navios ou contêineres, manualmente ou utilizando caminhões, tratores ou outros equipamentos. Ocupações relacionadas: Instalar dispositivos de proteção, como escoras, acolchoamento ou cintas, para evitar deslocamento ou danos aos itens transportados. Ocupações relacionadas: Separar a carga antes do carregamento e descarregamento. Classificação da função: 53-7051.00 - Operadores de Empilhadeiras e Tratores Industriais. A classificação e descrição da função/setor incluem informações gerais sobre o cargo, conforme o ONET/OES e o Sistema de Classificação Industrial da América do Norte (NAICS). Consulte as Funções e a Ordem de Serviço para obter mais informações. Requisitos da função: Experiência necessária: Não. Número de horas por semana: 40. Horário de trabalho (início/término): 7h às 16h.</v>
      </c>
    </row>
    <row r="2484" ht="20.25" customHeight="1">
      <c r="A2484" s="3" t="s">
        <v>10808</v>
      </c>
      <c r="B2484" s="3" t="s">
        <v>7316</v>
      </c>
      <c r="C2484" s="3" t="s">
        <v>7533</v>
      </c>
      <c r="D2484" s="3" t="s">
        <v>109</v>
      </c>
      <c r="E2484" s="4" t="s">
        <v>19</v>
      </c>
      <c r="F2484" s="4" t="s">
        <v>20</v>
      </c>
      <c r="G2484" s="4" t="s">
        <v>80</v>
      </c>
      <c r="H2484" s="3" t="s">
        <v>7317</v>
      </c>
      <c r="I2484" s="3" t="s">
        <v>10662</v>
      </c>
      <c r="J2484" s="4">
        <v>23.45</v>
      </c>
      <c r="K2484" s="4">
        <v>8.0</v>
      </c>
      <c r="L2484" s="3" t="s">
        <v>406</v>
      </c>
      <c r="M2484" s="3" t="s">
        <v>10663</v>
      </c>
      <c r="N2484" s="7" t="str">
        <f>IFERROR(__xludf.DUMMYFUNCTION("GOOGLETRANSLATE(L2484, ""en"", ""pt"")"),"Trabalhador")</f>
        <v>Trabalhador</v>
      </c>
      <c r="O2484" s="7" t="str">
        <f>IFERROR(__xludf.DUMMYFUNCTION("IF(M2484="""","""",GOOGLETRANSLATE(M2484,""en"",""pt""))"),"***Resposta à Solicitação de Informações*** Os trabalhadores utilizam empilhadeiras e paleteiras para movimentar paletes de produtos lácteos vencidos em galões até máquinas que desembalam/abrem/perfuram os galões para coletar o leite líquido vencido (que "&amp;"cai em um reservatório sob os paletes). O leite coletado é pasteurizado, resfriado a 36 graus e enviado a granel para os criadouros de bezerros, onde é fornecido diretamente aos animais na forma líquida. ***Atribuições Originais*** Manter as áreas de arma"&amp;"zenamento de equipamentos para garantir a proteção do estoque. Ocupações relacionadas: Ler ordens de serviço ou receber instruções verbais para determinar as tarefas ou as necessidades de materiais ou equipamentos. Ocupações relacionadas: Movimentar carga"&amp;"s, estoque ou outros materiais de e para áreas de armazenamento ou produção, docas de carga, veículos de entrega, navios ou contêineres, manualmente ou utilizando caminhões, tratores ou outros equipamentos. Ocupações relacionadas: Instalar dispositivos de"&amp;" proteção, como escoras, acolchoamento ou cintas, para evitar deslocamento ou danos aos itens transportados. Ocupações relacionadas: Separar a carga antes do carregamento e descarregamento. Classificação da função: 53-7051.00 - Operadores de Empilhadeiras"&amp;" e Tratores Industriais. A classificação e descrição da função/setor incluem informações gerais sobre o cargo, conforme o ONET/OES e o Sistema de Classificação Industrial da América do Norte (NAICS). Consulte as Funções e a Ordem de Serviço para obter mai"&amp;"s informações. Requisitos da função: Experiência necessária: Não. Número de horas por semana: 40. Horário de trabalho (início/término): 7h às 16h.")</f>
        <v>***Resposta à Solicitação de Informações*** Os trabalhadores utilizam empilhadeiras e paleteiras para movimentar paletes de produtos lácteos vencidos em galões até máquinas que desembalam/abrem/perfuram os galões para coletar o leite líquido vencido (que cai em um reservatório sob os paletes). O leite coletado é pasteurizado, resfriado a 36 graus e enviado a granel para os criadouros de bezerros, onde é fornecido diretamente aos animais na forma líquida. ***Atribuições Originais*** Manter as áreas de armazenamento de equipamentos para garantir a proteção do estoque. Ocupações relacionadas: Ler ordens de serviço ou receber instruções verbais para determinar as tarefas ou as necessidades de materiais ou equipamentos. Ocupações relacionadas: Movimentar cargas, estoque ou outros materiais de e para áreas de armazenamento ou produção, docas de carga, veículos de entrega, navios ou contêineres, manualmente ou utilizando caminhões, tratores ou outros equipamentos. Ocupações relacionadas: Instalar dispositivos de proteção, como escoras, acolchoamento ou cintas, para evitar deslocamento ou danos aos itens transportados. Ocupações relacionadas: Separar a carga antes do carregamento e descarregamento. Classificação da função: 53-7051.00 - Operadores de Empilhadeiras e Tratores Industriais. A classificação e descrição da função/setor incluem informações gerais sobre o cargo, conforme o ONET/OES e o Sistema de Classificação Industrial da América do Norte (NAICS). Consulte as Funções e a Ordem de Serviço para obter mais informações. Requisitos da função: Experiência necessária: Não. Número de horas por semana: 40. Horário de trabalho (início/término): 7h às 16h.</v>
      </c>
    </row>
    <row r="2485" ht="20.25" customHeight="1">
      <c r="A2485" s="8" t="s">
        <v>10809</v>
      </c>
      <c r="B2485" s="8" t="s">
        <v>9503</v>
      </c>
      <c r="C2485" s="8" t="s">
        <v>9504</v>
      </c>
      <c r="D2485" s="8" t="s">
        <v>64</v>
      </c>
      <c r="E2485" s="9" t="s">
        <v>19</v>
      </c>
      <c r="F2485" s="9" t="s">
        <v>20</v>
      </c>
      <c r="G2485" s="9" t="s">
        <v>384</v>
      </c>
      <c r="H2485" s="8" t="s">
        <v>9505</v>
      </c>
      <c r="I2485" s="8" t="s">
        <v>9506</v>
      </c>
      <c r="J2485" s="9">
        <v>40.36</v>
      </c>
      <c r="K2485" s="9">
        <v>16.0</v>
      </c>
      <c r="L2485" s="8" t="s">
        <v>10810</v>
      </c>
      <c r="M2485" s="8" t="s">
        <v>10811</v>
      </c>
      <c r="N2485" s="7" t="str">
        <f>IFERROR(__xludf.DUMMYFUNCTION("GOOGLETRANSLATE(L2485, ""en"", ""pt"")"),"Ehv Torre Montador Ii (680309.000170)")</f>
        <v>Ehv Torre Montador Ii (680309.000170)</v>
      </c>
      <c r="O2485" s="7" t="str">
        <f>IFERROR(__xludf.DUMMYFUNCTION("IF(M2485="""","""",GOOGLETRANSLATE(M2485,""en"",""pt""))"),"O Montador de Torres EHV II é um cargo de nível inicial a intermediário, responsável por auxiliar na montagem e ereção de torres de transmissão de extra alta tensão (EHV) em aço treliçado, incluindo sistemas operando em 400 kV e superiores. O profissional"&amp;" deverá trabalhar com segurança enquanto auxilia na montagem e ereção de torres de transmissão EHV em aço treliçado, incluindo estruturas de 400 kV ou mais. Deverá realizar trabalhos de escalada e em estruturas sob a supervisão de montadores de treliças s"&amp;"eniores. Auxiliará na montagem de componentes da treliça, incluindo pernas, painéis, contraventamentos, braços, cumeeiras e ferragens. Instalará parafusos e ferragens de acordo com os desenhos de montagem e instruções da supervisão. Deverá aplicar os proc"&amp;"edimentos básicos de sequenciamento de torres treliçadas e os requisitos de segurança para montagem. Trabalhará frequentemente em altura, exigindo o cumprimento rigoroso dos sistemas de proteção contra quedas. Auxiliará na amarração, içamento e movimentaç"&amp;"ão de materiais para seções de torres treliçadas. Deverá seguir técnicas seguras de escalada em estruturas treliçadas. Deverá estar atento aos riscos de queda de objetos. Deverá trabalhar com os riscos de tensão induzida associados às torres treliçadas EH"&amp;"V. Auxiliar na aplicação de métodos de aterramento utilizados na montagem de torres treliçadas. Auxiliar na sinalização de guindastes ou talhas, conforme instruções. Ler e compreender desenhos básicos de torres treliçadas e instruções de montagem. Manter "&amp;"ferramentas, equipamentos de escalada e EPIs em boas condições de funcionamento. Trabalhar em altura e/ou em espaços confinados de estruturas treliçadas. Instalar e remover corretamente os EPIs e equipamentos de proteção contra quedas. Executar todas as d"&amp;"emais tarefas relacionadas, conforme necessário para a conclusão do trabalho. Seguir as normas de segurança da empresa e todas as demais políticas da empresa. O trabalho será realizado em locais não previstos no Texas, dependendo do desenvolvimento do pro"&amp;"jeto. Classificação da vaga: 49-9051.00 - Instaladores e Reparadores de Linhas de Energia Elétrica. A classificação e descrição da vaga/setor incluem informações gerais sobre a posição, de acordo com o ONET/OES e o Sistema de Classificação Industrial da A"&amp;"mérica do Norte (NAICS). Consulte as Funções e a Ordem de Serviço para obter mais informações. Requisitos da vaga: Experiência necessária: Sim. Meses de experiência necessários: 36. Requisitos especiais: A vaga exige pelo menos três anos de experiência em"&amp;" montagem de torres treliçadas ou experiência relacionada com estruturas metálicas. Experiência com redes de extra-alta tensão (400kV+) é obrigatória. Disponibilidade para viagens de longa distância com pouco aviso prévio, quando necessário. Disponibilida"&amp;"de para trabalhar por períodos prolongados em diferentes locais, quando necessário. Capacidade de levantar mais de 23 kg. Disponibilidade para trabalhar fora do horário normal, incluindo fins de semana e feriados, conforme exigido pela função. Necessário "&amp;"trabalhar ao ar livre, frequentemente em condições climáticas adversas. Capacidade para realizar trabalho físico intenso. Aprovação em exame toxicológico pré-admissional, verificação de antecedentes e/ou verificação do histórico de condução. Para cargos q"&amp;"ue envolvam direção ou trabalho regulamentado pelo DOT (Departamento de Transportes dos EUA), os funcionários também devem ser aprovados em exame físico do DOT, incluindo exame toxicológico. Número de horas por semana: 40. Horário de trabalho (início/térm"&amp;"ino): 8h às 16h30.")</f>
        <v>O Montador de Torres EHV II é um cargo de nível inicial a intermediário, responsável por auxiliar na montagem e ereção de torres de transmissão de extra alta tensão (EHV) em aço treliçado, incluindo sistemas operando em 400 kV e superiores. O profissional deverá trabalhar com segurança enquanto auxilia na montagem e ereção de torres de transmissão EHV em aço treliçado, incluindo estruturas de 400 kV ou mais. Deverá realizar trabalhos de escalada e em estruturas sob a supervisão de montadores de treliças seniores. Auxiliará na montagem de componentes da treliça, incluindo pernas, painéis, contraventamentos, braços, cumeeiras e ferragens. Instalará parafusos e ferragens de acordo com os desenhos de montagem e instruções da supervisão. Deverá aplicar os procedimentos básicos de sequenciamento de torres treliçadas e os requisitos de segurança para montagem. Trabalhará frequentemente em altura, exigindo o cumprimento rigoroso dos sistemas de proteção contra quedas. Auxiliará na amarração, içamento e movimentação de materiais para seções de torres treliçadas. Deverá seguir técnicas seguras de escalada em estruturas treliçadas. Deverá estar atento aos riscos de queda de objetos. Deverá trabalhar com os riscos de tensão induzida associados às torres treliçadas EHV. Auxiliar na aplicação de métodos de aterramento utilizados na montagem de torres treliçadas. Auxiliar na sinalização de guindastes ou talhas, conforme instruções. Ler e compreender desenhos básicos de torres treliçadas e instruções de montagem. Manter ferramentas, equipamentos de escalada e EPIs em boas condições de funcionamento. Trabalhar em altura e/ou em espaços confinados de estruturas treliçadas. Instalar e remover corretamente os EPIs e equipamentos de proteção contra quedas. Executar todas as demais tarefas relacionadas, conforme necessário para a conclusão do trabalho. Seguir as normas de segurança da empresa e todas as demais políticas da empresa. O trabalho será realizado em locais não previstos no Texas, dependendo do desenvolvimento do projeto. Classificação da vaga: 49-9051.00 - Instaladores e Reparadores de Linhas de Energia Elétrica. A classificação e descrição da vaga/setor incluem informações gerais sobre a posição, de acordo com o ONET/OES e o Sistema de Classificação Industrial da América do Norte (NAICS). Consulte as Funções e a Ordem de Serviço para obter mais informações. Requisitos da vaga: Experiência necessária: Sim. Meses de experiência necessários: 36. Requisitos especiais: A vaga exige pelo menos três anos de experiência em montagem de torres treliçadas ou experiência relacionada com estruturas metálicas. Experiência com redes de extra-alta tensão (400kV+) é obrigatória. Disponibilidade para viagens de longa distância com pouco aviso prévio, quando necessário. Disponibilidade para trabalhar por períodos prolongados em diferentes locais, quando necessário. Capacidade de levantar mais de 23 kg. Disponibilidade para trabalhar fora do horário normal, incluindo fins de semana e feriados, conforme exigido pela função. Necessário trabalhar ao ar livre, frequentemente em condições climáticas adversas. Capacidade para realizar trabalho físico intenso. Aprovação em exame toxicológico pré-admissional, verificação de antecedentes e/ou verificação do histórico de condução. Para cargos que envolvam direção ou trabalho regulamentado pelo DOT (Departamento de Transportes dos EUA), os funcionários também devem ser aprovados em exame físico do DOT, incluindo exame toxicológico. Número de horas por semana: 40. Horário de trabalho (início/término): 8h às 16h30.</v>
      </c>
    </row>
    <row r="2486" ht="20.25" customHeight="1">
      <c r="A2486" s="3" t="s">
        <v>10812</v>
      </c>
      <c r="B2486" s="3" t="s">
        <v>9503</v>
      </c>
      <c r="C2486" s="3" t="s">
        <v>9504</v>
      </c>
      <c r="D2486" s="3" t="s">
        <v>64</v>
      </c>
      <c r="E2486" s="4" t="s">
        <v>19</v>
      </c>
      <c r="F2486" s="4" t="s">
        <v>20</v>
      </c>
      <c r="G2486" s="4" t="s">
        <v>384</v>
      </c>
      <c r="H2486" s="3" t="s">
        <v>9505</v>
      </c>
      <c r="I2486" s="3" t="s">
        <v>9506</v>
      </c>
      <c r="J2486" s="4">
        <v>46.66</v>
      </c>
      <c r="K2486" s="4">
        <v>22.0</v>
      </c>
      <c r="L2486" s="3" t="s">
        <v>10813</v>
      </c>
      <c r="M2486" s="3" t="s">
        <v>10814</v>
      </c>
      <c r="N2486" s="7" t="str">
        <f>IFERROR(__xludf.DUMMYFUNCTION("GOOGLETRANSLATE(L2486, ""en"", ""pt"")"),"Ehv B Lineworker - Transmissão (680309.000166)")</f>
        <v>Ehv B Lineworker - Transmissão (680309.000166)</v>
      </c>
      <c r="O2486" s="7" t="str">
        <f>IFERROR(__xludf.DUMMYFUNCTION("IF(M2486="""","""",GOOGLETRANSLATE(M2486,""en"",""pt""))"),"Esta é uma posição semiqualificada na construção, manutenção e reparo de sistemas de transmissão elétrica de alta e extra-alta tensão (EAT), incluindo sistemas operando a 400 kV e acima. O profissional trabalhará com segurança na execução de novas constru"&amp;"ções, manutenção ou reparos em sistemas de transmissão energizados e desenergizados, incluindo circuitos de 400 kV ou mais, sob a supervisão de membros mais experientes da equipe. Suas responsabilidades incluem a instalação de cabos aéreos, incluindo cond"&amp;"utores agrupados utilizados em linhas de alta e extra-alta tensão; a montagem de torres treliçadas, postes, estruturas e ancoragens para sistemas de transmissão e extra-alta tensão; e a resolução de problemas em sistemas de transmissão e extra-alta tensão"&amp;" com orientação. O trabalho frequente envolve o contato com sistemas energizados de alta e extra-alta tensão, exigindo habilidade, atenção e estrita adesão aos procedimentos de segurança para proteger a própria vida e a de terceiros. O profissional deverá"&amp;" manter os veículos, equipamentos e ferramentas da empresa em boas condições de funcionamento. Deverá identificar a tensão primária e secundária de transmissão em circuitos padrão e extra-alta tensão, além de trabalhar com tensão induzida, incluindo os ní"&amp;"veis mais elevados associados a sistemas extra-alta tensão. Utilizar corretamente as varas de faseamento em sistemas de alta tensão e extra-alta tensão (EAT). Adquirir conhecimento sobre trabalho braçal sem equipamentos. Executar os requisitos para afasta"&amp;"mentos adequados de linhas, incluindo afastamentos estendidos para classes de tensão EAT. Identificar as dimensões de fios e condutores utilizados em construções de transmissão e EAT. Escalar postes e torres, incluindo estruturas de aço, quando qualificad"&amp;"o. Executar todos os aspectos de içamento e amarração de cargas pesadas associados a trabalhos de transmissão e EAT. Executar técnicas de aterramento EPZ para sistemas de transmissão e EAT. Instalar postes com segurança ou auxiliar na montagem de estrutur"&amp;"as. Operar equipamentos de tensionamento de cabos sob supervisão, incluindo equipamentos utilizados para instalações EAT. Trocar a estrutura e os isoladores de postes com a linha energizada a partir de ganchos ou cestos, quando qualificado. Operar caminhõ"&amp;"es com carregadeira lateral, cesto e guindaste. Compreender e interpretar plantas, desenhos de estruturas e projetos de obra. Compreender os requisitos de configuração de equipamentos e aterramento para trabalhos de transmissão e EAT. Trabalhar em altura "&amp;"e/ou espaços confinados. Instalar e remover corretamente os EPIs e as proteções de alta tensão ou EAT. Verificar a tensão em transformadores. Instalação de condutores de transmissão, incluindo sistemas de condutores de extra-alta tensão (EAT). Escalada de"&amp;" diferentes tipos de estruturas (madeira, aço, treliçadas, monopolo, etc.) e utilização das ferramentas necessárias. Execução de procedimentos de aterramento. Desativação de linhas utilizando bastões de faseamento em linhas de alta tensão e EAT. Obtenção "&amp;"de um disparo único em um religador. Utilização da distância mínima de aproximação (DMA) aumentada para tensões de EAT. Procedimentos de sinalização e etiquetagem. Execução de resgate/escape básico em cesto aéreo. Condução eficaz de reuniões prévias ou de"&amp;" segurança no local de trabalho, quando designado. Instalação e remoção segura de jumpers mecânicos em sistemas de transmissão e EAT. Inspeção adequada de equipamentos de borracha, coberturas e EPIs classificados para trabalhos em alta tensão e EAT. Cumpr"&amp;"imento das normas de segurança da empresa e de todas as demais políticas da empresa. Execução de todas as demais tarefas relacionadas, conforme necessário para a conclusão do trabalho. O trabalho poderá ser realizado em locais não previstos no Texas, depe"&amp;"ndendo do desenvolvimento do projeto. Classificação da Função: 49-9051.00 - Instaladores e Reparadores de Linhas de Transmissão de Energia Elétrica. A classificação e descrição da função/setor incluem informações gerais sobre o cargo, de acordo com o ONET"&amp;"/OES e o Sistema de Classificação Industrial da América do Norte (NAICS). Consulte as Funções e a Ordem de Serviço para obter mais informações. Requisitos da Função Experiência Necessária: Sim Meses de Experiência Necessários: 36 Requisitos Especiais: O c"&amp;"argo exige pelo menos três anos de experiência em campo em linhas de transmissão ou áreas afins. Disponibilidade para viajar longas distâncias com pouco aviso prévio, quando necessário. Disponibilidade para trabalhar por períodos prolongados em diferentes"&amp;" locais, quando necessário. Capacidade de levantar mais de 23 kg. Disponibilidade para trabalhar fora do horário normal de trabalho, incluindo fins de semana e feriados, conforme necessário para a função. Capacidade para realizar trabalho físico intenso. "&amp;"Necessário trabalhar ao ar livre, frequentemente em condições climáticas adversas. Aprovação em exame toxicológico pré-admissional, verificação de antecedentes e/ou verificação do histórico de condução (MVR). Para cargos que envolvam direção ou trabalho r"&amp;"egulamentado pelo DOT (Departamento de Transportes dos EUA), os funcionários também devem ser aprovados em um exame físico do DOT, incluindo exame toxicológico. Número de horas por semana: 40 Horário de trabalho (início/término): 8h00 - 16h30")</f>
        <v>Esta é uma posição semiqualificada na construção, manutenção e reparo de sistemas de transmissão elétrica de alta e extra-alta tensão (EAT), incluindo sistemas operando a 400 kV e acima. O profissional trabalhará com segurança na execução de novas construções, manutenção ou reparos em sistemas de transmissão energizados e desenergizados, incluindo circuitos de 400 kV ou mais, sob a supervisão de membros mais experientes da equipe. Suas responsabilidades incluem a instalação de cabos aéreos, incluindo condutores agrupados utilizados em linhas de alta e extra-alta tensão; a montagem de torres treliçadas, postes, estruturas e ancoragens para sistemas de transmissão e extra-alta tensão; e a resolução de problemas em sistemas de transmissão e extra-alta tensão com orientação. O trabalho frequente envolve o contato com sistemas energizados de alta e extra-alta tensão, exigindo habilidade, atenção e estrita adesão aos procedimentos de segurança para proteger a própria vida e a de terceiros. O profissional deverá manter os veículos, equipamentos e ferramentas da empresa em boas condições de funcionamento. Deverá identificar a tensão primária e secundária de transmissão em circuitos padrão e extra-alta tensão, além de trabalhar com tensão induzida, incluindo os níveis mais elevados associados a sistemas extra-alta tensão. Utilizar corretamente as varas de faseamento em sistemas de alta tensão e extra-alta tensão (EAT). Adquirir conhecimento sobre trabalho braçal sem equipamentos. Executar os requisitos para afastamentos adequados de linhas, incluindo afastamentos estendidos para classes de tensão EAT. Identificar as dimensões de fios e condutores utilizados em construções de transmissão e EAT. Escalar postes e torres, incluindo estruturas de aço, quando qualificado. Executar todos os aspectos de içamento e amarração de cargas pesadas associados a trabalhos de transmissão e EAT. Executar técnicas de aterramento EPZ para sistemas de transmissão e EAT. Instalar postes com segurança ou auxiliar na montagem de estruturas. Operar equipamentos de tensionamento de cabos sob supervisão, incluindo equipamentos utilizados para instalações EAT. Trocar a estrutura e os isoladores de postes com a linha energizada a partir de ganchos ou cestos, quando qualificado. Operar caminhões com carregadeira lateral, cesto e guindaste. Compreender e interpretar plantas, desenhos de estruturas e projetos de obra. Compreender os requisitos de configuração de equipamentos e aterramento para trabalhos de transmissão e EAT. Trabalhar em altura e/ou espaços confinados. Instalar e remover corretamente os EPIs e as proteções de alta tensão ou EAT. Verificar a tensão em transformadores. Instalação de condutores de transmissão, incluindo sistemas de condutores de extra-alta tensão (EAT). Escalada de diferentes tipos de estruturas (madeira, aço, treliçadas, monopolo, etc.) e utilização das ferramentas necessárias. Execução de procedimentos de aterramento. Desativação de linhas utilizando bastões de faseamento em linhas de alta tensão e EAT. Obtenção de um disparo único em um religador. Utilização da distância mínima de aproximação (DMA) aumentada para tensões de EAT. Procedimentos de sinalização e etiquetagem. Execução de resgate/escape básico em cesto aéreo. Condução eficaz de reuniões prévias ou de segurança no local de trabalho, quando designado. Instalação e remoção segura de jumpers mecânicos em sistemas de transmissão e EAT. Inspeção adequada de equipamentos de borracha, coberturas e EPIs classificados para trabalhos em alta tensão e EAT. Cumprimento das normas de segurança da empresa e de todas as demais políticas da empresa. Execução de todas as demais tarefas relacionadas, conforme necessário para a conclusão do trabalho. O trabalho poderá ser realizado em locais não previstos no Texas, dependendo do desenvolvimento do projeto. Classificação da Função: 49-9051.00 - Instaladores e Reparadores de Linhas de Transmissão de Energia Elétrica. A classificação e descrição da função/setor incluem informações gerais sobre o cargo, de acordo com o ONET/OES e o Sistema de Classificação Industrial da América do Norte (NAICS). Consulte as Funções e a Ordem de Serviço para obter mais informações. Requisitos da Função Experiência Necessária: Sim Meses de Experiência Necessários: 36 Requisitos Especiais: O cargo exige pelo menos três anos de experiência em campo em linhas de transmissão ou áreas afins. Disponibilidade para viajar longas distâncias com pouco aviso prévio, quando necessário. Disponibilidade para trabalhar por períodos prolongados em diferentes locais, quando necessário. Capacidade de levantar mais de 23 kg. Disponibilidade para trabalhar fora do horário normal de trabalho, incluindo fins de semana e feriados, conforme necessário para a função. Capacidade para realizar trabalho físico intenso. Necessário trabalhar ao ar livre, frequentemente em condições climáticas adversas. Aprovação em exame toxicológico pré-admissional, verificação de antecedentes e/ou verificação do histórico de condução (MVR). Para cargos que envolvam direção ou trabalho regulamentado pelo DOT (Departamento de Transportes dos EUA), os funcionários também devem ser aprovados em um exame físico do DOT, incluindo exame toxicológico. Número de horas por semana: 40 Horário de trabalho (início/término): 8h00 - 16h30</v>
      </c>
    </row>
    <row r="2487" ht="20.25" customHeight="1">
      <c r="A2487" s="8" t="s">
        <v>10815</v>
      </c>
      <c r="B2487" s="8" t="s">
        <v>10816</v>
      </c>
      <c r="C2487" s="8" t="s">
        <v>8981</v>
      </c>
      <c r="D2487" s="8" t="s">
        <v>71</v>
      </c>
      <c r="E2487" s="9" t="s">
        <v>19</v>
      </c>
      <c r="F2487" s="9" t="s">
        <v>20</v>
      </c>
      <c r="G2487" s="9" t="s">
        <v>524</v>
      </c>
      <c r="H2487" s="8" t="s">
        <v>10817</v>
      </c>
      <c r="I2487" s="8" t="s">
        <v>10818</v>
      </c>
      <c r="J2487" s="9">
        <v>18.71</v>
      </c>
      <c r="K2487" s="9">
        <v>6.0</v>
      </c>
      <c r="L2487" s="8" t="s">
        <v>1206</v>
      </c>
      <c r="M2487" s="8" t="s">
        <v>10819</v>
      </c>
      <c r="N2487" s="7" t="str">
        <f>IFERROR(__xludf.DUMMYFUNCTION("GOOGLETRANSLATE(L2487, ""en"", ""pt"")"),"Servidor")</f>
        <v>Servidor</v>
      </c>
      <c r="O2487" s="7" t="str">
        <f>IFERROR(__xludf.DUMMYFUNCTION("IF(M2487="""","""",GOOGLETRANSLATE(M2487,""en"",""pt""))"),"Receber e servir pedidos de comida e bebida; realizar a montagem e desmontagem de mesas e outras atividades diversas; pode ser necessário trabalhar em ambientes externos e em eventos de banquetes; pode ser necessário servir clientes utilizando carrinho de"&amp;" golfe. *Continuação da Seção F.a.5 abaixo: 40 horas semanais. Os turnos serão de 8 horas e podem variar conforme a necessidade, de acordo com o anúncio da vaga na Agência Estadual de Força de Trabalho e em outras fontes de anúncios de vagas H-2B, conform"&amp;"e os requisitos de recrutamento dos empregadores para trabalhadores em potencial no âmbito do programa H-2B. Turnos variáveis ​​ao longo de 7 dias da semana. Os turnos podem variar: das 6h às 23h. Classificação da vaga: 35-3031.00 - Garçons e Garçonetes. "&amp;"A classificação e descrição da vaga/setor incluem informações gerais sobre o cargo, de acordo com o ONET/OES e o Sistema de Classificação Industrial da América do Norte. Consulte as Funções e a Ordem de Serviço para obter mais informações. Requisitos da v"&amp;"aga: Experiência necessária: Não. Requisitos especiais: Capacidade de se comunicar em inglês. Número de horas por semana: 40 Horário de trabalho (início/término): 6h00 - 23h00")</f>
        <v>Receber e servir pedidos de comida e bebida; realizar a montagem e desmontagem de mesas e outras atividades diversas; pode ser necessário trabalhar em ambientes externos e em eventos de banquetes; pode ser necessário servir clientes utilizando carrinho de golfe. *Continuação da Seção F.a.5 abaixo: 40 horas semanais. Os turnos serão de 8 horas e podem variar conforme a necessidade, de acordo com o anúncio da vaga na Agência Estadual de Força de Trabalho e em outras fontes de anúncios de vagas H-2B, conforme os requisitos de recrutamento dos empregadores para trabalhadores em potencial no âmbito do programa H-2B. Turnos variáveis ​​ao longo de 7 dias da semana. Os turnos podem variar: das 6h às 23h. Classificação da vaga: 35-3031.00 - Garçons e Garçonetes. A classificação e descrição da vaga/setor incluem informações gerais sobre o cargo, de acordo com o ONET/OES e o Sistema de Classificação Industrial da América do Norte. Consulte as Funções e a Ordem de Serviço para obter mais informações. Requisitos da vaga: Experiência necessária: Não. Requisitos especiais: Capacidade de se comunicar em inglês. Número de horas por semana: 40 Horário de trabalho (início/término): 6h00 - 23h00</v>
      </c>
    </row>
    <row r="2488" ht="20.25" customHeight="1">
      <c r="A2488" s="3" t="s">
        <v>10820</v>
      </c>
      <c r="B2488" s="3" t="s">
        <v>10816</v>
      </c>
      <c r="C2488" s="3" t="s">
        <v>8981</v>
      </c>
      <c r="D2488" s="3" t="s">
        <v>71</v>
      </c>
      <c r="E2488" s="4" t="s">
        <v>19</v>
      </c>
      <c r="F2488" s="4" t="s">
        <v>20</v>
      </c>
      <c r="G2488" s="4" t="s">
        <v>524</v>
      </c>
      <c r="H2488" s="3" t="s">
        <v>10817</v>
      </c>
      <c r="I2488" s="3" t="s">
        <v>10818</v>
      </c>
      <c r="J2488" s="4">
        <v>17.91</v>
      </c>
      <c r="K2488" s="4">
        <v>2.0</v>
      </c>
      <c r="L2488" s="3" t="s">
        <v>5135</v>
      </c>
      <c r="M2488" s="3" t="s">
        <v>10821</v>
      </c>
      <c r="N2488" s="7" t="str">
        <f>IFERROR(__xludf.DUMMYFUNCTION("GOOGLETRANSLATE(L2488, ""en"", ""pt"")"),"Assistente de Garçom")</f>
        <v>Assistente de Garçom</v>
      </c>
      <c r="O2488" s="7" t="str">
        <f>IFERROR(__xludf.DUMMYFUNCTION("IF(M2488="""","""",GOOGLETRANSLATE(M2488,""en"",""pt""))"),"Auxiliar os garçons levando bebidas às mesas, reabastecendo os copos, recolhendo talheres e louças usados; limpar as áreas de serviço e os equipamentos; auxiliar na preparação das mesas; abastecer todos os utensílios e equipamentos necessários para o serv"&amp;"iço. *Continuação da Seção F.a.5 abaixo: 40 horas semanais. Os turnos serão de 8 horas e podem variar conforme a necessidade, de acordo com o anúncio de vaga da Agência Estadual de Força de Trabalho e outras fontes de anúncios de emprego H-2B, conforme os"&amp;" requisitos de recrutamento dos empregadores para trabalhadores em potencial no âmbito do programa H-2B. Turnos variáveis ​​ao longo de 7 dias da semana. Os turnos podem variar: das 6h às 23h. Classificação do Cargo: 35-9011.00 - Atendentes de Salão de Ja"&amp;"ntar e Cafeteria e Auxiliares de Barman. A classificação e descrição do cargo/setor inclui informações gerais sobre a posição, provenientes do ONET/OES e do Sistema de Classificação Industrial da América do Norte. Consulte a descrição das funções e a orde"&amp;"m de serviço para obter mais informações. Requisitos da vaga: Experiência necessária: Não. Requisitos especiais: HABILIDADE DE SE COMUNICAR EM INGLÊS. Número de horas por semana: 40. Horário de trabalho (início/término): 6h às 23h.")</f>
        <v>Auxiliar os garçons levando bebidas às mesas, reabastecendo os copos, recolhendo talheres e louças usados; limpar as áreas de serviço e os equipamentos; auxiliar na preparação das mesas; abastecer todos os utensílios e equipamentos necessários para o serviço. *Continuação da Seção F.a.5 abaixo: 40 horas semanais. Os turnos serão de 8 horas e podem variar conforme a necessidade, de acordo com o anúncio de vaga da Agência Estadual de Força de Trabalho e outras fontes de anúncios de emprego H-2B, conforme os requisitos de recrutamento dos empregadores para trabalhadores em potencial no âmbito do programa H-2B. Turnos variáveis ​​ao longo de 7 dias da semana. Os turnos podem variar: das 6h às 23h. Classificação do Cargo: 35-9011.00 - Atendentes de Salão de Jantar e Cafeteria e Auxiliares de Barman. A classificação e descrição do cargo/setor inclui informações gerais sobre a posição, provenientes do ONET/OES e do Sistema de Classificação Industrial da América do Norte. Consulte a descrição das funções e a ordem de serviço para obter mais informações. Requisitos da vaga: Experiência necessária: Não. Requisitos especiais: HABILIDADE DE SE COMUNICAR EM INGLÊS. Número de horas por semana: 40. Horário de trabalho (início/término): 6h às 23h.</v>
      </c>
    </row>
    <row r="2489" ht="20.25" customHeight="1">
      <c r="A2489" s="8" t="s">
        <v>10822</v>
      </c>
      <c r="B2489" s="8" t="s">
        <v>10816</v>
      </c>
      <c r="C2489" s="8" t="s">
        <v>8981</v>
      </c>
      <c r="D2489" s="8" t="s">
        <v>71</v>
      </c>
      <c r="E2489" s="9" t="s">
        <v>19</v>
      </c>
      <c r="F2489" s="9" t="s">
        <v>20</v>
      </c>
      <c r="G2489" s="9" t="s">
        <v>524</v>
      </c>
      <c r="H2489" s="8" t="s">
        <v>10817</v>
      </c>
      <c r="I2489" s="8" t="s">
        <v>10818</v>
      </c>
      <c r="J2489" s="9">
        <v>16.0</v>
      </c>
      <c r="K2489" s="9">
        <v>6.0</v>
      </c>
      <c r="L2489" s="8" t="s">
        <v>2821</v>
      </c>
      <c r="M2489" s="8" t="s">
        <v>10823</v>
      </c>
      <c r="N2489" s="7" t="str">
        <f>IFERROR(__xludf.DUMMYFUNCTION("GOOGLETRANSLATE(L2489, ""en"", ""pt"")"),"Auxiliar de Recreação")</f>
        <v>Auxiliar de Recreação</v>
      </c>
      <c r="O2489" s="7" t="str">
        <f>IFERROR(__xludf.DUMMYFUNCTION("IF(M2489="""","""",GOOGLETRANSLATE(M2489,""en"",""pt""))"),"O funcionário poderá ser solicitado a desempenhar qualquer uma das seguintes funções: monitorar as atividades no campo de golfe e no complexo de tênis; prestar assistência administrativa aos membros, incluindo a verificação de cartões de membro, confirmaç"&amp;"ão de reservas, organização de mercadorias e fornecimento de informações sobre as instalações; transportar os equipamentos de golfe dos membros de e para as instalações do clube. As funções relacionadas ao transporte dos equipamentos de golfe dos membros "&amp;"de e para as instalações do clube incluem encontrar os membros na área de entrega de tacos das instalações do clube e descarregar os tacos de golfe de seus veículos; transportar as bolsas de e para uma área de armazenamento segura e designada para os memb"&amp;"ros do clube; carregar as bolsas de golfe nos carrinhos e garantir que estejam prontas para o jogador na área de espera; limpar os tacos após o uso, devolver as bolsas ao armazenamento ou transportá-las de volta para o carro do membro. *Continuação da Seç"&amp;"ão F.a.5 abaixo: 40 horas semanais. Os turnos serão de 8 horas e podem variar conforme a necessidade, de acordo com o anúncio de vaga da Agência Estadual de Força de Trabalho e outras fontes de anúncios de emprego H-2B, conforme os requisitos de recrutame"&amp;"nto dos empregadores para potenciais trabalhadores no âmbito do programa H-2B. Turnos variáveis ​​ao longo de 7 dias da semana. Os turnos podem variar: das 6h às 23h. Classificação da vaga: 39-3091.00 - Atendentes de Parques de Diversões e Recreação. A cl"&amp;"assificação e descrição da vaga/setor incluem informações gerais sobre o cargo, de acordo com o ONET/OES e o Sistema de Classificação Industrial da América do Norte (NAICS). Consulte as Funções e a Ordem de Serviço para obter mais informações. Requisitos "&amp;"da vaga: Experiência necessária: Não. Requisitos especiais: Capacidade de se comunicar em inglês. Número de horas por semana: 40. Horário de trabalho (início/término): 6h às 23h.")</f>
        <v>O funcionário poderá ser solicitado a desempenhar qualquer uma das seguintes funções: monitorar as atividades no campo de golfe e no complexo de tênis; prestar assistência administrativa aos membros, incluindo a verificação de cartões de membro, confirmação de reservas, organização de mercadorias e fornecimento de informações sobre as instalações; transportar os equipamentos de golfe dos membros de e para as instalações do clube. As funções relacionadas ao transporte dos equipamentos de golfe dos membros de e para as instalações do clube incluem encontrar os membros na área de entrega de tacos das instalações do clube e descarregar os tacos de golfe de seus veículos; transportar as bolsas de e para uma área de armazenamento segura e designada para os membros do clube; carregar as bolsas de golfe nos carrinhos e garantir que estejam prontas para o jogador na área de espera; limpar os tacos após o uso, devolver as bolsas ao armazenamento ou transportá-las de volta para o carro do membro. *Continuação da Seção F.a.5 abaixo: 40 horas semanais. Os turnos serão de 8 horas e podem variar conforme a necessidade, de acordo com o anúncio de vaga da Agência Estadual de Força de Trabalho e outras fontes de anúncios de emprego H-2B, conforme os requisitos de recrutamento dos empregadores para potenciais trabalhadores no âmbito do programa H-2B. Turnos variáveis ​​ao longo de 7 dias da semana. Os turnos podem variar: das 6h às 23h. Classificação da vaga: 39-3091.00 - Atendentes de Parques de Diversões e Recreação. A classificação e descrição da vaga/setor incluem informações gerais sobre o cargo, de acordo com o ONET/OES e o Sistema de Classificação Industrial da América do Norte (NAICS). Consulte as Funções e a Ordem de Serviço para obter mais informações. Requisitos da vaga: Experiência necessária: Não. Requisitos especiais: Capacidade de se comunicar em inglês. Número de horas por semana: 40. Horário de trabalho (início/término): 6h às 23h.</v>
      </c>
    </row>
    <row r="2490" ht="20.25" customHeight="1">
      <c r="A2490" s="3" t="s">
        <v>10824</v>
      </c>
      <c r="B2490" s="3" t="s">
        <v>10825</v>
      </c>
      <c r="C2490" s="3" t="s">
        <v>8981</v>
      </c>
      <c r="D2490" s="3" t="s">
        <v>71</v>
      </c>
      <c r="E2490" s="4" t="s">
        <v>19</v>
      </c>
      <c r="F2490" s="4" t="s">
        <v>20</v>
      </c>
      <c r="G2490" s="4" t="s">
        <v>524</v>
      </c>
      <c r="H2490" s="3" t="s">
        <v>10826</v>
      </c>
      <c r="I2490" s="3" t="s">
        <v>10827</v>
      </c>
      <c r="J2490" s="4">
        <v>18.57</v>
      </c>
      <c r="K2490" s="4">
        <v>13.0</v>
      </c>
      <c r="L2490" s="3" t="s">
        <v>1206</v>
      </c>
      <c r="M2490" s="3" t="s">
        <v>10435</v>
      </c>
      <c r="N2490" s="7" t="str">
        <f>IFERROR(__xludf.DUMMYFUNCTION("GOOGLETRANSLATE(L2490, ""en"", ""pt"")"),"Servidor")</f>
        <v>Servidor</v>
      </c>
      <c r="O2490" s="7" t="str">
        <f>IFERROR(__xludf.DUMMYFUNCTION("IF(M2490="""","""",GOOGLETRANSLATE(M2490,""en"",""pt""))"),"Receber e servir pedidos de comida e bebida; realizar a montagem e desmontagem de mesas e outras atividades diversas; poderá ser necessário trabalhar em ambientes externos e em eventos de banquetes; poderá ser necessário servir clientes utilizando carrinh"&amp;"o de golfe. *Continuação da Seção F.a.5 abaixo: 40 horas semanais. Os turnos serão de 8 horas e poderão variar conforme a necessidade, de acordo com o anúncio da vaga na Agência Estadual de Força de Trabalho e em outras fontes de anúncios de vagas H-2B, c"&amp;"onforme os requisitos de recrutamento dos empregadores para trabalhadores em potencial no âmbito do programa H-2B. Turnos variáveis ​​ao longo de 7 dias da semana. Os turnos podem variar: das 6h às 23h. Classificação da vaga: 35-3031.00 - Garçons e Garçon"&amp;"etes. A classificação e descrição da vaga/setor inclui informações gerais sobre o cargo, provenientes do ONET/OES e do Sistema de Classificação Industrial da América do Norte. Consulte as Funções e a Ordem de Serviço para obter mais informações. Requisito"&amp;"s da vaga Experiência exigida: Não Requisitos especiais: O EMPREGADOR EXIGE QUE A VERIFICAÇÃO DE ANTECEDENTES CRIMINAIS PRÉ-ADMISSÃO E O TESTE DE DROGAS PÓS-ADMISSÃO SEJAM REALIZADOS IGUALMENTE PARA OS TRABALHADORES AMERICANOS E PARA OS TRABALHADORES COM "&amp;"VISTO H-2B. Capacidade de se comunicar em inglês. Número de horas por semana: 40 Horário de trabalho (início/término): 6h às 23h")</f>
        <v>Receber e servir pedidos de comida e bebida; realizar a montagem e desmontagem de mesas e outras atividades diversas; poderá ser necessário trabalhar em ambientes externos e em eventos de banquetes; poderá ser necessário servir clientes utilizando carrinho de golfe. *Continuação da Seção F.a.5 abaixo: 40 horas semanais. Os turnos serão de 8 horas e poderão variar conforme a necessidade, de acordo com o anúncio da vaga na Agência Estadual de Força de Trabalho e em outras fontes de anúncios de vagas H-2B, conforme os requisitos de recrutamento dos empregadores para trabalhadores em potencial no âmbito do programa H-2B. Turnos variáveis ​​ao longo de 7 dias da semana. Os turnos podem variar: das 6h às 23h. Classificação da vaga: 35-3031.00 - Garçons e Garçonetes. A classificação e descrição da vaga/setor inclui informações gerais sobre o cargo, provenientes do ONET/OES e do Sistema de Classificação Industrial da América do Norte. Consulte as Funções e a Ordem de Serviço para obter mais informações. Requisitos da vaga Experiência exigida: Não Requisitos especiais: O EMPREGADOR EXIGE QUE A VERIFICAÇÃO DE ANTECEDENTES CRIMINAIS PRÉ-ADMISSÃO E O TESTE DE DROGAS PÓS-ADMISSÃO SEJAM REALIZADOS IGUALMENTE PARA OS TRABALHADORES AMERICANOS E PARA OS TRABALHADORES COM VISTO H-2B. Capacidade de se comunicar em inglês. Número de horas por semana: 40 Horário de trabalho (início/término): 6h às 23h</v>
      </c>
    </row>
    <row r="2491" ht="20.25" customHeight="1">
      <c r="A2491" s="8" t="s">
        <v>10828</v>
      </c>
      <c r="B2491" s="8" t="s">
        <v>10825</v>
      </c>
      <c r="C2491" s="8" t="s">
        <v>8981</v>
      </c>
      <c r="D2491" s="8" t="s">
        <v>71</v>
      </c>
      <c r="E2491" s="9" t="s">
        <v>19</v>
      </c>
      <c r="F2491" s="9" t="s">
        <v>20</v>
      </c>
      <c r="G2491" s="9" t="s">
        <v>524</v>
      </c>
      <c r="H2491" s="8" t="s">
        <v>10826</v>
      </c>
      <c r="I2491" s="8" t="s">
        <v>10827</v>
      </c>
      <c r="J2491" s="9">
        <v>25.0</v>
      </c>
      <c r="K2491" s="9">
        <v>3.0</v>
      </c>
      <c r="L2491" s="8" t="s">
        <v>4654</v>
      </c>
      <c r="M2491" s="8" t="s">
        <v>10829</v>
      </c>
      <c r="N2491" s="7" t="str">
        <f>IFERROR(__xludf.DUMMYFUNCTION("GOOGLETRANSLATE(L2491, ""en"", ""pt"")"),"Capitão do servidor")</f>
        <v>Capitão do servidor</v>
      </c>
      <c r="O2491" s="7" t="str">
        <f>IFERROR(__xludf.DUMMYFUNCTION("IF(M2491="""","""",GOOGLETRANSLATE(M2491,""en"",""pt""))"),"Supervisionar a equipe de atendimento durante a preparação, o serviço e a limpeza; treinar novos garçons no salão; construir e manter um bom relacionamento com os membros do clube; assumir funções de garçom quando necessário, principalmente no atendimento"&amp;" a convidados de honra e VIPs; ser um exemplo a ser seguido e garantir o mais alto nível de serviço prestado pela equipe de atendimento do resort. *Continuação da Seção F.a.5 abaixo: 40 horas semanais. Os turnos serão de 8 horas e podem variar conforme a "&amp;"necessidade, de acordo com o anúncio da vaga na Agência Estadual de Força de Trabalho e em outras fontes de anúncios de vagas H-2B, conforme os requisitos de recrutamento dos empregadores para trabalhadores em potencial no âmbito do programa H-2B. Turnos "&amp;"variáveis ​​ao longo de 7 dias da semana. Os turnos podem variar das 6h às 23h. Classificação da vaga: 35-1012.00 - Supervisores de Primeira Linha de Preparadores e Servidores de Alimentos. A classificação e a descrição da vaga/setor incluem informações g"&amp;"erais sobre o cargo, de acordo com o ONET/OES e o Sistema de Classificação Industrial da América do Norte. Consulte as Funções e a Ordem de Serviço para obter mais informações. Requisitos da vaga Experiência necessária: Sim Meses de experiência necessário"&amp;"s: 6 Requisitos especiais: O EMPREGADOR EXIGE QUE A VERIFICAÇÃO DE ANTECEDENTES CRIMINAIS PRÉ-ADMISSÃO E O TESTE DE DROGAS PÓS-ADMISSÃO SEJAM REALIZADOS IGUALMENTE PARA OS TRABALHADORES AMERICANOS E PARA OS TRABALHADORES COM VISTO H-2B. Capacidade de se c"&amp;"omunicar em inglês. Os 6 meses de experiência exigidos no quadro F.A.9 referem-se a 6 meses de experiência como garçom/garçonete ou garçom/garçonete sênior em um estabelecimento de hotelaria. Número de horas por semana: 40 Horário de trabalho (início/térm"&amp;"ino): 6h às 23h")</f>
        <v>Supervisionar a equipe de atendimento durante a preparação, o serviço e a limpeza; treinar novos garçons no salão; construir e manter um bom relacionamento com os membros do clube; assumir funções de garçom quando necessário, principalmente no atendimento a convidados de honra e VIPs; ser um exemplo a ser seguido e garantir o mais alto nível de serviço prestado pela equipe de atendimento do resort. *Continuação da Seção F.a.5 abaixo: 40 horas semanais. Os turnos serão de 8 horas e podem variar conforme a necessidade, de acordo com o anúncio da vaga na Agência Estadual de Força de Trabalho e em outras fontes de anúncios de vagas H-2B, conforme os requisitos de recrutamento dos empregadores para trabalhadores em potencial no âmbito do programa H-2B. Turnos variáveis ​​ao longo de 7 dias da semana. Os turnos podem variar das 6h às 23h. Classificação da vaga: 35-1012.00 - Supervisores de Primeira Linha de Preparadores e Servidores de Alimentos. A classificação e a descrição da vaga/setor incluem informações gerais sobre o cargo, de acordo com o ONET/OES e o Sistema de Classificação Industrial da América do Norte. Consulte as Funções e a Ordem de Serviço para obter mais informações. Requisitos da vaga Experiência necessária: Sim Meses de experiência necessários: 6 Requisitos especiais: O EMPREGADOR EXIGE QUE A VERIFICAÇÃO DE ANTECEDENTES CRIMINAIS PRÉ-ADMISSÃO E O TESTE DE DROGAS PÓS-ADMISSÃO SEJAM REALIZADOS IGUALMENTE PARA OS TRABALHADORES AMERICANOS E PARA OS TRABALHADORES COM VISTO H-2B. Capacidade de se comunicar em inglês. Os 6 meses de experiência exigidos no quadro F.A.9 referem-se a 6 meses de experiência como garçom/garçonete ou garçom/garçonete sênior em um estabelecimento de hotelaria. Número de horas por semana: 40 Horário de trabalho (início/término): 6h às 23h</v>
      </c>
    </row>
    <row r="2492" ht="20.25" customHeight="1">
      <c r="A2492" s="3" t="s">
        <v>10830</v>
      </c>
      <c r="B2492" s="3" t="s">
        <v>10825</v>
      </c>
      <c r="C2492" s="3" t="s">
        <v>8981</v>
      </c>
      <c r="D2492" s="3" t="s">
        <v>71</v>
      </c>
      <c r="E2492" s="4" t="s">
        <v>19</v>
      </c>
      <c r="F2492" s="4" t="s">
        <v>20</v>
      </c>
      <c r="G2492" s="4" t="s">
        <v>524</v>
      </c>
      <c r="H2492" s="3" t="s">
        <v>10826</v>
      </c>
      <c r="I2492" s="3" t="s">
        <v>10827</v>
      </c>
      <c r="J2492" s="4">
        <v>20.0</v>
      </c>
      <c r="K2492" s="4">
        <v>3.0</v>
      </c>
      <c r="L2492" s="3" t="s">
        <v>8996</v>
      </c>
      <c r="M2492" s="3" t="s">
        <v>10831</v>
      </c>
      <c r="N2492" s="7" t="str">
        <f>IFERROR(__xludf.DUMMYFUNCTION("GOOGLETRANSLATE(L2492, ""en"", ""pt"")"),"Trabalhadores de manutenção de campos de golfe")</f>
        <v>Trabalhadores de manutenção de campos de golfe</v>
      </c>
      <c r="O2492" s="7" t="str">
        <f>IFERROR(__xludf.DUMMYFUNCTION("IF(M2492="""","""",GOOGLETRANSLATE(M2492,""en"",""pt""))"),"Paisagismo e manutenção de terrenos de campos de golfe, utilizando ferramentas manuais ou elétricas. As responsabilidades podem incluir qualquer combinação das seguintes atividades: colocação de grama, corte, poda, plantio, rega, fertilização, escavação, "&amp;"rastelagem e instalação de aspersores. *Continuação da Seção F.a.5 abaixo: 40 horas semanais. Os turnos serão de 8 horas, podendo variar conforme a necessidade, de acordo com o anúncio da vaga na Agência Estadual de Força de Trabalho e em outras fontes de"&amp;" anúncios de vagas H-2B, conforme os requisitos de recrutamento dos empregadores para trabalhadores em potencial no âmbito do programa H-2B. Turnos variáveis ​​ao longo de 7 dias da semana. Os turnos podem variar das 6h às 23h. Classificação da vaga: 37-3"&amp;"011.00 - Trabalhadores de Paisagismo e Manutenção de Terrenos. A classificação e descrição da vaga/setor incluem informações gerais sobre o cargo, provenientes do ONET/OES e do Sistema de Classificação Industrial da América do Norte. Consulte as Funções e"&amp;" a Ordem de Serviço para obter mais informações. Requisitos da vaga Experiência exigida: Não Requisitos especiais: O EMPREGADOR EXIGE QUE A VERIFICAÇÃO DE ANTECEDENTES CRIMINAIS PRÉ-ADMISSÃO E O TESTE DE DROGAS PÓS-ADMISSÃO SEJAM REALIZADOS IGUALMENTE PAR"&amp;"A OS TRABALHADORES AMERICANOS E PARA OS TRABALHADORES COM VISTO H-2B. Capacidade de se comunicar em inglês. Número de horas por semana: 40 Horário de trabalho (início/término): 6h às 23h")</f>
        <v>Paisagismo e manutenção de terrenos de campos de golfe, utilizando ferramentas manuais ou elétricas. As responsabilidades podem incluir qualquer combinação das seguintes atividades: colocação de grama, corte, poda, plantio, rega, fertilização, escavação, rastelagem e instalação de aspersores. *Continuação da Seção F.a.5 abaixo: 40 horas semanais. Os turnos serão de 8 horas, podendo variar conforme a necessidade, de acordo com o anúncio da vaga na Agência Estadual de Força de Trabalho e em outras fontes de anúncios de vagas H-2B, conforme os requisitos de recrutamento dos empregadores para trabalhadores em potencial no âmbito do programa H-2B. Turnos variáveis ​​ao longo de 7 dias da semana. Os turnos podem variar das 6h às 23h. Classificação da vaga: 37-3011.00 - Trabalhadores de Paisagismo e Manutenção de Terrenos. A classificação e descrição da vaga/setor incluem informações gerais sobre o cargo, provenientes do ONET/OES e do Sistema de Classificação Industrial da América do Norte. Consulte as Funções e a Ordem de Serviço para obter mais informações. Requisitos da vaga Experiência exigida: Não Requisitos especiais: O EMPREGADOR EXIGE QUE A VERIFICAÇÃO DE ANTECEDENTES CRIMINAIS PRÉ-ADMISSÃO E O TESTE DE DROGAS PÓS-ADMISSÃO SEJAM REALIZADOS IGUALMENTE PARA OS TRABALHADORES AMERICANOS E PARA OS TRABALHADORES COM VISTO H-2B. Capacidade de se comunicar em inglês. Número de horas por semana: 40 Horário de trabalho (início/término): 6h às 23h</v>
      </c>
    </row>
    <row r="2493" ht="20.25" customHeight="1">
      <c r="A2493" s="8" t="s">
        <v>10832</v>
      </c>
      <c r="B2493" s="8" t="s">
        <v>10825</v>
      </c>
      <c r="C2493" s="8" t="s">
        <v>8981</v>
      </c>
      <c r="D2493" s="8" t="s">
        <v>71</v>
      </c>
      <c r="E2493" s="9" t="s">
        <v>19</v>
      </c>
      <c r="F2493" s="9" t="s">
        <v>20</v>
      </c>
      <c r="G2493" s="9" t="s">
        <v>524</v>
      </c>
      <c r="H2493" s="8" t="s">
        <v>10826</v>
      </c>
      <c r="I2493" s="8" t="s">
        <v>10827</v>
      </c>
      <c r="J2493" s="9">
        <v>16.0</v>
      </c>
      <c r="K2493" s="9">
        <v>4.0</v>
      </c>
      <c r="L2493" s="8" t="s">
        <v>354</v>
      </c>
      <c r="M2493" s="8" t="s">
        <v>10833</v>
      </c>
      <c r="N2493" s="7" t="str">
        <f>IFERROR(__xludf.DUMMYFUNCTION("GOOGLETRANSLATE(L2493, ""en"", ""pt"")"),"Governanta")</f>
        <v>Governanta</v>
      </c>
      <c r="O2493" s="7" t="str">
        <f>IFERROR(__xludf.DUMMYFUNCTION("IF(M2493="""","""",GOOGLETRANSLATE(M2493,""en"",""pt""))"),"Limpar áreas comuns, corredores, quartos e vestiários, incluindo tirar o pó, passar pano leve, aspirar e, ocasionalmente, remover lixo/roupas sujas. Carregar, lavar e guardar roupas de cama e banho, especificamente incluindo a lavagem de toalhas de mesa, "&amp;"roupas de cama de quartos de hóspedes, roupas de cama das instalações, uniformes das instalações, toalhas de banho, cortinas e tecidos decorativos. *Continuação da Seção F.a.5 abaixo: 40 horas semanais. Os turnos serão de 8 horas e podem variar conforme a"&amp;" necessidade, de acordo com o anúncio da vaga na Agência Estadual de Força de Trabalho e em outras fontes de anúncios de vagas H-2B, conforme os requisitos de recrutamento dos empregadores para trabalhadores em potencial no âmbito do programa H-2B. Turnos"&amp;" variáveis ​​ao longo de 7 dias da semana. Os turnos podem variar: das 6h às 23h. Classificação da vaga: 37-2012.00 - Empregadas Domésticas e Auxiliares de Limpeza. A classificação e descrição da vaga/setor inclui informações gerais sobre o cargo, de acor"&amp;"do com o ONET/OES e o Sistema de Classificação Industrial da América do Norte. Consulte as Funções e a Ordem de Serviço para obter mais informações. Requisitos da vaga Experiência exigida: Não Requisitos especiais: O EMPREGADOR EXIGE QUE A VERIFICAÇÃO DE "&amp;"ANTECEDENTES CRIMINAIS PRÉ-ADMISSÃO E O TESTE DE DROGAS PÓS-ADMISSÃO SEJAM REALIZADOS IGUALMENTE PARA OS TRABALHADORES AMERICANOS E PARA OS TRABALHADORES COM VISTO H-2B. Capacidade de se comunicar em inglês. Número de horas por semana: 40 Horário de traba"&amp;"lho (início/término): 6h às 23h")</f>
        <v>Limpar áreas comuns, corredores, quartos e vestiários, incluindo tirar o pó, passar pano leve, aspirar e, ocasionalmente, remover lixo/roupas sujas. Carregar, lavar e guardar roupas de cama e banho, especificamente incluindo a lavagem de toalhas de mesa, roupas de cama de quartos de hóspedes, roupas de cama das instalações, uniformes das instalações, toalhas de banho, cortinas e tecidos decorativos. *Continuação da Seção F.a.5 abaixo: 40 horas semanais. Os turnos serão de 8 horas e podem variar conforme a necessidade, de acordo com o anúncio da vaga na Agência Estadual de Força de Trabalho e em outras fontes de anúncios de vagas H-2B, conforme os requisitos de recrutamento dos empregadores para trabalhadores em potencial no âmbito do programa H-2B. Turnos variáveis ​​ao longo de 7 dias da semana. Os turnos podem variar: das 6h às 23h. Classificação da vaga: 37-2012.00 - Empregadas Domésticas e Auxiliares de Limpeza. A classificação e descrição da vaga/setor inclui informações gerais sobre o cargo, de acordo com o ONET/OES e o Sistema de Classificação Industrial da América do Norte. Consulte as Funções e a Ordem de Serviço para obter mais informações. Requisitos da vaga Experiência exigida: Não Requisitos especiais: O EMPREGADOR EXIGE QUE A VERIFICAÇÃO DE ANTECEDENTES CRIMINAIS PRÉ-ADMISSÃO E O TESTE DE DROGAS PÓS-ADMISSÃO SEJAM REALIZADOS IGUALMENTE PARA OS TRABALHADORES AMERICANOS E PARA OS TRABALHADORES COM VISTO H-2B. Capacidade de se comunicar em inglês. Número de horas por semana: 40 Horário de trabalho (início/término): 6h às 23h</v>
      </c>
    </row>
    <row r="2494" ht="20.25" customHeight="1">
      <c r="A2494" s="3" t="s">
        <v>10834</v>
      </c>
      <c r="B2494" s="3" t="s">
        <v>10825</v>
      </c>
      <c r="C2494" s="3" t="s">
        <v>8981</v>
      </c>
      <c r="D2494" s="3" t="s">
        <v>71</v>
      </c>
      <c r="E2494" s="4" t="s">
        <v>44</v>
      </c>
      <c r="F2494" s="4" t="s">
        <v>20</v>
      </c>
      <c r="G2494" s="4" t="s">
        <v>524</v>
      </c>
      <c r="H2494" s="3" t="s">
        <v>10826</v>
      </c>
      <c r="I2494" s="3" t="s">
        <v>10827</v>
      </c>
      <c r="J2494" s="4">
        <v>18.74</v>
      </c>
      <c r="K2494" s="4">
        <v>3.0</v>
      </c>
      <c r="L2494" s="3" t="s">
        <v>1684</v>
      </c>
      <c r="M2494" s="3" t="s">
        <v>10835</v>
      </c>
      <c r="N2494" s="7" t="str">
        <f>IFERROR(__xludf.DUMMYFUNCTION("GOOGLETRANSLATE(L2494, ""en"", ""pt"")"),"Barman")</f>
        <v>Barman</v>
      </c>
      <c r="O2494" s="7" t="str">
        <f>IFERROR(__xludf.DUMMYFUNCTION("IF(M2494="""","""",GOOGLETRANSLATE(M2494,""en"",""pt""))"),"Anotar pedidos de bebidas. Preparar e servir drinks. Limpar a área do bar. Poderá ser necessário anotar pedidos de comida e fazer recomendações sobre vinhos e outros produtos. Solicitar e exibir bebidas alcoólicas e suprimentos. Manter a área do bar limpa"&amp;" e trabalhar de acordo com as normas estaduais rigorosamente aplicadas. *Continuação da Seção F.a.5 abaixo: 40 horas semanais. Os turnos serão de 8 horas, podendo variar conforme a necessidade, de acordo com o anúncio da vaga na Agência Estadual de Força "&amp;"de Trabalho e em outras fontes de anúncios de vagas H-2B, conforme os requisitos de recrutamento dos empregadores para trabalhadores em potencial sob o programa H-2B. Turnos variáveis ​​ao longo de 7 dias da semana. Os turnos podem variar: das 6h às 23h. "&amp;"Classificação da vaga: 35-3011.00 - Bartenders. A classificação e descrição da vaga/setor incluem informações gerais sobre o cargo, de acordo com o ONET/OES e o Sistema de Classificação Industrial da América do Norte. Consulte as Funções e a Ordem de Serv"&amp;"iço para obter mais informações. Requisitos da vaga Experiência exigida: Não Requisitos especiais: O EMPREGADOR EXIGE QUE A VERIFICAÇÃO DE ANTECEDENTES CRIMINAIS PRÉ-ADMISSÃO E O TESTE DE DROGAS PÓS-ADMISSÃO SEJAM REALIZADOS IGUALMENTE PARA OS TRABALHADOR"&amp;"ES AMERICANOS E PARA OS TRABALHADORES COM VISTO H-2B. Capacidade de se comunicar em inglês. Número de horas por semana: 40 Horário de trabalho (início/término): 6h às 23h")</f>
        <v>Anotar pedidos de bebidas. Preparar e servir drinks. Limpar a área do bar. Poderá ser necessário anotar pedidos de comida e fazer recomendações sobre vinhos e outros produtos. Solicitar e exibir bebidas alcoólicas e suprimentos. Manter a área do bar limpa e trabalhar de acordo com as normas estaduais rigorosamente aplicadas. *Continuação da Seção F.a.5 abaixo: 40 horas semanais. Os turnos serão de 8 horas, podendo variar conforme a necessidade, de acordo com o anúncio da vaga na Agência Estadual de Força de Trabalho e em outras fontes de anúncios de vagas H-2B, conforme os requisitos de recrutamento dos empregadores para trabalhadores em potencial sob o programa H-2B. Turnos variáveis ​​ao longo de 7 dias da semana. Os turnos podem variar: das 6h às 23h. Classificação da vaga: 35-3011.00 - Bartenders. A classificação e descrição da vaga/setor incluem informações gerais sobre o cargo, de acordo com o ONET/OES e o Sistema de Classificação Industrial da América do Norte. Consulte as Funções e a Ordem de Serviço para obter mais informações. Requisitos da vaga Experiência exigida: Não Requisitos especiais: O EMPREGADOR EXIGE QUE A VERIFICAÇÃO DE ANTECEDENTES CRIMINAIS PRÉ-ADMISSÃO E O TESTE DE DROGAS PÓS-ADMISSÃO SEJAM REALIZADOS IGUALMENTE PARA OS TRABALHADORES AMERICANOS E PARA OS TRABALHADORES COM VISTO H-2B. Capacidade de se comunicar em inglês. Número de horas por semana: 40 Horário de trabalho (início/término): 6h às 23h</v>
      </c>
    </row>
    <row r="2495" ht="20.25" customHeight="1">
      <c r="A2495" s="8" t="s">
        <v>10836</v>
      </c>
      <c r="B2495" s="8" t="s">
        <v>10825</v>
      </c>
      <c r="C2495" s="8" t="s">
        <v>8981</v>
      </c>
      <c r="D2495" s="8" t="s">
        <v>71</v>
      </c>
      <c r="E2495" s="9" t="s">
        <v>44</v>
      </c>
      <c r="F2495" s="9" t="s">
        <v>20</v>
      </c>
      <c r="G2495" s="9" t="s">
        <v>524</v>
      </c>
      <c r="H2495" s="8" t="s">
        <v>10826</v>
      </c>
      <c r="I2495" s="8" t="s">
        <v>10827</v>
      </c>
      <c r="J2495" s="9">
        <v>17.0</v>
      </c>
      <c r="K2495" s="9">
        <v>2.0</v>
      </c>
      <c r="L2495" s="8" t="s">
        <v>2821</v>
      </c>
      <c r="M2495" s="8" t="s">
        <v>10837</v>
      </c>
      <c r="N2495" s="7" t="str">
        <f>IFERROR(__xludf.DUMMYFUNCTION("GOOGLETRANSLATE(L2495, ""en"", ""pt"")"),"Auxiliar de Recreação")</f>
        <v>Auxiliar de Recreação</v>
      </c>
      <c r="O2495" s="7" t="str">
        <f>IFERROR(__xludf.DUMMYFUNCTION("IF(M2495="""","""",GOOGLETRANSLATE(M2495,""en"",""pt""))"),"O funcionário poderá ser solicitado a desempenhar qualquer uma das seguintes funções: monitorar as atividades no campo de golfe, complexo de tênis, complexo aquático e spa e academia; prestar assistência administrativa aos sócios, incluindo a verificação "&amp;"de cartões de sócio, confirmação de reservas, organização de mercadorias e fornecimento de informações sobre as instalações; realizar a limpeza básica de carrinhos e tacos de golfe e transportar os equipamentos de golfe e automóveis dos sócios de e para a"&amp;"s instalações do clube. As funções relacionadas ao transporte de equipamentos de golfe e automóveis dos sócios de e para as instalações do clube exigem que o funcionário encontre o sócio na calçada; abra a porta do motorista imediatamente após a chegada; "&amp;"e faça uma rápida e discreta inspeção visual para verificar se há danos pré-existentes; transporte os sócios e suas bolsas de equipamentos de golfe em seus automóveis de e para uma área de armazenamento segura e designada para sócios do clube; carregue as"&amp;" bolsas de equipamentos de golfe do automóvel para os carrinhos e certifique-se de que estejam prontas para o jogador na área de espera; limpe os tacos após o jogo, devolva as bolsas de equipamentos de golfe ao armazenamento ou transporte-as de volta para"&amp;" o automóvel do sócio; leve o automóvel até a entrada das instalações do clube, mediante solicitação do sócio. *Continuação da Seção F.a.5 abaixo: 40 horas semanais. Os turnos serão de 8 horas, podendo variar conforme a necessidade, de acordo com o anúnci"&amp;"o de vaga da Agência Estadual de Força de Trabalho e outras fontes de anúncios de vagas H-2B, conforme os requisitos de recrutamento dos empregadores para trabalhadores em potencial no âmbito do programa H-2B. Turnos variáveis ​​ao longo de 7 dias da sema"&amp;"na. Os turnos podem variar das 6h às 23h. Classificação da vaga: 53-6021.00 - Manobristas. A classificação e descrição da vaga/setor incluem informações gerais sobre o cargo, conforme o ONET/OES e o Sistema de Classificação Industrial da América do Norte "&amp;"(NAICS). Consulte as Funções e a Ordem de Serviço para obter mais informações. Requisitos da vaga: Experiência exigida: Não. Requisitos especiais: O EMPREGADOR EXIGE A VERIFICAÇÃO DE ANTECEDENTES CRIMINAIS PRÉ-ADMISSÃO E O TESTE DE DROGAS PÓS-ADMISSÃO, QU"&amp;"E SERÃO REALIZADOS IGUALMENTE PARA OS TRABALHADORES AMERICANOS E OS TRABALHADORES COM VISTO H-2B. Capacidade de se comunicar em inglês. Número de horas por semana: 40 Horário de trabalho (início/término): 6h00 - 23h00")</f>
        <v>O funcionário poderá ser solicitado a desempenhar qualquer uma das seguintes funções: monitorar as atividades no campo de golfe, complexo de tênis, complexo aquático e spa e academia; prestar assistência administrativa aos sócios, incluindo a verificação de cartões de sócio, confirmação de reservas, organização de mercadorias e fornecimento de informações sobre as instalações; realizar a limpeza básica de carrinhos e tacos de golfe e transportar os equipamentos de golfe e automóveis dos sócios de e para as instalações do clube. As funções relacionadas ao transporte de equipamentos de golfe e automóveis dos sócios de e para as instalações do clube exigem que o funcionário encontre o sócio na calçada; abra a porta do motorista imediatamente após a chegada; e faça uma rápida e discreta inspeção visual para verificar se há danos pré-existentes; transporte os sócios e suas bolsas de equipamentos de golfe em seus automóveis de e para uma área de armazenamento segura e designada para sócios do clube; carregue as bolsas de equipamentos de golfe do automóvel para os carrinhos e certifique-se de que estejam prontas para o jogador na área de espera; limpe os tacos após o jogo, devolva as bolsas de equipamentos de golfe ao armazenamento ou transporte-as de volta para o automóvel do sócio; leve o automóvel até a entrada das instalações do clube, mediante solicitação do sócio. *Continuação da Seção F.a.5 abaixo: 40 horas semanais. Os turnos serão de 8 horas, podendo variar conforme a necessidade, de acordo com o anúncio de vaga da Agência Estadual de Força de Trabalho e outras fontes de anúncios de vagas H-2B, conforme os requisitos de recrutamento dos empregadores para trabalhadores em potencial no âmbito do programa H-2B. Turnos variáveis ​​ao longo de 7 dias da semana. Os turnos podem variar das 6h às 23h. Classificação da vaga: 53-6021.00 - Manobristas. A classificação e descrição da vaga/setor incluem informações gerais sobre o cargo, conforme o ONET/OES e o Sistema de Classificação Industrial da América do Norte (NAICS). Consulte as Funções e a Ordem de Serviço para obter mais informações. Requisitos da vaga: Experiência exigida: Não. Requisitos especiais: O EMPREGADOR EXIGE A VERIFICAÇÃO DE ANTECEDENTES CRIMINAIS PRÉ-ADMISSÃO E O TESTE DE DROGAS PÓS-ADMISSÃO, QUE SERÃO REALIZADOS IGUALMENTE PARA OS TRABALHADORES AMERICANOS E OS TRABALHADORES COM VISTO H-2B. Capacidade de se comunicar em inglês. Número de horas por semana: 40 Horário de trabalho (início/término): 6h00 - 23h00</v>
      </c>
    </row>
    <row r="2496" ht="20.25" customHeight="1">
      <c r="A2496" s="3" t="s">
        <v>10838</v>
      </c>
      <c r="B2496" s="3" t="s">
        <v>10839</v>
      </c>
      <c r="C2496" s="3" t="s">
        <v>6228</v>
      </c>
      <c r="D2496" s="3" t="s">
        <v>64</v>
      </c>
      <c r="E2496" s="4" t="s">
        <v>44</v>
      </c>
      <c r="F2496" s="4" t="s">
        <v>20</v>
      </c>
      <c r="G2496" s="4" t="s">
        <v>56</v>
      </c>
      <c r="H2496" s="3" t="s">
        <v>10840</v>
      </c>
      <c r="I2496" s="3" t="s">
        <v>10841</v>
      </c>
      <c r="J2496" s="4">
        <v>24.48</v>
      </c>
      <c r="K2496" s="4">
        <v>15.0</v>
      </c>
      <c r="L2496" s="3" t="s">
        <v>10842</v>
      </c>
      <c r="M2496" s="3" t="s">
        <v>10843</v>
      </c>
      <c r="N2496" s="7" t="str">
        <f>IFERROR(__xludf.DUMMYFUNCTION("GOOGLETRANSLATE(L2496, ""en"", ""pt"")"),"Motorista para gramados e paisagismo no inverno")</f>
        <v>Motorista para gramados e paisagismo no inverno</v>
      </c>
      <c r="O2496" s="7" t="str">
        <f>IFERROR(__xludf.DUMMYFUNCTION("IF(M2496="""","""",GOOGLETRANSLATE(M2496,""en"",""pt""))"),"Os trabalhadores realizarão serviços de paisagismo e/ou manutenção de terrenos utilizando ferramentas manuais ou elétricas, incluindo, entre outros, aparadores de grama, pulverizadores, sopradores, ancinhos, pás, tesouras de poda e tesouras de cerca viva."&amp;" As tarefas geralmente envolvem uma variedade de atividades, que podem incluir qualquer combinação das seguintes: coleta e remoção de lixo, colocação de grama em placas, corte de grama, poda, plantio, rega, fertilização, escavação, rastelagem e instalação"&amp;" de aspersores. Os trabalhadores auxiliarão na limpeza do jardim, remoção de folhas, aplicação ou substituição de cobertura morta e limpeza de folhas. As tarefas de inverno incluem a instalação de luzes natalinas, poda de inverno, limpeza do jardim, remoç"&amp;"ão de folhas e detritos e poda de árvores. Classificação da Função: 49-9099.00 - Trabalhadores de Instalação, Manutenção e Reparo, Outros. A classificação e descrição da função/setor inclui informações gerais sobre o cargo, conforme ONET/OES e o Sistema d"&amp;"e Classificação Industrial da América do Norte (NAICS). Consulte as Funções e a Ordem de Serviço para obter mais informações. Requisitos da Função Experiência Necessária: Sim Meses de Experiência Necessários: 6 Requisitos Especiais: Necessário possuir car"&amp;"teira de habilitação americana e dirigir veículo da empresa. Deve ser capaz de levantar e carregar 34 kg por 68 metros. Deve ser aprovado na verificação de antecedentes e no exame toxicológico pré-admissional. Número de Horas por Semana: 40 Horário de Tra"&amp;"balho (Início/Término): 7h às 18h")</f>
        <v>Os trabalhadores realizarão serviços de paisagismo e/ou manutenção de terrenos utilizando ferramentas manuais ou elétricas, incluindo, entre outros, aparadores de grama, pulverizadores, sopradores, ancinhos, pás, tesouras de poda e tesouras de cerca viva. As tarefas geralmente envolvem uma variedade de atividades, que podem incluir qualquer combinação das seguintes: coleta e remoção de lixo, colocação de grama em placas, corte de grama, poda, plantio, rega, fertilização, escavação, rastelagem e instalação de aspersores. Os trabalhadores auxiliarão na limpeza do jardim, remoção de folhas, aplicação ou substituição de cobertura morta e limpeza de folhas. As tarefas de inverno incluem a instalação de luzes natalinas, poda de inverno, limpeza do jardim, remoção de folhas e detritos e poda de árvores. Classificação da Função: 49-9099.00 - Trabalhadores de Instalação, Manutenção e Reparo, Outros. A classificação e descrição da função/setor inclui informações gerais sobre o cargo, conforme ONET/OES e o Sistema de Classificação Industrial da América do Norte (NAICS). Consulte as Funções e a Ordem de Serviço para obter mais informações. Requisitos da Função Experiência Necessária: Sim Meses de Experiência Necessários: 6 Requisitos Especiais: Necessário possuir carteira de habilitação americana e dirigir veículo da empresa. Deve ser capaz de levantar e carregar 34 kg por 68 metros. Deve ser aprovado na verificação de antecedentes e no exame toxicológico pré-admissional. Número de Horas por Semana: 40 Horário de Trabalho (Início/Término): 7h às 18h</v>
      </c>
    </row>
    <row r="2497" ht="20.25" customHeight="1">
      <c r="A2497" s="8" t="s">
        <v>10844</v>
      </c>
      <c r="B2497" s="8" t="s">
        <v>10845</v>
      </c>
      <c r="C2497" s="8" t="s">
        <v>10726</v>
      </c>
      <c r="D2497" s="8" t="s">
        <v>254</v>
      </c>
      <c r="E2497" s="9" t="s">
        <v>19</v>
      </c>
      <c r="F2497" s="9" t="s">
        <v>20</v>
      </c>
      <c r="G2497" s="9" t="s">
        <v>377</v>
      </c>
      <c r="H2497" s="8" t="s">
        <v>10727</v>
      </c>
      <c r="I2497" s="8" t="s">
        <v>10728</v>
      </c>
      <c r="J2497" s="9">
        <v>15.04</v>
      </c>
      <c r="K2497" s="9">
        <v>2.0</v>
      </c>
      <c r="L2497" s="8" t="s">
        <v>387</v>
      </c>
      <c r="M2497" s="8" t="s">
        <v>10772</v>
      </c>
      <c r="N2497" s="7" t="str">
        <f>IFERROR(__xludf.DUMMYFUNCTION("GOOGLETRANSLATE(L2497, ""en"", ""pt"")"),"Ordem de serviço não disponível")</f>
        <v>Ordem de serviço não disponível</v>
      </c>
      <c r="O2497" s="7" t="str">
        <f>IFERROR(__xludf.DUMMYFUNCTION("IF(M2497="""","""",GOOGLETRANSLATE(M2497,""en"",""pt""))"),"Cozinheiros preparam, temperam e cozinham pratos como sopas, legumes, carnes e sobremesas em restaurantes. Garantem a consistência, a qualidade e a segurança dos alimentos para nossos clientes. Realizam a manutenção e limpeza diárias da cozinha e dos equi"&amp;"pamentos, como lava-louças, grelha, fritadeira, forno, refrigeradores, etc. Pesam e porcionam os alimentos. Classificação da vaga: 35-2014.00 - Cozinheiros, Restaurante. A classificação e a descrição da vaga/setor incluem informações gerais sobre o cargo,"&amp;" de acordo com o ONET/OES e o Sistema de Classificação Industrial da América do Norte. Consulte as Funções e a Ordem de Serviço para obter mais informações. Requisitos da vaga: Experiência necessária: Não. Requisitos especiais: Capacidade e disposição par"&amp;"a seguir instruções e trabalhar em pé por muitas horas. O empregador oferecerá pelo menos 40 horas de trabalho por semana, de domingo a sábado, entre 10h e 14h e entre 16h e 20h, com folgas variáveis. Número de horas por semana: 40. Horário de trabalho (i"&amp;"nício/término): 10h. - 20h00")</f>
        <v>Cozinheiros preparam, temperam e cozinham pratos como sopas, legumes, carnes e sobremesas em restaurantes. Garantem a consistência, a qualidade e a segurança dos alimentos para nossos clientes. Realizam a manutenção e limpeza diárias da cozinha e dos equipamentos, como lava-louças, grelha, fritadeira, forno, refrigeradores, etc. Pesam e porcionam os alimentos. Classificação da vaga: 35-2014.00 - Cozinheiros, Restaurante. A classificação e a descrição da vaga/setor incluem informações gerais sobre o cargo, de acordo com o ONET/OES e o Sistema de Classificação Industrial da América do Norte. Consulte as Funções e a Ordem de Serviço para obter mais informações. Requisitos da vaga: Experiência necessária: Não. Requisitos especiais: Capacidade e disposição para seguir instruções e trabalhar em pé por muitas horas. O empregador oferecerá pelo menos 40 horas de trabalho por semana, de domingo a sábado, entre 10h e 14h e entre 16h e 20h, com folgas variáveis. Número de horas por semana: 40. Horário de trabalho (início/término): 10h. - 20h00</v>
      </c>
    </row>
    <row r="2498" ht="20.25" customHeight="1">
      <c r="A2498" s="3" t="s">
        <v>10846</v>
      </c>
      <c r="B2498" s="3" t="s">
        <v>10847</v>
      </c>
      <c r="C2498" s="3" t="s">
        <v>10726</v>
      </c>
      <c r="D2498" s="3" t="s">
        <v>71</v>
      </c>
      <c r="E2498" s="4" t="s">
        <v>19</v>
      </c>
      <c r="F2498" s="4" t="s">
        <v>20</v>
      </c>
      <c r="G2498" s="4" t="s">
        <v>4629</v>
      </c>
      <c r="H2498" s="3" t="s">
        <v>10848</v>
      </c>
      <c r="I2498" s="3" t="s">
        <v>10849</v>
      </c>
      <c r="J2498" s="4">
        <v>16.29</v>
      </c>
      <c r="K2498" s="4">
        <v>4.0</v>
      </c>
      <c r="L2498" s="3" t="s">
        <v>4517</v>
      </c>
      <c r="M2498" s="3" t="s">
        <v>10850</v>
      </c>
      <c r="N2498" s="7" t="str">
        <f>IFERROR(__xludf.DUMMYFUNCTION("GOOGLETRANSLATE(L2498, ""en"", ""pt"")"),"tratador de estábulo")</f>
        <v>tratador de estábulo</v>
      </c>
      <c r="O2498" s="7" t="str">
        <f>IFERROR(__xludf.DUMMYFUNCTION("IF(M2498="""","""",GOOGLETRANSLATE(M2498,""en"",""pt""))"),"Cuidar de cavalos vivos. As tarefas incluem alimentar, dar água, banhar, exercitar, passear e embarcar os cavalos. Limpar e manter as baias. Classificação da vaga: 39-2021.00 - Cuidadores de Animais. A classificação e descrição da vaga/setor inclui inform"&amp;"ações gerais sobre o cargo, de acordo com o ONET/OES e o Sistema de Classificação Industrial da América do Norte. Consulte as Funções e a Ordem de Serviço para obter mais informações. Requisitos da vaga: Experiência necessária: Não. Requisitos especiais: "&amp;"Disposição para trabalhar com cavalos puro-sangue vivos. Capacidade de levantar até 23 kg e empurrar um carrinho de mão com até 34 kg. Trabalho em pé e ao ar livre de 8 a 10 horas por dia, 6 dias por semana. Os trabalhadores terão direito a pelo menos 40 "&amp;"horas de trabalho por semana, de segunda a sábado, entre 6h e 12h e entre 13h30 e 16h. O empregador não fornecerá alojamento, mas auxiliará os trabalhadores na busca de moradia que não seja de propriedade do empregador ou da gerência. Número de horas por "&amp;"semana: 40 Horário de trabalho (início/término): 6h00 - 16h00")</f>
        <v>Cuidar de cavalos vivos. As tarefas incluem alimentar, dar água, banhar, exercitar, passear e embarcar os cavalos. Limpar e manter as baias. Classificação da vaga: 39-2021.00 - Cuidadores de Animais. A classificação e descrição da vaga/setor inclui informações gerais sobre o cargo, de acordo com o ONET/OES e o Sistema de Classificação Industrial da América do Norte. Consulte as Funções e a Ordem de Serviço para obter mais informações. Requisitos da vaga: Experiência necessária: Não. Requisitos especiais: Disposição para trabalhar com cavalos puro-sangue vivos. Capacidade de levantar até 23 kg e empurrar um carrinho de mão com até 34 kg. Trabalho em pé e ao ar livre de 8 a 10 horas por dia, 6 dias por semana. Os trabalhadores terão direito a pelo menos 40 horas de trabalho por semana, de segunda a sábado, entre 6h e 12h e entre 13h30 e 16h. O empregador não fornecerá alojamento, mas auxiliará os trabalhadores na busca de moradia que não seja de propriedade do empregador ou da gerência. Número de horas por semana: 40 Horário de trabalho (início/término): 6h00 - 16h00</v>
      </c>
    </row>
    <row r="2499" ht="20.25" customHeight="1">
      <c r="A2499" s="8" t="s">
        <v>10851</v>
      </c>
      <c r="B2499" s="8" t="s">
        <v>10852</v>
      </c>
      <c r="C2499" s="8" t="s">
        <v>10726</v>
      </c>
      <c r="D2499" s="8" t="s">
        <v>71</v>
      </c>
      <c r="E2499" s="9" t="s">
        <v>44</v>
      </c>
      <c r="F2499" s="9" t="s">
        <v>20</v>
      </c>
      <c r="G2499" s="9" t="s">
        <v>4629</v>
      </c>
      <c r="H2499" s="8" t="s">
        <v>10848</v>
      </c>
      <c r="I2499" s="8" t="s">
        <v>10849</v>
      </c>
      <c r="J2499" s="9">
        <v>16.29</v>
      </c>
      <c r="K2499" s="9">
        <v>8.0</v>
      </c>
      <c r="L2499" s="8" t="s">
        <v>4517</v>
      </c>
      <c r="M2499" s="8" t="s">
        <v>10853</v>
      </c>
      <c r="N2499" s="7" t="str">
        <f>IFERROR(__xludf.DUMMYFUNCTION("GOOGLETRANSLATE(L2499, ""en"", ""pt"")"),"tratador de estábulo")</f>
        <v>tratador de estábulo</v>
      </c>
      <c r="O2499" s="7" t="str">
        <f>IFERROR(__xludf.DUMMYFUNCTION("IF(M2499="""","""",GOOGLETRANSLATE(M2499,""en"",""pt""))"),"Cuidar de cavalos vivos. As tarefas incluem alimentar, dar água, banhar, exercitar, passear e embarcar os cavalos. Limpar e manter as baias. Classificação da vaga: 39-2021.00 - Cuidadores de Animais. A classificação e descrição da vaga/setor inclui inform"&amp;"ações gerais sobre o cargo, de acordo com o ONET/OES e o Sistema de Classificação Industrial da América do Norte. Consulte as Funções e a Ordem de Serviço para obter mais informações. Requisitos da vaga: Experiência necessária: Não. Requisitos especiais: "&amp;"Disposição para trabalhar com cavalos puro-sangue vivos. Capacidade de levantar até 23 kg e empurrar um carrinho de mão com até 34 kg. Trabalho em pé e ao ar livre de 8 a 10 horas por dia, 6 dias por semana. Os trabalhadores terão direito a pelo menos 40 "&amp;"horas de trabalho por semana, de segunda a sábado, entre 6h e 12h30 e entre 13h30 e 16h. O empregador não fornecerá alojamento, mas auxiliará os trabalhadores na busca de moradia que não seja de propriedade do empregador ou da gerência. Número de horas po"&amp;"r semana: 40 Horário de trabalho (início/término): 6h00 - 16h00")</f>
        <v>Cuidar de cavalos vivos. As tarefas incluem alimentar, dar água, banhar, exercitar, passear e embarcar os cavalos. Limpar e manter as baias. Classificação da vaga: 39-2021.00 - Cuidadores de Animais. A classificação e descrição da vaga/setor inclui informações gerais sobre o cargo, de acordo com o ONET/OES e o Sistema de Classificação Industrial da América do Norte. Consulte as Funções e a Ordem de Serviço para obter mais informações. Requisitos da vaga: Experiência necessária: Não. Requisitos especiais: Disposição para trabalhar com cavalos puro-sangue vivos. Capacidade de levantar até 23 kg e empurrar um carrinho de mão com até 34 kg. Trabalho em pé e ao ar livre de 8 a 10 horas por dia, 6 dias por semana. Os trabalhadores terão direito a pelo menos 40 horas de trabalho por semana, de segunda a sábado, entre 6h e 12h30 e entre 13h30 e 16h. O empregador não fornecerá alojamento, mas auxiliará os trabalhadores na busca de moradia que não seja de propriedade do empregador ou da gerência. Número de horas por semana: 40 Horário de trabalho (início/término): 6h00 - 16h00</v>
      </c>
    </row>
    <row r="2500" ht="20.25" customHeight="1">
      <c r="A2500" s="3" t="s">
        <v>10854</v>
      </c>
      <c r="B2500" s="3" t="s">
        <v>10855</v>
      </c>
      <c r="C2500" s="3" t="s">
        <v>7533</v>
      </c>
      <c r="D2500" s="3" t="s">
        <v>64</v>
      </c>
      <c r="E2500" s="4" t="s">
        <v>19</v>
      </c>
      <c r="F2500" s="4" t="s">
        <v>20</v>
      </c>
      <c r="G2500" s="4" t="s">
        <v>110</v>
      </c>
      <c r="H2500" s="3" t="s">
        <v>10856</v>
      </c>
      <c r="I2500" s="3" t="s">
        <v>10857</v>
      </c>
      <c r="J2500" s="4">
        <v>17.89</v>
      </c>
      <c r="K2500" s="4">
        <v>12.0</v>
      </c>
      <c r="L2500" s="3" t="s">
        <v>406</v>
      </c>
      <c r="M2500" s="3" t="s">
        <v>10858</v>
      </c>
      <c r="N2500" s="7" t="str">
        <f>IFERROR(__xludf.DUMMYFUNCTION("GOOGLETRANSLATE(L2500, ""en"", ""pt"")"),"Trabalhador")</f>
        <v>Trabalhador</v>
      </c>
      <c r="O2500" s="7" t="str">
        <f>IFERROR(__xludf.DUMMYFUNCTION("IF(M2500="""","""",GOOGLETRANSLATE(M2500,""en"",""pt""))"),"Possível instalação de flores de outono; flores em canteiros. Decorações de outono e inverno relacionadas ao paisagismo. Poda e remoção de plantas mortas de canteiros e vasos. Classificação da vaga: 37-3011.00 - Trabalhadores de Paisagismo e Manutenção de"&amp;" Jardins. A classificação e descrição da vaga/setor inclui informações gerais sobre o cargo, de acordo com o ONET/OES e o Sistema de Classificação Industrial da América do Norte (NAICS). Consulte as Funções e a Ordem de Serviço para obter mais informações"&amp;". Requisitos da vaga: Experiência necessária: Não. Número de horas por semana: 40. Horário de trabalho (início/término): 7h às 16h.")</f>
        <v>Possível instalação de flores de outono; flores em canteiros. Decorações de outono e inverno relacionadas ao paisagismo. Poda e remoção de plantas mortas de canteiros e vasos. Classificação da vaga: 37-3011.00 - Trabalhadores de Paisagismo e Manutenção de Jardins. A classificação e descrição da vaga/setor inclui informações gerais sobre o cargo, de acordo com o ONET/OES e o Sistema de Classificação Industrial da América do Norte (NAICS). Consulte as Funções e a Ordem de Serviço para obter mais informações. Requisitos da vaga: Experiência necessária: Não. Número de horas por semana: 40. Horário de trabalho (início/término): 7h às 16h.</v>
      </c>
    </row>
    <row r="2501" ht="20.25" customHeight="1">
      <c r="A2501" s="8" t="s">
        <v>10859</v>
      </c>
      <c r="B2501" s="8" t="s">
        <v>10860</v>
      </c>
      <c r="C2501" s="8" t="s">
        <v>10861</v>
      </c>
      <c r="D2501" s="8" t="s">
        <v>64</v>
      </c>
      <c r="E2501" s="9" t="s">
        <v>19</v>
      </c>
      <c r="F2501" s="9" t="s">
        <v>20</v>
      </c>
      <c r="G2501" s="9" t="s">
        <v>80</v>
      </c>
      <c r="H2501" s="8" t="s">
        <v>10862</v>
      </c>
      <c r="I2501" s="8" t="s">
        <v>10863</v>
      </c>
      <c r="J2501" s="9">
        <v>23.06</v>
      </c>
      <c r="K2501" s="9">
        <v>3.0</v>
      </c>
      <c r="L2501" s="8" t="s">
        <v>10864</v>
      </c>
      <c r="M2501" s="8" t="s">
        <v>10865</v>
      </c>
      <c r="N2501" s="7" t="str">
        <f>IFERROR(__xludf.DUMMYFUNCTION("GOOGLETRANSLATE(L2501, ""en"", ""pt"")"),"Instalador de portas")</f>
        <v>Instalador de portas</v>
      </c>
      <c r="O2501" s="7" t="str">
        <f>IFERROR(__xludf.DUMMYFUNCTION("IF(M2501="""","""",GOOGLETRANSLATE(M2501,""en"",""pt""))"),"O Instalador de Portas é responsável pela instalação segura, precisa e profissional de sistemas de portas residenciais e comerciais, incluindo portas de correr de alumínio, portas sanfonadas para pátio, portas de entrada de ferro forjado e unidades de por"&amp;"tas arquitetônicas personalizadas. O Instalador garante que todo o trabalho atenda aos padrões de qualidade da AvantDoors, aos requisitos do fabricante e aos códigos de construção locais. Instala diversos tipos de portas, incluindo portas de correr, siste"&amp;"mas sanfonados, portas de entrada de ferro, portas pivotantes e sistemas de alumínio estilo vitrine. Mede, alinha, nivela e fixa batentes, painéis e componentes de ferragens das portas. Remove portas, batentes e acabamentos existentes, conforme necessário"&amp;". Utiliza ferramentas elétricas, elevadores, carrinhos e técnicas de manuseio seguro para mover e instalar grandes unidades de portas. Aplica selantes, impermeabilizantes, calços, rufos e materiais de impermeabilização de acordo com os padrões de instalaç"&amp;"ão. Classificação da Função: 47-2031.00 - Carpinteiros. A classificação e descrição da função/setor inclui informações gerais sobre o cargo, de acordo com o ONET/OES e o Sistema de Classificação Industrial da América do Norte. Consulte as Funções e a Orde"&amp;"m de Serviço para obter mais informações. Requisitos da vaga Experiência necessária: Sim Meses de experiência necessários: 12 Requisitos especiais: Deve ter capacidade para levantar e manusear portas pesadas (até 45-68 kg com auxílio); conhecimento sólido"&amp;" de ferramentas manuais, ferramentas elétricas e materiais de construção; compreensão básica de medidas, níveis, prumos e trabalhos de marcação; e capacidade de ler plantas simples e instruções de instalação. Número de horas por semana: 40 Horário de trab"&amp;"alho (início/término): 9h às 17h")</f>
        <v>O Instalador de Portas é responsável pela instalação segura, precisa e profissional de sistemas de portas residenciais e comerciais, incluindo portas de correr de alumínio, portas sanfonadas para pátio, portas de entrada de ferro forjado e unidades de portas arquitetônicas personalizadas. O Instalador garante que todo o trabalho atenda aos padrões de qualidade da AvantDoors, aos requisitos do fabricante e aos códigos de construção locais. Instala diversos tipos de portas, incluindo portas de correr, sistemas sanfonados, portas de entrada de ferro, portas pivotantes e sistemas de alumínio estilo vitrine. Mede, alinha, nivela e fixa batentes, painéis e componentes de ferragens das portas. Remove portas, batentes e acabamentos existentes, conforme necessário. Utiliza ferramentas elétricas, elevadores, carrinhos e técnicas de manuseio seguro para mover e instalar grandes unidades de portas. Aplica selantes, impermeabilizantes, calços, rufos e materiais de impermeabilização de acordo com os padrões de instalação. Classificação da Função: 47-2031.00 - Carpinteiros. A classificação e descrição da função/setor inclui informações gerais sobre o cargo, de acordo com o ONET/OES e o Sistema de Classificação Industrial da América do Norte. Consulte as Funções e a Ordem de Serviço para obter mais informações. Requisitos da vaga Experiência necessária: Sim Meses de experiência necessários: 12 Requisitos especiais: Deve ter capacidade para levantar e manusear portas pesadas (até 45-68 kg com auxílio); conhecimento sólido de ferramentas manuais, ferramentas elétricas e materiais de construção; compreensão básica de medidas, níveis, prumos e trabalhos de marcação; e capacidade de ler plantas simples e instruções de instalação. Número de horas por semana: 40 Horário de trabalho (início/término): 9h às 17h</v>
      </c>
    </row>
    <row r="2502" ht="20.25" customHeight="1">
      <c r="A2502" s="3" t="s">
        <v>10866</v>
      </c>
      <c r="B2502" s="3" t="s">
        <v>10860</v>
      </c>
      <c r="C2502" s="3" t="s">
        <v>10861</v>
      </c>
      <c r="D2502" s="3" t="s">
        <v>64</v>
      </c>
      <c r="E2502" s="4" t="s">
        <v>44</v>
      </c>
      <c r="F2502" s="4" t="s">
        <v>20</v>
      </c>
      <c r="G2502" s="4" t="s">
        <v>80</v>
      </c>
      <c r="H2502" s="3" t="s">
        <v>10862</v>
      </c>
      <c r="I2502" s="3" t="s">
        <v>10863</v>
      </c>
      <c r="J2502" s="4">
        <v>35.0</v>
      </c>
      <c r="K2502" s="4">
        <v>1.0</v>
      </c>
      <c r="L2502" s="3" t="s">
        <v>10867</v>
      </c>
      <c r="M2502" s="3" t="s">
        <v>10868</v>
      </c>
      <c r="N2502" s="7" t="str">
        <f>IFERROR(__xludf.DUMMYFUNCTION("GOOGLETRANSLATE(L2502, ""en"", ""pt"")"),"Supervisor de Instalação de Portas")</f>
        <v>Supervisor de Instalação de Portas</v>
      </c>
      <c r="O2502" s="7" t="str">
        <f>IFERROR(__xludf.DUMMYFUNCTION("IF(M2502="""","""",GOOGLETRANSLATE(M2502,""en"",""pt""))"),"O Supervisor de Instalação supervisiona as operações diárias em campo para projetos de instalação de portas, garantindo a qualidade da mão de obra, o cumprimento das normas de segurança, a coordenação da equipe e a conclusão eficiente dos cronogramas de t"&amp;"rabalho. Este cargo oferece liderança aos instaladores, comunica-se diretamente com clientes e empreiteiros e garante que todas as instalações da Avant Doors atendam aos padrões da empresa. O supervisor é responsável por liderar e supervisionar as equipes"&amp;" de instalação em obras residenciais e comerciais, coordenando o cronograma e os prazos dos projetos com a gerência e garantindo a instalação adequada de portas de correr, sistemas sanfonados, portas de entrada de ferro, portas pivotantes, portas de alumí"&amp;"nio e unidades personalizadas. Ele realiza instalações avançadas, soluciona problemas complexos em campo e revisa plantas arquitetônicas, medidas e especificações. O Supervisor de Instalação também verifica se os requisitos de impermeabilização, rufo, fer"&amp;"ragens e estrutura atendem às normas vigentes, realiza inspeções de qualidade antes e depois da instalação e treina e orienta novos instaladores em técnicas, práticas de segurança e procedimentos da empresa. As responsabilidades adicionais incluem ser o p"&amp;"rincipal ponto de contato para os clientes durante as instalações, manter registros precisos do progresso do trabalho e dos materiais, garantir o cumprimento dos protocolos de segurança da OSHA e da empresa, comunicar à gerência a falta ou atraso de mater"&amp;"iais e auxiliar no planejamento, organização e carga/descarga de materiais no armazém, conforme necessário. Classificação do Cargo: 47-1011.00 - Supervisores de Primeira Linha de Ofícios da Construção Civil e Trabalhadores de Extração. A classificação e d"&amp;"escrição do cargo/setor incluem informações gerais sobre a posição, de acordo com o ONET/OES e o Sistema de Classificação Industrial da América do Norte (NAICS). Consulte as Funções e a Ordem de Serviço para obter mais informações. Requisitos do Cargo Exp"&amp;"eriência Necessária: Sim Meses de Experiência Necessários: 36 Requisitos Especiais: É necessário ter um sólido conhecimento dos métodos de instalação de sistemas de portas premium; capacidade de liderar equipes, gerenciar o fluxo de trabalho no canteiro d"&amp;"e obras e garantir o cumprimento dos padrões de qualidade; capacidade de ler e interpretar plantas, projetos arquitetônicos e especificações do fabricante; excelentes habilidades de comunicação e atendimento ao cliente; carteira de habilitação válida ou c"&amp;"apacidade de obtê-la após a contratação; e capacidade de levantar de 45 a 68 kg com auxílio. Número de horas por semana: 40 Horário de trabalho (início/término): 9h00 - 17h00")</f>
        <v>O Supervisor de Instalação supervisiona as operações diárias em campo para projetos de instalação de portas, garantindo a qualidade da mão de obra, o cumprimento das normas de segurança, a coordenação da equipe e a conclusão eficiente dos cronogramas de trabalho. Este cargo oferece liderança aos instaladores, comunica-se diretamente com clientes e empreiteiros e garante que todas as instalações da Avant Doors atendam aos padrões da empresa. O supervisor é responsável por liderar e supervisionar as equipes de instalação em obras residenciais e comerciais, coordenando o cronograma e os prazos dos projetos com a gerência e garantindo a instalação adequada de portas de correr, sistemas sanfonados, portas de entrada de ferro, portas pivotantes, portas de alumínio e unidades personalizadas. Ele realiza instalações avançadas, soluciona problemas complexos em campo e revisa plantas arquitetônicas, medidas e especificações. O Supervisor de Instalação também verifica se os requisitos de impermeabilização, rufo, ferragens e estrutura atendem às normas vigentes, realiza inspeções de qualidade antes e depois da instalação e treina e orienta novos instaladores em técnicas, práticas de segurança e procedimentos da empresa. As responsabilidades adicionais incluem ser o principal ponto de contato para os clientes durante as instalações, manter registros precisos do progresso do trabalho e dos materiais, garantir o cumprimento dos protocolos de segurança da OSHA e da empresa, comunicar à gerência a falta ou atraso de materiais e auxiliar no planejamento, organização e carga/descarga de materiais no armazém, conforme necessário. Classificação do Cargo: 47-1011.00 - Supervisores de Primeira Linha de Ofícios da Construção Civil e Trabalhadores de Extração. A classificação e descrição do cargo/setor incluem informações gerais sobre a posição, de acordo com o ONET/OES e o Sistema de Classificação Industrial da América do Norte (NAICS). Consulte as Funções e a Ordem de Serviço para obter mais informações. Requisitos do Cargo Experiência Necessária: Sim Meses de Experiência Necessários: 36 Requisitos Especiais: É necessário ter um sólido conhecimento dos métodos de instalação de sistemas de portas premium; capacidade de liderar equipes, gerenciar o fluxo de trabalho no canteiro de obras e garantir o cumprimento dos padrões de qualidade; capacidade de ler e interpretar plantas, projetos arquitetônicos e especificações do fabricante; excelentes habilidades de comunicação e atendimento ao cliente; carteira de habilitação válida ou capacidade de obtê-la após a contratação; e capacidade de levantar de 45 a 68 kg com auxílio. Número de horas por semana: 40 Horário de trabalho (início/término): 9h00 - 17h00</v>
      </c>
    </row>
    <row r="2503" ht="20.25" customHeight="1">
      <c r="A2503" s="8" t="s">
        <v>10869</v>
      </c>
      <c r="B2503" s="8" t="s">
        <v>10870</v>
      </c>
      <c r="C2503" s="8" t="s">
        <v>10508</v>
      </c>
      <c r="D2503" s="8" t="s">
        <v>71</v>
      </c>
      <c r="E2503" s="9" t="s">
        <v>19</v>
      </c>
      <c r="F2503" s="9" t="s">
        <v>20</v>
      </c>
      <c r="G2503" s="9" t="s">
        <v>524</v>
      </c>
      <c r="H2503" s="8" t="s">
        <v>10871</v>
      </c>
      <c r="I2503" s="8" t="s">
        <v>10872</v>
      </c>
      <c r="J2503" s="9">
        <v>16.0</v>
      </c>
      <c r="K2503" s="9">
        <v>4.0</v>
      </c>
      <c r="L2503" s="8" t="s">
        <v>2821</v>
      </c>
      <c r="M2503" s="8" t="s">
        <v>10873</v>
      </c>
      <c r="N2503" s="7" t="str">
        <f>IFERROR(__xludf.DUMMYFUNCTION("GOOGLETRANSLATE(L2503, ""en"", ""pt"")"),"Auxiliar de Recreação")</f>
        <v>Auxiliar de Recreação</v>
      </c>
      <c r="O2503" s="7" t="str">
        <f>IFERROR(__xludf.DUMMYFUNCTION("IF(M2503="""","""",GOOGLETRANSLATE(M2503,""en"",""pt""))"),"O funcionário poderá ser solicitado a desempenhar qualquer uma das seguintes funções: monitorar as atividades no campo de golfe e no complexo de tênis; prestar assistência administrativa aos membros, incluindo a verificação de cartões de membro, confirmaç"&amp;"ão de reservas, organização de mercadorias e fornecimento de informações sobre as instalações; realizar a limpeza básica dos carrinhos de golfe, removendo detritos e limpando os tacos; transportar os equipamentos de golfe dos membros de e para as instalaç"&amp;"ões do clube. Classificação da vaga: 39-3091.00 - Atendentes de Diversão e Recreação. A classificação e a descrição da vaga/setor incluem informações gerais sobre o cargo, de acordo com o ONET/OES e o Sistema de Classificação Industrial da América do Nort"&amp;"e. Consulte as Funções e a Ordem de Serviço para obter mais informações. Requisitos da vaga: Experiência exigida: Não. Requisitos especiais: Aprovação na verificação de antecedentes criminais pré-admissional; capacidade de se comunicar em inglês; teste an"&amp;"tidrogas pós-admissional. O empregador exige que a verificação de antecedentes criminais pré-admissional e o teste antidrogas pós-admissional sejam realizados igualmente para trabalhadores americanos e trabalhadores com visto H-2B. *CONTINUAÇÃO DA SEÇÃO F"&amp;".A.5 DA ETA 9142 ACIMA: 40 HORAS SEMANAIS CONSISTIRÃO EM TURNOS DE 8 HORAS QUE PODEM VARIAR CONFORME A NECESSIDADE AO LONGO DOS 7 DIAS DA SEMANA. O TURNO PODE VARIAR DAS 6H ÀS 23H. Número de horas por semana: 40. Horário de trabalho (início/término): 9h à"&amp;"s 18h.")</f>
        <v>O funcionário poderá ser solicitado a desempenhar qualquer uma das seguintes funções: monitorar as atividades no campo de golfe e no complexo de tênis; prestar assistência administrativa aos membros, incluindo a verificação de cartões de membro, confirmação de reservas, organização de mercadorias e fornecimento de informações sobre as instalações; realizar a limpeza básica dos carrinhos de golfe, removendo detritos e limpando os tacos; transportar os equipamentos de golfe dos membros de e para as instalações do clube. Classificação da vaga: 39-3091.00 - Atendentes de Diversão e Recreação. A classificação e a descrição da vaga/setor incluem informações gerais sobre o cargo, de acordo com o ONET/OES e o Sistema de Classificação Industrial da América do Norte. Consulte as Funções e a Ordem de Serviço para obter mais informações. Requisitos da vaga: Experiência exigida: Não. Requisitos especiais: Aprovação na verificação de antecedentes criminais pré-admissional; capacidade de se comunicar em inglês; teste antidrogas pós-admissional. O empregador exige que a verificação de antecedentes criminais pré-admissional e o teste antidrogas pós-admissional sejam realizados igualmente para trabalhadores americanos e trabalhadores com visto H-2B. *CONTINUAÇÃO DA SEÇÃO F.A.5 DA ETA 9142 ACIMA: 40 HORAS SEMANAIS CONSISTIRÃO EM TURNOS DE 8 HORAS QUE PODEM VARIAR CONFORME A NECESSIDADE AO LONGO DOS 7 DIAS DA SEMANA. O TURNO PODE VARIAR DAS 6H ÀS 23H. Número de horas por semana: 40. Horário de trabalho (início/término): 9h às 18h.</v>
      </c>
    </row>
    <row r="2504" ht="20.25" customHeight="1">
      <c r="A2504" s="3" t="s">
        <v>10874</v>
      </c>
      <c r="B2504" s="3" t="s">
        <v>10870</v>
      </c>
      <c r="C2504" s="3" t="s">
        <v>10508</v>
      </c>
      <c r="D2504" s="3" t="s">
        <v>71</v>
      </c>
      <c r="E2504" s="4" t="s">
        <v>19</v>
      </c>
      <c r="F2504" s="4" t="s">
        <v>20</v>
      </c>
      <c r="G2504" s="4" t="s">
        <v>524</v>
      </c>
      <c r="H2504" s="3" t="s">
        <v>10871</v>
      </c>
      <c r="I2504" s="3" t="s">
        <v>10872</v>
      </c>
      <c r="J2504" s="4">
        <v>19.0</v>
      </c>
      <c r="K2504" s="4">
        <v>12.0</v>
      </c>
      <c r="L2504" s="3" t="s">
        <v>1206</v>
      </c>
      <c r="M2504" s="3" t="s">
        <v>10571</v>
      </c>
      <c r="N2504" s="7" t="str">
        <f>IFERROR(__xludf.DUMMYFUNCTION("GOOGLETRANSLATE(L2504, ""en"", ""pt"")"),"Servidor")</f>
        <v>Servidor</v>
      </c>
      <c r="O2504" s="7" t="str">
        <f>IFERROR(__xludf.DUMMYFUNCTION("IF(M2504="""","""",GOOGLETRANSLATE(M2504,""en"",""pt""))"),"Receber e servir pedidos de comida e bebida; realizar atividades de montagem e desmontagem de mesas e outras tarefas diversas; pode ser necessário trabalhar em ambientes externos e em eventos de banquetes; pode ser necessário servir clientes utilizando ca"&amp;"rrinhos de golfe. Classificação da vaga: 35-3031.00 - Garçons e Garçonetes. A classificação e descrição da vaga/setor inclui informações gerais sobre o cargo, de acordo com o ONET/OES e o Sistema de Classificação Industrial da América do Norte (NAICS). Co"&amp;"nsulte as Funções e a Ordem de Serviço para obter mais informações. Requisitos da vaga: Experiência exigida: Sim. Meses de experiência exigidos: 3. Requisitos especiais: Aprovação na verificação de antecedentes criminais pré-admissional; capacidade de se "&amp;"comunicar em inglês; teste toxicológico pós-admissional. O empregador exige que a verificação de antecedentes criminais pré-admissional e o teste toxicológico pós-admissional sejam realizados igualmente para trabalhadores americanos e trabalhadores com vi"&amp;"sto H-2B. *CONTINUAÇÃO DA SEÇÃO F.A.5 DA ETA 9142 ACIMA: 40 HORAS SEMANAIS CONSISTIRÃO EM TURNOS DE 8 HORAS QUE PODEM VARIAR CONFORME A NECESSIDADE AO LONGO DOS 7 DIAS DA SEMANA. O TURNO PODE VARIAR DAS 6H ÀS 23H. Número de horas por semana: 40. Horário d"&amp;"e trabalho (início/término): 9h às 18h.")</f>
        <v>Receber e servir pedidos de comida e bebida; realizar atividades de montagem e desmontagem de mesas e outras tarefas diversas; pode ser necessário trabalhar em ambientes externos e em eventos de banquetes; pode ser necessário servir clientes utilizando carrinhos de golfe. Classificação da vaga: 35-3031.00 - Garçons e Garçonetes. A classificação e descrição da vaga/setor inclui informações gerais sobre o cargo, de acordo com o ONET/OES e o Sistema de Classificação Industrial da América do Norte (NAICS). Consulte as Funções e a Ordem de Serviço para obter mais informações. Requisitos da vaga: Experiência exigida: Sim. Meses de experiência exigidos: 3. Requisitos especiais: Aprovação na verificação de antecedentes criminais pré-admissional; capacidade de se comunicar em inglês; teste toxicológico pós-admissional. O empregador exige que a verificação de antecedentes criminais pré-admissional e o teste toxicológico pós-admissional sejam realizados igualmente para trabalhadores americanos e trabalhadores com visto H-2B. *CONTINUAÇÃO DA SEÇÃO F.A.5 DA ETA 9142 ACIMA: 40 HORAS SEMANAIS CONSISTIRÃO EM TURNOS DE 8 HORAS QUE PODEM VARIAR CONFORME A NECESSIDADE AO LONGO DOS 7 DIAS DA SEMANA. O TURNO PODE VARIAR DAS 6H ÀS 23H. Número de horas por semana: 40. Horário de trabalho (início/término): 9h às 18h.</v>
      </c>
    </row>
    <row r="2505" ht="20.25" customHeight="1">
      <c r="A2505" s="8" t="s">
        <v>10875</v>
      </c>
      <c r="B2505" s="8" t="s">
        <v>10870</v>
      </c>
      <c r="C2505" s="8" t="s">
        <v>10508</v>
      </c>
      <c r="D2505" s="8" t="s">
        <v>71</v>
      </c>
      <c r="E2505" s="9" t="s">
        <v>19</v>
      </c>
      <c r="F2505" s="9" t="s">
        <v>20</v>
      </c>
      <c r="G2505" s="9" t="s">
        <v>524</v>
      </c>
      <c r="H2505" s="8" t="s">
        <v>10871</v>
      </c>
      <c r="I2505" s="8" t="s">
        <v>10872</v>
      </c>
      <c r="J2505" s="9">
        <v>18.0</v>
      </c>
      <c r="K2505" s="9">
        <v>6.0</v>
      </c>
      <c r="L2505" s="8" t="s">
        <v>586</v>
      </c>
      <c r="M2505" s="8" t="s">
        <v>10876</v>
      </c>
      <c r="N2505" s="7" t="str">
        <f>IFERROR(__xludf.DUMMYFUNCTION("GOOGLETRANSLATE(L2505, ""en"", ""pt"")"),"Cozinheiro de linha")</f>
        <v>Cozinheiro de linha</v>
      </c>
      <c r="O2505" s="7" t="str">
        <f>IFERROR(__xludf.DUMMYFUNCTION("IF(M2505="""","""",GOOGLETRANSLATE(M2505,""en"",""pt""))"),"Prepara, tempera e cozinha sopas, carnes, legumes, frutas, sobremesas e outros alimentos diversos para consumo; observa as diretrizes da receita e os procedimentos de higiene. Classificação da vaga: 35-2014.00 - Cozinheiros, Restaurante. A classificação e"&amp;" a descrição da vaga/setor incluem informações gerais sobre o cargo, de acordo com o ONET/OES e o Sistema de Classificação Industrial da América do Norte. Consulte as Funções e a Ordem de Serviço para obter mais informações. Requisitos da vaga: Experiênci"&amp;"a exigida: Sim. Meses de experiência exigidos: 3. Requisitos especiais: Aprovação na verificação de antecedentes criminais pré-admissional; teste toxicológico pós-admissional. O empregador exige que a verificação de antecedentes criminais pré-admissional "&amp;"e o teste toxicológico pós-admissional sejam realizados igualmente para trabalhadores americanos e trabalhadores com visto H-2B. *CONTINUAÇÃO DA SEÇÃO F.A.5 DA ETA 9142 ACIMA: 40 HORAS SEMANAIS CONSISTIRÃO EM TURNOS DE 8 HORAS QUE PODEM VARIAR CONFORME A "&amp;"NECESSIDADE AO LONGO DOS 7 DIAS DA SEMANA. O TURNO PODE VARIAR DAS 6H ÀS 23H. Número de horas por semana: 40. Horário de trabalho (início/término): 9h às 18h.")</f>
        <v>Prepara, tempera e cozinha sopas, carnes, legumes, frutas, sobremesas e outros alimentos diversos para consumo; observa as diretrizes da receita e os procedimentos de higiene. Classificação da vaga: 35-2014.00 - Cozinheiros, Restaurante. A classificação e a descrição da vaga/setor incluem informações gerais sobre o cargo, de acordo com o ONET/OES e o Sistema de Classificação Industrial da América do Norte. Consulte as Funções e a Ordem de Serviço para obter mais informações. Requisitos da vaga: Experiência exigida: Sim. Meses de experiência exigidos: 3. Requisitos especiais: Aprovação na verificação de antecedentes criminais pré-admissional; teste toxicológico pós-admissional. O empregador exige que a verificação de antecedentes criminais pré-admissional e o teste toxicológico pós-admissional sejam realizados igualmente para trabalhadores americanos e trabalhadores com visto H-2B. *CONTINUAÇÃO DA SEÇÃO F.A.5 DA ETA 9142 ACIMA: 40 HORAS SEMANAIS CONSISTIRÃO EM TURNOS DE 8 HORAS QUE PODEM VARIAR CONFORME A NECESSIDADE AO LONGO DOS 7 DIAS DA SEMANA. O TURNO PODE VARIAR DAS 6H ÀS 23H. Número de horas por semana: 40. Horário de trabalho (início/término): 9h às 18h.</v>
      </c>
    </row>
    <row r="2506" ht="20.25" customHeight="1">
      <c r="A2506" s="3" t="s">
        <v>10877</v>
      </c>
      <c r="B2506" s="3" t="s">
        <v>10878</v>
      </c>
      <c r="C2506" s="3" t="s">
        <v>7533</v>
      </c>
      <c r="D2506" s="3" t="s">
        <v>64</v>
      </c>
      <c r="E2506" s="4" t="s">
        <v>19</v>
      </c>
      <c r="F2506" s="4" t="s">
        <v>20</v>
      </c>
      <c r="G2506" s="4" t="s">
        <v>155</v>
      </c>
      <c r="H2506" s="3" t="s">
        <v>10879</v>
      </c>
      <c r="I2506" s="3" t="s">
        <v>10880</v>
      </c>
      <c r="J2506" s="4">
        <v>17.02</v>
      </c>
      <c r="K2506" s="4">
        <v>60.0</v>
      </c>
      <c r="L2506" s="3" t="s">
        <v>406</v>
      </c>
      <c r="M2506" s="3" t="s">
        <v>10881</v>
      </c>
      <c r="N2506" s="7" t="str">
        <f>IFERROR(__xludf.DUMMYFUNCTION("GOOGLETRANSLATE(L2506, ""en"", ""pt"")"),"Trabalhador")</f>
        <v>Trabalhador</v>
      </c>
      <c r="O2506" s="7" t="str">
        <f>IFERROR(__xludf.DUMMYFUNCTION("IF(M2506="""","""",GOOGLETRANSLATE(M2506,""en"",""pt""))"),"Remover e podar arbustos, descartar galhos, rastelar e limpar o solo e os detritos restantes, plantar paisagismo, espalhar cobertura morta, remover folhas, plantar sementes de azevém, realizar a manutenção de inverno de campos esportivos. Classificação da"&amp;" vaga: 37-3011.00 - Trabalhadores de Paisagismo e Manutenção de Áreas Verdes. A classificação e descrição da vaga/setor incluem informações gerais sobre o cargo, de acordo com o ONET/OES e o Sistema de Classificação Industrial da América do Norte (NAICS)."&amp;" Consulte as Funções e a Ordem de Serviço para obter mais informações. Requisitos da vaga: Experiência necessária: Não. Número de horas por semana: 40. Horário de trabalho (início/término): 8h às 17h.")</f>
        <v>Remover e podar arbustos, descartar galhos, rastelar e limpar o solo e os detritos restantes, plantar paisagismo, espalhar cobertura morta, remover folhas, plantar sementes de azevém, realizar a manutenção de inverno de campos esportivos. Classificação da vaga: 37-3011.00 - Trabalhadores de Paisagismo e Manutenção de Áreas Verdes. A classificação e descrição da vaga/setor incluem informações gerais sobre o cargo, de acordo com o ONET/OES e o Sistema de Classificação Industrial da América do Norte (NAICS). Consulte as Funções e a Ordem de Serviço para obter mais informações. Requisitos da vaga: Experiência necessária: Não. Número de horas por semana: 40. Horário de trabalho (início/término): 8h às 17h.</v>
      </c>
    </row>
    <row r="2507" ht="20.25" customHeight="1">
      <c r="A2507" s="8" t="s">
        <v>10882</v>
      </c>
      <c r="B2507" s="8" t="s">
        <v>10883</v>
      </c>
      <c r="C2507" s="8" t="s">
        <v>10726</v>
      </c>
      <c r="D2507" s="8" t="s">
        <v>71</v>
      </c>
      <c r="E2507" s="9" t="s">
        <v>19</v>
      </c>
      <c r="F2507" s="9" t="s">
        <v>20</v>
      </c>
      <c r="G2507" s="9" t="s">
        <v>4629</v>
      </c>
      <c r="H2507" s="8" t="s">
        <v>10884</v>
      </c>
      <c r="I2507" s="8" t="s">
        <v>10885</v>
      </c>
      <c r="J2507" s="9">
        <v>26.21</v>
      </c>
      <c r="K2507" s="9">
        <v>6.0</v>
      </c>
      <c r="L2507" s="8" t="s">
        <v>10768</v>
      </c>
      <c r="M2507" s="8" t="s">
        <v>10886</v>
      </c>
      <c r="N2507" s="7" t="str">
        <f>IFERROR(__xludf.DUMMYFUNCTION("GOOGLETRANSLATE(L2507, ""en"", ""pt"")"),"Cavaleiro de exercício")</f>
        <v>Cavaleiro de exercício</v>
      </c>
      <c r="O2507" s="7" t="str">
        <f>IFERROR(__xludf.DUMMYFUNCTION("IF(M2507="""","""",GOOGLETRANSLATE(M2507,""en"",""pt""))"),"Domar e montar cavalos puro-sangue. Acostumar os cavalos a usar arreios, a responder a comandos e a condicioná-los para corridas. Classificação da função: 39-2011.00 - Treinadores de Animais. A classificação e descrição da função/setor inclui informações "&amp;"gerais sobre o cargo, de acordo com o ONET/OES e o Sistema de Classificação Industrial da América do Norte. Consulte as Funções e a Ordem de Serviço para obter mais informações. Requisitos da vaga: Experiência necessária: Não. Requisitos especiais: Dispos"&amp;"ição para montar cavalos puro-sangue vivos, às vezes em alta velocidade e por longas distâncias, sem assistência. O horário de trabalho é de segunda a sábado, das 5h50 às 11h. O empregador não fornecerá alojamento, mas auxiliará os funcionários na busca d"&amp;"e moradia que não seja de propriedade do empregador ou da gerência. Número de horas por semana: 36. Horário de trabalho (início/término): 5h50 - 11h.")</f>
        <v>Domar e montar cavalos puro-sangue. Acostumar os cavalos a usar arreios, a responder a comandos e a condicioná-los para corridas. Classificação da função: 39-2011.00 - Treinadores de Animais. A classificação e descrição da função/setor inclui informações gerais sobre o cargo, de acordo com o ONET/OES e o Sistema de Classificação Industrial da América do Norte. Consulte as Funções e a Ordem de Serviço para obter mais informações. Requisitos da vaga: Experiência necessária: Não. Requisitos especiais: Disposição para montar cavalos puro-sangue vivos, às vezes em alta velocidade e por longas distâncias, sem assistência. O horário de trabalho é de segunda a sábado, das 5h50 às 11h. O empregador não fornecerá alojamento, mas auxiliará os funcionários na busca de moradia que não seja de propriedade do empregador ou da gerência. Número de horas por semana: 36. Horário de trabalho (início/término): 5h50 - 11h.</v>
      </c>
    </row>
    <row r="2508" ht="20.25" customHeight="1">
      <c r="A2508" s="3" t="s">
        <v>10887</v>
      </c>
      <c r="B2508" s="3" t="s">
        <v>10883</v>
      </c>
      <c r="C2508" s="3" t="s">
        <v>10726</v>
      </c>
      <c r="D2508" s="3" t="s">
        <v>71</v>
      </c>
      <c r="E2508" s="4" t="s">
        <v>19</v>
      </c>
      <c r="F2508" s="4" t="s">
        <v>20</v>
      </c>
      <c r="G2508" s="4" t="s">
        <v>4629</v>
      </c>
      <c r="H2508" s="3" t="s">
        <v>10884</v>
      </c>
      <c r="I2508" s="3" t="s">
        <v>10885</v>
      </c>
      <c r="J2508" s="4">
        <v>16.29</v>
      </c>
      <c r="K2508" s="4">
        <v>21.0</v>
      </c>
      <c r="L2508" s="3" t="s">
        <v>4517</v>
      </c>
      <c r="M2508" s="3" t="s">
        <v>10888</v>
      </c>
      <c r="N2508" s="7" t="str">
        <f>IFERROR(__xludf.DUMMYFUNCTION("GOOGLETRANSLATE(L2508, ""en"", ""pt"")"),"tratador de estábulo")</f>
        <v>tratador de estábulo</v>
      </c>
      <c r="O2508" s="7" t="str">
        <f>IFERROR(__xludf.DUMMYFUNCTION("IF(M2508="""","""",GOOGLETRANSLATE(M2508,""en"",""pt""))"),"Cuidar de cavalos vivos. As tarefas incluem alimentar, dar água, banhar, exercitar, passear, embarcar, selar, soltar no pasto e aplicar bandagens nas patas dos cavalos. Limpar e manter as baias. Classificação da vaga: 39-2021.00 - Cuidadores de Animais. A"&amp;" classificação e descrição da vaga/setor inclui informações gerais sobre o cargo, de acordo com o ONET/OES e o Sistema de Classificação Industrial da América do Norte. Consulte as Funções e a Ordem de Serviço para obter mais informações. Requisitos da vag"&amp;"a: Experiência necessária: Não. Requisitos especiais: Disposição para trabalhar com cavalos puro-sangue vivos. Os funcionários terão direito a pelo menos 40 horas de trabalho por semana, de segunda a domingo, entre 5h e 11h e entre 13h e 16h. O empregador"&amp;" não fornecerá alojamento, mas auxiliará os funcionários na busca de moradia que não seja de propriedade do empregador ou da gerência. Número de horas por semana: 40. Horário de trabalho (início/término): 5h às 16h.")</f>
        <v>Cuidar de cavalos vivos. As tarefas incluem alimentar, dar água, banhar, exercitar, passear, embarcar, selar, soltar no pasto e aplicar bandagens nas patas dos cavalos. Limpar e manter as baias. Classificação da vaga: 39-2021.00 - Cuidadores de Animais. A classificação e descrição da vaga/setor inclui informações gerais sobre o cargo, de acordo com o ONET/OES e o Sistema de Classificação Industrial da América do Norte. Consulte as Funções e a Ordem de Serviço para obter mais informações. Requisitos da vaga: Experiência necessária: Não. Requisitos especiais: Disposição para trabalhar com cavalos puro-sangue vivos. Os funcionários terão direito a pelo menos 40 horas de trabalho por semana, de segunda a domingo, entre 5h e 11h e entre 13h e 16h. O empregador não fornecerá alojamento, mas auxiliará os funcionários na busca de moradia que não seja de propriedade do empregador ou da gerência. Número de horas por semana: 40. Horário de trabalho (início/término): 5h às 16h.</v>
      </c>
    </row>
    <row r="2509" ht="20.25" customHeight="1">
      <c r="A2509" s="8" t="s">
        <v>10889</v>
      </c>
      <c r="B2509" s="8" t="s">
        <v>10890</v>
      </c>
      <c r="C2509" s="8" t="s">
        <v>7533</v>
      </c>
      <c r="D2509" s="8" t="s">
        <v>55</v>
      </c>
      <c r="E2509" s="9" t="s">
        <v>19</v>
      </c>
      <c r="F2509" s="9" t="s">
        <v>20</v>
      </c>
      <c r="G2509" s="9" t="s">
        <v>155</v>
      </c>
      <c r="H2509" s="8" t="s">
        <v>10891</v>
      </c>
      <c r="I2509" s="8" t="s">
        <v>10892</v>
      </c>
      <c r="J2509" s="9">
        <v>18.62</v>
      </c>
      <c r="K2509" s="9">
        <v>25.0</v>
      </c>
      <c r="L2509" s="8" t="s">
        <v>406</v>
      </c>
      <c r="M2509" s="8" t="s">
        <v>10893</v>
      </c>
      <c r="N2509" s="7" t="str">
        <f>IFERROR(__xludf.DUMMYFUNCTION("GOOGLETRANSLATE(L2509, ""en"", ""pt"")"),"Trabalhador")</f>
        <v>Trabalhador</v>
      </c>
      <c r="O2509" s="7" t="str">
        <f>IFERROR(__xludf.DUMMYFUNCTION("IF(M2509="""","""",GOOGLETRANSLATE(M2509,""en"",""pt""))"),"Remover depósitos de neve acumulados continuamente em condições climáticas extremas em diversas propriedades comerciais. Remover e limpar a neve usando sopradores de neve e pás de neve comerciais padrão, além de remover folhas. É necessário levantar até 2"&amp;"3 kg. Classificação da vaga: 37-2011.00 - Zeladores e Faxineiros, exceto empregadas domésticas e faxineiras. A classificação e descrição da vaga/setor incluem informações gerais sobre o cargo, de acordo com o ONET/OES e o Sistema de Classificação Industri"&amp;"al da América do Norte. Consulte as Funções e a Ordem de Serviço para obter mais informações. Requisitos da vaga: Experiência necessária: Não. Número de horas por semana: 40. Horário de trabalho (início/término): 7h às 16h.")</f>
        <v>Remover depósitos de neve acumulados continuamente em condições climáticas extremas em diversas propriedades comerciais. Remover e limpar a neve usando sopradores de neve e pás de neve comerciais padrão, além de remover folhas. É necessário levantar até 23 kg. Classificação da vaga: 37-2011.00 - Zeladores e Faxineiros, exceto empregadas domésticas e faxineiras. A classificação e descrição da vaga/setor incluem informações gerais sobre o cargo, de acordo com o ONET/OES e o Sistema de Classificação Industrial da América do Norte. Consulte as Funções e a Ordem de Serviço para obter mais informações. Requisitos da vaga: Experiência necessária: Não. Número de horas por semana: 40. Horário de trabalho (início/término): 7h às 16h.</v>
      </c>
    </row>
    <row r="2510" ht="20.25" customHeight="1">
      <c r="A2510" s="3" t="s">
        <v>10894</v>
      </c>
      <c r="B2510" s="3" t="s">
        <v>10895</v>
      </c>
      <c r="C2510" s="3" t="s">
        <v>10896</v>
      </c>
      <c r="D2510" s="3" t="s">
        <v>55</v>
      </c>
      <c r="E2510" s="4" t="s">
        <v>19</v>
      </c>
      <c r="F2510" s="4" t="s">
        <v>20</v>
      </c>
      <c r="G2510" s="4" t="s">
        <v>377</v>
      </c>
      <c r="H2510" s="3" t="s">
        <v>10897</v>
      </c>
      <c r="I2510" s="3" t="s">
        <v>10898</v>
      </c>
      <c r="J2510" s="4">
        <v>15.49</v>
      </c>
      <c r="K2510" s="4">
        <v>4.0</v>
      </c>
      <c r="L2510" s="3" t="s">
        <v>387</v>
      </c>
      <c r="M2510" s="3" t="s">
        <v>10899</v>
      </c>
      <c r="N2510" s="7" t="str">
        <f>IFERROR(__xludf.DUMMYFUNCTION("GOOGLETRANSLATE(L2510, ""en"", ""pt"")"),"Ordem de serviço não disponível")</f>
        <v>Ordem de serviço não disponível</v>
      </c>
      <c r="O2510" s="7" t="str">
        <f>IFERROR(__xludf.DUMMYFUNCTION("IF(M2510="""","""",GOOGLETRANSLATE(M2510,""en"",""pt""))"),"Cozinheiros preparam, temperam e cozinham pratos como sopas, legumes, carnes e sobremesas em restaurantes. Garantem a consistência, a qualidade e a segurança dos alimentos para os clientes. Realizam a manutenção e limpeza diárias dos equipamentos de cozin"&amp;"ha, como lava-louças, grelha, fritadeira, forno, refrigerador, etc. Pesam e porcionam os alimentos. Classificação da vaga: 35-2014.00 - Cozinheiros, Restaurante. A classificação e a descrição da vaga/setor incluem informações gerais sobre o cargo, de acor"&amp;"do com o ONET/OES e o Sistema de Classificação Industrial da América do Norte. Consulte as Funções e a Ordem de Serviço para obter mais informações. Requisitos da vaga: Experiência necessária: Não. Requisitos especiais: Capacidade e disposição para seguir"&amp;" instruções e trabalhar em pé por muitas horas. O empregador oferecerá pelo menos 40 horas de trabalho por semana, entre 10h e 20h, com turnos e folgas variáveis. Os funcionários devem estar dispostos a trabalhar nos fins de semana, à noite e/ou em feriad"&amp;"os, conforme necessário. Número de horas por semana: 40 Horário de trabalho (início/término): 10:00 - 20:00")</f>
        <v>Cozinheiros preparam, temperam e cozinham pratos como sopas, legumes, carnes e sobremesas em restaurantes. Garantem a consistência, a qualidade e a segurança dos alimentos para os clientes. Realizam a manutenção e limpeza diárias dos equipamentos de cozinha, como lava-louças, grelha, fritadeira, forno, refrigerador, etc. Pesam e porcionam os alimentos. Classificação da vaga: 35-2014.00 - Cozinheiros, Restaurante. A classificação e a descrição da vaga/setor incluem informações gerais sobre o cargo, de acordo com o ONET/OES e o Sistema de Classificação Industrial da América do Norte. Consulte as Funções e a Ordem de Serviço para obter mais informações. Requisitos da vaga: Experiência necessária: Não. Requisitos especiais: Capacidade e disposição para seguir instruções e trabalhar em pé por muitas horas. O empregador oferecerá pelo menos 40 horas de trabalho por semana, entre 10h e 20h, com turnos e folgas variáveis. Os funcionários devem estar dispostos a trabalhar nos fins de semana, à noite e/ou em feriados, conforme necessário. Número de horas por semana: 40 Horário de trabalho (início/término): 10:00 - 20:00</v>
      </c>
    </row>
    <row r="2511" ht="20.25" customHeight="1">
      <c r="A2511" s="8" t="s">
        <v>10900</v>
      </c>
      <c r="B2511" s="8" t="s">
        <v>10901</v>
      </c>
      <c r="C2511" s="8" t="s">
        <v>10025</v>
      </c>
      <c r="D2511" s="8" t="s">
        <v>71</v>
      </c>
      <c r="E2511" s="9" t="s">
        <v>19</v>
      </c>
      <c r="F2511" s="9" t="s">
        <v>20</v>
      </c>
      <c r="G2511" s="9" t="s">
        <v>524</v>
      </c>
      <c r="H2511" s="8" t="s">
        <v>10902</v>
      </c>
      <c r="I2511" s="8" t="s">
        <v>10903</v>
      </c>
      <c r="J2511" s="9">
        <v>22.56</v>
      </c>
      <c r="K2511" s="9">
        <v>3.0</v>
      </c>
      <c r="L2511" s="8" t="s">
        <v>5529</v>
      </c>
      <c r="M2511" s="8" t="s">
        <v>10904</v>
      </c>
      <c r="N2511" s="7" t="str">
        <f>IFERROR(__xludf.DUMMYFUNCTION("GOOGLETRANSLATE(L2511, ""en"", ""pt"")"),"Capitão da Sala de Jantar")</f>
        <v>Capitão da Sala de Jantar</v>
      </c>
      <c r="O2511" s="7" t="str">
        <f>IFERROR(__xludf.DUMMYFUNCTION("IF(M2511="""","""",GOOGLETRANSLATE(M2511,""en"",""pt""))"),"Supervisionar e coordenar as atividades da equipe do salão durante a preparação, o serviço e a limpeza. Treinar novos funcionários de serviço de alimentos e bebidas. Auxiliar no serviço de alimentos e bebidas conforme necessário, especialmente no atendime"&amp;"nto a convidados especiais e VIPs. Garantir que o mais alto nível de serviço seja prestado pela equipe de atendimento do clube. Manter contato com a equipe da cozinha, a gerência e a equipe de atendimento, e construir/manter um bom relacionamento com os m"&amp;"embros do clube. Elaborar a escala de trabalho da equipe. Planejar festas ou outros eventos e serviços especiais, conforme necessário. Outras responsabilidades razoáveis ​​relacionadas ao cargo poderão ser atribuídas, conforme necessário. ***F.a.5 A-H &amp; F"&amp;".a.6a &amp; F.a.6b: mínimo de 35 horas semanais. Turnos e horários variam de segunda a domingo, das 7h às 23h. *** F.b.9a: Aumentos e/ou bônus podem ser oferecidos a qualquer funcionário na função especificada, a critério exclusivo da empresa, com base em fat"&amp;"ores individuais, incluindo desempenho, habilidades ou tempo de serviço. Auxílio-transporte de/para o trabalho: US$ 220,00/mês. Classificação da vaga: 35-1012.00 - Supervisores de primeira linha de trabalhadores de preparação e serviço de alimentos. A cla"&amp;"ssificação e descrição da vaga/setor incluem informações gerais sobre o cargo, de acordo com o ONET/OES e o Sistema de Classificação Industrial da América do Norte (NAICS). Consulte as atribuições e a ordem de serviço para obter mais informações. Requisit"&amp;"os da vaga: Experiência necessária: Não. Requisitos especiais: Disponibilidade para trabalhar em turnos divididos, noturnos, fins de semana e feriados, conforme necessário. Capacidade de levantar, puxar, empurrar ou carregar até 11 kg ou mais, e caminhar "&amp;"ou ficar em pé por longos períodos. Boa apresentação pessoal e capacidade de se comunicar em inglês. Número de horas por semana: 35. Horário de trabalho (início/término): 7h às 23h.")</f>
        <v>Supervisionar e coordenar as atividades da equipe do salão durante a preparação, o serviço e a limpeza. Treinar novos funcionários de serviço de alimentos e bebidas. Auxiliar no serviço de alimentos e bebidas conforme necessário, especialmente no atendimento a convidados especiais e VIPs. Garantir que o mais alto nível de serviço seja prestado pela equipe de atendimento do clube. Manter contato com a equipe da cozinha, a gerência e a equipe de atendimento, e construir/manter um bom relacionamento com os membros do clube. Elaborar a escala de trabalho da equipe. Planejar festas ou outros eventos e serviços especiais, conforme necessário. Outras responsabilidades razoáveis ​​relacionadas ao cargo poderão ser atribuídas, conforme necessário. ***F.a.5 A-H &amp; F.a.6a &amp; F.a.6b: mínimo de 35 horas semanais. Turnos e horários variam de segunda a domingo, das 7h às 23h. *** F.b.9a: Aumentos e/ou bônus podem ser oferecidos a qualquer funcionário na função especificada, a critério exclusivo da empresa, com base em fatores individuais, incluindo desempenho, habilidades ou tempo de serviço. Auxílio-transporte de/para o trabalho: US$ 220,00/mês. Classificação da vaga: 35-1012.00 - Supervisores de primeira linha de trabalhadores de preparação e serviço de alimentos. A classificação e descrição da vaga/setor incluem informações gerais sobre o cargo, de acordo com o ONET/OES e o Sistema de Classificação Industrial da América do Norte (NAICS). Consulte as atribuições e a ordem de serviço para obter mais informações. Requisitos da vaga: Experiência necessária: Não. Requisitos especiais: Disponibilidade para trabalhar em turnos divididos, noturnos, fins de semana e feriados, conforme necessário. Capacidade de levantar, puxar, empurrar ou carregar até 11 kg ou mais, e caminhar ou ficar em pé por longos períodos. Boa apresentação pessoal e capacidade de se comunicar em inglês. Número de horas por semana: 35. Horário de trabalho (início/término): 7h às 23h.</v>
      </c>
    </row>
    <row r="2512" ht="20.25" customHeight="1">
      <c r="A2512" s="3" t="s">
        <v>10905</v>
      </c>
      <c r="B2512" s="3" t="s">
        <v>10901</v>
      </c>
      <c r="C2512" s="3" t="s">
        <v>10025</v>
      </c>
      <c r="D2512" s="3" t="s">
        <v>71</v>
      </c>
      <c r="E2512" s="4" t="s">
        <v>19</v>
      </c>
      <c r="F2512" s="4" t="s">
        <v>20</v>
      </c>
      <c r="G2512" s="4" t="s">
        <v>524</v>
      </c>
      <c r="H2512" s="3" t="s">
        <v>10902</v>
      </c>
      <c r="I2512" s="3" t="s">
        <v>10903</v>
      </c>
      <c r="J2512" s="4">
        <v>17.91</v>
      </c>
      <c r="K2512" s="4">
        <v>7.0</v>
      </c>
      <c r="L2512" s="3" t="s">
        <v>10906</v>
      </c>
      <c r="M2512" s="3" t="s">
        <v>10907</v>
      </c>
      <c r="N2512" s="7" t="str">
        <f>IFERROR(__xludf.DUMMYFUNCTION("GOOGLETRANSLATE(L2512, ""en"", ""pt"")"),"Anfitrião/Anfitriã")</f>
        <v>Anfitrião/Anfitriã</v>
      </c>
      <c r="O2512" s="7" t="str">
        <f>IFERROR(__xludf.DUMMYFUNCTION("IF(M2512="""","""",GOOGLETRANSLATE(M2512,""en"",""pt""))"),"***Original*** Recepciona, acompanha e entrega os cardápios aos clientes; auxilia na limpeza/polimento diversos, etc., conforme necessário. Pode executar outras tarefas razoáveis ​​relacionadas ao trabalho, conforme necessário. ***Resposta à RFI*** Durant"&amp;"e períodos de grande movimento no restaurante, pode auxiliar a equipe de serviço na retirada de toalhas e utensílios usados ​​das mesas. Se necessário, também pode auxiliar na remoção de manchas de água de copos ou talheres usando um pano de microfibra se"&amp;"m fiapos. Outras tarefas razoáveis ​​relacionadas ao trabalho podem incluir: alocar os clientes em mesas adequadas às suas necessidades, preferências de localização e de acordo com a escala; interagir com os clientes para garantir a satisfação com a comid"&amp;"a e o serviço; manter contato com a equipe de serviço, a equipe da cozinha e a gerência para garantir uma excelente experiência gastronômica para os clientes. ***F.a.5 A-H e F.a.6a e F.a.6b Mínimo de 35 horas/semana. Turnos e horários variam de segunda a "&amp;"domingo, das 7h às 23h. *** F.b.9a: Aumentos salariais e/ou bônus podem ser oferecidos a qualquer funcionário na ocupação especificada, a critério exclusivo da empresa, com base em fatores individuais, incluindo desempenho no trabalho, habilidade ou tempo"&amp;" de serviço. Auxílio-transporte de/para o trabalho: US$ 220,00/mês. Classificação do Cargo: 35-9011.00 - Atendentes de Refeitório e Cafeteria e Auxiliares de Bar. A classificação e descrição do cargo/setor incluem informações gerais sobre a posição, de ac"&amp;"ordo com o ONET/OES e o Sistema de Classificação Industrial da América do Norte (NAICS). Consulte as Funções e a Ordem de Serviço para obter mais informações. Requisitos do Cargo Experiência Necessária: Não. Requisitos Especiais: Disponibilidade para trab"&amp;"alhar em turnos divididos, noturnos, fins de semana e feriados, conforme necessário. Capacidade de levantar, puxar, empurrar ou carregar até 11 kg ou mais, e caminhar ou ficar em pé por longos períodos. Boa apresentação pessoal e capacidade de se comunica"&amp;"r em inglês. Número de Horas por Semana: 35. Horário de Trabalho (Início/Término): 7h às 23h.")</f>
        <v>***Original*** Recepciona, acompanha e entrega os cardápios aos clientes; auxilia na limpeza/polimento diversos, etc., conforme necessário. Pode executar outras tarefas razoáveis ​​relacionadas ao trabalho, conforme necessário. ***Resposta à RFI*** Durante períodos de grande movimento no restaurante, pode auxiliar a equipe de serviço na retirada de toalhas e utensílios usados ​​das mesas. Se necessário, também pode auxiliar na remoção de manchas de água de copos ou talheres usando um pano de microfibra sem fiapos. Outras tarefas razoáveis ​​relacionadas ao trabalho podem incluir: alocar os clientes em mesas adequadas às suas necessidades, preferências de localização e de acordo com a escala; interagir com os clientes para garantir a satisfação com a comida e o serviço; manter contato com a equipe de serviço, a equipe da cozinha e a gerência para garantir uma excelente experiência gastronômica para os clientes. ***F.a.5 A-H e F.a.6a e F.a.6b Mínimo de 35 horas/semana. Turnos e horários variam de segunda a domingo, das 7h às 23h. *** F.b.9a: Aumentos salariais e/ou bônus podem ser oferecidos a qualquer funcionário na ocupação especificada, a critério exclusivo da empresa, com base em fatores individuais, incluindo desempenho no trabalho, habilidade ou tempo de serviço. Auxílio-transporte de/para o trabalho: US$ 220,00/mês. Classificação do Cargo: 35-9011.00 - Atendentes de Refeitório e Cafeteria e Auxiliares de Bar. A classificação e descrição do cargo/setor incluem informações gerais sobre a posição, de acordo com o ONET/OES e o Sistema de Classificação Industrial da América do Norte (NAICS). Consulte as Funções e a Ordem de Serviço para obter mais informações. Requisitos do Cargo Experiência Necessária: Não. Requisitos Especiais: Disponibilidade para trabalhar em turnos divididos, noturnos, fins de semana e feriados, conforme necessário. Capacidade de levantar, puxar, empurrar ou carregar até 11 kg ou mais, e caminhar ou ficar em pé por longos períodos. Boa apresentação pessoal e capacidade de se comunicar em inglês. Número de Horas por Semana: 35. Horário de Trabalho (Início/Término): 7h às 23h.</v>
      </c>
    </row>
    <row r="2513" ht="20.25" customHeight="1">
      <c r="A2513" s="8" t="s">
        <v>10908</v>
      </c>
      <c r="B2513" s="8" t="s">
        <v>10901</v>
      </c>
      <c r="C2513" s="8" t="s">
        <v>10025</v>
      </c>
      <c r="D2513" s="8" t="s">
        <v>71</v>
      </c>
      <c r="E2513" s="9" t="s">
        <v>44</v>
      </c>
      <c r="F2513" s="9" t="s">
        <v>20</v>
      </c>
      <c r="G2513" s="9" t="s">
        <v>524</v>
      </c>
      <c r="H2513" s="8" t="s">
        <v>10902</v>
      </c>
      <c r="I2513" s="8" t="s">
        <v>10903</v>
      </c>
      <c r="J2513" s="9">
        <v>17.3</v>
      </c>
      <c r="K2513" s="9">
        <v>42.0</v>
      </c>
      <c r="L2513" s="8" t="s">
        <v>387</v>
      </c>
      <c r="M2513" s="8" t="s">
        <v>10909</v>
      </c>
      <c r="N2513" s="7" t="str">
        <f>IFERROR(__xludf.DUMMYFUNCTION("GOOGLETRANSLATE(L2513, ""en"", ""pt"")"),"Ordem de serviço não disponível")</f>
        <v>Ordem de serviço não disponível</v>
      </c>
      <c r="O2513" s="7" t="str">
        <f>IFERROR(__xludf.DUMMYFUNCTION("IF(M2513="""","""",GOOGLETRANSLATE(M2513,""en"",""pt""))"),"Preparar, temperar, cozinhar, empratar e decorar refeições. Medir/misturar ingredientes conforme a receita para cozinhar do zero. Seguir os procedimentos adequados de controle de porções, apresentação, consistência, sabor e higiene. Observar/provar os ali"&amp;"mentos cozidos. Pode substituir/auxiliar outros cozinheiros em emergências/períodos de pico. ***F.a.5 A-H e F.a.6a e F.a.6b: mínimo de 35 horas/semana. Turnos e horários variam de segunda a domingo, das 7h às 23h. *** F.b.9a: Aumentos e/ou bônus podem ser"&amp;" oferecidos a qualquer funcionário na ocupação especificada, a critério exclusivo da empresa, com base em fatores individuais, incluindo desempenho no trabalho, habilidade ou tempo de serviço. Auxílio-transporte de/para o trabalho: US$ 220,00/mês. Classif"&amp;"icação do Cargo: 35-2014.00 - Cozinheiros, Restaurante. A classificação e descrição do cargo/setor inclui informações gerais sobre a posição, de acordo com o ONET/OES e o Sistema de Classificação Industrial da América do Norte. Consulte as Funções e a Ord"&amp;"em de Serviço para obter mais informações. Requisitos da vaga Experiência necessária: Não Requisitos especiais: Disponibilidade para trabalhar em turnos divididos, noturnos, fins de semana e feriados, conforme necessário. Capacidade de levantar, puxar, em"&amp;"purrar ou carregar até 11 kg ou mais, e caminhar ou ficar em pé por longos períodos. Boa apresentação pessoal e capacidade de se comunicar em inglês. Número de horas por semana: 35 Horário de trabalho (início/término): 7h às 23h")</f>
        <v>Preparar, temperar, cozinhar, empratar e decorar refeições. Medir/misturar ingredientes conforme a receita para cozinhar do zero. Seguir os procedimentos adequados de controle de porções, apresentação, consistência, sabor e higiene. Observar/provar os alimentos cozidos. Pode substituir/auxiliar outros cozinheiros em emergências/períodos de pico. ***F.a.5 A-H e F.a.6a e F.a.6b: mínimo de 35 horas/semana. Turnos e horários variam de segunda a domingo, das 7h às 23h. *** F.b.9a: Aumentos e/ou bônus podem ser oferecidos a qualquer funcionário na ocupação especificada, a critério exclusivo da empresa, com base em fatores individuais, incluindo desempenho no trabalho, habilidade ou tempo de serviço. Auxílio-transporte de/para o trabalho: US$ 220,00/mês. Classificação do Cargo: 35-2014.00 - Cozinheiros, Restaurante. A classificação e descrição do cargo/setor inclui informações gerais sobre a posição, de acordo com o ONET/OES e o Sistema de Classificação Industrial da América do Norte. Consulte as Funções e a Ordem de Serviço para obter mais informações. Requisitos da vaga Experiência necessária: Não Requisitos especiais: Disponibilidade para trabalhar em turnos divididos, noturnos, fins de semana e feriados, conforme necessário. Capacidade de levantar, puxar, empurrar ou carregar até 11 kg ou mais, e caminhar ou ficar em pé por longos períodos. Boa apresentação pessoal e capacidade de se comunicar em inglês. Número de horas por semana: 35 Horário de trabalho (início/término): 7h às 23h</v>
      </c>
    </row>
    <row r="2514" ht="20.25" customHeight="1">
      <c r="A2514" s="3" t="s">
        <v>10910</v>
      </c>
      <c r="B2514" s="3" t="s">
        <v>10901</v>
      </c>
      <c r="C2514" s="3" t="s">
        <v>10025</v>
      </c>
      <c r="D2514" s="3" t="s">
        <v>71</v>
      </c>
      <c r="E2514" s="4" t="s">
        <v>44</v>
      </c>
      <c r="F2514" s="4" t="s">
        <v>20</v>
      </c>
      <c r="G2514" s="4" t="s">
        <v>524</v>
      </c>
      <c r="H2514" s="3" t="s">
        <v>10902</v>
      </c>
      <c r="I2514" s="3" t="s">
        <v>10903</v>
      </c>
      <c r="J2514" s="4">
        <v>18.71</v>
      </c>
      <c r="K2514" s="4">
        <v>32.0</v>
      </c>
      <c r="L2514" s="3" t="s">
        <v>1206</v>
      </c>
      <c r="M2514" s="3" t="s">
        <v>10911</v>
      </c>
      <c r="N2514" s="7" t="str">
        <f>IFERROR(__xludf.DUMMYFUNCTION("GOOGLETRANSLATE(L2514, ""en"", ""pt"")"),"Servidor")</f>
        <v>Servidor</v>
      </c>
      <c r="O2514" s="7" t="str">
        <f>IFERROR(__xludf.DUMMYFUNCTION("IF(M2514="""","""",GOOGLETRANSLATE(M2514,""en"",""pt""))"),"***Original*** Servir comida, água, refrigerantes e bebidas alcoólicas. Apresentar cardápios, anotar pedidos e repassá-los à cozinha. Realizar tarefas auxiliares, limpar mesas, transportar pratos do salão para a cozinha e manter as áreas de trabalho limpa"&amp;"s. Fornecer toalhas de mesa, talheres, copos e pratos limpos no salão. Auxiliar na montagem, limpeza, abertura e fechamento do restaurante/área de alimentos e bebidas. Pode ser necessário realizar tarefas em ambientes externos, em eventos de banquetes ou "&amp;"atender clientes em carrinho de golfe. Outras tarefas razoáveis ​​relacionadas ao trabalho, conforme necessário. ***Resposta à Solicitação de Informações (RFI)*** As tarefas de montagem, limpeza, abertura e fechamento do restaurante/área de alimentos e be"&amp;"bidas podem incluir: limpar as mesas, removendo toalhas de mesa, louças e utensílios usados; arrumar as mesas com toalhas de mesa, louças e utensílios limpos; montar e desmontar buffets. Outras tarefas razoáveis ​​relacionadas ao trabalho podem incluir: s"&amp;"ervir condimentos e café; abastecer o bar de serviço com alimentos; manter o buffet abastecido com alimentos, pratos, recipientes e utensílios. ***F.a.5 A-H e F.a.6a e F.a.6b: mínimo de 35 horas semanais. Turnos e horários variam de segunda a domingo, das"&amp;" 7h às 23h. *** F.b.9a: Cargo com gorjetas e salário garantido de US$ 18,71/hora; horas extras possíveis, mas não garantidas, a US$ 28,07/hora. O empregador garantirá o salário em qualquer semana de trabalho em que a remuneração total (incluindo gorjetas)"&amp;" não atingir o salário mínimo vigente ou o valor da hora extra. Aumentos e/ou bônus podem ser oferecidos a qualquer funcionário na ocupação especificada, a critério exclusivo da empresa, com base em fatores individuais, incluindo desempenho, habilidades o"&amp;"u tempo de serviço. Auxílio-transporte de US$ 220,00/mês. Classificação do Cargo: 35-3031.00 - Garçons e Garçonetes. A classificação e descrição do cargo/setor incluem informações gerais sobre a posição, de acordo com o ONET/OES e o Sistema de Classificaç"&amp;"ão Industrial da América do Norte. Consulte as Funções e a Ordem de Serviço para obter mais informações. Requisitos da vaga Experiência necessária: Não Requisitos especiais: Disponibilidade para trabalhar em turnos divididos, noturnos, fins de semana e fe"&amp;"riados, conforme necessário. Capacidade de levantar, puxar, empurrar ou carregar até 11 kg ou mais, e caminhar ou ficar em pé por longos períodos. Boa apresentação pessoal e capacidade de se comunicar em inglês. Número de horas por semana: 35 Horário de t"&amp;"rabalho (início/término): 7h às 23h")</f>
        <v>***Original*** Servir comida, água, refrigerantes e bebidas alcoólicas. Apresentar cardápios, anotar pedidos e repassá-los à cozinha. Realizar tarefas auxiliares, limpar mesas, transportar pratos do salão para a cozinha e manter as áreas de trabalho limpas. Fornecer toalhas de mesa, talheres, copos e pratos limpos no salão. Auxiliar na montagem, limpeza, abertura e fechamento do restaurante/área de alimentos e bebidas. Pode ser necessário realizar tarefas em ambientes externos, em eventos de banquetes ou atender clientes em carrinho de golfe. Outras tarefas razoáveis ​​relacionadas ao trabalho, conforme necessário. ***Resposta à Solicitação de Informações (RFI)*** As tarefas de montagem, limpeza, abertura e fechamento do restaurante/área de alimentos e bebidas podem incluir: limpar as mesas, removendo toalhas de mesa, louças e utensílios usados; arrumar as mesas com toalhas de mesa, louças e utensílios limpos; montar e desmontar buffets. Outras tarefas razoáveis ​​relacionadas ao trabalho podem incluir: servir condimentos e café; abastecer o bar de serviço com alimentos; manter o buffet abastecido com alimentos, pratos, recipientes e utensílios. ***F.a.5 A-H e F.a.6a e F.a.6b: mínimo de 35 horas semanais. Turnos e horários variam de segunda a domingo, das 7h às 23h. *** F.b.9a: Cargo com gorjetas e salário garantido de US$ 18,71/hora; horas extras possíveis, mas não garantidas, a US$ 28,07/hora. O empregador garantirá o salário em qualquer semana de trabalho em que a remuneração total (incluindo gorjetas) não atingir o salário mínimo vigente ou o valor da hora extra. Aumentos e/ou bônus podem ser oferecidos a qualquer funcionário na ocupação especificada, a critério exclusivo da empresa, com base em fatores individuais, incluindo desempenho, habilidades ou tempo de serviço. Auxílio-transporte de US$ 220,00/mês. Classificação do Cargo: 35-3031.00 - Garçons e Garçonetes. A classificação e descrição do cargo/setor incluem informações gerais sobre a posição, de acordo com o ONET/OES e o Sistema de Classificação Industrial da América do Norte. Consulte as Funções e a Ordem de Serviço para obter mais informações. Requisitos da vaga Experiência necessária: Não Requisitos especiais: Disponibilidade para trabalhar em turnos divididos, noturnos, fins de semana e feriados, conforme necessário. Capacidade de levantar, puxar, empurrar ou carregar até 11 kg ou mais, e caminhar ou ficar em pé por longos períodos. Boa apresentação pessoal e capacidade de se comunicar em inglês. Número de horas por semana: 35 Horário de trabalho (início/término): 7h às 23h</v>
      </c>
    </row>
    <row r="2515" ht="20.25" customHeight="1">
      <c r="A2515" s="8" t="s">
        <v>10912</v>
      </c>
      <c r="B2515" s="8" t="s">
        <v>10901</v>
      </c>
      <c r="C2515" s="8" t="s">
        <v>10025</v>
      </c>
      <c r="D2515" s="8" t="s">
        <v>71</v>
      </c>
      <c r="E2515" s="9" t="s">
        <v>44</v>
      </c>
      <c r="F2515" s="9" t="s">
        <v>20</v>
      </c>
      <c r="G2515" s="9" t="s">
        <v>524</v>
      </c>
      <c r="H2515" s="8" t="s">
        <v>10902</v>
      </c>
      <c r="I2515" s="8" t="s">
        <v>10903</v>
      </c>
      <c r="J2515" s="9">
        <v>17.91</v>
      </c>
      <c r="K2515" s="9">
        <v>12.0</v>
      </c>
      <c r="L2515" s="8" t="s">
        <v>5135</v>
      </c>
      <c r="M2515" s="8" t="s">
        <v>10913</v>
      </c>
      <c r="N2515" s="7" t="str">
        <f>IFERROR(__xludf.DUMMYFUNCTION("GOOGLETRANSLATE(L2515, ""en"", ""pt"")"),"Assistente de Garçom")</f>
        <v>Assistente de Garçom</v>
      </c>
      <c r="O2515" s="7" t="str">
        <f>IFERROR(__xludf.DUMMYFUNCTION("IF(M2515="""","""",GOOGLETRANSLATE(M2515,""en"",""pt""))"),"Auxiliar no serviço de alimentação. Limpar e retirar toalhas de mesa, louças e utensílios usados. Arrumar as mesas; repor o estoque de toalhas de mesa, louças e utensílios limpos. Abastecer o bar de serviço com alimentos. Servir água, condimentos e café. "&amp;"Levar os alimentos da cozinha até as mesas dos clientes. Auxiliar na montagem e desmontagem de buffets e mantê-los abastecidos com alimentos, pratos, recipientes e utensílios. Poderá executar outras tarefas razoáveis ​​relacionadas ao trabalho, conforme n"&amp;"ecessário. ***F.a.5 A-H &amp; F.a.6a &amp; F.a.6b: mínimo de 35 horas semanais. Turnos e horários variam de segunda a domingo, das 7h às 23h. *** F.b.9a: Cargo com gorjetas e salário garantido de US$ 17,91/hora; horas extras possíveis, mas não garantidas, a US$ 2"&amp;"6,87/hora. O empregador garantirá o salário em qualquer semana de trabalho em que a remuneração total (incluindo gorjetas) não atingir o salário vigente ou o valor da hora extra. Aumentos salariais e/ou bônus podem ser oferecidos a qualquer funcionário na"&amp;" função especificada, a critério exclusivo da empresa, com base em fatores individuais, incluindo desempenho no trabalho, habilidades ou tempo de serviço. Auxílio-transporte de/para o trabalho: US$ 220,00/mês. Classificação da função: 35-9011.00 - Atenden"&amp;"tes de Refeitório e Cafeteria e Auxiliares de Bar. A classificação e descrição da função/setor incluem informações gerais sobre o cargo, de acordo com o ONET/OES e o Sistema de Classificação Industrial da América do Norte (NAICS). Consulte as Funções e a "&amp;"Ordem de Serviço para obter mais informações. Requisitos da função: Experiência necessária: Não. Requisitos especiais: Disponibilidade para trabalhar em turnos divididos, noturnos, fins de semana e feriados, conforme necessário. Capacidade de levantar, pu"&amp;"xar, empurrar ou carregar até 11 kg ou mais, e caminhar ou ficar em pé por longos períodos. Boa apresentação pessoal e capacidade de se comunicar em inglês. Número de horas por semana: 35. Horário de trabalho (início/término): 19h às 23h.")</f>
        <v>Auxiliar no serviço de alimentação. Limpar e retirar toalhas de mesa, louças e utensílios usados. Arrumar as mesas; repor o estoque de toalhas de mesa, louças e utensílios limpos. Abastecer o bar de serviço com alimentos. Servir água, condimentos e café. Levar os alimentos da cozinha até as mesas dos clientes. Auxiliar na montagem e desmontagem de buffets e mantê-los abastecidos com alimentos, pratos, recipientes e utensílios. Poderá executar outras tarefas razoáveis ​​relacionadas ao trabalho, conforme necessário. ***F.a.5 A-H &amp; F.a.6a &amp; F.a.6b: mínimo de 35 horas semanais. Turnos e horários variam de segunda a domingo, das 7h às 23h. *** F.b.9a: Cargo com gorjetas e salário garantido de US$ 17,91/hora; horas extras possíveis, mas não garantidas, a US$ 26,87/hora. O empregador garantirá o salário em qualquer semana de trabalho em que a remuneração total (incluindo gorjetas) não atingir o salário vigente ou o valor da hora extra. Aumentos salariais e/ou bônus podem ser oferecidos a qualquer funcionário na função especificada, a critério exclusivo da empresa, com base em fatores individuais, incluindo desempenho no trabalho, habilidades ou tempo de serviço. Auxílio-transporte de/para o trabalho: US$ 220,00/mês. Classificação da função: 35-9011.00 - Atendentes de Refeitório e Cafeteria e Auxiliares de Bar. A classificação e descrição da função/setor incluem informações gerais sobre o cargo, de acordo com o ONET/OES e o Sistema de Classificação Industrial da América do Norte (NAICS). Consulte as Funções e a Ordem de Serviço para obter mais informações. Requisitos da função: Experiência necessária: Não. Requisitos especiais: Disponibilidade para trabalhar em turnos divididos, noturnos, fins de semana e feriados, conforme necessário. Capacidade de levantar, puxar, empurrar ou carregar até 11 kg ou mais, e caminhar ou ficar em pé por longos períodos. Boa apresentação pessoal e capacidade de se comunicar em inglês. Número de horas por semana: 35. Horário de trabalho (início/término): 19h às 23h.</v>
      </c>
    </row>
    <row r="2516" ht="20.25" customHeight="1">
      <c r="A2516" s="3" t="s">
        <v>10914</v>
      </c>
      <c r="B2516" s="3" t="s">
        <v>10915</v>
      </c>
      <c r="C2516" s="3" t="s">
        <v>10025</v>
      </c>
      <c r="D2516" s="3" t="s">
        <v>71</v>
      </c>
      <c r="E2516" s="4" t="s">
        <v>19</v>
      </c>
      <c r="F2516" s="4" t="s">
        <v>20</v>
      </c>
      <c r="G2516" s="4" t="s">
        <v>524</v>
      </c>
      <c r="H2516" s="3" t="s">
        <v>10902</v>
      </c>
      <c r="I2516" s="3" t="s">
        <v>10903</v>
      </c>
      <c r="J2516" s="4">
        <v>15.94</v>
      </c>
      <c r="K2516" s="4">
        <v>10.0</v>
      </c>
      <c r="L2516" s="3" t="s">
        <v>5723</v>
      </c>
      <c r="M2516" s="3" t="s">
        <v>10916</v>
      </c>
      <c r="N2516" s="7" t="str">
        <f>IFERROR(__xludf.DUMMYFUNCTION("GOOGLETRANSLATE(L2516, ""en"", ""pt"")"),"Atendente de Recreação")</f>
        <v>Atendente de Recreação</v>
      </c>
      <c r="O2516" s="7" t="str">
        <f>IFERROR(__xludf.DUMMYFUNCTION("IF(M2516="""","""",GOOGLETRANSLATE(M2516,""en"",""pt""))"),"***Original*** Prestar assistência em instalações de golfe/esportes/praia/clube, incluindo: recepcionar sócios; confirmar reservas; responder a perguntas; organizar mercadorias e fornecer informações sobre as instalações; auxiliar os hóspedes distribuindo"&amp;" toalhas limpas, limpando, montando ou realocando espreguiçadeiras e guarda-sóis; carregar/descarregar sacos de golfe; manusear/limpar/manter carrinhos de golfe, sacos, tacos e sapatos; manter o depósito de carrinhos e a área de preparação organizados e a"&amp;"bastecidos; remoção ocasional de lixo e limpeza de banheiros; executar outras tarefas relacionadas, conforme designado. ***Resposta à Solicitação de Informações (RFI)*** Outras tarefas relacionadas podem incluir: coletar bolas de golfe do campo de prática"&amp;", lavar bolas de golfe e mantê-las prontas para reposição; reabastecer bebedouros para os jogadores no campo de golfe quando necessário. ***F.a.5 A-H e F.a.6a e F.a.6b Mínimo de 35 horas/semana. Turnos e horários variam de segunda a domingo, das 7h às 23h"&amp;". *** F.b.9a: Aumentos salariais e/ou bônus podem ser oferecidos a qualquer funcionário na ocupação especificada, a critério exclusivo da empresa, com base em fatores individuais, incluindo desempenho no trabalho, habilidade ou tempo de serviço. Auxílio-t"&amp;"ransporte de/para o trabalho: US$ 220,00/mês. Classificação do Cargo: 37-2011.00 - Zeladores e Faxineiros, exceto Empregadas Domésticas e Faxineiros. A classificação e descrição do cargo/setor incluem informações gerais sobre a posição, de acordo com o ON"&amp;"ET/OES e o Sistema de Classificação Industrial da América do Norte. Consulte as Funções e a Ordem de Serviço para obter mais informações. Requisitos do Cargo Experiência Necessária: Não. Requisitos Especiais: Disponibilidade para trabalhar em turnos divid"&amp;"idos, noturnos, fins de semana e feriados, conforme necessário. Capacidade de levantar, puxar, empurrar ou carregar até 11 kg ou mais, e caminhar ou ficar em pé por longos períodos. Boa apresentação pessoal e capacidade de se comunicar em inglês. Número d"&amp;"e Horas por Semana: 35. Horário de Trabalho (Início/Término): 7h às 23h.")</f>
        <v>***Original*** Prestar assistência em instalações de golfe/esportes/praia/clube, incluindo: recepcionar sócios; confirmar reservas; responder a perguntas; organizar mercadorias e fornecer informações sobre as instalações; auxiliar os hóspedes distribuindo toalhas limpas, limpando, montando ou realocando espreguiçadeiras e guarda-sóis; carregar/descarregar sacos de golfe; manusear/limpar/manter carrinhos de golfe, sacos, tacos e sapatos; manter o depósito de carrinhos e a área de preparação organizados e abastecidos; remoção ocasional de lixo e limpeza de banheiros; executar outras tarefas relacionadas, conforme designado. ***Resposta à Solicitação de Informações (RFI)*** Outras tarefas relacionadas podem incluir: coletar bolas de golfe do campo de prática, lavar bolas de golfe e mantê-las prontas para reposição; reabastecer bebedouros para os jogadores no campo de golfe quando necessário. ***F.a.5 A-H e F.a.6a e F.a.6b Mínimo de 35 horas/semana. Turnos e horários variam de segunda a domingo, das 7h às 23h. *** F.b.9a: Aumentos salariais e/ou bônus podem ser oferecidos a qualquer funcionário na ocupação especificada, a critério exclusivo da empresa, com base em fatores individuais, incluindo desempenho no trabalho, habilidade ou tempo de serviço. Auxílio-transporte de/para o trabalho: US$ 220,00/mês. Classificação do Cargo: 37-2011.00 - Zeladores e Faxineiros, exceto Empregadas Domésticas e Faxineiros. A classificação e descrição do cargo/setor incluem informações gerais sobre a posição, de acordo com o ONET/OES e o Sistema de Classificação Industrial da América do Norte. Consulte as Funções e a Ordem de Serviço para obter mais informações. Requisitos do Cargo Experiência Necessária: Não. Requisitos Especiais: Disponibilidade para trabalhar em turnos divididos, noturnos, fins de semana e feriados, conforme necessário. Capacidade de levantar, puxar, empurrar ou carregar até 11 kg ou mais, e caminhar ou ficar em pé por longos períodos. Boa apresentação pessoal e capacidade de se comunicar em inglês. Número de Horas por Semana: 35. Horário de Trabalho (Início/Término): 7h às 23h.</v>
      </c>
    </row>
    <row r="2517" ht="20.25" customHeight="1">
      <c r="A2517" s="8" t="s">
        <v>10917</v>
      </c>
      <c r="B2517" s="8" t="s">
        <v>10918</v>
      </c>
      <c r="C2517" s="8" t="s">
        <v>7533</v>
      </c>
      <c r="D2517" s="8" t="s">
        <v>55</v>
      </c>
      <c r="E2517" s="9" t="s">
        <v>44</v>
      </c>
      <c r="F2517" s="9" t="s">
        <v>20</v>
      </c>
      <c r="G2517" s="9" t="s">
        <v>369</v>
      </c>
      <c r="H2517" s="8" t="s">
        <v>10919</v>
      </c>
      <c r="I2517" s="8" t="s">
        <v>10920</v>
      </c>
      <c r="J2517" s="9">
        <v>29.13</v>
      </c>
      <c r="K2517" s="9">
        <v>35.0</v>
      </c>
      <c r="L2517" s="8" t="s">
        <v>406</v>
      </c>
      <c r="M2517" s="8" t="s">
        <v>10921</v>
      </c>
      <c r="N2517" s="7" t="str">
        <f>IFERROR(__xludf.DUMMYFUNCTION("GOOGLETRANSLATE(L2517, ""en"", ""pt"")"),"Trabalhador")</f>
        <v>Trabalhador</v>
      </c>
      <c r="O2517" s="7" t="str">
        <f>IFERROR(__xludf.DUMMYFUNCTION("IF(M2517="""","""",GOOGLETRANSLATE(M2517,""en"",""pt""))"),"Organizar e preparar o estoque de materiais de decoração natalina. Instalar e/ou remover materiais dos locais de trabalho. Carregar/descarregar materiais e prepará-los para armazenamento. Levantar até 23 kg. Classificação da vaga: 49-9099.00 - Trabalhador"&amp;"es de Instalação, Manutenção e Reparo, Outros. A classificação e descrição da vaga/setor inclui informações gerais sobre o cargo, de acordo com o ONET/OES e o Sistema de Classificação Industrial da América do Norte (NAICS). Consulte as Funções e a Ordem d"&amp;"e Serviço para obter mais informações. Requisitos da vaga: Experiência necessária: Não. Requisitos especiais: Exame toxicológico pré-admissional pago pelo empregador, obrigatório para todos os trabalhadores, sejam eles americanos ou estrangeiros. Número d"&amp;"e horas por semana: 40. Horário de trabalho (início/término): 7h às 16h.")</f>
        <v>Organizar e preparar o estoque de materiais de decoração natalina. Instalar e/ou remover materiais dos locais de trabalho. Carregar/descarregar materiais e prepará-los para armazenamento. Levantar até 23 kg. Classificação da vaga: 49-9099.00 - Trabalhadores de Instalação, Manutenção e Reparo, Outros. A classificação e descrição da vaga/setor inclui informações gerais sobre o cargo, de acordo com o ONET/OES e o Sistema de Classificação Industrial da América do Norte (NAICS). Consulte as Funções e a Ordem de Serviço para obter mais informações. Requisitos da vaga: Experiência necessária: Não. Requisitos especiais: Exame toxicológico pré-admissional pago pelo empregador, obrigatório para todos os trabalhadores, sejam eles americanos ou estrangeiros. Número de horas por semana: 40. Horário de trabalho (início/término): 7h às 16h.</v>
      </c>
    </row>
    <row r="2518" ht="20.25" customHeight="1">
      <c r="A2518" s="3" t="s">
        <v>10922</v>
      </c>
      <c r="B2518" s="3" t="s">
        <v>10923</v>
      </c>
      <c r="C2518" s="3" t="s">
        <v>7721</v>
      </c>
      <c r="D2518" s="3" t="s">
        <v>344</v>
      </c>
      <c r="E2518" s="4" t="s">
        <v>19</v>
      </c>
      <c r="F2518" s="4" t="s">
        <v>20</v>
      </c>
      <c r="G2518" s="4" t="s">
        <v>146</v>
      </c>
      <c r="H2518" s="3" t="s">
        <v>10924</v>
      </c>
      <c r="I2518" s="3" t="s">
        <v>10925</v>
      </c>
      <c r="J2518" s="4">
        <v>19.8</v>
      </c>
      <c r="K2518" s="4">
        <v>12.0</v>
      </c>
      <c r="L2518" s="3" t="s">
        <v>59</v>
      </c>
      <c r="M2518" s="3" t="s">
        <v>10926</v>
      </c>
      <c r="N2518" s="7" t="str">
        <f>IFERROR(__xludf.DUMMYFUNCTION("GOOGLETRANSLATE(L2518, ""en"", ""pt"")"),"Trabalhador de paisagismo")</f>
        <v>Trabalhador de paisagismo</v>
      </c>
      <c r="O2518" s="7" t="str">
        <f>IFERROR(__xludf.DUMMYFUNCTION("IF(M2518="""","""",GOOGLETRANSLATE(M2518,""en"",""pt""))"),"Cortar, aparar, regar, aparar a grama e as árvores, rastelar e soprar folhas, arrancar e picar ervas daninhas, podar e transportar terra vegetal e cobertura morta, plantar flores, arbustos e árvores. Ser capaz de levantar o peso necessário para transporta"&amp;"r e usar equipamentos e materiais de paisagismo para as tarefas designadas. Ser capaz de tolerar temperaturas externas de trabalho (acima de 32°C e abaixo de 0°C, possivelmente). Classificação do Cargo: 37-3011.00 - Trabalhadores de Paisagismo e Manutençã"&amp;"o de Áreas Verdes. A classificação e descrição do cargo/setor incluem informações gerais sobre a posição, de acordo com o ONET/OES e o Sistema de Classificação Industrial da América do Norte. Consulte as Funções e a Ordem de Serviço para obter mais inform"&amp;"ações. Requisitos do Cargo Experiência Necessária: Não Requisitos Especiais: Deve ser capaz de levantar o peso necessário para transportar e usar equipamentos e materiais de paisagismo para as tarefas designadas. Ser capaz de tolerar temperaturas externas"&amp;" de trabalho esperadas na região metropolitana de St. Louis, MO-IL (acima de 32°C e abaixo de 0°C, possivelmente). O empregador se baseará nas informações fornecidas pelo candidato e em suas próprias observações para determinar se o funcionário atende aos"&amp;" requisitos físicos da função. Número de horas semanais: 40. Horário de trabalho (início/término): 8h às 16h30.")</f>
        <v>Cortar, aparar, regar, aparar a grama e as árvores, rastelar e soprar folhas, arrancar e picar ervas daninhas, podar e transportar terra vegetal e cobertura morta, plantar flores, arbustos e árvores. Ser capaz de levantar o peso necessário para transportar e usar equipamentos e materiais de paisagismo para as tarefas designadas. Ser capaz de tolerar temperaturas externas de trabalho (acima de 32°C e abaixo de 0°C, possivelmente). Classificação do Cargo: 37-3011.00 - Trabalhadores de Paisagismo e Manutenção de Áreas Verdes. A classificação e descrição do cargo/setor incluem informações gerais sobre a posição, de acordo com o ONET/OES e o Sistema de Classificação Industrial da América do Norte. Consulte as Funções e a Ordem de Serviço para obter mais informações. Requisitos do Cargo Experiência Necessária: Não Requisitos Especiais: Deve ser capaz de levantar o peso necessário para transportar e usar equipamentos e materiais de paisagismo para as tarefas designadas. Ser capaz de tolerar temperaturas externas de trabalho esperadas na região metropolitana de St. Louis, MO-IL (acima de 32°C e abaixo de 0°C, possivelmente). O empregador se baseará nas informações fornecidas pelo candidato e em suas próprias observações para determinar se o funcionário atende aos requisitos físicos da função. Número de horas semanais: 40. Horário de trabalho (início/término): 8h às 16h30.</v>
      </c>
    </row>
    <row r="2519" ht="20.25" customHeight="1">
      <c r="A2519" s="8" t="s">
        <v>10927</v>
      </c>
      <c r="B2519" s="8" t="s">
        <v>10584</v>
      </c>
      <c r="C2519" s="8" t="s">
        <v>10337</v>
      </c>
      <c r="D2519" s="8" t="s">
        <v>306</v>
      </c>
      <c r="E2519" s="9" t="s">
        <v>44</v>
      </c>
      <c r="F2519" s="9" t="s">
        <v>20</v>
      </c>
      <c r="G2519" s="9" t="s">
        <v>56</v>
      </c>
      <c r="H2519" s="8" t="s">
        <v>10585</v>
      </c>
      <c r="I2519" s="8" t="s">
        <v>10586</v>
      </c>
      <c r="J2519" s="9">
        <v>19.33</v>
      </c>
      <c r="K2519" s="9">
        <v>40.0</v>
      </c>
      <c r="L2519" s="8" t="s">
        <v>59</v>
      </c>
      <c r="M2519" s="8" t="s">
        <v>10928</v>
      </c>
      <c r="N2519" s="7" t="str">
        <f>IFERROR(__xludf.DUMMYFUNCTION("GOOGLETRANSLATE(L2519, ""en"", ""pt"")"),"Trabalhador de paisagismo")</f>
        <v>Trabalhador de paisagismo</v>
      </c>
      <c r="O2519" s="7" t="str">
        <f>IFERROR(__xludf.DUMMYFUNCTION("IF(M2519="""","""",GOOGLETRANSLATE(M2519,""en"",""pt""))"),"Executa diversas tarefas de reforma e paisagismo de campos de golfe, incluindo a preparação de áreas ajardinadas e de jogo; prepara componentes do sistema de irrigação, cola/funde conexões e interligações; instala tubulações de irrigação, fios e aspersore"&amp;"s; utiliza ferramentas manuais para instalar conexões de drenagem e irrigação; espalha e assenta materiais como sementes de grama, grama em placas, substrato para greens, cascalho e areia; opera equipamentos mecanizados para movimentar e instalar materiai"&amp;"s. Os trabalhadores auxiliam na instalação de componentes de irrigação do campo de golfe. Os trabalhadores utilizarão equipamentos de paisagismo e irrigação, juntamente com pás e outras ferramentas manuais, para nivelar superfícies e preparar áreas para i"&amp;"rrigação, conforme necessário. O TRABALHO É GERALMENTE REALIZADO DE SEGUNDA A SEXTA, DAS 7H ÀS 17H, MAS FINS DE SEMANA E HORAS EXTRAS PODEM SER NECESSÁRIOS, DEPENDENDO DAS CONDIÇÕES CLIMÁTICAS. ***CASO NECESSÁRIO, O EMPREGADOR PRETENDE AUXILIAR TRABALHADO"&amp;"RES ESTRANGEIROS E NÃO RESIDENTES NOS EUA CONTRATADOS DE ACORDO COM ESTA ORDEM DE EMPREGO A OBTER ALOJAMENTO PAGO PELO TRABALHADOR, NÃO EXCEDENDO O VALOR JUSTO DE MERCADO. Classificação do Cargo: 37-3011.00 - Trabalhadores de Paisagismo e Manutenção de Ja"&amp;"rdins. A classificação e descrição do cargo/setor incluem informações gerais sobre a posição, conforme o ONET/OES e o Sistema de Classificação Industrial da América do Norte. Consulte as Funções e a Ordem de Serviço para obter mais informações. Requisitos"&amp;" do Cargo Experiência Necessária: Sim Meses de Experiência Necessários: 3 Requisitos Especiais: 3 meses de experiência utilizando conhecimento básico de layout de campos de golfe; compreensão de sistemas de irrigação de campos de golfe, incluindo a capaci"&amp;"dade de instalar/reparar componentes-chave; conhecimento de tarefas de paisagismo de campos de golfe, incluindo construção/reparo de greens, tees e bunkers. Experiência de 3 meses operando qualquer um dos seguintes equipamentos: trator, minicarregadeira, "&amp;"arado/escavadeira. Disponibilidade para fazer horas extras, conforme necessário. Número de horas por semana: 45. Horário de trabalho (início/término): 7h às 17h.")</f>
        <v>Executa diversas tarefas de reforma e paisagismo de campos de golfe, incluindo a preparação de áreas ajardinadas e de jogo; prepara componentes do sistema de irrigação, cola/funde conexões e interligações; instala tubulações de irrigação, fios e aspersores; utiliza ferramentas manuais para instalar conexões de drenagem e irrigação; espalha e assenta materiais como sementes de grama, grama em placas, substrato para greens, cascalho e areia; opera equipamentos mecanizados para movimentar e instalar materiais. Os trabalhadores auxiliam na instalação de componentes de irrigação do campo de golfe. Os trabalhadores utilizarão equipamentos de paisagismo e irrigação, juntamente com pás e outras ferramentas manuais, para nivelar superfícies e preparar áreas para irrigação, conforme necessário. O TRABALHO É GERALMENTE REALIZADO DE SEGUNDA A SEXTA, DAS 7H ÀS 17H, MAS FINS DE SEMANA E HORAS EXTRAS PODEM SER NECESSÁRIOS, DEPENDENDO DAS CONDIÇÕES CLIMÁTICAS. ***CASO NECESSÁRIO, O EMPREGADOR PRETENDE AUXILIAR TRABALHADORES ESTRANGEIROS E NÃO RESIDENTES NOS EUA CONTRATADOS DE ACORDO COM ESTA ORDEM DE EMPREGO A OBTER ALOJAMENTO PAGO PELO TRABALHADOR, NÃO EXCEDENDO O VALOR JUSTO DE MERCADO. Classificação do Cargo: 37-3011.00 - Trabalhadores de Paisagismo e Manutenção de Jardins. A classificação e descrição do cargo/setor incluem informações gerais sobre a posição, conforme o ONET/OES e o Sistema de Classificação Industrial da América do Norte. Consulte as Funções e a Ordem de Serviço para obter mais informações. Requisitos do Cargo Experiência Necessária: Sim Meses de Experiência Necessários: 3 Requisitos Especiais: 3 meses de experiência utilizando conhecimento básico de layout de campos de golfe; compreensão de sistemas de irrigação de campos de golfe, incluindo a capacidade de instalar/reparar componentes-chave; conhecimento de tarefas de paisagismo de campos de golfe, incluindo construção/reparo de greens, tees e bunkers. Experiência de 3 meses operando qualquer um dos seguintes equipamentos: trator, minicarregadeira, arado/escavadeira. Disponibilidade para fazer horas extras, conforme necessário. Número de horas por semana: 45. Horário de trabalho (início/término): 7h às 17h.</v>
      </c>
    </row>
    <row r="2520" ht="20.25" customHeight="1">
      <c r="A2520" s="3" t="s">
        <v>10929</v>
      </c>
      <c r="B2520" s="3" t="s">
        <v>10584</v>
      </c>
      <c r="C2520" s="3" t="s">
        <v>10337</v>
      </c>
      <c r="D2520" s="3" t="s">
        <v>64</v>
      </c>
      <c r="E2520" s="4" t="s">
        <v>44</v>
      </c>
      <c r="F2520" s="4" t="s">
        <v>20</v>
      </c>
      <c r="G2520" s="4" t="s">
        <v>56</v>
      </c>
      <c r="H2520" s="3" t="s">
        <v>10585</v>
      </c>
      <c r="I2520" s="3" t="s">
        <v>10586</v>
      </c>
      <c r="J2520" s="4">
        <v>17.56</v>
      </c>
      <c r="K2520" s="4">
        <v>25.0</v>
      </c>
      <c r="L2520" s="3" t="s">
        <v>59</v>
      </c>
      <c r="M2520" s="3" t="s">
        <v>10930</v>
      </c>
      <c r="N2520" s="7" t="str">
        <f>IFERROR(__xludf.DUMMYFUNCTION("GOOGLETRANSLATE(L2520, ""en"", ""pt"")"),"Trabalhador de paisagismo")</f>
        <v>Trabalhador de paisagismo</v>
      </c>
      <c r="O2520" s="7" t="str">
        <f>IFERROR(__xludf.DUMMYFUNCTION("IF(M2520="""","""",GOOGLETRANSLATE(M2520,""en"",""pt""))"),"Executa diversas tarefas de reforma e paisagismo de campos de golfe, incluindo a preparação de áreas ajardinadas e de jogo; prepara componentes do sistema de irrigação, cola/funde conexões e interligações; instala tubulações de irrigação, fios e aspersore"&amp;"s; utiliza ferramentas manuais para instalar conexões de drenagem e irrigação; espalha e assenta materiais como sementes de grama, grama em placas, substrato para greens, cascalho e areia; opera equipamentos mecanizados para movimentar e instalar materiai"&amp;"s. Os trabalhadores auxiliam na instalação de componentes de irrigação do campo de golfe. Os trabalhadores utilizarão equipamentos de paisagismo e irrigação, juntamente com pás e outras ferramentas manuais, para nivelar superfícies e preparar áreas para i"&amp;"rrigação, conforme necessário. O TRABALHO É GERALMENTE REALIZADO DE SEGUNDA A SEXTA, DAS 7H ÀS 17H, MAS FINS DE SEMANA E HORAS EXTRAS PODEM SER NECESSÁRIOS, DEPENDENDO DAS CONDIÇÕES CLIMÁTICAS. ***CASO NECESSÁRIO, O EMPREGADOR PRETENDE AUXILIAR TRABALHADO"&amp;"RES ESTRANGEIROS E NÃO RESIDENTES NOS EUA CONTRATADOS DE ACORDO COM ESTA ORDEM DE EMPREGO A OBTER ALOJAMENTO PAGO PELO TRABALHADOR, NÃO EXCEDENDO O VALOR JUSTO DE MERCADO. Classificação do Cargo: 37-3011.00 - Trabalhadores de Paisagismo e Manutenção de Ja"&amp;"rdins. A classificação e descrição do cargo/setor incluem informações gerais sobre a posição, conforme o ONET/OES e o Sistema de Classificação Industrial da América do Norte. Consulte as Funções e a Ordem de Serviço para obter mais informações. Requisitos"&amp;" do Cargo Experiência Necessária: Sim Meses de Experiência Necessários: 3 Requisitos Especiais: 3 meses de experiência utilizando conhecimento básico de layout de campos de golfe; compreensão de sistemas de irrigação de campos de golfe, incluindo a capaci"&amp;"dade de instalar/reparar componentes-chave; conhecimento de tarefas de paisagismo de campos de golfe, incluindo construção/reparo de greens, tees e bunkers. Experiência de 3 meses operando qualquer um dos seguintes equipamentos: trator, minicarregadeira, "&amp;"arado/escavadeira. Disponibilidade para fazer horas extras, conforme necessário. Número de horas por semana: 45. Horário de trabalho (início/término): 7h às 17h.")</f>
        <v>Executa diversas tarefas de reforma e paisagismo de campos de golfe, incluindo a preparação de áreas ajardinadas e de jogo; prepara componentes do sistema de irrigação, cola/funde conexões e interligações; instala tubulações de irrigação, fios e aspersores; utiliza ferramentas manuais para instalar conexões de drenagem e irrigação; espalha e assenta materiais como sementes de grama, grama em placas, substrato para greens, cascalho e areia; opera equipamentos mecanizados para movimentar e instalar materiais. Os trabalhadores auxiliam na instalação de componentes de irrigação do campo de golfe. Os trabalhadores utilizarão equipamentos de paisagismo e irrigação, juntamente com pás e outras ferramentas manuais, para nivelar superfícies e preparar áreas para irrigação, conforme necessário. O TRABALHO É GERALMENTE REALIZADO DE SEGUNDA A SEXTA, DAS 7H ÀS 17H, MAS FINS DE SEMANA E HORAS EXTRAS PODEM SER NECESSÁRIOS, DEPENDENDO DAS CONDIÇÕES CLIMÁTICAS. ***CASO NECESSÁRIO, O EMPREGADOR PRETENDE AUXILIAR TRABALHADORES ESTRANGEIROS E NÃO RESIDENTES NOS EUA CONTRATADOS DE ACORDO COM ESTA ORDEM DE EMPREGO A OBTER ALOJAMENTO PAGO PELO TRABALHADOR, NÃO EXCEDENDO O VALOR JUSTO DE MERCADO. Classificação do Cargo: 37-3011.00 - Trabalhadores de Paisagismo e Manutenção de Jardins. A classificação e descrição do cargo/setor incluem informações gerais sobre a posição, conforme o ONET/OES e o Sistema de Classificação Industrial da América do Norte. Consulte as Funções e a Ordem de Serviço para obter mais informações. Requisitos do Cargo Experiência Necessária: Sim Meses de Experiência Necessários: 3 Requisitos Especiais: 3 meses de experiência utilizando conhecimento básico de layout de campos de golfe; compreensão de sistemas de irrigação de campos de golfe, incluindo a capacidade de instalar/reparar componentes-chave; conhecimento de tarefas de paisagismo de campos de golfe, incluindo construção/reparo de greens, tees e bunkers. Experiência de 3 meses operando qualquer um dos seguintes equipamentos: trator, minicarregadeira, arado/escavadeira. Disponibilidade para fazer horas extras, conforme necessário. Número de horas por semana: 45. Horário de trabalho (início/término): 7h às 17h.</v>
      </c>
    </row>
    <row r="2521" ht="20.25" customHeight="1">
      <c r="A2521" s="8" t="s">
        <v>10931</v>
      </c>
      <c r="B2521" s="8" t="s">
        <v>10591</v>
      </c>
      <c r="C2521" s="8" t="s">
        <v>10337</v>
      </c>
      <c r="D2521" s="8" t="s">
        <v>306</v>
      </c>
      <c r="E2521" s="9" t="s">
        <v>19</v>
      </c>
      <c r="F2521" s="9" t="s">
        <v>20</v>
      </c>
      <c r="G2521" s="9" t="s">
        <v>56</v>
      </c>
      <c r="H2521" s="8" t="s">
        <v>10585</v>
      </c>
      <c r="I2521" s="8" t="s">
        <v>10586</v>
      </c>
      <c r="J2521" s="9">
        <v>27.58</v>
      </c>
      <c r="K2521" s="9">
        <v>4.0</v>
      </c>
      <c r="L2521" s="8" t="s">
        <v>3563</v>
      </c>
      <c r="M2521" s="8" t="s">
        <v>10786</v>
      </c>
      <c r="N2521" s="7" t="str">
        <f>IFERROR(__xludf.DUMMYFUNCTION("GOOGLETRANSLATE(L2521, ""en"", ""pt"")"),"Capataz")</f>
        <v>Capataz</v>
      </c>
      <c r="O2521" s="7" t="str">
        <f>IFERROR(__xludf.DUMMYFUNCTION("IF(M2521="""","""",GOOGLETRANSLATE(M2521,""en"",""pt""))"),"Trabalho braçal prático em canteiros de obras de campos de golfe, incluindo demarcação/layout, drenagem, bunkers, acabamento, greens e tees, operação de equipamentos, etc.; informa as equipes sobre as atividades planejadas para o dia e fornece as ferramen"&amp;"tas e materiais necessários; instrui, supervisiona e treina as equipes nas tarefas designadas, como instalação de irrigação, criação de tees e bunkers, plantio de grama, semeadura, demarcação/sinalização, operação e manutenção de equipamentos; gerencia o "&amp;"estoque de equipamentos, suprimentos, materiais e combustível; identifica e elimina possíveis desperdícios que possam ocorrer durante a execução das tarefas designadas, incluindo desperdício de materiais como aspersores de irrigação, tubos e fios de irrig"&amp;"ação, cascalho e mistura para greens; garante que os equipamentos e ferramentas designados sejam mantidos adequadamente por meio da realização de manutenção preventiva de rotina; auxilia na manutenção dos registros do projeto, como comprovantes de entrega"&amp;", ordens de compra e listas de reuniões de segurança; auxilia na criação de desenhos ""as-built""; e relata possíveis problemas ao Superintendente do Projeto. O trabalho geralmente é realizado de segunda a sexta, das 7h às 17h, mas fins de semana e horas "&amp;"extras podem ser necessários, dependendo das condições climáticas. ***Se necessário, o empregador pretende auxiliar trabalhadores estrangeiros e não residentes nos EUA contratados de acordo com esta ordem de serviço a garantir acomodação paga pelo trabalh"&amp;"ador, não excedendo o custo justo de mercado razoável. Classificação do cargo: 37-1012.00 - Supervisores de primeira linha de trabalhadores de paisagismo, jardinagem e manutenção de áreas verdes. A classificação e descrição do cargo/setor incluem informaç"&amp;"ões gerais sobre a posição, conforme o ONET/OES e o Sistema de Classificação Industrial da América do Norte. Consulte as atribuições e a ordem de serviço para obter mais informações. Requisitos da vaga Experiência necessária: Sim Meses de experiência nece"&amp;"ssários: 12 Requisitos especiais: Certificação como Fundidor de Tubos Certificado por um fornecedor reconhecido, como CMF Global, ISCO, Ewing Irrigation ou ADS. 12 meses de experiência em construção e reforma de campos de golfe. Disponibilidade para reali"&amp;"zar horas extras, quando necessário. Número de horas por semana: 45 Horário de trabalho (início/término): 7h às 17h")</f>
        <v>Trabalho braçal prático em canteiros de obras de campos de golfe, incluindo demarcação/layout, drenagem, bunkers, acabamento, greens e tees, operação de equipamentos, etc.; informa as equipes sobre as atividades planejadas para o dia e fornece as ferramentas e materiais necessários; instrui, supervisiona e treina as equipes nas tarefas designadas, como instalação de irrigação, criação de tees e bunkers, plantio de grama, semeadura, demarcação/sinalização, operação e manutenção de equipamentos; gerencia o estoque de equipamentos, suprimentos, materiais e combustível; identifica e elimina possíveis desperdícios que possam ocorrer durante a execução das tarefas designadas, incluindo desperdício de materiais como aspersores de irrigação, tubos e fios de irrigação, cascalho e mistura para greens; garante que os equipamentos e ferramentas designados sejam mantidos adequadamente por meio da realização de manutenção preventiva de rotina; auxilia na manutenção dos registros do projeto, como comprovantes de entrega, ordens de compra e listas de reuniões de segurança; auxilia na criação de desenhos "as-built"; e relata possíveis problemas ao Superintendente do Projeto. O trabalho geralmente é realizado de segunda a sexta, das 7h às 17h, mas fins de semana e horas extras podem ser necessários, dependendo das condições climáticas. ***Se necessário, o empregador pretende auxiliar trabalhadores estrangeiros e não residentes nos EUA contratados de acordo com esta ordem de serviço a garantir acomodação paga pelo trabalhador, não excedendo o custo justo de mercado razoável. Classificação do cargo: 37-1012.00 - Supervisores de primeira linha de trabalhadores de paisagismo, jardinagem e manutenção de áreas verdes. A classificação e descrição do cargo/setor incluem informações gerais sobre a posição, conforme o ONET/OES e o Sistema de Classificação Industrial da América do Norte. Consulte as atribuições e a ordem de serviço para obter mais informações. Requisitos da vaga Experiência necessária: Sim Meses de experiência necessários: 12 Requisitos especiais: Certificação como Fundidor de Tubos Certificado por um fornecedor reconhecido, como CMF Global, ISCO, Ewing Irrigation ou ADS. 12 meses de experiência em construção e reforma de campos de golfe. Disponibilidade para realizar horas extras, quando necessário. Número de horas por semana: 45 Horário de trabalho (início/término): 7h às 17h</v>
      </c>
    </row>
    <row r="2522" ht="20.25" customHeight="1">
      <c r="A2522" s="3" t="s">
        <v>10932</v>
      </c>
      <c r="B2522" s="3" t="s">
        <v>10591</v>
      </c>
      <c r="C2522" s="3" t="s">
        <v>10337</v>
      </c>
      <c r="D2522" s="3" t="s">
        <v>64</v>
      </c>
      <c r="E2522" s="4" t="s">
        <v>44</v>
      </c>
      <c r="F2522" s="4" t="s">
        <v>20</v>
      </c>
      <c r="G2522" s="4" t="s">
        <v>56</v>
      </c>
      <c r="H2522" s="3" t="s">
        <v>10585</v>
      </c>
      <c r="I2522" s="3" t="s">
        <v>10586</v>
      </c>
      <c r="J2522" s="4">
        <v>25.29</v>
      </c>
      <c r="K2522" s="4">
        <v>2.0</v>
      </c>
      <c r="L2522" s="3" t="s">
        <v>3563</v>
      </c>
      <c r="M2522" s="3" t="s">
        <v>10786</v>
      </c>
      <c r="N2522" s="7" t="str">
        <f>IFERROR(__xludf.DUMMYFUNCTION("GOOGLETRANSLATE(L2522, ""en"", ""pt"")"),"Capataz")</f>
        <v>Capataz</v>
      </c>
      <c r="O2522" s="7" t="str">
        <f>IFERROR(__xludf.DUMMYFUNCTION("IF(M2522="""","""",GOOGLETRANSLATE(M2522,""en"",""pt""))"),"Trabalho braçal prático em canteiros de obras de campos de golfe, incluindo demarcação/layout, drenagem, bunkers, acabamento, greens e tees, operação de equipamentos, etc.; informa as equipes sobre as atividades planejadas para o dia e fornece as ferramen"&amp;"tas e materiais necessários; instrui, supervisiona e treina as equipes nas tarefas designadas, como instalação de irrigação, criação de tees e bunkers, plantio de grama, semeadura, demarcação/sinalização, operação e manutenção de equipamentos; gerencia o "&amp;"estoque de equipamentos, suprimentos, materiais e combustível; identifica e elimina possíveis desperdícios que possam ocorrer durante a execução das tarefas designadas, incluindo desperdício de materiais como aspersores de irrigação, tubos e fios de irrig"&amp;"ação, cascalho e mistura para greens; garante que os equipamentos e ferramentas designados sejam mantidos adequadamente por meio da realização de manutenção preventiva de rotina; auxilia na manutenção dos registros do projeto, como comprovantes de entrega"&amp;", ordens de compra e listas de reuniões de segurança; auxilia na criação de desenhos ""as-built""; e relata possíveis problemas ao Superintendente do Projeto. O trabalho geralmente é realizado de segunda a sexta, das 7h às 17h, mas fins de semana e horas "&amp;"extras podem ser necessários, dependendo das condições climáticas. ***Se necessário, o empregador pretende auxiliar trabalhadores estrangeiros e não residentes nos EUA contratados de acordo com esta ordem de serviço a garantir acomodação paga pelo trabalh"&amp;"ador, não excedendo o custo justo de mercado razoável. Classificação do cargo: 37-1012.00 - Supervisores de primeira linha de trabalhadores de paisagismo, jardinagem e manutenção de áreas verdes. A classificação e descrição do cargo/setor incluem informaç"&amp;"ões gerais sobre a posição, conforme o ONET/OES e o Sistema de Classificação Industrial da América do Norte. Consulte as atribuições e a ordem de serviço para obter mais informações. Requisitos da vaga Experiência necessária: Sim Meses de experiência nece"&amp;"ssários: 12 Requisitos especiais: Certificação como Fundidor de Tubos Certificado por um fornecedor reconhecido, como CMF Global, ISCO, Ewing Irrigation ou ADS. 12 meses de experiência em construção e reforma de campos de golfe. Disponibilidade para reali"&amp;"zar horas extras, quando necessário. Número de horas por semana: 45 Horário de trabalho (início/término): 7h às 17h")</f>
        <v>Trabalho braçal prático em canteiros de obras de campos de golfe, incluindo demarcação/layout, drenagem, bunkers, acabamento, greens e tees, operação de equipamentos, etc.; informa as equipes sobre as atividades planejadas para o dia e fornece as ferramentas e materiais necessários; instrui, supervisiona e treina as equipes nas tarefas designadas, como instalação de irrigação, criação de tees e bunkers, plantio de grama, semeadura, demarcação/sinalização, operação e manutenção de equipamentos; gerencia o estoque de equipamentos, suprimentos, materiais e combustível; identifica e elimina possíveis desperdícios que possam ocorrer durante a execução das tarefas designadas, incluindo desperdício de materiais como aspersores de irrigação, tubos e fios de irrigação, cascalho e mistura para greens; garante que os equipamentos e ferramentas designados sejam mantidos adequadamente por meio da realização de manutenção preventiva de rotina; auxilia na manutenção dos registros do projeto, como comprovantes de entrega, ordens de compra e listas de reuniões de segurança; auxilia na criação de desenhos "as-built"; e relata possíveis problemas ao Superintendente do Projeto. O trabalho geralmente é realizado de segunda a sexta, das 7h às 17h, mas fins de semana e horas extras podem ser necessários, dependendo das condições climáticas. ***Se necessário, o empregador pretende auxiliar trabalhadores estrangeiros e não residentes nos EUA contratados de acordo com esta ordem de serviço a garantir acomodação paga pelo trabalhador, não excedendo o custo justo de mercado razoável. Classificação do cargo: 37-1012.00 - Supervisores de primeira linha de trabalhadores de paisagismo, jardinagem e manutenção de áreas verdes. A classificação e descrição do cargo/setor incluem informações gerais sobre a posição, conforme o ONET/OES e o Sistema de Classificação Industrial da América do Norte. Consulte as atribuições e a ordem de serviço para obter mais informações. Requisitos da vaga Experiência necessária: Sim Meses de experiência necessários: 12 Requisitos especiais: Certificação como Fundidor de Tubos Certificado por um fornecedor reconhecido, como CMF Global, ISCO, Ewing Irrigation ou ADS. 12 meses de experiência em construção e reforma de campos de golfe. Disponibilidade para realizar horas extras, quando necessário. Número de horas por semana: 45 Horário de trabalho (início/término): 7h às 17h</v>
      </c>
    </row>
    <row r="2523" ht="20.25" customHeight="1">
      <c r="A2523" s="8" t="s">
        <v>10933</v>
      </c>
      <c r="B2523" s="8" t="s">
        <v>10934</v>
      </c>
      <c r="C2523" s="8" t="s">
        <v>7533</v>
      </c>
      <c r="D2523" s="8" t="s">
        <v>249</v>
      </c>
      <c r="E2523" s="9" t="s">
        <v>44</v>
      </c>
      <c r="F2523" s="9" t="s">
        <v>20</v>
      </c>
      <c r="G2523" s="9" t="s">
        <v>369</v>
      </c>
      <c r="H2523" s="8" t="s">
        <v>10935</v>
      </c>
      <c r="I2523" s="8" t="s">
        <v>10936</v>
      </c>
      <c r="J2523" s="9">
        <v>18.18</v>
      </c>
      <c r="K2523" s="9">
        <v>22.0</v>
      </c>
      <c r="L2523" s="8" t="s">
        <v>406</v>
      </c>
      <c r="M2523" s="8" t="s">
        <v>10937</v>
      </c>
      <c r="N2523" s="7" t="str">
        <f>IFERROR(__xludf.DUMMYFUNCTION("GOOGLETRANSLATE(L2523, ""en"", ""pt"")"),"Trabalhador")</f>
        <v>Trabalhador</v>
      </c>
      <c r="O2523" s="7" t="str">
        <f>IFERROR(__xludf.DUMMYFUNCTION("IF(M2523="""","""",GOOGLETRANSLATE(M2523,""en"",""pt""))"),"Remover depósitos de neve acumulados continuamente em condições climáticas extremas em diversas propriedades comerciais. É necessário levantar até 23 kg. Classificação da função: 37-2011.00 - Zeladores e Faxineiros, exceto empregadas domésticas e faxineir"&amp;"as. A classificação e descrição da função/setor incluem informações gerais sobre o cargo, de acordo com o ONET/OES e o Sistema de Classificação Industrial da América do Norte (NAICS). Consulte as atribuições e a ordem de serviço para obter mais informaçõe"&amp;"s. Requisitos da vaga: Experiência necessária: Não. Número de horas por semana: 40. Horário de trabalho (início/término): 8h às 17h.")</f>
        <v>Remover depósitos de neve acumulados continuamente em condições climáticas extremas em diversas propriedades comerciais. É necessário levantar até 23 kg. Classificação da função: 37-2011.00 - Zeladores e Faxineiros, exceto empregadas domésticas e faxineiras. A classificação e descrição da função/setor incluem informações gerais sobre o cargo, de acordo com o ONET/OES e o Sistema de Classificação Industrial da América do Norte (NAICS). Consulte as atribuições e a ordem de serviço para obter mais informações. Requisitos da vaga: Experiência necessária: Não. Número de horas por semana: 40. Horário de trabalho (início/término): 8h às 17h.</v>
      </c>
    </row>
    <row r="2524" ht="20.25" customHeight="1">
      <c r="A2524" s="3" t="s">
        <v>10938</v>
      </c>
      <c r="B2524" s="3" t="s">
        <v>10939</v>
      </c>
      <c r="C2524" s="3" t="s">
        <v>10726</v>
      </c>
      <c r="D2524" s="3" t="s">
        <v>254</v>
      </c>
      <c r="E2524" s="4" t="s">
        <v>44</v>
      </c>
      <c r="F2524" s="4" t="s">
        <v>20</v>
      </c>
      <c r="G2524" s="4" t="s">
        <v>4629</v>
      </c>
      <c r="H2524" s="3" t="s">
        <v>10940</v>
      </c>
      <c r="I2524" s="3" t="s">
        <v>10941</v>
      </c>
      <c r="J2524" s="4">
        <v>21.18</v>
      </c>
      <c r="K2524" s="4">
        <v>2.0</v>
      </c>
      <c r="L2524" s="3" t="s">
        <v>10942</v>
      </c>
      <c r="M2524" s="3" t="s">
        <v>10943</v>
      </c>
      <c r="N2524" s="7" t="str">
        <f>IFERROR(__xludf.DUMMYFUNCTION("GOOGLETRANSLATE(L2524, ""en"", ""pt"")"),"Auxiliares de Armazém")</f>
        <v>Auxiliares de Armazém</v>
      </c>
      <c r="O2524" s="7" t="str">
        <f>IFERROR(__xludf.DUMMYFUNCTION("IF(M2524="""","""",GOOGLETRANSLATE(M2524,""en"",""pt""))"),"Auxilia a equipe do armazém na desembalagem de materiais, carga e descarga, limpeza e remoção de detritos. Classificação da vaga: 53-7062.00 - Operários e Movimentadores de Carga, Estoque e Materiais. A classificação e descrição da vaga/setor incluem info"&amp;"rmações gerais sobre o cargo, de acordo com o ONET/OES e o Sistema de Classificação Industrial da América do Norte (NAICS). Consulte as Funções e a Ordem de Serviço para obter mais informações. Requisitos da vaga: Experiência necessária: Não. Requisitos e"&amp;"speciais: Necessário ter capacidade para permanecer em pé por longos períodos. O empregador oferece 40 horas semanais, de segunda a sexta-feira, entre 8h e 17h. Número de horas por semana: 40. Horário de trabalho (início/término): 8h às 17h.")</f>
        <v>Auxilia a equipe do armazém na desembalagem de materiais, carga e descarga, limpeza e remoção de detritos. Classificação da vaga: 53-7062.00 - Operários e Movimentadores de Carga, Estoque e Materiais. A classificação e descrição da vaga/setor incluem informações gerais sobre o cargo, de acordo com o ONET/OES e o Sistema de Classificação Industrial da América do Norte (NAICS). Consulte as Funções e a Ordem de Serviço para obter mais informações. Requisitos da vaga: Experiência necessária: Não. Requisitos especiais: Necessário ter capacidade para permanecer em pé por longos períodos. O empregador oferece 40 horas semanais, de segunda a sexta-feira, entre 8h e 17h. Número de horas por semana: 40. Horário de trabalho (início/término): 8h às 17h.</v>
      </c>
    </row>
    <row r="2525" ht="20.25" customHeight="1">
      <c r="A2525" s="8" t="s">
        <v>10944</v>
      </c>
      <c r="B2525" s="8" t="s">
        <v>10416</v>
      </c>
      <c r="C2525" s="8"/>
      <c r="D2525" s="8" t="s">
        <v>71</v>
      </c>
      <c r="E2525" s="9" t="s">
        <v>19</v>
      </c>
      <c r="F2525" s="9" t="s">
        <v>20</v>
      </c>
      <c r="G2525" s="9" t="s">
        <v>229</v>
      </c>
      <c r="H2525" s="8" t="s">
        <v>10945</v>
      </c>
      <c r="I2525" s="8" t="s">
        <v>10418</v>
      </c>
      <c r="J2525" s="9">
        <v>29.35</v>
      </c>
      <c r="K2525" s="9">
        <v>20.0</v>
      </c>
      <c r="L2525" s="8" t="s">
        <v>3465</v>
      </c>
      <c r="M2525" s="8" t="s">
        <v>10946</v>
      </c>
      <c r="N2525" s="7" t="str">
        <f>IFERROR(__xludf.DUMMYFUNCTION("GOOGLETRANSLATE(L2525, ""en"", ""pt"")"),"Montador")</f>
        <v>Montador</v>
      </c>
      <c r="O2525" s="7" t="str">
        <f>IFERROR(__xludf.DUMMYFUNCTION("IF(M2525="""","""",GOOGLETRANSLATE(M2525,""en"",""pt""))"),"O montador de treliças trabalhará com treliças de metal e madeira, produzindo treliças, peças ou componentes para treliças, dependendo do tamanho e das medidas dos projetos. Suas responsabilidades incluem montar materiais pré-cortados, garantindo a precis"&amp;"ão da montagem, utilizando réguas e calibradores, encaixando as peças, colocando placas de reforço de metal sobre as juntas de conexão e conectando as peças nas juntas. Ele poderá produzir ou auxiliar na produção de componentes de acordo com as instruções"&amp;", utilizando ferramentas manuais e máquinas para a construção de treliças, como martelos, serras, serras de corte, prensas dobradeiras, gabaritos e grampos para manter os membros no lugar durante a montagem, e cortadora a laser para o corte preciso de com"&amp;"ponentes. Poderá também utilizar elevadores para treliças pesadas, como as utilizadas em telhados na construção civil. Suas responsabilidades incluem puxar placas, empilhar o produto acabado, cintar e marcar os materiais, e empurrar os produtos para a pos"&amp;"ição correta manualmente ou com guindaste, em carrinhos, até a área de trabalho apropriada ou armazená-los ao final do expediente, mantendo a área limpa e livre de peças perigosas. Classificação da Função: 53-7021.00 - Operadores de Guindaste e Torre. A c"&amp;"lassificação e descrição da função/setor inclui informações gerais sobre o cargo, de acordo com o ONET/OES e o Sistema de Classificação Industrial da América do Norte (NAICS). Consulte as Funções e a Ordem de Serviço para obter mais informações. Requisito"&amp;"s da Função Experiência Necessária: Sim Meses de Experiência Necessários: 3 Requisitos Especiais: Três meses de experiência como montador de treliças em construções residenciais ou comerciais. Deve ser capaz de se curvar, levantar e sustentar até 23 kg, a"&amp;"lém de trabalhar em condições climáticas de calor extremo. Será necessário viajar dentro de vários países. Não há treinamento no local de trabalho disponível e não é exigida escolaridade. Exame toxicológico pós-contratação obrigatório, pago pelo empregado"&amp;"r. Todos os trabalhadores, americanos e estrangeiros, serão submetidos ao exame da mesma forma. Número de Horas por Semana: 40 Horário de Trabalho (Início/Término): 7h às 15h.")</f>
        <v>O montador de treliças trabalhará com treliças de metal e madeira, produzindo treliças, peças ou componentes para treliças, dependendo do tamanho e das medidas dos projetos. Suas responsabilidades incluem montar materiais pré-cortados, garantindo a precisão da montagem, utilizando réguas e calibradores, encaixando as peças, colocando placas de reforço de metal sobre as juntas de conexão e conectando as peças nas juntas. Ele poderá produzir ou auxiliar na produção de componentes de acordo com as instruções, utilizando ferramentas manuais e máquinas para a construção de treliças, como martelos, serras, serras de corte, prensas dobradeiras, gabaritos e grampos para manter os membros no lugar durante a montagem, e cortadora a laser para o corte preciso de componentes. Poderá também utilizar elevadores para treliças pesadas, como as utilizadas em telhados na construção civil. Suas responsabilidades incluem puxar placas, empilhar o produto acabado, cintar e marcar os materiais, e empurrar os produtos para a posição correta manualmente ou com guindaste, em carrinhos, até a área de trabalho apropriada ou armazená-los ao final do expediente, mantendo a área limpa e livre de peças perigosas. Classificação da Função: 53-7021.00 - Operadores de Guindaste e Torre. A classificação e descrição da função/setor inclui informações gerais sobre o cargo, de acordo com o ONET/OES e o Sistema de Classificação Industrial da América do Norte (NAICS). Consulte as Funções e a Ordem de Serviço para obter mais informações. Requisitos da Função Experiência Necessária: Sim Meses de Experiência Necessários: 3 Requisitos Especiais: Três meses de experiência como montador de treliças em construções residenciais ou comerciais. Deve ser capaz de se curvar, levantar e sustentar até 23 kg, além de trabalhar em condições climáticas de calor extremo. Será necessário viajar dentro de vários países. Não há treinamento no local de trabalho disponível e não é exigida escolaridade. Exame toxicológico pós-contratação obrigatório, pago pelo empregador. Todos os trabalhadores, americanos e estrangeiros, serão submetidos ao exame da mesma forma. Número de Horas por Semana: 40 Horário de Trabalho (Início/Término): 7h às 15h.</v>
      </c>
    </row>
    <row r="2526" ht="20.25" customHeight="1">
      <c r="A2526" s="3" t="s">
        <v>10947</v>
      </c>
      <c r="B2526" s="3" t="s">
        <v>10948</v>
      </c>
      <c r="C2526" s="3" t="s">
        <v>10726</v>
      </c>
      <c r="D2526" s="3" t="s">
        <v>254</v>
      </c>
      <c r="E2526" s="4" t="s">
        <v>19</v>
      </c>
      <c r="F2526" s="4" t="s">
        <v>20</v>
      </c>
      <c r="G2526" s="4" t="s">
        <v>377</v>
      </c>
      <c r="H2526" s="3" t="s">
        <v>10949</v>
      </c>
      <c r="I2526" s="3" t="s">
        <v>10950</v>
      </c>
      <c r="J2526" s="4">
        <v>14.56</v>
      </c>
      <c r="K2526" s="4">
        <v>6.0</v>
      </c>
      <c r="L2526" s="3" t="s">
        <v>387</v>
      </c>
      <c r="M2526" s="3" t="s">
        <v>10951</v>
      </c>
      <c r="N2526" s="7" t="str">
        <f>IFERROR(__xludf.DUMMYFUNCTION("GOOGLETRANSLATE(L2526, ""en"", ""pt"")"),"Ordem de serviço não disponível")</f>
        <v>Ordem de serviço não disponível</v>
      </c>
      <c r="O2526" s="7" t="str">
        <f>IFERROR(__xludf.DUMMYFUNCTION("IF(M2526="""","""",GOOGLETRANSLATE(M2526,""en"",""pt""))"),"**Resposta à Solicitação de Informações** A frase “preparar molhos e receitas especiais” na descrição da vaga refere-se à montagem e ao preparo de itens padrão do cardápio, com sabores internacionais. Os funcionários não criarão, desenvolverão ou alterarã"&amp;"o receitas, nem exercerão criatividade culinária independente. As receitas especiais referem-se ao uso de fichas técnicas padrão para montar itens internacionais de serviço rápido, como misturas de temperos pré-combinadas e pré-medidas com proteínas ou a "&amp;"montagem de ingredientes em pratos padrão. O preparo de molhos envolve misturar ingredientes pré-embalados, combinar bases pré-prontas ou reaquecer molhos a granel fornecidos pelo nosso fornecedor para manter a consistência do sabor nos pratos. Operamos u"&amp;"m estabelecimento fast-casual/de serviço rápido premium de alto volume, especializado em uma variedade de culinárias internacionais acessíveis. Não se trata de um restaurante com serviço completo, mesas ou alta gastronomia. Os alimentos preparados consist"&amp;"em em pratos internacionais padrão de preparo rápido, como bowls, wraps, sanduíches e saladas. Todo o preparo dos alimentos é projetado para velocidade, consistência e volume, exigindo técnicas básicas de montagem, porcionamento e cozimento que utilizam m"&amp;"icro-ondas, grelha, forno e fritadeira. A vaga não exige experiência culinária avançada ou preparo de pratos gourmet do zero. **Original** Manter a cozinha limpa e organizada; preparar molhos e receitas especiais; fazer inventário; higienizar e gerenciar "&amp;"a câmara fria e o freezer, verificando as temperaturas com frequência. Classificação da vaga: 35-2014.00 - Cozinheiros, Restaurante. A classificação e descrição da vaga/setor incluem informações gerais sobre o cargo, de acordo com o ONET/OES e o Sistema d"&amp;"e Classificação Industrial da América do Norte. Consulte as Funções e a Ordem de Serviço para obter mais informações. Requisitos da vaga Experiência necessária: Não. Requisitos especiais: Deve ter capacidade para ficar em pé por longos períodos. O emprega"&amp;"dor oferecerá pelo menos 40 horas de trabalho por semana, de domingo a sábado, entre 10h30 e 21h30, com turnos e folgas variáveis. Os funcionários devem estar dispostos a trabalhar à noite, nos fins de semana e/ou feriados, conforme necessário. Número de "&amp;"horas por semana: 40. Horário de trabalho (início/término): 10h30. - 21h30")</f>
        <v>**Resposta à Solicitação de Informações** A frase “preparar molhos e receitas especiais” na descrição da vaga refere-se à montagem e ao preparo de itens padrão do cardápio, com sabores internacionais. Os funcionários não criarão, desenvolverão ou alterarão receitas, nem exercerão criatividade culinária independente. As receitas especiais referem-se ao uso de fichas técnicas padrão para montar itens internacionais de serviço rápido, como misturas de temperos pré-combinadas e pré-medidas com proteínas ou a montagem de ingredientes em pratos padrão. O preparo de molhos envolve misturar ingredientes pré-embalados, combinar bases pré-prontas ou reaquecer molhos a granel fornecidos pelo nosso fornecedor para manter a consistência do sabor nos pratos. Operamos um estabelecimento fast-casual/de serviço rápido premium de alto volume, especializado em uma variedade de culinárias internacionais acessíveis. Não se trata de um restaurante com serviço completo, mesas ou alta gastronomia. Os alimentos preparados consistem em pratos internacionais padrão de preparo rápido, como bowls, wraps, sanduíches e saladas. Todo o preparo dos alimentos é projetado para velocidade, consistência e volume, exigindo técnicas básicas de montagem, porcionamento e cozimento que utilizam micro-ondas, grelha, forno e fritadeira. A vaga não exige experiência culinária avançada ou preparo de pratos gourmet do zero. **Original** Manter a cozinha limpa e organizada; preparar molhos e receitas especiais; fazer inventário; higienizar e gerenciar a câmara fria e o freezer, verificando as temperaturas com frequência. Classificação da vaga: 35-2014.00 - Cozinheiros, Restaurante. A classificação e descrição da vaga/setor incluem informações gerais sobre o cargo, de acordo com o ONET/OES e o Sistema de Classificação Industrial da América do Norte. Consulte as Funções e a Ordem de Serviço para obter mais informações. Requisitos da vaga Experiência necessária: Não. Requisitos especiais: Deve ter capacidade para ficar em pé por longos períodos. O empregador oferecerá pelo menos 40 horas de trabalho por semana, de domingo a sábado, entre 10h30 e 21h30, com turnos e folgas variáveis. Os funcionários devem estar dispostos a trabalhar à noite, nos fins de semana e/ou feriados, conforme necessário. Número de horas por semana: 40. Horário de trabalho (início/término): 10h30. - 21h30</v>
      </c>
    </row>
    <row r="2527" ht="20.25" customHeight="1">
      <c r="A2527" s="8" t="s">
        <v>10952</v>
      </c>
      <c r="B2527" s="8" t="s">
        <v>10953</v>
      </c>
      <c r="C2527" s="8" t="s">
        <v>9739</v>
      </c>
      <c r="D2527" s="8" t="s">
        <v>71</v>
      </c>
      <c r="E2527" s="9" t="s">
        <v>19</v>
      </c>
      <c r="F2527" s="9" t="s">
        <v>20</v>
      </c>
      <c r="G2527" s="9" t="s">
        <v>524</v>
      </c>
      <c r="H2527" s="8" t="s">
        <v>10954</v>
      </c>
      <c r="I2527" s="8" t="s">
        <v>10955</v>
      </c>
      <c r="J2527" s="9">
        <v>18.6</v>
      </c>
      <c r="K2527" s="9">
        <v>26.0</v>
      </c>
      <c r="L2527" s="8" t="s">
        <v>10956</v>
      </c>
      <c r="M2527" s="8" t="s">
        <v>10957</v>
      </c>
      <c r="N2527" s="7" t="str">
        <f>IFERROR(__xludf.DUMMYFUNCTION("GOOGLETRANSLATE(L2527, ""en"", ""pt"")"),"Especialista em Ambiente para Hóspedes")</f>
        <v>Especialista em Ambiente para Hóspedes</v>
      </c>
      <c r="O2527" s="7" t="str">
        <f>IFERROR(__xludf.DUMMYFUNCTION("IF(M2527="""","""",GOOGLETRANSLATE(M2527,""en"",""pt""))"),"Responsabilidades: Trabalhará em diversos pontos de atendimento no hotel. Executará uma ampla gama de funções de limpeza, sendo responsável por manter a aparência e a limpeza de todo o hotel, incluindo quartos e áreas comuns. Receberá e cumprimentará cada"&amp;" hóspede com um sorriso, contato visual e uma saudação verbal amigável, usando o nome do hóspede sempre que possível. Antecipará e atenderá às necessidades de serviço dos hóspedes. Verificará se todos os eletrodomésticos estão presentes no quarto e funcio"&amp;"nando corretamente (ex.: secador de cabelo, TV, controle remoto, micro-ondas). Limpará os banheiros, incluindo banheira/banheira de hidromassagem/chuveiro, vaso sanitário, piso, pia e espelho. Tirará o pó, polirá e removerá manchas de paredes e móveis (ex"&amp;".: eletrodomésticos, móveis, balde de gelo, frigobar, rodapés, prateleiras, porta de entrada). Removerá o lixo, a roupa de cama suja e os itens do serviço de quarto do quarto e da varanda/terraço. Trocará a roupa de cama suja (ex.: lençóis, fronhas) e as "&amp;"toalhas (ex.: toalhas de banho, roupões) por itens limpos, seguindo os padrões corretos de arrumação e dobragem de camas. Repor os itens de higiene e suprimentos nos quartos, como artigos de higiene pessoal, copos, canecas, lençóis, toalhas, lenços de pap"&amp;"el, café, materiais impressos e sacos de lavanderia, de acordo com os padrões. Devolver o carrinho ao local designado ao final do turno. Limpar e organizar os itens armazenados na lavanderia, armários de suprimentos/armazenamento, rouparia e/ou uniformes."&amp;" Dobrar a roupa de cama limpa no tamanho designado, manualmente ou utilizando máquina de dobrar. Outras tarefas relacionadas. Requisitos: Não é necessário ter formação ou experiência. Deve ser capaz de mover, levantar, carregar, empurrar, puxar e colocar "&amp;"objetos com peso igual ou inferior a 23 kg sem auxílio. Deve ser capaz de se comunicar com nossos hóspedes e funcionários que falam inglês. Verificação de antecedentes criminais pré-emprego. Testes toxicológicos pós-emprego são administrados somente se ho"&amp;"uver suspeita razoável. Salário: US$ 18,60/h a US$ 19,10/h. Horas extras: US$ 27,90/h a US$ 28,65/h. Elegível para diversos benefícios, incluindo descontos em viagens para funcionários; loja online; MEFCU; loja myCompany; myARL; Semana de Apreciação dos C"&amp;"olaboradores; Refeitório – Refeição gratuita por turno; Lavanderia de uniformes. Para a lista completa de benefícios, entre em contato com o RH. Turnos: 8h às 16h30; 16h às 22h; 23h às 7h30 (5 dias rotativos, incluindo fins de semana). Classificação da va"&amp;"ga: 37-2012.00 - Camareiras e Auxiliares de Limpeza. A classificação e descrição da vaga/setor inclui informações gerais sobre o cargo, de acordo com o ONET/OES e o Sistema de Classificação Industrial da América do Norte. Consulte as Funções e a Ordem de "&amp;"Serviço para obter mais informações. Requisitos da vaga: Experiência exigida: Não. Requisitos especiais: Não é necessário ter formação ou experiência. Deve ser capaz de mover, levantar, carregar, empurrar, puxar e colocar objetos com peso igual ou inferio"&amp;"r a 23 kg sem ajuda. Deve ser capaz de se comunicar com nossos hóspedes e funcionários que falam inglês. Verificação de antecedentes criminais pré-emprego. Os testes de drogas pós-emprego são administrados somente se houver suspeita razoável. Número de ho"&amp;"ras por semana: 35. Horário de trabalho (início/término): 8h00 - 16h30.")</f>
        <v>Responsabilidades: Trabalhará em diversos pontos de atendimento no hotel. Executará uma ampla gama de funções de limpeza, sendo responsável por manter a aparência e a limpeza de todo o hotel, incluindo quartos e áreas comuns. Receberá e cumprimentará cada hóspede com um sorriso, contato visual e uma saudação verbal amigável, usando o nome do hóspede sempre que possível. Antecipará e atenderá às necessidades de serviço dos hóspedes. Verificará se todos os eletrodomésticos estão presentes no quarto e funcionando corretamente (ex.: secador de cabelo, TV, controle remoto, micro-ondas). Limpará os banheiros, incluindo banheira/banheira de hidromassagem/chuveiro, vaso sanitário, piso, pia e espelho. Tirará o pó, polirá e removerá manchas de paredes e móveis (ex.: eletrodomésticos, móveis, balde de gelo, frigobar, rodapés, prateleiras, porta de entrada). Removerá o lixo, a roupa de cama suja e os itens do serviço de quarto do quarto e da varanda/terraço. Trocará a roupa de cama suja (ex.: lençóis, fronhas) e as toalhas (ex.: toalhas de banho, roupões) por itens limpos, seguindo os padrões corretos de arrumação e dobragem de camas. Repor os itens de higiene e suprimentos nos quartos, como artigos de higiene pessoal, copos, canecas, lençóis, toalhas, lenços de papel, café, materiais impressos e sacos de lavanderia, de acordo com os padrões. Devolver o carrinho ao local designado ao final do turno. Limpar e organizar os itens armazenados na lavanderia, armários de suprimentos/armazenamento, rouparia e/ou uniformes. Dobrar a roupa de cama limpa no tamanho designado, manualmente ou utilizando máquina de dobrar. Outras tarefas relacionadas. Requisitos: Não é necessário ter formação ou experiência. Deve ser capaz de mover, levantar, carregar, empurrar, puxar e colocar objetos com peso igual ou inferior a 23 kg sem auxílio. Deve ser capaz de se comunicar com nossos hóspedes e funcionários que falam inglês. Verificação de antecedentes criminais pré-emprego. Testes toxicológicos pós-emprego são administrados somente se houver suspeita razoável. Salário: US$ 18,60/h a US$ 19,10/h. Horas extras: US$ 27,90/h a US$ 28,65/h. Elegível para diversos benefícios, incluindo descontos em viagens para funcionários; loja online; MEFCU; loja myCompany; myARL; Semana de Apreciação dos Colaboradores; Refeitório – Refeição gratuita por turno; Lavanderia de uniformes. Para a lista completa de benefícios, entre em contato com o RH. Turnos: 8h às 16h30; 16h às 22h; 23h às 7h30 (5 dias rotativos, incluindo fins de semana). Classificação da vaga: 37-2012.00 - Camareiras e Auxiliares de Limpeza. A classificação e descrição da vaga/setor inclui informações gerais sobre o cargo, de acordo com o ONET/OES e o Sistema de Classificação Industrial da América do Norte. Consulte as Funções e a Ordem de Serviço para obter mais informações. Requisitos da vaga: Experiência exigida: Não. Requisitos especiais: Não é necessário ter formação ou experiência. Deve ser capaz de mover, levantar, carregar, empurrar, puxar e colocar objetos com peso igual ou inferior a 23 kg sem ajuda. Deve ser capaz de se comunicar com nossos hóspedes e funcionários que falam inglês. Verificação de antecedentes criminais pré-emprego. Os testes de drogas pós-emprego são administrados somente se houver suspeita razoável. Número de horas por semana: 35. Horário de trabalho (início/término): 8h00 - 16h30.</v>
      </c>
    </row>
    <row r="2528" ht="20.25" customHeight="1">
      <c r="A2528" s="3" t="s">
        <v>10958</v>
      </c>
      <c r="B2528" s="3" t="s">
        <v>10953</v>
      </c>
      <c r="C2528" s="3" t="s">
        <v>9739</v>
      </c>
      <c r="D2528" s="3" t="s">
        <v>71</v>
      </c>
      <c r="E2528" s="4" t="s">
        <v>44</v>
      </c>
      <c r="F2528" s="4" t="s">
        <v>20</v>
      </c>
      <c r="G2528" s="4" t="s">
        <v>524</v>
      </c>
      <c r="H2528" s="3" t="s">
        <v>10954</v>
      </c>
      <c r="I2528" s="3" t="s">
        <v>10955</v>
      </c>
      <c r="J2528" s="4">
        <v>20.37</v>
      </c>
      <c r="K2528" s="4">
        <v>37.0</v>
      </c>
      <c r="L2528" s="3" t="s">
        <v>387</v>
      </c>
      <c r="M2528" s="3" t="s">
        <v>10959</v>
      </c>
      <c r="N2528" s="7" t="str">
        <f>IFERROR(__xludf.DUMMYFUNCTION("GOOGLETRANSLATE(L2528, ""en"", ""pt"")"),"Ordem de serviço não disponível")</f>
        <v>Ordem de serviço não disponível</v>
      </c>
      <c r="O2528" s="7" t="str">
        <f>IFERROR(__xludf.DUMMYFUNCTION("IF(M2528="""","""",GOOGLETRANSLATE(M2528,""en"",""pt""))"),"***Resposta à Solicitação de Informações*** O cozinheiro pode trabalhar em diversos pontos de venda de restaurantes, incluindo restaurantes sofisticados e casuais com serviço de mesa. O cozinheiro prepara e cozinha itens do cardápio, principalmente à la c"&amp;"arte, feitos sob encomenda para clientes individuais, seguindo receitas padronizadas, padrões de qualidade e diretrizes de apresentação. O preparo antecipado de ingredientes é limitado e faz parte das operações normais da cozinha do restaurante. Os cozinh"&amp;"eiros também podem ser designados para a cozinha de banquetes para preparar grandes quantidades de comida, molhos e refeições empratadas ou em estilo buffet para grandes eventos. O cozinheiro realiza tarefas rotineiras de preparação de ingredientes para a"&amp;"poiar as funções de cozinha, incluindo o preparo de pequenas quantidades de molhos, temperos e componentes de receitas; o preparo de frutas e vegetais frescos, incluindo sucos quando usados ​​como ingredientes em itens do cardápio; e o auxílio no preparo "&amp;"e manuseio de gelo especial de acordo com os padrões de serviço da cozinha e do restaurante. As tarefas são realizadas utilizando equipamentos de cozinha padrão, como facas, tábuas de corte, batedeiras, liquidificadores, extratores de suco, unidades de re"&amp;"frigeração e máquinas de gelo. ***Original*** Funções: Trabalhará em vários pontos de venda na propriedade. Preparar ingredientes para cozinhar e servir, incluindo porcionar, cortar e armazenar alimentos. Lavar e descascar frutas e verduras frescas. Pesar"&amp;", medir e misturar ingredientes. Preparar e cozinhar alimentos de acordo com receitas, padrões de qualidade, padrões de apresentação e lista de verificação de preparação de alimentos. Preparar alimentos frios, incluindo o preparo de lotes, sucos e auxilia"&amp;"r na preparação de gelo especial para bares e restaurantes. Operar fornos, fogões, grelhas, micro-ondas e fritadeiras. Testar os alimentos para determinar se estão suficientemente cozidos. Monitorar a qualidade dos alimentos e bebidas durante o preparo. M"&amp;"ontar e desmontar a estação de trabalho. Servir os alimentos em porções adequadas em recipientes apropriados. Lavar e desinfetar a área da cozinha, a despensa, as mesas, os utensílios, as facas e os equipamentos. Verificar e garantir a temperatura correta"&amp;" dos eletrodomésticos e dos alimentos. Concluir todas as tarefas de fechamento, trancar os refrigeradores e reabastecer os estoques. Outras tarefas relacionadas. Requisitos: Ensino Médio completo ou equivalente. Um ano de experiência comprovada como cozin"&amp;"heiro(a). Deve ser capaz de ficar em pé, sentado(a) ou caminhar por longos períodos ou durante todo o turno de trabalho. Capacidade de alcançar objetos acima da cabeça e abaixo dos joelhos, incluindo flexionar, torcer, puxar e abaixar. Capacidade de mover"&amp;", levantar, carregar, empurrar, puxar e colocar objetos com peso igual ou inferior a 11 kg sem auxílio. É necessário comunicar-se fluentemente com nossos hóspedes e funcionários que falam inglês. Verificação de antecedentes criminais pré-admissional. Test"&amp;"es toxicológicos pós-admissionais serão realizados somente em caso de suspeita razoável. Salário: US$ 20,37 a US$ 20,60/hora. Horas extras: US$ 30,55 a US$ 30,90/hora. Elegível para diversos benefícios, incluindo descontos em viagens para funcionários; lo"&amp;"ja online; MEFCU; myCompany Store; myARL; Semana de Apreciação do Funcionário; refeitório – refeição gratuita por turno; lavanderia de uniforme. Para a lista completa de benefícios, entre em contato com o RH. Turnos: 4h30 às 12h30; 6h às 14h30; 9h às 17h3"&amp;"0. 14h30 – 23h00; (5 dias rotativos, incluindo fins de semana). Classificação da vaga: 35-2012.00 - Cozinheiros, Instituição e Cafeteria. A classificação e descrição da vaga/setor inclui informações gerais sobre o cargo, de acordo com o ONET/OES e o Siste"&amp;"ma de Classificação Industrial da América do Norte. Consulte as Funções e a Ordem de Serviço para obter mais informações. Requisitos da vaga: Experiência necessária: Sim. Meses de experiência necessários: 12. Requisitos especiais: Ensino Médio completo ou"&amp;" equivalente. Um ano de experiência comprovada como cozinheiro(a). Deve ser capaz de ficar em pé, sentado(a) ou caminhar por longos períodos ou durante todo o turno de trabalho. Alcançar objetos acima da cabeça e abaixo dos joelhos, incluindo agachar, tor"&amp;"cer, puxar e curvar-se. Mover, levantar, carregar, empurrar, puxar e colocar objetos com peso igual ou inferior a 11 kg sem auxílio. Deve ser capaz de se comunicar fluentemente com nossos clientes e funcionários que falam inglês. Verificação de antecedent"&amp;"es criminais pré-admissional. Testes toxicológicos pós-admissionais serão realizados somente em caso de suspeita razoável. Número de horas por semana: 35 Horário de trabalho (início/término): 4h30 - 12h30")</f>
        <v>***Resposta à Solicitação de Informações*** O cozinheiro pode trabalhar em diversos pontos de venda de restaurantes, incluindo restaurantes sofisticados e casuais com serviço de mesa. O cozinheiro prepara e cozinha itens do cardápio, principalmente à la carte, feitos sob encomenda para clientes individuais, seguindo receitas padronizadas, padrões de qualidade e diretrizes de apresentação. O preparo antecipado de ingredientes é limitado e faz parte das operações normais da cozinha do restaurante. Os cozinheiros também podem ser designados para a cozinha de banquetes para preparar grandes quantidades de comida, molhos e refeições empratadas ou em estilo buffet para grandes eventos. O cozinheiro realiza tarefas rotineiras de preparação de ingredientes para apoiar as funções de cozinha, incluindo o preparo de pequenas quantidades de molhos, temperos e componentes de receitas; o preparo de frutas e vegetais frescos, incluindo sucos quando usados ​​como ingredientes em itens do cardápio; e o auxílio no preparo e manuseio de gelo especial de acordo com os padrões de serviço da cozinha e do restaurante. As tarefas são realizadas utilizando equipamentos de cozinha padrão, como facas, tábuas de corte, batedeiras, liquidificadores, extratores de suco, unidades de refrigeração e máquinas de gelo. ***Original*** Funções: Trabalhará em vários pontos de venda na propriedade. Preparar ingredientes para cozinhar e servir, incluindo porcionar, cortar e armazenar alimentos. Lavar e descascar frutas e verduras frescas. Pesar, medir e misturar ingredientes. Preparar e cozinhar alimentos de acordo com receitas, padrões de qualidade, padrões de apresentação e lista de verificação de preparação de alimentos. Preparar alimentos frios, incluindo o preparo de lotes, sucos e auxiliar na preparação de gelo especial para bares e restaurantes. Operar fornos, fogões, grelhas, micro-ondas e fritadeiras. Testar os alimentos para determinar se estão suficientemente cozidos. Monitorar a qualidade dos alimentos e bebidas durante o preparo. Montar e desmontar a estação de trabalho. Servir os alimentos em porções adequadas em recipientes apropriados. Lavar e desinfetar a área da cozinha, a despensa, as mesas, os utensílios, as facas e os equipamentos. Verificar e garantir a temperatura correta dos eletrodomésticos e dos alimentos. Concluir todas as tarefas de fechamento, trancar os refrigeradores e reabastecer os estoques. Outras tarefas relacionadas. Requisitos: Ensino Médio completo ou equivalente. Um ano de experiência comprovada como cozinheiro(a). Deve ser capaz de ficar em pé, sentado(a) ou caminhar por longos períodos ou durante todo o turno de trabalho. Capacidade de alcançar objetos acima da cabeça e abaixo dos joelhos, incluindo flexionar, torcer, puxar e abaixar. Capacidade de mover, levantar, carregar, empurrar, puxar e colocar objetos com peso igual ou inferior a 11 kg sem auxílio. É necessário comunicar-se fluentemente com nossos hóspedes e funcionários que falam inglês. Verificação de antecedentes criminais pré-admissional. Testes toxicológicos pós-admissionais serão realizados somente em caso de suspeita razoável. Salário: US$ 20,37 a US$ 20,60/hora. Horas extras: US$ 30,55 a US$ 30,90/hora. Elegível para diversos benefícios, incluindo descontos em viagens para funcionários; loja online; MEFCU; myCompany Store; myARL; Semana de Apreciação do Funcionário; refeitório – refeição gratuita por turno; lavanderia de uniforme. Para a lista completa de benefícios, entre em contato com o RH. Turnos: 4h30 às 12h30; 6h às 14h30; 9h às 17h30. 14h30 – 23h00; (5 dias rotativos, incluindo fins de semana). Classificação da vaga: 35-2012.00 - Cozinheiros, Instituição e Cafeteria. A classificação e descrição da vaga/setor inclui informações gerais sobre o cargo, de acordo com o ONET/OES e o Sistema de Classificação Industrial da América do Norte. Consulte as Funções e a Ordem de Serviço para obter mais informações. Requisitos da vaga: Experiência necessária: Sim. Meses de experiência necessários: 12. Requisitos especiais: Ensino Médio completo ou equivalente. Um ano de experiência comprovada como cozinheiro(a). Deve ser capaz de ficar em pé, sentado(a) ou caminhar por longos períodos ou durante todo o turno de trabalho. Alcançar objetos acima da cabeça e abaixo dos joelhos, incluindo agachar, torcer, puxar e curvar-se. Mover, levantar, carregar, empurrar, puxar e colocar objetos com peso igual ou inferior a 11 kg sem auxílio. Deve ser capaz de se comunicar fluentemente com nossos clientes e funcionários que falam inglês. Verificação de antecedentes criminais pré-admissional. Testes toxicológicos pós-admissionais serão realizados somente em caso de suspeita razoável. Número de horas por semana: 35 Horário de trabalho (início/término): 4h30 - 12h30</v>
      </c>
    </row>
    <row r="2529" ht="20.25" customHeight="1">
      <c r="A2529" s="8" t="s">
        <v>10960</v>
      </c>
      <c r="B2529" s="8" t="s">
        <v>10961</v>
      </c>
      <c r="C2529" s="8"/>
      <c r="D2529" s="8" t="s">
        <v>271</v>
      </c>
      <c r="E2529" s="9" t="s">
        <v>19</v>
      </c>
      <c r="F2529" s="9" t="s">
        <v>20</v>
      </c>
      <c r="G2529" s="9" t="s">
        <v>437</v>
      </c>
      <c r="H2529" s="8" t="s">
        <v>10962</v>
      </c>
      <c r="I2529" s="8" t="s">
        <v>10963</v>
      </c>
      <c r="J2529" s="9">
        <v>18.18</v>
      </c>
      <c r="K2529" s="9">
        <v>20.0</v>
      </c>
      <c r="L2529" s="8" t="s">
        <v>10964</v>
      </c>
      <c r="M2529" s="8" t="s">
        <v>10965</v>
      </c>
      <c r="N2529" s="7" t="str">
        <f>IFERROR(__xludf.DUMMYFUNCTION("GOOGLETRANSLATE(L2529, ""en"", ""pt"")"),"Auxiliar Temporário de Limpeza Doméstica - 202")</f>
        <v>Auxiliar Temporário de Limpeza Doméstica - 202</v>
      </c>
      <c r="O2529" s="7" t="str">
        <f>IFERROR(__xludf.DUMMYFUNCTION("IF(M2529="""","""",GOOGLETRANSLATE(M2529,""en"",""pt""))"),"Resposta à Solicitação de Informações (RFI): Veículos ou utilitários são utilizados para entregar roupas de cama e toalhas aos quartos e unidades de hóspedes. Todas as entregas são realizadas dentro do prédio ou campus do resort, com o apoio do Empregador"&amp;". Os funcionários auxiliarão no transporte de ferramentas básicas de limpeza, incluindo aspiradores de pó, vassouras, esfregões, panos de limpeza e outros pequenos suprimentos de limpeza para os quartos e/ou unidades de hóspedes. Veículos, incluindo utili"&amp;"tários, são utilizados para entregar roupas de cama e toalhas às unidades designadas para limpeza. Descrição original da vaga: Os Auxiliares de Limpeza Temporários serão responsáveis ​​pela limpeza e manutenção de todos os quartos, suítes e áreas comuns i"&amp;"nternas das propriedades do cliente, o que inclui, entre outras atividades, aspirar pisos, tirar o pó, lavar e repor roupas de cama e toalhas, remover o lixo das unidades, retirar a roupa de cama suja das unidades, desinfetar banheiros, lavar janelas, com"&amp;"unicar objetos perdidos e achados à Gerência, auxiliar na manutenção dos armários de armazenamento, realizar verificações semanais de serviço, esvaziar lixeiras, filtros de fiapos e saídas de ar. Uso ocasional de veículo utilitário ou automóvel da empresa"&amp;" com peso máximo de 3.600 kg e capacidade para menos de 15 passageiros para auxiliar no transporte de ferramentas e outros itens necessários dentro do local de trabalho para o desempenho das funções. Outras tarefas atribuídas relacionadas às funções gerai"&amp;"s de limpeza e arrumação, incluindo: percorrer todos os edifícios ou andares designados para garantir que estejam livres de roupas de cama, lixo ou equipamentos. Mover móveis conforme instruções, fazer entregas aos hóspedes conforme instruções. Auxiliar n"&amp;"o inventário de roupas de cama, incluindo a separação e lavagem de roupas de cama/toalhas sujas. Dobrar ou passar roupas de cama/toalhas limpas e entregar sacos de suprimentos de roupas de cama/toalhas às unidades. Classificação do Cargo: 37-2012.00 - Cam"&amp;"areiras e Auxiliares de Limpeza. A classificação e descrição do cargo/setor inclui informações gerais sobre a posição, de acordo com o ONET/OES e o Sistema de Classificação Industrial da América do Norte. Consulte as Funções e a Ordem de Serviço para obte"&amp;"r mais informações. Requisitos da vaga Experiência exigida: Sim Meses de experiência exigidos: 3 Requisitos especiais: O contratante considerará para emprego qualquer pessoa que possua pelo menos três (3) meses de experiência, preferencialmente, mas não o"&amp;"brigatoriamente, em hotel, resort, clube privado ou casas de férias; outras experiências em hotelaria ou limpeza podem ser consideradas. Número de horas por semana: 35 Horário de trabalho (início/término): 9h00 - 16h00")</f>
        <v>Resposta à Solicitação de Informações (RFI): Veículos ou utilitários são utilizados para entregar roupas de cama e toalhas aos quartos e unidades de hóspedes. Todas as entregas são realizadas dentro do prédio ou campus do resort, com o apoio do Empregador. Os funcionários auxiliarão no transporte de ferramentas básicas de limpeza, incluindo aspiradores de pó, vassouras, esfregões, panos de limpeza e outros pequenos suprimentos de limpeza para os quartos e/ou unidades de hóspedes. Veículos, incluindo utilitários, são utilizados para entregar roupas de cama e toalhas às unidades designadas para limpeza. Descrição original da vaga: Os Auxiliares de Limpeza Temporários serão responsáveis ​​pela limpeza e manutenção de todos os quartos, suítes e áreas comuns internas das propriedades do cliente, o que inclui, entre outras atividades, aspirar pisos, tirar o pó, lavar e repor roupas de cama e toalhas, remover o lixo das unidades, retirar a roupa de cama suja das unidades, desinfetar banheiros, lavar janelas, comunicar objetos perdidos e achados à Gerência, auxiliar na manutenção dos armários de armazenamento, realizar verificações semanais de serviço, esvaziar lixeiras, filtros de fiapos e saídas de ar. Uso ocasional de veículo utilitário ou automóvel da empresa com peso máximo de 3.600 kg e capacidade para menos de 15 passageiros para auxiliar no transporte de ferramentas e outros itens necessários dentro do local de trabalho para o desempenho das funções. Outras tarefas atribuídas relacionadas às funções gerais de limpeza e arrumação, incluindo: percorrer todos os edifícios ou andares designados para garantir que estejam livres de roupas de cama, lixo ou equipamentos. Mover móveis conforme instruções, fazer entregas aos hóspedes conforme instruções. Auxiliar no inventário de roupas de cama, incluindo a separação e lavagem de roupas de cama/toalhas sujas. Dobrar ou passar roupas de cama/toalhas limpas e entregar sacos de suprimentos de roupas de cama/toalhas às unidades. Classificação do Cargo: 37-2012.00 - Camareiras e Auxiliares de Limpeza. A classificação e descrição do cargo/setor inclui informações gerais sobre a posição, de acordo com o ONET/OES e o Sistema de Classificação Industrial da América do Norte. Consulte as Funções e a Ordem de Serviço para obter mais informações. Requisitos da vaga Experiência exigida: Sim Meses de experiência exigidos: 3 Requisitos especiais: O contratante considerará para emprego qualquer pessoa que possua pelo menos três (3) meses de experiência, preferencialmente, mas não obrigatoriamente, em hotel, resort, clube privado ou casas de férias; outras experiências em hotelaria ou limpeza podem ser consideradas. Número de horas por semana: 35 Horário de trabalho (início/término): 9h00 - 16h00</v>
      </c>
    </row>
    <row r="2530" ht="20.25" customHeight="1">
      <c r="A2530" s="3" t="s">
        <v>10966</v>
      </c>
      <c r="B2530" s="3" t="s">
        <v>10967</v>
      </c>
      <c r="C2530" s="3" t="s">
        <v>169</v>
      </c>
      <c r="D2530" s="3" t="s">
        <v>71</v>
      </c>
      <c r="E2530" s="4" t="s">
        <v>19</v>
      </c>
      <c r="F2530" s="4" t="s">
        <v>20</v>
      </c>
      <c r="G2530" s="4" t="s">
        <v>56</v>
      </c>
      <c r="H2530" s="3" t="s">
        <v>10968</v>
      </c>
      <c r="I2530" s="3" t="s">
        <v>10969</v>
      </c>
      <c r="J2530" s="4">
        <v>25.47</v>
      </c>
      <c r="K2530" s="4">
        <v>3.0</v>
      </c>
      <c r="L2530" s="3" t="s">
        <v>10688</v>
      </c>
      <c r="M2530" s="3" t="s">
        <v>10970</v>
      </c>
      <c r="N2530" s="7" t="str">
        <f>IFERROR(__xludf.DUMMYFUNCTION("GOOGLETRANSLATE(L2530, ""en"", ""pt"")"),"Escalador de árvores")</f>
        <v>Escalador de árvores</v>
      </c>
      <c r="O2530" s="7" t="str">
        <f>IFERROR(__xludf.DUMMYFUNCTION("IF(M2530="""","""",GOOGLETRANSLATE(M2530,""en"",""pt""))"),"Utilizando técnicas sofisticadas de escalada e içamento, o profissional será responsável por cortar galhos mortos ou em excesso de árvores ou arbustos para manter a faixa de domínio de estradas, calçadas ou serviços públicos, ou para melhorar a aparência,"&amp;" a saúde e o valor da árvore. Deverá podar ou tratar árvores ou arbustos utilizando serras manuais, tesouras de poda manuais, tesouras de poda elétricas e podadores motorizados. O trabalho será realizado na copa das árvores e poderá utilizar plataformas e"&amp;"levatórias montadas em caminhões. É imprescindível seguir todas as normas de segurança e as diretrizes de segurança da Miller's Tree Service, LLC, incluindo, entre outras, o uso de equipamentos de proteção individual fornecidos pelo empregador. Classifica"&amp;"ção da Função: 37-3013.00 - Podadores e Podadores de Árvores. A classificação e descrição da função/setor inclui informações gerais sobre o cargo, de acordo com o ONET/OES e o Sistema de Classificação Industrial da América do Norte (NAICS). Consulte as Fu"&amp;"nções e a Ordem de Serviço para obter mais informações. Requisitos da Função: Experiência Necessária: Sim. Meses de Experiência Necessários: 6. Requisitos Especiais: Requer seis meses de experiência em poda/escalada de árvores. Deve ser capaz de levantar/"&amp;"carregar 23 kg (50 lbs), quando necessário. Trabalho aos sábados e domingos, quando necessário. Exame toxicológico pago pelo empregador é obrigatório para trabalhadores estrangeiros e nacionais antes do início do trabalho. Verificação de elegibilidade par"&amp;"a emprego (e-Verify) após a contratação é obrigatória para trabalhadores estrangeiros e nacionais. O empregador pode oferecer mais horas de trabalho do que as estipuladas, dependendo do clima, das necessidades da empresa e de outras condições. Calor extre"&amp;"mo, frio, chuva ou seca podem afetar o horário de trabalho exato. Número de horas por semana: 40. Horário de trabalho (início/término): 7h às 16h.")</f>
        <v>Utilizando técnicas sofisticadas de escalada e içamento, o profissional será responsável por cortar galhos mortos ou em excesso de árvores ou arbustos para manter a faixa de domínio de estradas, calçadas ou serviços públicos, ou para melhorar a aparência, a saúde e o valor da árvore. Deverá podar ou tratar árvores ou arbustos utilizando serras manuais, tesouras de poda manuais, tesouras de poda elétricas e podadores motorizados. O trabalho será realizado na copa das árvores e poderá utilizar plataformas elevatórias montadas em caminhões. É imprescindível seguir todas as normas de segurança e as diretrizes de segurança da Miller's Tree Service, LLC, incluindo, entre outras, o uso de equipamentos de proteção individual fornecidos pelo empregador. Classificação da Função: 37-3013.00 - Podadores e Podadores de Árvores. A classificação e descrição da função/setor inclui informações gerais sobre o cargo, de acordo com o ONET/OES e o Sistema de Classificação Industrial da América do Norte (NAICS). Consulte as Funções e a Ordem de Serviço para obter mais informações. Requisitos da Função: Experiência Necessária: Sim. Meses de Experiência Necessários: 6. Requisitos Especiais: Requer seis meses de experiência em poda/escalada de árvores. Deve ser capaz de levantar/carregar 23 kg (50 lbs), quando necessário. Trabalho aos sábados e domingos, quando necessário. Exame toxicológico pago pelo empregador é obrigatório para trabalhadores estrangeiros e nacionais antes do início do trabalho. Verificação de elegibilidade para emprego (e-Verify) após a contratação é obrigatória para trabalhadores estrangeiros e nacionais. O empregador pode oferecer mais horas de trabalho do que as estipuladas, dependendo do clima, das necessidades da empresa e de outras condições. Calor extremo, frio, chuva ou seca podem afetar o horário de trabalho exato. Número de horas por semana: 40. Horário de trabalho (início/término): 7h às 16h.</v>
      </c>
    </row>
    <row r="2531" ht="20.25" customHeight="1">
      <c r="A2531" s="8" t="s">
        <v>10971</v>
      </c>
      <c r="B2531" s="8" t="s">
        <v>7316</v>
      </c>
      <c r="C2531" s="8" t="s">
        <v>7533</v>
      </c>
      <c r="D2531" s="8" t="s">
        <v>271</v>
      </c>
      <c r="E2531" s="9" t="s">
        <v>19</v>
      </c>
      <c r="F2531" s="9" t="s">
        <v>20</v>
      </c>
      <c r="G2531" s="9" t="s">
        <v>80</v>
      </c>
      <c r="H2531" s="8" t="s">
        <v>7317</v>
      </c>
      <c r="I2531" s="8" t="s">
        <v>10662</v>
      </c>
      <c r="J2531" s="9">
        <v>23.3</v>
      </c>
      <c r="K2531" s="9">
        <v>8.0</v>
      </c>
      <c r="L2531" s="8" t="s">
        <v>406</v>
      </c>
      <c r="M2531" s="8" t="s">
        <v>10972</v>
      </c>
      <c r="N2531" s="7" t="str">
        <f>IFERROR(__xludf.DUMMYFUNCTION("GOOGLETRANSLATE(L2531, ""en"", ""pt"")"),"Trabalhador")</f>
        <v>Trabalhador</v>
      </c>
      <c r="O2531" s="7" t="str">
        <f>IFERROR(__xludf.DUMMYFUNCTION("IF(M2531="""","""",GOOGLETRANSLATE(M2531,""en"",""pt""))"),"***Resposta à Solicitação de Informações*** Os homens levantam fisicamente os paletes de caixas de leite vencidas e as colocam na máquina de perfuração, acionando a alavanca hidráulica da máquina para perfurar os galões de leite e permitir que o leite se "&amp;"acumule na máquina. Essas tarefas NÃO estão relacionadas à pasteurização. O trabalhador NÃO enviará o leite. ***Original*** Os trabalhadores usam empilhadeiras e paleteiras para mover paletes de produtos lácteos vencidos em galões até máquinas que desemba"&amp;"lam/abrem/perfuram os galões para coletar o leite líquido vencido (que simplesmente cai em um reservatório sob os paletes); o leite coletado é pasteurizado, resfriado a 36 graus e enviado a granel para os criadouros de bezerros para ser fornecido diretame"&amp;"nte aos bezerros na forma líquida. Manter as áreas de armazenamento de equipamentos para garantir a proteção do estoque. Ocupações relacionadas: Ler ordens de serviço ou receber instruções verbais para determinar as tarefas, materiais ou equipamentos nece"&amp;"ssários. Ocupações relacionadas: Movimentar cargas, estoques ou outros materiais de e para áreas de armazenamento ou produção, docas de carga, veículos de entrega, navios ou contêineres, manualmente ou utilizando caminhões, tratores ou outros equipamentos"&amp;". Ocupações relacionadas: Instalar dispositivos de proteção, como escoras, acolchoamento ou cintas, para evitar deslocamento ou danos aos itens transportados. Ocupações relacionadas: Classificar a carga antes do carregamento e descarregamento. Classificaç"&amp;"ão da função: 53-7051.00 - Operadores de Caminhões e Tratores Industriais. A classificação e descrição da função/indústria incluem informações gerais sobre o cargo, de acordo com o ONET/OES e o Sistema de Classificação Industrial da América do Norte (NAIC"&amp;"S). Consulte as Funções e a Ordem de Serviço para obter mais informações. Requisitos da vaga: Experiência necessária: Não. Número de horas por semana: 40. Horário de trabalho (início/término): 7h às 16h.")</f>
        <v>***Resposta à Solicitação de Informações*** Os homens levantam fisicamente os paletes de caixas de leite vencidas e as colocam na máquina de perfuração, acionando a alavanca hidráulica da máquina para perfurar os galões de leite e permitir que o leite se acumule na máquina. Essas tarefas NÃO estão relacionadas à pasteurização. O trabalhador NÃO enviará o leite. ***Original*** Os trabalhadores usam empilhadeiras e paleteiras para mover paletes de produtos lácteos vencidos em galões até máquinas que desembalam/abrem/perfuram os galões para coletar o leite líquido vencido (que simplesmente cai em um reservatório sob os paletes); o leite coletado é pasteurizado, resfriado a 36 graus e enviado a granel para os criadouros de bezerros para ser fornecido diretamente aos bezerros na forma líquida. Manter as áreas de armazenamento de equipamentos para garantir a proteção do estoque. Ocupações relacionadas: Ler ordens de serviço ou receber instruções verbais para determinar as tarefas, materiais ou equipamentos necessários. Ocupações relacionadas: Movimentar cargas, estoques ou outros materiais de e para áreas de armazenamento ou produção, docas de carga, veículos de entrega, navios ou contêineres, manualmente ou utilizando caminhões, tratores ou outros equipamentos. Ocupações relacionadas: Instalar dispositivos de proteção, como escoras, acolchoamento ou cintas, para evitar deslocamento ou danos aos itens transportados. Ocupações relacionadas: Classificar a carga antes do carregamento e descarregamento. Classificação da função: 53-7051.00 - Operadores de Caminhões e Tratores Industriais. A classificação e descrição da função/indústria incluem informações gerais sobre o cargo, de acordo com o ONET/OES e o Sistema de Classificação Industrial da América do Norte (NAICS). Consulte as Funções e a Ordem de Serviço para obter mais informações. Requisitos da vaga: Experiência necessária: Não. Número de horas por semana: 40. Horário de trabalho (início/término): 7h às 16h.</v>
      </c>
    </row>
    <row r="2532" ht="20.25" customHeight="1">
      <c r="A2532" s="3" t="s">
        <v>10973</v>
      </c>
      <c r="B2532" s="3" t="s">
        <v>10974</v>
      </c>
      <c r="C2532" s="3" t="s">
        <v>10726</v>
      </c>
      <c r="D2532" s="3" t="s">
        <v>254</v>
      </c>
      <c r="E2532" s="4" t="s">
        <v>19</v>
      </c>
      <c r="F2532" s="4" t="s">
        <v>20</v>
      </c>
      <c r="G2532" s="4" t="s">
        <v>4629</v>
      </c>
      <c r="H2532" s="3" t="s">
        <v>10975</v>
      </c>
      <c r="I2532" s="3" t="s">
        <v>10976</v>
      </c>
      <c r="J2532" s="4">
        <v>15.8</v>
      </c>
      <c r="K2532" s="4">
        <v>6.0</v>
      </c>
      <c r="L2532" s="3" t="s">
        <v>4517</v>
      </c>
      <c r="M2532" s="3" t="s">
        <v>10977</v>
      </c>
      <c r="N2532" s="7" t="str">
        <f>IFERROR(__xludf.DUMMYFUNCTION("GOOGLETRANSLATE(L2532, ""en"", ""pt"")"),"tratador de estábulo")</f>
        <v>tratador de estábulo</v>
      </c>
      <c r="O2532" s="7" t="str">
        <f>IFERROR(__xludf.DUMMYFUNCTION("IF(M2532="""","""",GOOGLETRANSLATE(M2532,""en"",""pt""))"),"Cuidar de cavalos vivos. As tarefas incluem alimentar, dar água, banhar, exercitar, passear e embarcar os cavalos. Limpar e manter as baias. Trabalho em turnos divididos. Área de descanso fornecida. Classificação da vaga: 39-2021.00 - Cuidadores de Animai"&amp;"s. A classificação e descrição da vaga/setor inclui informações gerais sobre o cargo, de acordo com o ONET/OES e o Sistema de Classificação Industrial da América do Norte. Consulte as Funções e a Ordem de Serviço para obter mais informações. Requisitos da"&amp;" vaga: Experiência necessária: Não. Requisitos especiais: Disposição para trabalhar com cavalos vivos. O empregador oferecerá pelo menos 40 horas de trabalho por semana, de domingo a sábado, entre 6h e 11h e entre 14h e 16h, com folgas variáveis. Número d"&amp;"e horas por semana: 40. Horário de trabalho (início/término): 6h às 16h.")</f>
        <v>Cuidar de cavalos vivos. As tarefas incluem alimentar, dar água, banhar, exercitar, passear e embarcar os cavalos. Limpar e manter as baias. Trabalho em turnos divididos. Área de descanso fornecida. Classificação da vaga: 39-2021.00 - Cuidadores de Animais. A classificação e descrição da vaga/setor inclui informações gerais sobre o cargo, de acordo com o ONET/OES e o Sistema de Classificação Industrial da América do Norte. Consulte as Funções e a Ordem de Serviço para obter mais informações. Requisitos da vaga: Experiência necessária: Não. Requisitos especiais: Disposição para trabalhar com cavalos vivos. O empregador oferecerá pelo menos 40 horas de trabalho por semana, de domingo a sábado, entre 6h e 11h e entre 14h e 16h, com folgas variáveis. Número de horas por semana: 40. Horário de trabalho (início/término): 6h às 16h.</v>
      </c>
    </row>
    <row r="2533" ht="20.25" customHeight="1">
      <c r="A2533" s="8" t="s">
        <v>10978</v>
      </c>
      <c r="B2533" s="8" t="s">
        <v>10979</v>
      </c>
      <c r="C2533" s="8" t="s">
        <v>10861</v>
      </c>
      <c r="D2533" s="8" t="s">
        <v>795</v>
      </c>
      <c r="E2533" s="9" t="s">
        <v>44</v>
      </c>
      <c r="F2533" s="9" t="s">
        <v>20</v>
      </c>
      <c r="G2533" s="9" t="s">
        <v>524</v>
      </c>
      <c r="H2533" s="8" t="s">
        <v>10980</v>
      </c>
      <c r="I2533" s="8" t="s">
        <v>10981</v>
      </c>
      <c r="J2533" s="9">
        <v>33.51</v>
      </c>
      <c r="K2533" s="9">
        <v>13.0</v>
      </c>
      <c r="L2533" s="8" t="s">
        <v>10982</v>
      </c>
      <c r="M2533" s="8" t="s">
        <v>10983</v>
      </c>
      <c r="N2533" s="7" t="str">
        <f>IFERROR(__xludf.DUMMYFUNCTION("GOOGLETRANSLATE(L2533, ""en"", ""pt"")"),"Carpinteiro / Técnico de Fabricação de Exposições")</f>
        <v>Carpinteiro / Técnico de Fabricação de Exposições</v>
      </c>
      <c r="O2533" s="7" t="str">
        <f>IFERROR(__xludf.DUMMYFUNCTION("IF(M2533="""","""",GOOGLETRANSLATE(M2533,""en"",""pt""))"),"Responsável pela fabricação, montagem e preparação de componentes personalizados para estandes de exposição e estruturas de madeira. As funções incluem operar ferramentas e equipamentos de marcenaria, preparar materiais, montar estruturas de estandes, car"&amp;"regar e descarregar materiais e auxiliar nas atividades de instalação e desmontagem em locais de feiras comerciais. Pode auxiliar na montagem, reparos, organização e coordenação de componentes de estandes durante as exposições. Classificação da vaga: 47-2"&amp;"031.00 - Carpinteiros. A classificação e descrição da vaga/setor incluem informações gerais sobre o cargo, de acordo com o ONET/OES e o Sistema de Classificação Industrial da América do Norte (NAICS). Consulte as Funções e a Ordem de Serviço para obter ma"&amp;"is informações. Requisitos da vaga: Experiência necessária: Sim. Meses de experiência necessários: 12. Número de horas por semana: 40. Horário de trabalho (início/término): 9h às 17h.")</f>
        <v>Responsável pela fabricação, montagem e preparação de componentes personalizados para estandes de exposição e estruturas de madeira. As funções incluem operar ferramentas e equipamentos de marcenaria, preparar materiais, montar estruturas de estandes, carregar e descarregar materiais e auxiliar nas atividades de instalação e desmontagem em locais de feiras comerciais. Pode auxiliar na montagem, reparos, organização e coordenação de componentes de estandes durante as exposições. Classificação da vaga: 47-2031.00 - Carpinteiros. A classificação e descrição da vaga/setor incluem informações gerais sobre o cargo, de acordo com o ONET/OES e o Sistema de Classificação Industrial da América do Norte (NAICS). Consulte as Funções e a Ordem de Serviço para obter mais informações. Requisitos da vaga: Experiência necessária: Sim. Meses de experiência necessários: 12. Número de horas por semana: 40. Horário de trabalho (início/término): 9h às 17h.</v>
      </c>
    </row>
    <row r="2534" ht="20.25" customHeight="1">
      <c r="A2534" s="3" t="s">
        <v>10984</v>
      </c>
      <c r="B2534" s="3" t="s">
        <v>10816</v>
      </c>
      <c r="C2534" s="3" t="s">
        <v>8981</v>
      </c>
      <c r="D2534" s="3" t="s">
        <v>71</v>
      </c>
      <c r="E2534" s="4" t="s">
        <v>44</v>
      </c>
      <c r="F2534" s="4" t="s">
        <v>20</v>
      </c>
      <c r="G2534" s="4" t="s">
        <v>524</v>
      </c>
      <c r="H2534" s="3" t="s">
        <v>10817</v>
      </c>
      <c r="I2534" s="3" t="s">
        <v>10818</v>
      </c>
      <c r="J2534" s="4">
        <v>18.5</v>
      </c>
      <c r="K2534" s="4">
        <v>14.0</v>
      </c>
      <c r="L2534" s="3" t="s">
        <v>586</v>
      </c>
      <c r="M2534" s="3" t="s">
        <v>10985</v>
      </c>
      <c r="N2534" s="7" t="str">
        <f>IFERROR(__xludf.DUMMYFUNCTION("GOOGLETRANSLATE(L2534, ""en"", ""pt"")"),"Cozinheiro de linha")</f>
        <v>Cozinheiro de linha</v>
      </c>
      <c r="O2534" s="7" t="str">
        <f>IFERROR(__xludf.DUMMYFUNCTION("IF(M2534="""","""",GOOGLETRANSLATE(M2534,""en"",""pt""))"),"Prepara, tempera e cozinha sopas, carnes, legumes, frutas, sobremesas e outros alimentos diversos para consumo; observa as diretrizes da receita e os procedimentos de higiene. *Continuação da Seção F.a.5 abaixo: 40 horas semanais. Os turnos serão de 8 hor"&amp;"as e podem variar conforme a necessidade, de acordo com o anúncio da vaga na Agência Estadual de Força de Trabalho e em outras fontes de anúncios de vagas H-2B, conforme os requisitos de recrutamento dos empregadores para trabalhadores em potencial no âmb"&amp;"ito do programa H-2B. Turnos variáveis ​​ao longo de 7 dias da semana. Os turnos podem variar: das 6h às 23h. Classificação da vaga: 35-2014.00 - Cozinheiros, Restaurante. A classificação e a descrição da vaga/setor incluem informações gerais sobre o carg"&amp;"o, de acordo com o ONET/OES e o Sistema de Classificação Industrial da América do Norte. Consulte as Funções e a Ordem de Serviço para obter mais informações. Requisitos da vaga: Experiência necessária: Não. Requisitos especiais: Capacidade de se comunica"&amp;"r em inglês. Número de horas por semana: 40. Horário de trabalho (início/término): 6h. - 23:00")</f>
        <v>Prepara, tempera e cozinha sopas, carnes, legumes, frutas, sobremesas e outros alimentos diversos para consumo; observa as diretrizes da receita e os procedimentos de higiene. *Continuação da Seção F.a.5 abaixo: 40 horas semanais. Os turnos serão de 8 horas e podem variar conforme a necessidade, de acordo com o anúncio da vaga na Agência Estadual de Força de Trabalho e em outras fontes de anúncios de vagas H-2B, conforme os requisitos de recrutamento dos empregadores para trabalhadores em potencial no âmbito do programa H-2B. Turnos variáveis ​​ao longo de 7 dias da semana. Os turnos podem variar: das 6h às 23h. Classificação da vaga: 35-2014.00 - Cozinheiros, Restaurante. A classificação e a descrição da vaga/setor incluem informações gerais sobre o cargo, de acordo com o ONET/OES e o Sistema de Classificação Industrial da América do Norte. Consulte as Funções e a Ordem de Serviço para obter mais informações. Requisitos da vaga: Experiência necessária: Não. Requisitos especiais: Capacidade de se comunicar em inglês. Número de horas por semana: 40. Horário de trabalho (início/término): 6h. - 23:00</v>
      </c>
    </row>
    <row r="2535" ht="20.25" customHeight="1">
      <c r="A2535" s="8" t="s">
        <v>10986</v>
      </c>
      <c r="B2535" s="8" t="s">
        <v>10825</v>
      </c>
      <c r="C2535" s="8" t="s">
        <v>8981</v>
      </c>
      <c r="D2535" s="8" t="s">
        <v>71</v>
      </c>
      <c r="E2535" s="9" t="s">
        <v>19</v>
      </c>
      <c r="F2535" s="9" t="s">
        <v>20</v>
      </c>
      <c r="G2535" s="9" t="s">
        <v>524</v>
      </c>
      <c r="H2535" s="8" t="s">
        <v>10826</v>
      </c>
      <c r="I2535" s="8" t="s">
        <v>10827</v>
      </c>
      <c r="J2535" s="9">
        <v>16.0</v>
      </c>
      <c r="K2535" s="9">
        <v>1.0</v>
      </c>
      <c r="L2535" s="8" t="s">
        <v>527</v>
      </c>
      <c r="M2535" s="8" t="s">
        <v>10987</v>
      </c>
      <c r="N2535" s="7" t="str">
        <f>IFERROR(__xludf.DUMMYFUNCTION("GOOGLETRANSLATE(L2535, ""en"", ""pt"")"),"máquina de lavar louça")</f>
        <v>máquina de lavar louça</v>
      </c>
      <c r="O2535" s="7" t="str">
        <f>IFERROR(__xludf.DUMMYFUNCTION("IF(M2535="""","""",GOOGLETRANSLATE(M2535,""en"",""pt""))"),"Lavar pratos, copos, talheres, panelas, frigideiras e outros utensílios à mão ou na máquina de lavar louça. Manter as áreas de trabalho e os equipamentos da cozinha organizados. Retirar o lixo, passar pano, limpar, carregar e descarregar suprimentos. *Con"&amp;"tinuação da Seção F.a.5 abaixo: 40 horas semanais. Os turnos serão de 8 horas e podem variar conforme a necessidade, de acordo com o anúncio da vaga na Agência Estadual de Força de Trabalho e em outras fontes de anúncios de vagas H-2B, conforme os requisi"&amp;"tos de recrutamento dos empregadores para trabalhadores em potencial no âmbito do programa H-2B. Turnos variáveis ​​ao longo de 7 dias da semana. Os turnos podem variar: das 6h às 23h. Classificação da vaga: 35-9021.00 - Lavadores de Louça. A classificaçã"&amp;"o e a descrição da vaga/setor incluem informações gerais sobre o cargo, conforme o ONET/OES e o Sistema de Classificação Industrial da América do Norte. Consulte as Funções e a Ordem de Serviço para obter mais informações. Requisitos da vaga Experiência e"&amp;"xigida: Não Requisitos especiais: O EMPREGADOR EXIGE QUE A VERIFICAÇÃO DE ANTECEDENTES CRIMINAIS PRÉ-ADMISSÃO E O TESTE DE DROGAS PÓS-ADMISSÃO SEJAM REALIZADOS IGUALMENTE PARA OS TRABALHADORES AMERICANOS E PARA OS TRABALHADORES COM VISTO H-2B. Capacidade "&amp;"de se comunicar em inglês. Número de horas por semana: 40 Horário de trabalho (início/término): 6h às 23h")</f>
        <v>Lavar pratos, copos, talheres, panelas, frigideiras e outros utensílios à mão ou na máquina de lavar louça. Manter as áreas de trabalho e os equipamentos da cozinha organizados. Retirar o lixo, passar pano, limpar, carregar e descarregar suprimentos. *Continuação da Seção F.a.5 abaixo: 40 horas semanais. Os turnos serão de 8 horas e podem variar conforme a necessidade, de acordo com o anúncio da vaga na Agência Estadual de Força de Trabalho e em outras fontes de anúncios de vagas H-2B, conforme os requisitos de recrutamento dos empregadores para trabalhadores em potencial no âmbito do programa H-2B. Turnos variáveis ​​ao longo de 7 dias da semana. Os turnos podem variar: das 6h às 23h. Classificação da vaga: 35-9021.00 - Lavadores de Louça. A classificação e a descrição da vaga/setor incluem informações gerais sobre o cargo, conforme o ONET/OES e o Sistema de Classificação Industrial da América do Norte. Consulte as Funções e a Ordem de Serviço para obter mais informações. Requisitos da vaga Experiência exigida: Não Requisitos especiais: O EMPREGADOR EXIGE QUE A VERIFICAÇÃO DE ANTECEDENTES CRIMINAIS PRÉ-ADMISSÃO E O TESTE DE DROGAS PÓS-ADMISSÃO SEJAM REALIZADOS IGUALMENTE PARA OS TRABALHADORES AMERICANOS E PARA OS TRABALHADORES COM VISTO H-2B. Capacidade de se comunicar em inglês. Número de horas por semana: 40 Horário de trabalho (início/término): 6h às 23h</v>
      </c>
    </row>
    <row r="2536" ht="20.25" customHeight="1">
      <c r="A2536" s="3" t="s">
        <v>10988</v>
      </c>
      <c r="B2536" s="3" t="s">
        <v>10825</v>
      </c>
      <c r="C2536" s="3" t="s">
        <v>8981</v>
      </c>
      <c r="D2536" s="3" t="s">
        <v>71</v>
      </c>
      <c r="E2536" s="4" t="s">
        <v>19</v>
      </c>
      <c r="F2536" s="4" t="s">
        <v>20</v>
      </c>
      <c r="G2536" s="4" t="s">
        <v>524</v>
      </c>
      <c r="H2536" s="3" t="s">
        <v>10826</v>
      </c>
      <c r="I2536" s="3" t="s">
        <v>10827</v>
      </c>
      <c r="J2536" s="4">
        <v>18.0</v>
      </c>
      <c r="K2536" s="4">
        <v>16.0</v>
      </c>
      <c r="L2536" s="3" t="s">
        <v>586</v>
      </c>
      <c r="M2536" s="3" t="s">
        <v>10429</v>
      </c>
      <c r="N2536" s="7" t="str">
        <f>IFERROR(__xludf.DUMMYFUNCTION("GOOGLETRANSLATE(L2536, ""en"", ""pt"")"),"Cozinheiro de linha")</f>
        <v>Cozinheiro de linha</v>
      </c>
      <c r="O2536" s="7" t="str">
        <f>IFERROR(__xludf.DUMMYFUNCTION("IF(M2536="""","""",GOOGLETRANSLATE(M2536,""en"",""pt""))"),"Prepara, tempera e cozinha sopas, carnes, legumes, frutas, sobremesas e outros alimentos diversos para consumo; observa as diretrizes da receita e os procedimentos de higiene. *Continuação da Seção F.a.5 abaixo: 40 horas semanais. Os turnos serão de 8 hor"&amp;"as e podem variar conforme a necessidade, de acordo com o anúncio da vaga na Agência Estadual de Força de Trabalho e em outras fontes de anúncios de vagas H-2B, conforme os requisitos de recrutamento dos empregadores para trabalhadores em potencial no âmb"&amp;"ito do programa H-2B. Turnos variáveis ​​ao longo de 7 dias da semana. Os turnos podem variar: das 6h às 23h. Classificação da vaga: 35-2014.00 - Cozinheiros, Restaurante. A classificação e a descrição da vaga/setor incluem informações gerais sobre o carg"&amp;"o, de acordo com o ONET/OES e o Sistema de Classificação Industrial da América do Norte. Consulte as Funções e a Ordem de Serviço para obter mais informações. Requisitos da vaga Experiência exigida: Não Requisitos especiais: O EMPREGADOR EXIGE QUE A VERIF"&amp;"ICAÇÃO DE ANTECEDENTES CRIMINAIS PRÉ-ADMISSÃO E O TESTE DE DROGAS PÓS-ADMISSÃO SEJAM REALIZADOS IGUALMENTE PARA OS TRABALHADORES AMERICANOS E PARA OS TRABALHADORES COM VISTO H-2B. Capacidade de se comunicar em inglês. Número de horas por semana: 40 Horári"&amp;"o de trabalho (início/término): 6h às 23h")</f>
        <v>Prepara, tempera e cozinha sopas, carnes, legumes, frutas, sobremesas e outros alimentos diversos para consumo; observa as diretrizes da receita e os procedimentos de higiene. *Continuação da Seção F.a.5 abaixo: 40 horas semanais. Os turnos serão de 8 horas e podem variar conforme a necessidade, de acordo com o anúncio da vaga na Agência Estadual de Força de Trabalho e em outras fontes de anúncios de vagas H-2B, conforme os requisitos de recrutamento dos empregadores para trabalhadores em potencial no âmbito do programa H-2B. Turnos variáveis ​​ao longo de 7 dias da semana. Os turnos podem variar: das 6h às 23h. Classificação da vaga: 35-2014.00 - Cozinheiros, Restaurante. A classificação e a descrição da vaga/setor incluem informações gerais sobre o cargo, de acordo com o ONET/OES e o Sistema de Classificação Industrial da América do Norte. Consulte as Funções e a Ordem de Serviço para obter mais informações. Requisitos da vaga Experiência exigida: Não Requisitos especiais: O EMPREGADOR EXIGE QUE A VERIFICAÇÃO DE ANTECEDENTES CRIMINAIS PRÉ-ADMISSÃO E O TESTE DE DROGAS PÓS-ADMISSÃO SEJAM REALIZADOS IGUALMENTE PARA OS TRABALHADORES AMERICANOS E PARA OS TRABALHADORES COM VISTO H-2B. Capacidade de se comunicar em inglês. Número de horas por semana: 40 Horário de trabalho (início/término): 6h às 23h</v>
      </c>
    </row>
    <row r="2537" ht="20.25" customHeight="1">
      <c r="A2537" s="8" t="s">
        <v>10989</v>
      </c>
      <c r="B2537" s="8" t="s">
        <v>10825</v>
      </c>
      <c r="C2537" s="8" t="s">
        <v>8981</v>
      </c>
      <c r="D2537" s="8" t="s">
        <v>71</v>
      </c>
      <c r="E2537" s="9" t="s">
        <v>44</v>
      </c>
      <c r="F2537" s="9" t="s">
        <v>20</v>
      </c>
      <c r="G2537" s="9" t="s">
        <v>524</v>
      </c>
      <c r="H2537" s="8" t="s">
        <v>10826</v>
      </c>
      <c r="I2537" s="8" t="s">
        <v>10827</v>
      </c>
      <c r="J2537" s="9">
        <v>16.0</v>
      </c>
      <c r="K2537" s="9">
        <v>3.0</v>
      </c>
      <c r="L2537" s="8" t="s">
        <v>5135</v>
      </c>
      <c r="M2537" s="8" t="s">
        <v>10990</v>
      </c>
      <c r="N2537" s="7" t="str">
        <f>IFERROR(__xludf.DUMMYFUNCTION("GOOGLETRANSLATE(L2537, ""en"", ""pt"")"),"Assistente de Garçom")</f>
        <v>Assistente de Garçom</v>
      </c>
      <c r="O2537" s="7" t="str">
        <f>IFERROR(__xludf.DUMMYFUNCTION("IF(M2537="""","""",GOOGLETRANSLATE(M2537,""en"",""pt""))"),"Auxiliar os garçons levando bebidas às mesas, reabastecendo os copos, recolhendo talheres/louças usados; limpar as áreas de serviço e os equipamentos; abastecer todos os utensílios e equipamentos necessários para o serviço. *Continuação da Seção F.a.5 aba"&amp;"ixo: 40 horas semanais. Os turnos serão de 8 horas e podem variar conforme a necessidade, de acordo com o anúncio da vaga na Agência Estadual de Força de Trabalho e em outras fontes de anúncios de vagas H-2B, conforme os requisitos de recrutamento dos emp"&amp;"regadores para trabalhadores em potencial no âmbito do programa H-2B. Turnos variáveis ​​ao longo de 7 dias da semana. Os turnos podem variar: das 6h às 23h. Classificação do Cargo: 35-9011.00 - Atendentes de Salão de Jantar e Cafeteria e Auxiliares de Ba"&amp;"rman. A classificação e descrição do cargo/setor incluem informações gerais sobre a posição, de acordo com o ONET/OES e o Sistema de Classificação Industrial da América do Norte. Consulte as Funções e a Ordem de Serviço para obter mais informações. Requis"&amp;"itos da vaga Experiência exigida: Não Requisitos especiais: O EMPREGADOR EXIGE QUE A VERIFICAÇÃO DE ANTECEDENTES CRIMINAIS PRÉ-ADMISSÃO E O TESTE DE DROGAS PÓS-ADMISSÃO SEJAM REALIZADOS IGUALMENTE PARA OS TRABALHADORES AMERICANOS E PARA OS TRABALHADORES C"&amp;"OM VISTO H-2B. Capacidade de se comunicar em inglês. Número de horas por semana: 40 Horário de trabalho (início/término): 6h às 23h")</f>
        <v>Auxiliar os garçons levando bebidas às mesas, reabastecendo os copos, recolhendo talheres/louças usados; limpar as áreas de serviço e os equipamentos; abastecer todos os utensílios e equipamentos necessários para o serviço. *Continuação da Seção F.a.5 abaixo: 40 horas semanais. Os turnos serão de 8 horas e podem variar conforme a necessidade, de acordo com o anúncio da vaga na Agência Estadual de Força de Trabalho e em outras fontes de anúncios de vagas H-2B, conforme os requisitos de recrutamento dos empregadores para trabalhadores em potencial no âmbito do programa H-2B. Turnos variáveis ​​ao longo de 7 dias da semana. Os turnos podem variar: das 6h às 23h. Classificação do Cargo: 35-9011.00 - Atendentes de Salão de Jantar e Cafeteria e Auxiliares de Barman. A classificação e descrição do cargo/setor incluem informações gerais sobre a posição, de acordo com o ONET/OES e o Sistema de Classificação Industrial da América do Norte. Consulte as Funções e a Ordem de Serviço para obter mais informações. Requisitos da vaga Experiência exigida: Não Requisitos especiais: O EMPREGADOR EXIGE QUE A VERIFICAÇÃO DE ANTECEDENTES CRIMINAIS PRÉ-ADMISSÃO E O TESTE DE DROGAS PÓS-ADMISSÃO SEJAM REALIZADOS IGUALMENTE PARA OS TRABALHADORES AMERICANOS E PARA OS TRABALHADORES COM VISTO H-2B. Capacidade de se comunicar em inglês. Número de horas por semana: 40 Horário de trabalho (início/término): 6h às 23h</v>
      </c>
    </row>
    <row r="2538" ht="20.25" customHeight="1">
      <c r="A2538" s="3" t="s">
        <v>10991</v>
      </c>
      <c r="B2538" s="3" t="s">
        <v>10992</v>
      </c>
      <c r="C2538" s="3" t="s">
        <v>8981</v>
      </c>
      <c r="D2538" s="3" t="s">
        <v>71</v>
      </c>
      <c r="E2538" s="4" t="s">
        <v>19</v>
      </c>
      <c r="F2538" s="4" t="s">
        <v>20</v>
      </c>
      <c r="G2538" s="4" t="s">
        <v>524</v>
      </c>
      <c r="H2538" s="3" t="s">
        <v>10993</v>
      </c>
      <c r="I2538" s="3" t="s">
        <v>10994</v>
      </c>
      <c r="J2538" s="4">
        <v>19.0</v>
      </c>
      <c r="K2538" s="4">
        <v>49.0</v>
      </c>
      <c r="L2538" s="3" t="s">
        <v>1206</v>
      </c>
      <c r="M2538" s="3" t="s">
        <v>9576</v>
      </c>
      <c r="N2538" s="7" t="str">
        <f>IFERROR(__xludf.DUMMYFUNCTION("GOOGLETRANSLATE(L2538, ""en"", ""pt"")"),"Servidor")</f>
        <v>Servidor</v>
      </c>
      <c r="O2538" s="7" t="str">
        <f>IFERROR(__xludf.DUMMYFUNCTION("IF(M2538="""","""",GOOGLETRANSLATE(M2538,""en"",""pt""))"),"Receber e servir pedidos de comida e bebida; realizar a montagem e desmontagem de mesas e outras atividades diversas; poderá ser necessário trabalhar em ambientes externos e em eventos de banquetes; poderá ser necessário servir clientes utilizando carrinh"&amp;"o de golfe. *Continuação da Seção F.a.5 abaixo: 40 horas semanais. Os turnos serão de 8 horas e poderão variar conforme a necessidade, de acordo com o anúncio da vaga na Agência Estadual de Força de Trabalho e em outras fontes de anúncios de vagas H-2B, c"&amp;"onforme os requisitos de recrutamento dos empregadores para trabalhadores em potencial no âmbito do programa H-2B. Turnos variáveis ​​ao longo de 7 dias da semana. Os turnos podem variar: das 6h às 23h. Classificação da vaga: 35-3031.00 - Garçons e Garçon"&amp;"etes. A classificação e descrição da vaga/setor inclui informações gerais sobre o cargo, provenientes do ONET/OES e do Sistema de Classificação Industrial da América do Norte. Consulte as Funções e a Ordem de Serviço para obter mais informações. Requisito"&amp;"s da vaga Experiência exigida: Não Requisitos especiais: O EMPREGADOR EXIGE QUE A VERIFICAÇÃO DE ANTECEDENTES CRIMINAIS PRÉ-ADMISSÃO E O TESTE DE DROGAS PÓS-ADMISSÃO SEJAM REALIZADOS IGUALMENTE PARA OS TRABALHADORES AMERICANOS E PARA OS TRABALHADORES COM "&amp;"VISTO H-2B. Capacidade de se comunicar em inglês. Número de horas por semana: 40 Horário de trabalho (início/término): 6h às 23h")</f>
        <v>Receber e servir pedidos de comida e bebida; realizar a montagem e desmontagem de mesas e outras atividades diversas; poderá ser necessário trabalhar em ambientes externos e em eventos de banquetes; poderá ser necessário servir clientes utilizando carrinho de golfe. *Continuação da Seção F.a.5 abaixo: 40 horas semanais. Os turnos serão de 8 horas e poderão variar conforme a necessidade, de acordo com o anúncio da vaga na Agência Estadual de Força de Trabalho e em outras fontes de anúncios de vagas H-2B, conforme os requisitos de recrutamento dos empregadores para trabalhadores em potencial no âmbito do programa H-2B. Turnos variáveis ​​ao longo de 7 dias da semana. Os turnos podem variar: das 6h às 23h. Classificação da vaga: 35-3031.00 - Garçons e Garçonetes. A classificação e descrição da vaga/setor inclui informações gerais sobre o cargo, provenientes do ONET/OES e do Sistema de Classificação Industrial da América do Norte. Consulte as Funções e a Ordem de Serviço para obter mais informações. Requisitos da vaga Experiência exigida: Não Requisitos especiais: O EMPREGADOR EXIGE QUE A VERIFICAÇÃO DE ANTECEDENTES CRIMINAIS PRÉ-ADMISSÃO E O TESTE DE DROGAS PÓS-ADMISSÃO SEJAM REALIZADOS IGUALMENTE PARA OS TRABALHADORES AMERICANOS E PARA OS TRABALHADORES COM VISTO H-2B. Capacidade de se comunicar em inglês. Número de horas por semana: 40 Horário de trabalho (início/término): 6h às 23h</v>
      </c>
    </row>
    <row r="2539" ht="20.25" customHeight="1">
      <c r="A2539" s="8" t="s">
        <v>10995</v>
      </c>
      <c r="B2539" s="8" t="s">
        <v>10992</v>
      </c>
      <c r="C2539" s="8" t="s">
        <v>8981</v>
      </c>
      <c r="D2539" s="8" t="s">
        <v>71</v>
      </c>
      <c r="E2539" s="9" t="s">
        <v>19</v>
      </c>
      <c r="F2539" s="9" t="s">
        <v>20</v>
      </c>
      <c r="G2539" s="9" t="s">
        <v>524</v>
      </c>
      <c r="H2539" s="8" t="s">
        <v>10993</v>
      </c>
      <c r="I2539" s="8" t="s">
        <v>10994</v>
      </c>
      <c r="J2539" s="9">
        <v>22.56</v>
      </c>
      <c r="K2539" s="9">
        <v>4.0</v>
      </c>
      <c r="L2539" s="8" t="s">
        <v>10996</v>
      </c>
      <c r="M2539" s="8" t="s">
        <v>9578</v>
      </c>
      <c r="N2539" s="7" t="str">
        <f>IFERROR(__xludf.DUMMYFUNCTION("GOOGLETRANSLATE(L2539, ""en"", ""pt"")"),"Garçom Sênior")</f>
        <v>Garçom Sênior</v>
      </c>
      <c r="O2539" s="7" t="str">
        <f>IFERROR(__xludf.DUMMYFUNCTION("IF(M2539="""","""",GOOGLETRANSLATE(M2539,""en"",""pt""))"),"Receber e servir pedidos de comida e bebida; realizar atividades de montagem e desmontagem de mesas e outros eventos; pode ser necessário trabalhar em ambientes externos e em banquetes; pode ser necessário servir clientes em carrinhos de golfe; supervisio"&amp;"nar a equipe de serviço durante a montagem; treinar novos garçons; construir e manter um bom relacionamento com os membros do clube; ser um exemplo a ser seguido e garantir que a equipe de serviço do clube ofereça o mais alto nível de atendimento. *Contin"&amp;"uação da Seção F.a.5 abaixo: 40 horas semanais. Os turnos serão de 8 horas e podem variar conforme a necessidade, de acordo com o anúncio de vaga da Agência Estadual de Força de Trabalho e outras fontes de anúncios de emprego H-2B, conforme os requisitos "&amp;"de recrutamento dos empregadores para trabalhadores em potencial no âmbito do programa H-2B. Turnos variáveis ​​ao longo de 7 dias da semana. Os turnos podem variar das 6h às 23h. Classificação da Função: 35-1012.00 - Supervisores de Primeira Linha de Pre"&amp;"paradores e Servidores de Alimentos. A classificação e descrição da função/setor inclui informações gerais sobre o cargo, conforme o ONET/OES e o Sistema de Classificação Industrial da América do Norte (NAICS). Consulte as Funções e a Ordem de Serviço par"&amp;"a obter mais informações. Requisitos da Função Experiência Necessária: Sim Meses de Experiência Necessários: 6 Requisitos Especiais: O EMPREGADOR EXIGE A VERIFICAÇÃO DE ANTECEDENTES CRIMINAIS PRÉ-ADMISSÃO E O TESTE DE DROGAS PÓS-ADMISSÃO, IGUALMENTE PARA "&amp;"TRABALHADORES AMERICANOS E TRABALHADORES COM VISTO H-2B. Habilidade de se comunicar em inglês. Os 6 meses de experiência exigidos no Quadro F.A.9 referem-se a 6 meses de experiência como garçom/garçonete ou garçom/garçonete sênior em um ambiente de hotela"&amp;"ria. Número de horas por semana: 40 Horário de trabalho (início/término): 6h00 - 23h00")</f>
        <v>Receber e servir pedidos de comida e bebida; realizar atividades de montagem e desmontagem de mesas e outros eventos; pode ser necessário trabalhar em ambientes externos e em banquetes; pode ser necessário servir clientes em carrinhos de golfe; supervisionar a equipe de serviço durante a montagem; treinar novos garçons; construir e manter um bom relacionamento com os membros do clube; ser um exemplo a ser seguido e garantir que a equipe de serviço do clube ofereça o mais alto nível de atendimento. *Continuação da Seção F.a.5 abaixo: 40 horas semanais. Os turnos serão de 8 horas e podem variar conforme a necessidade, de acordo com o anúncio de vaga da Agência Estadual de Força de Trabalho e outras fontes de anúncios de emprego H-2B, conforme os requisitos de recrutamento dos empregadores para trabalhadores em potencial no âmbito do programa H-2B. Turnos variáveis ​​ao longo de 7 dias da semana. Os turnos podem variar das 6h às 23h. Classificação da Função: 35-1012.00 - Supervisores de Primeira Linha de Preparadores e Servidores de Alimentos. A classificação e descrição da função/setor inclui informações gerais sobre o cargo, conforme o ONET/OES e o Sistema de Classificação Industrial da América do Norte (NAICS). Consulte as Funções e a Ordem de Serviço para obter mais informações. Requisitos da Função Experiência Necessária: Sim Meses de Experiência Necessários: 6 Requisitos Especiais: O EMPREGADOR EXIGE A VERIFICAÇÃO DE ANTECEDENTES CRIMINAIS PRÉ-ADMISSÃO E O TESTE DE DROGAS PÓS-ADMISSÃO, IGUALMENTE PARA TRABALHADORES AMERICANOS E TRABALHADORES COM VISTO H-2B. Habilidade de se comunicar em inglês. Os 6 meses de experiência exigidos no Quadro F.A.9 referem-se a 6 meses de experiência como garçom/garçonete ou garçom/garçonete sênior em um ambiente de hotelaria. Número de horas por semana: 40 Horário de trabalho (início/término): 6h00 - 23h00</v>
      </c>
    </row>
    <row r="2540" ht="20.25" customHeight="1">
      <c r="A2540" s="3" t="s">
        <v>10997</v>
      </c>
      <c r="B2540" s="3" t="s">
        <v>10992</v>
      </c>
      <c r="C2540" s="3" t="s">
        <v>8981</v>
      </c>
      <c r="D2540" s="3" t="s">
        <v>71</v>
      </c>
      <c r="E2540" s="4" t="s">
        <v>19</v>
      </c>
      <c r="F2540" s="4" t="s">
        <v>20</v>
      </c>
      <c r="G2540" s="4" t="s">
        <v>524</v>
      </c>
      <c r="H2540" s="3" t="s">
        <v>10993</v>
      </c>
      <c r="I2540" s="3" t="s">
        <v>10994</v>
      </c>
      <c r="J2540" s="4">
        <v>16.01</v>
      </c>
      <c r="K2540" s="4">
        <v>2.0</v>
      </c>
      <c r="L2540" s="3" t="s">
        <v>354</v>
      </c>
      <c r="M2540" s="3" t="s">
        <v>10998</v>
      </c>
      <c r="N2540" s="7" t="str">
        <f>IFERROR(__xludf.DUMMYFUNCTION("GOOGLETRANSLATE(L2540, ""en"", ""pt"")"),"Governanta")</f>
        <v>Governanta</v>
      </c>
      <c r="O2540" s="7" t="str">
        <f>IFERROR(__xludf.DUMMYFUNCTION("IF(M2540="""","""",GOOGLETRANSLATE(M2540,""en"",""pt""))"),"Limpar áreas comuns, corredores, quartos e vestiários, incluindo tirar o pó, passar pano leve, aspirar e, ocasionalmente, remover lixo/roupas sujas. Carregar, lavar e guardar roupas de cama e banho, especificamente incluindo a lavagem de toalhas de mesa, "&amp;"roupas de cama de quartos de hóspedes, roupas de cama das instalações, uniformes das instalações, toalhas de banho, cortinas e tecidos decorativos. *Continuação da Seção F.a.5 abaixo: 40 horas semanais. Os turnos serão de 8 horas e podem variar conforme a"&amp;" necessidade, de acordo com o anúncio da vaga na Agência Estadual de Força de Trabalho e em outras fontes de anúncios de vagas H-2B, conforme os requisitos de recrutamento dos empregadores para trabalhadores em potencial no âmbito do programa H-2B. Turnos"&amp;" variáveis ​​ao longo de 7 dias da semana. Os turnos podem variar: das 6h às 23h. Classificação da vaga: 37-2012.00 - Empregadas Domésticas e Auxiliares de Limpeza. A classificação e descrição da vaga/setor inclui informações gerais sobre o cargo, de acor"&amp;"do com o ONET/OES e o Sistema de Classificação Industrial da América do Norte. Consulte as Funções e a Ordem de Serviço para obter mais informações. Requisitos da vaga Experiência exigida: Não Requisitos especiais: O EMPREGADOR EXIGE QUE A VERIFICAÇÃO DE "&amp;"ANTECEDENTES CRIMINAIS PRÉ-ADMISSÃO E O TESTE DE DROGAS PÓS-ADMISSÃO SEJAM REALIZADOS IGUALMENTE PARA OS TRABALHADORES AMERICANOS E PARA OS TRABALHADORES COM VISTO H-2B. Capacidade de se comunicar em inglês. Número de horas por semana: 40 Horário de traba"&amp;"lho (início/término): 6h às 23h")</f>
        <v>Limpar áreas comuns, corredores, quartos e vestiários, incluindo tirar o pó, passar pano leve, aspirar e, ocasionalmente, remover lixo/roupas sujas. Carregar, lavar e guardar roupas de cama e banho, especificamente incluindo a lavagem de toalhas de mesa, roupas de cama de quartos de hóspedes, roupas de cama das instalações, uniformes das instalações, toalhas de banho, cortinas e tecidos decorativos. *Continuação da Seção F.a.5 abaixo: 40 horas semanais. Os turnos serão de 8 horas e podem variar conforme a necessidade, de acordo com o anúncio da vaga na Agência Estadual de Força de Trabalho e em outras fontes de anúncios de vagas H-2B, conforme os requisitos de recrutamento dos empregadores para trabalhadores em potencial no âmbito do programa H-2B. Turnos variáveis ​​ao longo de 7 dias da semana. Os turnos podem variar: das 6h às 23h. Classificação da vaga: 37-2012.00 - Empregadas Domésticas e Auxiliares de Limpeza. A classificação e descrição da vaga/setor inclui informações gerais sobre o cargo, de acordo com o ONET/OES e o Sistema de Classificação Industrial da América do Norte. Consulte as Funções e a Ordem de Serviço para obter mais informações. Requisitos da vaga Experiência exigida: Não Requisitos especiais: O EMPREGADOR EXIGE QUE A VERIFICAÇÃO DE ANTECEDENTES CRIMINAIS PRÉ-ADMISSÃO E O TESTE DE DROGAS PÓS-ADMISSÃO SEJAM REALIZADOS IGUALMENTE PARA OS TRABALHADORES AMERICANOS E PARA OS TRABALHADORES COM VISTO H-2B. Capacidade de se comunicar em inglês. Número de horas por semana: 40 Horário de trabalho (início/término): 6h às 23h</v>
      </c>
    </row>
    <row r="2541" ht="20.25" customHeight="1">
      <c r="A2541" s="8" t="s">
        <v>10999</v>
      </c>
      <c r="B2541" s="8" t="s">
        <v>10992</v>
      </c>
      <c r="C2541" s="8" t="s">
        <v>8981</v>
      </c>
      <c r="D2541" s="8" t="s">
        <v>71</v>
      </c>
      <c r="E2541" s="9" t="s">
        <v>19</v>
      </c>
      <c r="F2541" s="9" t="s">
        <v>20</v>
      </c>
      <c r="G2541" s="9" t="s">
        <v>524</v>
      </c>
      <c r="H2541" s="8" t="s">
        <v>10993</v>
      </c>
      <c r="I2541" s="8" t="s">
        <v>10994</v>
      </c>
      <c r="J2541" s="9">
        <v>18.5</v>
      </c>
      <c r="K2541" s="9">
        <v>15.0</v>
      </c>
      <c r="L2541" s="8" t="s">
        <v>586</v>
      </c>
      <c r="M2541" s="8" t="s">
        <v>11000</v>
      </c>
      <c r="N2541" s="7" t="str">
        <f>IFERROR(__xludf.DUMMYFUNCTION("GOOGLETRANSLATE(L2541, ""en"", ""pt"")"),"Cozinheiro de linha")</f>
        <v>Cozinheiro de linha</v>
      </c>
      <c r="O2541" s="7" t="str">
        <f>IFERROR(__xludf.DUMMYFUNCTION("IF(M2541="""","""",GOOGLETRANSLATE(M2541,""en"",""pt""))"),"Prepara, tempera e cozinha sopas, carnes, legumes, frutas, sobremesas e outros alimentos diversos para consumo; observa as diretrizes da receita e os procedimentos de higiene. *Continuação da Seção F.a.5 abaixo: 40 horas semanais. Os turnos serão de 8 hor"&amp;"as e podem variar conforme a necessidade, de acordo com o anúncio da vaga na Agência Estadual de Força de Trabalho e em outras fontes de anúncios de vagas H-2B, conforme os requisitos de recrutamento dos empregadores para trabalhadores em potencial no âmb"&amp;"ito do programa H-2B. Turnos variáveis ​​ao longo de 7 dias da semana. Os turnos podem variar: das 6h às 23h. Classificação da vaga: 35-2014.00 - Cozinheiros, Restaurante. A classificação e a descrição da vaga/setor incluem informações gerais sobre o carg"&amp;"o, provenientes do ONET/OES e do Sistema de Classificação Industrial da América do Norte. Consulte as Funções e a Ordem de Serviço para obter mais informações. Requisitos da vaga Experiência exigida: Não Requisitos especiais: O EMPREGADOR EXIGE QUE A VERI"&amp;"FICAÇÃO DE ANTECEDENTES CRIMINAIS PRÉ-ADMISSÃO E O TESTE DE DROGAS PÓS-ADMISSÃO SEJAM REALIZADOS IGUALMENTE PARA OS TRABALHADORES AMERICANOS E PARA OS TRABALHADORES COM VISTO H-2B. Capacidade de se comunicar em inglês. Número de horas por semana: 40 Horár"&amp;"io de trabalho (início/término): 6h às 23h")</f>
        <v>Prepara, tempera e cozinha sopas, carnes, legumes, frutas, sobremesas e outros alimentos diversos para consumo; observa as diretrizes da receita e os procedimentos de higiene. *Continuação da Seção F.a.5 abaixo: 40 horas semanais. Os turnos serão de 8 horas e podem variar conforme a necessidade, de acordo com o anúncio da vaga na Agência Estadual de Força de Trabalho e em outras fontes de anúncios de vagas H-2B, conforme os requisitos de recrutamento dos empregadores para trabalhadores em potencial no âmbito do programa H-2B. Turnos variáveis ​​ao longo de 7 dias da semana. Os turnos podem variar: das 6h às 23h. Classificação da vaga: 35-2014.00 - Cozinheiros, Restaurante. A classificação e a descrição da vaga/setor incluem informações gerais sobre o cargo, provenientes do ONET/OES e do Sistema de Classificação Industrial da América do Norte. Consulte as Funções e a Ordem de Serviço para obter mais informações. Requisitos da vaga Experiência exigida: Não Requisitos especiais: O EMPREGADOR EXIGE QUE A VERIFICAÇÃO DE ANTECEDENTES CRIMINAIS PRÉ-ADMISSÃO E O TESTE DE DROGAS PÓS-ADMISSÃO SEJAM REALIZADOS IGUALMENTE PARA OS TRABALHADORES AMERICANOS E PARA OS TRABALHADORES COM VISTO H-2B. Capacidade de se comunicar em inglês. Número de horas por semana: 40 Horário de trabalho (início/término): 6h às 23h</v>
      </c>
    </row>
    <row r="2542" ht="20.25" customHeight="1">
      <c r="A2542" s="3" t="s">
        <v>11001</v>
      </c>
      <c r="B2542" s="3" t="s">
        <v>10992</v>
      </c>
      <c r="C2542" s="3" t="s">
        <v>8981</v>
      </c>
      <c r="D2542" s="3" t="s">
        <v>71</v>
      </c>
      <c r="E2542" s="4" t="s">
        <v>19</v>
      </c>
      <c r="F2542" s="4" t="s">
        <v>20</v>
      </c>
      <c r="G2542" s="4" t="s">
        <v>524</v>
      </c>
      <c r="H2542" s="3" t="s">
        <v>10993</v>
      </c>
      <c r="I2542" s="3" t="s">
        <v>10994</v>
      </c>
      <c r="J2542" s="4">
        <v>16.0</v>
      </c>
      <c r="K2542" s="4">
        <v>26.0</v>
      </c>
      <c r="L2542" s="3" t="s">
        <v>2821</v>
      </c>
      <c r="M2542" s="3" t="s">
        <v>11002</v>
      </c>
      <c r="N2542" s="7" t="str">
        <f>IFERROR(__xludf.DUMMYFUNCTION("GOOGLETRANSLATE(L2542, ""en"", ""pt"")"),"Auxiliar de Recreação")</f>
        <v>Auxiliar de Recreação</v>
      </c>
      <c r="O2542" s="7" t="str">
        <f>IFERROR(__xludf.DUMMYFUNCTION("IF(M2542="""","""",GOOGLETRANSLATE(M2542,""en"",""pt""))"),"O funcionário poderá ser solicitado a desempenhar qualquer uma das seguintes funções: monitorar as atividades no campo de golfe, complexo de tênis, complexo aquático, spa e academia; prestar assistência administrativa aos sócios, incluindo a verificação d"&amp;"e cartões de sócio, confirmação de reservas, organização de mercadorias e fornecimento de informações sobre as instalações; realizar a limpeza básica de carrinhos e tacos de golfe e transportar os equipamentos de golfe e veículos dos sócios de e para as i"&amp;"nstalações do clube. As tarefas relacionadas ao transporte dos equipamentos de golfe e veículos dos sócios de e para as instalações do clube exigem que o funcionário encontre o sócio na calçada; abra a porta do motorista imediatamente após a chegada; faça"&amp;" uma rápida e discreta inspeção visual para verificar se há danos pré-existentes; transporte os sócios e suas bolsas de equipamentos de golfe em seus veículos de e para uma área de armazenamento segura e designada para sócios do clube; carregue as bolsas "&amp;"de equipamentos de golfe do veículo para os carrinhos e certifique-se de que estejam prontas para o jogador na área de espera; limpe os tacos após o uso, devolva as bolsas de equipamentos de golfe ao armazenamento ou transporte-as de volta para o veículo "&amp;"do sócio; e leve o veículo até a entrada das instalações do clube, mediante solicitação do sócio. *Continuação da Seção F.a.5 abaixo: 40 horas semanais. Os turnos serão de 8 horas, podendo variar conforme a necessidade, de acordo com o anúncio de vaga da "&amp;"Agência Estadual de Força de Trabalho e outras fontes de anúncios de vagas H-2B, conforme os requisitos de recrutamento dos empregadores para trabalhadores em potencial no âmbito do programa H-2B. Turnos variáveis ​​ao longo de 7 dias da semana. Os turnos"&amp;" podem variar das 6h às 23h. Classificação da vaga: 39-3091.00 - Atendentes de Parques de Diversões e Recreação. A classificação e descrição da vaga/setor incluem informações gerais sobre o cargo, conforme o ONET/OES e o Sistema de Classificação Industria"&amp;"l da América do Norte (NAICS). Consulte as Funções e a Ordem de Serviço para obter mais informações. Requisitos da vaga: Experiência exigida: Não. Requisitos especiais: O EMPREGADOR EXIGE QUE A VERIFICAÇÃO DE ANTECEDENTES CRIMINAIS PRÉ-ADMISSÃO E O TESTE "&amp;"DE DROGAS PÓS-ADMISSÃO SEJAM REALIZADOS IGUALMENTE PARA OS TRABALHADORES AMERICANOS E OS TRABALHADORES COM VISTO H-2B. Capacidade de se comunicar em inglês. Número de horas por semana: 40. Horário de trabalho (início/término): 6h às 23h.")</f>
        <v>O funcionário poderá ser solicitado a desempenhar qualquer uma das seguintes funções: monitorar as atividades no campo de golfe, complexo de tênis, complexo aquático, spa e academia; prestar assistência administrativa aos sócios, incluindo a verificação de cartões de sócio, confirmação de reservas, organização de mercadorias e fornecimento de informações sobre as instalações; realizar a limpeza básica de carrinhos e tacos de golfe e transportar os equipamentos de golfe e veículos dos sócios de e para as instalações do clube. As tarefas relacionadas ao transporte dos equipamentos de golfe e veículos dos sócios de e para as instalações do clube exigem que o funcionário encontre o sócio na calçada; abra a porta do motorista imediatamente após a chegada; faça uma rápida e discreta inspeção visual para verificar se há danos pré-existentes; transporte os sócios e suas bolsas de equipamentos de golfe em seus veículos de e para uma área de armazenamento segura e designada para sócios do clube; carregue as bolsas de equipamentos de golfe do veículo para os carrinhos e certifique-se de que estejam prontas para o jogador na área de espera; limpe os tacos após o uso, devolva as bolsas de equipamentos de golfe ao armazenamento ou transporte-as de volta para o veículo do sócio; e leve o veículo até a entrada das instalações do clube, mediante solicitação do sócio. *Continuação da Seção F.a.5 abaixo: 40 horas semanais. Os turnos serão de 8 horas, podendo variar conforme a necessidade, de acordo com o anúncio de vaga da Agência Estadual de Força de Trabalho e outras fontes de anúncios de vagas H-2B, conforme os requisitos de recrutamento dos empregadores para trabalhadores em potencial no âmbito do programa H-2B. Turnos variáveis ​​ao longo de 7 dias da semana. Os turnos podem variar das 6h às 23h. Classificação da vaga: 39-3091.00 - Atendentes de Parques de Diversões e Recreação. A classificação e descrição da vaga/setor incluem informações gerais sobre o cargo, conforme o ONET/OES e o Sistema de Classificação Industrial da América do Norte (NAICS). Consulte as Funções e a Ordem de Serviço para obter mais informações. Requisitos da vaga: Experiência exigida: Não. Requisitos especiais: O EMPREGADOR EXIGE QUE A VERIFICAÇÃO DE ANTECEDENTES CRIMINAIS PRÉ-ADMISSÃO E O TESTE DE DROGAS PÓS-ADMISSÃO SEJAM REALIZADOS IGUALMENTE PARA OS TRABALHADORES AMERICANOS E OS TRABALHADORES COM VISTO H-2B. Capacidade de se comunicar em inglês. Número de horas por semana: 40. Horário de trabalho (início/término): 6h às 23h.</v>
      </c>
    </row>
    <row r="2543" ht="20.25" customHeight="1">
      <c r="A2543" s="8" t="s">
        <v>11003</v>
      </c>
      <c r="B2543" s="8" t="s">
        <v>10992</v>
      </c>
      <c r="C2543" s="8" t="s">
        <v>8981</v>
      </c>
      <c r="D2543" s="8" t="s">
        <v>71</v>
      </c>
      <c r="E2543" s="9" t="s">
        <v>44</v>
      </c>
      <c r="F2543" s="9" t="s">
        <v>20</v>
      </c>
      <c r="G2543" s="9" t="s">
        <v>524</v>
      </c>
      <c r="H2543" s="8" t="s">
        <v>10993</v>
      </c>
      <c r="I2543" s="8" t="s">
        <v>10994</v>
      </c>
      <c r="J2543" s="9">
        <v>20.0</v>
      </c>
      <c r="K2543" s="9">
        <v>6.0</v>
      </c>
      <c r="L2543" s="8" t="s">
        <v>1684</v>
      </c>
      <c r="M2543" s="8" t="s">
        <v>11004</v>
      </c>
      <c r="N2543" s="7" t="str">
        <f>IFERROR(__xludf.DUMMYFUNCTION("GOOGLETRANSLATE(L2543, ""en"", ""pt"")"),"Barman")</f>
        <v>Barman</v>
      </c>
      <c r="O2543" s="7" t="str">
        <f>IFERROR(__xludf.DUMMYFUNCTION("IF(M2543="""","""",GOOGLETRANSLATE(M2543,""en"",""pt""))"),"Anotar pedidos de bebidas. Preparar e servir drinks. Limpar a área do bar. Poderá ser necessário anotar pedidos de comida e fazer recomendações sobre vinhos e outros produtos. Solicitar e exibir bebidas alcoólicas e suprimentos. Manter a área do bar limpa"&amp;" e trabalhar de acordo com as normas estaduais rigorosamente aplicadas. *Continuação da Seção F.a.5 abaixo: 40 horas semanais. Os turnos serão de 8 horas, podendo variar conforme a necessidade, de acordo com o anúncio da vaga na Agência Estadual de Força "&amp;"de Trabalho e em outras fontes de anúncios de vagas H-2B, conforme os requisitos de recrutamento dos empregadores para trabalhadores em potencial no âmbito do programa H-2B. Turnos variáveis ​​ao longo de 7 dias da semana. Os turnos podem variar das 6h às"&amp;" 23h. Classificação da vaga: 35-3011.00 - Bartenders. A classificação e descrição da vaga/setor incluem informações gerais sobre o cargo, provenientes do ONET/OES e do Sistema de Classificação Industrial da América do Norte. Consulte as Funções e a Ordem "&amp;"de Serviço para obter mais informações. Requisitos da vaga Experiência exigida: Não Requisitos especiais: O EMPREGADOR EXIGE QUE A VERIFICAÇÃO DE ANTECEDENTES CRIMINAIS PRÉ-ADMISSÃO E O TESTE DE DROGAS PÓS-ADMISSÃO SEJAM REALIZADOS IGUALMENTE PARA OS TRAB"&amp;"ALHADORES AMERICANOS E PARA OS TRABALHADORES COM VISTO H-2B. Capacidade de se comunicar em inglês. Número de horas por semana: 40 Horário de trabalho (início/término): 6h às 23h")</f>
        <v>Anotar pedidos de bebidas. Preparar e servir drinks. Limpar a área do bar. Poderá ser necessário anotar pedidos de comida e fazer recomendações sobre vinhos e outros produtos. Solicitar e exibir bebidas alcoólicas e suprimentos. Manter a área do bar limpa e trabalhar de acordo com as normas estaduais rigorosamente aplicadas. *Continuação da Seção F.a.5 abaixo: 40 horas semanais. Os turnos serão de 8 horas, podendo variar conforme a necessidade, de acordo com o anúncio da vaga na Agência Estadual de Força de Trabalho e em outras fontes de anúncios de vagas H-2B, conforme os requisitos de recrutamento dos empregadores para trabalhadores em potencial no âmbito do programa H-2B. Turnos variáveis ​​ao longo de 7 dias da semana. Os turnos podem variar das 6h às 23h. Classificação da vaga: 35-3011.00 - Bartenders. A classificação e descrição da vaga/setor incluem informações gerais sobre o cargo, provenientes do ONET/OES e do Sistema de Classificação Industrial da América do Norte. Consulte as Funções e a Ordem de Serviço para obter mais informações. Requisitos da vaga Experiência exigida: Não Requisitos especiais: O EMPREGADOR EXIGE QUE A VERIFICAÇÃO DE ANTECEDENTES CRIMINAIS PRÉ-ADMISSÃO E O TESTE DE DROGAS PÓS-ADMISSÃO SEJAM REALIZADOS IGUALMENTE PARA OS TRABALHADORES AMERICANOS E PARA OS TRABALHADORES COM VISTO H-2B. Capacidade de se comunicar em inglês. Número de horas por semana: 40 Horário de trabalho (início/término): 6h às 23h</v>
      </c>
    </row>
    <row r="2544" ht="20.25" customHeight="1">
      <c r="A2544" s="3" t="s">
        <v>11005</v>
      </c>
      <c r="B2544" s="3" t="s">
        <v>11006</v>
      </c>
      <c r="C2544" s="3" t="s">
        <v>7533</v>
      </c>
      <c r="D2544" s="3" t="s">
        <v>186</v>
      </c>
      <c r="E2544" s="4" t="s">
        <v>19</v>
      </c>
      <c r="F2544" s="4" t="s">
        <v>20</v>
      </c>
      <c r="G2544" s="4" t="s">
        <v>404</v>
      </c>
      <c r="H2544" s="3" t="s">
        <v>11007</v>
      </c>
      <c r="I2544" s="3" t="s">
        <v>11008</v>
      </c>
      <c r="J2544" s="4">
        <v>18.11</v>
      </c>
      <c r="K2544" s="4">
        <v>40.0</v>
      </c>
      <c r="L2544" s="3" t="s">
        <v>165</v>
      </c>
      <c r="M2544" s="3" t="s">
        <v>11009</v>
      </c>
      <c r="N2544" s="7" t="str">
        <f>IFERROR(__xludf.DUMMYFUNCTION("GOOGLETRANSLATE(L2544, ""en"", ""pt"")"),"Trabalhador de remoção de neve")</f>
        <v>Trabalhador de remoção de neve</v>
      </c>
      <c r="O2544" s="7" t="str">
        <f>IFERROR(__xludf.DUMMYFUNCTION("IF(M2544="""","""",GOOGLETRANSLATE(M2544,""en"",""pt""))"),"Remover e limpar neve usando sopradores de neve e pás de neve comerciais padrão, remover folhas, carregar/descarregar materiais. Levantar até 23 kg. Classificação da função: 37-3011.00 - Trabalhadores de Paisagismo e Manutenção de Áreas Verdes. A classifi"&amp;"cação e descrição da função/setor inclui informações gerais sobre o cargo, de acordo com o ONET/OES e o Sistema de Classificação Industrial da América do Norte. Consulte as Funções e a Ordem de Serviço para obter mais informações. Requisitos da vaga: Expe"&amp;"riência necessária: Não. Número de horas por semana: 40. Horário de trabalho (início/término): 7h30 às 15h30.")</f>
        <v>Remover e limpar neve usando sopradores de neve e pás de neve comerciais padrão, remover folhas, carregar/descarregar materiais. Levantar até 23 kg. Classificação da função: 37-3011.00 - Trabalhadores de Paisagismo e Manutenção de Áreas Verdes. A classificação e descrição da função/setor inclui informações gerais sobre o cargo, de acordo com o ONET/OES e o Sistema de Classificação Industrial da América do Norte. Consulte as Funções e a Ordem de Serviço para obter mais informações. Requisitos da vaga: Experiência necessária: Não. Número de horas por semana: 40. Horário de trabalho (início/término): 7h30 às 15h30.</v>
      </c>
    </row>
    <row r="2545" ht="20.25" customHeight="1">
      <c r="A2545" s="8" t="s">
        <v>11010</v>
      </c>
      <c r="B2545" s="8" t="s">
        <v>11011</v>
      </c>
      <c r="C2545" s="8" t="s">
        <v>9043</v>
      </c>
      <c r="D2545" s="8" t="s">
        <v>79</v>
      </c>
      <c r="E2545" s="9" t="s">
        <v>19</v>
      </c>
      <c r="F2545" s="9" t="s">
        <v>20</v>
      </c>
      <c r="G2545" s="9" t="s">
        <v>896</v>
      </c>
      <c r="H2545" s="8" t="s">
        <v>11012</v>
      </c>
      <c r="I2545" s="8" t="s">
        <v>11013</v>
      </c>
      <c r="J2545" s="9">
        <v>19.79</v>
      </c>
      <c r="K2545" s="9">
        <v>150.0</v>
      </c>
      <c r="L2545" s="8" t="s">
        <v>1245</v>
      </c>
      <c r="M2545" s="8" t="s">
        <v>11014</v>
      </c>
      <c r="N2545" s="7" t="str">
        <f>IFERROR(__xludf.DUMMYFUNCTION("GOOGLETRANSLATE(L2545, ""en"", ""pt"")"),"Operário de Produção")</f>
        <v>Operário de Produção</v>
      </c>
      <c r="O2545" s="7" t="str">
        <f>IFERROR(__xludf.DUMMYFUNCTION("IF(M2545="""","""",GOOGLETRANSLATE(M2545,""en"",""pt""))"),"***Resposta à Solicitação de Informações*** Os galhos já estão cortados antes de chegarem ao local. Os funcionários não cortam nem colhem galhos de árvores em nenhuma etapa do processo. Os trabalhadores com visto H-2B não operarão empilhadeiras. As empilh"&amp;"adeiras movimentam e empilham paletes de produtos acabados para armazenamento e envio. Os funcionários não movimentam paletes manualmente. Os funcionários usarão apenas vassoura e pá para varrer os detritos de folhagem e a poeira do chão. Um tanque de pul"&amp;"verização de 3,8 litros será usado para minimizar a poeira no ar durante a varrição. Os funcionários descartarão o lixo em lixeiras. Os funcionários pegarão as guirlandas/arranjos de mesa prontos e os embalarão em caixas de acordo com as dimensões do prod"&amp;"uto. Os funcionários colocarão um kit dentro de cada caixa, selarão a caixa usando um dispensador de fita adesiva manual ou uma seladora de caixas e empilharão as caixas seladas em paletes. Esta aplicação abrange várias funções envolvidas no processo gera"&amp;"l de produção de guirlandas. Os artesãos montam as guirlandas a partir de matérias-primas. Os cortadores preparam a folhagem nobre e de abeto. As funções de embalagem e movimentação são combinadas porque os funcionários embalam as guirlandas prontas e as "&amp;"passam para o final da mesa para serem embaladas em paletes. ***Original F.a.2*** Fabricantes (Todas as Posições) As principais funções podem incluir: Amarrar ou crimpar manualmente galhos de pinheiro, cedro, azevinho, etc., em coroas de acordo com os des"&amp;"igns, pesos e tamanhos estabelecidos. Aparar e arranjar galhos de pinheiro, cedro, azevinho, etc., em centros de mesa ou guirlandas de acordo com os designs, pesos e tamanhos estabelecidos. Amarrar manualmente ou à máquina galhos de pinheiro, cedro, azevi"&amp;"nho, etc., em grinaldas de acordo com os designs, pesos e tamanhos estabelecidos. O trabalho será realizado em ambientes internos (sem aquecimento) e externos, em todos os tipos de clima, sendo necessário o uso de roupas e calçados adequados. É essencial "&amp;"a capacidade de trabalhar de forma eficaz e em equipe. O trabalho deve ser realizado em um ambiente com foco em segurança. Auxiliar na manutenção dos padrões de limpeza para garantir um ambiente de trabalho limpo e seguro. É obrigatória a participação em "&amp;"reuniões semanais de segurança. O horário de trabalho é de segunda a sexta-feira, com possibilidade de trabalho aos fins de semana. O profissional deverá auxiliar em outras funções conforme necessário. Executar qualquer tarefa razoável solicitada pela emp"&amp;"resa. Cortadores (Coroas e Guirlandas sob encomenda, Arranjos e Centros de Mesa - por hora): As principais funções podem incluir: Carregar, separar e cortar folhagens em tamanhos específicos (cedro, pinheiro, azevinho, etc.) para os artesãos. O trabalho s"&amp;"erá realizado em ambientes internos (sem aquecimento) e externos, em todos os tipos de clima, sendo obrigatório o uso de roupas e calçados adequados. É necessário ter capacidade de trabalhar de forma eficaz e em equipe, em um ambiente coeso com todas as á"&amp;"reas. É imprescindível trabalhar em um ambiente com foco em segurança. Auxiliar na manutenção dos padrões de limpeza para garantir um ambiente de trabalho limpo e seguro. É obrigatória a participação em reuniões semanais de segurança. O horário de trabalh"&amp;"o é de segunda a sexta-feira, com possibilidade de trabalho aos fins de semana. O profissional deverá auxiliar em outras funções conforme necessário. Executar qualquer tarefa razoável solicitada pela empresa. Vaga por hora: As principais funções podem inc"&amp;"luir, entre outras: Carregar, separar e cortar folhagens em tamanhos específicos e embalar ramos de cedro, pinheiro e azevinho. Operar esteira rolante, cintadora, grampeador manual e de pedal, paleteira e tesoura de poda manual. Montar caixas, embalar, ci"&amp;"ntar e paletizar caixas ou engradados. Decorar guirlandas e/ou arranjos de mesa. O trabalho será realizado em ambientes internos (sem aquecimento) e externos, em todos os tipos de clima, sendo obrigatório o uso de roupas e calçados adequados. Poderá haver"&amp;" trabalho em ambiente mais frio (aproximadamente 3°C), sendo necessário o uso de roupas e calçados adequados. É essencial ter capacidade para trabalhar de forma eficaz e em equipe. É necessário trabalhar em um ambiente com foco em segurança. Auxiliar na m"&amp;"anutenção dos padrões de limpeza para garantir um ambiente de trabalho limpo e seguro. Carregar materiais de acabamento em caminhões. Inserir suportes em guirlandas. Descartar folhagens não reutilizáveis ​​em lixeiras. Varrer o depósito. É obrigatória a p"&amp;"articipação em reuniões semanais de segurança. O uso de EPIs é obrigatório. O horário de trabalho é de segunda a sexta-feira, com possibilidade de trabalho aos fins de semana. O profissional deverá auxiliar em outras funções conforme necessário. Executar "&amp;"qualquer tarefa razoável solicitada pela empresa. Classificação da vaga: 27-1023.00 - Designers Florais. A classificação e descrição da vaga/setor incluem informações gerais sobre o cargo, de acordo com o ONET/OES e o Sistema de Classificação Industrial d"&amp;"a América do Norte. Consulte as Funções e a Ordem de Serviço para obter mais informações. Requisitos da Vaga Experiência Necessária: Sim Meses de Experiência Necessários: 3 Requisitos Especiais: Capacidade de levantar até 32 kg. 3 meses de experiência em "&amp;"trabalhos de produção em ambiente comercial ou agrícola. Capacidade de se movimentar em torno de máquinas de guirlandas, mesas de produção, esteiras motorizadas, empilhadeiras, caixas, paletes e engradados, estoque, suprimentos de produção, etc. Deve ser "&amp;"capaz de levantar e carregar de 7 a 18 kg repetidamente. Deve ser capaz de ficar em pé e/ou caminhar de 8 a 12 horas por dia. Deve ter boa destreza manual. Deve ser capaz de usar tesouras de poda e outras ferramentas manuais. Número de Horas por Semana: 4"&amp;"0 Horário de Trabalho (Início/Término): 6h00 - 14h30")</f>
        <v>***Resposta à Solicitação de Informações*** Os galhos já estão cortados antes de chegarem ao local. Os funcionários não cortam nem colhem galhos de árvores em nenhuma etapa do processo. Os trabalhadores com visto H-2B não operarão empilhadeiras. As empilhadeiras movimentam e empilham paletes de produtos acabados para armazenamento e envio. Os funcionários não movimentam paletes manualmente. Os funcionários usarão apenas vassoura e pá para varrer os detritos de folhagem e a poeira do chão. Um tanque de pulverização de 3,8 litros será usado para minimizar a poeira no ar durante a varrição. Os funcionários descartarão o lixo em lixeiras. Os funcionários pegarão as guirlandas/arranjos de mesa prontos e os embalarão em caixas de acordo com as dimensões do produto. Os funcionários colocarão um kit dentro de cada caixa, selarão a caixa usando um dispensador de fita adesiva manual ou uma seladora de caixas e empilharão as caixas seladas em paletes. Esta aplicação abrange várias funções envolvidas no processo geral de produção de guirlandas. Os artesãos montam as guirlandas a partir de matérias-primas. Os cortadores preparam a folhagem nobre e de abeto. As funções de embalagem e movimentação são combinadas porque os funcionários embalam as guirlandas prontas e as passam para o final da mesa para serem embaladas em paletes. ***Original F.a.2*** Fabricantes (Todas as Posições) As principais funções podem incluir: Amarrar ou crimpar manualmente galhos de pinheiro, cedro, azevinho, etc., em coroas de acordo com os designs, pesos e tamanhos estabelecidos. Aparar e arranjar galhos de pinheiro, cedro, azevinho, etc., em centros de mesa ou guirlandas de acordo com os designs, pesos e tamanhos estabelecidos. Amarrar manualmente ou à máquina galhos de pinheiro, cedro, azevinho, etc., em grinaldas de acordo com os designs, pesos e tamanhos estabelecidos. O trabalho será realizado em ambientes internos (sem aquecimento) e externos, em todos os tipos de clima, sendo necessário o uso de roupas e calçados adequados. É essencial a capacidade de trabalhar de forma eficaz e em equipe. O trabalho deve ser realizado em um ambiente com foco em segurança. Auxiliar na manutenção dos padrões de limpeza para garantir um ambiente de trabalho limpo e seguro. É obrigatória a participação em reuniões semanais de segurança. O horário de trabalho é de segunda a sexta-feira, com possibilidade de trabalho aos fins de semana. O profissional deverá auxiliar em outras funções conforme necessário. Executar qualquer tarefa razoável solicitada pela empresa. Cortadores (Coroas e Guirlandas sob encomenda, Arranjos e Centros de Mesa - por hora): As principais funções podem incluir: Carregar, separar e cortar folhagens em tamanhos específicos (cedro, pinheiro, azevinho, etc.) para os artesãos. O trabalho será realizado em ambientes internos (sem aquecimento) e externos, em todos os tipos de clima, sendo obrigatório o uso de roupas e calçados adequados. É necessário ter capacidade de trabalhar de forma eficaz e em equipe, em um ambiente coeso com todas as áreas. É imprescindível trabalhar em um ambiente com foco em segurança. Auxiliar na manutenção dos padrões de limpeza para garantir um ambiente de trabalho limpo e seguro. É obrigatória a participação em reuniões semanais de segurança. O horário de trabalho é de segunda a sexta-feira, com possibilidade de trabalho aos fins de semana. O profissional deverá auxiliar em outras funções conforme necessário. Executar qualquer tarefa razoável solicitada pela empresa. Vaga por hora: As principais funções podem incluir, entre outras: Carregar, separar e cortar folhagens em tamanhos específicos e embalar ramos de cedro, pinheiro e azevinho. Operar esteira rolante, cintadora, grampeador manual e de pedal, paleteira e tesoura de poda manual. Montar caixas, embalar, cintar e paletizar caixas ou engradados. Decorar guirlandas e/ou arranjos de mesa. O trabalho será realizado em ambientes internos (sem aquecimento) e externos, em todos os tipos de clima, sendo obrigatório o uso de roupas e calçados adequados. Poderá haver trabalho em ambiente mais frio (aproximadamente 3°C), sendo necessário o uso de roupas e calçados adequados. É essencial ter capacidade para trabalhar de forma eficaz e em equipe. É necessário trabalhar em um ambiente com foco em segurança. Auxiliar na manutenção dos padrões de limpeza para garantir um ambiente de trabalho limpo e seguro. Carregar materiais de acabamento em caminhões. Inserir suportes em guirlandas. Descartar folhagens não reutilizáveis ​​em lixeiras. Varrer o depósito. É obrigatória a participação em reuniões semanais de segurança. O uso de EPIs é obrigatório. O horário de trabalho é de segunda a sexta-feira, com possibilidade de trabalho aos fins de semana. O profissional deverá auxiliar em outras funções conforme necessário. Executar qualquer tarefa razoável solicitada pela empresa. Classificação da vaga: 27-1023.00 - Designers Florais. A classificação e descrição da vaga/setor incluem informações gerais sobre o cargo, de acordo com o ONET/OES e o Sistema de Classificação Industrial da América do Norte. Consulte as Funções e a Ordem de Serviço para obter mais informações. Requisitos da Vaga Experiência Necessária: Sim Meses de Experiência Necessários: 3 Requisitos Especiais: Capacidade de levantar até 32 kg. 3 meses de experiência em trabalhos de produção em ambiente comercial ou agrícola. Capacidade de se movimentar em torno de máquinas de guirlandas, mesas de produção, esteiras motorizadas, empilhadeiras, caixas, paletes e engradados, estoque, suprimentos de produção, etc. Deve ser capaz de levantar e carregar de 7 a 18 kg repetidamente. Deve ser capaz de ficar em pé e/ou caminhar de 8 a 12 horas por dia. Deve ter boa destreza manual. Deve ser capaz de usar tesouras de poda e outras ferramentas manuais. Número de Horas por Semana: 40 Horário de Trabalho (Início/Término): 6h00 - 14h30</v>
      </c>
    </row>
    <row r="2546" ht="20.25" customHeight="1">
      <c r="A2546" s="3" t="s">
        <v>11015</v>
      </c>
      <c r="B2546" s="3" t="s">
        <v>11016</v>
      </c>
      <c r="C2546" s="3" t="s">
        <v>9739</v>
      </c>
      <c r="D2546" s="3" t="s">
        <v>126</v>
      </c>
      <c r="E2546" s="4" t="s">
        <v>44</v>
      </c>
      <c r="F2546" s="4" t="s">
        <v>20</v>
      </c>
      <c r="G2546" s="4" t="s">
        <v>404</v>
      </c>
      <c r="H2546" s="3" t="s">
        <v>11017</v>
      </c>
      <c r="I2546" s="3" t="s">
        <v>11018</v>
      </c>
      <c r="J2546" s="4">
        <v>20.6</v>
      </c>
      <c r="K2546" s="4">
        <v>18.0</v>
      </c>
      <c r="L2546" s="3" t="s">
        <v>387</v>
      </c>
      <c r="M2546" s="3" t="s">
        <v>11019</v>
      </c>
      <c r="N2546" s="7" t="str">
        <f>IFERROR(__xludf.DUMMYFUNCTION("GOOGLETRANSLATE(L2546, ""en"", ""pt"")"),"Ordem de serviço não disponível")</f>
        <v>Ordem de serviço não disponível</v>
      </c>
      <c r="O2546" s="7" t="str">
        <f>IFERROR(__xludf.DUMMYFUNCTION("IF(M2546="""","""",GOOGLETRANSLATE(M2546,""en"",""pt""))"),"Responsabilidades: Preparar refeições especiais ou itens substitutos. Regular a temperatura de fornos, grelhas e assadeiras. Retirar alimentos do freezer para descongelar na geladeira. Garantir o porcionamento, a apresentação e a guarnição adequados dos a"&amp;"limentos. Manter registros de alimentos. Monitorar a qualidade e a quantidade dos alimentos preparados. Comunicar a necessidade de assistência durante períodos de maior movimento. Informar o Chef sobre o excesso de alimentos para uso nos pratos especiais "&amp;"do dia. Informar a equipe de serviço de Alimentos e Bebidas sobre os pratos especiais do cardápio e itens indisponíveis. Garantir a qualidade dos alimentos. Preparar e cozinhar alimentos de acordo com as receitas, padrões de qualidade, padrões de apresent"&amp;"ação e lista de verificação de preparação de alimentos. Preparar alimentos frios. Outras tarefas relacionadas. Requisitos: Ensino Médio completo ou equivalente. Um ano de experiência na área. Treinamento no local de trabalho fornecido. Capacidade de ficar"&amp;" em pé, sentado ou caminhar por longos períodos ou durante todo o turno de trabalho. Alcançar objetos acima da cabeça e abaixo dos joelhos, incluindo flexionar, torcer, puxar e abaixar. Mover, levantar, carregar, empurrar, puxar e colocar objetos com peso"&amp;" igual ou inferior a 11 kg sem auxílio. Verificação de antecedentes pré-emprego realizada. Salário: US$ 20,60 a US$ 24,00/hora. Horas extras: US$ 30,90 a US$ 36,00/hora, dependendo da experiência. Elegível para diversos benefícios, incluindo: passe de ôni"&amp;"bus com desconto (transporte público no Condado de Eagle); passe de esqui com desconto (passe de comerciante - Epic Pass); acesso ao teleférico da propriedade (com o passe aplicável); licença médica remunerada - conforme a lei do Estado do Colorado (acúmu"&amp;"lo de 1 hora a cada 30 horas trabalhadas); refeição gratuita por turno; estacionamento e serviço de transporte gratuitos de/para a propriedade; uniforme gratuito (sapatos não incluídos); desconto Marriott Explore (quartos, lojas, spa e restaurantes); uso "&amp;"gratuito da academia na propriedade (necessário termo de responsabilidade para uso da academia). Para obter a lista completa de benefícios, entre em contato com o RH. Turnos: mínimo de 35 horas/semana. Turnos de 8 horas. Manhã: 5h às 8h até 13h às 16h. Tu"&amp;"rno da tarde: 14h às 22h; Turno da noite: 22h30 às 7h (5 dias rotativos, incluindo fins de semana). Classificação da vaga: 35-2014.00 - Cozinheiros(as) de Restaurante. A classificação e descrição da vaga/setor incluem informações gerais sobre o cargo, de "&amp;"acordo com o ONET/OES e o Sistema de Classificação Industrial da América do Norte (NAICS). Consulte as Funções e a Ordem de Serviço para obter mais informações. Requisitos da vaga: Experiência necessária: Sim. Meses de experiência necessários: 12. Requisi"&amp;"tos especiais: Ensino Médio completo ou equivalente. Um ano de experiência na área. Treinamento no local de trabalho oferecido. Capacidade de ficar em pé, sentado(a) ou caminhar por longos períodos ou durante todo o turno de trabalho. Alcançar objetos aci"&amp;"ma da cabeça e abaixo dos joelhos, incluindo agachar, torcer, puxar e curvar-se. Mover, levantar, carregar, empurrar, puxar e colocar objetos com peso igual ou inferior a 11 kg sem auxílio. Verificação de antecedentes pré-emprego realizada. Número de hora"&amp;"s por semana: 35 Horário de trabalho (início/término): 5h00 - 13h00")</f>
        <v>Responsabilidades: Preparar refeições especiais ou itens substitutos. Regular a temperatura de fornos, grelhas e assadeiras. Retirar alimentos do freezer para descongelar na geladeira. Garantir o porcionamento, a apresentação e a guarnição adequados dos alimentos. Manter registros de alimentos. Monitorar a qualidade e a quantidade dos alimentos preparados. Comunicar a necessidade de assistência durante períodos de maior movimento. Informar o Chef sobre o excesso de alimentos para uso nos pratos especiais do dia. Informar a equipe de serviço de Alimentos e Bebidas sobre os pratos especiais do cardápio e itens indisponíveis. Garantir a qualidade dos alimentos. Preparar e cozinhar alimentos de acordo com as receitas, padrões de qualidade, padrões de apresentação e lista de verificação de preparação de alimentos. Preparar alimentos frios. Outras tarefas relacionadas. Requisitos: Ensino Médio completo ou equivalente. Um ano de experiência na área. Treinamento no local de trabalho fornecido. Capacidade de ficar em pé, sentado ou caminhar por longos períodos ou durante todo o turno de trabalho. Alcançar objetos acima da cabeça e abaixo dos joelhos, incluindo flexionar, torcer, puxar e abaixar. Mover, levantar, carregar, empurrar, puxar e colocar objetos com peso igual ou inferior a 11 kg sem auxílio. Verificação de antecedentes pré-emprego realizada. Salário: US$ 20,60 a US$ 24,00/hora. Horas extras: US$ 30,90 a US$ 36,00/hora, dependendo da experiência. Elegível para diversos benefícios, incluindo: passe de ônibus com desconto (transporte público no Condado de Eagle); passe de esqui com desconto (passe de comerciante - Epic Pass); acesso ao teleférico da propriedade (com o passe aplicável); licença médica remunerada - conforme a lei do Estado do Colorado (acúmulo de 1 hora a cada 30 horas trabalhadas); refeição gratuita por turno; estacionamento e serviço de transporte gratuitos de/para a propriedade; uniforme gratuito (sapatos não incluídos); desconto Marriott Explore (quartos, lojas, spa e restaurantes); uso gratuito da academia na propriedade (necessário termo de responsabilidade para uso da academia). Para obter a lista completa de benefícios, entre em contato com o RH. Turnos: mínimo de 35 horas/semana. Turnos de 8 horas. Manhã: 5h às 8h até 13h às 16h. Turno da tarde: 14h às 22h; Turno da noite: 22h30 às 7h (5 dias rotativos, incluindo fins de semana). Classificação da vaga: 35-2014.00 - Cozinheiros(as) de Restaurante. A classificação e descrição da vaga/setor incluem informações gerais sobre o cargo, de acordo com o ONET/OES e o Sistema de Classificação Industrial da América do Norte (NAICS). Consulte as Funções e a Ordem de Serviço para obter mais informações. Requisitos da vaga: Experiência necessária: Sim. Meses de experiência necessários: 12. Requisitos especiais: Ensino Médio completo ou equivalente. Um ano de experiência na área. Treinamento no local de trabalho oferecido. Capacidade de ficar em pé, sentado(a) ou caminhar por longos períodos ou durante todo o turno de trabalho. Alcançar objetos acima da cabeça e abaixo dos joelhos, incluindo agachar, torcer, puxar e curvar-se. Mover, levantar, carregar, empurrar, puxar e colocar objetos com peso igual ou inferior a 11 kg sem auxílio. Verificação de antecedentes pré-emprego realizada. Número de horas por semana: 35 Horário de trabalho (início/término): 5h00 - 13h00</v>
      </c>
    </row>
    <row r="2547" ht="20.25" customHeight="1">
      <c r="A2547" s="8" t="s">
        <v>11020</v>
      </c>
      <c r="B2547" s="8" t="s">
        <v>11021</v>
      </c>
      <c r="C2547" s="8" t="s">
        <v>9739</v>
      </c>
      <c r="D2547" s="8" t="s">
        <v>532</v>
      </c>
      <c r="E2547" s="9" t="s">
        <v>19</v>
      </c>
      <c r="F2547" s="9" t="s">
        <v>20</v>
      </c>
      <c r="G2547" s="9" t="s">
        <v>377</v>
      </c>
      <c r="H2547" s="8" t="s">
        <v>11022</v>
      </c>
      <c r="I2547" s="8" t="s">
        <v>11023</v>
      </c>
      <c r="J2547" s="9">
        <v>23.33</v>
      </c>
      <c r="K2547" s="9">
        <v>15.0</v>
      </c>
      <c r="L2547" s="8" t="s">
        <v>387</v>
      </c>
      <c r="M2547" s="8" t="s">
        <v>11024</v>
      </c>
      <c r="N2547" s="7" t="str">
        <f>IFERROR(__xludf.DUMMYFUNCTION("GOOGLETRANSLATE(L2547, ""en"", ""pt"")"),"Ordem de serviço não disponível")</f>
        <v>Ordem de serviço não disponível</v>
      </c>
      <c r="O2547" s="7" t="str">
        <f>IFERROR(__xludf.DUMMYFUNCTION("IF(M2547="""","""",GOOGLETRANSLATE(M2547,""en"",""pt""))"),"Responsabilidades: Preparar os ingredientes para o cozimento, incluindo porcionar, picar e armazenar os alimentos. Lavar e descascar frutas e verduras frescas. Pesar, medir e misturar os ingredientes. Preparar e cozinhar os alimentos de acordo com as rece"&amp;"itas, padrões de qualidade, padrões de apresentação e lista de verificação de preparação de alimentos. Preparar alimentos frios. Operar fornos, fogões, grelhas, micro-ondas e fritadeiras. Testar os alimentos para determinar se estão suficientemente cozido"&amp;"s. Monitorar a qualidade dos alimentos durante o preparo. Montar e desmontar a estação de trabalho. Servir os alimentos em porções adequadas em recipientes apropriados. Lavar e desinfetar a área da cozinha, mesas, utensílios, facas e equipamentos. Verific"&amp;"ar e garantir a temperatura correta dos eletrodomésticos e dos alimentos. Outras tarefas relacionadas. Requisitos: Não é necessário escolaridade. Seis meses de experiência na área são necessários. Deve ser capaz de ficar em pé, sentado ou caminhar por um "&amp;"longo período ou durante todo o turno de trabalho. Alcançar objetos acima da cabeça e abaixo dos joelhos, incluindo flexionar, torcer, puxar e abaixar. Mover, levantar, carregar, empurrar, puxar e colocar objetos com peso igual ou inferior a 11 kg sem aux"&amp;"ílio. Verificação de antecedentes criminais pré-emprego. Treinamento no local de trabalho oferecido. Salário: Mínimo de US$ 23,33/hora. Hora extra: US$ 34,99/hora. Elegível para diversos benefícios, incluindo descontos em viagens para funcionários; loja o"&amp;"nline; MEFCU; loja myCompany; myARL; Semana de Apreciação do Funcionário; refeitório – refeição gratuita por turno; lavanderia de uniforme. Para a lista completa de benefícios, entre em contato com o RH. Turnos: 6h às 14h30; 9h às 17h30; 14h30 às 23h; 22h"&amp;"30 às 7h. (5 dias rotativos, incluindo fins de semana). Classificação do Cargo: 35-2014.00 - Cozinheiros, Restaurante. A classificação e descrição do cargo/setor incluem informações gerais sobre a posição, de acordo com o ONET/OES e o Sistema de Classific"&amp;"ação Industrial da América do Norte. Consulte as Funções e a Ordem de Serviço para obter mais informações. Requisitos do Cargo: Experiência Necessária: Sim. Meses de Experiência Necessários: 6. Requisitos Especiais: Não é necessário escolaridade. É necess"&amp;"ário ter seis meses de experiência na área. O candidato deve ser capaz de ficar em pé, sentado ou caminhar por longos períodos ou durante todo o turno de trabalho. Deve ser capaz de alcançar objetos acima da cabeça e abaixo dos joelhos, incluindo agachar,"&amp;" torcer, puxar e curvar-se. Deve ser capaz de mover, levantar, carregar, empurrar, puxar e colocar objetos com peso igual ou inferior a 11 kg sem auxílio. Será realizada verificação de antecedentes criminais antes da contratação. Treinamento no local de t"&amp;"rabalho será oferecido. Número de horas por semana: 35. Horário de trabalho (início/término): 6h às 14h30.")</f>
        <v>Responsabilidades: Preparar os ingredientes para o cozimento, incluindo porcionar, picar e armazenar os alimentos. Lavar e descascar frutas e verduras frescas. Pesar, medir e misturar os ingredientes. Preparar e cozinhar os alimentos de acordo com as receitas, padrões de qualidade, padrões de apresentação e lista de verificação de preparação de alimentos. Preparar alimentos frios. Operar fornos, fogões, grelhas, micro-ondas e fritadeiras. Testar os alimentos para determinar se estão suficientemente cozidos. Monitorar a qualidade dos alimentos durante o preparo. Montar e desmontar a estação de trabalho. Servir os alimentos em porções adequadas em recipientes apropriados. Lavar e desinfetar a área da cozinha, mesas, utensílios, facas e equipamentos. Verificar e garantir a temperatura correta dos eletrodomésticos e dos alimentos. Outras tarefas relacionadas. Requisitos: Não é necessário escolaridade. Seis meses de experiência na área são necessários. Deve ser capaz de ficar em pé, sentado ou caminhar por um longo período ou durante todo o turno de trabalho. Alcançar objetos acima da cabeça e abaixo dos joelhos, incluindo flexionar, torcer, puxar e abaixar. Mover, levantar, carregar, empurrar, puxar e colocar objetos com peso igual ou inferior a 11 kg sem auxílio. Verificação de antecedentes criminais pré-emprego. Treinamento no local de trabalho oferecido. Salário: Mínimo de US$ 23,33/hora. Hora extra: US$ 34,99/hora. Elegível para diversos benefícios, incluindo descontos em viagens para funcionários; loja online; MEFCU; loja myCompany; myARL; Semana de Apreciação do Funcionário; refeitório – refeição gratuita por turno; lavanderia de uniforme. Para a lista completa de benefícios, entre em contato com o RH. Turnos: 6h às 14h30; 9h às 17h30; 14h30 às 23h; 22h30 às 7h. (5 dias rotativos, incluindo fins de semana). Classificação do Cargo: 35-2014.00 - Cozinheiros, Restaurante. A classificação e descrição do cargo/setor incluem informações gerais sobre a posição, de acordo com o ONET/OES e o Sistema de Classificação Industrial da América do Norte. Consulte as Funções e a Ordem de Serviço para obter mais informações. Requisitos do Cargo: Experiência Necessária: Sim. Meses de Experiência Necessários: 6. Requisitos Especiais: Não é necessário escolaridade. É necessário ter seis meses de experiência na área. O candidato deve ser capaz de ficar em pé, sentado ou caminhar por longos períodos ou durante todo o turno de trabalho. Deve ser capaz de alcançar objetos acima da cabeça e abaixo dos joelhos, incluindo agachar, torcer, puxar e curvar-se. Deve ser capaz de mover, levantar, carregar, empurrar, puxar e colocar objetos com peso igual ou inferior a 11 kg sem auxílio. Será realizada verificação de antecedentes criminais antes da contratação. Treinamento no local de trabalho será oferecido. Número de horas por semana: 35. Horário de trabalho (início/término): 6h às 14h30.</v>
      </c>
    </row>
    <row r="2548" ht="20.25" customHeight="1">
      <c r="A2548" s="3" t="s">
        <v>11025</v>
      </c>
      <c r="B2548" s="3" t="s">
        <v>11021</v>
      </c>
      <c r="C2548" s="3" t="s">
        <v>9739</v>
      </c>
      <c r="D2548" s="3" t="s">
        <v>532</v>
      </c>
      <c r="E2548" s="4" t="s">
        <v>19</v>
      </c>
      <c r="F2548" s="4" t="s">
        <v>20</v>
      </c>
      <c r="G2548" s="4" t="s">
        <v>377</v>
      </c>
      <c r="H2548" s="3" t="s">
        <v>11022</v>
      </c>
      <c r="I2548" s="3" t="s">
        <v>11023</v>
      </c>
      <c r="J2548" s="4">
        <v>24.55</v>
      </c>
      <c r="K2548" s="4">
        <v>3.0</v>
      </c>
      <c r="L2548" s="3" t="s">
        <v>11026</v>
      </c>
      <c r="M2548" s="3" t="s">
        <v>11027</v>
      </c>
      <c r="N2548" s="7" t="str">
        <f>IFERROR(__xludf.DUMMYFUNCTION("GOOGLETRANSLATE(L2548, ""en"", ""pt"")"),"Engenheiro de Manutenção de Instalações")</f>
        <v>Engenheiro de Manutenção de Instalações</v>
      </c>
      <c r="O2548" s="7" t="str">
        <f>IFERROR(__xludf.DUMMYFUNCTION("IF(M2548="""","""",GOOGLETRANSLATE(M2548,""en"",""pt""))"),"Responsabilidades: Atender e responder às solicitações de reparo dos hóspedes. Comunicar-se com os hóspedes/clientes para resolver problemas de manutenção com pouca ou nenhuma supervisão. Realizar manutenção preventiva em ferramentas e equipamentos, inclu"&amp;"indo limpeza e lubrificação. Inspecionar visualmente ferramentas, equipamentos ou máquinas. Transportar equipamentos (ex.: ferramentas, rádio). Identificar, localizar e operar todas as válvulas de fechamento de equipamentos e registros de edifícios. Mante"&amp;"r o inventário de manutenção e requisitar peças e suprimentos conforme necessário. Garantir que as atividades e problemas diários sejam comunicados aos outros turnos utilizando os programas e padrões de comunicação aprovados. Solucionar problemas e realiz"&amp;"ar reparos básicos em todos os tipos de equipamentos (ex.: substituição de bombas e motores), encanamento (ex.: desentupir vasos sanitários e ralos), equipamentos elétricos, incluindo lâmpadas, itens de decoração, extensões, aspiradores de pó, dispositivo"&amp;"s de internet, substituir interruptores e tomadas elétricas e outros itens dos quartos. Requisitos: Ensino médio completo ou equivalente (G.E.D.). Um ano de experiência na área é necessário. Deve ser capaz de mover, levantar, carregar, empurrar, puxar e c"&amp;"olocar objetos com peso igual ou inferior a 23 kg sem ajuda e realizar tarefas de levantamento ou movimentação mais pesadas com auxílio. Subir e descer escadas, rampas de serviço e/ou escadas de mão. Alcançar objetos acima da cabeça e abaixo dos joelhos, "&amp;"incluindo flexionar, torcer, puxar e abaixar. Inserir e localizar informações relacionadas ao trabalho usando computadores. Verificação de antecedentes criminais pré-emprego. Treinamento no local de trabalho fornecido. Salário: US$ 24,55/hora. Hora extra:"&amp;" US$ 36,83/hora. Elegível para diversos benefícios, incluindo descontos em viagens para funcionários; loja online; MEFCU; loja myCompany; myARL; semana de reconhecimento do funcionário; refeitório – refeição gratuita por turno; lavanderia de uniforme. Par"&amp;"a obter a lista completa de benefícios, entre em contato com o RH. Turnos: 6h às 14h30; 9h às 17h30; 14h30 às 23h; 22h30 às 7h. (5 dias rotativos, incluindo fins de semana). Classificação do Cargo: 49-9071.00 - Trabalhadores de Manutenção e Reparos, Geral"&amp;". A classificação e descrição do cargo/setor inclui informações gerais sobre a posição, de acordo com o ONET/OES e o Sistema de Classificação Industrial da América do Norte. Consulte as Funções e a Ordem de Serviço para obter mais informações. Requisitos "&amp;"do Cargo Experiência Necessária: Sim Meses de Experiência Necessários: 12 Requisitos Especiais: Diploma do Ensino Médio ou equivalente (GED). Um ano de experiência na área é necessário. Deve ser capaz de mover, levantar, carregar, empurrar, puxar e coloca"&amp;"r objetos com peso igual ou inferior a 23 kg sem ajuda e realizar tarefas de levantamento ou movimentação mais pesadas com ajuda. Subir e descer escadas, rampas de serviço e/ou escadas de mão. Alcançar objetos acima da cabeça e abaixo dos joelhos, incluin"&amp;"do flexionar, torcer, puxar e abaixar. Inserir e localizar informações relacionadas ao trabalho usando computadores. Verificação de antecedentes criminais pré-emprego. Treinamento no local de trabalho fornecido. Número de Horas por Semana: 35 Horário de T"&amp;"rabalho (Início/Término): 6h00. - 14h30")</f>
        <v>Responsabilidades: Atender e responder às solicitações de reparo dos hóspedes. Comunicar-se com os hóspedes/clientes para resolver problemas de manutenção com pouca ou nenhuma supervisão. Realizar manutenção preventiva em ferramentas e equipamentos, incluindo limpeza e lubrificação. Inspecionar visualmente ferramentas, equipamentos ou máquinas. Transportar equipamentos (ex.: ferramentas, rádio). Identificar, localizar e operar todas as válvulas de fechamento de equipamentos e registros de edifícios. Manter o inventário de manutenção e requisitar peças e suprimentos conforme necessário. Garantir que as atividades e problemas diários sejam comunicados aos outros turnos utilizando os programas e padrões de comunicação aprovados. Solucionar problemas e realizar reparos básicos em todos os tipos de equipamentos (ex.: substituição de bombas e motores), encanamento (ex.: desentupir vasos sanitários e ralos), equipamentos elétricos, incluindo lâmpadas, itens de decoração, extensões, aspiradores de pó, dispositivos de internet, substituir interruptores e tomadas elétricas e outros itens dos quartos. Requisitos: Ensino médio completo ou equivalente (G.E.D.). Um ano de experiência na área é necessário. Deve ser capaz de mover, levantar, carregar, empurrar, puxar e colocar objetos com peso igual ou inferior a 23 kg sem ajuda e realizar tarefas de levantamento ou movimentação mais pesadas com auxílio. Subir e descer escadas, rampas de serviço e/ou escadas de mão. Alcançar objetos acima da cabeça e abaixo dos joelhos, incluindo flexionar, torcer, puxar e abaixar. Inserir e localizar informações relacionadas ao trabalho usando computadores. Verificação de antecedentes criminais pré-emprego. Treinamento no local de trabalho fornecido. Salário: US$ 24,55/hora. Hora extra: US$ 36,83/hora. Elegível para diversos benefícios, incluindo descontos em viagens para funcionários; loja online; MEFCU; loja myCompany; myARL; semana de reconhecimento do funcionário; refeitório – refeição gratuita por turno; lavanderia de uniforme. Para obter a lista completa de benefícios, entre em contato com o RH. Turnos: 6h às 14h30; 9h às 17h30; 14h30 às 23h; 22h30 às 7h. (5 dias rotativos, incluindo fins de semana). Classificação do Cargo: 49-9071.00 - Trabalhadores de Manutenção e Reparos, Geral. A classificação e descrição do cargo/setor inclui informações gerais sobre a posição, de acordo com o ONET/OES e o Sistema de Classificação Industrial da América do Norte. Consulte as Funções e a Ordem de Serviço para obter mais informações. Requisitos do Cargo Experiência Necessária: Sim Meses de Experiência Necessários: 12 Requisitos Especiais: Diploma do Ensino Médio ou equivalente (GED). Um ano de experiência na área é necessário. Deve ser capaz de mover, levantar, carregar, empurrar, puxar e colocar objetos com peso igual ou inferior a 23 kg sem ajuda e realizar tarefas de levantamento ou movimentação mais pesadas com ajuda. Subir e descer escadas, rampas de serviço e/ou escadas de mão. Alcançar objetos acima da cabeça e abaixo dos joelhos, incluindo flexionar, torcer, puxar e abaixar. Inserir e localizar informações relacionadas ao trabalho usando computadores. Verificação de antecedentes criminais pré-emprego. Treinamento no local de trabalho fornecido. Número de Horas por Semana: 35 Horário de Trabalho (Início/Término): 6h00. - 14h30</v>
      </c>
    </row>
    <row r="2549" ht="20.25" customHeight="1">
      <c r="A2549" s="8" t="s">
        <v>11028</v>
      </c>
      <c r="B2549" s="8" t="s">
        <v>11029</v>
      </c>
      <c r="C2549" s="8" t="s">
        <v>10726</v>
      </c>
      <c r="D2549" s="8" t="s">
        <v>71</v>
      </c>
      <c r="E2549" s="9" t="s">
        <v>19</v>
      </c>
      <c r="F2549" s="9" t="s">
        <v>20</v>
      </c>
      <c r="G2549" s="9" t="s">
        <v>4629</v>
      </c>
      <c r="H2549" s="8" t="s">
        <v>11030</v>
      </c>
      <c r="I2549" s="8" t="s">
        <v>11031</v>
      </c>
      <c r="J2549" s="9">
        <v>16.29</v>
      </c>
      <c r="K2549" s="9">
        <v>20.0</v>
      </c>
      <c r="L2549" s="8" t="s">
        <v>4517</v>
      </c>
      <c r="M2549" s="8" t="s">
        <v>11032</v>
      </c>
      <c r="N2549" s="7" t="str">
        <f>IFERROR(__xludf.DUMMYFUNCTION("GOOGLETRANSLATE(L2549, ""en"", ""pt"")"),"tratador de estábulo")</f>
        <v>tratador de estábulo</v>
      </c>
      <c r="O2549" s="7" t="str">
        <f>IFERROR(__xludf.DUMMYFUNCTION("IF(M2549="""","""",GOOGLETRANSLATE(M2549,""en"",""pt""))"),"Cuidar de cavalos vivos. As tarefas incluem alimentar, dar água, banhar, exercitar, passear e embarcar os cavalos. Limpar e manter as baias. Trabalho em turnos divididos. Área de descanso fornecida. Classificação da vaga: 39-2021.00 - Cuidadores de Animai"&amp;"s. A classificação e descrição da vaga/setor inclui informações gerais sobre o cargo, de acordo com o ONET/OES e o Sistema de Classificação Industrial da América do Norte. Consulte as Funções e a Ordem de Serviço para obter mais informações. Requisitos da"&amp;" vaga: Experiência necessária: Não. Requisitos especiais: Disposição para trabalhar com cavalos vivos. Os funcionários terão direito a pelo menos 40 horas de trabalho por semana, de segunda a sábado, entre 6h e 11h30 e entre 14h30 e 16h. Número de horas p"&amp;"or semana: 40. Horário de trabalho (início/término): 6h às 16h.")</f>
        <v>Cuidar de cavalos vivos. As tarefas incluem alimentar, dar água, banhar, exercitar, passear e embarcar os cavalos. Limpar e manter as baias. Trabalho em turnos divididos. Área de descanso fornecida. Classificação da vaga: 39-2021.00 - Cuidadores de Animais. A classificação e descrição da vaga/setor inclui informações gerais sobre o cargo, de acordo com o ONET/OES e o Sistema de Classificação Industrial da América do Norte. Consulte as Funções e a Ordem de Serviço para obter mais informações. Requisitos da vaga: Experiência necessária: Não. Requisitos especiais: Disposição para trabalhar com cavalos vivos. Os funcionários terão direito a pelo menos 40 horas de trabalho por semana, de segunda a sábado, entre 6h e 11h30 e entre 14h30 e 16h. Número de horas por semana: 40. Horário de trabalho (início/término): 6h às 16h.</v>
      </c>
    </row>
    <row r="2550" ht="20.25" customHeight="1">
      <c r="A2550" s="3" t="s">
        <v>11033</v>
      </c>
      <c r="B2550" s="3" t="s">
        <v>351</v>
      </c>
      <c r="C2550" s="3"/>
      <c r="D2550" s="3" t="s">
        <v>71</v>
      </c>
      <c r="E2550" s="4" t="s">
        <v>19</v>
      </c>
      <c r="F2550" s="4" t="s">
        <v>20</v>
      </c>
      <c r="G2550" s="4" t="s">
        <v>155</v>
      </c>
      <c r="H2550" s="3" t="s">
        <v>352</v>
      </c>
      <c r="I2550" s="3" t="s">
        <v>11034</v>
      </c>
      <c r="J2550" s="4">
        <v>18.62</v>
      </c>
      <c r="K2550" s="4">
        <v>100.0</v>
      </c>
      <c r="L2550" s="3" t="s">
        <v>11035</v>
      </c>
      <c r="M2550" s="3" t="s">
        <v>11036</v>
      </c>
      <c r="N2550" s="7" t="str">
        <f>IFERROR(__xludf.DUMMYFUNCTION("GOOGLETRANSLATE(L2550, ""en"", ""pt"")"),"Garçonete")</f>
        <v>Garçonete</v>
      </c>
      <c r="O2550" s="7" t="str">
        <f>IFERROR(__xludf.DUMMYFUNCTION("IF(M2550="""","""",GOOGLETRANSLATE(M2550,""en"",""pt""))"),"Receber e acomodar os clientes de forma cortês e profissional. Apresentar os menus e explicar os itens, pratos especiais e bebidas. Anotar os pedidos de comida e bebida com precisão. Inserir os pedidos no sistema de ponto de venda. Servir comida e bebidas"&amp;" aos clientes. Monitorar a experiência gastronômica dos clientes e responder prontamente às solicitações. Preparar as mesas antes e depois do atendimento. Processar os pagamentos dos clientes e fornecer recibos. Manter a limpeza das áreas de refeição, est"&amp;"ações de serviço e mesas. Repor bebidas, condimentos, utensílios e suprimentos. Comunicar os pedidos e solicitações especiais dos clientes à equipe da cozinha. Seguir os padrões de segurança alimentar e higiene. Trabalhar com eficiência durante os período"&amp;"s de maior movimento e horários de pico do turismo. Classificação da vaga: 35-3031.00 - Garçons e Garçonetes. A classificação e descrição da vaga/setor inclui informações gerais sobre o cargo, de acordo com o ONET/OES e o Sistema de Classificação Industri"&amp;"al da América do Norte. Consulte as Funções e a Ordem de Serviço para obter mais informações. Requisitos da vaga: Experiência necessária: Não. Requisitos especiais: Não é necessário escolaridade ou experiência. O empregador fornecerá treinamento no local "&amp;"de trabalho. Deve ser capaz de ficar em pé e caminhar por longos períodos; levantar e carregar até 11 kg. Comunicar-se eficazmente com clientes e colegas de trabalho; manter uma aparência profissional e prestar um atendimento cortês ao cliente. Deve cumpr"&amp;"ir as políticas do empregador relativas à segurança alimentar, higiene e segurança no local de trabalho. Número de horas por semana: 40. Horário de trabalho (início/término): 14h00 - 22h00.")</f>
        <v>Receber e acomodar os clientes de forma cortês e profissional. Apresentar os menus e explicar os itens, pratos especiais e bebidas. Anotar os pedidos de comida e bebida com precisão. Inserir os pedidos no sistema de ponto de venda. Servir comida e bebidas aos clientes. Monitorar a experiência gastronômica dos clientes e responder prontamente às solicitações. Preparar as mesas antes e depois do atendimento. Processar os pagamentos dos clientes e fornecer recibos. Manter a limpeza das áreas de refeição, estações de serviço e mesas. Repor bebidas, condimentos, utensílios e suprimentos. Comunicar os pedidos e solicitações especiais dos clientes à equipe da cozinha. Seguir os padrões de segurança alimentar e higiene. Trabalhar com eficiência durante os períodos de maior movimento e horários de pico do turismo. Classificação da vaga: 35-3031.00 - Garçons e Garçonetes. A classificação e descrição da vaga/setor inclui informações gerais sobre o cargo, de acordo com o ONET/OES e o Sistema de Classificação Industrial da América do Norte. Consulte as Funções e a Ordem de Serviço para obter mais informações. Requisitos da vaga: Experiência necessária: Não. Requisitos especiais: Não é necessário escolaridade ou experiência. O empregador fornecerá treinamento no local de trabalho. Deve ser capaz de ficar em pé e caminhar por longos períodos; levantar e carregar até 11 kg. Comunicar-se eficazmente com clientes e colegas de trabalho; manter uma aparência profissional e prestar um atendimento cortês ao cliente. Deve cumprir as políticas do empregador relativas à segurança alimentar, higiene e segurança no local de trabalho. Número de horas por semana: 40. Horário de trabalho (início/término): 14h00 - 22h00.</v>
      </c>
    </row>
    <row r="2551" ht="20.25" customHeight="1">
      <c r="A2551" s="8" t="s">
        <v>11037</v>
      </c>
      <c r="B2551" s="8" t="s">
        <v>9580</v>
      </c>
      <c r="C2551" s="8"/>
      <c r="D2551" s="8" t="s">
        <v>87</v>
      </c>
      <c r="E2551" s="9" t="s">
        <v>19</v>
      </c>
      <c r="F2551" s="9" t="s">
        <v>20</v>
      </c>
      <c r="G2551" s="9" t="s">
        <v>524</v>
      </c>
      <c r="H2551" s="8" t="s">
        <v>9581</v>
      </c>
      <c r="I2551" s="8" t="s">
        <v>9582</v>
      </c>
      <c r="J2551" s="9">
        <v>15.15</v>
      </c>
      <c r="K2551" s="9">
        <v>15.0</v>
      </c>
      <c r="L2551" s="8" t="s">
        <v>354</v>
      </c>
      <c r="M2551" s="8" t="s">
        <v>11038</v>
      </c>
      <c r="N2551" s="7" t="str">
        <f>IFERROR(__xludf.DUMMYFUNCTION("GOOGLETRANSLATE(L2551, ""en"", ""pt"")"),"Governanta")</f>
        <v>Governanta</v>
      </c>
      <c r="O2551" s="7" t="str">
        <f>IFERROR(__xludf.DUMMYFUNCTION("IF(M2551="""","""",GOOGLETRANSLATE(M2551,""en"",""pt""))"),"Limpar quartos de hóspedes de acordo com padrões preestabelecidos. As principais tarefas incluem, mas não se limitam a: aspirar, tirar o pó, limpar banheiros, limpar cozinhas e arrumar camas. Manter o carrinho, a rouparia e os equipamentos limpos e organi"&amp;"zados. Seguir os procedimentos químicos estabelecidos. Entregar imediatamente todos os objetos encontrados nos quartos e manuseá-los de acordo com os procedimentos de Achados e Perdidos. Seguir todas as diretrizes de segurança e conservação de energia. Cl"&amp;"assificação da vaga: 37-2012.00 - Camareiras e Auxiliares de Limpeza. A classificação e descrição da vaga/setor incluem informações gerais sobre o cargo, de acordo com o ONET/OES e o Sistema de Classificação Industrial da América do Norte. Consulte as Fun"&amp;"ções e a Ordem de Serviço para obter mais informações. Requisitos da vaga: Experiência necessária: Sim. Meses de experiência necessários: 3. Número de horas por semana: 40. Horário de trabalho (início/término): 8h às 16h.")</f>
        <v>Limpar quartos de hóspedes de acordo com padrões preestabelecidos. As principais tarefas incluem, mas não se limitam a: aspirar, tirar o pó, limpar banheiros, limpar cozinhas e arrumar camas. Manter o carrinho, a rouparia e os equipamentos limpos e organizados. Seguir os procedimentos químicos estabelecidos. Entregar imediatamente todos os objetos encontrados nos quartos e manuseá-los de acordo com os procedimentos de Achados e Perdidos. Seguir todas as diretrizes de segurança e conservação de energia. Classificação da vaga: 37-2012.00 - Camareiras e Auxiliares de Limpeza. A classificação e descrição da vaga/setor incluem informações gerais sobre o cargo, de acordo com o ONET/OES e o Sistema de Classificação Industrial da América do Norte. Consulte as Funções e a Ordem de Serviço para obter mais informações. Requisitos da vaga: Experiência necessária: Sim. Meses de experiência necessários: 3. Número de horas por semana: 40. Horário de trabalho (início/término): 8h às 16h.</v>
      </c>
    </row>
    <row r="2552" ht="20.25" customHeight="1">
      <c r="A2552" s="3" t="s">
        <v>11039</v>
      </c>
      <c r="B2552" s="3" t="s">
        <v>11040</v>
      </c>
      <c r="C2552" s="3" t="s">
        <v>8641</v>
      </c>
      <c r="D2552" s="3" t="s">
        <v>28</v>
      </c>
      <c r="E2552" s="4" t="s">
        <v>19</v>
      </c>
      <c r="F2552" s="4" t="s">
        <v>20</v>
      </c>
      <c r="G2552" s="4" t="s">
        <v>377</v>
      </c>
      <c r="H2552" s="3" t="s">
        <v>11041</v>
      </c>
      <c r="I2552" s="3" t="s">
        <v>11042</v>
      </c>
      <c r="J2552" s="4">
        <v>13.54</v>
      </c>
      <c r="K2552" s="4">
        <v>20.0</v>
      </c>
      <c r="L2552" s="3" t="s">
        <v>11043</v>
      </c>
      <c r="M2552" s="3" t="s">
        <v>11044</v>
      </c>
      <c r="N2552" s="7" t="str">
        <f>IFERROR(__xludf.DUMMYFUNCTION("GOOGLETRANSLATE(L2552, ""en"", ""pt"")"),"Operário da Sala de Produção")</f>
        <v>Operário da Sala de Produção</v>
      </c>
      <c r="O2552" s="7" t="str">
        <f>IFERROR(__xludf.DUMMYFUNCTION("IF(M2552="""","""",GOOGLETRANSLATE(M2552,""en"",""pt""))"),"As funções podem incluir: embalagem de produtos; etiquetagem de produtos; carga e descarga de caminhões/caixas/paletes; carregamento de materiais e produtos em equipamentos de processamento de embalagens; medição, pesagem e contagem de produtos e materiai"&amp;"s; ensacamento de produtos; montagem, forro e acolchoamento de caixas, engradados e contêineres; envolvimento de produtos em paletes; garantir a limpeza, organização e segurança da área de trabalho; limpeza e manutenção do local de trabalho e dos equipame"&amp;"ntos. Classificação da função: 53-7064.00 - Embaladores e Operadores de Embaladores Manuais. A classificação e descrição da função/setor inclui informações gerais sobre o cargo, de acordo com o ONET/OES e o Sistema de Classificação Industrial da América d"&amp;"o Norte. Consulte as funções e a Ordem de Serviço para obter mais informações. Requisitos da função: Experiência necessária: Não. Requisitos especiais: Movimentos repetitivos; ficar em pé/sentado por longos períodos. Número de horas por semana: 40. Horári"&amp;"o de trabalho (início/término): 4h30 às 15h.")</f>
        <v>As funções podem incluir: embalagem de produtos; etiquetagem de produtos; carga e descarga de caminhões/caixas/paletes; carregamento de materiais e produtos em equipamentos de processamento de embalagens; medição, pesagem e contagem de produtos e materiais; ensacamento de produtos; montagem, forro e acolchoamento de caixas, engradados e contêineres; envolvimento de produtos em paletes; garantir a limpeza, organização e segurança da área de trabalho; limpeza e manutenção do local de trabalho e dos equipamentos. Classificação da função: 53-7064.00 - Embaladores e Operadores de Embaladores Manuais. A classificação e descrição da função/setor inclui informações gerais sobre o cargo, de acordo com o ONET/OES e o Sistema de Classificação Industrial da América do Norte. Consulte as funções e a Ordem de Serviço para obter mais informações. Requisitos da função: Experiência necessária: Não. Requisitos especiais: Movimentos repetitivos; ficar em pé/sentado por longos períodos. Número de horas por semana: 40. Horário de trabalho (início/término): 4h30 às 15h.</v>
      </c>
    </row>
    <row r="2553" ht="20.25" customHeight="1">
      <c r="A2553" s="8" t="s">
        <v>11045</v>
      </c>
      <c r="B2553" s="8" t="s">
        <v>10359</v>
      </c>
      <c r="C2553" s="8" t="s">
        <v>8981</v>
      </c>
      <c r="D2553" s="8" t="s">
        <v>71</v>
      </c>
      <c r="E2553" s="9" t="s">
        <v>19</v>
      </c>
      <c r="F2553" s="9" t="s">
        <v>20</v>
      </c>
      <c r="G2553" s="9" t="s">
        <v>524</v>
      </c>
      <c r="H2553" s="8" t="s">
        <v>10360</v>
      </c>
      <c r="I2553" s="8" t="s">
        <v>10361</v>
      </c>
      <c r="J2553" s="9">
        <v>18.5</v>
      </c>
      <c r="K2553" s="9">
        <v>13.0</v>
      </c>
      <c r="L2553" s="8" t="s">
        <v>586</v>
      </c>
      <c r="M2553" s="8" t="s">
        <v>10985</v>
      </c>
      <c r="N2553" s="7" t="str">
        <f>IFERROR(__xludf.DUMMYFUNCTION("GOOGLETRANSLATE(L2553, ""en"", ""pt"")"),"Cozinheiro de linha")</f>
        <v>Cozinheiro de linha</v>
      </c>
      <c r="O2553" s="7" t="str">
        <f>IFERROR(__xludf.DUMMYFUNCTION("IF(M2553="""","""",GOOGLETRANSLATE(M2553,""en"",""pt""))"),"Prepara, tempera e cozinha sopas, carnes, legumes, frutas, sobremesas e outros alimentos diversos para consumo; observa as diretrizes da receita e os procedimentos de higiene. *Continuação da Seção F.a.5 abaixo: 40 horas semanais. Os turnos serão de 8 hor"&amp;"as e podem variar conforme a necessidade, de acordo com o anúncio da vaga na Agência Estadual de Força de Trabalho e em outras fontes de anúncios de vagas H-2B, conforme os requisitos de recrutamento dos empregadores para trabalhadores em potencial no âmb"&amp;"ito do programa H-2B. Turnos variáveis ​​ao longo de 7 dias da semana. Os turnos podem variar: das 6h às 23h. Classificação da vaga: 35-2014.00 - Cozinheiros, Restaurante. A classificação e a descrição da vaga/setor incluem informações gerais sobre o carg"&amp;"o, de acordo com o ONET/OES e o Sistema de Classificação Industrial da América do Norte. Consulte as Funções e a Ordem de Serviço para obter mais informações. Requisitos da vaga: Experiência necessária: Não. Requisitos especiais: Capacidade de se comunica"&amp;"r em inglês. Número de horas por semana: 40. Horário de trabalho (início/término): 6h. - 23:00")</f>
        <v>Prepara, tempera e cozinha sopas, carnes, legumes, frutas, sobremesas e outros alimentos diversos para consumo; observa as diretrizes da receita e os procedimentos de higiene. *Continuação da Seção F.a.5 abaixo: 40 horas semanais. Os turnos serão de 8 horas e podem variar conforme a necessidade, de acordo com o anúncio da vaga na Agência Estadual de Força de Trabalho e em outras fontes de anúncios de vagas H-2B, conforme os requisitos de recrutamento dos empregadores para trabalhadores em potencial no âmbito do programa H-2B. Turnos variáveis ​​ao longo de 7 dias da semana. Os turnos podem variar: das 6h às 23h. Classificação da vaga: 35-2014.00 - Cozinheiros, Restaurante. A classificação e a descrição da vaga/setor incluem informações gerais sobre o cargo, de acordo com o ONET/OES e o Sistema de Classificação Industrial da América do Norte. Consulte as Funções e a Ordem de Serviço para obter mais informações. Requisitos da vaga: Experiência necessária: Não. Requisitos especiais: Capacidade de se comunicar em inglês. Número de horas por semana: 40. Horário de trabalho (início/término): 6h. - 23:00</v>
      </c>
    </row>
    <row r="2554" ht="20.25" customHeight="1">
      <c r="A2554" s="3" t="s">
        <v>11046</v>
      </c>
      <c r="B2554" s="3" t="s">
        <v>10359</v>
      </c>
      <c r="C2554" s="3" t="s">
        <v>8981</v>
      </c>
      <c r="D2554" s="3" t="s">
        <v>71</v>
      </c>
      <c r="E2554" s="4" t="s">
        <v>19</v>
      </c>
      <c r="F2554" s="4" t="s">
        <v>20</v>
      </c>
      <c r="G2554" s="4" t="s">
        <v>524</v>
      </c>
      <c r="H2554" s="3" t="s">
        <v>10360</v>
      </c>
      <c r="I2554" s="3" t="s">
        <v>10361</v>
      </c>
      <c r="J2554" s="4">
        <v>17.0</v>
      </c>
      <c r="K2554" s="4">
        <v>17.0</v>
      </c>
      <c r="L2554" s="3" t="s">
        <v>2821</v>
      </c>
      <c r="M2554" s="3" t="s">
        <v>11047</v>
      </c>
      <c r="N2554" s="7" t="str">
        <f>IFERROR(__xludf.DUMMYFUNCTION("GOOGLETRANSLATE(L2554, ""en"", ""pt"")"),"Auxiliar de Recreação")</f>
        <v>Auxiliar de Recreação</v>
      </c>
      <c r="O2554" s="7" t="str">
        <f>IFERROR(__xludf.DUMMYFUNCTION("IF(M2554="""","""",GOOGLETRANSLATE(M2554,""en"",""pt""))"),"O funcionário poderá ser solicitado a desempenhar qualquer uma das seguintes funções: monitorar as atividades no campo de golfe e no complexo de tênis; prestar assistência administrativa aos membros, incluindo a verificação de cartões de membro, confirmaç"&amp;"ão de reservas, organização de mercadorias e fornecimento de informações sobre as instalações; transportar os equipamentos de golfe dos membros de e para as instalações do clube. *Continuação da Seção F.a.5 abaixo: 40 horas semanais. Os turnos serão de 8 "&amp;"horas e podem variar conforme a necessidade, de acordo com o anúncio da vaga na Agência Estadual de Força de Trabalho e em outras fontes de anúncios de vagas H-2B, conforme os requisitos de recrutamento dos empregadores para trabalhadores em potencial no "&amp;"âmbito do programa H-2B. Turnos variáveis ​​ao longo de 7 dias da semana. Os turnos podem variar: das 6h às 23h. Classificação do Cargo: 39-3091.00 - Atendentes de Diversão e Recreação. A classificação e a descrição do cargo/setor incluem informações gera"&amp;"is sobre a posição, de acordo com o ONET/OES e o Sistema de Classificação Industrial da América do Norte. Consulte as Funções e a Ordem de Serviço para obter mais informações. Requisitos do Cargo: Experiência Necessária: Não. Requisitos Especiais: Habilid"&amp;"ade de se comunicar em inglês. Número de horas por semana: 40 Horário de trabalho (início/término): 6h00 - 23h00")</f>
        <v>O funcionário poderá ser solicitado a desempenhar qualquer uma das seguintes funções: monitorar as atividades no campo de golfe e no complexo de tênis; prestar assistência administrativa aos membros, incluindo a verificação de cartões de membro, confirmação de reservas, organização de mercadorias e fornecimento de informações sobre as instalações; transportar os equipamentos de golfe dos membros de e para as instalações do clube. *Continuação da Seção F.a.5 abaixo: 40 horas semanais. Os turnos serão de 8 horas e podem variar conforme a necessidade, de acordo com o anúncio da vaga na Agência Estadual de Força de Trabalho e em outras fontes de anúncios de vagas H-2B, conforme os requisitos de recrutamento dos empregadores para trabalhadores em potencial no âmbito do programa H-2B. Turnos variáveis ​​ao longo de 7 dias da semana. Os turnos podem variar: das 6h às 23h. Classificação do Cargo: 39-3091.00 - Atendentes de Diversão e Recreação. A classificação e a descrição do cargo/setor incluem informações gerais sobre a posição, de acordo com o ONET/OES e o Sistema de Classificação Industrial da América do Norte. Consulte as Funções e a Ordem de Serviço para obter mais informações. Requisitos do Cargo: Experiência Necessária: Não. Requisitos Especiais: Habilidade de se comunicar em inglês. Número de horas por semana: 40 Horário de trabalho (início/término): 6h00 - 23h00</v>
      </c>
    </row>
    <row r="2555" ht="20.25" customHeight="1">
      <c r="A2555" s="8" t="s">
        <v>11048</v>
      </c>
      <c r="B2555" s="8" t="s">
        <v>10359</v>
      </c>
      <c r="C2555" s="8" t="s">
        <v>8981</v>
      </c>
      <c r="D2555" s="8" t="s">
        <v>71</v>
      </c>
      <c r="E2555" s="9" t="s">
        <v>19</v>
      </c>
      <c r="F2555" s="9" t="s">
        <v>20</v>
      </c>
      <c r="G2555" s="9" t="s">
        <v>524</v>
      </c>
      <c r="H2555" s="8" t="s">
        <v>10360</v>
      </c>
      <c r="I2555" s="8" t="s">
        <v>10361</v>
      </c>
      <c r="J2555" s="9">
        <v>20.0</v>
      </c>
      <c r="K2555" s="9">
        <v>13.0</v>
      </c>
      <c r="L2555" s="8" t="s">
        <v>1684</v>
      </c>
      <c r="M2555" s="8" t="s">
        <v>11049</v>
      </c>
      <c r="N2555" s="7" t="str">
        <f>IFERROR(__xludf.DUMMYFUNCTION("GOOGLETRANSLATE(L2555, ""en"", ""pt"")"),"Barman")</f>
        <v>Barman</v>
      </c>
      <c r="O2555" s="7" t="str">
        <f>IFERROR(__xludf.DUMMYFUNCTION("IF(M2555="""","""",GOOGLETRANSLATE(M2555,""en"",""pt""))"),"Anotar pedidos de bebidas. Preparar e servir drinks. Limpar a área do bar. Poderá ser necessário anotar pedidos de comida e fazer recomendações sobre vinhos e outros produtos. Solicitar e exibir bebidas alcoólicas e suprimentos. Manter a área do bar limpa"&amp;" e trabalhar de acordo com as normas estaduais rigorosamente aplicadas. *Continuação da Seção F.a.5 abaixo: 40 horas semanais. Os turnos serão de 8 horas e podem variar conforme a necessidade, de acordo com o anúncio da vaga na Agência Estadual de Força d"&amp;"e Trabalho e em outras fontes de anúncios de vagas H-2B, conforme os requisitos de recrutamento dos empregadores para trabalhadores em potencial no âmbito do programa H-2B. Turnos variáveis ​​ao longo de 7 dias da semana. Os turnos podem variar das 6h às "&amp;"23h. Classificação da vaga: 35-3011.00 - Bartenders. A classificação e descrição da vaga/setor incluem informações gerais sobre o cargo, de acordo com o ONET/OES e o Sistema de Classificação Industrial da América do Norte. Consulte as Funções e a Ordem de"&amp;" Serviço para obter mais informações. Requisitos da vaga: Experiência necessária: Não. Requisitos especiais: HABILIDADE DE SE COMUNICAR EM INGLÊS. Número de horas por semana: 40 Horário de trabalho (início/término): 6h00 - 23h00")</f>
        <v>Anotar pedidos de bebidas. Preparar e servir drinks. Limpar a área do bar. Poderá ser necessário anotar pedidos de comida e fazer recomendações sobre vinhos e outros produtos. Solicitar e exibir bebidas alcoólicas e suprimentos. Manter a área do bar limpa e trabalhar de acordo com as normas estaduais rigorosamente aplicadas. *Continuação da Seção F.a.5 abaixo: 40 horas semanais. Os turnos serão de 8 horas e podem variar conforme a necessidade, de acordo com o anúncio da vaga na Agência Estadual de Força de Trabalho e em outras fontes de anúncios de vagas H-2B, conforme os requisitos de recrutamento dos empregadores para trabalhadores em potencial no âmbito do programa H-2B. Turnos variáveis ​​ao longo de 7 dias da semana. Os turnos podem variar das 6h às 23h. Classificação da vaga: 35-3011.00 - Bartenders. A classificação e descrição da vaga/setor incluem informações gerais sobre o cargo, de acordo com o ONET/OES e o Sistema de Classificação Industrial da América do Norte. Consulte as Funções e a Ordem de Serviço para obter mais informações. Requisitos da vaga: Experiência necessária: Não. Requisitos especiais: HABILIDADE DE SE COMUNICAR EM INGLÊS. Número de horas por semana: 40 Horário de trabalho (início/término): 6h00 - 23h00</v>
      </c>
    </row>
    <row r="2556" ht="20.25" customHeight="1">
      <c r="A2556" s="3" t="s">
        <v>11050</v>
      </c>
      <c r="B2556" s="3" t="s">
        <v>11051</v>
      </c>
      <c r="C2556" s="3" t="s">
        <v>9739</v>
      </c>
      <c r="D2556" s="3" t="s">
        <v>64</v>
      </c>
      <c r="E2556" s="4" t="s">
        <v>19</v>
      </c>
      <c r="F2556" s="4" t="s">
        <v>20</v>
      </c>
      <c r="G2556" s="4" t="s">
        <v>198</v>
      </c>
      <c r="H2556" s="3" t="s">
        <v>11052</v>
      </c>
      <c r="I2556" s="3" t="s">
        <v>11053</v>
      </c>
      <c r="J2556" s="4">
        <v>22.17</v>
      </c>
      <c r="K2556" s="4">
        <v>7.0</v>
      </c>
      <c r="L2556" s="3" t="s">
        <v>11054</v>
      </c>
      <c r="M2556" s="3" t="s">
        <v>11055</v>
      </c>
      <c r="N2556" s="7" t="str">
        <f>IFERROR(__xludf.DUMMYFUNCTION("GOOGLETRANSLATE(L2556, ""en"", ""pt"")"),"Alfaiate")</f>
        <v>Alfaiate</v>
      </c>
      <c r="O2556" s="7" t="str">
        <f>IFERROR(__xludf.DUMMYFUNCTION("IF(M2556="""","""",GOOGLETRANSLATE(M2556,""en"",""pt""))"),"Responsabilidades: Realizar ajustes básicos a intermediários em uma variedade de peças de vestuário, incluindo bainhas, ajustes de costura, substituição de zíperes e consertos em geral. Interpretar e seguir instruções de ajustes ou detalhes do pedido sem "&amp;"interação direta com o cliente. Operar máquinas de costura industriais (de uma agulha, overloque, ponto invisível, etc.) com proficiência. Inspecionar as peças finalizadas quanto à qualidade, precisão e conformidade com as especificações. Manter os padrõe"&amp;"s mínimos de produção da Ace Tailors e atingir as metas diárias de produção. Manter as estações de trabalho limpas, organizadas e abastecidas com as ferramentas e suprimentos necessários. Colaborar com os membros da equipe para garantir processos consiste"&amp;"ntes e compartilhar as melhores práticas. Manter os padrões de qualidade, segurança e profissionalismo da empresa em todos os momentos. Requisitos: Mínimo de 3 meses de experiência como costureiro(a) em máquina de costura industrial. Salário: De US$ 18,00"&amp;" a US$ 25,00 por hora. Horas extras podem ser feitas conforme a necessidade da empresa, pagas de US$ 27,00 a US$ 37,50 por hora. Refeições fornecidas durante o turno. Turnos: Mínimo de 35 horas por semana. Das 9h às 17h. De segunda a sexta-feira. Trabalho"&amp;" aos fins de semana é necessário conforme a necessidade da empresa. Classificação da vaga: 51-6052.00 - Alfaiates, Costureiros e Confeccionadores de Roupas Sob Medida. A classificação e descrição da vaga/setor incluem informações gerais sobre o cargo, de "&amp;"acordo com o ONET/OES e o Sistema de Classificação Industrial da América do Norte (NAICS). Consulte as Funções e a Ordem de Serviço para obter mais informações. Requisitos da vaga: Experiência necessária: Sim. Meses de experiência necessários: 3. Requisit"&amp;"os especiais: Mínimo de 3 meses de experiência como alfaiate em máquina de costura industrial. Número de horas por semana: 35. Horário de trabalho (início/término): 9h às 17h.")</f>
        <v>Responsabilidades: Realizar ajustes básicos a intermediários em uma variedade de peças de vestuário, incluindo bainhas, ajustes de costura, substituição de zíperes e consertos em geral. Interpretar e seguir instruções de ajustes ou detalhes do pedido sem interação direta com o cliente. Operar máquinas de costura industriais (de uma agulha, overloque, ponto invisível, etc.) com proficiência. Inspecionar as peças finalizadas quanto à qualidade, precisão e conformidade com as especificações. Manter os padrões mínimos de produção da Ace Tailors e atingir as metas diárias de produção. Manter as estações de trabalho limpas, organizadas e abastecidas com as ferramentas e suprimentos necessários. Colaborar com os membros da equipe para garantir processos consistentes e compartilhar as melhores práticas. Manter os padrões de qualidade, segurança e profissionalismo da empresa em todos os momentos. Requisitos: Mínimo de 3 meses de experiência como costureiro(a) em máquina de costura industrial. Salário: De US$ 18,00 a US$ 25,00 por hora. Horas extras podem ser feitas conforme a necessidade da empresa, pagas de US$ 27,00 a US$ 37,50 por hora. Refeições fornecidas durante o turno. Turnos: Mínimo de 35 horas por semana. Das 9h às 17h. De segunda a sexta-feira. Trabalho aos fins de semana é necessário conforme a necessidade da empresa. Classificação da vaga: 51-6052.00 - Alfaiates, Costureiros e Confeccionadores de Roupas Sob Medida. A classificação e descrição da vaga/setor incluem informações gerais sobre o cargo, de acordo com o ONET/OES e o Sistema de Classificação Industrial da América do Norte (NAICS). Consulte as Funções e a Ordem de Serviço para obter mais informações. Requisitos da vaga: Experiência necessária: Sim. Meses de experiência necessários: 3. Requisitos especiais: Mínimo de 3 meses de experiência como alfaiate em máquina de costura industrial. Número de horas por semana: 35. Horário de trabalho (início/término): 9h às 17h.</v>
      </c>
    </row>
    <row r="2557" ht="20.25" customHeight="1">
      <c r="A2557" s="8" t="s">
        <v>11056</v>
      </c>
      <c r="B2557" s="8" t="s">
        <v>11057</v>
      </c>
      <c r="C2557" s="8"/>
      <c r="D2557" s="8" t="s">
        <v>71</v>
      </c>
      <c r="E2557" s="9" t="s">
        <v>19</v>
      </c>
      <c r="F2557" s="9" t="s">
        <v>20</v>
      </c>
      <c r="G2557" s="9" t="s">
        <v>377</v>
      </c>
      <c r="H2557" s="8" t="s">
        <v>11058</v>
      </c>
      <c r="I2557" s="8"/>
      <c r="J2557" s="9">
        <v>15.27</v>
      </c>
      <c r="K2557" s="9">
        <v>17.0</v>
      </c>
      <c r="L2557" s="8" t="s">
        <v>527</v>
      </c>
      <c r="M2557" s="8" t="s">
        <v>11059</v>
      </c>
      <c r="N2557" s="7" t="str">
        <f>IFERROR(__xludf.DUMMYFUNCTION("GOOGLETRANSLATE(L2557, ""en"", ""pt"")"),"máquina de lavar louça")</f>
        <v>máquina de lavar louça</v>
      </c>
      <c r="O2557" s="7" t="str">
        <f>IFERROR(__xludf.DUMMYFUNCTION("IF(M2557="""","""",GOOGLETRANSLATE(M2557,""en"",""pt""))"),"Lava e higieniza todos os utensílios de cozinha, incluindo panelas, frigideiras, talheres e copos, utilizando a máquina de lavar louça em uma lanchonete. Guarda e armazena corretamente todos os equipamentos, pratos e utensílios limpos nas áreas de armazen"&amp;"amento designadas para uso. Abastece os balcões de serviço, armários, geladeiras e outras áreas designadas com pratos e utensílios limpos. Mantém a área de trabalho e a cozinha limpas, varrendo e passando pano conforme necessário e esvaziando as lixeiras "&amp;"regularmente. Classificação do Cargo: 35-9021.00 - Lavadores de Louça. A classificação e descrição do cargo/setor inclui informações gerais sobre a posição, de acordo com o ONET/OES e o Sistema de Classificação Industrial da América do Norte. Consulte as "&amp;"Funções e a Ordem de Serviço para obter mais informações. Requisitos do Cargo: Experiência Necessária: Não. Requisitos Especiais: SEGUNDO TURNO - 12h às 20h. Verificação de antecedentes criminais pré-contratação será realizada; Número de Horas por Semana:"&amp;" 35. Horário de Trabalho (Início/Término): 4h às 12h.")</f>
        <v>Lava e higieniza todos os utensílios de cozinha, incluindo panelas, frigideiras, talheres e copos, utilizando a máquina de lavar louça em uma lanchonete. Guarda e armazena corretamente todos os equipamentos, pratos e utensílios limpos nas áreas de armazenamento designadas para uso. Abastece os balcões de serviço, armários, geladeiras e outras áreas designadas com pratos e utensílios limpos. Mantém a área de trabalho e a cozinha limpas, varrendo e passando pano conforme necessário e esvaziando as lixeiras regularmente. Classificação do Cargo: 35-9021.00 - Lavadores de Louça. A classificação e descrição do cargo/setor inclui informações gerais sobre a posição, de acordo com o ONET/OES e o Sistema de Classificação Industrial da América do Norte. Consulte as Funções e a Ordem de Serviço para obter mais informações. Requisitos do Cargo: Experiência Necessária: Não. Requisitos Especiais: SEGUNDO TURNO - 12h às 20h. Verificação de antecedentes criminais pré-contratação será realizada; Número de Horas por Semana: 35. Horário de Trabalho (Início/Término): 4h às 12h.</v>
      </c>
    </row>
    <row r="2558" ht="20.25" customHeight="1">
      <c r="A2558" s="3" t="s">
        <v>11060</v>
      </c>
      <c r="B2558" s="3" t="s">
        <v>11057</v>
      </c>
      <c r="C2558" s="3"/>
      <c r="D2558" s="3" t="s">
        <v>71</v>
      </c>
      <c r="E2558" s="4" t="s">
        <v>44</v>
      </c>
      <c r="F2558" s="4" t="s">
        <v>20</v>
      </c>
      <c r="G2558" s="4" t="s">
        <v>377</v>
      </c>
      <c r="H2558" s="3" t="s">
        <v>11058</v>
      </c>
      <c r="I2558" s="3"/>
      <c r="J2558" s="4">
        <v>17.99</v>
      </c>
      <c r="K2558" s="4">
        <v>15.0</v>
      </c>
      <c r="L2558" s="3" t="s">
        <v>387</v>
      </c>
      <c r="M2558" s="3" t="s">
        <v>11061</v>
      </c>
      <c r="N2558" s="7" t="str">
        <f>IFERROR(__xludf.DUMMYFUNCTION("GOOGLETRANSLATE(L2558, ""en"", ""pt"")"),"Ordem de serviço não disponível")</f>
        <v>Ordem de serviço não disponível</v>
      </c>
      <c r="O2558" s="7" t="str">
        <f>IFERROR(__xludf.DUMMYFUNCTION("IF(M2558="""","""",GOOGLETRANSLATE(M2558,""en"",""pt""))"),"Preparar, temperar e cozinhar pratos como sopas, carnes, legumes ou sobremesas em restaurantes casuais, de acordo com as receitas da empresa. Executar todas as tarefas de cozinha necessárias para garantir que uma refeição seja preparada e apresentada adeq"&amp;"uadamente dentro do prazo estipulado. Garantir que as porções e a apresentação dos pratos atendam aos padrões do restaurante. Garantir o cumprimento das normas de saúde e segurança alimentar e, se necessário, solicitar suprimentos. As tarefas de cozinha s"&amp;"erão realizadas em um restaurante casual, onde o atendimento será feito por garçons. Classificação da vaga: 35-2014.00 - Cozinheiros, Restaurante. A classificação e a descrição da vaga/setor incluem informações gerais sobre o cargo, de acordo com o ONET/O"&amp;"ES e o Sistema de Classificação Industrial da América do Norte. Consulte as Funções e a Ordem de Serviço para obter mais informações. Requisitos da vaga: Experiência exigida: Não. Requisitos especiais: SEGUNDO TURNO - 12h às 20h. Será realizada verificaçã"&amp;"o de antecedentes criminais antes da contratação. Número de horas por semana: 35. Horário de trabalho (início/término): 4h às 12h.")</f>
        <v>Preparar, temperar e cozinhar pratos como sopas, carnes, legumes ou sobremesas em restaurantes casuais, de acordo com as receitas da empresa. Executar todas as tarefas de cozinha necessárias para garantir que uma refeição seja preparada e apresentada adequadamente dentro do prazo estipulado. Garantir que as porções e a apresentação dos pratos atendam aos padrões do restaurante. Garantir o cumprimento das normas de saúde e segurança alimentar e, se necessário, solicitar suprimentos. As tarefas de cozinha serão realizadas em um restaurante casual, onde o atendimento será feito por garçons. Classificação da vaga: 35-2014.00 - Cozinheiros, Restaurante. A classificação e a descrição da vaga/setor incluem informações gerais sobre o cargo, de acordo com o ONET/OES e o Sistema de Classificação Industrial da América do Norte. Consulte as Funções e a Ordem de Serviço para obter mais informações. Requisitos da vaga: Experiência exigida: Não. Requisitos especiais: SEGUNDO TURNO - 12h às 20h. Será realizada verificação de antecedentes criminais antes da contratação. Número de horas por semana: 35. Horário de trabalho (início/término): 4h às 12h.</v>
      </c>
    </row>
    <row r="2559" ht="20.25" customHeight="1">
      <c r="A2559" s="8" t="s">
        <v>11062</v>
      </c>
      <c r="B2559" s="8" t="s">
        <v>11057</v>
      </c>
      <c r="C2559" s="8"/>
      <c r="D2559" s="8" t="s">
        <v>18</v>
      </c>
      <c r="E2559" s="9" t="s">
        <v>19</v>
      </c>
      <c r="F2559" s="9" t="s">
        <v>20</v>
      </c>
      <c r="G2559" s="9" t="s">
        <v>377</v>
      </c>
      <c r="H2559" s="8" t="s">
        <v>11063</v>
      </c>
      <c r="I2559" s="8"/>
      <c r="J2559" s="9">
        <v>13.83</v>
      </c>
      <c r="K2559" s="9">
        <v>30.0</v>
      </c>
      <c r="L2559" s="8" t="s">
        <v>3312</v>
      </c>
      <c r="M2559" s="8" t="s">
        <v>11064</v>
      </c>
      <c r="N2559" s="7" t="str">
        <f>IFERROR(__xludf.DUMMYFUNCTION("GOOGLETRANSLATE(L2559, ""en"", ""pt"")"),"Anfitrião/anfitriã")</f>
        <v>Anfitrião/anfitriã</v>
      </c>
      <c r="O2559" s="7" t="str">
        <f>IFERROR(__xludf.DUMMYFUNCTION("IF(M2559="""","""",GOOGLETRANSLATE(M2559,""en"",""pt""))"),"Servir alimentos e bebidas ou recolher pratos e talheres das mesas. Inspecionar as áreas de refeição e serviço para garantir a limpeza e a organização adequadas. Manter contato com a equipe da cozinha, a gerência e os clientes para garantir que os detalhe"&amp;"s da refeição sejam tratados adequadamente e que as preocupações dos clientes sejam atendidas. Conversar com os clientes para garantir a satisfação com a comida e o serviço, responder a reclamações ou simplesmente iniciar uma conversa. Classificação da va"&amp;"ga: 35-9011.00 - Atendentes de Salão e Cafeteria e Auxiliares de Bar. A classificação e a descrição da vaga/setor incluem informações gerais sobre o cargo, de acordo com o ONET/OES e o Sistema de Classificação Industrial da América do Norte. Consulte as F"&amp;"unções e a Ordem de Serviço para obter mais informações. Requisitos da vaga: Experiência necessária: Não. Requisitos especiais: SEGUNDO TURNO - 16h às 00h. Verificação de antecedentes criminais pré-contratação. Número de horas por semana: 35. Horário de t"&amp;"rabalho (início/término): 8h às 16h.")</f>
        <v>Servir alimentos e bebidas ou recolher pratos e talheres das mesas. Inspecionar as áreas de refeição e serviço para garantir a limpeza e a organização adequadas. Manter contato com a equipe da cozinha, a gerência e os clientes para garantir que os detalhes da refeição sejam tratados adequadamente e que as preocupações dos clientes sejam atendidas. Conversar com os clientes para garantir a satisfação com a comida e o serviço, responder a reclamações ou simplesmente iniciar uma conversa. Classificação da vaga: 35-9011.00 - Atendentes de Salão e Cafeteria e Auxiliares de Bar. A classificação e a descrição da vaga/setor incluem informações gerais sobre o cargo, de acordo com o ONET/OES e o Sistema de Classificação Industrial da América do Norte. Consulte as Funções e a Ordem de Serviço para obter mais informações. Requisitos da vaga: Experiência necessária: Não. Requisitos especiais: SEGUNDO TURNO - 16h às 00h. Verificação de antecedentes criminais pré-contratação. Número de horas por semana: 35. Horário de trabalho (início/término): 8h às 16h.</v>
      </c>
    </row>
    <row r="2560" ht="20.25" customHeight="1">
      <c r="A2560" s="3" t="s">
        <v>11065</v>
      </c>
      <c r="B2560" s="3" t="s">
        <v>11057</v>
      </c>
      <c r="C2560" s="3"/>
      <c r="D2560" s="3" t="s">
        <v>18</v>
      </c>
      <c r="E2560" s="4" t="s">
        <v>19</v>
      </c>
      <c r="F2560" s="4" t="s">
        <v>20</v>
      </c>
      <c r="G2560" s="4" t="s">
        <v>377</v>
      </c>
      <c r="H2560" s="3" t="s">
        <v>11058</v>
      </c>
      <c r="I2560" s="3"/>
      <c r="J2560" s="4">
        <v>13.78</v>
      </c>
      <c r="K2560" s="4">
        <v>25.0</v>
      </c>
      <c r="L2560" s="3" t="s">
        <v>6141</v>
      </c>
      <c r="M2560" s="3" t="s">
        <v>11066</v>
      </c>
      <c r="N2560" s="7" t="str">
        <f>IFERROR(__xludf.DUMMYFUNCTION("GOOGLETRANSLATE(L2560, ""en"", ""pt"")"),"Serviços de limpeza")</f>
        <v>Serviços de limpeza</v>
      </c>
      <c r="O2560" s="7" t="str">
        <f>IFERROR(__xludf.DUMMYFUNCTION("IF(M2560="""","""",GOOGLETRANSLATE(M2560,""en"",""pt""))"),"Limpeza de móveis, cortinas e outras superfícies internas, colocação de cortinas quando necessário, separação, contagem e dobra de roupas de cama, movimentação e organização de móveis e camas, limpeza de banheiros e paredes, aspiração de pó, esvaziamento "&amp;"de lixeiras e cestos de lixo, remoção de roupas de cama sujas dos quartos para lavagem, reposição de suprimentos nos quartos, limpeza de corredores e elevadores, comunicação de equipamentos danificados à pessoa responsável, verificação de móveis, instalaç"&amp;"ões e acessórios para garantir que estejam em boas condições e manutenção da limpeza do ambiente. Classificação da vaga: 37-2012.00 - Empregadas Domésticas e Auxiliares de Limpeza. A classificação e descrição da vaga/setor inclui informações gerais sobre "&amp;"o cargo, de acordo com o ONET/OES e o Sistema de Classificação Industrial da América do Norte. Consulte as Funções e a Ordem de Serviço para obter mais informações. Requisitos da vaga: Experiência exigida: Não. Requisitos especiais: SEGUNDO TURNO - 17h às"&amp;" 1h. Verificação de antecedentes criminais pré-contratação. Número de horas por semana: 35. Horário de trabalho (início/término): 9h. - 17h00")</f>
        <v>Limpeza de móveis, cortinas e outras superfícies internas, colocação de cortinas quando necessário, separação, contagem e dobra de roupas de cama, movimentação e organização de móveis e camas, limpeza de banheiros e paredes, aspiração de pó, esvaziamento de lixeiras e cestos de lixo, remoção de roupas de cama sujas dos quartos para lavagem, reposição de suprimentos nos quartos, limpeza de corredores e elevadores, comunicação de equipamentos danificados à pessoa responsável, verificação de móveis, instalações e acessórios para garantir que estejam em boas condições e manutenção da limpeza do ambiente. Classificação da vaga: 37-2012.00 - Empregadas Domésticas e Auxiliares de Limpeza. A classificação e descrição da vaga/setor inclui informações gerais sobre o cargo, de acordo com o ONET/OES e o Sistema de Classificação Industrial da América do Norte. Consulte as Funções e a Ordem de Serviço para obter mais informações. Requisitos da vaga: Experiência exigida: Não. Requisitos especiais: SEGUNDO TURNO - 17h às 1h. Verificação de antecedentes criminais pré-contratação. Número de horas por semana: 35. Horário de trabalho (início/término): 9h. - 17h00</v>
      </c>
    </row>
    <row r="2561" ht="20.25" customHeight="1">
      <c r="A2561" s="8" t="s">
        <v>11067</v>
      </c>
      <c r="B2561" s="8" t="s">
        <v>11057</v>
      </c>
      <c r="C2561" s="8"/>
      <c r="D2561" s="8" t="s">
        <v>18</v>
      </c>
      <c r="E2561" s="9" t="s">
        <v>44</v>
      </c>
      <c r="F2561" s="9" t="s">
        <v>20</v>
      </c>
      <c r="G2561" s="9" t="s">
        <v>377</v>
      </c>
      <c r="H2561" s="8" t="s">
        <v>11063</v>
      </c>
      <c r="I2561" s="8"/>
      <c r="J2561" s="9">
        <v>13.78</v>
      </c>
      <c r="K2561" s="9">
        <v>25.0</v>
      </c>
      <c r="L2561" s="8" t="s">
        <v>6141</v>
      </c>
      <c r="M2561" s="8" t="s">
        <v>11068</v>
      </c>
      <c r="N2561" s="7" t="str">
        <f>IFERROR(__xludf.DUMMYFUNCTION("GOOGLETRANSLATE(L2561, ""en"", ""pt"")"),"Serviços de limpeza")</f>
        <v>Serviços de limpeza</v>
      </c>
      <c r="O2561" s="7" t="str">
        <f>IFERROR(__xludf.DUMMYFUNCTION("IF(M2561="""","""",GOOGLETRANSLATE(M2561,""en"",""pt""))"),"Limpeza de móveis, cortinas e outras superfícies internas, colocação de cortinas quando necessário, separação, contagem e dobra de roupas de cama, movimentação e organização de móveis e camas, limpeza de banheiros e paredes, aspiração de pó, esvaziamento "&amp;"de lixeiras e cestos de lixo, remoção de roupas de cama sujas dos quartos para lavagem, reposição de suprimentos nos quartos, limpeza de corredores e elevadores, comunicação de equipamentos danificados à pessoa responsável, verificação de móveis, instalaç"&amp;"ões e acessórios para garantir que estejam em boas condições e manutenção da limpeza do ambiente. Classificação da vaga: 37-2012.00 - Empregadas Domésticas e Auxiliares de Limpeza. A classificação e descrição da vaga/setor inclui informações gerais sobre "&amp;"o cargo, de acordo com o ONET/OES e o Sistema de Classificação Industrial da América do Norte. Consulte as Funções e a Ordem de Serviço para obter mais informações. Requisitos da vaga: Experiência necessária: Não. Requisitos especiais: SEGUNDO TURNO - 17h"&amp;" às 1h. Verificação de antecedentes criminais pré-contratação. Número de horas por semana: 36. Horário de trabalho (início/término): 9h. - 17h00")</f>
        <v>Limpeza de móveis, cortinas e outras superfícies internas, colocação de cortinas quando necessário, separação, contagem e dobra de roupas de cama, movimentação e organização de móveis e camas, limpeza de banheiros e paredes, aspiração de pó, esvaziamento de lixeiras e cestos de lixo, remoção de roupas de cama sujas dos quartos para lavagem, reposição de suprimentos nos quartos, limpeza de corredores e elevadores, comunicação de equipamentos danificados à pessoa responsável, verificação de móveis, instalações e acessórios para garantir que estejam em boas condições e manutenção da limpeza do ambiente. Classificação da vaga: 37-2012.00 - Empregadas Domésticas e Auxiliares de Limpeza. A classificação e descrição da vaga/setor inclui informações gerais sobre o cargo, de acordo com o ONET/OES e o Sistema de Classificação Industrial da América do Norte. Consulte as Funções e a Ordem de Serviço para obter mais informações. Requisitos da vaga: Experiência necessária: Não. Requisitos especiais: SEGUNDO TURNO - 17h às 1h. Verificação de antecedentes criminais pré-contratação. Número de horas por semana: 36. Horário de trabalho (início/término): 9h. - 17h00</v>
      </c>
    </row>
    <row r="2562" ht="20.25" customHeight="1">
      <c r="A2562" s="3" t="s">
        <v>11069</v>
      </c>
      <c r="B2562" s="3" t="s">
        <v>11070</v>
      </c>
      <c r="C2562" s="3" t="s">
        <v>8981</v>
      </c>
      <c r="D2562" s="3" t="s">
        <v>71</v>
      </c>
      <c r="E2562" s="4" t="s">
        <v>19</v>
      </c>
      <c r="F2562" s="4" t="s">
        <v>20</v>
      </c>
      <c r="G2562" s="4" t="s">
        <v>524</v>
      </c>
      <c r="H2562" s="3" t="s">
        <v>11071</v>
      </c>
      <c r="I2562" s="3" t="s">
        <v>11072</v>
      </c>
      <c r="J2562" s="4">
        <v>21.48</v>
      </c>
      <c r="K2562" s="4">
        <v>6.0</v>
      </c>
      <c r="L2562" s="3" t="s">
        <v>1684</v>
      </c>
      <c r="M2562" s="3" t="s">
        <v>11073</v>
      </c>
      <c r="N2562" s="7" t="str">
        <f>IFERROR(__xludf.DUMMYFUNCTION("GOOGLETRANSLATE(L2562, ""en"", ""pt"")"),"Barman")</f>
        <v>Barman</v>
      </c>
      <c r="O2562" s="7" t="str">
        <f>IFERROR(__xludf.DUMMYFUNCTION("IF(M2562="""","""",GOOGLETRANSLATE(M2562,""en"",""pt""))"),"Anotar pedidos de bebidas. Preparar e servir drinks. Limpar a área do bar. Poderá ser necessário anotar pedidos de comida e fazer recomendações sobre vinhos e outros produtos. Solicitar e exibir bebidas alcoólicas e suprimentos. Manter a área do bar limpa"&amp;" e trabalhar de acordo com as normas estaduais rigorosamente aplicadas. *Continuação da Seção F.a.5 abaixo: 35 horas semanais; O trabalho pode ser realizado em qualquer dia da semana, de segunda a domingo. Turnos variáveis ​​ao longo dos 7 dias da semana,"&amp;" que podem variar conforme a necessidade, de acordo com o anúncio da vaga na Agência Estadual de Força de Trabalho e em outras fontes de anúncios de vagas H2B, conforme os requisitos de recrutamento dos empregadores para trabalhadores em potencial no âmbi"&amp;"to do programa H2B; Os turnos podem variar: das 6h às 23h. Classificação da vaga: 35-3011.00 - Bartenders. A classificação e descrição da vaga/setor incluem informações gerais sobre o cargo, de acordo com o ONET/OES e o Sistema de Classificação Industrial"&amp;" da América do Norte. Consulte as Funções e a Ordem de Serviço para obter mais informações. Requisitos da vaga Experiência exigida: Não Requisitos especiais: O EMPREGADOR EXIGE QUE A VERIFICAÇÃO DE ANTECEDENTES CRIMINAIS PRÉ-ADMISSÃO E O TESTE DE DROGAS P"&amp;"ÓS-ADMISSÃO SEJAM REALIZADOS IGUALMENTE PARA TRABALHADORES AMERICANOS E TRABALHADORES COM VISTO H-2B. HABILIDADE DE SE COMUNICAR EM INGLÊS. Número de horas por semana: 35 Horário de trabalho (início/término): 6h às 23h")</f>
        <v>Anotar pedidos de bebidas. Preparar e servir drinks. Limpar a área do bar. Poderá ser necessário anotar pedidos de comida e fazer recomendações sobre vinhos e outros produtos. Solicitar e exibir bebidas alcoólicas e suprimentos. Manter a área do bar limpa e trabalhar de acordo com as normas estaduais rigorosamente aplicadas. *Continuação da Seção F.a.5 abaixo: 35 horas semanais; O trabalho pode ser realizado em qualquer dia da semana, de segunda a domingo. Turnos variáveis ​​ao longo dos 7 dias da semana, que podem variar conforme a necessidade, de acordo com o anúncio da vaga na Agência Estadual de Força de Trabalho e em outras fontes de anúncios de vagas H2B, conforme os requisitos de recrutamento dos empregadores para trabalhadores em potencial no âmbito do programa H2B; Os turnos podem variar: das 6h às 23h. Classificação da vaga: 35-3011.00 - Bartenders. A classificação e descrição da vaga/setor incluem informações gerais sobre o cargo, de acordo com o ONET/OES e o Sistema de Classificação Industrial da América do Norte. Consulte as Funções e a Ordem de Serviço para obter mais informações. Requisitos da vaga Experiência exigida: Não Requisitos especiais: O EMPREGADOR EXIGE QUE A VERIFICAÇÃO DE ANTECEDENTES CRIMINAIS PRÉ-ADMISSÃO E O TESTE DE DROGAS PÓS-ADMISSÃO SEJAM REALIZADOS IGUALMENTE PARA TRABALHADORES AMERICANOS E TRABALHADORES COM VISTO H-2B. HABILIDADE DE SE COMUNICAR EM INGLÊS. Número de horas por semana: 35 Horário de trabalho (início/término): 6h às 23h</v>
      </c>
    </row>
    <row r="2563" ht="20.25" customHeight="1">
      <c r="A2563" s="8" t="s">
        <v>11074</v>
      </c>
      <c r="B2563" s="8" t="s">
        <v>11070</v>
      </c>
      <c r="C2563" s="8" t="s">
        <v>8981</v>
      </c>
      <c r="D2563" s="8" t="s">
        <v>71</v>
      </c>
      <c r="E2563" s="9" t="s">
        <v>19</v>
      </c>
      <c r="F2563" s="9" t="s">
        <v>20</v>
      </c>
      <c r="G2563" s="9" t="s">
        <v>524</v>
      </c>
      <c r="H2563" s="8" t="s">
        <v>11071</v>
      </c>
      <c r="I2563" s="8" t="s">
        <v>11072</v>
      </c>
      <c r="J2563" s="9">
        <v>15.12</v>
      </c>
      <c r="K2563" s="9">
        <v>4.0</v>
      </c>
      <c r="L2563" s="8" t="s">
        <v>3312</v>
      </c>
      <c r="M2563" s="8" t="s">
        <v>11075</v>
      </c>
      <c r="N2563" s="7" t="str">
        <f>IFERROR(__xludf.DUMMYFUNCTION("GOOGLETRANSLATE(L2563, ""en"", ""pt"")"),"Anfitrião/anfitriã")</f>
        <v>Anfitrião/anfitriã</v>
      </c>
      <c r="O2563" s="7" t="str">
        <f>IFERROR(__xludf.DUMMYFUNCTION("IF(M2563="""","""",GOOGLETRANSLATE(M2563,""en"",""pt""))"),"Recepciona, acompanha e entrega os cardápios aos clientes; auxilia em tarefas diversas de limpeza/polimento, etc., conforme necessário. *Continuação da Seção F.a.5 abaixo: 35 horas semanais; o trabalho pode ser realizado em qualquer dia da semana, de segu"&amp;"nda a domingo. Turnos variáveis ​​ao longo dos 7 dias da semana, que podem variar conforme a necessidade, de acordo com o anúncio da vaga na Agência Estadual de Força de Trabalho e em outras fontes de anúncios de vagas H2B, conforme os requisitos de recru"&amp;"tamento dos empregadores para trabalhadores em potencial no âmbito do programa H2B; os turnos podem variar: das 6h às 23h. Classificação da vaga: 35-9031.00 - Recepcionistas, Restaurante, Bar e Cafeteria. A classificação e a descrição da vaga/setor inclue"&amp;"m informações gerais sobre o cargo, provenientes do ONET/OES e do Sistema de Classificação Industrial da América do Norte. Consulte as Funções e a Ordem de Serviço para obter mais informações. Requisitos da vaga Experiência exigida: Não Requisitos especia"&amp;"is: O EMPREGADOR EXIGE QUE A VERIFICAÇÃO DE ANTECEDENTES CRIMINAIS PRÉ-ADMISSÃO E O TESTE DE DROGAS PÓS-ADMISSÃO SEJAM REALIZADOS IGUALMENTE PARA TRABALHADORES AMERICANOS E TRABALHADORES COM VISTO H-2B. HABILIDADE DE SE COMUNICAR EM INGLÊS. Número de hora"&amp;"s por semana: 35 Horário de trabalho (início/término): 6h às 23h")</f>
        <v>Recepciona, acompanha e entrega os cardápios aos clientes; auxilia em tarefas diversas de limpeza/polimento, etc., conforme necessário. *Continuação da Seção F.a.5 abaixo: 35 horas semanais; o trabalho pode ser realizado em qualquer dia da semana, de segunda a domingo. Turnos variáveis ​​ao longo dos 7 dias da semana, que podem variar conforme a necessidade, de acordo com o anúncio da vaga na Agência Estadual de Força de Trabalho e em outras fontes de anúncios de vagas H2B, conforme os requisitos de recrutamento dos empregadores para trabalhadores em potencial no âmbito do programa H2B; os turnos podem variar: das 6h às 23h. Classificação da vaga: 35-9031.00 - Recepcionistas, Restaurante, Bar e Cafeteria. A classificação e a descrição da vaga/setor incluem informações gerais sobre o cargo, provenientes do ONET/OES e do Sistema de Classificação Industrial da América do Norte. Consulte as Funções e a Ordem de Serviço para obter mais informações. Requisitos da vaga Experiência exigida: Não Requisitos especiais: O EMPREGADOR EXIGE QUE A VERIFICAÇÃO DE ANTECEDENTES CRIMINAIS PRÉ-ADMISSÃO E O TESTE DE DROGAS PÓS-ADMISSÃO SEJAM REALIZADOS IGUALMENTE PARA TRABALHADORES AMERICANOS E TRABALHADORES COM VISTO H-2B. HABILIDADE DE SE COMUNICAR EM INGLÊS. Número de horas por semana: 35 Horário de trabalho (início/término): 6h às 23h</v>
      </c>
    </row>
    <row r="2564" ht="20.25" customHeight="1">
      <c r="A2564" s="3" t="s">
        <v>11076</v>
      </c>
      <c r="B2564" s="3" t="s">
        <v>11070</v>
      </c>
      <c r="C2564" s="3" t="s">
        <v>8981</v>
      </c>
      <c r="D2564" s="3" t="s">
        <v>71</v>
      </c>
      <c r="E2564" s="4" t="s">
        <v>19</v>
      </c>
      <c r="F2564" s="4" t="s">
        <v>20</v>
      </c>
      <c r="G2564" s="4" t="s">
        <v>524</v>
      </c>
      <c r="H2564" s="3" t="s">
        <v>11071</v>
      </c>
      <c r="I2564" s="3" t="s">
        <v>11072</v>
      </c>
      <c r="J2564" s="4">
        <v>24.46</v>
      </c>
      <c r="K2564" s="4">
        <v>3.0</v>
      </c>
      <c r="L2564" s="3" t="s">
        <v>4654</v>
      </c>
      <c r="M2564" s="3" t="s">
        <v>11077</v>
      </c>
      <c r="N2564" s="7" t="str">
        <f>IFERROR(__xludf.DUMMYFUNCTION("GOOGLETRANSLATE(L2564, ""en"", ""pt"")"),"Capitão do servidor")</f>
        <v>Capitão do servidor</v>
      </c>
      <c r="O2564" s="7" t="str">
        <f>IFERROR(__xludf.DUMMYFUNCTION("IF(M2564="""","""",GOOGLETRANSLATE(M2564,""en"",""pt""))"),"Supervisionar a equipe de atendimento durante a preparação, o serviço e a limpeza; treinar novos garçons no salão; construir e manter um bom relacionamento com os clientes e membros; assumir as funções de garçom quando necessário, especialmente no atendim"&amp;"ento a convidados de honra e VIPs; ser um exemplo a ser seguido e garantir o mais alto nível de serviço prestado pela equipe de atendimento. *Continuação da Seção F.a.5 abaixo: 35 horas semanais; o trabalho pode ser realizado em qualquer dia da semana, de"&amp;" segunda a domingo. Turnos variáveis ​​ao longo dos 7 dias da semana, que podem variar conforme a necessidade, de acordo com o anúncio da vaga na Agência Estadual de Força de Trabalho e em outras fontes de anúncios de vagas H2B, conforme os requisitos de "&amp;"recrutamento dos empregadores para trabalhadores em potencial no âmbito do programa H2B; os turnos podem variar: das 6h às 23h. Classificação do Cargo: 35-1012.00 - Supervisores de Primeira Linha de Preparadores e Servidores de Alimentos. A classificação "&amp;"e a descrição do cargo/setor incluem informações gerais sobre a posição, de acordo com o ONET/OES e o Sistema de Classificação Industrial da América do Norte. Consulte as Funções e a Ordem de Serviço para obter mais informações. Requisitos da vaga Experiê"&amp;"ncia necessária: Sim Meses de experiência necessários: 6 Requisitos especiais: O EMPREGADOR EXIGE QUE A VERIFICAÇÃO DE ANTECEDENTES CRIMINAIS PRÉ-ADMISSÃO E O TESTE DE DROGAS PÓS-ADMISSÃO SEJAM REALIZADOS IGUALMENTE PARA TRABALHADORES AMERICANOS E TRABALH"&amp;"ADORES COM VISTO H-2B. HABILIDADE DE SE COMUNICAR EM INGLÊS. OS 6 MESES DE EXPERIÊNCIA EXIGIDOS NO ITEM F.A.9 REFEREM-SE A 6 MESES DE EXPERIÊNCIA COMO GARÇOM OU GARÇOM SÊNIOR EM UM ESTABELECIMENTO DE HOSPITALIDADE. Número de horas por semana: 35 Horário d"&amp;"e trabalho (início/término): 6h00 - 23h00")</f>
        <v>Supervisionar a equipe de atendimento durante a preparação, o serviço e a limpeza; treinar novos garçons no salão; construir e manter um bom relacionamento com os clientes e membros; assumir as funções de garçom quando necessário, especialmente no atendimento a convidados de honra e VIPs; ser um exemplo a ser seguido e garantir o mais alto nível de serviço prestado pela equipe de atendimento. *Continuação da Seção F.a.5 abaixo: 35 horas semanais; o trabalho pode ser realizado em qualquer dia da semana, de segunda a domingo. Turnos variáveis ​​ao longo dos 7 dias da semana, que podem variar conforme a necessidade, de acordo com o anúncio da vaga na Agência Estadual de Força de Trabalho e em outras fontes de anúncios de vagas H2B, conforme os requisitos de recrutamento dos empregadores para trabalhadores em potencial no âmbito do programa H2B; os turnos podem variar: das 6h às 23h. Classificação do Cargo: 35-1012.00 - Supervisores de Primeira Linha de Preparadores e Servidores de Alimentos. A classificação e a descrição do cargo/setor incluem informações gerais sobre a posição, de acordo com o ONET/OES e o Sistema de Classificação Industrial da América do Norte. Consulte as Funções e a Ordem de Serviço para obter mais informações. Requisitos da vaga Experiência necessária: Sim Meses de experiência necessários: 6 Requisitos especiais: O EMPREGADOR EXIGE QUE A VERIFICAÇÃO DE ANTECEDENTES CRIMINAIS PRÉ-ADMISSÃO E O TESTE DE DROGAS PÓS-ADMISSÃO SEJAM REALIZADOS IGUALMENTE PARA TRABALHADORES AMERICANOS E TRABALHADORES COM VISTO H-2B. HABILIDADE DE SE COMUNICAR EM INGLÊS. OS 6 MESES DE EXPERIÊNCIA EXIGIDOS NO ITEM F.A.9 REFEREM-SE A 6 MESES DE EXPERIÊNCIA COMO GARÇOM OU GARÇOM SÊNIOR EM UM ESTABELECIMENTO DE HOSPITALIDADE. Número de horas por semana: 35 Horário de trabalho (início/término): 6h00 - 23h00</v>
      </c>
    </row>
    <row r="2565" ht="20.25" customHeight="1">
      <c r="A2565" s="8" t="s">
        <v>11078</v>
      </c>
      <c r="B2565" s="8" t="s">
        <v>11070</v>
      </c>
      <c r="C2565" s="8" t="s">
        <v>8981</v>
      </c>
      <c r="D2565" s="8" t="s">
        <v>71</v>
      </c>
      <c r="E2565" s="9" t="s">
        <v>19</v>
      </c>
      <c r="F2565" s="9" t="s">
        <v>20</v>
      </c>
      <c r="G2565" s="9" t="s">
        <v>524</v>
      </c>
      <c r="H2565" s="8" t="s">
        <v>11071</v>
      </c>
      <c r="I2565" s="8" t="s">
        <v>11072</v>
      </c>
      <c r="J2565" s="9">
        <v>20.13</v>
      </c>
      <c r="K2565" s="9">
        <v>36.0</v>
      </c>
      <c r="L2565" s="8" t="s">
        <v>1206</v>
      </c>
      <c r="M2565" s="8" t="s">
        <v>11079</v>
      </c>
      <c r="N2565" s="7" t="str">
        <f>IFERROR(__xludf.DUMMYFUNCTION("GOOGLETRANSLATE(L2565, ""en"", ""pt"")"),"Servidor")</f>
        <v>Servidor</v>
      </c>
      <c r="O2565" s="7" t="str">
        <f>IFERROR(__xludf.DUMMYFUNCTION("IF(M2565="""","""",GOOGLETRANSLATE(M2565,""en"",""pt""))"),"Receber e servir pedidos de comida e bebida; realizar a montagem e desmontagem de mesas e outras atividades diversas; pode ser necessário trabalhar em ambientes externos e em eventos de banquetes; pode ser necessário servir clientes utilizando carrinho de"&amp;" golfe. *Continuação da Seção F.a.5 abaixo: 35 horas semanais; o trabalho pode ser realizado em qualquer dia da semana, de segunda a domingo. Turnos variáveis ​​ao longo de 7 dias da semana, que podem variar conforme a necessidade, de acordo com o anúncio"&amp;" da vaga na Agência Estadual de Força de Trabalho e em outras fontes de anúncios de vagas H2B, conforme os requisitos de recrutamento dos empregadores para trabalhadores em potencial no âmbito do programa H2B; os turnos podem variar: das 6h às 23h. Classi"&amp;"ficação da vaga: 35-3031.00 - Garçons e Garçonetes. A classificação e descrição da vaga/setor incluem informações gerais sobre o cargo, provenientes do ONET/OES e do Sistema de Classificação Industrial da América do Norte. Consulte as Funções e a Ordem de"&amp;" Serviço para obter mais informações. Requisitos da vaga Experiência exigida: Não Requisitos especiais: O EMPREGADOR EXIGE QUE A VERIFICAÇÃO DE ANTECEDENTES CRIMINAIS PRÉ-ADMISSÃO E O TESTE DE DROGAS PÓS-ADMISSÃO SEJAM REALIZADOS IGUALMENTE PARA TRABALHAD"&amp;"ORES AMERICANOS E TRABALHADORES COM VISTO H-2B. HABILIDADE DE SE COMUNICAR EM INGLÊS. Número de horas por semana: 35 Horário de trabalho (início/término): 6h às 23h")</f>
        <v>Receber e servir pedidos de comida e bebida; realizar a montagem e desmontagem de mesas e outras atividades diversas; pode ser necessário trabalhar em ambientes externos e em eventos de banquetes; pode ser necessário servir clientes utilizando carrinho de golfe. *Continuação da Seção F.a.5 abaixo: 35 horas semanais; o trabalho pode ser realizado em qualquer dia da semana, de segunda a domingo. Turnos variáveis ​​ao longo de 7 dias da semana, que podem variar conforme a necessidade, de acordo com o anúncio da vaga na Agência Estadual de Força de Trabalho e em outras fontes de anúncios de vagas H2B, conforme os requisitos de recrutamento dos empregadores para trabalhadores em potencial no âmbito do programa H2B; os turnos podem variar: das 6h às 23h. Classificação da vaga: 35-3031.00 - Garçons e Garçonetes. A classificação e descrição da vaga/setor incluem informações gerais sobre o cargo, provenientes do ONET/OES e do Sistema de Classificação Industrial da América do Norte. Consulte as Funções e a Ordem de Serviço para obter mais informações. Requisitos da vaga Experiência exigida: Não Requisitos especiais: O EMPREGADOR EXIGE QUE A VERIFICAÇÃO DE ANTECEDENTES CRIMINAIS PRÉ-ADMISSÃO E O TESTE DE DROGAS PÓS-ADMISSÃO SEJAM REALIZADOS IGUALMENTE PARA TRABALHADORES AMERICANOS E TRABALHADORES COM VISTO H-2B. HABILIDADE DE SE COMUNICAR EM INGLÊS. Número de horas por semana: 35 Horário de trabalho (início/término): 6h às 23h</v>
      </c>
    </row>
    <row r="2566" ht="20.25" customHeight="1">
      <c r="A2566" s="3" t="s">
        <v>11080</v>
      </c>
      <c r="B2566" s="3" t="s">
        <v>11070</v>
      </c>
      <c r="C2566" s="3" t="s">
        <v>8981</v>
      </c>
      <c r="D2566" s="3" t="s">
        <v>71</v>
      </c>
      <c r="E2566" s="4" t="s">
        <v>44</v>
      </c>
      <c r="F2566" s="4" t="s">
        <v>20</v>
      </c>
      <c r="G2566" s="4" t="s">
        <v>524</v>
      </c>
      <c r="H2566" s="3" t="s">
        <v>11071</v>
      </c>
      <c r="I2566" s="3" t="s">
        <v>11072</v>
      </c>
      <c r="J2566" s="4">
        <v>19.88</v>
      </c>
      <c r="K2566" s="4">
        <v>16.0</v>
      </c>
      <c r="L2566" s="3" t="s">
        <v>586</v>
      </c>
      <c r="M2566" s="3" t="s">
        <v>11081</v>
      </c>
      <c r="N2566" s="7" t="str">
        <f>IFERROR(__xludf.DUMMYFUNCTION("GOOGLETRANSLATE(L2566, ""en"", ""pt"")"),"Cozinheiro de linha")</f>
        <v>Cozinheiro de linha</v>
      </c>
      <c r="O2566" s="7" t="str">
        <f>IFERROR(__xludf.DUMMYFUNCTION("IF(M2566="""","""",GOOGLETRANSLATE(M2566,""en"",""pt""))"),"Prepara, tempera e cozinha sopas, carnes, legumes, frutas, sobremesas e outros alimentos diversos para consumo; observa as diretrizes da receita e os procedimentos de higiene. *Continuação da Seção F.a.5 abaixo: 35 horas semanais; o trabalho pode ser real"&amp;"izado em qualquer dia da semana, de segunda a domingo. Turnos variáveis ​​ao longo de 7 dias da semana, que podem variar conforme a necessidade, de acordo com o anúncio da vaga na Agência Estadual de Força de Trabalho e em outras fontes de anúncios de vag"&amp;"as H2B, conforme os requisitos de recrutamento dos empregadores para trabalhadores em potencial no âmbito do programa H2B; os turnos podem variar: das 6h às 23h. Classificação do Cargo: 35-2014.00 - Cozinheiros, Restaurante. A classificação e a descrição "&amp;"do cargo/setor incluem informações gerais sobre a posição, de acordo com o ONET/OES e o Sistema de Classificação Industrial da América do Norte. Consulte as Funções e a Ordem de Serviço para obter mais informações. Requisitos da vaga Experiência exigida: "&amp;"Não Requisitos especiais: O EMPREGADOR EXIGE QUE A VERIFICAÇÃO DE ANTECEDENTES CRIMINAIS PRÉ-ADMISSÃO E O TESTE DE DROGAS PÓS-ADMISSÃO SEJAM REALIZADOS IGUALMENTE PARA TRABALHADORES AMERICANOS E TRABALHADORES COM VISTO H-2B. HABILIDADE DE SE COMUNICAR EM "&amp;"INGLÊS. Número de horas por semana: 35 Horário de trabalho (início/término): 6h às 23h")</f>
        <v>Prepara, tempera e cozinha sopas, carnes, legumes, frutas, sobremesas e outros alimentos diversos para consumo; observa as diretrizes da receita e os procedimentos de higiene. *Continuação da Seção F.a.5 abaixo: 35 horas semanais; o trabalho pode ser realizado em qualquer dia da semana, de segunda a domingo. Turnos variáveis ​​ao longo de 7 dias da semana, que podem variar conforme a necessidade, de acordo com o anúncio da vaga na Agência Estadual de Força de Trabalho e em outras fontes de anúncios de vagas H2B, conforme os requisitos de recrutamento dos empregadores para trabalhadores em potencial no âmbito do programa H2B; os turnos podem variar: das 6h às 23h. Classificação do Cargo: 35-2014.00 - Cozinheiros, Restaurante. A classificação e a descrição do cargo/setor incluem informações gerais sobre a posição, de acordo com o ONET/OES e o Sistema de Classificação Industrial da América do Norte. Consulte as Funções e a Ordem de Serviço para obter mais informações. Requisitos da vaga Experiência exigida: Não Requisitos especiais: O EMPREGADOR EXIGE QUE A VERIFICAÇÃO DE ANTECEDENTES CRIMINAIS PRÉ-ADMISSÃO E O TESTE DE DROGAS PÓS-ADMISSÃO SEJAM REALIZADOS IGUALMENTE PARA TRABALHADORES AMERICANOS E TRABALHADORES COM VISTO H-2B. HABILIDADE DE SE COMUNICAR EM INGLÊS. Número de horas por semana: 35 Horário de trabalho (início/término): 6h às 23h</v>
      </c>
    </row>
    <row r="2567" ht="20.25" customHeight="1">
      <c r="A2567" s="8" t="s">
        <v>11082</v>
      </c>
      <c r="B2567" s="8" t="s">
        <v>11070</v>
      </c>
      <c r="C2567" s="8" t="s">
        <v>8981</v>
      </c>
      <c r="D2567" s="8" t="s">
        <v>71</v>
      </c>
      <c r="E2567" s="9" t="s">
        <v>44</v>
      </c>
      <c r="F2567" s="9" t="s">
        <v>20</v>
      </c>
      <c r="G2567" s="9" t="s">
        <v>524</v>
      </c>
      <c r="H2567" s="8" t="s">
        <v>11071</v>
      </c>
      <c r="I2567" s="8" t="s">
        <v>11072</v>
      </c>
      <c r="J2567" s="9">
        <v>15.38</v>
      </c>
      <c r="K2567" s="9">
        <v>3.0</v>
      </c>
      <c r="L2567" s="8" t="s">
        <v>2821</v>
      </c>
      <c r="M2567" s="8" t="s">
        <v>11083</v>
      </c>
      <c r="N2567" s="7" t="str">
        <f>IFERROR(__xludf.DUMMYFUNCTION("GOOGLETRANSLATE(L2567, ""en"", ""pt"")"),"Auxiliar de Recreação")</f>
        <v>Auxiliar de Recreação</v>
      </c>
      <c r="O2567" s="7" t="str">
        <f>IFERROR(__xludf.DUMMYFUNCTION("IF(M2567="""","""",GOOGLETRANSLATE(M2567,""en"",""pt""))"),"O funcionário poderá ser solicitado a desempenhar qualquer uma das seguintes funções: monitorar as atividades no campo de golfe, complexo de tênis, complexo aquático, spa e academia; prestar assistência administrativa aos sócios, incluindo a verificação d"&amp;"e cartões de sócio, confirmação de reservas, organização de mercadorias e fornecimento de informações sobre as instalações; realizar a limpeza básica de carrinhos e tacos de golfe e transportar os equipamentos de golfe e automóveis dos sócios de e para as"&amp;" instalações. As funções relacionadas ao transporte de equipamentos de golfe e automóveis dos sócios de e para as instalações do clube exigem que o funcionário encontre o sócio na calçada; abra a porta do motorista imediatamente após a chegada; faça uma r"&amp;"ápida e discreta inspeção visual para verificar se há danos pré-existentes; transporte os sócios e suas bolsas de equipamentos de golfe em seus automóveis de e para uma área de armazenamento segura e designada para sócios do clube; carregue as bolsas de e"&amp;"quipamentos de golfe do automóvel para os carrinhos e certifique-se de que estejam prontas para o jogador na área de espera; limpe os tacos após o uso, devolva as bolsas de equipamentos de golfe ao armazenamento ou transporte-as de volta para o automóvel "&amp;"do sócio; leve o automóvel até a entrada das instalações do clube, mediante solicitação do sócio. *Continuação da Seção F.a.5 abaixo: 35 horas semanais; O trabalho pode ser realizado em qualquer dia da semana, de segunda a domingo. Turnos variáveis ​​ao l"&amp;"ongo de 7 dias da semana, que podem variar conforme a necessidade, conforme anunciado na ordem de serviço da Agência Estadual de Força de Trabalho e em outras fontes de anúncios de vagas H2B, de acordo com os requisitos de recrutamento dos empregadores pa"&amp;"ra trabalhadores em potencial no âmbito do programa H2B; Os turnos podem variar: das 6h às 23h. Classificação do Cargo: 53-6021.00 - Manobristas. A classificação e descrição do cargo/setor incluem informações gerais sobre a posição, provenientes do ONET/O"&amp;"ES e do Sistema de Classificação Industrial da América do Norte. Consulte as Funções e a Ordem de Serviço para obter mais informações. Requisitos do Cargo Experiência Necessária: Não. Requisitos Especiais: O EMPREGADOR EXIGE QUE A VERIFICAÇÃO DE ANTECEDEN"&amp;"TES CRIMINAIS PRÉ-ADMISSÃO E O TESTE DE DROGAS PÓS-ADMISSÃO SEJAM REALIZADOS IGUALMENTE PARA TRABALHADORES AMERICANOS E TRABALHADORES COM VISTO H-2B. HABILIDADE DE SE COMUNICAR EM INGLÊS. Número de horas por semana: 35. Horário de trabalho (início/término"&amp;"): 6h às 23h.")</f>
        <v>O funcionário poderá ser solicitado a desempenhar qualquer uma das seguintes funções: monitorar as atividades no campo de golfe, complexo de tênis, complexo aquático, spa e academia; prestar assistência administrativa aos sócios, incluindo a verificação de cartões de sócio, confirmação de reservas, organização de mercadorias e fornecimento de informações sobre as instalações; realizar a limpeza básica de carrinhos e tacos de golfe e transportar os equipamentos de golfe e automóveis dos sócios de e para as instalações. As funções relacionadas ao transporte de equipamentos de golfe e automóveis dos sócios de e para as instalações do clube exigem que o funcionário encontre o sócio na calçada; abra a porta do motorista imediatamente após a chegada; faça uma rápida e discreta inspeção visual para verificar se há danos pré-existentes; transporte os sócios e suas bolsas de equipamentos de golfe em seus automóveis de e para uma área de armazenamento segura e designada para sócios do clube; carregue as bolsas de equipamentos de golfe do automóvel para os carrinhos e certifique-se de que estejam prontas para o jogador na área de espera; limpe os tacos após o uso, devolva as bolsas de equipamentos de golfe ao armazenamento ou transporte-as de volta para o automóvel do sócio; leve o automóvel até a entrada das instalações do clube, mediante solicitação do sócio. *Continuação da Seção F.a.5 abaixo: 35 horas semanais; O trabalho pode ser realizado em qualquer dia da semana, de segunda a domingo. Turnos variáveis ​​ao longo de 7 dias da semana, que podem variar conforme a necessidade, conforme anunciado na ordem de serviço da Agência Estadual de Força de Trabalho e em outras fontes de anúncios de vagas H2B, de acordo com os requisitos de recrutamento dos empregadores para trabalhadores em potencial no âmbito do programa H2B; Os turnos podem variar: das 6h às 23h. Classificação do Cargo: 53-6021.00 - Manobristas. A classificação e descrição do cargo/setor incluem informações gerais sobre a posição, provenientes do ONET/OES e do Sistema de Classificação Industrial da América do Norte. Consulte as Funções e a Ordem de Serviço para obter mais informações. Requisitos do Cargo Experiência Necessária: Não. Requisitos Especiais: O EMPREGADOR EXIGE QUE A VERIFICAÇÃO DE ANTECEDENTES CRIMINAIS PRÉ-ADMISSÃO E O TESTE DE DROGAS PÓS-ADMISSÃO SEJAM REALIZADOS IGUALMENTE PARA TRABALHADORES AMERICANOS E TRABALHADORES COM VISTO H-2B. HABILIDADE DE SE COMUNICAR EM INGLÊS. Número de horas por semana: 35. Horário de trabalho (início/término): 6h às 23h.</v>
      </c>
    </row>
    <row r="2568" ht="20.25" customHeight="1">
      <c r="A2568" s="3" t="s">
        <v>11084</v>
      </c>
      <c r="B2568" s="3" t="s">
        <v>11085</v>
      </c>
      <c r="C2568" s="3" t="s">
        <v>8981</v>
      </c>
      <c r="D2568" s="3" t="s">
        <v>71</v>
      </c>
      <c r="E2568" s="4" t="s">
        <v>19</v>
      </c>
      <c r="F2568" s="4" t="s">
        <v>20</v>
      </c>
      <c r="G2568" s="4" t="s">
        <v>524</v>
      </c>
      <c r="H2568" s="3" t="s">
        <v>11071</v>
      </c>
      <c r="I2568" s="3" t="s">
        <v>11072</v>
      </c>
      <c r="J2568" s="4">
        <v>15.12</v>
      </c>
      <c r="K2568" s="4">
        <v>4.0</v>
      </c>
      <c r="L2568" s="3" t="s">
        <v>3312</v>
      </c>
      <c r="M2568" s="3" t="s">
        <v>11075</v>
      </c>
      <c r="N2568" s="7" t="str">
        <f>IFERROR(__xludf.DUMMYFUNCTION("GOOGLETRANSLATE(L2568, ""en"", ""pt"")"),"Anfitrião/anfitriã")</f>
        <v>Anfitrião/anfitriã</v>
      </c>
      <c r="O2568" s="7" t="str">
        <f>IFERROR(__xludf.DUMMYFUNCTION("IF(M2568="""","""",GOOGLETRANSLATE(M2568,""en"",""pt""))"),"Recepciona, acompanha e entrega os cardápios aos clientes; auxilia em tarefas diversas de limpeza/polimento, etc., conforme necessário. *Continuação da Seção F.a.5 abaixo: 35 horas semanais; o trabalho pode ser realizado em qualquer dia da semana, de segu"&amp;"nda a domingo. Turnos variáveis ​​ao longo dos 7 dias da semana, que podem variar conforme a necessidade, de acordo com o anúncio da vaga na Agência Estadual de Força de Trabalho e em outras fontes de anúncios de vagas H2B, conforme os requisitos de recru"&amp;"tamento dos empregadores para trabalhadores em potencial no âmbito do programa H2B; os turnos podem variar: das 6h às 23h. Classificação da vaga: 35-9031.00 - Recepcionistas, Restaurante, Bar e Cafeteria. A classificação e a descrição da vaga/setor inclue"&amp;"m informações gerais sobre o cargo, provenientes do ONET/OES e do Sistema de Classificação Industrial da América do Norte. Consulte as Funções e a Ordem de Serviço para obter mais informações. Requisitos da vaga Experiência exigida: Não Requisitos especia"&amp;"is: O EMPREGADOR EXIGE QUE A VERIFICAÇÃO DE ANTECEDENTES CRIMINAIS PRÉ-ADMISSÃO E O TESTE DE DROGAS PÓS-ADMISSÃO SEJAM REALIZADOS IGUALMENTE PARA TRABALHADORES AMERICANOS E TRABALHADORES COM VISTO H-2B. HABILIDADE DE SE COMUNICAR EM INGLÊS. Número de hora"&amp;"s por semana: 35 Horário de trabalho (início/término): 6h às 23h")</f>
        <v>Recepciona, acompanha e entrega os cardápios aos clientes; auxilia em tarefas diversas de limpeza/polimento, etc., conforme necessário. *Continuação da Seção F.a.5 abaixo: 35 horas semanais; o trabalho pode ser realizado em qualquer dia da semana, de segunda a domingo. Turnos variáveis ​​ao longo dos 7 dias da semana, que podem variar conforme a necessidade, de acordo com o anúncio da vaga na Agência Estadual de Força de Trabalho e em outras fontes de anúncios de vagas H2B, conforme os requisitos de recrutamento dos empregadores para trabalhadores em potencial no âmbito do programa H2B; os turnos podem variar: das 6h às 23h. Classificação da vaga: 35-9031.00 - Recepcionistas, Restaurante, Bar e Cafeteria. A classificação e a descrição da vaga/setor incluem informações gerais sobre o cargo, provenientes do ONET/OES e do Sistema de Classificação Industrial da América do Norte. Consulte as Funções e a Ordem de Serviço para obter mais informações. Requisitos da vaga Experiência exigida: Não Requisitos especiais: O EMPREGADOR EXIGE QUE A VERIFICAÇÃO DE ANTECEDENTES CRIMINAIS PRÉ-ADMISSÃO E O TESTE DE DROGAS PÓS-ADMISSÃO SEJAM REALIZADOS IGUALMENTE PARA TRABALHADORES AMERICANOS E TRABALHADORES COM VISTO H-2B. HABILIDADE DE SE COMUNICAR EM INGLÊS. Número de horas por semana: 35 Horário de trabalho (início/término): 6h às 23h</v>
      </c>
    </row>
    <row r="2569" ht="20.25" customHeight="1">
      <c r="A2569" s="8" t="s">
        <v>11086</v>
      </c>
      <c r="B2569" s="8" t="s">
        <v>11085</v>
      </c>
      <c r="C2569" s="8" t="s">
        <v>8981</v>
      </c>
      <c r="D2569" s="8" t="s">
        <v>71</v>
      </c>
      <c r="E2569" s="9" t="s">
        <v>19</v>
      </c>
      <c r="F2569" s="9" t="s">
        <v>20</v>
      </c>
      <c r="G2569" s="9" t="s">
        <v>524</v>
      </c>
      <c r="H2569" s="8" t="s">
        <v>11071</v>
      </c>
      <c r="I2569" s="8" t="s">
        <v>11072</v>
      </c>
      <c r="J2569" s="9">
        <v>19.88</v>
      </c>
      <c r="K2569" s="9">
        <v>16.0</v>
      </c>
      <c r="L2569" s="8" t="s">
        <v>586</v>
      </c>
      <c r="M2569" s="8" t="s">
        <v>11081</v>
      </c>
      <c r="N2569" s="7" t="str">
        <f>IFERROR(__xludf.DUMMYFUNCTION("GOOGLETRANSLATE(L2569, ""en"", ""pt"")"),"Cozinheiro de linha")</f>
        <v>Cozinheiro de linha</v>
      </c>
      <c r="O2569" s="7" t="str">
        <f>IFERROR(__xludf.DUMMYFUNCTION("IF(M2569="""","""",GOOGLETRANSLATE(M2569,""en"",""pt""))"),"Prepara, tempera e cozinha sopas, carnes, legumes, frutas, sobremesas e outros alimentos diversos para consumo; observa as diretrizes da receita e os procedimentos de higiene. *Continuação da Seção F.a.5 abaixo: 35 horas semanais; o trabalho pode ser real"&amp;"izado em qualquer dia da semana, de segunda a domingo. Turnos variáveis ​​ao longo de 7 dias da semana, que podem variar conforme a necessidade, de acordo com o anúncio da vaga na Agência Estadual de Força de Trabalho e em outras fontes de anúncios de vag"&amp;"as H2B, conforme os requisitos de recrutamento dos empregadores para trabalhadores em potencial no âmbito do programa H2B; os turnos podem variar: das 6h às 23h. Classificação do Cargo: 35-2014.00 - Cozinheiros, Restaurante. A classificação e a descrição "&amp;"do cargo/setor incluem informações gerais sobre a posição, de acordo com o ONET/OES e o Sistema de Classificação Industrial da América do Norte. Consulte as Funções e a Ordem de Serviço para obter mais informações. Requisitos da vaga Experiência exigida: "&amp;"Não Requisitos especiais: O EMPREGADOR EXIGE QUE A VERIFICAÇÃO DE ANTECEDENTES CRIMINAIS PRÉ-ADMISSÃO E O TESTE DE DROGAS PÓS-ADMISSÃO SEJAM REALIZADOS IGUALMENTE PARA TRABALHADORES AMERICANOS E TRABALHADORES COM VISTO H-2B. HABILIDADE DE SE COMUNICAR EM "&amp;"INGLÊS. Número de horas por semana: 35 Horário de trabalho (início/término): 6h às 23h")</f>
        <v>Prepara, tempera e cozinha sopas, carnes, legumes, frutas, sobremesas e outros alimentos diversos para consumo; observa as diretrizes da receita e os procedimentos de higiene. *Continuação da Seção F.a.5 abaixo: 35 horas semanais; o trabalho pode ser realizado em qualquer dia da semana, de segunda a domingo. Turnos variáveis ​​ao longo de 7 dias da semana, que podem variar conforme a necessidade, de acordo com o anúncio da vaga na Agência Estadual de Força de Trabalho e em outras fontes de anúncios de vagas H2B, conforme os requisitos de recrutamento dos empregadores para trabalhadores em potencial no âmbito do programa H2B; os turnos podem variar: das 6h às 23h. Classificação do Cargo: 35-2014.00 - Cozinheiros, Restaurante. A classificação e a descrição do cargo/setor incluem informações gerais sobre a posição, de acordo com o ONET/OES e o Sistema de Classificação Industrial da América do Norte. Consulte as Funções e a Ordem de Serviço para obter mais informações. Requisitos da vaga Experiência exigida: Não Requisitos especiais: O EMPREGADOR EXIGE QUE A VERIFICAÇÃO DE ANTECEDENTES CRIMINAIS PRÉ-ADMISSÃO E O TESTE DE DROGAS PÓS-ADMISSÃO SEJAM REALIZADOS IGUALMENTE PARA TRABALHADORES AMERICANOS E TRABALHADORES COM VISTO H-2B. HABILIDADE DE SE COMUNICAR EM INGLÊS. Número de horas por semana: 35 Horário de trabalho (início/término): 6h às 23h</v>
      </c>
    </row>
    <row r="2570" ht="20.25" customHeight="1">
      <c r="A2570" s="3" t="s">
        <v>11087</v>
      </c>
      <c r="B2570" s="3" t="s">
        <v>11085</v>
      </c>
      <c r="C2570" s="3" t="s">
        <v>8981</v>
      </c>
      <c r="D2570" s="3" t="s">
        <v>71</v>
      </c>
      <c r="E2570" s="4" t="s">
        <v>19</v>
      </c>
      <c r="F2570" s="4" t="s">
        <v>20</v>
      </c>
      <c r="G2570" s="4" t="s">
        <v>524</v>
      </c>
      <c r="H2570" s="3" t="s">
        <v>11071</v>
      </c>
      <c r="I2570" s="3" t="s">
        <v>11072</v>
      </c>
      <c r="J2570" s="4">
        <v>24.46</v>
      </c>
      <c r="K2570" s="4">
        <v>2.0</v>
      </c>
      <c r="L2570" s="3" t="s">
        <v>4654</v>
      </c>
      <c r="M2570" s="3" t="s">
        <v>11088</v>
      </c>
      <c r="N2570" s="7" t="str">
        <f>IFERROR(__xludf.DUMMYFUNCTION("GOOGLETRANSLATE(L2570, ""en"", ""pt"")"),"Capitão do servidor")</f>
        <v>Capitão do servidor</v>
      </c>
      <c r="O2570" s="7" t="str">
        <f>IFERROR(__xludf.DUMMYFUNCTION("IF(M2570="""","""",GOOGLETRANSLATE(M2570,""en"",""pt""))"),"Supervisionar a equipe de atendimento durante a preparação, o serviço e a limpeza; treinar novos garçons no salão; construir e manter um bom relacionamento com os membros do clube; assumir funções de garçom quando necessário, especialmente no atendimento "&amp;"a convidados de honra e VIPs; ser um exemplo a ser seguido e garantir o mais alto nível de serviço prestado pela equipe de atendimento do clube. *Continuação da Seção F.a.5 abaixo: 35 horas semanais; o trabalho pode ser realizado em qualquer dia da semana"&amp;", de segunda a domingo. Turnos variáveis ​​ao longo dos 7 dias da semana, que podem variar conforme a necessidade, de acordo com o anúncio da vaga na Agência Estadual de Força de Trabalho e em outras fontes de anúncios de vagas H2B, conforme os requisitos"&amp;" de recrutamento dos empregadores para trabalhadores em potencial no âmbito do programa H2B; os turnos podem variar: das 6h às 23h. Classificação do Cargo: 35-1012.00 - Supervisores de Primeira Linha de Preparadores e Servidores de Alimentos. A classifica"&amp;"ção e a descrição do cargo/setor incluem informações gerais sobre a posição, de acordo com o ONET/OES e o Sistema de Classificação Industrial da América do Norte. Consulte as Funções e a Ordem de Serviço para obter mais informações. Requisitos da vaga Exp"&amp;"eriência necessária: Sim Meses de experiência necessários: 6 Requisitos especiais: O EMPREGADOR EXIGE QUE A VERIFICAÇÃO DE ANTECEDENTES CRIMINAIS PRÉ-ADMISSÃO E O TESTE DE DROGAS PÓS-ADMISSÃO SEJAM REALIZADOS IGUALMENTE PARA TRABALHADORES AMERICANOS E TRA"&amp;"BALHADORES COM VISTO H-2B. HABILIDADE DE SE COMUNICAR EM INGLÊS. OS 6 MESES DE EXPERIÊNCIA EXIGIDOS NO ITEM F.A.9 REFEREM-SE A 6 MESES DE EXPERIÊNCIA COMO GARÇOM OU GARÇOM SÊNIOR EM UM ESTABELECIMENTO DE HOSPITALIDADE. Número de horas por semana: 35 Horár"&amp;"io de trabalho (início/término): 6h00 - 23h00")</f>
        <v>Supervisionar a equipe de atendimento durante a preparação, o serviço e a limpeza; treinar novos garçons no salão; construir e manter um bom relacionamento com os membros do clube; assumir funções de garçom quando necessário, especialmente no atendimento a convidados de honra e VIPs; ser um exemplo a ser seguido e garantir o mais alto nível de serviço prestado pela equipe de atendimento do clube. *Continuação da Seção F.a.5 abaixo: 35 horas semanais; o trabalho pode ser realizado em qualquer dia da semana, de segunda a domingo. Turnos variáveis ​​ao longo dos 7 dias da semana, que podem variar conforme a necessidade, de acordo com o anúncio da vaga na Agência Estadual de Força de Trabalho e em outras fontes de anúncios de vagas H2B, conforme os requisitos de recrutamento dos empregadores para trabalhadores em potencial no âmbito do programa H2B; os turnos podem variar: das 6h às 23h. Classificação do Cargo: 35-1012.00 - Supervisores de Primeira Linha de Preparadores e Servidores de Alimentos. A classificação e a descrição do cargo/setor incluem informações gerais sobre a posição, de acordo com o ONET/OES e o Sistema de Classificação Industrial da América do Norte. Consulte as Funções e a Ordem de Serviço para obter mais informações. Requisitos da vaga Experiência necessária: Sim Meses de experiência necessários: 6 Requisitos especiais: O EMPREGADOR EXIGE QUE A VERIFICAÇÃO DE ANTECEDENTES CRIMINAIS PRÉ-ADMISSÃO E O TESTE DE DROGAS PÓS-ADMISSÃO SEJAM REALIZADOS IGUALMENTE PARA TRABALHADORES AMERICANOS E TRABALHADORES COM VISTO H-2B. HABILIDADE DE SE COMUNICAR EM INGLÊS. OS 6 MESES DE EXPERIÊNCIA EXIGIDOS NO ITEM F.A.9 REFEREM-SE A 6 MESES DE EXPERIÊNCIA COMO GARÇOM OU GARÇOM SÊNIOR EM UM ESTABELECIMENTO DE HOSPITALIDADE. Número de horas por semana: 35 Horário de trabalho (início/término): 6h00 - 23h00</v>
      </c>
    </row>
    <row r="2571" ht="20.25" customHeight="1">
      <c r="A2571" s="8" t="s">
        <v>11089</v>
      </c>
      <c r="B2571" s="8" t="s">
        <v>11085</v>
      </c>
      <c r="C2571" s="8" t="s">
        <v>8981</v>
      </c>
      <c r="D2571" s="8" t="s">
        <v>71</v>
      </c>
      <c r="E2571" s="9" t="s">
        <v>19</v>
      </c>
      <c r="F2571" s="9" t="s">
        <v>20</v>
      </c>
      <c r="G2571" s="9" t="s">
        <v>524</v>
      </c>
      <c r="H2571" s="8" t="s">
        <v>11071</v>
      </c>
      <c r="I2571" s="8" t="s">
        <v>11072</v>
      </c>
      <c r="J2571" s="9">
        <v>20.13</v>
      </c>
      <c r="K2571" s="9">
        <v>31.0</v>
      </c>
      <c r="L2571" s="8" t="s">
        <v>1206</v>
      </c>
      <c r="M2571" s="8" t="s">
        <v>11079</v>
      </c>
      <c r="N2571" s="7" t="str">
        <f>IFERROR(__xludf.DUMMYFUNCTION("GOOGLETRANSLATE(L2571, ""en"", ""pt"")"),"Servidor")</f>
        <v>Servidor</v>
      </c>
      <c r="O2571" s="7" t="str">
        <f>IFERROR(__xludf.DUMMYFUNCTION("IF(M2571="""","""",GOOGLETRANSLATE(M2571,""en"",""pt""))"),"Receber e servir pedidos de comida e bebida; realizar a montagem e desmontagem de mesas e outras atividades diversas; pode ser necessário trabalhar em ambientes externos e em eventos de banquetes; pode ser necessário servir clientes utilizando carrinho de"&amp;" golfe. *Continuação da Seção F.a.5 abaixo: 35 horas semanais; o trabalho pode ser realizado em qualquer dia da semana, de segunda a domingo. Turnos variáveis ​​ao longo de 7 dias da semana, que podem variar conforme a necessidade, de acordo com o anúncio"&amp;" da vaga na Agência Estadual de Força de Trabalho e em outras fontes de anúncios de vagas H2B, conforme os requisitos de recrutamento dos empregadores para trabalhadores em potencial no âmbito do programa H2B; os turnos podem variar: das 6h às 23h. Classi"&amp;"ficação da vaga: 35-3031.00 - Garçons e Garçonetes. A classificação e descrição da vaga/setor incluem informações gerais sobre o cargo, provenientes do ONET/OES e do Sistema de Classificação Industrial da América do Norte. Consulte as Funções e a Ordem de"&amp;" Serviço para obter mais informações. Requisitos da vaga Experiência exigida: Não Requisitos especiais: O EMPREGADOR EXIGE QUE A VERIFICAÇÃO DE ANTECEDENTES CRIMINAIS PRÉ-ADMISSÃO E O TESTE DE DROGAS PÓS-ADMISSÃO SEJAM REALIZADOS IGUALMENTE PARA TRABALHAD"&amp;"ORES AMERICANOS E TRABALHADORES COM VISTO H-2B. HABILIDADE DE SE COMUNICAR EM INGLÊS. Número de horas por semana: 35 Horário de trabalho (início/término): 6h às 23h")</f>
        <v>Receber e servir pedidos de comida e bebida; realizar a montagem e desmontagem de mesas e outras atividades diversas; pode ser necessário trabalhar em ambientes externos e em eventos de banquetes; pode ser necessário servir clientes utilizando carrinho de golfe. *Continuação da Seção F.a.5 abaixo: 35 horas semanais; o trabalho pode ser realizado em qualquer dia da semana, de segunda a domingo. Turnos variáveis ​​ao longo de 7 dias da semana, que podem variar conforme a necessidade, de acordo com o anúncio da vaga na Agência Estadual de Força de Trabalho e em outras fontes de anúncios de vagas H2B, conforme os requisitos de recrutamento dos empregadores para trabalhadores em potencial no âmbito do programa H2B; os turnos podem variar: das 6h às 23h. Classificação da vaga: 35-3031.00 - Garçons e Garçonetes. A classificação e descrição da vaga/setor incluem informações gerais sobre o cargo, provenientes do ONET/OES e do Sistema de Classificação Industrial da América do Norte. Consulte as Funções e a Ordem de Serviço para obter mais informações. Requisitos da vaga Experiência exigida: Não Requisitos especiais: O EMPREGADOR EXIGE QUE A VERIFICAÇÃO DE ANTECEDENTES CRIMINAIS PRÉ-ADMISSÃO E O TESTE DE DROGAS PÓS-ADMISSÃO SEJAM REALIZADOS IGUALMENTE PARA TRABALHADORES AMERICANOS E TRABALHADORES COM VISTO H-2B. HABILIDADE DE SE COMUNICAR EM INGLÊS. Número de horas por semana: 35 Horário de trabalho (início/término): 6h às 23h</v>
      </c>
    </row>
    <row r="2572" ht="20.25" customHeight="1">
      <c r="A2572" s="3" t="s">
        <v>11090</v>
      </c>
      <c r="B2572" s="3" t="s">
        <v>11085</v>
      </c>
      <c r="C2572" s="3" t="s">
        <v>8981</v>
      </c>
      <c r="D2572" s="3" t="s">
        <v>71</v>
      </c>
      <c r="E2572" s="4" t="s">
        <v>19</v>
      </c>
      <c r="F2572" s="4" t="s">
        <v>20</v>
      </c>
      <c r="G2572" s="4" t="s">
        <v>524</v>
      </c>
      <c r="H2572" s="3" t="s">
        <v>11071</v>
      </c>
      <c r="I2572" s="3" t="s">
        <v>11072</v>
      </c>
      <c r="J2572" s="4">
        <v>15.38</v>
      </c>
      <c r="K2572" s="4">
        <v>5.0</v>
      </c>
      <c r="L2572" s="3" t="s">
        <v>2821</v>
      </c>
      <c r="M2572" s="3" t="s">
        <v>11091</v>
      </c>
      <c r="N2572" s="7" t="str">
        <f>IFERROR(__xludf.DUMMYFUNCTION("GOOGLETRANSLATE(L2572, ""en"", ""pt"")"),"Auxiliar de Recreação")</f>
        <v>Auxiliar de Recreação</v>
      </c>
      <c r="O2572" s="7" t="str">
        <f>IFERROR(__xludf.DUMMYFUNCTION("IF(M2572="""","""",GOOGLETRANSLATE(M2572,""en"",""pt""))"),"O funcionário poderá ser solicitado a desempenhar qualquer uma das seguintes funções: monitorar as atividades no campo de golfe, complexo de tênis, complexo aquático e spa e academia; prestar assistência administrativa aos sócios, incluindo a verificação "&amp;"de cartões de sócio, confirmação de reservas, organização de mercadorias e fornecimento de informações sobre as instalações; realizar a limpeza básica de carrinhos e tacos de golfe e transportar os equipamentos de golfe e automóveis dos sócios de e para a"&amp;"s instalações do clube. As funções relacionadas ao transporte de equipamentos de golfe e automóveis dos sócios de e para as instalações do clube exigem que o funcionário encontre o sócio na calçada; abra a porta do motorista imediatamente após a chegada; "&amp;"e faça uma rápida e discreta inspeção visual para verificar se há danos pré-existentes; transporte os sócios e suas bolsas de equipamentos de golfe em seus automóveis de e para uma área de armazenamento segura e designada para sócios do clube; carregue as"&amp;" bolsas de equipamentos de golfe do automóvel para os carrinhos e certifique-se de que estejam prontas para o jogador na área de espera; limpe os tacos após o jogo, devolva as bolsas de equipamentos de golfe ao armazenamento ou transporte-as de volta para"&amp;" o automóvel do sócio; e leve o automóvel até a entrada das instalações do clube, mediante solicitação do sócio. *Continuação da Seção F.a.5 abaixo: 35 horas semanais; O trabalho pode ser realizado em qualquer dia da semana, de segunda a domingo. Turnos v"&amp;"ariáveis ​​ao longo de 7 dias da semana, que podem variar conforme a necessidade, conforme anunciado na ordem de serviço da Agência Estadual de Força de Trabalho e em outras fontes de anúncios de vagas H2B, de acordo com os requisitos de recrutamento dos "&amp;"empregadores para trabalhadores em potencial no âmbito do programa H2B; Os turnos podem variar: das 6h às 23h. Classificação do Cargo: 53-6021.00 - Manobristas. A classificação e descrição do cargo/setor incluem informações gerais sobre a posição, proveni"&amp;"entes do ONET/OES e do Sistema de Classificação Industrial da América do Norte. Consulte as Funções e a Ordem de Serviço para obter mais informações. Requisitos do Cargo Experiência Necessária: Não. Requisitos Especiais: O EMPREGADOR EXIGE QUE A VERIFICAÇ"&amp;"ÃO DE ANTECEDENTES CRIMINAIS PRÉ-ADMISSÃO E O TESTE DE DROGAS PÓS-ADMISSÃO SEJAM REALIZADOS IGUALMENTE PARA TRABALHADORES AMERICANOS E TRABALHADORES COM VISTO H-2B. HABILIDADE DE SE COMUNICAR EM INGLÊS. Número de horas por semana: 35. Horário de trabalho "&amp;"(início/término): 6h às 23h.")</f>
        <v>O funcionário poderá ser solicitado a desempenhar qualquer uma das seguintes funções: monitorar as atividades no campo de golfe, complexo de tênis, complexo aquático e spa e academia; prestar assistência administrativa aos sócios, incluindo a verificação de cartões de sócio, confirmação de reservas, organização de mercadorias e fornecimento de informações sobre as instalações; realizar a limpeza básica de carrinhos e tacos de golfe e transportar os equipamentos de golfe e automóveis dos sócios de e para as instalações do clube. As funções relacionadas ao transporte de equipamentos de golfe e automóveis dos sócios de e para as instalações do clube exigem que o funcionário encontre o sócio na calçada; abra a porta do motorista imediatamente após a chegada; e faça uma rápida e discreta inspeção visual para verificar se há danos pré-existentes; transporte os sócios e suas bolsas de equipamentos de golfe em seus automóveis de e para uma área de armazenamento segura e designada para sócios do clube; carregue as bolsas de equipamentos de golfe do automóvel para os carrinhos e certifique-se de que estejam prontas para o jogador na área de espera; limpe os tacos após o jogo, devolva as bolsas de equipamentos de golfe ao armazenamento ou transporte-as de volta para o automóvel do sócio; e leve o automóvel até a entrada das instalações do clube, mediante solicitação do sócio. *Continuação da Seção F.a.5 abaixo: 35 horas semanais; O trabalho pode ser realizado em qualquer dia da semana, de segunda a domingo. Turnos variáveis ​​ao longo de 7 dias da semana, que podem variar conforme a necessidade, conforme anunciado na ordem de serviço da Agência Estadual de Força de Trabalho e em outras fontes de anúncios de vagas H2B, de acordo com os requisitos de recrutamento dos empregadores para trabalhadores em potencial no âmbito do programa H2B; Os turnos podem variar: das 6h às 23h. Classificação do Cargo: 53-6021.00 - Manobristas. A classificação e descrição do cargo/setor incluem informações gerais sobre a posição, provenientes do ONET/OES e do Sistema de Classificação Industrial da América do Norte. Consulte as Funções e a Ordem de Serviço para obter mais informações. Requisitos do Cargo Experiência Necessária: Não. Requisitos Especiais: O EMPREGADOR EXIGE QUE A VERIFICAÇÃO DE ANTECEDENTES CRIMINAIS PRÉ-ADMISSÃO E O TESTE DE DROGAS PÓS-ADMISSÃO SEJAM REALIZADOS IGUALMENTE PARA TRABALHADORES AMERICANOS E TRABALHADORES COM VISTO H-2B. HABILIDADE DE SE COMUNICAR EM INGLÊS. Número de horas por semana: 35. Horário de trabalho (início/término): 6h às 23h.</v>
      </c>
    </row>
    <row r="2573" ht="20.25" customHeight="1">
      <c r="A2573" s="8" t="s">
        <v>11092</v>
      </c>
      <c r="B2573" s="8" t="s">
        <v>11085</v>
      </c>
      <c r="C2573" s="8" t="s">
        <v>8981</v>
      </c>
      <c r="D2573" s="8" t="s">
        <v>71</v>
      </c>
      <c r="E2573" s="9" t="s">
        <v>44</v>
      </c>
      <c r="F2573" s="9" t="s">
        <v>20</v>
      </c>
      <c r="G2573" s="9" t="s">
        <v>524</v>
      </c>
      <c r="H2573" s="8" t="s">
        <v>11071</v>
      </c>
      <c r="I2573" s="8" t="s">
        <v>11072</v>
      </c>
      <c r="J2573" s="9">
        <v>21.48</v>
      </c>
      <c r="K2573" s="9">
        <v>5.0</v>
      </c>
      <c r="L2573" s="8" t="s">
        <v>1684</v>
      </c>
      <c r="M2573" s="8" t="s">
        <v>11073</v>
      </c>
      <c r="N2573" s="7" t="str">
        <f>IFERROR(__xludf.DUMMYFUNCTION("GOOGLETRANSLATE(L2573, ""en"", ""pt"")"),"Barman")</f>
        <v>Barman</v>
      </c>
      <c r="O2573" s="7" t="str">
        <f>IFERROR(__xludf.DUMMYFUNCTION("IF(M2573="""","""",GOOGLETRANSLATE(M2573,""en"",""pt""))"),"Anotar pedidos de bebidas. Preparar e servir drinks. Limpar a área do bar. Poderá ser necessário anotar pedidos de comida e fazer recomendações sobre vinhos e outros produtos. Solicitar e exibir bebidas alcoólicas e suprimentos. Manter a área do bar limpa"&amp;" e trabalhar de acordo com as normas estaduais rigorosamente aplicadas. *Continuação da Seção F.a.5 abaixo: 35 horas semanais; O trabalho pode ser realizado em qualquer dia da semana, de segunda a domingo. Turnos variáveis ​​ao longo dos 7 dias da semana,"&amp;" que podem variar conforme a necessidade, de acordo com o anúncio da vaga na Agência Estadual de Força de Trabalho e em outras fontes de anúncios de vagas H2B, conforme os requisitos de recrutamento dos empregadores para trabalhadores em potencial no âmbi"&amp;"to do programa H2B; Os turnos podem variar: das 6h às 23h. Classificação da vaga: 35-3011.00 - Bartenders. A classificação e descrição da vaga/setor incluem informações gerais sobre o cargo, de acordo com o ONET/OES e o Sistema de Classificação Industrial"&amp;" da América do Norte. Consulte as Funções e a Ordem de Serviço para obter mais informações. Requisitos da vaga Experiência exigida: Não Requisitos especiais: O EMPREGADOR EXIGE QUE A VERIFICAÇÃO DE ANTECEDENTES CRIMINAIS PRÉ-ADMISSÃO E O TESTE DE DROGAS P"&amp;"ÓS-ADMISSÃO SEJAM REALIZADOS IGUALMENTE PARA TRABALHADORES AMERICANOS E TRABALHADORES COM VISTO H-2B. HABILIDADE DE SE COMUNICAR EM INGLÊS. Número de horas por semana: 35 Horário de trabalho (início/término): 6h às 23h")</f>
        <v>Anotar pedidos de bebidas. Preparar e servir drinks. Limpar a área do bar. Poderá ser necessário anotar pedidos de comida e fazer recomendações sobre vinhos e outros produtos. Solicitar e exibir bebidas alcoólicas e suprimentos. Manter a área do bar limpa e trabalhar de acordo com as normas estaduais rigorosamente aplicadas. *Continuação da Seção F.a.5 abaixo: 35 horas semanais; O trabalho pode ser realizado em qualquer dia da semana, de segunda a domingo. Turnos variáveis ​​ao longo dos 7 dias da semana, que podem variar conforme a necessidade, de acordo com o anúncio da vaga na Agência Estadual de Força de Trabalho e em outras fontes de anúncios de vagas H2B, conforme os requisitos de recrutamento dos empregadores para trabalhadores em potencial no âmbito do programa H2B; Os turnos podem variar: das 6h às 23h. Classificação da vaga: 35-3011.00 - Bartenders. A classificação e descrição da vaga/setor incluem informações gerais sobre o cargo, de acordo com o ONET/OES e o Sistema de Classificação Industrial da América do Norte. Consulte as Funções e a Ordem de Serviço para obter mais informações. Requisitos da vaga Experiência exigida: Não Requisitos especiais: O EMPREGADOR EXIGE QUE A VERIFICAÇÃO DE ANTECEDENTES CRIMINAIS PRÉ-ADMISSÃO E O TESTE DE DROGAS PÓS-ADMISSÃO SEJAM REALIZADOS IGUALMENTE PARA TRABALHADORES AMERICANOS E TRABALHADORES COM VISTO H-2B. HABILIDADE DE SE COMUNICAR EM INGLÊS. Número de horas por semana: 35 Horário de trabalho (início/término): 6h às 23h</v>
      </c>
    </row>
    <row r="2574" ht="20.25" customHeight="1">
      <c r="A2574" s="3" t="s">
        <v>11093</v>
      </c>
      <c r="B2574" s="3" t="s">
        <v>11094</v>
      </c>
      <c r="C2574" s="3" t="s">
        <v>8784</v>
      </c>
      <c r="D2574" s="3" t="s">
        <v>4521</v>
      </c>
      <c r="E2574" s="4" t="s">
        <v>44</v>
      </c>
      <c r="F2574" s="4" t="s">
        <v>20</v>
      </c>
      <c r="G2574" s="4" t="s">
        <v>307</v>
      </c>
      <c r="H2574" s="3" t="s">
        <v>11095</v>
      </c>
      <c r="I2574" s="3" t="s">
        <v>11096</v>
      </c>
      <c r="J2574" s="4">
        <v>21.71</v>
      </c>
      <c r="K2574" s="4">
        <v>3.0</v>
      </c>
      <c r="L2574" s="3" t="s">
        <v>11097</v>
      </c>
      <c r="M2574" s="3" t="s">
        <v>11098</v>
      </c>
      <c r="N2574" s="7" t="str">
        <f>IFERROR(__xludf.DUMMYFUNCTION("GOOGLETRANSLATE(L2574, ""en"", ""pt"")"),"Ajudantes - Telhados e Revestimentos")</f>
        <v>Ajudantes - Telhados e Revestimentos</v>
      </c>
      <c r="O2574" s="7" t="str">
        <f>IFERROR(__xludf.DUMMYFUNCTION("IF(M2574="""","""",GOOGLETRANSLATE(M2574,""en"",""pt""))"),"Auxiliar telhadistas e instaladores de revestimentos realizando tarefas que exigem menos habilidade. As tarefas incluem usar, fornecer ou segurar materiais ou ferramentas, e limpar a área de trabalho e os equipamentos. Verificar se os telhados concluídos "&amp;"estão impermeáveis. Varrer e limpar os telhados para prepará-los para a aplicação de novo material de cobertura. Localizar áreas desgastadas ou rasgadas nos telhados. Manter as ferramentas e os equipamentos em bom estado. Auxiliar trabalhadores experiente"&amp;"s na instalação de revestimentos. Carregar e descarregar materiais nos caminhões. A parte de telhados do meu negócio representa 80% do meu trabalho, e a parte de revestimentos, 20%. Classificação da vaga: 47-3016.00 - Ajudantes de Telhadista. A classifica"&amp;"ção e a descrição da vaga/setor incluem informações gerais sobre o cargo, de acordo com o ONET/OES e o Sistema de Classificação Industrial da América do Norte (NAICS). Consulte as Funções e a Ordem de Serviço para obter mais informações. Requisitos da vag"&amp;"a: Experiência necessária: Não. Requisitos especiais: Ser capaz de levantar até 23 kg. Número de horas por semana: 47. Horário de trabalho (início/término): 7h30 às 17h.")</f>
        <v>Auxiliar telhadistas e instaladores de revestimentos realizando tarefas que exigem menos habilidade. As tarefas incluem usar, fornecer ou segurar materiais ou ferramentas, e limpar a área de trabalho e os equipamentos. Verificar se os telhados concluídos estão impermeáveis. Varrer e limpar os telhados para prepará-los para a aplicação de novo material de cobertura. Localizar áreas desgastadas ou rasgadas nos telhados. Manter as ferramentas e os equipamentos em bom estado. Auxiliar trabalhadores experientes na instalação de revestimentos. Carregar e descarregar materiais nos caminhões. A parte de telhados do meu negócio representa 80% do meu trabalho, e a parte de revestimentos, 20%. Classificação da vaga: 47-3016.00 - Ajudantes de Telhadista. A classificação e a descrição da vaga/setor incluem informações gerais sobre o cargo, de acordo com o ONET/OES e o Sistema de Classificação Industrial da América do Norte (NAICS). Consulte as Funções e a Ordem de Serviço para obter mais informações. Requisitos da vaga: Experiência necessária: Não. Requisitos especiais: Ser capaz de levantar até 23 kg. Número de horas por semana: 47. Horário de trabalho (início/término): 7h30 às 17h.</v>
      </c>
    </row>
    <row r="2575" ht="20.25" customHeight="1">
      <c r="A2575" s="8" t="s">
        <v>11099</v>
      </c>
      <c r="B2575" s="8" t="s">
        <v>11100</v>
      </c>
      <c r="C2575" s="8" t="s">
        <v>920</v>
      </c>
      <c r="D2575" s="8" t="s">
        <v>36</v>
      </c>
      <c r="E2575" s="9" t="s">
        <v>19</v>
      </c>
      <c r="F2575" s="9" t="s">
        <v>20</v>
      </c>
      <c r="G2575" s="9" t="s">
        <v>404</v>
      </c>
      <c r="H2575" s="8" t="s">
        <v>11101</v>
      </c>
      <c r="I2575" s="8" t="s">
        <v>11102</v>
      </c>
      <c r="J2575" s="9">
        <v>16.07</v>
      </c>
      <c r="K2575" s="9">
        <v>18.0</v>
      </c>
      <c r="L2575" s="8" t="s">
        <v>1034</v>
      </c>
      <c r="M2575" s="8" t="s">
        <v>11103</v>
      </c>
      <c r="N2575" s="7" t="str">
        <f>IFERROR(__xludf.DUMMYFUNCTION("GOOGLETRANSLATE(L2575, ""en"", ""pt"")"),"Remoção de neve")</f>
        <v>Remoção de neve</v>
      </c>
      <c r="O2575" s="7" t="str">
        <f>IFERROR(__xludf.DUMMYFUNCTION("IF(M2575="""","""",GOOGLETRANSLATE(M2575,""en"",""pt""))"),"Remover neve com uma pá de neve e aplicar sal para derreter gelo com um espalhador manual. Requisitos de levantamento de 22,7 kg (50 lbs). Classificação da função: 37-2011.00 - Zeladores e Faxineiros, exceto empregadas domésticas e auxiliares de limpeza. "&amp;"A classificação e descrição da função/setor inclui informações gerais sobre o cargo, conforme ONET/OES e o Sistema de Classificação Industrial da América do Norte (NAICS). Consulte as atribuições e a ordem de serviço para obter mais informações. Requisito"&amp;"s da função: Experiência necessária: Não. Número de horas por semana: 40. Horário de trabalho (início/término): 7h às 16h.")</f>
        <v>Remover neve com uma pá de neve e aplicar sal para derreter gelo com um espalhador manual. Requisitos de levantamento de 22,7 kg (50 lbs). Classificação da função: 37-2011.00 - Zeladores e Faxineiros, exceto empregadas domésticas e auxiliares de limpeza. A classificação e descrição da função/setor inclui informações gerais sobre o cargo, conforme ONET/OES e o Sistema de Classificação Industrial da América do Norte (NAICS). Consulte as atribuições e a ordem de serviço para obter mais informações. Requisitos da função: Experiência necessária: Não. Número de horas por semana: 40. Horário de trabalho (início/término): 7h às 16h.</v>
      </c>
    </row>
    <row r="2576" ht="20.25" customHeight="1">
      <c r="A2576" s="3" t="s">
        <v>11104</v>
      </c>
      <c r="B2576" s="3" t="s">
        <v>11100</v>
      </c>
      <c r="C2576" s="3" t="s">
        <v>920</v>
      </c>
      <c r="D2576" s="3" t="s">
        <v>36</v>
      </c>
      <c r="E2576" s="4" t="s">
        <v>19</v>
      </c>
      <c r="F2576" s="4" t="s">
        <v>20</v>
      </c>
      <c r="G2576" s="4" t="s">
        <v>404</v>
      </c>
      <c r="H2576" s="3" t="s">
        <v>11101</v>
      </c>
      <c r="I2576" s="3" t="s">
        <v>11102</v>
      </c>
      <c r="J2576" s="4">
        <v>16.27</v>
      </c>
      <c r="K2576" s="4">
        <v>18.0</v>
      </c>
      <c r="L2576" s="3" t="s">
        <v>1034</v>
      </c>
      <c r="M2576" s="3" t="s">
        <v>11103</v>
      </c>
      <c r="N2576" s="7" t="str">
        <f>IFERROR(__xludf.DUMMYFUNCTION("GOOGLETRANSLATE(L2576, ""en"", ""pt"")"),"Remoção de neve")</f>
        <v>Remoção de neve</v>
      </c>
      <c r="O2576" s="7" t="str">
        <f>IFERROR(__xludf.DUMMYFUNCTION("IF(M2576="""","""",GOOGLETRANSLATE(M2576,""en"",""pt""))"),"Remover neve com uma pá de neve e aplicar sal para derreter gelo com um espalhador manual. Requisitos de levantamento de 22,7 kg (50 lbs). Classificação da função: 37-2011.00 - Zeladores e Faxineiros, exceto empregadas domésticas e auxiliares de limpeza. "&amp;"A classificação e descrição da função/setor inclui informações gerais sobre o cargo, conforme ONET/OES e o Sistema de Classificação Industrial da América do Norte (NAICS). Consulte as atribuições e a ordem de serviço para obter mais informações. Requisito"&amp;"s da função: Experiência necessária: Não. Número de horas por semana: 40. Horário de trabalho (início/término): 7h às 16h.")</f>
        <v>Remover neve com uma pá de neve e aplicar sal para derreter gelo com um espalhador manual. Requisitos de levantamento de 22,7 kg (50 lbs). Classificação da função: 37-2011.00 - Zeladores e Faxineiros, exceto empregadas domésticas e auxiliares de limpeza. A classificação e descrição da função/setor inclui informações gerais sobre o cargo, conforme ONET/OES e o Sistema de Classificação Industrial da América do Norte (NAICS). Consulte as atribuições e a ordem de serviço para obter mais informações. Requisitos da função: Experiência necessária: Não. Número de horas por semana: 40. Horário de trabalho (início/término): 7h às 16h.</v>
      </c>
    </row>
    <row r="2577" ht="20.25" customHeight="1">
      <c r="A2577" s="8" t="s">
        <v>11105</v>
      </c>
      <c r="B2577" s="8" t="s">
        <v>11106</v>
      </c>
      <c r="C2577" s="8" t="s">
        <v>11107</v>
      </c>
      <c r="D2577" s="8" t="s">
        <v>87</v>
      </c>
      <c r="E2577" s="9" t="s">
        <v>44</v>
      </c>
      <c r="F2577" s="9" t="s">
        <v>20</v>
      </c>
      <c r="G2577" s="9" t="s">
        <v>524</v>
      </c>
      <c r="H2577" s="8" t="s">
        <v>11108</v>
      </c>
      <c r="I2577" s="8" t="s">
        <v>11109</v>
      </c>
      <c r="J2577" s="9">
        <v>18.98</v>
      </c>
      <c r="K2577" s="9">
        <v>90.0</v>
      </c>
      <c r="L2577" s="8" t="s">
        <v>11110</v>
      </c>
      <c r="M2577" s="8" t="s">
        <v>11111</v>
      </c>
      <c r="N2577" s="7" t="str">
        <f>IFERROR(__xludf.DUMMYFUNCTION("GOOGLETRANSLATE(L2577, ""en"", ""pt"")"),"Operário de fábrica de travesseiros")</f>
        <v>Operário de fábrica de travesseiros</v>
      </c>
      <c r="O2577" s="7" t="str">
        <f>IFERROR(__xludf.DUMMYFUNCTION("IF(M2577="""","""",GOOGLETRANSLATE(M2577,""en"",""pt""))"),"Encher capas de almofadas decorativas sazonais e capas de almofadas para exterior com enchimento de fibra de poliéster ou espuma. Organizar o enchimento de fibra de poliéster e espuma no local de produção apropriado. Operar a máquina de sopro/enchimento d"&amp;"e fibra de poliéster. Operar a máquina de enchimento de núcleos de almofadas. Operar máquinas de costura, conforme necessário, para fechar as aberturas das almofadas e travesseiros. Inspecionar e embalar almofadas e travesseiros. Carregar fibra de poliést"&amp;"er na linha de produção de poliéster densificado. Transferir os enchimentos de poliéster densificado da linha de produção para a linha de enchimento de almofadas. Transportar as almofadas e travesseiros embalados e acabados para o armazém utilizando palet"&amp;"eiras e esteiras transportadoras. Carregar caminhões com produtos acabados para envio ao cliente. Não é necessário operar empilhadeira. As funções específicas incluem: Receber matéria-prima para almofadas e travesseiros. Organizar a matéria-prima na linha"&amp;" de produção. Carregar a fibra nos funis. Encher as almofadas na máquina de sopro. Encher as almofadas com fibra densificada nas máquinas de enchimento. Fechar as almofadas com máquina de costura e/ou instalar zíperes. Fechar as almofadas com máquinas de "&amp;"costura e/ou fechar zíperes manualmente. Descarregar os enchimentos de almofadas no final da linha de produção. Embalar travesseiros e almofadas acabados em caixas de papelão. Aplicar marcadores de identificação de produto e etiquetas de envio apropriadas"&amp;". Paletizar as caixas de travesseiros prontos e aplicar filme plástico termoencolhível. Preparar os paletes para transporte por empilhadeira. Transferir os produtos de travesseiros acabados para o armazém por esteira transportadora ou paleteira. Desempilh"&amp;"ar e carregar os paletes no chão manualmente. Separar a produção do armazém para o departamento de expedição. Entregar os paletes do armazém na doca por esteira transportadora ou paleteira. Usar esteiras rolantes para mover as caixas para a carreta do cam"&amp;"inhão. Carregar os caminhões para remessas aos clientes. Receber e organizar a fibra para a linha de produção de poliéster densificado. Descarregar as almofadas de poliéster densificado da linha de produção e carregá-las em caixas de transferência. Mover "&amp;"os enchimentos de almofadas densificadas para a área de produção. Classificação do Cargo: 51-9199.00 - Operadores de Produção, Outros. A classificação e descrição do cargo/setor inclui informações gerais sobre a posição da ONET/OES e do Sistema de Classif"&amp;"icação Industrial da América do Norte. Consulte as Funções e a Ordem de Serviço para obter mais informações. Requisitos da vaga Experiência necessária: Não Requisitos especiais: Pode ser necessário trabalhar em turnos noturnos Número de horas por semana: "&amp;"40 Horário de trabalho (início/término): 8h00 - 16h30")</f>
        <v>Encher capas de almofadas decorativas sazonais e capas de almofadas para exterior com enchimento de fibra de poliéster ou espuma. Organizar o enchimento de fibra de poliéster e espuma no local de produção apropriado. Operar a máquina de sopro/enchimento de fibra de poliéster. Operar a máquina de enchimento de núcleos de almofadas. Operar máquinas de costura, conforme necessário, para fechar as aberturas das almofadas e travesseiros. Inspecionar e embalar almofadas e travesseiros. Carregar fibra de poliéster na linha de produção de poliéster densificado. Transferir os enchimentos de poliéster densificado da linha de produção para a linha de enchimento de almofadas. Transportar as almofadas e travesseiros embalados e acabados para o armazém utilizando paleteiras e esteiras transportadoras. Carregar caminhões com produtos acabados para envio ao cliente. Não é necessário operar empilhadeira. As funções específicas incluem: Receber matéria-prima para almofadas e travesseiros. Organizar a matéria-prima na linha de produção. Carregar a fibra nos funis. Encher as almofadas na máquina de sopro. Encher as almofadas com fibra densificada nas máquinas de enchimento. Fechar as almofadas com máquina de costura e/ou instalar zíperes. Fechar as almofadas com máquinas de costura e/ou fechar zíperes manualmente. Descarregar os enchimentos de almofadas no final da linha de produção. Embalar travesseiros e almofadas acabados em caixas de papelão. Aplicar marcadores de identificação de produto e etiquetas de envio apropriadas. Paletizar as caixas de travesseiros prontos e aplicar filme plástico termoencolhível. Preparar os paletes para transporte por empilhadeira. Transferir os produtos de travesseiros acabados para o armazém por esteira transportadora ou paleteira. Desempilhar e carregar os paletes no chão manualmente. Separar a produção do armazém para o departamento de expedição. Entregar os paletes do armazém na doca por esteira transportadora ou paleteira. Usar esteiras rolantes para mover as caixas para a carreta do caminhão. Carregar os caminhões para remessas aos clientes. Receber e organizar a fibra para a linha de produção de poliéster densificado. Descarregar as almofadas de poliéster densificado da linha de produção e carregá-las em caixas de transferência. Mover os enchimentos de almofadas densificadas para a área de produção. Classificação do Cargo: 51-9199.00 - Operadores de Produção, Outros. A classificação e descrição do cargo/setor inclui informações gerais sobre a posição da ONET/OES e do Sistema de Classificação Industrial da América do Norte. Consulte as Funções e a Ordem de Serviço para obter mais informações. Requisitos da vaga Experiência necessária: Não Requisitos especiais: Pode ser necessário trabalhar em turnos noturnos Número de horas por semana: 40 Horário de trabalho (início/término): 8h00 - 16h30</v>
      </c>
    </row>
    <row r="2578" ht="20.25" customHeight="1">
      <c r="A2578" s="3" t="s">
        <v>11112</v>
      </c>
      <c r="B2578" s="3" t="s">
        <v>11113</v>
      </c>
      <c r="C2578" s="3" t="s">
        <v>7533</v>
      </c>
      <c r="D2578" s="3" t="s">
        <v>1103</v>
      </c>
      <c r="E2578" s="4" t="s">
        <v>19</v>
      </c>
      <c r="F2578" s="4" t="s">
        <v>20</v>
      </c>
      <c r="G2578" s="4" t="s">
        <v>118</v>
      </c>
      <c r="H2578" s="3" t="s">
        <v>11114</v>
      </c>
      <c r="I2578" s="3" t="s">
        <v>7674</v>
      </c>
      <c r="J2578" s="4">
        <v>16.19</v>
      </c>
      <c r="K2578" s="4">
        <v>25.0</v>
      </c>
      <c r="L2578" s="3" t="s">
        <v>165</v>
      </c>
      <c r="M2578" s="3" t="s">
        <v>11115</v>
      </c>
      <c r="N2578" s="7" t="str">
        <f>IFERROR(__xludf.DUMMYFUNCTION("GOOGLETRANSLATE(L2578, ""en"", ""pt"")"),"Trabalhador de remoção de neve")</f>
        <v>Trabalhador de remoção de neve</v>
      </c>
      <c r="O2578" s="7" t="str">
        <f>IFERROR(__xludf.DUMMYFUNCTION("IF(M2578="""","""",GOOGLETRANSLATE(M2578,""en"",""pt""))"),"Limpeza de calçadas com pá, remoção contínua de depósitos de neve acumulados em diversas propriedades, mesmo em condições climáticas extremas, operação de soprador de neve. É necessário levantar até 23 kg. Classificação da vaga: 37-2011.00 - Zeladores e F"&amp;"axineiros, exceto empregadas domésticas e faxineiras. A classificação e descrição da vaga/setor incluem informações gerais sobre o cargo, de acordo com o ONET/OES e o Sistema de Classificação Industrial da América do Norte (NAICS). Consulte as Funções e a"&amp;" Ordem de Serviço para obter mais informações. Requisitos da vaga: Experiência necessária: Não. Número de horas por semana: 40. Horário de trabalho (início/término): 6h às 14h.")</f>
        <v>Limpeza de calçadas com pá, remoção contínua de depósitos de neve acumulados em diversas propriedades, mesmo em condições climáticas extremas, operação de soprador de neve. É necessário levantar até 23 kg. Classificação da vaga: 37-2011.00 - Zeladores e Faxineiros, exceto empregadas domésticas e faxineiras. A classificação e descrição da vaga/setor incluem informações gerais sobre o cargo, de acordo com o ONET/OES e o Sistema de Classificação Industrial da América do Norte (NAICS). Consulte as Funções e a Ordem de Serviço para obter mais informações. Requisitos da vaga: Experiência necessária: Não. Número de horas por semana: 40. Horário de trabalho (início/término): 6h às 14h.</v>
      </c>
    </row>
    <row r="2579" ht="20.25" customHeight="1">
      <c r="A2579" s="8" t="s">
        <v>11116</v>
      </c>
      <c r="B2579" s="8" t="s">
        <v>10416</v>
      </c>
      <c r="C2579" s="8"/>
      <c r="D2579" s="8" t="s">
        <v>284</v>
      </c>
      <c r="E2579" s="9" t="s">
        <v>19</v>
      </c>
      <c r="F2579" s="9" t="s">
        <v>20</v>
      </c>
      <c r="G2579" s="9" t="s">
        <v>229</v>
      </c>
      <c r="H2579" s="8" t="s">
        <v>10945</v>
      </c>
      <c r="I2579" s="8" t="s">
        <v>10418</v>
      </c>
      <c r="J2579" s="9">
        <v>28.63</v>
      </c>
      <c r="K2579" s="9">
        <v>20.0</v>
      </c>
      <c r="L2579" s="8" t="s">
        <v>3465</v>
      </c>
      <c r="M2579" s="8" t="s">
        <v>10419</v>
      </c>
      <c r="N2579" s="7" t="str">
        <f>IFERROR(__xludf.DUMMYFUNCTION("GOOGLETRANSLATE(L2579, ""en"", ""pt"")"),"Montador")</f>
        <v>Montador</v>
      </c>
      <c r="O2579" s="7" t="str">
        <f>IFERROR(__xludf.DUMMYFUNCTION("IF(M2579="""","""",GOOGLETRANSLATE(M2579,""en"",""pt""))"),"O montador de treliças trabalhará com treliças de metal e madeira, produzindo treliças, peças ou componentes para treliças, dependendo do tamanho e das medidas dos projetos. Suas responsabilidades incluem montar materiais pré-cortados, garantindo a precis"&amp;"ão da montagem, utilizando réguas e calibradores, encaixando as peças, colocando placas de reforço de metal sobre as juntas de conexão e conectando as peças nas juntas. Ele poderá produzir ou auxiliar na produção de componentes de acordo com as instruções"&amp;", utilizando ferramentas manuais e máquinas para a construção de treliças, como martelos, serras, serras de corte, prensas dobradeiras, gabaritos e grampos para manter os membros no lugar durante a montagem, e cortadora a laser para o corte preciso de com"&amp;"ponentes. Poderá também utilizar elevadores para treliças pesadas, como as utilizadas em telhados na construção civil. Suas responsabilidades incluem puxar placas, empilhar o produto acabado, cintar e marcar os materiais, e empurrar os produtos para a pos"&amp;"ição correta manualmente ou com guindaste, em carrinhos, até a área de trabalho apropriada ou armazená-los ao final do expediente, mantendo a área limpa e livre de peças perigosas. Classificação da Função: 53-7021.00 - Operadores de Guindaste e Torre. A c"&amp;"lassificação e descrição da função/setor inclui informações gerais sobre o cargo, de acordo com o ONET/OES e o Sistema de Classificação Industrial da América do Norte (NAICS). Consulte as Funções e a Ordem de Serviço para obter mais informações. Requisito"&amp;"s da Função Experiência Necessária: Sim Meses de Experiência Necessários: 3 Requisitos Especiais: Três meses de experiência como montador de treliças em construções residenciais ou comerciais. Deve ser capaz de se curvar, levantar e sustentar até 23 kg, a"&amp;"lém de trabalhar em condições climáticas de calor extremo. Será necessário viajar dentro de vários condados. Não há treinamento no local de trabalho disponível e não é exigida escolaridade. Exame toxicológico pós-contratação obrigatório, pago pelo emprega"&amp;"dor. Todos os trabalhadores, americanos e estrangeiros, serão submetidos ao exame da mesma forma. Número de Horas por Semana: 40 Horário de Trabalho (Início/Término): 7h00 - 15h30.")</f>
        <v>O montador de treliças trabalhará com treliças de metal e madeira, produzindo treliças, peças ou componentes para treliças, dependendo do tamanho e das medidas dos projetos. Suas responsabilidades incluem montar materiais pré-cortados, garantindo a precisão da montagem, utilizando réguas e calibradores, encaixando as peças, colocando placas de reforço de metal sobre as juntas de conexão e conectando as peças nas juntas. Ele poderá produzir ou auxiliar na produção de componentes de acordo com as instruções, utilizando ferramentas manuais e máquinas para a construção de treliças, como martelos, serras, serras de corte, prensas dobradeiras, gabaritos e grampos para manter os membros no lugar durante a montagem, e cortadora a laser para o corte preciso de componentes. Poderá também utilizar elevadores para treliças pesadas, como as utilizadas em telhados na construção civil. Suas responsabilidades incluem puxar placas, empilhar o produto acabado, cintar e marcar os materiais, e empurrar os produtos para a posição correta manualmente ou com guindaste, em carrinhos, até a área de trabalho apropriada ou armazená-los ao final do expediente, mantendo a área limpa e livre de peças perigosas. Classificação da Função: 53-7021.00 - Operadores de Guindaste e Torre. A classificação e descrição da função/setor inclui informações gerais sobre o cargo, de acordo com o ONET/OES e o Sistema de Classificação Industrial da América do Norte (NAICS). Consulte as Funções e a Ordem de Serviço para obter mais informações. Requisitos da Função Experiência Necessária: Sim Meses de Experiência Necessários: 3 Requisitos Especiais: Três meses de experiência como montador de treliças em construções residenciais ou comerciais. Deve ser capaz de se curvar, levantar e sustentar até 23 kg, além de trabalhar em condições climáticas de calor extremo. Será necessário viajar dentro de vários condados. Não há treinamento no local de trabalho disponível e não é exigida escolaridade. Exame toxicológico pós-contratação obrigatório, pago pelo empregador. Todos os trabalhadores, americanos e estrangeiros, serão submetidos ao exame da mesma forma. Número de Horas por Semana: 40 Horário de Trabalho (Início/Término): 7h00 - 15h30.</v>
      </c>
    </row>
    <row r="2580" ht="20.25" customHeight="1">
      <c r="A2580" s="3" t="s">
        <v>11117</v>
      </c>
      <c r="B2580" s="3" t="s">
        <v>10961</v>
      </c>
      <c r="C2580" s="3"/>
      <c r="D2580" s="3" t="s">
        <v>71</v>
      </c>
      <c r="E2580" s="4" t="s">
        <v>19</v>
      </c>
      <c r="F2580" s="4" t="s">
        <v>20</v>
      </c>
      <c r="G2580" s="4" t="s">
        <v>437</v>
      </c>
      <c r="H2580" s="3" t="s">
        <v>11118</v>
      </c>
      <c r="I2580" s="3" t="s">
        <v>10963</v>
      </c>
      <c r="J2580" s="4">
        <v>16.81</v>
      </c>
      <c r="K2580" s="4">
        <v>20.0</v>
      </c>
      <c r="L2580" s="3" t="s">
        <v>11119</v>
      </c>
      <c r="M2580" s="3" t="s">
        <v>11120</v>
      </c>
      <c r="N2580" s="7" t="str">
        <f>IFERROR(__xludf.DUMMYFUNCTION("GOOGLETRANSLATE(L2580, ""en"", ""pt"")"),"Atendente Temporário de Serviços de Limpeza - 148")</f>
        <v>Atendente Temporário de Serviços de Limpeza - 148</v>
      </c>
      <c r="O2580" s="7" t="str">
        <f>IFERROR(__xludf.DUMMYFUNCTION("IF(M2580="""","""",GOOGLETRANSLATE(M2580,""en"",""pt""))"),"Resposta à Solicitação de Informações (RFI): O funcionário pode operar um veículo da empresa com peso bruto total inferior a 3.600 kg (8.000 lbs) e com menos de 15 passageiros; não há especificação quanto ao tipo de SUV, van ou caminhonete. Veículos ou ut"&amp;"ilitários são utilizados dentro da propriedade do resort para transportar roupas de cama, itens de higiene pessoal (como toalhas de banho, toalhas de rosto e tapetes de banheiro) e suprimentos básicos de limpeza, como aspiradores de pó, esfregões, vassour"&amp;"as e materiais de limpeza. Todo o transporte ocorre dentro do complexo do resort do empregador. Os funcionários podem ocasionalmente transportar colegas de trabalho de ou para acomodações opcionais fornecidas pelo empregador, desde que devidamente licenci"&amp;"ados e aprovados pela política da empresa. As tarefas de limpeza incluem a entrega de itens como toalhas, artigos de higiene pessoal, roupas de cama e utensílios de cozinha diretamente nas unidades ocupadas; essas entregas não exigem veículos motorizados."&amp;" A movimentação de móveis se limita ao reposicionamento temporário de itens padrão nos quartos (como camas, cadeiras e mesas) como parte da limpeza de rotina, utilizando equipamentos como carrinhos e cintas de apoio lombar quando necessário. Isso não envo"&amp;"lve trabalhos de reforma ou renovação. As verificações de serviço em filtros de fiapos e saídas de ar referem-se a eletrodomésticos padrão de quartos de hóspedes (máquinas de lavar/secar roupa e saídas de ar condicionado), não a lavanderias comerciais. De"&amp;"scrição original da vaga: Os Auxiliares de Limpeza Temporários serão responsáveis ​​pela limpeza e manutenção de todos os quartos, suítes e áreas comuns internas das propriedades do cliente, o que inclui, entre outras atividades, aspirar pisos, tirar o pó"&amp;", lavar e repor roupas de cama e toalhas, remover o lixo das unidades, retirar a roupa de cama suja, desinfetar banheiros, lavar janelas, comunicar objetos perdidos e achados à gerência, auxiliar na organização dos armários de armazenamento, realizar veri"&amp;"ficações de serviço semanais, esvaziar lixeiras, filtros de fiapos e saídas de ar. Ocasionalmente, será necessário o uso de veículo utilitário ou automóvel da empresa com peso máximo de 3.600 kg e capacidade para menos de 15 passageiros para auxiliar no t"&amp;"ransporte de ferramentas e outros itens necessários dentro do local de trabalho para a execução das tarefas. Outras tarefas atribuídas, relacionadas às funções gerais de limpeza e arrumação, incluem: percorrer todos os edifícios ou andares designados para"&amp;" garantir que estejam livres de roupas de cama, lixo ou equipamentos. Mover móveis conforme instruções, fazer entregas aos hóspedes conforme instruções. Auxiliar no inventário de roupas de cama, incluindo a separação e lavagem de roupas de cama/toalhas su"&amp;"jas. Dobrar ou passar roupas de cama/toalhas limpas e entregar sacos de suprimentos de roupas de cama/toalhas às unidades. Classificação do Cargo: 37-2012.00 - Camareiras e Auxiliares de Limpeza. A classificação e descrição do cargo/setor inclui informaçõ"&amp;"es gerais sobre a posição, de acordo com o ONET/OES e o Sistema de Classificação Industrial da América do Norte. Consulte as Funções e a Ordem de Serviço para obter mais informações. Requisitos do Cargo Experiência Necessária: Sim Meses de Experiência Nec"&amp;"essários: 3 Requisitos Especiais: O contratante considerará para emprego qualquer pessoa que possua pelo menos três (3) meses de experiência, preferencialmente, mas não obrigatoriamente, em hotel, resort, clube privado ou casas de férias; outras experiênc"&amp;"ias em hotelaria ou limpeza podem ser consideradas. Número de horas por semana: 35 Horário de trabalho (início/término): 9h00 - 16h00")</f>
        <v>Resposta à Solicitação de Informações (RFI): O funcionário pode operar um veículo da empresa com peso bruto total inferior a 3.600 kg (8.000 lbs) e com menos de 15 passageiros; não há especificação quanto ao tipo de SUV, van ou caminhonete. Veículos ou utilitários são utilizados dentro da propriedade do resort para transportar roupas de cama, itens de higiene pessoal (como toalhas de banho, toalhas de rosto e tapetes de banheiro) e suprimentos básicos de limpeza, como aspiradores de pó, esfregões, vassouras e materiais de limpeza. Todo o transporte ocorre dentro do complexo do resort do empregador. Os funcionários podem ocasionalmente transportar colegas de trabalho de ou para acomodações opcionais fornecidas pelo empregador, desde que devidamente licenciados e aprovados pela política da empresa. As tarefas de limpeza incluem a entrega de itens como toalhas, artigos de higiene pessoal, roupas de cama e utensílios de cozinha diretamente nas unidades ocupadas; essas entregas não exigem veículos motorizados. A movimentação de móveis se limita ao reposicionamento temporário de itens padrão nos quartos (como camas, cadeiras e mesas) como parte da limpeza de rotina, utilizando equipamentos como carrinhos e cintas de apoio lombar quando necessário. Isso não envolve trabalhos de reforma ou renovação. As verificações de serviço em filtros de fiapos e saídas de ar referem-se a eletrodomésticos padrão de quartos de hóspedes (máquinas de lavar/secar roupa e saídas de ar condicionado), não a lavanderias comerciais. Descrição original da vaga: Os Auxiliares de Limpeza Temporários serão responsáveis ​​pela limpeza e manutenção de todos os quartos, suítes e áreas comuns internas das propriedades do cliente, o que inclui, entre outras atividades, aspirar pisos, tirar o pó, lavar e repor roupas de cama e toalhas, remover o lixo das unidades, retirar a roupa de cama suja, desinfetar banheiros, lavar janelas, comunicar objetos perdidos e achados à gerência, auxiliar na organização dos armários de armazenamento, realizar verificações de serviço semanais, esvaziar lixeiras, filtros de fiapos e saídas de ar. Ocasionalmente, será necessário o uso de veículo utilitário ou automóvel da empresa com peso máximo de 3.600 kg e capacidade para menos de 15 passageiros para auxiliar no transporte de ferramentas e outros itens necessários dentro do local de trabalho para a execução das tarefas. Outras tarefas atribuídas, relacionadas às funções gerais de limpeza e arrumação, incluem: percorrer todos os edifícios ou andares designados para garantir que estejam livres de roupas de cama, lixo ou equipamentos. Mover móveis conforme instruções, fazer entregas aos hóspedes conforme instruções. Auxiliar no inventário de roupas de cama, incluindo a separação e lavagem de roupas de cama/toalhas sujas. Dobrar ou passar roupas de cama/toalhas limpas e entregar sacos de suprimentos de roupas de cama/toalhas às unidades. Classificação do Cargo: 37-2012.00 - Camareiras e Auxiliares de Limpeza. A classificação e descrição do cargo/setor inclui informações gerais sobre a posição, de acordo com o ONET/OES e o Sistema de Classificação Industrial da América do Norte. Consulte as Funções e a Ordem de Serviço para obter mais informações. Requisitos do Cargo Experiência Necessária: Sim Meses de Experiência Necessários: 3 Requisitos Especiais: O contratante considerará para emprego qualquer pessoa que possua pelo menos três (3) meses de experiência, preferencialmente, mas não obrigatoriamente, em hotel, resort, clube privado ou casas de férias; outras experiências em hotelaria ou limpeza podem ser consideradas. Número de horas por semana: 35 Horário de trabalho (início/término): 9h00 - 16h00</v>
      </c>
    </row>
    <row r="2581" ht="20.25" customHeight="1">
      <c r="A2581" s="8" t="s">
        <v>11121</v>
      </c>
      <c r="B2581" s="8" t="s">
        <v>10637</v>
      </c>
      <c r="C2581" s="8" t="s">
        <v>8981</v>
      </c>
      <c r="D2581" s="8" t="s">
        <v>71</v>
      </c>
      <c r="E2581" s="9" t="s">
        <v>19</v>
      </c>
      <c r="F2581" s="9" t="s">
        <v>20</v>
      </c>
      <c r="G2581" s="9" t="s">
        <v>524</v>
      </c>
      <c r="H2581" s="8" t="s">
        <v>10638</v>
      </c>
      <c r="I2581" s="8" t="s">
        <v>10639</v>
      </c>
      <c r="J2581" s="9">
        <v>23.0</v>
      </c>
      <c r="K2581" s="9">
        <v>9.0</v>
      </c>
      <c r="L2581" s="8" t="s">
        <v>4654</v>
      </c>
      <c r="M2581" s="8" t="s">
        <v>10401</v>
      </c>
      <c r="N2581" s="7" t="str">
        <f>IFERROR(__xludf.DUMMYFUNCTION("GOOGLETRANSLATE(L2581, ""en"", ""pt"")"),"Capitão do servidor")</f>
        <v>Capitão do servidor</v>
      </c>
      <c r="O2581" s="7" t="str">
        <f>IFERROR(__xludf.DUMMYFUNCTION("IF(M2581="""","""",GOOGLETRANSLATE(M2581,""en"",""pt""))"),"Supervisionar a equipe de atendimento durante a preparação, o serviço e a limpeza; treinar novos garçons no salão; construir e manter um bom relacionamento com os membros do clube; assumir funções de garçom quando necessário, principalmente no atendimento"&amp;" a convidados de honra e VIPs; ser um exemplo a ser seguido e garantir o mais alto nível de serviço prestado pela equipe de atendimento do clube. *Continuação da Seção F.a.5 abaixo: 40 horas semanais. Os turnos serão de 8 horas e podem variar conforme a n"&amp;"ecessidade, de acordo com o anúncio da vaga na Agência Estadual de Força de Trabalho e em outras fontes de anúncios de vagas H-2B, conforme os requisitos de recrutamento dos empregadores para trabalhadores em potencial no âmbito do programa H-2B. Turnos v"&amp;"ariáveis ​​ao longo de 7 dias da semana. Os turnos podem variar das 6h às 23h. Classificação do Cargo: 35-1012.00 - Supervisores de Primeira Linha de Preparadores e Servidores de Alimentos. A classificação e a descrição do cargo/setor incluem informações "&amp;"gerais sobre a posição, de acordo com o ONET/OES e o Sistema de Classificação Industrial da América do Norte. Consulte as Funções e a Ordem de Serviço para obter mais informações. Requisitos da vaga Experiência necessária: Sim Meses de experiência necessá"&amp;"rios: 6 Requisitos especiais: O EMPREGADOR EXIGE QUE A VERIFICAÇÃO DE ANTECEDENTES CRIMINAIS PRÉ-ADMISSÃO E O TESTE DE DROGAS PÓS-ADMISSÃO SEJAM REALIZADOS IGUALMENTE PARA OS TRABALHADORES AMERICANOS E PARA OS TRABALHADORES COM VISTO H-2B. HABILIDADE DE S"&amp;"E COMUNICAR EM INGLÊS. OS 6 MESES DE EXPERIÊNCIA EXIGIDOS NO ITEM F.A.9 REFEREM-SE A 6 MESES DE EXPERIÊNCIA COMO GARÇOM OU GARÇOM SÊNIOR EM UM ESTABELECIMENTO DE HOSPITALIDADE. Número de horas por semana: 40 Horário de trabalho (início/término): 6h00 - 23"&amp;"h00")</f>
        <v>Supervisionar a equipe de atendimento durante a preparação, o serviço e a limpeza; treinar novos garçons no salão; construir e manter um bom relacionamento com os membros do clube; assumir funções de garçom quando necessário, principalmente no atendimento a convidados de honra e VIPs; ser um exemplo a ser seguido e garantir o mais alto nível de serviço prestado pela equipe de atendimento do clube. *Continuação da Seção F.a.5 abaixo: 40 horas semanais. Os turnos serão de 8 horas e podem variar conforme a necessidade, de acordo com o anúncio da vaga na Agência Estadual de Força de Trabalho e em outras fontes de anúncios de vagas H-2B, conforme os requisitos de recrutamento dos empregadores para trabalhadores em potencial no âmbito do programa H-2B. Turnos variáveis ​​ao longo de 7 dias da semana. Os turnos podem variar das 6h às 23h. Classificação do Cargo: 35-1012.00 - Supervisores de Primeira Linha de Preparadores e Servidores de Alimentos. A classificação e a descrição do cargo/setor incluem informações gerais sobre a posição, de acordo com o ONET/OES e o Sistema de Classificação Industrial da América do Norte. Consulte as Funções e a Ordem de Serviço para obter mais informações. Requisitos da vaga Experiência necessária: Sim Meses de experiência necessários: 6 Requisitos especiais: O EMPREGADOR EXIGE QUE A VERIFICAÇÃO DE ANTECEDENTES CRIMINAIS PRÉ-ADMISSÃO E O TESTE DE DROGAS PÓS-ADMISSÃO SEJAM REALIZADOS IGUALMENTE PARA OS TRABALHADORES AMERICANOS E PARA OS TRABALHADORES COM VISTO H-2B. HABILIDADE DE SE COMUNICAR EM INGLÊS. OS 6 MESES DE EXPERIÊNCIA EXIGIDOS NO ITEM F.A.9 REFEREM-SE A 6 MESES DE EXPERIÊNCIA COMO GARÇOM OU GARÇOM SÊNIOR EM UM ESTABELECIMENTO DE HOSPITALIDADE. Número de horas por semana: 40 Horário de trabalho (início/término): 6h00 - 23h00</v>
      </c>
    </row>
    <row r="2582" ht="20.25" customHeight="1">
      <c r="A2582" s="3" t="s">
        <v>11122</v>
      </c>
      <c r="B2582" s="3" t="s">
        <v>10637</v>
      </c>
      <c r="C2582" s="3" t="s">
        <v>8981</v>
      </c>
      <c r="D2582" s="3" t="s">
        <v>71</v>
      </c>
      <c r="E2582" s="4" t="s">
        <v>44</v>
      </c>
      <c r="F2582" s="4" t="s">
        <v>20</v>
      </c>
      <c r="G2582" s="4" t="s">
        <v>524</v>
      </c>
      <c r="H2582" s="3" t="s">
        <v>10638</v>
      </c>
      <c r="I2582" s="3" t="s">
        <v>10639</v>
      </c>
      <c r="J2582" s="4">
        <v>18.0</v>
      </c>
      <c r="K2582" s="4">
        <v>41.0</v>
      </c>
      <c r="L2582" s="3" t="s">
        <v>586</v>
      </c>
      <c r="M2582" s="3" t="s">
        <v>11123</v>
      </c>
      <c r="N2582" s="7" t="str">
        <f>IFERROR(__xludf.DUMMYFUNCTION("GOOGLETRANSLATE(L2582, ""en"", ""pt"")"),"Cozinheiro de linha")</f>
        <v>Cozinheiro de linha</v>
      </c>
      <c r="O2582" s="7" t="str">
        <f>IFERROR(__xludf.DUMMYFUNCTION("IF(M2582="""","""",GOOGLETRANSLATE(M2582,""en"",""pt""))"),"Prepara, tempera e cozinha sopas, carnes, legumes, frutas, sobremesas e outros alimentos diversos para consumo; observa as diretrizes da receita e os procedimentos de higiene. *Continuação da Seção F.a.5 abaixo: 40 horas semanais. Os turnos serão de 8 hor"&amp;"as e podem variar conforme a necessidade, de acordo com o anúncio da vaga na Agência Estadual de Força de Trabalho e em outras fontes de anúncios de vagas H-2B, conforme os requisitos de recrutamento dos empregadores para trabalhadores em potencial no âmb"&amp;"ito do programa H-2B. Turnos variáveis ​​ao longo de 7 dias da semana. Os turnos podem variar: das 6h às 23h. Classificação da vaga: 35-2014.00 - Cozinheiros, Restaurante. A classificação e a descrição da vaga/setor incluem informações gerais sobre o carg"&amp;"o, provenientes do ONET/OES e do Sistema de Classificação Industrial da América do Norte. Consulte as Funções e a Ordem de Serviço para obter mais informações. Requisitos da vaga Experiência exigida: Não Requisitos especiais: O EMPREGADOR EXIGE QUE A VERI"&amp;"FICAÇÃO DE ANTECEDENTES CRIMINAIS PRÉ-ADMISSÃO E O TESTE DE DROGAS PÓS-ADMISSÃO SEJAM REALIZADOS IGUALMENTE PARA OS TRABALHADORES AMERICANOS E PARA OS TRABALHADORES COM VISTO H-2B. Capacidade de se comunicar em inglês. Número de horas por semana: 40 Horár"&amp;"io de trabalho (início/término): 6h às 23h")</f>
        <v>Prepara, tempera e cozinha sopas, carnes, legumes, frutas, sobremesas e outros alimentos diversos para consumo; observa as diretrizes da receita e os procedimentos de higiene. *Continuação da Seção F.a.5 abaixo: 40 horas semanais. Os turnos serão de 8 horas e podem variar conforme a necessidade, de acordo com o anúncio da vaga na Agência Estadual de Força de Trabalho e em outras fontes de anúncios de vagas H-2B, conforme os requisitos de recrutamento dos empregadores para trabalhadores em potencial no âmbito do programa H-2B. Turnos variáveis ​​ao longo de 7 dias da semana. Os turnos podem variar: das 6h às 23h. Classificação da vaga: 35-2014.00 - Cozinheiros, Restaurante. A classificação e a descrição da vaga/setor incluem informações gerais sobre o cargo, provenientes do ONET/OES e do Sistema de Classificação Industrial da América do Norte. Consulte as Funções e a Ordem de Serviço para obter mais informações. Requisitos da vaga Experiência exigida: Não Requisitos especiais: O EMPREGADOR EXIGE QUE A VERIFICAÇÃO DE ANTECEDENTES CRIMINAIS PRÉ-ADMISSÃO E O TESTE DE DROGAS PÓS-ADMISSÃO SEJAM REALIZADOS IGUALMENTE PARA OS TRABALHADORES AMERICANOS E PARA OS TRABALHADORES COM VISTO H-2B. Capacidade de se comunicar em inglês. Número de horas por semana: 40 Horário de trabalho (início/término): 6h às 23h</v>
      </c>
    </row>
    <row r="2583" ht="20.25" customHeight="1">
      <c r="A2583" s="8" t="s">
        <v>11124</v>
      </c>
      <c r="B2583" s="8" t="s">
        <v>10637</v>
      </c>
      <c r="C2583" s="8" t="s">
        <v>8981</v>
      </c>
      <c r="D2583" s="8" t="s">
        <v>71</v>
      </c>
      <c r="E2583" s="9" t="s">
        <v>44</v>
      </c>
      <c r="F2583" s="9" t="s">
        <v>20</v>
      </c>
      <c r="G2583" s="9" t="s">
        <v>524</v>
      </c>
      <c r="H2583" s="8" t="s">
        <v>10638</v>
      </c>
      <c r="I2583" s="8" t="s">
        <v>10639</v>
      </c>
      <c r="J2583" s="9">
        <v>18.0</v>
      </c>
      <c r="K2583" s="9">
        <v>14.0</v>
      </c>
      <c r="L2583" s="8" t="s">
        <v>2821</v>
      </c>
      <c r="M2583" s="8" t="s">
        <v>11125</v>
      </c>
      <c r="N2583" s="7" t="str">
        <f>IFERROR(__xludf.DUMMYFUNCTION("GOOGLETRANSLATE(L2583, ""en"", ""pt"")"),"Auxiliar de Recreação")</f>
        <v>Auxiliar de Recreação</v>
      </c>
      <c r="O2583" s="7" t="str">
        <f>IFERROR(__xludf.DUMMYFUNCTION("IF(M2583="""","""",GOOGLETRANSLATE(M2583,""en"",""pt""))"),"O funcionário poderá ser solicitado a desempenhar qualquer uma das seguintes funções: monitorar as atividades no campo de golfe e no complexo de tênis; prestar assistência administrativa aos membros, incluindo a verificação de cartões de membro, confirmaç"&amp;"ão de reservas, organização de mercadorias e fornecimento de informações sobre as instalações; transportar os equipamentos de golfe dos membros de e para as instalações do clube. As funções relacionadas ao transporte dos equipamentos de golfe dos membros "&amp;"de e para as instalações do clube incluem encontrar os membros na área de entrega de tacos das instalações do clube e descarregar os tacos de golfe de seus veículos; transportar as bolsas de e para uma área de armazenamento segura e designada para os memb"&amp;"ros do clube; carregar as bolsas de golfe nos carrinhos e garantir que estejam prontas para o jogador na área de espera; limpar os tacos após o uso, devolver as bolsas ao armazenamento ou transportá-las de volta para o carro do membro. *Continuação da Seç"&amp;"ão F.a.5 abaixo: 40 horas semanais. Os turnos serão de 8 horas e podem variar conforme a necessidade, de acordo com o anúncio de vaga da Agência Estadual de Força de Trabalho e em outras fontes de anúncios de emprego H-2B, conforme os requisitos de recrut"&amp;"amento dos empregadores para potenciais trabalhadores sob o programa H-2B. Turnos variáveis ​​ao longo de 7 dias da semana. Os turnos podem variar: das 6h às 23h. Classificação da vaga: 39-3091.00 - Atendentes de Parques de Diversões e Recreação. A classi"&amp;"ficação e descrição da vaga/setor incluem informações gerais sobre o cargo, de acordo com o ONET/OES e o Sistema de Classificação Industrial da América do Norte (NAICS). Consulte as Funções e a Ordem de Serviço para obter mais informações. Requisitos da v"&amp;"aga: Experiência exigida: Não. Requisitos especiais: O EMPREGADOR EXIGE A VERIFICAÇÃO DE ANTECEDENTES CRIMINAIS PRÉ-ADMISSÃO E O TESTE DE DROGAS PÓS-ADMISSÃO, QUE SERÃO REALIZADOS IGUALMENTE PARA TRABALHADORES AMERICANOS E TRABALHADORES COM VISTO H-2B. Ca"&amp;"pacidade de se comunicar em inglês. Número de horas por semana: 40. Horário de trabalho (início/término): 6h às 23h.")</f>
        <v>O funcionário poderá ser solicitado a desempenhar qualquer uma das seguintes funções: monitorar as atividades no campo de golfe e no complexo de tênis; prestar assistência administrativa aos membros, incluindo a verificação de cartões de membro, confirmação de reservas, organização de mercadorias e fornecimento de informações sobre as instalações; transportar os equipamentos de golfe dos membros de e para as instalações do clube. As funções relacionadas ao transporte dos equipamentos de golfe dos membros de e para as instalações do clube incluem encontrar os membros na área de entrega de tacos das instalações do clube e descarregar os tacos de golfe de seus veículos; transportar as bolsas de e para uma área de armazenamento segura e designada para os membros do clube; carregar as bolsas de golfe nos carrinhos e garantir que estejam prontas para o jogador na área de espera; limpar os tacos após o uso, devolver as bolsas ao armazenamento ou transportá-las de volta para o carro do membro. *Continuação da Seção F.a.5 abaixo: 40 horas semanais. Os turnos serão de 8 horas e podem variar conforme a necessidade, de acordo com o anúncio de vaga da Agência Estadual de Força de Trabalho e em outras fontes de anúncios de emprego H-2B, conforme os requisitos de recrutamento dos empregadores para potenciais trabalhadores sob o programa H-2B. Turnos variáveis ​​ao longo de 7 dias da semana. Os turnos podem variar: das 6h às 23h. Classificação da vaga: 39-3091.00 - Atendentes de Parques de Diversões e Recreação. A classificação e descrição da vaga/setor incluem informações gerais sobre o cargo, de acordo com o ONET/OES e o Sistema de Classificação Industrial da América do Norte (NAICS). Consulte as Funções e a Ordem de Serviço para obter mais informações. Requisitos da vaga: Experiência exigida: Não. Requisitos especiais: O EMPREGADOR EXIGE A VERIFICAÇÃO DE ANTECEDENTES CRIMINAIS PRÉ-ADMISSÃO E O TESTE DE DROGAS PÓS-ADMISSÃO, QUE SERÃO REALIZADOS IGUALMENTE PARA TRABALHADORES AMERICANOS E TRABALHADORES COM VISTO H-2B. Capacidade de se comunicar em inglês. Número de horas por semana: 40. Horário de trabalho (início/término): 6h às 23h.</v>
      </c>
    </row>
    <row r="2584" ht="20.25" customHeight="1">
      <c r="A2584" s="3" t="s">
        <v>11126</v>
      </c>
      <c r="B2584" s="3" t="s">
        <v>7316</v>
      </c>
      <c r="C2584" s="3" t="s">
        <v>7533</v>
      </c>
      <c r="D2584" s="3" t="s">
        <v>306</v>
      </c>
      <c r="E2584" s="4" t="s">
        <v>19</v>
      </c>
      <c r="F2584" s="4" t="s">
        <v>20</v>
      </c>
      <c r="G2584" s="4" t="s">
        <v>80</v>
      </c>
      <c r="H2584" s="3" t="s">
        <v>7317</v>
      </c>
      <c r="I2584" s="3" t="s">
        <v>10662</v>
      </c>
      <c r="J2584" s="4">
        <v>23.74</v>
      </c>
      <c r="K2584" s="4">
        <v>8.0</v>
      </c>
      <c r="L2584" s="3" t="s">
        <v>406</v>
      </c>
      <c r="M2584" s="3" t="s">
        <v>10972</v>
      </c>
      <c r="N2584" s="7" t="str">
        <f>IFERROR(__xludf.DUMMYFUNCTION("GOOGLETRANSLATE(L2584, ""en"", ""pt"")"),"Trabalhador")</f>
        <v>Trabalhador</v>
      </c>
      <c r="O2584" s="7" t="str">
        <f>IFERROR(__xludf.DUMMYFUNCTION("IF(M2584="""","""",GOOGLETRANSLATE(M2584,""en"",""pt""))"),"***Resposta à Solicitação de Informações*** Os homens levantam fisicamente os paletes de caixas de leite vencidas e as colocam na máquina de perfuração, acionando a alavanca hidráulica da máquina para perfurar os galões de leite e permitir que o leite se "&amp;"acumule na máquina. Essas tarefas NÃO estão relacionadas à pasteurização. O trabalhador NÃO enviará o leite. ***Original*** Os trabalhadores usam empilhadeiras e paleteiras para mover paletes de produtos lácteos vencidos em galões até máquinas que desemba"&amp;"lam/abrem/perfuram os galões para coletar o leite líquido vencido (que simplesmente cai em um reservatório sob os paletes); o leite coletado é pasteurizado, resfriado a 36 graus e enviado a granel para os criadouros de bezerros para ser fornecido diretame"&amp;"nte aos bezerros na forma líquida. Manter as áreas de armazenamento de equipamentos para garantir a proteção do estoque. Ocupações relacionadas: Ler ordens de serviço ou receber instruções verbais para determinar as tarefas, materiais ou equipamentos nece"&amp;"ssários. Ocupações relacionadas: Movimentar cargas, estoques ou outros materiais de e para áreas de armazenamento ou produção, docas de carga, veículos de entrega, navios ou contêineres, manualmente ou utilizando caminhões, tratores ou outros equipamentos"&amp;". Ocupações relacionadas: Instalar dispositivos de proteção, como escoras, acolchoamento ou cintas, para evitar deslocamento ou danos aos itens transportados. Ocupações relacionadas: Classificar a carga antes do carregamento e descarregamento. Classificaç"&amp;"ão da função: 53-7051.00 - Operadores de Caminhões e Tratores Industriais. A classificação e descrição da função/indústria incluem informações gerais sobre o cargo, de acordo com o ONET/OES e o Sistema de Classificação Industrial da América do Norte (NAIC"&amp;"S). Consulte as Funções e a Ordem de Serviço para obter mais informações. Requisitos da vaga: Experiência necessária: Não. Número de horas por semana: 40. Horário de trabalho (início/término): 7h às 16h.")</f>
        <v>***Resposta à Solicitação de Informações*** Os homens levantam fisicamente os paletes de caixas de leite vencidas e as colocam na máquina de perfuração, acionando a alavanca hidráulica da máquina para perfurar os galões de leite e permitir que o leite se acumule na máquina. Essas tarefas NÃO estão relacionadas à pasteurização. O trabalhador NÃO enviará o leite. ***Original*** Os trabalhadores usam empilhadeiras e paleteiras para mover paletes de produtos lácteos vencidos em galões até máquinas que desembalam/abrem/perfuram os galões para coletar o leite líquido vencido (que simplesmente cai em um reservatório sob os paletes); o leite coletado é pasteurizado, resfriado a 36 graus e enviado a granel para os criadouros de bezerros para ser fornecido diretamente aos bezerros na forma líquida. Manter as áreas de armazenamento de equipamentos para garantir a proteção do estoque. Ocupações relacionadas: Ler ordens de serviço ou receber instruções verbais para determinar as tarefas, materiais ou equipamentos necessários. Ocupações relacionadas: Movimentar cargas, estoques ou outros materiais de e para áreas de armazenamento ou produção, docas de carga, veículos de entrega, navios ou contêineres, manualmente ou utilizando caminhões, tratores ou outros equipamentos. Ocupações relacionadas: Instalar dispositivos de proteção, como escoras, acolchoamento ou cintas, para evitar deslocamento ou danos aos itens transportados. Ocupações relacionadas: Classificar a carga antes do carregamento e descarregamento. Classificação da função: 53-7051.00 - Operadores de Caminhões e Tratores Industriais. A classificação e descrição da função/indústria incluem informações gerais sobre o cargo, de acordo com o ONET/OES e o Sistema de Classificação Industrial da América do Norte (NAICS). Consulte as Funções e a Ordem de Serviço para obter mais informações. Requisitos da vaga: Experiência necessária: Não. Número de horas por semana: 40. Horário de trabalho (início/término): 7h às 16h.</v>
      </c>
    </row>
    <row r="2585" ht="20.25" customHeight="1">
      <c r="A2585" s="8" t="s">
        <v>11127</v>
      </c>
      <c r="B2585" s="8" t="s">
        <v>11128</v>
      </c>
      <c r="C2585" s="8"/>
      <c r="D2585" s="8" t="s">
        <v>18</v>
      </c>
      <c r="E2585" s="9" t="s">
        <v>19</v>
      </c>
      <c r="F2585" s="9" t="s">
        <v>20</v>
      </c>
      <c r="G2585" s="9" t="s">
        <v>377</v>
      </c>
      <c r="H2585" s="8" t="s">
        <v>11058</v>
      </c>
      <c r="I2585" s="8" t="s">
        <v>11129</v>
      </c>
      <c r="J2585" s="9">
        <v>14.09</v>
      </c>
      <c r="K2585" s="9">
        <v>20.0</v>
      </c>
      <c r="L2585" s="8" t="s">
        <v>527</v>
      </c>
      <c r="M2585" s="8" t="s">
        <v>11130</v>
      </c>
      <c r="N2585" s="7" t="str">
        <f>IFERROR(__xludf.DUMMYFUNCTION("GOOGLETRANSLATE(L2585, ""en"", ""pt"")"),"máquina de lavar louça")</f>
        <v>máquina de lavar louça</v>
      </c>
      <c r="O2585" s="7" t="str">
        <f>IFERROR(__xludf.DUMMYFUNCTION("IF(M2585="""","""",GOOGLETRANSLATE(M2585,""en"",""pt""))"),"Raspe, enxágue e coloque pratos e utensílios na máquina de lavar louça. Lave e higienize todas as panelas, utensílios e pratos. Limpe, higienize e faça a manutenção da máquina de lavar louça. Retire os pratos e utensílios da máquina de lavar louça e organ"&amp;"ize-os adequadamente. Esvazie os recipientes de lixo regularmente. Classificação do Cargo: 35-9021.00 - Lavadores de Louça. A classificação e descrição do cargo/setor inclui informações gerais sobre a posição, de acordo com o ONET/OES e o Sistema de Class"&amp;"ificação Industrial da América do Norte. Consulte as Funções e a Ordem de Serviço para obter mais informações. Requisitos do Cargo: Experiência Necessária: Não. Requisitos Especiais: SEGUNDO TURNO: turnos das 12h às 20h. Será realizada verificação de ante"&amp;"cedentes criminais antes da contratação. Número de Horas por Semana: 35. Horário de Trabalho (Início/Término): 4h às 12h.")</f>
        <v>Raspe, enxágue e coloque pratos e utensílios na máquina de lavar louça. Lave e higienize todas as panelas, utensílios e pratos. Limpe, higienize e faça a manutenção da máquina de lavar louça. Retire os pratos e utensílios da máquina de lavar louça e organize-os adequadamente. Esvazie os recipientes de lixo regularmente. Classificação do Cargo: 35-9021.00 - Lavadores de Louça. A classificação e descrição do cargo/setor inclui informações gerais sobre a posição, de acordo com o ONET/OES e o Sistema de Classificação Industrial da América do Norte. Consulte as Funções e a Ordem de Serviço para obter mais informações. Requisitos do Cargo: Experiência Necessária: Não. Requisitos Especiais: SEGUNDO TURNO: turnos das 12h às 20h. Será realizada verificação de antecedentes criminais antes da contratação. Número de Horas por Semana: 35. Horário de Trabalho (Início/Término): 4h às 12h.</v>
      </c>
    </row>
    <row r="2586" ht="20.25" customHeight="1">
      <c r="A2586" s="3" t="s">
        <v>11131</v>
      </c>
      <c r="B2586" s="3" t="s">
        <v>11128</v>
      </c>
      <c r="C2586" s="3"/>
      <c r="D2586" s="3" t="s">
        <v>18</v>
      </c>
      <c r="E2586" s="4" t="s">
        <v>19</v>
      </c>
      <c r="F2586" s="4" t="s">
        <v>20</v>
      </c>
      <c r="G2586" s="4" t="s">
        <v>377</v>
      </c>
      <c r="H2586" s="3" t="s">
        <v>11058</v>
      </c>
      <c r="I2586" s="3" t="s">
        <v>11129</v>
      </c>
      <c r="J2586" s="4">
        <v>16.7</v>
      </c>
      <c r="K2586" s="4">
        <v>25.0</v>
      </c>
      <c r="L2586" s="3" t="s">
        <v>387</v>
      </c>
      <c r="M2586" s="3" t="s">
        <v>11132</v>
      </c>
      <c r="N2586" s="7" t="str">
        <f>IFERROR(__xludf.DUMMYFUNCTION("GOOGLETRANSLATE(L2586, ""en"", ""pt"")"),"Ordem de serviço não disponível")</f>
        <v>Ordem de serviço não disponível</v>
      </c>
      <c r="O2586" s="7" t="str">
        <f>IFERROR(__xludf.DUMMYFUNCTION("IF(M2586="""","""",GOOGLETRANSLATE(M2586,""en"",""pt""))"),"Preparar, temperar e cozinhar pratos como sopas, carnes, legumes ou sobremesas em restaurantes. Pode incluir encomendar suprimentos, manter registros e contas, precificar itens no cardápio ou planejar o cardápio. Classificação da vaga: 35-2014.00 - Cozinh"&amp;"eiros, Restaurante. A classificação e descrição da vaga/setor inclui informações gerais sobre o cargo, de acordo com o ONET/OES e o Sistema de Classificação Industrial da América do Norte. Consulte as Funções e a Ordem de Serviço para obter mais informaçõ"&amp;"es. Requisitos da vaga: Experiência exigida: Não. Requisitos especiais: verificação de antecedentes criminais pré-contratação. SEGUNDO TURNO: 12h às 20h. Número de horas por semana: 35. Horário de trabalho (início/término): 4h às 12h.")</f>
        <v>Preparar, temperar e cozinhar pratos como sopas, carnes, legumes ou sobremesas em restaurantes. Pode incluir encomendar suprimentos, manter registros e contas, precificar itens no cardápio ou planejar o cardápio. Classificação da vaga: 35-2014.00 - Cozinheiros, Restaurante. A classificação e descrição da vaga/setor inclui informações gerais sobre o cargo, de acordo com o ONET/OES e o Sistema de Classificação Industrial da América do Norte. Consulte as Funções e a Ordem de Serviço para obter mais informações. Requisitos da vaga: Experiência exigida: Não. Requisitos especiais: verificação de antecedentes criminais pré-contratação. SEGUNDO TURNO: 12h às 20h. Número de horas por semana: 35. Horário de trabalho (início/término): 4h às 12h.</v>
      </c>
    </row>
    <row r="2587" ht="20.25" customHeight="1">
      <c r="A2587" s="8" t="s">
        <v>11133</v>
      </c>
      <c r="B2587" s="8" t="s">
        <v>11134</v>
      </c>
      <c r="C2587" s="8" t="s">
        <v>6030</v>
      </c>
      <c r="D2587" s="8" t="s">
        <v>102</v>
      </c>
      <c r="E2587" s="9" t="s">
        <v>19</v>
      </c>
      <c r="F2587" s="9" t="s">
        <v>20</v>
      </c>
      <c r="G2587" s="9" t="s">
        <v>29</v>
      </c>
      <c r="H2587" s="8" t="s">
        <v>11135</v>
      </c>
      <c r="I2587" s="8" t="s">
        <v>11136</v>
      </c>
      <c r="J2587" s="9">
        <v>21.44</v>
      </c>
      <c r="K2587" s="9">
        <v>25.0</v>
      </c>
      <c r="L2587" s="8" t="s">
        <v>11137</v>
      </c>
      <c r="M2587" s="8" t="s">
        <v>11138</v>
      </c>
      <c r="N2587" s="7" t="str">
        <f>IFERROR(__xludf.DUMMYFUNCTION("GOOGLETRANSLATE(L2587, ""en"", ""pt"")"),"Operário de chão")</f>
        <v>Operário de chão</v>
      </c>
      <c r="O2587" s="7" t="str">
        <f>IFERROR(__xludf.DUMMYFUNCTION("IF(M2587="""","""",GOOGLETRANSLATE(M2587,""en"",""pt""))"),"Levantar sacos de ostras (mais de 22 kg) em uma esteira para lavar, classificar e processar em uma máquina de processamento de alta pressão. Abrir as ostras, embalá-las em caixas e levá-las ao congelador criogênico para armazenamento refrigerado. Seguir o"&amp;"s requisitos de segurança alimentar e lavar a área de trabalho após o processamento. Classificação da vaga: 51-9032.00 - Operadores e Auxiliares de Máquina de Corte e Fatiamento. A classificação e descrição da vaga/setor incluem informações gerais sobre o"&amp;" cargo, de acordo com o ONET/OES e o Sistema de Classificação Industrial da América do Norte (NAICS). Consulte as Funções e a Ordem de Serviço para obter mais informações. Requisitos da vaga: Experiência necessária: Não. Requisitos especiais: Os candidato"&amp;"s podem ser submetidos a exame toxicológico pré e pós-contratação. Número de horas por semana: 42. Horário de trabalho (início/término): 6h às 14h.")</f>
        <v>Levantar sacos de ostras (mais de 22 kg) em uma esteira para lavar, classificar e processar em uma máquina de processamento de alta pressão. Abrir as ostras, embalá-las em caixas e levá-las ao congelador criogênico para armazenamento refrigerado. Seguir os requisitos de segurança alimentar e lavar a área de trabalho após o processamento. Classificação da vaga: 51-9032.00 - Operadores e Auxiliares de Máquina de Corte e Fatiamento. A classificação e descrição da vaga/setor incluem informações gerais sobre o cargo, de acordo com o ONET/OES e o Sistema de Classificação Industrial da América do Norte (NAICS). Consulte as Funções e a Ordem de Serviço para obter mais informações. Requisitos da vaga: Experiência necessária: Não. Requisitos especiais: Os candidatos podem ser submetidos a exame toxicológico pré e pós-contratação. Número de horas por semana: 42. Horário de trabalho (início/término): 6h às 14h.</v>
      </c>
    </row>
    <row r="2588" ht="20.25" customHeight="1">
      <c r="A2588" s="3" t="s">
        <v>11139</v>
      </c>
      <c r="B2588" s="3" t="s">
        <v>11140</v>
      </c>
      <c r="C2588" s="3" t="s">
        <v>1411</v>
      </c>
      <c r="D2588" s="3" t="s">
        <v>970</v>
      </c>
      <c r="E2588" s="4" t="s">
        <v>19</v>
      </c>
      <c r="F2588" s="4" t="s">
        <v>20</v>
      </c>
      <c r="G2588" s="4" t="s">
        <v>377</v>
      </c>
      <c r="H2588" s="3" t="s">
        <v>11141</v>
      </c>
      <c r="I2588" s="3" t="s">
        <v>11142</v>
      </c>
      <c r="J2588" s="4">
        <v>17.11</v>
      </c>
      <c r="K2588" s="4">
        <v>60.0</v>
      </c>
      <c r="L2588" s="3" t="s">
        <v>11143</v>
      </c>
      <c r="M2588" s="3" t="s">
        <v>11144</v>
      </c>
      <c r="N2588" s="7" t="str">
        <f>IFERROR(__xludf.DUMMYFUNCTION("GOOGLETRANSLATE(L2588, ""en"", ""pt"")"),"Embalador")</f>
        <v>Embalador</v>
      </c>
      <c r="O2588" s="7" t="str">
        <f>IFERROR(__xludf.DUMMYFUNCTION("IF(M2588="""","""",GOOGLETRANSLATE(M2588,""en"",""pt""))"),"Prepara e monta embalagens e recipientes de produtos. Inspeciona e examina caixas, recipientes, materiais e produtos para garantir que a embalagem atenda às especificações da empresa, aos padrões de qualidade, bem como que esteja intacta e correta para o "&amp;"produto. Descarta produtos ou embalagens defeituosas ou danificadas em recipientes designados. Verifica se as datas e os pesos das embalagens dos produtos estão corretos e dentro das especificações. Sela as embalagens e os recipientes após o enchimento co"&amp;"m o produto. Mantém a área de trabalho limpa e organizada. Segue as diretrizes de segurança da empresa e as Boas Práticas de Fabricação (BPF). Classificação do Cargo: 53-7064.00 - Embaladores e Acondicionadores Manuais. A classificação e a descrição do ca"&amp;"rgo/setor incluem informações gerais sobre a posição, de acordo com o ONET/OES e o Sistema de Classificação Industrial da América do Norte. Consulte as Funções e a Ordem de Serviço para obter mais informações. Requisitos do Cargo: Experiência Necessária: "&amp;"Não. Número de Horas por Semana: 40. Horário de Trabalho (Início/Término): 2h às 10h.")</f>
        <v>Prepara e monta embalagens e recipientes de produtos. Inspeciona e examina caixas, recipientes, materiais e produtos para garantir que a embalagem atenda às especificações da empresa, aos padrões de qualidade, bem como que esteja intacta e correta para o produto. Descarta produtos ou embalagens defeituosas ou danificadas em recipientes designados. Verifica se as datas e os pesos das embalagens dos produtos estão corretos e dentro das especificações. Sela as embalagens e os recipientes após o enchimento com o produto. Mantém a área de trabalho limpa e organizada. Segue as diretrizes de segurança da empresa e as Boas Práticas de Fabricação (BPF). Classificação do Cargo: 53-7064.00 - Embaladores e Acondicionadores Manuais. A classificação e a descrição do cargo/setor incluem informações gerais sobre a posição, de acordo com o ONET/OES e o Sistema de Classificação Industrial da América do Norte. Consulte as Funções e a Ordem de Serviço para obter mais informações. Requisitos do Cargo: Experiência Necessária: Não. Número de Horas por Semana: 40. Horário de Trabalho (Início/Término): 2h às 10h.</v>
      </c>
    </row>
    <row r="2589" ht="20.25" customHeight="1">
      <c r="A2589" s="8" t="s">
        <v>11145</v>
      </c>
      <c r="B2589" s="8" t="s">
        <v>11146</v>
      </c>
      <c r="C2589" s="8" t="s">
        <v>197</v>
      </c>
      <c r="D2589" s="8" t="s">
        <v>596</v>
      </c>
      <c r="E2589" s="9" t="s">
        <v>19</v>
      </c>
      <c r="F2589" s="9" t="s">
        <v>20</v>
      </c>
      <c r="G2589" s="9" t="s">
        <v>292</v>
      </c>
      <c r="H2589" s="8" t="s">
        <v>11147</v>
      </c>
      <c r="I2589" s="8" t="s">
        <v>11148</v>
      </c>
      <c r="J2589" s="9">
        <v>22.02</v>
      </c>
      <c r="K2589" s="9">
        <v>6.0</v>
      </c>
      <c r="L2589" s="8" t="s">
        <v>59</v>
      </c>
      <c r="M2589" s="8" t="s">
        <v>11149</v>
      </c>
      <c r="N2589" s="7" t="str">
        <f>IFERROR(__xludf.DUMMYFUNCTION("GOOGLETRANSLATE(L2589, ""en"", ""pt"")"),"Trabalhador de paisagismo")</f>
        <v>Trabalhador de paisagismo</v>
      </c>
      <c r="O2589" s="7" t="str">
        <f>IFERROR(__xludf.DUMMYFUNCTION("IF(M2589="""","""",GOOGLETRANSLATE(M2589,""en"",""pt""))"),"REMOÇÃO DE VEGETAÇÃO DE PROPRIEDADES COMERCIAIS, REMOÇÃO DE NEVE COM PÁ E LIMPEZA, REMOÇÃO DE FOLHAS, GALHOS E DETRITOS DE PROPRIEDADES E ESTACIONAMENTOS. Classificação da Função: 37-3011.00 - Trabalhadores de Paisagismo e Manutenção de Áreas Verdes. A cl"&amp;"assificação e descrição da função/setor incluem informações gerais sobre o cargo, de acordo com o ONET/OES e o Sistema de Classificação Industrial da América do Norte. Consulte as Funções e a Ordem de Serviço para obter mais informações. Requisitos da Fun"&amp;"ção: Experiência Necessária: Não. Número de Horas por Semana: 40. Horário de Trabalho (Início/Término): 8h00 - 17h00.")</f>
        <v>REMOÇÃO DE VEGETAÇÃO DE PROPRIEDADES COMERCIAIS, REMOÇÃO DE NEVE COM PÁ E LIMPEZA, REMOÇÃO DE FOLHAS, GALHOS E DETRITOS DE PROPRIEDADES E ESTACIONAMENTOS. Classificação da Função: 37-3011.00 - Trabalhadores de Paisagismo e Manutenção de Áreas Verdes. A classificação e descrição da função/setor incluem informações gerais sobre o cargo, de acordo com o ONET/OES e o Sistema de Classificação Industrial da América do Norte. Consulte as Funções e a Ordem de Serviço para obter mais informações. Requisitos da Função: Experiência Necessária: Não. Número de Horas por Semana: 40. Horário de Trabalho (Início/Término): 8h00 - 17h00.</v>
      </c>
    </row>
    <row r="2590" ht="20.25" customHeight="1">
      <c r="A2590" s="3" t="s">
        <v>11150</v>
      </c>
      <c r="B2590" s="3" t="s">
        <v>11151</v>
      </c>
      <c r="C2590" s="3" t="s">
        <v>7533</v>
      </c>
      <c r="D2590" s="3" t="s">
        <v>109</v>
      </c>
      <c r="E2590" s="4" t="s">
        <v>19</v>
      </c>
      <c r="F2590" s="4" t="s">
        <v>20</v>
      </c>
      <c r="G2590" s="4" t="s">
        <v>369</v>
      </c>
      <c r="H2590" s="3" t="s">
        <v>11152</v>
      </c>
      <c r="I2590" s="3" t="s">
        <v>11153</v>
      </c>
      <c r="J2590" s="4">
        <v>18.91</v>
      </c>
      <c r="K2590" s="4">
        <v>18.0</v>
      </c>
      <c r="L2590" s="3" t="s">
        <v>406</v>
      </c>
      <c r="M2590" s="3" t="s">
        <v>9935</v>
      </c>
      <c r="N2590" s="7" t="str">
        <f>IFERROR(__xludf.DUMMYFUNCTION("GOOGLETRANSLATE(L2590, ""en"", ""pt"")"),"Trabalhador")</f>
        <v>Trabalhador</v>
      </c>
      <c r="O2590" s="7" t="str">
        <f>IFERROR(__xludf.DUMMYFUNCTION("IF(M2590="""","""",GOOGLETRANSLATE(M2590,""en"",""pt""))"),"Remover depósitos de neve acumulados de forma contínua em condições climáticas extremas em diversas propriedades, operar soprador de neve. Necessário levantar até 23 kg. Classificação da vaga: 37-2011.00 - Zeladores e Faxineiros, exceto empregadas domésti"&amp;"cas e faxineiras. A classificação e descrição da vaga/setor incluem informações gerais sobre o cargo, de acordo com o ONET/OES e o Sistema de Classificação Industrial da América do Norte. Consulte as Funções e a Ordem de Serviço para obter mais informaçõe"&amp;"s. Requisitos da vaga: Experiência necessária: Não. Número de horas por semana: 40. Horário de trabalho (início/término): 8h às 17h.")</f>
        <v>Remover depósitos de neve acumulados de forma contínua em condições climáticas extremas em diversas propriedades, operar soprador de neve. Necessário levantar até 23 kg. Classificação da vaga: 37-2011.00 - Zeladores e Faxineiros, exceto empregadas domésticas e faxineiras. A classificação e descrição da vaga/setor incluem informações gerais sobre o cargo, de acordo com o ONET/OES e o Sistema de Classificação Industrial da América do Norte. Consulte as Funções e a Ordem de Serviço para obter mais informações. Requisitos da vaga: Experiência necessária: Não. Número de horas por semana: 40. Horário de trabalho (início/término): 8h às 17h.</v>
      </c>
    </row>
    <row r="2591" ht="20.25" customHeight="1">
      <c r="A2591" s="8" t="s">
        <v>11154</v>
      </c>
      <c r="B2591" s="8" t="s">
        <v>11155</v>
      </c>
      <c r="C2591" s="8" t="s">
        <v>7533</v>
      </c>
      <c r="D2591" s="8" t="s">
        <v>64</v>
      </c>
      <c r="E2591" s="9" t="s">
        <v>19</v>
      </c>
      <c r="F2591" s="9" t="s">
        <v>20</v>
      </c>
      <c r="G2591" s="9" t="s">
        <v>369</v>
      </c>
      <c r="H2591" s="8" t="s">
        <v>11156</v>
      </c>
      <c r="I2591" s="8" t="s">
        <v>11157</v>
      </c>
      <c r="J2591" s="9">
        <v>19.09</v>
      </c>
      <c r="K2591" s="9">
        <v>57.0</v>
      </c>
      <c r="L2591" s="8" t="s">
        <v>406</v>
      </c>
      <c r="M2591" s="8" t="s">
        <v>11158</v>
      </c>
      <c r="N2591" s="7" t="str">
        <f>IFERROR(__xludf.DUMMYFUNCTION("GOOGLETRANSLATE(L2591, ""en"", ""pt"")"),"Trabalhador")</f>
        <v>Trabalhador</v>
      </c>
      <c r="O2591" s="7" t="str">
        <f>IFERROR(__xludf.DUMMYFUNCTION("IF(M2591="""","""",GOOGLETRANSLATE(M2591,""en"",""pt""))"),"Remover e podar arbustos, descartar galhos, rastelar e limpar o solo e detritos restantes, plantar paisagismo, espalhar cobertura morta, remover folhas, plantar sementes de azevém, realizar a manutenção de inverno de campos esportivos. Classificação da va"&amp;"ga: 37-3011.00 - Trabalhadores de Paisagismo e Manutenção de Áreas Verdes. A classificação e descrição da vaga/setor incluem informações gerais sobre o cargo, de acordo com o ONET/OES e o Sistema de Classificação Industrial da América do Norte (NAICS). Co"&amp;"nsulte as Funções e a Ordem de Serviço para obter mais informações. Requisitos da vaga: Experiência necessária: Não. Número de horas por semana: 40. Horário de trabalho (início/término): 7h00 - 16h06.")</f>
        <v>Remover e podar arbustos, descartar galhos, rastelar e limpar o solo e detritos restantes, plantar paisagismo, espalhar cobertura morta, remover folhas, plantar sementes de azevém, realizar a manutenção de inverno de campos esportivos. Classificação da vaga: 37-3011.00 - Trabalhadores de Paisagismo e Manutenção de Áreas Verdes. A classificação e descrição da vaga/setor incluem informações gerais sobre o cargo, de acordo com o ONET/OES e o Sistema de Classificação Industrial da América do Norte (NAICS). Consulte as Funções e a Ordem de Serviço para obter mais informações. Requisitos da vaga: Experiência necessária: Não. Número de horas por semana: 40. Horário de trabalho (início/término): 7h00 - 16h06.</v>
      </c>
    </row>
    <row r="2592" ht="20.25" customHeight="1">
      <c r="A2592" s="3" t="s">
        <v>11159</v>
      </c>
      <c r="B2592" s="3" t="s">
        <v>11016</v>
      </c>
      <c r="C2592" s="3" t="s">
        <v>9739</v>
      </c>
      <c r="D2592" s="3" t="s">
        <v>126</v>
      </c>
      <c r="E2592" s="4" t="s">
        <v>19</v>
      </c>
      <c r="F2592" s="4" t="s">
        <v>20</v>
      </c>
      <c r="G2592" s="4" t="s">
        <v>404</v>
      </c>
      <c r="H2592" s="3" t="s">
        <v>11017</v>
      </c>
      <c r="I2592" s="3" t="s">
        <v>11018</v>
      </c>
      <c r="J2592" s="4">
        <v>23.07</v>
      </c>
      <c r="K2592" s="4">
        <v>2.0</v>
      </c>
      <c r="L2592" s="3" t="s">
        <v>11160</v>
      </c>
      <c r="M2592" s="3" t="s">
        <v>11161</v>
      </c>
      <c r="N2592" s="7" t="str">
        <f>IFERROR(__xludf.DUMMYFUNCTION("GOOGLETRANSLATE(L2592, ""en"", ""pt"")"),"Porteiro")</f>
        <v>Porteiro</v>
      </c>
      <c r="O2592" s="7" t="str">
        <f>IFERROR(__xludf.DUMMYFUNCTION("IF(M2592="""","""",GOOGLETRANSLATE(M2592,""en"",""pt""))"),"Responsabilidades: Atender às solicitações dos hóspedes para serviços ou providências especiais (ex.: transporte, reservas, lavanderia) providenciando ou identificando fornecedores adequados. Responder a solicitações especiais de hóspedes com necessidades"&amp;" específicas e acompanhar o processo para garantir a satisfação. Reunir, resumir e fornecer informações aos hóspedes sobre o hotel e as comodidades da região, incluindo eventos e atividades especiais. Atender, registrar e processar todas as ligações, mens"&amp;"agens, solicitações, perguntas ou reclamações dos hóspedes. Contatar a pessoa ou departamento apropriado (ex.: mensageiro, governança) conforme necessário para resolver a ligação, solicitação ou problema do hóspede. Revisar os registros de turno/livros de"&amp;" anotações diárias e documentar as informações pertinentes nos livros de registro. Monitorar o lounge do clube quanto à disponibilidade de assentos, serviço, segurança e bem-estar dos hóspedes. Reportar acidentes, lesões e condições de trabalho inseguras "&amp;"ao gerente; e concluir os treinamentos e certificações de segurança. Receber e cumprimentar todos os hóspedes. Atender às necessidades de serviço dos hóspedes, auxiliar pessoas com deficiência e agradecer aos hóspedes com genuína apreciação. Requisitos: E"&amp;"nsino Médio completo ou equivalente. Um ano de experiência na área. Treinamento no local de trabalho fornecido. Capacidade de ficar em pé, sentado ou caminhar por longos períodos ou durante todo o turno de trabalho. Capacidade de mover, levantar, carregar"&amp;", empurrar, puxar e colocar objetos com peso igual ou inferior a 4,5 kg sem auxílio. Verificação de antecedentes pré-emprego realizada. Salário: US$ 23,07/hora. Hora extra: US$ 34,61/hora. Elegível para diversos benefícios, incluindo: passe de ônibus com "&amp;"desconto (transporte público do Condado de Eagle); passe de esqui com desconto (passe de estabelecimento – Epic Pass); acesso ao teleférico da propriedade (com o passe aplicável); licença médica remunerada – conforme a legislação do Estado do Colorado (ac"&amp;"úmulo de 1 hora a cada 30 horas trabalhadas); refeição gratuita por turno; estacionamento e serviço de transporte gratuitos de/para a propriedade; uniforme gratuito (sapatos não inclusos); desconto Marriott Explore (quartos, lojas, spa e restaurantes); us"&amp;"o gratuito da academia na propriedade (necessário termo de responsabilidade para uso da academia). Para obter a lista completa de benefícios, entre em contato com o RH. Turnos: mínimo de 35 horas/semana. Turnos de 8 horas. Turno da manhã: 5h às 8h e das 1"&amp;"3h às 16h; Turno da tarde: 14h às 22h; Turno da noite: 22h30 às 7h (5 dias rotativos, incluindo fins de semana). Classificação da vaga: 39-6012.00 - Concierges. A classificação e descrição da vaga/setor incluem informações gerais sobre o cargo, de acordo "&amp;"com o ONET/OES e o Sistema de Classificação Industrial da América do Norte (NAICS). Consulte as atribuições e a ordem de serviço para obter mais informações. Requisitos da vaga: Experiência necessária: Sim. Meses de experiência necessários: 12. Requisitos"&amp;" especiais: Ensino médio completo ou equivalente. Um ano de experiência na área. Treinamento no local de trabalho oferecido. Capacidade de ficar em pé, sentado ou caminhando por longos períodos ou durante todo o turno de trabalho. Capacidade de mover, lev"&amp;"antar, carregar, empurrar, puxar e colocar objetos com peso igual ou inferior a 4,5 kg sem auxílio. Verificação de antecedentes pré-emprego realizada. Número de horas por semana: 35 Horário de trabalho (início/término): 5h00 - 13h00")</f>
        <v>Responsabilidades: Atender às solicitações dos hóspedes para serviços ou providências especiais (ex.: transporte, reservas, lavanderia) providenciando ou identificando fornecedores adequados. Responder a solicitações especiais de hóspedes com necessidades específicas e acompanhar o processo para garantir a satisfação. Reunir, resumir e fornecer informações aos hóspedes sobre o hotel e as comodidades da região, incluindo eventos e atividades especiais. Atender, registrar e processar todas as ligações, mensagens, solicitações, perguntas ou reclamações dos hóspedes. Contatar a pessoa ou departamento apropriado (ex.: mensageiro, governança) conforme necessário para resolver a ligação, solicitação ou problema do hóspede. Revisar os registros de turno/livros de anotações diárias e documentar as informações pertinentes nos livros de registro. Monitorar o lounge do clube quanto à disponibilidade de assentos, serviço, segurança e bem-estar dos hóspedes. Reportar acidentes, lesões e condições de trabalho inseguras ao gerente; e concluir os treinamentos e certificações de segurança. Receber e cumprimentar todos os hóspedes. Atender às necessidades de serviço dos hóspedes, auxiliar pessoas com deficiência e agradecer aos hóspedes com genuína apreciação. Requisitos: Ensino Médio completo ou equivalente. Um ano de experiência na área. Treinamento no local de trabalho fornecido. Capacidade de ficar em pé, sentado ou caminhar por longos períodos ou durante todo o turno de trabalho. Capacidade de mover, levantar, carregar, empurrar, puxar e colocar objetos com peso igual ou inferior a 4,5 kg sem auxílio. Verificação de antecedentes pré-emprego realizada. Salário: US$ 23,07/hora. Hora extra: US$ 34,61/hora. Elegível para diversos benefícios, incluindo: passe de ônibus com desconto (transporte público do Condado de Eagle); passe de esqui com desconto (passe de estabelecimento – Epic Pass); acesso ao teleférico da propriedade (com o passe aplicável); licença médica remunerada – conforme a legislação do Estado do Colorado (acúmulo de 1 hora a cada 30 horas trabalhadas); refeição gratuita por turno; estacionamento e serviço de transporte gratuitos de/para a propriedade; uniforme gratuito (sapatos não inclusos); desconto Marriott Explore (quartos, lojas, spa e restaurantes); uso gratuito da academia na propriedade (necessário termo de responsabilidade para uso da academia). Para obter a lista completa de benefícios, entre em contato com o RH. Turnos: mínimo de 35 horas/semana. Turnos de 8 horas. Turno da manhã: 5h às 8h e das 13h às 16h; Turno da tarde: 14h às 22h; Turno da noite: 22h30 às 7h (5 dias rotativos, incluindo fins de semana). Classificação da vaga: 39-6012.00 - Concierges. A classificação e descrição da vaga/setor incluem informações gerais sobre o cargo, de acordo com o ONET/OES e o Sistema de Classificação Industrial da América do Norte (NAICS). Consulte as atribuições e a ordem de serviço para obter mais informações. Requisitos da vaga: Experiência necessária: Sim. Meses de experiência necessários: 12. Requisitos especiais: Ensino médio completo ou equivalente. Um ano de experiência na área. Treinamento no local de trabalho oferecido. Capacidade de ficar em pé, sentado ou caminhando por longos períodos ou durante todo o turno de trabalho. Capacidade de mover, levantar, carregar, empurrar, puxar e colocar objetos com peso igual ou inferior a 4,5 kg sem auxílio. Verificação de antecedentes pré-emprego realizada. Número de horas por semana: 35 Horário de trabalho (início/término): 5h00 - 13h00</v>
      </c>
    </row>
    <row r="2593" ht="20.25" customHeight="1">
      <c r="A2593" s="8" t="s">
        <v>11162</v>
      </c>
      <c r="B2593" s="8" t="s">
        <v>11016</v>
      </c>
      <c r="C2593" s="8" t="s">
        <v>9739</v>
      </c>
      <c r="D2593" s="8" t="s">
        <v>126</v>
      </c>
      <c r="E2593" s="9" t="s">
        <v>19</v>
      </c>
      <c r="F2593" s="9" t="s">
        <v>20</v>
      </c>
      <c r="G2593" s="9" t="s">
        <v>404</v>
      </c>
      <c r="H2593" s="8" t="s">
        <v>11017</v>
      </c>
      <c r="I2593" s="8" t="s">
        <v>11018</v>
      </c>
      <c r="J2593" s="9">
        <v>23.0</v>
      </c>
      <c r="K2593" s="9">
        <v>2.0</v>
      </c>
      <c r="L2593" s="8" t="s">
        <v>11163</v>
      </c>
      <c r="M2593" s="8" t="s">
        <v>11164</v>
      </c>
      <c r="N2593" s="7" t="str">
        <f>IFERROR(__xludf.DUMMYFUNCTION("GOOGLETRANSLATE(L2593, ""en"", ""pt"")"),"Especialista em Experiência do Cliente")</f>
        <v>Especialista em Experiência do Cliente</v>
      </c>
      <c r="O2593" s="7" t="str">
        <f>IFERROR(__xludf.DUMMYFUNCTION("IF(M2593="""","""",GOOGLETRANSLATE(M2593,""en"",""pt""))"),"Responsabilidades: Tomar a iniciativa para oferecer uma ampla gama de serviços que orientem os hóspedes durante toda a sua estadia. Processar necessidades operacionais (como check-ins, check-outs e pagamentos), atender às solicitações dos hóspedes, preenc"&amp;"her relatórios (como o relatório GXP, controle de comodidades, partidas e chegadas, membros Bonvoy, controle de cancelamentos e relatórios com detalhes dos hóspedes) ou compartilhar os destaques da região. O Especialista em Experiência do Hóspede faz com "&amp;"que as transações pareçam parte da experiência. Ouvir atentamente e responder positivamente às perguntas, preocupações e solicitações dos hóspedes. Atender às necessidades de serviço dos hóspedes de maneira profissional, positiva e ágil. Auxiliar outros f"&amp;"uncionários para garantir a cobertura adequada e o atendimento rápido aos hóspedes. Interagir com os hóspedes em conversas sobre sua estadia, serviços do hotel e atrações/ofertas da região, incluindo mídias sociais quando apropriado. Manter-se atualizado "&amp;"sobre a região para estar preparado para fornecer recomendações específicas aos hóspedes. Organizar e coordenar os procedimentos de check-in/pré-registro para grupos que chegam. Processar todos os check-outs, incluindo check-outs expressos, resolver quais"&amp;"quer cobranças atrasadas ou contestadas, acertar a conta, recuperar a chave do quarto e solicitar comentários sobre a estadia do hóspede. Processar todos os check-ins dos hóspedes, confirmando as reservas no sistema informatizado. Garantir uma forma de pa"&amp;"gamento válida (por exemplo, cartão de crédito, dinheiro) antes de emitir a chave do quarto. Processar todos os tipos de pagamento, como diárias, dinheiro, cheques, débito ou crédito. Verificar e ajustar as faturas dos hóspedes. Providenciar transporte (p"&amp;"or exemplo, táxi, ônibus) para hóspedes/moradores/visitantes e registrar solicitações de transporte com antecedência, conforme necessário. Contatar a pessoa ou departamento apropriado (por exemplo, mensageiro, recepção, governança, manutenção, segurança/p"&amp;"revenção de perdas) conforme necessário para resolver ligações, solicitações ou problemas dos hóspedes. Outras tarefas relacionadas. Requisitos: Ensino Médio completo ou equivalente. Um ano de experiência na área. Treinamento no local de trabalho fornecid"&amp;"o. O trabalho exige que o funcionário permaneça em pé e se movimente (ficar em pé, sentado ou caminhando por longos períodos) e que adote uma abordagem prática (mover, levantar, carregar, empurrar, puxar e colocar objetos com peso igual ou inferior a 4,5 "&amp;"kg sem auxílio). Será realizada verificação de antecedentes antes da contratação. Salário: US$ 23,00/hora. Horas extras a US$ 34,50/hora. Elegível para diversos benefícios, incluindo: passe de ônibus com desconto (transporte público do Condado de Eagle); "&amp;"passe de esqui com desconto (passe de comerciante – Epic Pass); acesso ao teleférico da propriedade (com o passe aplicável); licença médica remunerada – conforme a lei do Estado do Colorado (acúmulo de 1 hora a cada 30 horas trabalhadas); refeição gratuit"&amp;"a por turno; estacionamento e serviço de transporte gratuitos de/para a propriedade; uniforme gratuito (sapatos não inclusos); desconto Marriott Explore (quartos, lojas, spa e alimentos e bebidas); uso gratuito da academia na propriedade (necessário assin"&amp;"ar o Termo de Responsabilidade para Uso da Academia). Para obter a lista completa de benefícios, entre em contato com o RH. Turnos: Mín. 35 horas/semana. Turnos de 8 horas. Manhã: 5h às 8h e das 13h às 16h; Tarde: 14h às 22h; Noite: 22h30 às 7h. (5 dias r"&amp;"otativos, incluindo fins de semana). Classificação da vaga: 39-6012.00 - Concierges. A classificação e descrição da vaga/setor incluem informações gerais sobre o cargo, de acordo com o ONET/OES e o Sistema de Classificação Industrial da América do Norte ("&amp;"NAICS). Consulte as atribuições e a ordem de serviço para obter mais informações. Requisitos da vaga: Experiência necessária: Sim. Meses de experiência necessários: 12. Requisitos especiais: Ensino médio completo ou equivalente. Um ano de experiência na á"&amp;"rea. Treinamento no local de trabalho fornecido. O profissional deve permanecer em pé e se movimentar (ficar em pé, sentado ou caminhar por longos períodos) e ter uma abordagem prática para o trabalho (mover, levantar, carregar, empurrar, puxar e colocar "&amp;"objetos com peso igual ou inferior a 4,5 kg sem auxílio). Verificação de antecedentes pré-emprego realizada. Número de horas por semana: 35. Horário de trabalho (início/término): 5h às 13h.")</f>
        <v>Responsabilidades: Tomar a iniciativa para oferecer uma ampla gama de serviços que orientem os hóspedes durante toda a sua estadia. Processar necessidades operacionais (como check-ins, check-outs e pagamentos), atender às solicitações dos hóspedes, preencher relatórios (como o relatório GXP, controle de comodidades, partidas e chegadas, membros Bonvoy, controle de cancelamentos e relatórios com detalhes dos hóspedes) ou compartilhar os destaques da região. O Especialista em Experiência do Hóspede faz com que as transações pareçam parte da experiência. Ouvir atentamente e responder positivamente às perguntas, preocupações e solicitações dos hóspedes. Atender às necessidades de serviço dos hóspedes de maneira profissional, positiva e ágil. Auxiliar outros funcionários para garantir a cobertura adequada e o atendimento rápido aos hóspedes. Interagir com os hóspedes em conversas sobre sua estadia, serviços do hotel e atrações/ofertas da região, incluindo mídias sociais quando apropriado. Manter-se atualizado sobre a região para estar preparado para fornecer recomendações específicas aos hóspedes. Organizar e coordenar os procedimentos de check-in/pré-registro para grupos que chegam. Processar todos os check-outs, incluindo check-outs expressos, resolver quaisquer cobranças atrasadas ou contestadas, acertar a conta, recuperar a chave do quarto e solicitar comentários sobre a estadia do hóspede. Processar todos os check-ins dos hóspedes, confirmando as reservas no sistema informatizado. Garantir uma forma de pagamento válida (por exemplo, cartão de crédito, dinheiro) antes de emitir a chave do quarto. Processar todos os tipos de pagamento, como diárias, dinheiro, cheques, débito ou crédito. Verificar e ajustar as faturas dos hóspedes. Providenciar transporte (por exemplo, táxi, ônibus) para hóspedes/moradores/visitantes e registrar solicitações de transporte com antecedência, conforme necessário. Contatar a pessoa ou departamento apropriado (por exemplo, mensageiro, recepção, governança, manutenção, segurança/prevenção de perdas) conforme necessário para resolver ligações, solicitações ou problemas dos hóspedes. Outras tarefas relacionadas. Requisitos: Ensino Médio completo ou equivalente. Um ano de experiência na área. Treinamento no local de trabalho fornecido. O trabalho exige que o funcionário permaneça em pé e se movimente (ficar em pé, sentado ou caminhando por longos períodos) e que adote uma abordagem prática (mover, levantar, carregar, empurrar, puxar e colocar objetos com peso igual ou inferior a 4,5 kg sem auxílio). Será realizada verificação de antecedentes antes da contratação. Salário: US$ 23,00/hora. Horas extras a US$ 34,50/hora. Elegível para diversos benefícios, incluindo: passe de ônibus com desconto (transporte público do Condado de Eagle); passe de esqui com desconto (passe de comerciante – Epic Pass); acesso ao teleférico da propriedade (com o passe aplicável); licença médica remunerada – conforme a lei do Estado do Colorado (acúmulo de 1 hora a cada 30 horas trabalhadas); refeição gratuita por turno; estacionamento e serviço de transporte gratuitos de/para a propriedade; uniforme gratuito (sapatos não inclusos); desconto Marriott Explore (quartos, lojas, spa e alimentos e bebidas); uso gratuito da academia na propriedade (necessário assinar o Termo de Responsabilidade para Uso da Academia). Para obter a lista completa de benefícios, entre em contato com o RH. Turnos: Mín. 35 horas/semana. Turnos de 8 horas. Manhã: 5h às 8h e das 13h às 16h; Tarde: 14h às 22h; Noite: 22h30 às 7h. (5 dias rotativos, incluindo fins de semana). Classificação da vaga: 39-6012.00 - Concierges. A classificação e descrição da vaga/setor incluem informações gerais sobre o cargo, de acordo com o ONET/OES e o Sistema de Classificação Industrial da América do Norte (NAICS). Consulte as atribuições e a ordem de serviço para obter mais informações. Requisitos da vaga: Experiência necessária: Sim. Meses de experiência necessários: 12. Requisitos especiais: Ensino médio completo ou equivalente. Um ano de experiência na área. Treinamento no local de trabalho fornecido. O profissional deve permanecer em pé e se movimentar (ficar em pé, sentado ou caminhar por longos períodos) e ter uma abordagem prática para o trabalho (mover, levantar, carregar, empurrar, puxar e colocar objetos com peso igual ou inferior a 4,5 kg sem auxílio). Verificação de antecedentes pré-emprego realizada. Número de horas por semana: 35. Horário de trabalho (início/término): 5h às 13h.</v>
      </c>
    </row>
    <row r="2594" ht="20.25" customHeight="1">
      <c r="A2594" s="3" t="s">
        <v>11165</v>
      </c>
      <c r="B2594" s="3" t="s">
        <v>11021</v>
      </c>
      <c r="C2594" s="3" t="s">
        <v>9739</v>
      </c>
      <c r="D2594" s="3" t="s">
        <v>126</v>
      </c>
      <c r="E2594" s="4" t="s">
        <v>19</v>
      </c>
      <c r="F2594" s="4" t="s">
        <v>20</v>
      </c>
      <c r="G2594" s="4" t="s">
        <v>404</v>
      </c>
      <c r="H2594" s="3" t="s">
        <v>11166</v>
      </c>
      <c r="I2594" s="3" t="s">
        <v>11167</v>
      </c>
      <c r="J2594" s="4">
        <v>21.0</v>
      </c>
      <c r="K2594" s="4">
        <v>10.0</v>
      </c>
      <c r="L2594" s="3" t="s">
        <v>387</v>
      </c>
      <c r="M2594" s="3" t="s">
        <v>11168</v>
      </c>
      <c r="N2594" s="7" t="str">
        <f>IFERROR(__xludf.DUMMYFUNCTION("GOOGLETRANSLATE(L2594, ""en"", ""pt"")"),"Ordem de serviço não disponível")</f>
        <v>Ordem de serviço não disponível</v>
      </c>
      <c r="O2594" s="7" t="str">
        <f>IFERROR(__xludf.DUMMYFUNCTION("IF(M2594="""","""",GOOGLETRANSLATE(M2594,""en"",""pt""))"),"Responsabilidades: Preparar ingredientes para o cozimento, incluindo porcionar, picar e armazenar alimentos. Lavar e descascar frutas e verduras frescas. Pesar, medir e misturar ingredientes. Preparar e cozinhar alimentos de acordo com receitas, padrões d"&amp;"e qualidade, padrões de apresentação e lista de verificação de preparação de alimentos. Preparar alimentos frios. Operar fornos, fogões, grelhas, micro-ondas e fritadeiras. Testar os alimentos para determinar se estão suficientemente cozidos. Monitorar a "&amp;"qualidade dos alimentos durante o preparo. Montar e desmontar a estação de trabalho. Servir os alimentos em porções adequadas em recipientes apropriados. Lavar e desinfetar a área da cozinha, mesas, utensílios, facas e equipamentos. Verificar e garantir a"&amp;" temperatura correta dos eletrodomésticos e dos alimentos. Outras tarefas relacionadas. Requisitos: Um ano de experiência na área é necessário. Deve ser capaz de ficar em pé, sentado ou caminhar por um longo período ou durante todo o turno de trabalho. Al"&amp;"cançar objetos acima da cabeça e abaixo dos joelhos, incluindo flexionar, torcer, puxar e abaixar. Mover, levantar, carregar, empurrar, puxar e colocar objetos com peso igual ou inferior a 11 kg sem auxílio. Verificação de antecedentes criminais pré-empre"&amp;"go. Salário: US$ 21,00 a US$ 23,00 por hora. Hora extra: US$ 31,50 a US$ 34,50 por hora. Elegível para diversos benefícios, incluindo seguro de vida, programa de bem-estar TakeCare, descontos no Marriott, refeição gratuita por turno e premiações/almoços d"&amp;"o departamento do trimestre. Para obter a lista completa de benefícios, entre em contato com o RH. Turnos: 6h às 14h30; 9h às 17h30; 14h30 às 23h; 22h30 às 7h (5 dias rotativos, incluindo fins de semana). Classificação do cargo: 35-2014.00 - Cozinheiros, "&amp;"Restaurante. A classificação e a descrição do cargo/setor incluem informações gerais sobre a posição, de acordo com o ONET/OES e o Sistema de Classificação Industrial da América do Norte. Consulte as atribuições e a ordem de serviço para obter mais inform"&amp;"ações. Requisitos do cargo: Experiência necessária: Sim. Meses de experiência necessários: 12. Requisitos especiais: Um ano de experiência na área é necessário. Deve ser capaz de ficar em pé, sentado ou caminhar por longos períodos ou durante todo o turno"&amp;" de trabalho. Deve ser capaz de alcançar objetos acima da cabeça e abaixo dos joelhos, incluindo agachar, torcer, puxar e curvar-se. Deve ser capaz de mover, levantar, carregar, empurrar, puxar e colocar objetos com peso igual ou inferior a 11 kg sem auxí"&amp;"lio. Verificação de antecedentes criminais pré-admissional. Número de horas por semana: 35. Horário de trabalho (início/término): 6h às 14h30.")</f>
        <v>Responsabilidades: Preparar ingredientes para o cozimento, incluindo porcionar, picar e armazenar alimentos. Lavar e descascar frutas e verduras frescas. Pesar, medir e misturar ingredientes. Preparar e cozinhar alimentos de acordo com receitas, padrões de qualidade, padrões de apresentação e lista de verificação de preparação de alimentos. Preparar alimentos frios. Operar fornos, fogões, grelhas, micro-ondas e fritadeiras. Testar os alimentos para determinar se estão suficientemente cozidos. Monitorar a qualidade dos alimentos durante o preparo. Montar e desmontar a estação de trabalho. Servir os alimentos em porções adequadas em recipientes apropriados. Lavar e desinfetar a área da cozinha, mesas, utensílios, facas e equipamentos. Verificar e garantir a temperatura correta dos eletrodomésticos e dos alimentos. Outras tarefas relacionadas. Requisitos: Um ano de experiência na área é necessário. Deve ser capaz de ficar em pé, sentado ou caminhar por um longo período ou durante todo o turno de trabalho. Alcançar objetos acima da cabeça e abaixo dos joelhos, incluindo flexionar, torcer, puxar e abaixar. Mover, levantar, carregar, empurrar, puxar e colocar objetos com peso igual ou inferior a 11 kg sem auxílio. Verificação de antecedentes criminais pré-emprego. Salário: US$ 21,00 a US$ 23,00 por hora. Hora extra: US$ 31,50 a US$ 34,50 por hora. Elegível para diversos benefícios, incluindo seguro de vida, programa de bem-estar TakeCare, descontos no Marriott, refeição gratuita por turno e premiações/almoços do departamento do trimestre. Para obter a lista completa de benefícios, entre em contato com o RH. Turnos: 6h às 14h30; 9h às 17h30; 14h30 às 23h; 22h30 às 7h (5 dias rotativos, incluindo fins de semana). Classificação do cargo: 35-2014.00 - Cozinheiros, Restaurante. A classificação e a descrição do cargo/setor incluem informações gerais sobre a posição, de acordo com o ONET/OES e o Sistema de Classificação Industrial da América do Norte. Consulte as atribuições e a ordem de serviço para obter mais informações. Requisitos do cargo: Experiência necessária: Sim. Meses de experiência necessários: 12. Requisitos especiais: Um ano de experiência na área é necessário. Deve ser capaz de ficar em pé, sentado ou caminhar por longos períodos ou durante todo o turno de trabalho. Deve ser capaz de alcançar objetos acima da cabeça e abaixo dos joelhos, incluindo agachar, torcer, puxar e curvar-se. Deve ser capaz de mover, levantar, carregar, empurrar, puxar e colocar objetos com peso igual ou inferior a 11 kg sem auxílio. Verificação de antecedentes criminais pré-admissional. Número de horas por semana: 35. Horário de trabalho (início/término): 6h às 14h30.</v>
      </c>
    </row>
    <row r="2595" ht="20.25" customHeight="1">
      <c r="A2595" s="8" t="s">
        <v>11169</v>
      </c>
      <c r="B2595" s="8" t="s">
        <v>11021</v>
      </c>
      <c r="C2595" s="8" t="s">
        <v>9739</v>
      </c>
      <c r="D2595" s="8" t="s">
        <v>126</v>
      </c>
      <c r="E2595" s="9" t="s">
        <v>19</v>
      </c>
      <c r="F2595" s="9" t="s">
        <v>20</v>
      </c>
      <c r="G2595" s="9" t="s">
        <v>404</v>
      </c>
      <c r="H2595" s="8" t="s">
        <v>11166</v>
      </c>
      <c r="I2595" s="8" t="s">
        <v>11167</v>
      </c>
      <c r="J2595" s="9">
        <v>21.0</v>
      </c>
      <c r="K2595" s="9">
        <v>15.0</v>
      </c>
      <c r="L2595" s="8" t="s">
        <v>10956</v>
      </c>
      <c r="M2595" s="8" t="s">
        <v>11170</v>
      </c>
      <c r="N2595" s="7" t="str">
        <f>IFERROR(__xludf.DUMMYFUNCTION("GOOGLETRANSLATE(L2595, ""en"", ""pt"")"),"Especialista em Ambiente para Hóspedes")</f>
        <v>Especialista em Ambiente para Hóspedes</v>
      </c>
      <c r="O2595" s="7" t="str">
        <f>IFERROR(__xludf.DUMMYFUNCTION("IF(M2595="""","""",GOOGLETRANSLATE(M2595,""en"",""pt""))"),"Responsabilidades: Executar uma ampla gama de tarefas de limpeza, sendo responsável por manter a aparência e a limpeza de todo o hotel, incluindo quartos e áreas comuns. Receber e cumprimentar cada hóspede com um sorriso, contato visual e uma saudação ver"&amp;"bal amigável, usando o nome do hóspede sempre que possível. Antecipar e atender às necessidades de serviço dos hóspedes. Verificar se todos os eletrodomésticos estão presentes no quarto e funcionando corretamente (ex.: secador de cabelo, TV, controle remo"&amp;"to, micro-ondas). Limpar os banheiros, incluindo banheira/banheira de hidromassagem/chuveiro, vaso sanitário, piso, pia e espelho. Tirar o pó, polir e remover manchas de paredes e móveis (ex.: eletrodomésticos, móveis, balde de gelo, frigobar, rodapés, pr"&amp;"ateleiras, porta de entrada). Remover o lixo, a roupa de cama suja e os itens do serviço de quarto do quarto e da varanda/terraço. Trocar a roupa de cama suja (ex.: lençóis, fronhas) e as toalhas (ex.: toalhas de banho, roupões) por itens limpos, seguindo"&amp;" os padrões corretos de arrumação e dobragem de camas. Repor os itens de higiene e suprimentos nos quartos, como artigos de higiene pessoal, copos, canecas, lençóis, toalhas, lenços de papel, café, materiais impressos e sacos de lavanderia, de acordo com "&amp;"os padrões. Devolver o carrinho ao local designado ao final do turno. Limpar e organizar os itens armazenados na lavanderia, armários de suprimentos/armazenamento, rouparia e/ou uniformes. Dobrar a roupa de cama limpa no tamanho designado, manualmente ou "&amp;"utilizando máquina de dobrar. Outras tarefas relacionadas. Requisitos: Não é necessário ter formação ou experiência. Deve ser capaz de mover, levantar, carregar, empurrar, puxar e colocar objetos com peso igual ou inferior a 23 kg sem auxílio. Verificação"&amp;" de antecedentes criminais pré-admissional. Salário: De US$ 21,00 a US$ 23,00 por hora. Hora extra: De US$ 31,50 a US$ 34,50 por hora. Elegível para diversos benefícios, incluindo seguro de vida, programa de bem-estar TakeCare, descontos Marriott, refeiçã"&amp;"o gratuita por turno e premiações/almoços do departamento do trimestre. Para obter a lista completa de benefícios, entre em contato com o RH. Turnos: 6h às 15h; 7h às 15h30; 8h às 16h30; 9h às 17h; 10h às 19h; 14h30 às 23h; 15h às 23h; 16h às 23h; 17h às "&amp;"23h; 17h às 21h (5 dias rotativos, incluindo fins de semana). Classificação da vaga: 37-2012.00 - Empregadas Domésticas e Auxiliares de Limpeza. A classificação e descrição da vaga/setor incluem informações gerais sobre o cargo, de acordo com o ONET/OES e"&amp;" o Sistema de Classificação Industrial da América do Norte (NAICS). Consulte as Funções e a Ordem de Serviço para obter mais informações. Requisitos da vaga: Experiência exigida: Não. Requisitos especiais: Não são exigidos escolaridade ou experiência. Dev"&amp;"e ser capaz de mover, levantar, carregar, empurrar, puxar e colocar objetos com peso igual ou inferior a 23 kg sem auxílio. Verificação de antecedentes criminais pré-admissional. Número de horas por semana: 35. Horário de trabalho (início/término): 6h às "&amp;"15h.")</f>
        <v>Responsabilidades: Executar uma ampla gama de tarefas de limpeza, sendo responsável por manter a aparência e a limpeza de todo o hotel, incluindo quartos e áreas comuns. Receber e cumprimentar cada hóspede com um sorriso, contato visual e uma saudação verbal amigável, usando o nome do hóspede sempre que possível. Antecipar e atender às necessidades de serviço dos hóspedes. Verificar se todos os eletrodomésticos estão presentes no quarto e funcionando corretamente (ex.: secador de cabelo, TV, controle remoto, micro-ondas). Limpar os banheiros, incluindo banheira/banheira de hidromassagem/chuveiro, vaso sanitário, piso, pia e espelho. Tirar o pó, polir e remover manchas de paredes e móveis (ex.: eletrodomésticos, móveis, balde de gelo, frigobar, rodapés, prateleiras, porta de entrada). Remover o lixo, a roupa de cama suja e os itens do serviço de quarto do quarto e da varanda/terraço. Trocar a roupa de cama suja (ex.: lençóis, fronhas) e as toalhas (ex.: toalhas de banho, roupões) por itens limpos, seguindo os padrões corretos de arrumação e dobragem de camas. Repor os itens de higiene e suprimentos nos quartos, como artigos de higiene pessoal, copos, canecas, lençóis, toalhas, lenços de papel, café, materiais impressos e sacos de lavanderia, de acordo com os padrões. Devolver o carrinho ao local designado ao final do turno. Limpar e organizar os itens armazenados na lavanderia, armários de suprimentos/armazenamento, rouparia e/ou uniformes. Dobrar a roupa de cama limpa no tamanho designado, manualmente ou utilizando máquina de dobrar. Outras tarefas relacionadas. Requisitos: Não é necessário ter formação ou experiência. Deve ser capaz de mover, levantar, carregar, empurrar, puxar e colocar objetos com peso igual ou inferior a 23 kg sem auxílio. Verificação de antecedentes criminais pré-admissional. Salário: De US$ 21,00 a US$ 23,00 por hora. Hora extra: De US$ 31,50 a US$ 34,50 por hora. Elegível para diversos benefícios, incluindo seguro de vida, programa de bem-estar TakeCare, descontos Marriott, refeição gratuita por turno e premiações/almoços do departamento do trimestre. Para obter a lista completa de benefícios, entre em contato com o RH. Turnos: 6h às 15h; 7h às 15h30; 8h às 16h30; 9h às 17h; 10h às 19h; 14h30 às 23h; 15h às 23h; 16h às 23h; 17h às 23h; 17h às 21h (5 dias rotativos, incluindo fins de semana). Classificação da vaga: 37-2012.00 - Empregadas Domésticas e Auxiliares de Limpeza. A classificação e descrição da vaga/setor incluem informações gerais sobre o cargo, de acordo com o ONET/OES e o Sistema de Classificação Industrial da América do Norte (NAICS). Consulte as Funções e a Ordem de Serviço para obter mais informações. Requisitos da vaga: Experiência exigida: Não. Requisitos especiais: Não são exigidos escolaridade ou experiência. Deve ser capaz de mover, levantar, carregar, empurrar, puxar e colocar objetos com peso igual ou inferior a 23 kg sem auxílio. Verificação de antecedentes criminais pré-admissional. Número de horas por semana: 35. Horário de trabalho (início/término): 6h às 15h.</v>
      </c>
    </row>
    <row r="2596" ht="20.25" customHeight="1">
      <c r="A2596" s="3" t="s">
        <v>11171</v>
      </c>
      <c r="B2596" s="3" t="s">
        <v>11021</v>
      </c>
      <c r="C2596" s="3" t="s">
        <v>9739</v>
      </c>
      <c r="D2596" s="3" t="s">
        <v>126</v>
      </c>
      <c r="E2596" s="4" t="s">
        <v>19</v>
      </c>
      <c r="F2596" s="4" t="s">
        <v>20</v>
      </c>
      <c r="G2596" s="4" t="s">
        <v>404</v>
      </c>
      <c r="H2596" s="3" t="s">
        <v>11166</v>
      </c>
      <c r="I2596" s="3" t="s">
        <v>11167</v>
      </c>
      <c r="J2596" s="4">
        <v>20.0</v>
      </c>
      <c r="K2596" s="4">
        <v>10.0</v>
      </c>
      <c r="L2596" s="3" t="s">
        <v>11163</v>
      </c>
      <c r="M2596" s="3" t="s">
        <v>11172</v>
      </c>
      <c r="N2596" s="7" t="str">
        <f>IFERROR(__xludf.DUMMYFUNCTION("GOOGLETRANSLATE(L2596, ""en"", ""pt"")"),"Especialista em Experiência do Cliente")</f>
        <v>Especialista em Experiência do Cliente</v>
      </c>
      <c r="O2596" s="7" t="str">
        <f>IFERROR(__xludf.DUMMYFUNCTION("IF(M2596="""","""",GOOGLETRANSLATE(M2596,""en"",""pt""))"),"Responsabilidades: Ouvir atentamente e responder positivamente às perguntas, preocupações e solicitações dos hóspedes. Atender às necessidades de serviço dos hóspedes de maneira profissional, positiva e ágil. Auxiliar outros funcionários para garantir a c"&amp;"obertura adequada e o atendimento rápido aos hóspedes. Interagir com os hóspedes, conversando sobre sua estadia, os serviços do hotel e as atrações/ofertas da região, incluindo mídias sociais quando apropriado. Manter-se atualizado sobre a região para est"&amp;"ar preparado para fornecer recomendações específicas aos hóspedes. Organizar e coordenar os procedimentos de check-in/pré-registro para grupos que chegam. Processar todos os check-outs, incluindo check-outs expressos, resolvendo quaisquer cobranças atrasa"&amp;"das ou contestadas, acertando a conta, entregando a chave do quarto e solicitando comentários sobre a estadia do hóspede. Processar todos os check-ins dos hóspedes, confirmando as reservas no sistema informatizado. Garantir uma forma de pagamento válida ("&amp;"por exemplo, cartão de crédito, dinheiro) antes de entregar a chave do quarto. Processar todos os tipos de pagamento, como diárias, dinheiro, cheques, débito ou crédito. Verificar e ajustar as contas dos hóspedes. Organizar transporte (por exemplo, táxi, "&amp;"ônibus) para hóspedes/moradores/visitantes e registrar solicitações de transporte com antecedência, conforme necessário. Contatar a pessoa ou departamento apropriado (por exemplo, mensageiro, recepção, governança, manutenção, segurança/prevenção de perdas"&amp;") conforme necessário para resolver chamadas, solicitações ou problemas dos hóspedes. Outras tarefas relacionadas. Requisitos: Ensino médio completo ou equivalente. Não é necessária experiência. O candidato deve ser capaz de ficar em pé, sentado ou caminh"&amp;"ar por longos períodos ou durante todo o turno de trabalho e mover, levantar, carregar, empurrar, puxar e colocar objetos com peso igual ou inferior a 4,5 kg sem auxílio. Verificação de antecedentes criminais pré-emprego. Salário: de US$ 20,00 a US$ 23,00"&amp;" por hora. Hora extra: de US$ 30,00 a US$ 34,50 por hora. Elegível para diversos benefícios, incluindo seguro de vida, programa de bem-estar TakeCare, descontos Marriott, passes de ônibus sazonais com desconto, refeição gratuita por turno e premiações/alm"&amp;"oços do departamento do trimestre. Para obter a lista completa de benefícios, entre em contato com o RH. Turnos: 6h-14h30; 7h-15h30; 8h-16h30; 9h-17h30; 10h-18h30; 11h-19h30; 12h-20h30; 13h-21h30; 14h-22h30; 15h-23h30; 18h-2h30; 20h-16h30; 23h-7h30. (5 di"&amp;"as rotativos, incluindo fins de semana). Classificação da vaga: 43-4081.00 - Recepcionistas de Hotel, Motel e Resort. A classificação e descrição da vaga/setor incluem informações gerais sobre o cargo, de acordo com o ONET/OES e o Sistema de Classificação"&amp;" Industrial da América do Norte. Consulte as atribuições e a ordem de serviço para obter mais informações. Requisitos da vaga: Experiência necessária: Não. Requisitos especiais: Ensino médio completo ou equivalente. Não é necessária experiência. O candida"&amp;"to deve ser capaz de ficar em pé, sentado ou caminhar por longos períodos ou durante todo o turno de trabalho, além de mover, levantar, carregar, empurrar, puxar e colocar objetos com peso igual ou inferior a 4,5 kg sem auxílio. É necessária verificação d"&amp;"e antecedentes criminais antes da contratação. Número de horas semanais: 35. Horário de trabalho (início/término): 6h às 14h30.")</f>
        <v>Responsabilidades: Ouvir atentamente e responder positivamente às perguntas, preocupações e solicitações dos hóspedes. Atender às necessidades de serviço dos hóspedes de maneira profissional, positiva e ágil. Auxiliar outros funcionários para garantir a cobertura adequada e o atendimento rápido aos hóspedes. Interagir com os hóspedes, conversando sobre sua estadia, os serviços do hotel e as atrações/ofertas da região, incluindo mídias sociais quando apropriado. Manter-se atualizado sobre a região para estar preparado para fornecer recomendações específicas aos hóspedes. Organizar e coordenar os procedimentos de check-in/pré-registro para grupos que chegam. Processar todos os check-outs, incluindo check-outs expressos, resolvendo quaisquer cobranças atrasadas ou contestadas, acertando a conta, entregando a chave do quarto e solicitando comentários sobre a estadia do hóspede. Processar todos os check-ins dos hóspedes, confirmando as reservas no sistema informatizado. Garantir uma forma de pagamento válida (por exemplo, cartão de crédito, dinheiro) antes de entregar a chave do quarto. Processar todos os tipos de pagamento, como diárias, dinheiro, cheques, débito ou crédito. Verificar e ajustar as contas dos hóspedes. Organizar transporte (por exemplo, táxi, ônibus) para hóspedes/moradores/visitantes e registrar solicitações de transporte com antecedência, conforme necessário. Contatar a pessoa ou departamento apropriado (por exemplo, mensageiro, recepção, governança, manutenção, segurança/prevenção de perdas) conforme necessário para resolver chamadas, solicitações ou problemas dos hóspedes. Outras tarefas relacionadas. Requisitos: Ensino médio completo ou equivalente. Não é necessária experiência. O candidato deve ser capaz de ficar em pé, sentado ou caminhar por longos períodos ou durante todo o turno de trabalho e mover, levantar, carregar, empurrar, puxar e colocar objetos com peso igual ou inferior a 4,5 kg sem auxílio. Verificação de antecedentes criminais pré-emprego. Salário: de US$ 20,00 a US$ 23,00 por hora. Hora extra: de US$ 30,00 a US$ 34,50 por hora. Elegível para diversos benefícios, incluindo seguro de vida, programa de bem-estar TakeCare, descontos Marriott, passes de ônibus sazonais com desconto, refeição gratuita por turno e premiações/almoços do departamento do trimestre. Para obter a lista completa de benefícios, entre em contato com o RH. Turnos: 6h-14h30; 7h-15h30; 8h-16h30; 9h-17h30; 10h-18h30; 11h-19h30; 12h-20h30; 13h-21h30; 14h-22h30; 15h-23h30; 18h-2h30; 20h-16h30; 23h-7h30. (5 dias rotativos, incluindo fins de semana). Classificação da vaga: 43-4081.00 - Recepcionistas de Hotel, Motel e Resort. A classificação e descrição da vaga/setor incluem informações gerais sobre o cargo, de acordo com o ONET/OES e o Sistema de Classificação Industrial da América do Norte. Consulte as atribuições e a ordem de serviço para obter mais informações. Requisitos da vaga: Experiência necessária: Não. Requisitos especiais: Ensino médio completo ou equivalente. Não é necessária experiência. O candidato deve ser capaz de ficar em pé, sentado ou caminhar por longos períodos ou durante todo o turno de trabalho, além de mover, levantar, carregar, empurrar, puxar e colocar objetos com peso igual ou inferior a 4,5 kg sem auxílio. É necessária verificação de antecedentes criminais antes da contratação. Número de horas semanais: 35. Horário de trabalho (início/término): 6h às 14h30.</v>
      </c>
    </row>
    <row r="2597" ht="20.25" customHeight="1">
      <c r="A2597" s="8" t="s">
        <v>11173</v>
      </c>
      <c r="B2597" s="8" t="s">
        <v>11021</v>
      </c>
      <c r="C2597" s="8" t="s">
        <v>9739</v>
      </c>
      <c r="D2597" s="8" t="s">
        <v>126</v>
      </c>
      <c r="E2597" s="9" t="s">
        <v>19</v>
      </c>
      <c r="F2597" s="9" t="s">
        <v>20</v>
      </c>
      <c r="G2597" s="9" t="s">
        <v>404</v>
      </c>
      <c r="H2597" s="8" t="s">
        <v>11166</v>
      </c>
      <c r="I2597" s="8" t="s">
        <v>11167</v>
      </c>
      <c r="J2597" s="9">
        <v>26.0</v>
      </c>
      <c r="K2597" s="9">
        <v>5.0</v>
      </c>
      <c r="L2597" s="8" t="s">
        <v>11174</v>
      </c>
      <c r="M2597" s="8" t="s">
        <v>11175</v>
      </c>
      <c r="N2597" s="7" t="str">
        <f>IFERROR(__xludf.DUMMYFUNCTION("GOOGLETRANSLATE(L2597, ""en"", ""pt"")"),"Engenheiro/Técnico de Manutenção")</f>
        <v>Engenheiro/Técnico de Manutenção</v>
      </c>
      <c r="O2597" s="7" t="str">
        <f>IFERROR(__xludf.DUMMYFUNCTION("IF(M2597="""","""",GOOGLETRANSLATE(M2597,""en"",""pt""))"),"Responsabilidades: Atender e responder às solicitações de reparo dos hóspedes. Comunicar-se com os hóspedes/clientes para resolver problemas de manutenção com pouca ou nenhuma supervisão. Realizar manutenção preventiva em ferramentas e equipamentos, inclu"&amp;"indo limpeza e lubrificação. Inspecionar visualmente ferramentas, equipamentos ou máquinas. Transportar equipamentos (ex.: ferramentas, rádio). Identificar, localizar e operar todas as válvulas de fechamento de equipamentos e registros de edifícios. Mante"&amp;"r o inventário de manutenção e requisitar peças e suprimentos conforme necessário. Garantir que as atividades e problemas diários sejam comunicados aos outros turnos utilizando os programas e padrões de comunicação aprovados. Solucionar problemas e realiz"&amp;"ar reparos básicos em todos os tipos de equipamentos (ex.: substituição de bombas e motores), encanamento (ex.: desentupir vasos sanitários e ralos), equipamentos elétricos, incluindo lâmpadas, itens de decoração, extensões, aspiradores de pó, dispositivo"&amp;"s de internet, substituir interruptores e tomadas elétricas e outros itens dos quartos. Requisitos: Ensino Médio completo ou equivalente. 1 ano de experiência na área. Deve ser capaz de mover, levantar, carregar, empurrar, puxar e colocar objetos com peso"&amp;" igual ou inferior a 23 kg sem ajuda e realizar tarefas de levantamento ou movimentação mais pesadas com auxílio. Subir e descer escadas, rampas de serviço e/ou escadas de mão. Alcançar objetos acima da cabeça e abaixo dos joelhos, incluindo flexionar, to"&amp;"rcer, puxar e abaixar. Inserir e localizar informações relacionadas ao trabalho usando computadores. Verificação de antecedentes criminais pré-emprego. Salário: US$ 26,00 a US$ 28,00 por hora. Hora extra: US$ 39,00 a US$ 42,00 por hora. Elegível para dive"&amp;"rsos benefícios, incluindo seguro de vida, programa de bem-estar TakeCare, descontos no Marriott, passes de ônibus sazonais com desconto, refeição gratuita por turno e premiações/almoços do departamento do trimestre. Para obter a lista completa de benefíc"&amp;"ios, entre em contato com o RH. Turnos: 6h às 14h30; 7h às 15h30; 9h às 17h30; 10h às 18h30. 11h-19h30; 12h-20h30; 13h-21h30; 14h-22h30; 15h-23h30; 20h-16h30; 23h-7h30. (5 dias rotativos, incluindo fins de semana). Classificação da vaga: 49-9071.00 - Trab"&amp;"alhadores de Manutenção e Reparos, Geral. A classificação e descrição da vaga/setor inclui informações gerais sobre o cargo, de acordo com o ONET/OES e o Sistema de Classificação Industrial da América do Norte (NAICS). Consulte as Funções e a Ordem de Ser"&amp;"viço para obter mais informações. Requisitos da vaga: Experiência necessária: Sim. Meses de experiência necessários: 12. Requisitos especiais: Ensino Médio completo ou equivalente. 1 ano de experiência na área. Deve ser capaz de mover, levantar, carregar,"&amp;" empurrar, puxar e colocar objetos com peso igual ou inferior a 23 kg sem ajuda e realizar tarefas de levantamento ou movimentação de objetos mais pesados ​​com auxílio. Subir e descer escadas, rampas de serviço e/ou escadas de mão. Capacidade de alcançar"&amp;" objetos acima da cabeça e abaixo dos joelhos, incluindo flexionar, torcer, puxar e abaixar. Inserir e localizar informações relacionadas ao trabalho usando computadores. Verificação de antecedentes criminais pré-emprego. Número de horas por semana: 35. H"&amp;"orário de trabalho (início/término): 6h às 14h30.")</f>
        <v>Responsabilidades: Atender e responder às solicitações de reparo dos hóspedes. Comunicar-se com os hóspedes/clientes para resolver problemas de manutenção com pouca ou nenhuma supervisão. Realizar manutenção preventiva em ferramentas e equipamentos, incluindo limpeza e lubrificação. Inspecionar visualmente ferramentas, equipamentos ou máquinas. Transportar equipamentos (ex.: ferramentas, rádio). Identificar, localizar e operar todas as válvulas de fechamento de equipamentos e registros de edifícios. Manter o inventário de manutenção e requisitar peças e suprimentos conforme necessário. Garantir que as atividades e problemas diários sejam comunicados aos outros turnos utilizando os programas e padrões de comunicação aprovados. Solucionar problemas e realizar reparos básicos em todos os tipos de equipamentos (ex.: substituição de bombas e motores), encanamento (ex.: desentupir vasos sanitários e ralos), equipamentos elétricos, incluindo lâmpadas, itens de decoração, extensões, aspiradores de pó, dispositivos de internet, substituir interruptores e tomadas elétricas e outros itens dos quartos. Requisitos: Ensino Médio completo ou equivalente. 1 ano de experiência na área. Deve ser capaz de mover, levantar, carregar, empurrar, puxar e colocar objetos com peso igual ou inferior a 23 kg sem ajuda e realizar tarefas de levantamento ou movimentação mais pesadas com auxílio. Subir e descer escadas, rampas de serviço e/ou escadas de mão. Alcançar objetos acima da cabeça e abaixo dos joelhos, incluindo flexionar, torcer, puxar e abaixar. Inserir e localizar informações relacionadas ao trabalho usando computadores. Verificação de antecedentes criminais pré-emprego. Salário: US$ 26,00 a US$ 28,00 por hora. Hora extra: US$ 39,00 a US$ 42,00 por hora. Elegível para diversos benefícios, incluindo seguro de vida, programa de bem-estar TakeCare, descontos no Marriott, passes de ônibus sazonais com desconto, refeição gratuita por turno e premiações/almoços do departamento do trimestre. Para obter a lista completa de benefícios, entre em contato com o RH. Turnos: 6h às 14h30; 7h às 15h30; 9h às 17h30; 10h às 18h30. 11h-19h30; 12h-20h30; 13h-21h30; 14h-22h30; 15h-23h30; 20h-16h30; 23h-7h30. (5 dias rotativos, incluindo fins de semana). Classificação da vaga: 49-9071.00 - Trabalhadores de Manutenção e Reparos, Geral. A classificação e descrição da vaga/setor inclui informações gerais sobre o cargo, de acordo com o ONET/OES e o Sistema de Classificação Industrial da América do Norte (NAICS). Consulte as Funções e a Ordem de Serviço para obter mais informações. Requisitos da vaga: Experiência necessária: Sim. Meses de experiência necessários: 12. Requisitos especiais: Ensino Médio completo ou equivalente. 1 ano de experiência na área. Deve ser capaz de mover, levantar, carregar, empurrar, puxar e colocar objetos com peso igual ou inferior a 23 kg sem ajuda e realizar tarefas de levantamento ou movimentação de objetos mais pesados ​​com auxílio. Subir e descer escadas, rampas de serviço e/ou escadas de mão. Capacidade de alcançar objetos acima da cabeça e abaixo dos joelhos, incluindo flexionar, torcer, puxar e abaixar. Inserir e localizar informações relacionadas ao trabalho usando computadores. Verificação de antecedentes criminais pré-emprego. Número de horas por semana: 35. Horário de trabalho (início/término): 6h às 14h30.</v>
      </c>
    </row>
    <row r="2598" ht="20.25" customHeight="1">
      <c r="A2598" s="3" t="s">
        <v>11176</v>
      </c>
      <c r="B2598" s="3" t="s">
        <v>11177</v>
      </c>
      <c r="C2598" s="3" t="s">
        <v>11178</v>
      </c>
      <c r="D2598" s="3" t="s">
        <v>992</v>
      </c>
      <c r="E2598" s="4" t="s">
        <v>44</v>
      </c>
      <c r="F2598" s="4" t="s">
        <v>20</v>
      </c>
      <c r="G2598" s="4" t="s">
        <v>377</v>
      </c>
      <c r="H2598" s="3" t="s">
        <v>11179</v>
      </c>
      <c r="I2598" s="3" t="s">
        <v>11180</v>
      </c>
      <c r="J2598" s="4">
        <v>18.73</v>
      </c>
      <c r="K2598" s="4">
        <v>10.0</v>
      </c>
      <c r="L2598" s="3" t="s">
        <v>3621</v>
      </c>
      <c r="M2598" s="3" t="s">
        <v>11181</v>
      </c>
      <c r="N2598" s="7" t="str">
        <f>IFERROR(__xludf.DUMMYFUNCTION("GOOGLETRANSLATE(L2598, ""en"", ""pt"")"),"Auxiliar de Preparação de Alimentos")</f>
        <v>Auxiliar de Preparação de Alimentos</v>
      </c>
      <c r="O2598" s="7" t="str">
        <f>IFERROR(__xludf.DUMMYFUNCTION("IF(M2598="""","""",GOOGLETRANSLATE(M2598,""en"",""pt""))"),"• Limpar e higienizar pratos, panelas e utensílios • Auxiliar no processo de preparação de alimentos, cortando, picando, fatiando e lavando legumes, carnes e outros ingredientes • Preparar todos os itens alimentícios de acordo com as especificações, padrõ"&amp;"es e receitas da empresa • Apoiar a equipe da linha de produção conforme necessário e executar tarefas adicionais designadas pelo Chef de plantão • Utilizar conhecimento básico de equipamentos de cozinha para preparar uma variedade de itens do cardápio • "&amp;"Comunicar-se de forma eficaz e solicitar ajuda quando necessário • Etiquetar e datar todos os alimentos preparados, seguindo corretamente o método FIFO (primeiro a entrar, primeiro a sair) e armazenando-os nas áreas designadas. Classificação do Cargo: 35-"&amp;"2021.00 - Auxiliares de Cozinha. A classificação e descrição do cargo/setor inclui informações gerais sobre a posição, de acordo com o ONET/OES e o Sistema de Classificação Industrial da América do Norte. Consulte as Funções e a Ordem de Serviço para obte"&amp;"r mais informações. Requisitos do Cargo Experiência Necessária: Sim Meses de Experiência Necessária: 3 Requisitos Especiais: Nenhum. Número de Horas por Semana: 55 Horário de Trabalho (Início/Término): 7h às 23h")</f>
        <v>• Limpar e higienizar pratos, panelas e utensílios • Auxiliar no processo de preparação de alimentos, cortando, picando, fatiando e lavando legumes, carnes e outros ingredientes • Preparar todos os itens alimentícios de acordo com as especificações, padrões e receitas da empresa • Apoiar a equipe da linha de produção conforme necessário e executar tarefas adicionais designadas pelo Chef de plantão • Utilizar conhecimento básico de equipamentos de cozinha para preparar uma variedade de itens do cardápio • Comunicar-se de forma eficaz e solicitar ajuda quando necessário • Etiquetar e datar todos os alimentos preparados, seguindo corretamente o método FIFO (primeiro a entrar, primeiro a sair) e armazenando-os nas áreas designadas. Classificação do Cargo: 35-2021.00 - Auxiliares de Cozinha. A classificação e descrição do cargo/setor inclui informações gerais sobre a posição, de acordo com o ONET/OES e o Sistema de Classificação Industrial da América do Norte. Consulte as Funções e a Ordem de Serviço para obter mais informações. Requisitos do Cargo Experiência Necessária: Sim Meses de Experiência Necessária: 3 Requisitos Especiais: Nenhum. Número de Horas por Semana: 55 Horário de Trabalho (Início/Término): 7h às 23h</v>
      </c>
    </row>
    <row r="2599" ht="20.25" customHeight="1">
      <c r="A2599" s="8" t="s">
        <v>11182</v>
      </c>
      <c r="B2599" s="8" t="s">
        <v>11183</v>
      </c>
      <c r="C2599" s="8" t="s">
        <v>11184</v>
      </c>
      <c r="D2599" s="8" t="s">
        <v>55</v>
      </c>
      <c r="E2599" s="9" t="s">
        <v>44</v>
      </c>
      <c r="F2599" s="9" t="s">
        <v>20</v>
      </c>
      <c r="G2599" s="9" t="s">
        <v>155</v>
      </c>
      <c r="H2599" s="8" t="s">
        <v>11185</v>
      </c>
      <c r="I2599" s="8" t="s">
        <v>11186</v>
      </c>
      <c r="J2599" s="9">
        <v>21.5</v>
      </c>
      <c r="K2599" s="9">
        <v>100.0</v>
      </c>
      <c r="L2599" s="8" t="s">
        <v>11187</v>
      </c>
      <c r="M2599" s="8" t="s">
        <v>11188</v>
      </c>
      <c r="N2599" s="7" t="str">
        <f>IFERROR(__xludf.DUMMYFUNCTION("GOOGLETRANSLATE(L2599, ""en"", ""pt"")"),"Operário de Produção Geral")</f>
        <v>Operário de Produção Geral</v>
      </c>
      <c r="O2599" s="7" t="str">
        <f>IFERROR(__xludf.DUMMYFUNCTION("IF(M2599="""","""",GOOGLETRANSLATE(M2599,""en"",""pt""))"),"O Auxiliar de Produção é responsável pela preparação geral de produtos cárneos para embalagem e venda. O trabalho pode incluir o abate, o processamento de carcaças, o transporte de carcaças para câmaras frigoríficas e congeladores, a moagem de carnes para"&amp;" a criação de diversos produtos, o corte de cortes de carne para processamento posterior e a embalagem de carnes para venda, sempre garantindo o cumprimento das normas de saúde e segurança. O trabalho é constante, repetitivo e em ritmo acelerado. As funçõ"&amp;"es incluem: manuseio manual do produto; uso de ferramentas manuais, incluindo facas, máquinas e equipamentos durante o processamento, embalagem e expedição de produtos suínos; corte de carcaças para processamento posterior; separação de carne e subproduto"&amp;"s; limpeza, aparagem, fatiamento, seccionamento e pesagem de matérias-primas; inspeção de produtos cárneos em busca de defeitos, hematomas ou imperfeições, e sua remoção juntamente com o excesso de gordura; verificação dos produtos para garantir que atend"&amp;"am aos padrões do USDA (Departamento de Agricultura dos Estados Unidos); embalagem de produtos cortados em máquina de embalagem; encaixotamento de produtos de acordo com as especificações do pedido; monitoramento de máquinas e equipamentos e ajustes quand"&amp;"o necessário; cumprimento de todos os procedimentos e políticas de segurança; e execução de outras tarefas conforme solicitado pelo supervisor. Os equipamentos e/ou máquinas utilizados para a execução das tarefas incluem a operação de: transpaleteiras elé"&amp;"tricas 8410; câmaras de vácuo rotativas da série 8600 da marca Cryovac; desossadores de presunto da série 7600 da Townsend, incluindo os modelos 7650 e 7620; e operadores de facas Wizard, que utilizarão um sistema da Bettcher Industries com motor Wizard Q"&amp;"uantum e aparadores manuais Quantum Flex com lâminas de diversos tamanhos. O empregador oferecerá um mínimo de 40 horas semanais, de segunda a sexta-feira; alguns sábados e domingos poderão ser necessários, dependendo das necessidades operacionais. Os tur"&amp;"nos, dependendo da área de trabalho (quente ou fria), terão início entre 6h e 7h ou entre 14h45 e 16h. As jornadas de trabalho terão duração de 8, 10 ou 12 horas. Poderá ser necessário realizar horas extras conforme a demanda de produção. Classificação da"&amp;" função: 51-3023.00 - Abatedores e Embaladores de Carne. A classificação e descrição da função/setor incluem informações gerais sobre o cargo, de acordo com o ONET/OES e o Sistema de Classificação Industrial da América do Norte (NAICS). Consulte as Funçõe"&amp;"s e a Ordem de Serviço para obter mais informações. Requisitos da função: Experiência necessária: Não. Requisitos especiais: Demandas físicas: As demandas físicas descritas neste documento são representativas daquelas que um funcionário deve atender para "&amp;"desempenhar com sucesso as funções essenciais deste cargo. Ao desempenhar o trabalho, o funcionário permanecerá em pé sobre uma superfície dura durante todo o seu turno e deverá se movimentar pelas instalações. O funcionário realizará movimentos repetitiv"&amp;"os com as mãos e os braços, carregará, torcerá, dobrará, ajoelhará, subirá, manterá o equilíbrio e agachará. Dependendo do nível de tarefa atribuído, o funcionário deverá: empurrar ou puxar repetidamente objetos com peso de 9 kg e potencialmente até 38 kg"&amp;". Levantar regularmente objetos com peso inferior a 9 kg e potencialmente até 18 kg. Há também a possibilidade de auxílio para levantar até 45 kg (100 libras). Ambiente de Trabalho: As características do ambiente de trabalho descritas aqui são representat"&amp;"ivas daquelas que um funcionário encontra ao desempenhar as funções essenciais do cargo. O ambiente pode ser frio, quente ou úmido, dependendo da área da instalação em que o funcionário trabalha. O funcionário estará regularmente exposto a odores fortes e"&amp;" à visão de sangue de porco. O nível de ruído no ambiente de trabalho é geralmente moderado, mas pode ser alto na área de produção. O funcionário trabalhará próximo a máquinas com peças móveis e vibração. Outros Requisitos: Os candidatos deverão se submet"&amp;"er a um exame toxicológico antes da contratação (pago pelo empregador) e passar por uma avaliação de saúde para garantir que o candidato seja fisicamente capaz de desempenhar as funções do cargo antes da contratação. O candidato deve ter disponibilidade p"&amp;"ara trabalhar seis dias por semana. O candidato deve estar familiarizado e compreender as normas de segurança, as instruções de operação e manutenção e os manuais de procedimentos. Não é necessário escolaridade ou experiência profissional anterior para es"&amp;"ta vaga. Número de Horas por Semana: 56. Horário de Trabalho (Início/Término): 6h às 14h.")</f>
        <v>O Auxiliar de Produção é responsável pela preparação geral de produtos cárneos para embalagem e venda. O trabalho pode incluir o abate, o processamento de carcaças, o transporte de carcaças para câmaras frigoríficas e congeladores, a moagem de carnes para a criação de diversos produtos, o corte de cortes de carne para processamento posterior e a embalagem de carnes para venda, sempre garantindo o cumprimento das normas de saúde e segurança. O trabalho é constante, repetitivo e em ritmo acelerado. As funções incluem: manuseio manual do produto; uso de ferramentas manuais, incluindo facas, máquinas e equipamentos durante o processamento, embalagem e expedição de produtos suínos; corte de carcaças para processamento posterior; separação de carne e subprodutos; limpeza, aparagem, fatiamento, seccionamento e pesagem de matérias-primas; inspeção de produtos cárneos em busca de defeitos, hematomas ou imperfeições, e sua remoção juntamente com o excesso de gordura; verificação dos produtos para garantir que atendam aos padrões do USDA (Departamento de Agricultura dos Estados Unidos); embalagem de produtos cortados em máquina de embalagem; encaixotamento de produtos de acordo com as especificações do pedido; monitoramento de máquinas e equipamentos e ajustes quando necessário; cumprimento de todos os procedimentos e políticas de segurança; e execução de outras tarefas conforme solicitado pelo supervisor. Os equipamentos e/ou máquinas utilizados para a execução das tarefas incluem a operação de: transpaleteiras elétricas 8410; câmaras de vácuo rotativas da série 8600 da marca Cryovac; desossadores de presunto da série 7600 da Townsend, incluindo os modelos 7650 e 7620; e operadores de facas Wizard, que utilizarão um sistema da Bettcher Industries com motor Wizard Quantum e aparadores manuais Quantum Flex com lâminas de diversos tamanhos. O empregador oferecerá um mínimo de 40 horas semanais, de segunda a sexta-feira; alguns sábados e domingos poderão ser necessários, dependendo das necessidades operacionais. Os turnos, dependendo da área de trabalho (quente ou fria), terão início entre 6h e 7h ou entre 14h45 e 16h. As jornadas de trabalho terão duração de 8, 10 ou 12 horas. Poderá ser necessário realizar horas extras conforme a demanda de produção. Classificação da função: 51-3023.00 - Abatedores e Embaladores de Carne. A classificação e descrição da função/setor incluem informações gerais sobre o cargo, de acordo com o ONET/OES e o Sistema de Classificação Industrial da América do Norte (NAICS). Consulte as Funções e a Ordem de Serviço para obter mais informações. Requisitos da função: Experiência necessária: Não. Requisitos especiais: Demandas físicas: As demandas físicas descritas neste documento são representativas daquelas que um funcionário deve atender para desempenhar com sucesso as funções essenciais deste cargo. Ao desempenhar o trabalho, o funcionário permanecerá em pé sobre uma superfície dura durante todo o seu turno e deverá se movimentar pelas instalações. O funcionário realizará movimentos repetitivos com as mãos e os braços, carregará, torcerá, dobrará, ajoelhará, subirá, manterá o equilíbrio e agachará. Dependendo do nível de tarefa atribuído, o funcionário deverá: empurrar ou puxar repetidamente objetos com peso de 9 kg e potencialmente até 38 kg. Levantar regularmente objetos com peso inferior a 9 kg e potencialmente até 18 kg. Há também a possibilidade de auxílio para levantar até 45 kg (100 libras). Ambiente de Trabalho: As características do ambiente de trabalho descritas aqui são representativas daquelas que um funcionário encontra ao desempenhar as funções essenciais do cargo. O ambiente pode ser frio, quente ou úmido, dependendo da área da instalação em que o funcionário trabalha. O funcionário estará regularmente exposto a odores fortes e à visão de sangue de porco. O nível de ruído no ambiente de trabalho é geralmente moderado, mas pode ser alto na área de produção. O funcionário trabalhará próximo a máquinas com peças móveis e vibração. Outros Requisitos: Os candidatos deverão se submeter a um exame toxicológico antes da contratação (pago pelo empregador) e passar por uma avaliação de saúde para garantir que o candidato seja fisicamente capaz de desempenhar as funções do cargo antes da contratação. O candidato deve ter disponibilidade para trabalhar seis dias por semana. O candidato deve estar familiarizado e compreender as normas de segurança, as instruções de operação e manutenção e os manuais de procedimentos. Não é necessário escolaridade ou experiência profissional anterior para esta vaga. Número de Horas por Semana: 56. Horário de Trabalho (Início/Término): 6h às 14h.</v>
      </c>
    </row>
    <row r="2600" ht="20.25" customHeight="1">
      <c r="A2600" s="3" t="s">
        <v>11189</v>
      </c>
      <c r="B2600" s="3" t="s">
        <v>9580</v>
      </c>
      <c r="C2600" s="3"/>
      <c r="D2600" s="3" t="s">
        <v>87</v>
      </c>
      <c r="E2600" s="4" t="s">
        <v>44</v>
      </c>
      <c r="F2600" s="4" t="s">
        <v>20</v>
      </c>
      <c r="G2600" s="4" t="s">
        <v>524</v>
      </c>
      <c r="H2600" s="3" t="s">
        <v>9581</v>
      </c>
      <c r="I2600" s="3" t="s">
        <v>9582</v>
      </c>
      <c r="J2600" s="4">
        <v>17.47</v>
      </c>
      <c r="K2600" s="4">
        <v>25.0</v>
      </c>
      <c r="L2600" s="3" t="s">
        <v>387</v>
      </c>
      <c r="M2600" s="3" t="s">
        <v>11190</v>
      </c>
      <c r="N2600" s="7" t="str">
        <f>IFERROR(__xludf.DUMMYFUNCTION("GOOGLETRANSLATE(L2600, ""en"", ""pt"")"),"Ordem de serviço não disponível")</f>
        <v>Ordem de serviço não disponível</v>
      </c>
      <c r="O2600" s="7" t="str">
        <f>IFERROR(__xludf.DUMMYFUNCTION("IF(M2600="""","""",GOOGLETRANSLATE(M2600,""en"",""pt""))"),"Prepare e cozinhe sob encomenda uma variedade de pratos com tempo de preparo curto em um restaurante casual de rede local e bar esportivo. Prepare receitas rápidas e simples, como filés de frango, asas de frango e pratos clássicos de pub americano, como m"&amp;"olho de espinafre e mini quesadillas. Execute tarefas de preparação de alimentos, como a montagem simples de ingredientes pré-preparados e parcialmente cozidos para criar sanduíches, hambúrgueres, sopas, saladas e sobremesas, finalizando-os rapidamente na"&amp;" grelha ou no forno quando solicitados. Garanta que os alimentos sejam armazenados e cozidos na temperatura correta, regulando fornos, grelhas e assadeiras. Utilize equipamentos padrão de cozinha comercial, com ênfase em fritadeiras para as famosas asas e"&amp;" filés de frango, além de equipamentos personalizados para molhos e temperos caseiros, a fim de agilizar o preparo. Assegure o frescor dos alimentos e ingredientes, verificando a qualidade, controlando os itens novos e antigos e fazendo o rodízio do estoq"&amp;"ue. Limpe os equipamentos de preparação de alimentos na cozinha, como fornos, grelhas e fritadeiras, utilizando sabão, desengordurante e esponjas abrasivas. Limpar áreas de trabalho da cozinha, como bancadas e mesas, utilizando produtos de limpeza de supe"&amp;"rfícies, escovas de limpeza e desinfetantes. Classificação da vaga: 35-2014.00 - Cozinheiros, Restaurante. A classificação e descrição da vaga/setor incluem informações gerais sobre o cargo, de acordo com o ONET/OES e o Sistema de Classificação Industrial"&amp;" da América do Norte (NAICS). Consulte as Funções e a Ordem de Serviço para obter mais informações. Requisitos da vaga: Experiência necessária: Sim. Meses de experiência necessários: 3. Número de horas por semana: 40. Horário de trabalho (início/término):"&amp;" 15h às 23h.")</f>
        <v>Prepare e cozinhe sob encomenda uma variedade de pratos com tempo de preparo curto em um restaurante casual de rede local e bar esportivo. Prepare receitas rápidas e simples, como filés de frango, asas de frango e pratos clássicos de pub americano, como molho de espinafre e mini quesadillas. Execute tarefas de preparação de alimentos, como a montagem simples de ingredientes pré-preparados e parcialmente cozidos para criar sanduíches, hambúrgueres, sopas, saladas e sobremesas, finalizando-os rapidamente na grelha ou no forno quando solicitados. Garanta que os alimentos sejam armazenados e cozidos na temperatura correta, regulando fornos, grelhas e assadeiras. Utilize equipamentos padrão de cozinha comercial, com ênfase em fritadeiras para as famosas asas e filés de frango, além de equipamentos personalizados para molhos e temperos caseiros, a fim de agilizar o preparo. Assegure o frescor dos alimentos e ingredientes, verificando a qualidade, controlando os itens novos e antigos e fazendo o rodízio do estoque. Limpe os equipamentos de preparação de alimentos na cozinha, como fornos, grelhas e fritadeiras, utilizando sabão, desengordurante e esponjas abrasivas. Limpar áreas de trabalho da cozinha, como bancadas e mesas, utilizando produtos de limpeza de superfícies, escovas de limpeza e desinfetantes. Classificação da vaga: 35-2014.00 - Cozinheiros, Restaurante. A classificação e descrição da vaga/setor incluem informações gerais sobre o cargo, de acordo com o ONET/OES e o Sistema de Classificação Industrial da América do Norte (NAICS). Consulte as Funções e a Ordem de Serviço para obter mais informações. Requisitos da vaga: Experiência necessária: Sim. Meses de experiência necessários: 3. Número de horas por semana: 40. Horário de trabalho (início/término): 15h às 23h.</v>
      </c>
    </row>
    <row r="2601" ht="20.25" customHeight="1">
      <c r="A2601" s="8" t="s">
        <v>11191</v>
      </c>
      <c r="B2601" s="8" t="s">
        <v>11192</v>
      </c>
      <c r="C2601" s="8" t="s">
        <v>11193</v>
      </c>
      <c r="D2601" s="8" t="s">
        <v>271</v>
      </c>
      <c r="E2601" s="9" t="s">
        <v>19</v>
      </c>
      <c r="F2601" s="9" t="s">
        <v>20</v>
      </c>
      <c r="G2601" s="9" t="s">
        <v>212</v>
      </c>
      <c r="H2601" s="8" t="s">
        <v>11194</v>
      </c>
      <c r="I2601" s="8" t="s">
        <v>11195</v>
      </c>
      <c r="J2601" s="9">
        <v>29.25</v>
      </c>
      <c r="K2601" s="9">
        <v>25.0</v>
      </c>
      <c r="L2601" s="8" t="s">
        <v>6563</v>
      </c>
      <c r="M2601" s="8" t="s">
        <v>11196</v>
      </c>
      <c r="N2601" s="7" t="str">
        <f>IFERROR(__xludf.DUMMYFUNCTION("GOOGLETRANSLATE(L2601, ""en"", ""pt"")"),"Acabador de concreto")</f>
        <v>Acabador de concreto</v>
      </c>
      <c r="O2601" s="7" t="str">
        <f>IFERROR(__xludf.DUMMYFUNCTION("IF(M2601="""","""",GOOGLETRANSLATE(M2601,""en"",""pt""))"),"O acabador participará da conclusão do trabalho de acabamento. O acabamento durante a concretagem das lajes incluirá a colocação, cura e corte das lajes de concreto. Remendará, reparará e restaurará o concreto, além de aplicar revestimentos de piso. Garan"&amp;"tirá que os acabamentos de piso atendam aos requisitos do projeto, de acordo com a terminologia FF/FL. Utilizará réguas de acabamento, lâminas desempenadeiras e lâminas de acabamento, ferramentas manuais para acabamento de pisos, ferramentas de borda, fer"&amp;"ramentas para juntas, desempenadeiras simples e duplas, equipamentos de cura, equipamentos de bombeamento, equipamentos vibratórios, equipamentos de desempenadeira manuais e desempenadeiras duplas. Classificação do Cargo: 47-2051.00 - Pedreiros e Acabador"&amp;"es de Concreto. A classificação e descrição do cargo/setor inclui informações gerais sobre a posição, de acordo com o ONET/OES e o Sistema de Classificação Industrial da América do Norte. Consulte as Funções e a Ordem de Serviço para obter mais informaçõe"&amp;"s. Requisitos do Cargo: Experiência Necessária: Sim. Meses de Experiência Necessários: 24. Requisitos Especiais: Deve ter no mínimo um ano de experiência em concretagem e corte de lajes de concreto. Número de horas por semana: 45 Horário de trabalho (iníc"&amp;"io/término): 19h00 - 18h00")</f>
        <v>O acabador participará da conclusão do trabalho de acabamento. O acabamento durante a concretagem das lajes incluirá a colocação, cura e corte das lajes de concreto. Remendará, reparará e restaurará o concreto, além de aplicar revestimentos de piso. Garantirá que os acabamentos de piso atendam aos requisitos do projeto, de acordo com a terminologia FF/FL. Utilizará réguas de acabamento, lâminas desempenadeiras e lâminas de acabamento, ferramentas manuais para acabamento de pisos, ferramentas de borda, ferramentas para juntas, desempenadeiras simples e duplas, equipamentos de cura, equipamentos de bombeamento, equipamentos vibratórios, equipamentos de desempenadeira manuais e desempenadeiras duplas. Classificação do Cargo: 47-2051.00 - Pedreiros e Acabadores de Concreto. A classificação e descrição do cargo/setor inclui informações gerais sobre a posição, de acordo com o ONET/OES e o Sistema de Classificação Industrial da América do Norte. Consulte as Funções e a Ordem de Serviço para obter mais informações. Requisitos do Cargo: Experiência Necessária: Sim. Meses de Experiência Necessários: 24. Requisitos Especiais: Deve ter no mínimo um ano de experiência em concretagem e corte de lajes de concreto. Número de horas por semana: 45 Horário de trabalho (início/término): 19h00 - 18h00</v>
      </c>
    </row>
    <row r="2602" ht="20.25" customHeight="1">
      <c r="A2602" s="3" t="s">
        <v>11197</v>
      </c>
      <c r="B2602" s="3" t="s">
        <v>11192</v>
      </c>
      <c r="C2602" s="3" t="s">
        <v>11193</v>
      </c>
      <c r="D2602" s="3" t="s">
        <v>271</v>
      </c>
      <c r="E2602" s="4" t="s">
        <v>44</v>
      </c>
      <c r="F2602" s="4" t="s">
        <v>20</v>
      </c>
      <c r="G2602" s="4" t="s">
        <v>212</v>
      </c>
      <c r="H2602" s="3" t="s">
        <v>11198</v>
      </c>
      <c r="I2602" s="3" t="s">
        <v>11195</v>
      </c>
      <c r="J2602" s="4">
        <v>29.03</v>
      </c>
      <c r="K2602" s="4">
        <v>25.0</v>
      </c>
      <c r="L2602" s="3" t="s">
        <v>11199</v>
      </c>
      <c r="M2602" s="3" t="s">
        <v>11200</v>
      </c>
      <c r="N2602" s="7" t="str">
        <f>IFERROR(__xludf.DUMMYFUNCTION("GOOGLETRANSLATE(L2602, ""en"", ""pt"")"),"Carpinteiro de Formas")</f>
        <v>Carpinteiro de Formas</v>
      </c>
      <c r="O2602" s="7" t="str">
        <f>IFERROR(__xludf.DUMMYFUNCTION("IF(M2602="""","""",GOOGLETRANSLATE(M2602,""en"",""pt""))"),"Sob a supervisão de um Mestre de Obras ou Carpinteiro Líder, executar trabalhos de carpintaria de formas em projetos de construção de concreto comercial. As funções incluem construir, erguer, instalar, desmontar e reparar formas de concreto e estruturas r"&amp;"elacionadas, utilizando madeira, compensado, aço e sistemas de formas pré-fabricadas, de acordo com os desenhos e especificações da construção. Utilizar ferramentas manuais e elétricas de carpintaria para executar as tarefas designadas, tais como: Instala"&amp;"r formas de fundação. Construir e instalar formas de parede e coluna. Construir e instalar formas de laje estrutural. Montar formas de laje sobre o solo. Preparar e montar formas de concreto pré-moldado e de painéis pré-fabricados. Auxiliar no planejament"&amp;"o da obra e alinhamento das formas. Desmontar e reparar as formas para reutilização. Medir, cortar, montar e escorar materiais de formas. Manter as ferramentas, equipamentos e um local de trabalho seguro. Classificação da Função: 47-2031.00 - Carpinteiros"&amp;". A classificação e descrição da função/setor inclui informações gerais sobre o cargo, de acordo com o ONET/OES e o Sistema de Classificação Industrial da América do Norte. Consulte as Funções e a Ordem de Serviço para obter mais informações. Requisitos d"&amp;"a vaga Experiência necessária: Sim Meses de experiência necessários: 18 Requisitos especiais: É necessário ter pelo menos 12 meses de experiência na construção e instalação de fôrmas estruturais para lajes e na colocação de fôrmas para lajes sobre o solo."&amp;" Número de horas por semana: 45 Horário de trabalho (início/término): 19h às 18h")</f>
        <v>Sob a supervisão de um Mestre de Obras ou Carpinteiro Líder, executar trabalhos de carpintaria de formas em projetos de construção de concreto comercial. As funções incluem construir, erguer, instalar, desmontar e reparar formas de concreto e estruturas relacionadas, utilizando madeira, compensado, aço e sistemas de formas pré-fabricadas, de acordo com os desenhos e especificações da construção. Utilizar ferramentas manuais e elétricas de carpintaria para executar as tarefas designadas, tais como: Instalar formas de fundação. Construir e instalar formas de parede e coluna. Construir e instalar formas de laje estrutural. Montar formas de laje sobre o solo. Preparar e montar formas de concreto pré-moldado e de painéis pré-fabricados. Auxiliar no planejamento da obra e alinhamento das formas. Desmontar e reparar as formas para reutilização. Medir, cortar, montar e escorar materiais de formas. Manter as ferramentas, equipamentos e um local de trabalho seguro. Classificação da Função: 47-2031.00 - Carpinteiros. A classificação e descrição da função/setor inclui informações gerais sobre o cargo, de acordo com o ONET/OES e o Sistema de Classificação Industrial da América do Norte. Consulte as Funções e a Ordem de Serviço para obter mais informações. Requisitos da vaga Experiência necessária: Sim Meses de experiência necessários: 18 Requisitos especiais: É necessário ter pelo menos 12 meses de experiência na construção e instalação de fôrmas estruturais para lajes e na colocação de fôrmas para lajes sobre o solo. Número de horas por semana: 45 Horário de trabalho (início/término): 19h às 18h</v>
      </c>
    </row>
    <row r="2603" ht="20.25" customHeight="1">
      <c r="A2603" s="8" t="s">
        <v>11201</v>
      </c>
      <c r="B2603" s="8" t="s">
        <v>11202</v>
      </c>
      <c r="C2603" s="8" t="s">
        <v>11203</v>
      </c>
      <c r="D2603" s="8" t="s">
        <v>140</v>
      </c>
      <c r="E2603" s="9" t="s">
        <v>44</v>
      </c>
      <c r="F2603" s="9" t="s">
        <v>20</v>
      </c>
      <c r="G2603" s="9" t="s">
        <v>377</v>
      </c>
      <c r="H2603" s="8" t="s">
        <v>11204</v>
      </c>
      <c r="I2603" s="8" t="s">
        <v>11205</v>
      </c>
      <c r="J2603" s="9">
        <v>23.91</v>
      </c>
      <c r="K2603" s="9">
        <v>30.0</v>
      </c>
      <c r="L2603" s="8" t="s">
        <v>406</v>
      </c>
      <c r="M2603" s="8" t="s">
        <v>11206</v>
      </c>
      <c r="N2603" s="7" t="str">
        <f>IFERROR(__xludf.DUMMYFUNCTION("GOOGLETRANSLATE(L2603, ""en"", ""pt"")"),"Trabalhador")</f>
        <v>Trabalhador</v>
      </c>
      <c r="O2603" s="7" t="str">
        <f>IFERROR(__xludf.DUMMYFUNCTION("IF(M2603="""","""",GOOGLETRANSLATE(M2603,""en"",""pt""))"),"Auxiliar pedreiros, assentadores de azulejos e pedras na limpeza e preparação do local de trabalho, carregamento e entrega de materiais, aplicação de selante e preparação de materiais para instalação. A maior parte do trabalho é realizada em edifícios sem"&amp;" aquecimento ou ar condicionado. Classificação da função: 47-3011.00 - Ajudantes - Pedreiros, Assentadores de Blocos, Pedreiros de Pedras e Assentadores de Azulejos e Mármore. A classificação e descrição da função/setor inclui informações gerais sobre o c"&amp;"argo, de acordo com o ONET/OES e o Sistema de Classificação Industrial da América do Norte. Consulte as Funções e a Ordem de Serviço para obter mais informações. Requisitos da função: Experiência necessária: Não. Requisitos especiais: O total mostrado é d"&amp;"e 56 horas, mas a semana é de 40 horas. Uma semana de trabalho é o padrão para o cálculo do salário, 5 dias de trabalho seguidos de dois dias de folga. De segunda a domingo, das 8h às 16h. Os dias de folga variam. Número de horas por semana: 56. Horário d"&amp;"e trabalho (início/término): 8h às 17h.")</f>
        <v>Auxiliar pedreiros, assentadores de azulejos e pedras na limpeza e preparação do local de trabalho, carregamento e entrega de materiais, aplicação de selante e preparação de materiais para instalação. A maior parte do trabalho é realizada em edifícios sem aquecimento ou ar condicionado. Classificação da função: 47-3011.00 - Ajudantes - Pedreiros, Assentadores de Blocos, Pedreiros de Pedras e Assentadores de Azulejos e Mármore. A classificação e descrição da função/setor inclui informações gerais sobre o cargo, de acordo com o ONET/OES e o Sistema de Classificação Industrial da América do Norte. Consulte as Funções e a Ordem de Serviço para obter mais informações. Requisitos da função: Experiência necessária: Não. Requisitos especiais: O total mostrado é de 56 horas, mas a semana é de 40 horas. Uma semana de trabalho é o padrão para o cálculo do salário, 5 dias de trabalho seguidos de dois dias de folga. De segunda a domingo, das 8h às 16h. Os dias de folga variam. Número de horas por semana: 56. Horário de trabalho (início/término): 8h às 17h.</v>
      </c>
    </row>
    <row r="2604" ht="20.25" customHeight="1">
      <c r="A2604" s="3" t="s">
        <v>11207</v>
      </c>
      <c r="B2604" s="3" t="s">
        <v>11208</v>
      </c>
      <c r="C2604" s="3" t="s">
        <v>9397</v>
      </c>
      <c r="D2604" s="3" t="s">
        <v>271</v>
      </c>
      <c r="E2604" s="4" t="s">
        <v>19</v>
      </c>
      <c r="F2604" s="4" t="s">
        <v>20</v>
      </c>
      <c r="G2604" s="4" t="s">
        <v>80</v>
      </c>
      <c r="H2604" s="3" t="s">
        <v>11209</v>
      </c>
      <c r="I2604" s="3" t="s">
        <v>11210</v>
      </c>
      <c r="J2604" s="4">
        <v>28.3</v>
      </c>
      <c r="K2604" s="4">
        <v>20.0</v>
      </c>
      <c r="L2604" s="3" t="s">
        <v>262</v>
      </c>
      <c r="M2604" s="3" t="s">
        <v>11211</v>
      </c>
      <c r="N2604" s="7" t="str">
        <f>IFERROR(__xludf.DUMMYFUNCTION("GOOGLETRANSLATE(L2604, ""en"", ""pt"")"),"Operário da construção civil")</f>
        <v>Operário da construção civil</v>
      </c>
      <c r="O2604" s="7" t="str">
        <f>IFERROR(__xludf.DUMMYFUNCTION("IF(M2604="""","""",GOOGLETRANSLATE(M2604,""en"",""pt""))"),"***Resposta à Solicitação de Informações*** Os trabalhadores com visto H-2B designados para esta função operam os seguintes equipamentos na execução de trabalhos de reforma de piscinas: Furadeiras elétricas e manuais: Perfuração de furos em estruturas de "&amp;"concreto e elementos estruturais de piscinas para instalação de pontos de ancoragem e fixadores mecânicos para equipamentos e materiais. Martelos e rompedores pneumáticos: Remoção de gesso deteriorado, revestimentos de seixos e outros materiais de revesti"&amp;"mento das superfícies da piscina durante os trabalhos de reforma e repavimentação. Martelos pneumáticos de impacto: Quebra e remoção de gesso endurecido, agregados de seixos e materiais de revestimento aderidos das superfícies internas e da estrutura das "&amp;"piscinas. Betoneiras: Preparação e mistura de massa de gesso e agregados de seixos de acordo com as especificações para aplicação nas superfícies internas da piscina pelas equipes de acabamento. Os trabalhadores também utilizam equipamentos e ferramentas "&amp;"de medição manuais para verificar dimensões e alinhamento durante o trabalho de preparação, garantindo que as superfícies estejam devidamente preparadas e limpas para a aplicação do acabamento. DESCRIÇÃO DAS FUNÇÕES DE AUXILIAR DE CONSTRUÇÃO CIVIL: O Auxi"&amp;"liar de Construção Civil auxilia profissionais qualificados nas seguintes tarefas especializadas de reforma de piscinas: Especialistas em injeção de resina epóxi: Injetam resina epóxi em fissuras e cavidades estruturais na estrutura da piscina, utilizando"&amp;" máquinas de injeção e esmerilhadeiras para preparar as superfícies. Auxiliam na preparação da superfície, manuseio de materiais e limpeza das áreas injetadas. Acabadores de interiores: Misturam materiais de acabamento em gesso e pedra britada de acordo c"&amp;"om as especificações e auxiliam na aplicação, espalhamento e acabamento desses materiais nas superfícies internas da piscina. Preparam os materiais, transportam as misturas e realizam o trabalho de acabamento sob a supervisão do acabador. As ferramentas i"&amp;"ncluem misturadores, bombas, mangueiras e desempenadeiras. Os materiais incluem gesso e pedra britada. Limpeza interna e preparação de superfícies: Removem e limpam lascas de gesso, fragmentos de pedra britada e materiais de revestimento antigos da estrut"&amp;"ura da piscina e das superfícies internas, utilizando ferramentas pneumáticas e manuais para preparar as superfícies para novos acabamentos. Os trabalhadores também realizam a limpeza do interior das piscinas com banho ácido, utilizando lavadoras de alta "&amp;"pressão e soluções químicas, com os equipamentos de segurança apropriados (respiradores), enxaguando e preparando as superfícies para o acabamento. ***Original*** Os trabalhadores executarão tarefas que envolvem trabalho físico na construção de piscinas. "&amp;"Podem operar ferramentas manuais e elétricas de todos os tipos: martelos pneumáticos, compactadores de solo, betoneiras, pequenos guindastes mecânicos, equipamentos de topografia, equipamentos de medição e uma variedade de outros equipamentos ou instrumen"&amp;"tos. Podem limpar e preparar locais, cavar valas e auxiliar outros trabalhadores especializados. Classificação da Função: 47-2161.00 - Gesseiros e Pedreiros de Estuque. A classificação e descrição da função/setor inclui informações gerais sobre o cargo, d"&amp;"e acordo com o ONET/OES e o Sistema de Classificação Industrial da América do Norte. Consulte as Funções e a Ordem de Serviço para obter mais informações. Requisitos da Função Experiência Necessária: Sim Meses de Experiência Necessária: 3 Requisitos Espec"&amp;"iais: Capacidade de levantar 23 kg. Número de Horas por Semana: 40 Horário de Trabalho (Início/Término): 6h00 - 14h30")</f>
        <v>***Resposta à Solicitação de Informações*** Os trabalhadores com visto H-2B designados para esta função operam os seguintes equipamentos na execução de trabalhos de reforma de piscinas: Furadeiras elétricas e manuais: Perfuração de furos em estruturas de concreto e elementos estruturais de piscinas para instalação de pontos de ancoragem e fixadores mecânicos para equipamentos e materiais. Martelos e rompedores pneumáticos: Remoção de gesso deteriorado, revestimentos de seixos e outros materiais de revestimento das superfícies da piscina durante os trabalhos de reforma e repavimentação. Martelos pneumáticos de impacto: Quebra e remoção de gesso endurecido, agregados de seixos e materiais de revestimento aderidos das superfícies internas e da estrutura das piscinas. Betoneiras: Preparação e mistura de massa de gesso e agregados de seixos de acordo com as especificações para aplicação nas superfícies internas da piscina pelas equipes de acabamento. Os trabalhadores também utilizam equipamentos e ferramentas de medição manuais para verificar dimensões e alinhamento durante o trabalho de preparação, garantindo que as superfícies estejam devidamente preparadas e limpas para a aplicação do acabamento. DESCRIÇÃO DAS FUNÇÕES DE AUXILIAR DE CONSTRUÇÃO CIVIL: O Auxiliar de Construção Civil auxilia profissionais qualificados nas seguintes tarefas especializadas de reforma de piscinas: Especialistas em injeção de resina epóxi: Injetam resina epóxi em fissuras e cavidades estruturais na estrutura da piscina, utilizando máquinas de injeção e esmerilhadeiras para preparar as superfícies. Auxiliam na preparação da superfície, manuseio de materiais e limpeza das áreas injetadas. Acabadores de interiores: Misturam materiais de acabamento em gesso e pedra britada de acordo com as especificações e auxiliam na aplicação, espalhamento e acabamento desses materiais nas superfícies internas da piscina. Preparam os materiais, transportam as misturas e realizam o trabalho de acabamento sob a supervisão do acabador. As ferramentas incluem misturadores, bombas, mangueiras e desempenadeiras. Os materiais incluem gesso e pedra britada. Limpeza interna e preparação de superfícies: Removem e limpam lascas de gesso, fragmentos de pedra britada e materiais de revestimento antigos da estrutura da piscina e das superfícies internas, utilizando ferramentas pneumáticas e manuais para preparar as superfícies para novos acabamentos. Os trabalhadores também realizam a limpeza do interior das piscinas com banho ácido, utilizando lavadoras de alta pressão e soluções químicas, com os equipamentos de segurança apropriados (respiradores), enxaguando e preparando as superfícies para o acabamento. ***Original*** Os trabalhadores executarão tarefas que envolvem trabalho físico na construção de piscinas. Podem operar ferramentas manuais e elétricas de todos os tipos: martelos pneumáticos, compactadores de solo, betoneiras, pequenos guindastes mecânicos, equipamentos de topografia, equipamentos de medição e uma variedade de outros equipamentos ou instrumentos. Podem limpar e preparar locais, cavar valas e auxiliar outros trabalhadores especializados. Classificação da Função: 47-2161.00 - Gesseiros e Pedreiros de Estuque. A classificação e descrição da função/setor inclui informações gerais sobre o cargo, de acordo com o ONET/OES e o Sistema de Classificação Industrial da América do Norte. Consulte as Funções e a Ordem de Serviço para obter mais informações. Requisitos da Função Experiência Necessária: Sim Meses de Experiência Necessária: 3 Requisitos Especiais: Capacidade de levantar 23 kg. Número de Horas por Semana: 40 Horário de Trabalho (Início/Término): 6h00 - 14h30</v>
      </c>
    </row>
    <row r="2605" ht="20.25" customHeight="1">
      <c r="A2605" s="8" t="s">
        <v>11212</v>
      </c>
      <c r="B2605" s="8" t="s">
        <v>11213</v>
      </c>
      <c r="C2605" s="8" t="s">
        <v>27</v>
      </c>
      <c r="D2605" s="8" t="s">
        <v>663</v>
      </c>
      <c r="E2605" s="9" t="s">
        <v>44</v>
      </c>
      <c r="F2605" s="9" t="s">
        <v>20</v>
      </c>
      <c r="G2605" s="9" t="s">
        <v>155</v>
      </c>
      <c r="H2605" s="8" t="s">
        <v>11214</v>
      </c>
      <c r="I2605" s="8" t="s">
        <v>11215</v>
      </c>
      <c r="J2605" s="9">
        <v>20.23</v>
      </c>
      <c r="K2605" s="9">
        <v>7.0</v>
      </c>
      <c r="L2605" s="8" t="s">
        <v>59</v>
      </c>
      <c r="M2605" s="8" t="s">
        <v>11216</v>
      </c>
      <c r="N2605" s="7" t="str">
        <f>IFERROR(__xludf.DUMMYFUNCTION("GOOGLETRANSLATE(L2605, ""en"", ""pt"")"),"Trabalhador de paisagismo")</f>
        <v>Trabalhador de paisagismo</v>
      </c>
      <c r="O2605" s="7" t="str">
        <f>IFERROR(__xludf.DUMMYFUNCTION("IF(M2605="""","""",GOOGLETRANSLATE(M2605,""en"",""pt""))"),"As funções podem incluir: Executar diversas tarefas de renovação de campos de golfe, incluindo a preparação e construção de greens, tees e bunkers. Utilizar ferramentas manuais, como pás ou rastelos, para cavar buracos para a instalação de fios e tubulaçõ"&amp;"es de irrigação. Instalar/manter sistemas de irrigação, rastelar/nivelar o solo. Colocar/espalhar grama, sementes, cascalho e areia. Poderá utilizar veículos ou equipamentos motorizados, como cortadores de grama ou tratores, e outras atividades relacionad"&amp;"as a serviços de paisagismo, conforme SOC/OES 37-3011 (onetonline.org). Horário padrão/esperado: Segunda a sábado, das 7h às 19h. Oferecemos 45 horas ou mais por semana, sem incluir o horário de almoço e/ou intervalos. Possibilidade de trabalho aos fins d"&amp;"e semana e feriados. Os horários de início e término, a carga horária e/ou horas extras podem variar, pois dependem de fatores como as necessidades do projeto/cronograma/serviço, as condições climáticas e o tempo de deslocamento entre os locais de trabalh"&amp;"o (se aplicável). Horas extras são possíveis, mas não obrigatórias nem garantidas. A critério exclusivo do empregador: possíveis aumentos e/ou bônus com base em fatores individuais, como desempenho no trabalho ou habilidades (não garantidos). Moradia comp"&amp;"artilhada opcional disponível sem custo para o trabalhador. Classificação do Cargo: 37-3011.00 - Trabalhadores de Paisagismo e Manutenção de Áreas Verdes. A classificação e descrição do cargo/setor incluem informações gerais sobre a posição, de acordo com"&amp;" o ONET/OES e o Sistema de Classificação Industrial da América do Norte. Consulte as Funções e a Ordem de Serviço para obter mais informações. Requisitos do Cargo Experiência Necessária: Sim Meses de Experiência Necessários: 3 Requisitos Especiais: Deve a"&amp;"presentar comprovante de autorização legal para trabalhar nos Estados Unidos. Ambiente de trabalho livre de drogas, álcool e tabaco. Executar atividades físicas, como levantar, equilibrar-se, caminhar, abaixar-se, manusear, posicionar, mover e manipular m"&amp;"ateriais; usar força estática para exercer força muscular máxima para levantar, empurrar, puxar e carregar objetos de até 23 kg. Todos os candidatos devem ser capazes, dispostos e qualificados para executar o trabalho descrito e devem estar disponíveis du"&amp;"rante todo o período especificado e trabalhar em todas as áreas do emprego pretendido. O trabalho é realizado ao ar livre, exposto às intempéries; o candidato deve ser capaz de realizar trabalho fisicamente extenuante por longos períodos, ocasionalmente e"&amp;"m calor ou frio extremos. As condições climáticas são variáveis; a carga horária pode sofrer alterações (+/-), com possibilidade de períodos de inatividade e/ou horas extras. Número de horas por semana: 45. Horário de trabalho (início/término): 7h às 19h.")</f>
        <v>As funções podem incluir: Executar diversas tarefas de renovação de campos de golfe, incluindo a preparação e construção de greens, tees e bunkers. Utilizar ferramentas manuais, como pás ou rastelos, para cavar buracos para a instalação de fios e tubulações de irrigação. Instalar/manter sistemas de irrigação, rastelar/nivelar o solo. Colocar/espalhar grama, sementes, cascalho e areia. Poderá utilizar veículos ou equipamentos motorizados, como cortadores de grama ou tratores, e outras atividades relacionadas a serviços de paisagismo, conforme SOC/OES 37-3011 (onetonline.org). Horário padrão/esperado: Segunda a sábado, das 7h às 19h. Oferecemos 45 horas ou mais por semana, sem incluir o horário de almoço e/ou intervalos. Possibilidade de trabalho aos fins de semana e feriados. Os horários de início e término, a carga horária e/ou horas extras podem variar, pois dependem de fatores como as necessidades do projeto/cronograma/serviço, as condições climáticas e o tempo de deslocamento entre os locais de trabalho (se aplicável). Horas extras são possíveis, mas não obrigatórias nem garantidas. A critério exclusivo do empregador: possíveis aumentos e/ou bônus com base em fatores individuais, como desempenho no trabalho ou habilidades (não garantidos). Moradia compartilhada opcional disponível sem custo para o trabalhador. Classificação do Cargo: 37-3011.00 - Trabalhadores de Paisagismo e Manutenção de Áreas Verdes. A classificação e descrição do cargo/setor incluem informações gerais sobre a posição, de acordo com o ONET/OES e o Sistema de Classificação Industrial da América do Norte. Consulte as Funções e a Ordem de Serviço para obter mais informações. Requisitos do Cargo Experiência Necessária: Sim Meses de Experiência Necessários: 3 Requisitos Especiais: Deve apresentar comprovante de autorização legal para trabalhar nos Estados Unidos. Ambiente de trabalho livre de drogas, álcool e tabaco. Executar atividades físicas, como levantar, equilibrar-se, caminhar, abaixar-se, manusear, posicionar, mover e manipular materiais; usar força estática para exercer força muscular máxima para levantar, empurrar, puxar e carregar objetos de até 23 kg. Todos os candidatos devem ser capazes, dispostos e qualificados para executar o trabalho descrito e devem estar disponíveis durante todo o período especificado e trabalhar em todas as áreas do emprego pretendido. O trabalho é realizado ao ar livre, exposto às intempéries; o candidato deve ser capaz de realizar trabalho fisicamente extenuante por longos períodos, ocasionalmente em calor ou frio extremos. As condições climáticas são variáveis; a carga horária pode sofrer alterações (+/-), com possibilidade de períodos de inatividade e/ou horas extras. Número de horas por semana: 45. Horário de trabalho (início/término): 7h às 19h.</v>
      </c>
    </row>
    <row r="2606" ht="20.25" customHeight="1">
      <c r="A2606" s="3" t="s">
        <v>11217</v>
      </c>
      <c r="B2606" s="3" t="s">
        <v>11218</v>
      </c>
      <c r="C2606" s="3"/>
      <c r="D2606" s="3" t="s">
        <v>71</v>
      </c>
      <c r="E2606" s="4" t="s">
        <v>19</v>
      </c>
      <c r="F2606" s="4" t="s">
        <v>20</v>
      </c>
      <c r="G2606" s="4" t="s">
        <v>345</v>
      </c>
      <c r="H2606" s="3" t="s">
        <v>11219</v>
      </c>
      <c r="I2606" s="3" t="s">
        <v>11220</v>
      </c>
      <c r="J2606" s="4">
        <v>17.84</v>
      </c>
      <c r="K2606" s="4">
        <v>21.0</v>
      </c>
      <c r="L2606" s="3" t="s">
        <v>354</v>
      </c>
      <c r="M2606" s="3" t="s">
        <v>11221</v>
      </c>
      <c r="N2606" s="7" t="str">
        <f>IFERROR(__xludf.DUMMYFUNCTION("GOOGLETRANSLATE(L2606, ""en"", ""pt"")"),"Governanta")</f>
        <v>Governanta</v>
      </c>
      <c r="O2606" s="7" t="str">
        <f>IFERROR(__xludf.DUMMYFUNCTION("IF(M2606="""","""",GOOGLETRANSLATE(M2606,""en"",""pt""))"),"**Resposta à Solicitação de Informações** A frase ""realizar tarefas de limpeza profunda, conforme necessário"" refere-se a tarefas de limpeza periódicas que vão além da limpeza diária de rotina e são realizadas para manter a limpeza, a higienização e a a"&amp;"parência geral da propriedade. Essas tarefas incluem, entre outras: • Lavagem e extração de carpetes usando lavadoras e extratoras de carpetes comerciais. • Remoção de ceras antigas, enceramento, polimento e lustro de pisos de superfície dura usando máqui"&amp;"nas de remoção de cera, enceradeiras, polidoras, esfregões e produtos de acabamento de piso aprovados. • Limpeza a vapor de móveis estofados, cortinas e superfícies de tecido usando limpadores a vapor comerciais ou extratoras de estofados. • Lavagem de ja"&amp;"nelas internas e externas, trilhos de janelas, persianas e telas usando rodos, cabos extensíveis, panos de microfibra e soluções de limpeza de vidros. • Limpeza de rodapés, paredes, portas, tetos, saídas de ar, luminárias e ventiladores de teto usando esp"&amp;"anadores de microfibra, espanadores extensíveis, escadas, panos e soluções de limpeza aprovadas. • Mover móveis leves para limpar embaixo e atrás de camas, cômodas, sofás, mesas e outros móveis, utilizando técnicas padrão de limpeza. • Limpar profundament"&amp;"e cozinhas e banheiros, removendo resíduos de sabão, depósitos minerais, gordura e sujeira acumulada de pias, bancadas, armários, eletrodomésticos, chuveiros, banheiras, vasos sanitários, rejunte e azulejos, utilizando escovas, esponjas de limpeza, raspad"&amp;"ores não abrasivos, desinfetantes, desengordurantes, agentes desincrustantes e outros produtos químicos de limpeza aprovados. • Aspirar e limpar saídas de ar e outras superfícies acessíveis utilizando aspiradores de pó comerciais equipados com mangueira e"&amp;" acessórios de escova. • Higienizar superfícies de alto contato, incluindo maçanetas, interruptores de luz, controles remotos, telefones e outros acessórios, utilizando desinfetantes aprovados pela EPA e panos de microfibra. Essas tarefas de limpeza profu"&amp;"nda são realizadas utilizando equipamentos e técnicas padrão de limpeza comercial comumente empregados no setor hoteleiro, incluindo aspiração, lavagem, esfregação, remoção de pó, polimento, lavagem com xampu, limpeza a vapor, desinfecção, remoção e encer"&amp;"amento de pisos e extração de carpetes. Os funcionários utilizam equipamentos de limpeza e produtos de limpeza disponíveis comercialmente, fornecidos pelo empregador, seguindo os procedimentos de segurança estabelecidos e as instruções do fabricante. **Or"&amp;"iginal** Limpar os quartos de hóspedes conforme designado, incluindo, entre outras atividades, arrumar as camas, limpar os banheiros, varrer, passar pano, tirar o pó e aspirar, trocar e repor lençóis, toalhas e amenidades para hóspedes, conforme necessári"&amp;"o; realizar tarefas de limpeza profunda, conforme necessário; abastecer, manter e transportar o carrinho de suprimentos de limpeza diariamente; descartar o lixo e os materiais recicláveis; atender às solicitações especiais dos hóspedes de maneira rápida, "&amp;"amigável e eficiente; manter a limpeza dos quartos, corredores e outras áreas do hotel; identificar e relatar problemas de manutenção preventiva em áreas públicas ou quartos de hóspedes. Classificação do Cargo: 37-2012.00 - Camareiras e Auxiliares de Limp"&amp;"eza. A classificação e a descrição do cargo/setor incluem informações gerais sobre a posição, de acordo com o ONET/OES e o Sistema de Classificação Industrial da América do Norte. Consulte as Funções e a Ordem de Serviço para obter mais informações. Requi"&amp;"sitos do Cargo Experiência Necessária: Sim Meses de Experiência Necessária: 3 Requisitos Especiais: Nenhum. Número de horas por semana: 52 Horário de trabalho (início/término): 7h00 - 21h00")</f>
        <v>**Resposta à Solicitação de Informações** A frase "realizar tarefas de limpeza profunda, conforme necessário" refere-se a tarefas de limpeza periódicas que vão além da limpeza diária de rotina e são realizadas para manter a limpeza, a higienização e a aparência geral da propriedade. Essas tarefas incluem, entre outras: • Lavagem e extração de carpetes usando lavadoras e extratoras de carpetes comerciais. • Remoção de ceras antigas, enceramento, polimento e lustro de pisos de superfície dura usando máquinas de remoção de cera, enceradeiras, polidoras, esfregões e produtos de acabamento de piso aprovados. • Limpeza a vapor de móveis estofados, cortinas e superfícies de tecido usando limpadores a vapor comerciais ou extratoras de estofados. • Lavagem de janelas internas e externas, trilhos de janelas, persianas e telas usando rodos, cabos extensíveis, panos de microfibra e soluções de limpeza de vidros. • Limpeza de rodapés, paredes, portas, tetos, saídas de ar, luminárias e ventiladores de teto usando espanadores de microfibra, espanadores extensíveis, escadas, panos e soluções de limpeza aprovadas. • Mover móveis leves para limpar embaixo e atrás de camas, cômodas, sofás, mesas e outros móveis, utilizando técnicas padrão de limpeza. • Limpar profundamente cozinhas e banheiros, removendo resíduos de sabão, depósitos minerais, gordura e sujeira acumulada de pias, bancadas, armários, eletrodomésticos, chuveiros, banheiras, vasos sanitários, rejunte e azulejos, utilizando escovas, esponjas de limpeza, raspadores não abrasivos, desinfetantes, desengordurantes, agentes desincrustantes e outros produtos químicos de limpeza aprovados. • Aspirar e limpar saídas de ar e outras superfícies acessíveis utilizando aspiradores de pó comerciais equipados com mangueira e acessórios de escova. • Higienizar superfícies de alto contato, incluindo maçanetas, interruptores de luz, controles remotos, telefones e outros acessórios, utilizando desinfetantes aprovados pela EPA e panos de microfibra. Essas tarefas de limpeza profunda são realizadas utilizando equipamentos e técnicas padrão de limpeza comercial comumente empregados no setor hoteleiro, incluindo aspiração, lavagem, esfregação, remoção de pó, polimento, lavagem com xampu, limpeza a vapor, desinfecção, remoção e enceramento de pisos e extração de carpetes. Os funcionários utilizam equipamentos de limpeza e produtos de limpeza disponíveis comercialmente, fornecidos pelo empregador, seguindo os procedimentos de segurança estabelecidos e as instruções do fabricante. **Original** Limpar os quartos de hóspedes conforme designado, incluindo, entre outras atividades, arrumar as camas, limpar os banheiros, varrer, passar pano, tirar o pó e aspirar, trocar e repor lençóis, toalhas e amenidades para hóspedes, conforme necessário; realizar tarefas de limpeza profunda, conforme necessário; abastecer, manter e transportar o carrinho de suprimentos de limpeza diariamente; descartar o lixo e os materiais recicláveis; atender às solicitações especiais dos hóspedes de maneira rápida, amigável e eficiente; manter a limpeza dos quartos, corredores e outras áreas do hotel; identificar e relatar problemas de manutenção preventiva em áreas públicas ou quartos de hóspedes. Classificação do Cargo: 37-2012.00 - Camareiras e Auxiliares de Limpeza. A classificação e a descrição do cargo/setor incluem informações gerais sobre a posição, de acordo com o ONET/OES e o Sistema de Classificação Industrial da América do Norte. Consulte as Funções e a Ordem de Serviço para obter mais informações. Requisitos do Cargo Experiência Necessária: Sim Meses de Experiência Necessária: 3 Requisitos Especiais: Nenhum. Número de horas por semana: 52 Horário de trabalho (início/término): 7h00 - 21h00</v>
      </c>
    </row>
    <row r="2607" ht="20.25" customHeight="1">
      <c r="A2607" s="8" t="s">
        <v>11222</v>
      </c>
      <c r="B2607" s="8" t="s">
        <v>11223</v>
      </c>
      <c r="C2607" s="8"/>
      <c r="D2607" s="8" t="s">
        <v>18</v>
      </c>
      <c r="E2607" s="9" t="s">
        <v>19</v>
      </c>
      <c r="F2607" s="9" t="s">
        <v>20</v>
      </c>
      <c r="G2607" s="9" t="s">
        <v>377</v>
      </c>
      <c r="H2607" s="8" t="s">
        <v>11224</v>
      </c>
      <c r="I2607" s="8" t="s">
        <v>11225</v>
      </c>
      <c r="J2607" s="9">
        <v>14.09</v>
      </c>
      <c r="K2607" s="9">
        <v>17.0</v>
      </c>
      <c r="L2607" s="8" t="s">
        <v>7966</v>
      </c>
      <c r="M2607" s="8" t="s">
        <v>11226</v>
      </c>
      <c r="N2607" s="7" t="str">
        <f>IFERROR(__xludf.DUMMYFUNCTION("GOOGLETRANSLATE(L2607, ""en"", ""pt"")"),"Máquinas de lavar louça")</f>
        <v>Máquinas de lavar louça</v>
      </c>
      <c r="O2607" s="7" t="str">
        <f>IFERROR(__xludf.DUMMYFUNCTION("IF(M2607="""","""",GOOGLETRANSLATE(M2607,""en"",""pt""))"),"Lava e higieniza todos os utensílios de cozinha, incluindo panelas, frigideiras, talheres e copos, utilizando a máquina de lavar louça em uma lanchonete. Guarda e armazena corretamente todos os equipamentos, pratos e utensílios limpos nas áreas de armazen"&amp;"amento designadas para uso. Abastece os balcões de serviço, armários, geladeiras e outras áreas designadas com pratos e utensílios limpos. Mantém a área de trabalho e a cozinha limpas, varrendo e passando pano conforme necessário e esvaziando as lixeiras "&amp;"regularmente. Classificação do Cargo: 35-9021.00 - Lavadores de Louça. A classificação e descrição do cargo/setor inclui informações gerais sobre a posição, de acordo com o ONET/OES e o Sistema de Classificação Industrial da América do Norte. Consulte as "&amp;"Funções e a Ordem de Serviço para obter mais informações. Requisitos do Cargo: Experiência Necessária: Não. Requisitos Especiais: SEGUNDO TURNO - 12h às 20h. Verificação de antecedentes criminais pré-contratação. Número de Horas por Semana: 35. Horário de"&amp;" Trabalho (Início/Término): 4h às 12h.")</f>
        <v>Lava e higieniza todos os utensílios de cozinha, incluindo panelas, frigideiras, talheres e copos, utilizando a máquina de lavar louça em uma lanchonete. Guarda e armazena corretamente todos os equipamentos, pratos e utensílios limpos nas áreas de armazenamento designadas para uso. Abastece os balcões de serviço, armários, geladeiras e outras áreas designadas com pratos e utensílios limpos. Mantém a área de trabalho e a cozinha limpas, varrendo e passando pano conforme necessário e esvaziando as lixeiras regularmente. Classificação do Cargo: 35-9021.00 - Lavadores de Louça. A classificação e descrição do cargo/setor inclui informações gerais sobre a posição, de acordo com o ONET/OES e o Sistema de Classificação Industrial da América do Norte. Consulte as Funções e a Ordem de Serviço para obter mais informações. Requisitos do Cargo: Experiência Necessária: Não. Requisitos Especiais: SEGUNDO TURNO - 12h às 20h. Verificação de antecedentes criminais pré-contratação. Número de Horas por Semana: 35. Horário de Trabalho (Início/Término): 4h às 12h.</v>
      </c>
    </row>
    <row r="2608" ht="20.25" customHeight="1">
      <c r="A2608" s="3" t="s">
        <v>11227</v>
      </c>
      <c r="B2608" s="3" t="s">
        <v>11228</v>
      </c>
      <c r="C2608" s="3"/>
      <c r="D2608" s="3" t="s">
        <v>18</v>
      </c>
      <c r="E2608" s="4" t="s">
        <v>19</v>
      </c>
      <c r="F2608" s="4" t="s">
        <v>20</v>
      </c>
      <c r="G2608" s="4" t="s">
        <v>377</v>
      </c>
      <c r="H2608" s="3" t="s">
        <v>11229</v>
      </c>
      <c r="I2608" s="3" t="s">
        <v>11225</v>
      </c>
      <c r="J2608" s="4">
        <v>13.78</v>
      </c>
      <c r="K2608" s="4">
        <v>30.0</v>
      </c>
      <c r="L2608" s="3" t="s">
        <v>6141</v>
      </c>
      <c r="M2608" s="3" t="s">
        <v>11230</v>
      </c>
      <c r="N2608" s="7" t="str">
        <f>IFERROR(__xludf.DUMMYFUNCTION("GOOGLETRANSLATE(L2608, ""en"", ""pt"")"),"Serviços de limpeza")</f>
        <v>Serviços de limpeza</v>
      </c>
      <c r="O2608" s="7" t="str">
        <f>IFERROR(__xludf.DUMMYFUNCTION("IF(M2608="""","""",GOOGLETRANSLATE(M2608,""en"",""pt""))"),"Limpar móveis, cortinas e outras superfícies internas, pendurar cortinas quando necessário, separar, contar e dobrar roupas de cama, mover e organizar móveis e camas, limpar banheiros e paredes, aspirar o pó, esvaziar lixeiras e cestos de lixo, remover ro"&amp;"upas de cama sujas dos quartos para lavagem, repor suprimentos nos quartos, limpar corredores e elevadores, comunicar danos a equipamentos à pessoa responsável, verificar se os móveis, o prédio e os acessórios estão em boas condições e manter o ambiente l"&amp;"impo. Classificação da função: 37-2012.00 - Empregadas Domésticas e Auxiliares de Limpeza. A classificação e descrição da função/setor inclui informações gerais sobre o cargo, de acordo com o ONET/OES e o Sistema de Classificação Industrial da América do "&amp;"Norte. Consulte a Descrição das Funções e a Ordem de Serviço para obter mais informações. Requisitos da vaga Experiência necessária: Não Requisitos especiais: SEGUNDO TURNO - 17h às 1h Verificação de antecedentes criminais a ser realizada antes da contrat"&amp;"ação Número de horas por semana: 35 Horário de trabalho (início/término): 9h às 17h")</f>
        <v>Limpar móveis, cortinas e outras superfícies internas, pendurar cortinas quando necessário, separar, contar e dobrar roupas de cama, mover e organizar móveis e camas, limpar banheiros e paredes, aspirar o pó, esvaziar lixeiras e cestos de lixo, remover roupas de cama sujas dos quartos para lavagem, repor suprimentos nos quartos, limpar corredores e elevadores, comunicar danos a equipamentos à pessoa responsável, verificar se os móveis, o prédio e os acessórios estão em boas condições e manter o ambiente limpo. Classificação da função: 37-2012.00 - Empregadas Domésticas e Auxiliares de Limpeza. A classificação e descrição da função/setor inclui informações gerais sobre o cargo, de acordo com o ONET/OES e o Sistema de Classificação Industrial da América do Norte. Consulte a Descrição das Funções e a Ordem de Serviço para obter mais informações. Requisitos da vaga Experiência necessária: Não Requisitos especiais: SEGUNDO TURNO - 17h às 1h Verificação de antecedentes criminais a ser realizada antes da contratação Número de horas por semana: 35 Horário de trabalho (início/término): 9h às 17h</v>
      </c>
    </row>
    <row r="2609" ht="20.25" customHeight="1">
      <c r="A2609" s="8" t="s">
        <v>11231</v>
      </c>
      <c r="B2609" s="8" t="s">
        <v>11228</v>
      </c>
      <c r="C2609" s="8"/>
      <c r="D2609" s="8" t="s">
        <v>18</v>
      </c>
      <c r="E2609" s="9" t="s">
        <v>19</v>
      </c>
      <c r="F2609" s="9" t="s">
        <v>20</v>
      </c>
      <c r="G2609" s="9" t="s">
        <v>377</v>
      </c>
      <c r="H2609" s="8" t="s">
        <v>11229</v>
      </c>
      <c r="I2609" s="8" t="s">
        <v>11225</v>
      </c>
      <c r="J2609" s="9">
        <v>13.78</v>
      </c>
      <c r="K2609" s="9">
        <v>25.0</v>
      </c>
      <c r="L2609" s="8" t="s">
        <v>6141</v>
      </c>
      <c r="M2609" s="8" t="s">
        <v>11232</v>
      </c>
      <c r="N2609" s="7" t="str">
        <f>IFERROR(__xludf.DUMMYFUNCTION("GOOGLETRANSLATE(L2609, ""en"", ""pt"")"),"Serviços de limpeza")</f>
        <v>Serviços de limpeza</v>
      </c>
      <c r="O2609" s="7" t="str">
        <f>IFERROR(__xludf.DUMMYFUNCTION("IF(M2609="""","""",GOOGLETRANSLATE(M2609,""en"",""pt""))"),"Limpeza de móveis, cortinas e outras superfícies internas, colocação de cortinas quando necessário, separação, contagem e dobra de roupas de cama, movimentação e organização de móveis e camas, limpeza de banheiros e paredes, aspiração de pó, esvaziamento "&amp;"de lixeiras e cestos de lixo, remoção de roupas de cama sujas dos quartos para lavagem, reposição de suprimentos nos quartos, limpeza de corredores e elevadores, comunicação de equipamentos danificados à pessoa responsável, verificação de móveis, instalaç"&amp;"ões e acessórios para garantir que estejam em boas condições e manutenção da limpeza do ambiente. Classificação da vaga: 37-2012.00 - Empregadas Domésticas e Auxiliares de Limpeza. A classificação e descrição da vaga/setor inclui informações gerais sobre "&amp;"o cargo, de acordo com o ONET/OES e o Sistema de Classificação Industrial da América do Norte. Consulte as Funções e a Ordem de Serviço para obter mais informações. Requisitos da vaga: Experiência exigida: Não. Requisitos especiais: SEGUNDO TURNO - das 16"&amp;"h30 às 00h30 e verificação de antecedentes criminais a ser realizada antes da contratação. Número de horas por semana: 35 Horário de trabalho (início/término): 8h30 - 16h30")</f>
        <v>Limpeza de móveis, cortinas e outras superfícies internas, colocação de cortinas quando necessário, separação, contagem e dobra de roupas de cama, movimentação e organização de móveis e camas, limpeza de banheiros e paredes, aspiração de pó, esvaziamento de lixeiras e cestos de lixo, remoção de roupas de cama sujas dos quartos para lavagem, reposição de suprimentos nos quartos, limpeza de corredores e elevadores, comunicação de equipamentos danificados à pessoa responsável, verificação de móveis, instalações e acessórios para garantir que estejam em boas condições e manutenção da limpeza do ambiente. Classificação da vaga: 37-2012.00 - Empregadas Domésticas e Auxiliares de Limpeza. A classificação e descrição da vaga/setor inclui informações gerais sobre o cargo, de acordo com o ONET/OES e o Sistema de Classificação Industrial da América do Norte. Consulte as Funções e a Ordem de Serviço para obter mais informações. Requisitos da vaga: Experiência exigida: Não. Requisitos especiais: SEGUNDO TURNO - das 16h30 às 00h30 e verificação de antecedentes criminais a ser realizada antes da contratação. Número de horas por semana: 35 Horário de trabalho (início/término): 8h30 - 16h30</v>
      </c>
    </row>
    <row r="2610" ht="20.25" customHeight="1">
      <c r="A2610" s="3" t="s">
        <v>11233</v>
      </c>
      <c r="B2610" s="3" t="s">
        <v>11228</v>
      </c>
      <c r="C2610" s="3"/>
      <c r="D2610" s="3" t="s">
        <v>18</v>
      </c>
      <c r="E2610" s="4" t="s">
        <v>19</v>
      </c>
      <c r="F2610" s="4" t="s">
        <v>20</v>
      </c>
      <c r="G2610" s="4" t="s">
        <v>377</v>
      </c>
      <c r="H2610" s="3" t="s">
        <v>11229</v>
      </c>
      <c r="I2610" s="3" t="s">
        <v>11225</v>
      </c>
      <c r="J2610" s="4">
        <v>13.78</v>
      </c>
      <c r="K2610" s="4">
        <v>15.0</v>
      </c>
      <c r="L2610" s="3" t="s">
        <v>6141</v>
      </c>
      <c r="M2610" s="3" t="s">
        <v>11234</v>
      </c>
      <c r="N2610" s="7" t="str">
        <f>IFERROR(__xludf.DUMMYFUNCTION("GOOGLETRANSLATE(L2610, ""en"", ""pt"")"),"Serviços de limpeza")</f>
        <v>Serviços de limpeza</v>
      </c>
      <c r="O2610" s="7" t="str">
        <f>IFERROR(__xludf.DUMMYFUNCTION("IF(M2610="""","""",GOOGLETRANSLATE(M2610,""en"",""pt""))"),"Limpar móveis, cortinas e outras superfícies internas, pendurar cortinas quando necessário, separar, contar e dobrar roupas de cama, mover e organizar móveis e camas, limpar banheiros e paredes, aspirar o pó, esvaziar lixeiras e cestos de lixo, remover ro"&amp;"upas de cama sujas dos quartos para lavagem, repor suprimentos nos quartos, limpar corredores e elevadores, comunicar danos a equipamentos à pessoa responsável, verificar se os móveis, o prédio e os acessórios estão em boas condições e manter o ambiente l"&amp;"impo. Classificação da função: 37-2012.00 - Empregadas Domésticas e Auxiliares de Limpeza. A classificação e descrição da função/setor inclui informações gerais sobre o cargo, de acordo com o ONET/OES e o Sistema de Classificação Industrial da América do "&amp;"Norte. Consulte a Descrição das Funções e a Ordem de Serviço para obter mais informações. Requisitos da vaga Experiência necessária: Não Requisitos especiais: SEGUNDO TURNO: 16h30 às 00h30 Verificação de antecedentes criminais a ser realizada antes da con"&amp;"tratação Número de horas por semana: 35 Horário de trabalho (início/término): 8h30 às 16h30")</f>
        <v>Limpar móveis, cortinas e outras superfícies internas, pendurar cortinas quando necessário, separar, contar e dobrar roupas de cama, mover e organizar móveis e camas, limpar banheiros e paredes, aspirar o pó, esvaziar lixeiras e cestos de lixo, remover roupas de cama sujas dos quartos para lavagem, repor suprimentos nos quartos, limpar corredores e elevadores, comunicar danos a equipamentos à pessoa responsável, verificar se os móveis, o prédio e os acessórios estão em boas condições e manter o ambiente limpo. Classificação da função: 37-2012.00 - Empregadas Domésticas e Auxiliares de Limpeza. A classificação e descrição da função/setor inclui informações gerais sobre o cargo, de acordo com o ONET/OES e o Sistema de Classificação Industrial da América do Norte. Consulte a Descrição das Funções e a Ordem de Serviço para obter mais informações. Requisitos da vaga Experiência necessária: Não Requisitos especiais: SEGUNDO TURNO: 16h30 às 00h30 Verificação de antecedentes criminais a ser realizada antes da contratação Número de horas por semana: 35 Horário de trabalho (início/término): 8h30 às 16h30</v>
      </c>
    </row>
    <row r="2611" ht="20.25" customHeight="1">
      <c r="A2611" s="8" t="s">
        <v>11235</v>
      </c>
      <c r="B2611" s="8" t="s">
        <v>11228</v>
      </c>
      <c r="C2611" s="8"/>
      <c r="D2611" s="8" t="s">
        <v>18</v>
      </c>
      <c r="E2611" s="9" t="s">
        <v>19</v>
      </c>
      <c r="F2611" s="9" t="s">
        <v>20</v>
      </c>
      <c r="G2611" s="9" t="s">
        <v>377</v>
      </c>
      <c r="H2611" s="8" t="s">
        <v>11229</v>
      </c>
      <c r="I2611" s="8" t="s">
        <v>11225</v>
      </c>
      <c r="J2611" s="9">
        <v>15.11</v>
      </c>
      <c r="K2611" s="9">
        <v>12.0</v>
      </c>
      <c r="L2611" s="8" t="s">
        <v>11236</v>
      </c>
      <c r="M2611" s="8" t="s">
        <v>11237</v>
      </c>
      <c r="N2611" s="7" t="str">
        <f>IFERROR(__xludf.DUMMYFUNCTION("GOOGLETRANSLATE(L2611, ""en"", ""pt"")"),"Atendente de brinquedos")</f>
        <v>Atendente de brinquedos</v>
      </c>
      <c r="O2611" s="7" t="str">
        <f>IFERROR(__xludf.DUMMYFUNCTION("IF(M2611="""","""",GOOGLETRANSLATE(M2611,""en"",""pt""))"),"Verifique se todas as funções de comunicação atribuídas funcionaram corretamente. Garanta a segurança dos visitantes, mantenha a ordem nas atrações, forneça informações, anuncie e demonstre os procedimentos de segurança e emergência. Utilize excelentes ha"&amp;"bilidades de comunicação ao interagir com os clientes. Observe as atividades nas instalações recreativas e responda adequadamente, de acordo com os procedimentos operacionais locais, em caso de emergência. Classificação da vaga: 39-3091.00 - Atendentes de"&amp;" Parques de Diversões e Recreação. A classificação e descrição da vaga/setor incluem informações gerais sobre o cargo, de acordo com o ONET/OES e o Sistema de Classificação Industrial da América do Norte (NAICS). Consulte as Funções e a Ordem de Serviço p"&amp;"ara obter mais informações. Requisitos da vaga: Experiência necessária: Não. Requisitos especiais: SEGUNDO TURNO: 15h às 22h e verificação de antecedentes criminais pré-contratação. Número de horas por semana: 35. Horário de trabalho (início/término): 9h "&amp;"às 15h.")</f>
        <v>Verifique se todas as funções de comunicação atribuídas funcionaram corretamente. Garanta a segurança dos visitantes, mantenha a ordem nas atrações, forneça informações, anuncie e demonstre os procedimentos de segurança e emergência. Utilize excelentes habilidades de comunicação ao interagir com os clientes. Observe as atividades nas instalações recreativas e responda adequadamente, de acordo com os procedimentos operacionais locais, em caso de emergência. Classificação da vaga: 39-3091.00 - Atendentes de Parques de Diversões e Recreação. A classificação e descrição da vaga/setor incluem informações gerais sobre o cargo, de acordo com o ONET/OES e o Sistema de Classificação Industrial da América do Norte (NAICS). Consulte as Funções e a Ordem de Serviço para obter mais informações. Requisitos da vaga: Experiência necessária: Não. Requisitos especiais: SEGUNDO TURNO: 15h às 22h e verificação de antecedentes criminais pré-contratação. Número de horas por semana: 35. Horário de trabalho (início/término): 9h às 15h.</v>
      </c>
    </row>
    <row r="2612" ht="20.25" customHeight="1">
      <c r="A2612" s="3" t="s">
        <v>11238</v>
      </c>
      <c r="B2612" s="3" t="s">
        <v>11228</v>
      </c>
      <c r="C2612" s="3"/>
      <c r="D2612" s="3" t="s">
        <v>133</v>
      </c>
      <c r="E2612" s="4" t="s">
        <v>19</v>
      </c>
      <c r="F2612" s="4" t="s">
        <v>20</v>
      </c>
      <c r="G2612" s="4" t="s">
        <v>377</v>
      </c>
      <c r="H2612" s="3" t="s">
        <v>11229</v>
      </c>
      <c r="I2612" s="3" t="s">
        <v>11225</v>
      </c>
      <c r="J2612" s="4">
        <v>17.15</v>
      </c>
      <c r="K2612" s="4">
        <v>20.0</v>
      </c>
      <c r="L2612" s="3" t="s">
        <v>11239</v>
      </c>
      <c r="M2612" s="3" t="s">
        <v>11240</v>
      </c>
      <c r="N2612" s="7" t="str">
        <f>IFERROR(__xludf.DUMMYFUNCTION("GOOGLETRANSLATE(L2612, ""en"", ""pt"")"),"Serviços domésticos/empregada doméstica/faxineira")</f>
        <v>Serviços domésticos/empregada doméstica/faxineira</v>
      </c>
      <c r="O2612" s="7" t="str">
        <f>IFERROR(__xludf.DUMMYFUNCTION("IF(M2612="""","""",GOOGLETRANSLATE(M2612,""en"",""pt""))"),"Limpar móveis, cortinas e outras superfícies internas, pendurar cortinas quando necessário, separar, contar e dobrar roupas de cama, mover e organizar móveis e camas, limpar banheiros e paredes, aspirar o pó, esvaziar lixeiras e cestos de lixo, remover ro"&amp;"upas de cama sujas dos quartos para lavagem, repor suprimentos nos quartos, limpar corredores e elevadores, comunicar danos a equipamentos à pessoa responsável, verificar se os móveis, o prédio e os acessórios estão em boas condições e manter o ambiente l"&amp;"impo. Classificação da função: 37-2012.00 - Empregadas Domésticas e Auxiliares de Limpeza. A classificação e descrição da função/setor inclui informações gerais sobre o cargo, de acordo com o ONET/OES e o Sistema de Classificação Industrial da América do "&amp;"Norte. Consulte a Descrição das Funções e a Ordem de Serviço para obter mais informações. Requisitos da vaga Experiência necessária: Não Requisitos especiais: SEGUNDO TURNO: 17h às 1h Verificação de antecedentes criminais será realizada antes da contrataç"&amp;"ão Número de horas por semana: 35 Horário de trabalho (início/término): 9h às 17h")</f>
        <v>Limpar móveis, cortinas e outras superfícies internas, pendurar cortinas quando necessário, separar, contar e dobrar roupas de cama, mover e organizar móveis e camas, limpar banheiros e paredes, aspirar o pó, esvaziar lixeiras e cestos de lixo, remover roupas de cama sujas dos quartos para lavagem, repor suprimentos nos quartos, limpar corredores e elevadores, comunicar danos a equipamentos à pessoa responsável, verificar se os móveis, o prédio e os acessórios estão em boas condições e manter o ambiente limpo. Classificação da função: 37-2012.00 - Empregadas Domésticas e Auxiliares de Limpeza. A classificação e descrição da função/setor inclui informações gerais sobre o cargo, de acordo com o ONET/OES e o Sistema de Classificação Industrial da América do Norte. Consulte a Descrição das Funções e a Ordem de Serviço para obter mais informações. Requisitos da vaga Experiência necessária: Não Requisitos especiais: SEGUNDO TURNO: 17h às 1h Verificação de antecedentes criminais será realizada antes da contratação Número de horas por semana: 35 Horário de trabalho (início/término): 9h às 17h</v>
      </c>
    </row>
    <row r="2613" ht="20.25" customHeight="1">
      <c r="A2613" s="8" t="s">
        <v>11241</v>
      </c>
      <c r="B2613" s="8" t="s">
        <v>11242</v>
      </c>
      <c r="C2613" s="8" t="s">
        <v>11243</v>
      </c>
      <c r="D2613" s="8" t="s">
        <v>64</v>
      </c>
      <c r="E2613" s="9" t="s">
        <v>19</v>
      </c>
      <c r="F2613" s="9" t="s">
        <v>20</v>
      </c>
      <c r="G2613" s="9" t="s">
        <v>377</v>
      </c>
      <c r="H2613" s="8" t="s">
        <v>11244</v>
      </c>
      <c r="I2613" s="8" t="s">
        <v>11245</v>
      </c>
      <c r="J2613" s="9">
        <v>30.94</v>
      </c>
      <c r="K2613" s="9">
        <v>1.0</v>
      </c>
      <c r="L2613" s="8" t="s">
        <v>8545</v>
      </c>
      <c r="M2613" s="8" t="s">
        <v>11246</v>
      </c>
      <c r="N2613" s="7" t="str">
        <f>IFERROR(__xludf.DUMMYFUNCTION("GOOGLETRANSLATE(L2613, ""en"", ""pt"")"),"Auxiliar Administrativo")</f>
        <v>Auxiliar Administrativo</v>
      </c>
      <c r="O2613" s="7" t="str">
        <f>IFERROR(__xludf.DUMMYFUNCTION("IF(M2613="""","""",GOOGLETRANSLATE(M2613,""en"",""pt""))"),"***Resposta à Solicitação de Informações*** - Atender telefonemas e fornecer informações aos clientes ou anotar recados. - Operar sistemas de e-mail e coordenar o fluxo de informações, internamente ou com outras organizações. - Manter calendários de agend"&amp;"amento e eventos. - Preencher formulários de acordo com os procedimentos da empresa. Utilizamos quatro tipos principais de formulários internos pelos quais o(a) funcionário(a) será responsável: 1) Planilhas de agendamento de funcionários que organizam, at"&amp;"ribuem e controlam as horas trabalhadas de vendedores e outros funcionários e contratados independentes que montam e operam nossos quiosques de smoothies e açaí em eventos em diversos locais. 2) Relatórios de estoque que nos permitem manter quantidades ad"&amp;"equadas de diferentes ingredientes e outros consumíveis em estoque, antecipar as necessidades de reposição e aprimorar receitas. 3) Pedidos de compra para reposição de ingredientes e outros consumíveis com base em nossos relatórios de estoque. 4) Relatóri"&amp;"os de vendas que rastreiam quais de nossos produtos nossos clientes estão comprando e nos ajudam a calcular receitas e realizar o monitoramento de prevenção de perdas. - Preparar materiais para eventos, como folhetos ou anúncios. Especificamente, o(a) fun"&amp;"cionário(a) utilizará o Adobe Acrobat e o Microsoft Works Suite no computador do escritório para criar os menus dos nossos quiosques, bem como materiais promocionais, incluindo folhetos com preços especiais e etiquetas de papelão com a nossa identidade vi"&amp;"sual sazonal ou específica para eventos, que serão fixadas em copos de smoothie e tigelas de açaí. Esses itens físicos serão impressos/fabricados por fornecedores terceirizados. - Encomendar e distribuir os suprimentos necessários para as operações de ven"&amp;"das da empresa. - Realizar funções de folha de pagamento, como manter o controle de ponto, processar e enviar a folha de pagamento. - Enviar materiais promocionais. - Comunicar-se com funcionários em toda a estrutura organizacional da empresa, incluindo a"&amp;"queles que falam português exclusivamente ou como língua materna. Frequentemente contratamos vendedores autônomos, incluindo alguns que falam português como língua materna e precisam se comunicar nesse idioma de forma eficaz. Além disso, o(a) funcionário("&amp;"a) deverá interagir com nossos fornecedores de açaí em português, tanto por escrito, via e-mails (traduzindo e-mails em português para inglês e, em seguida, traduzindo as respostas em inglês para português para enviar aos fornecedores) e pedidos de compra"&amp;" em português, quanto verbalmente, por telefone. O açaí é um ingrediente fundamental para nossos smoothies e bowls, portanto, manter um relacionamento sólido e funcional com nossos fornecedores por meio de uma comunicação facilitada é um aspecto essencial"&amp;" do nosso negócio. ***Original*** O(A) funcionário(a) será responsável pelas seguintes tarefas: - Atender telefonemas e fornecer informações aos interlocutores ou anotar recados; - Operar sistemas de e-mail e coordenar o fluxo de informações, internamente"&amp;" ou com outras organizações. - Manter agendas e calendários de eventos - Preencher formulários de acordo com os procedimentos da empresa - Preparar materiais para eventos, como folhetos ou anúncios - Encomendar e distribuir suprimentos necessários para as"&amp;" operações de vendas da empresa - Enviar materiais promocionais - Comunicar-se com funcionários em toda a estrutura organizacional da empresa, incluindo aqueles que falam português exclusivamente ou como língua materna. Classificação do Cargo: 27-1024.00 "&amp;"- Designers Gráficos A classificação e descrição do cargo/setor inclui informações gerais sobre a posição, de acordo com o ONET/OES e o Sistema de Classificação Industrial da América do Norte. Consulte as Funções e a Ordem de Serviço para obter mais infor"&amp;"mações. Requisitos do Cargo Experiência Necessária: Não Requisitos Especiais: O funcionário deve falar e escrever português fluentemente. Número de Horas por Semana: 40 Horário de Trabalho (Início/Término): 9h às 17h")</f>
        <v>***Resposta à Solicitação de Informações*** - Atender telefonemas e fornecer informações aos clientes ou anotar recados. - Operar sistemas de e-mail e coordenar o fluxo de informações, internamente ou com outras organizações. - Manter calendários de agendamento e eventos. - Preencher formulários de acordo com os procedimentos da empresa. Utilizamos quatro tipos principais de formulários internos pelos quais o(a) funcionário(a) será responsável: 1) Planilhas de agendamento de funcionários que organizam, atribuem e controlam as horas trabalhadas de vendedores e outros funcionários e contratados independentes que montam e operam nossos quiosques de smoothies e açaí em eventos em diversos locais. 2) Relatórios de estoque que nos permitem manter quantidades adequadas de diferentes ingredientes e outros consumíveis em estoque, antecipar as necessidades de reposição e aprimorar receitas. 3) Pedidos de compra para reposição de ingredientes e outros consumíveis com base em nossos relatórios de estoque. 4) Relatórios de vendas que rastreiam quais de nossos produtos nossos clientes estão comprando e nos ajudam a calcular receitas e realizar o monitoramento de prevenção de perdas. - Preparar materiais para eventos, como folhetos ou anúncios. Especificamente, o(a) funcionário(a) utilizará o Adobe Acrobat e o Microsoft Works Suite no computador do escritório para criar os menus dos nossos quiosques, bem como materiais promocionais, incluindo folhetos com preços especiais e etiquetas de papelão com a nossa identidade visual sazonal ou específica para eventos, que serão fixadas em copos de smoothie e tigelas de açaí. Esses itens físicos serão impressos/fabricados por fornecedores terceirizados. - Encomendar e distribuir os suprimentos necessários para as operações de vendas da empresa. - Realizar funções de folha de pagamento, como manter o controle de ponto, processar e enviar a folha de pagamento. - Enviar materiais promocionais. - Comunicar-se com funcionários em toda a estrutura organizacional da empresa, incluindo aqueles que falam português exclusivamente ou como língua materna. Frequentemente contratamos vendedores autônomos, incluindo alguns que falam português como língua materna e precisam se comunicar nesse idioma de forma eficaz. Além disso, o(a) funcionário(a) deverá interagir com nossos fornecedores de açaí em português, tanto por escrito, via e-mails (traduzindo e-mails em português para inglês e, em seguida, traduzindo as respostas em inglês para português para enviar aos fornecedores) e pedidos de compra em português, quanto verbalmente, por telefone. O açaí é um ingrediente fundamental para nossos smoothies e bowls, portanto, manter um relacionamento sólido e funcional com nossos fornecedores por meio de uma comunicação facilitada é um aspecto essencial do nosso negócio. ***Original*** O(A) funcionário(a) será responsável pelas seguintes tarefas: - Atender telefonemas e fornecer informações aos interlocutores ou anotar recados; - Operar sistemas de e-mail e coordenar o fluxo de informações, internamente ou com outras organizações. - Manter agendas e calendários de eventos - Preencher formulários de acordo com os procedimentos da empresa - Preparar materiais para eventos, como folhetos ou anúncios - Encomendar e distribuir suprimentos necessários para as operações de vendas da empresa - Enviar materiais promocionais - Comunicar-se com funcionários em toda a estrutura organizacional da empresa, incluindo aqueles que falam português exclusivamente ou como língua materna. Classificação do Cargo: 27-1024.00 - Designers Gráficos A classificação e descrição do cargo/setor inclui informações gerais sobre a posição, de acordo com o ONET/OES e o Sistema de Classificação Industrial da América do Norte. Consulte as Funções e a Ordem de Serviço para obter mais informações. Requisitos do Cargo Experiência Necessária: Não Requisitos Especiais: O funcionário deve falar e escrever português fluentemente. Número de Horas por Semana: 40 Horário de Trabalho (Início/Término): 9h às 17h</v>
      </c>
    </row>
    <row r="2614" ht="20.25" customHeight="1">
      <c r="A2614" s="3" t="s">
        <v>11247</v>
      </c>
      <c r="B2614" s="3" t="s">
        <v>11248</v>
      </c>
      <c r="C2614" s="3" t="s">
        <v>11178</v>
      </c>
      <c r="D2614" s="3" t="s">
        <v>87</v>
      </c>
      <c r="E2614" s="4" t="s">
        <v>19</v>
      </c>
      <c r="F2614" s="4" t="s">
        <v>20</v>
      </c>
      <c r="G2614" s="4" t="s">
        <v>155</v>
      </c>
      <c r="H2614" s="3" t="s">
        <v>11249</v>
      </c>
      <c r="I2614" s="3" t="s">
        <v>11250</v>
      </c>
      <c r="J2614" s="4">
        <v>17.64</v>
      </c>
      <c r="K2614" s="4">
        <v>18.0</v>
      </c>
      <c r="L2614" s="3" t="s">
        <v>586</v>
      </c>
      <c r="M2614" s="3" t="s">
        <v>11251</v>
      </c>
      <c r="N2614" s="7" t="str">
        <f>IFERROR(__xludf.DUMMYFUNCTION("GOOGLETRANSLATE(L2614, ""en"", ""pt"")"),"Cozinheiro de linha")</f>
        <v>Cozinheiro de linha</v>
      </c>
      <c r="O2614" s="7" t="str">
        <f>IFERROR(__xludf.DUMMYFUNCTION("IF(M2614="""","""",GOOGLETRANSLATE(M2614,""en"",""pt""))"),"O(A) profissional será responsável pelo preparo de alimentos seguindo receitas padronizadas, garantindo um ambiente de trabalho seguro e higiênico. Esta função exige eficiência em um ambiente de cozinha dinâmico e sob pressão. O(A) candidato(a) deve entre"&amp;"gar consistentemente alimentos de alta qualidade, apoiar os membros da equipe e manter a limpeza e a organização. Manter altos padrões de preparo e apresentação de alimentos diariamente. Comunicar-se de forma eficaz e solicitar ajuda quando necessário. Pr"&amp;"eparar todos os alimentos de acordo com as especificações, padrões e receitas da empresa. Etiquetar e datar todos os alimentos preparados corretamente e seguir os princípios FIFO (Primeiro a Entrar, Primeiro a Sair). Garantir que todas as áreas de preparo"&amp;" de alimentos estejam em conformidade com os padrões de higiene e limpeza. Monitorar a qualidade dos alimentos e garantir que as quantidades corretas sejam preparadas. Apoiar a equipe da linha de produção conforme necessário e executar tarefas adicionais "&amp;"atribuídas pelo(a) Chef de plantão. Operar a estação designada pelo(a) Chef de plantão. Utilizar o conhecimento básico de equipamentos de cozinha para preparar uma variedade de itens do cardápio. Organizar as estações com os ingredientes e utensílios apro"&amp;"priados. Auxiliar no treinamento e desenvolvimento de novos cozinheiros quando necessário. Demonstrar excelente higiene pessoal e habilidades de trabalho em equipe. Armazenar os alimentos adequadamente nas áreas designadas. Demonstrar forte desejo de cres"&amp;"cer na área culinária. Classificação da vaga: 35-2014.00 - Cozinheiros(as) de Restaurante. A classificação e descrição da vaga/setor inclui informações gerais sobre o cargo, conforme o ONET/OES e o Sistema de Classificação Industrial da América do Norte ("&amp;"NAICS). Consulte as Funções e a Ordem de Serviço para obter mais informações. Requisitos da vaga: Experiência necessária: Sim. Meses de experiência necessários: 6. Requisitos especiais: Nenhum. Número de horas por semana: 53. Horário de trabalho (início/t"&amp;"érmino): 11h00 - 20h30.")</f>
        <v>O(A) profissional será responsável pelo preparo de alimentos seguindo receitas padronizadas, garantindo um ambiente de trabalho seguro e higiênico. Esta função exige eficiência em um ambiente de cozinha dinâmico e sob pressão. O(A) candidato(a) deve entregar consistentemente alimentos de alta qualidade, apoiar os membros da equipe e manter a limpeza e a organização. Manter altos padrões de preparo e apresentação de alimentos diariamente. Comunicar-se de forma eficaz e solicitar ajuda quando necessário. Preparar todos os alimentos de acordo com as especificações, padrões e receitas da empresa. Etiquetar e datar todos os alimentos preparados corretamente e seguir os princípios FIFO (Primeiro a Entrar, Primeiro a Sair). Garantir que todas as áreas de preparo de alimentos estejam em conformidade com os padrões de higiene e limpeza. Monitorar a qualidade dos alimentos e garantir que as quantidades corretas sejam preparadas. Apoiar a equipe da linha de produção conforme necessário e executar tarefas adicionais atribuídas pelo(a) Chef de plantão. Operar a estação designada pelo(a) Chef de plantão. Utilizar o conhecimento básico de equipamentos de cozinha para preparar uma variedade de itens do cardápio. Organizar as estações com os ingredientes e utensílios apropriados. Auxiliar no treinamento e desenvolvimento de novos cozinheiros quando necessário. Demonstrar excelente higiene pessoal e habilidades de trabalho em equipe. Armazenar os alimentos adequadamente nas áreas designadas. Demonstrar forte desejo de crescer na área culinária. Classificação da vaga: 35-2014.00 - Cozinheiros(as) de Restaurante. A classificação e descrição da vaga/setor inclui informações gerais sobre o cargo, conforme o ONET/OES e o Sistema de Classificação Industrial da América do Norte (NAICS). Consulte as Funções e a Ordem de Serviço para obter mais informações. Requisitos da vaga: Experiência necessária: Sim. Meses de experiência necessários: 6. Requisitos especiais: Nenhum. Número de horas por semana: 53. Horário de trabalho (início/término): 11h00 - 20h30.</v>
      </c>
    </row>
    <row r="2615" ht="20.25" customHeight="1">
      <c r="A2615" s="8" t="s">
        <v>11252</v>
      </c>
      <c r="B2615" s="8" t="s">
        <v>11253</v>
      </c>
      <c r="C2615" s="8" t="s">
        <v>4247</v>
      </c>
      <c r="D2615" s="8" t="s">
        <v>532</v>
      </c>
      <c r="E2615" s="9" t="s">
        <v>19</v>
      </c>
      <c r="F2615" s="9" t="s">
        <v>20</v>
      </c>
      <c r="G2615" s="9" t="s">
        <v>11254</v>
      </c>
      <c r="H2615" s="8" t="s">
        <v>11255</v>
      </c>
      <c r="I2615" s="8" t="s">
        <v>11256</v>
      </c>
      <c r="J2615" s="9">
        <v>15.85</v>
      </c>
      <c r="K2615" s="9">
        <v>80.0</v>
      </c>
      <c r="L2615" s="8" t="s">
        <v>5612</v>
      </c>
      <c r="M2615" s="8" t="s">
        <v>11257</v>
      </c>
      <c r="N2615" s="7" t="str">
        <f>IFERROR(__xludf.DUMMYFUNCTION("GOOGLETRANSLATE(L2615, ""en"", ""pt"")"),"35-3023.00 Atendentes de Fast Food e Balcão – Concessão Móvel de Alimentos")</f>
        <v>35-3023.00 Atendentes de Fast Food e Balcão – Concessão Móvel de Alimentos</v>
      </c>
      <c r="O2615" s="7" t="str">
        <f>IFERROR(__xludf.DUMMYFUNCTION("IF(M2615="""","""",GOOGLETRANSLATE(M2615,""en"",""pt""))"),"Executar diversas tarefas de atendimento em barracas de comida móveis. Organizar mesas e decorações de acordo com as instruções. Comunicar-se com os clientes sobre os pedidos. Receber pagamentos dos clientes. Servir comidas, bebidas ou sobremesas aos clie"&amp;"ntes. Preparar os itens do cardápio diário e cozinhar alimentos e bebidas simples, utilizando as devidas precauções e medidas de segurança. Limpar e organizar as áreas de alimentação, serviço e cozinha. Realizar tarefas de limpeza para manter os equipamen"&amp;"tos e instalações higienizados. Classificação da vaga: 35-2019.00 - Cozinheiros, Outros. A classificação e descrição da vaga/setor incluem informações gerais sobre o cargo, de acordo com o ONET/OES e o Sistema de Classificação Industrial da América do Nor"&amp;"te. Consulte as Funções e a Ordem de Serviço para obter mais informações. Requisitos da vaga: Experiência exigida: Não. Requisitos especiais: Testes aleatórios de drogas e verificação de antecedentes criminais após a contratação podem ser exigidos, sem cu"&amp;"sto para o trabalhador. A vaga exige que o candidato seja qualificado, esteja pronto, disposto, apto e disponível para desempenhar as funções durante todo o período de emprego nos locais de trabalho designados e para seguir as normas do local de trabalho."&amp;" Número de horas por semana: 40 Horário de trabalho (início/término): 13h00 - 22h00")</f>
        <v>Executar diversas tarefas de atendimento em barracas de comida móveis. Organizar mesas e decorações de acordo com as instruções. Comunicar-se com os clientes sobre os pedidos. Receber pagamentos dos clientes. Servir comidas, bebidas ou sobremesas aos clientes. Preparar os itens do cardápio diário e cozinhar alimentos e bebidas simples, utilizando as devidas precauções e medidas de segurança. Limpar e organizar as áreas de alimentação, serviço e cozinha. Realizar tarefas de limpeza para manter os equipamentos e instalações higienizados. Classificação da vaga: 35-2019.00 - Cozinheiros, Outros. A classificação e descrição da vaga/setor incluem informações gerais sobre o cargo, de acordo com o ONET/OES e o Sistema de Classificação Industrial da América do Norte. Consulte as Funções e a Ordem de Serviço para obter mais informações. Requisitos da vaga: Experiência exigida: Não. Requisitos especiais: Testes aleatórios de drogas e verificação de antecedentes criminais após a contratação podem ser exigidos, sem custo para o trabalhador. A vaga exige que o candidato seja qualificado, esteja pronto, disposto, apto e disponível para desempenhar as funções durante todo o período de emprego nos locais de trabalho designados e para seguir as normas do local de trabalho. Número de horas por semana: 40 Horário de trabalho (início/término): 13h00 - 22h00</v>
      </c>
    </row>
    <row r="2616" ht="20.25" customHeight="1">
      <c r="A2616" s="3" t="s">
        <v>11258</v>
      </c>
      <c r="B2616" s="3" t="s">
        <v>8559</v>
      </c>
      <c r="C2616" s="3" t="s">
        <v>8560</v>
      </c>
      <c r="D2616" s="3" t="s">
        <v>55</v>
      </c>
      <c r="E2616" s="4" t="s">
        <v>19</v>
      </c>
      <c r="F2616" s="4" t="s">
        <v>20</v>
      </c>
      <c r="G2616" s="4" t="s">
        <v>155</v>
      </c>
      <c r="H2616" s="3" t="s">
        <v>8561</v>
      </c>
      <c r="I2616" s="3" t="s">
        <v>8562</v>
      </c>
      <c r="J2616" s="4">
        <v>15.38</v>
      </c>
      <c r="K2616" s="4">
        <v>50.0</v>
      </c>
      <c r="L2616" s="3" t="s">
        <v>8563</v>
      </c>
      <c r="M2616" s="3" t="s">
        <v>11259</v>
      </c>
      <c r="N2616" s="7" t="str">
        <f>IFERROR(__xludf.DUMMYFUNCTION("GOOGLETRANSLATE(L2616, ""en"", ""pt"")"),"Auxiliar de Limpeza para o Setor Hoteleiro e Comercial")</f>
        <v>Auxiliar de Limpeza para o Setor Hoteleiro e Comercial</v>
      </c>
      <c r="O2616" s="7" t="str">
        <f>IFERROR(__xludf.DUMMYFUNCTION("IF(M2616="""","""",GOOGLETRANSLATE(M2616,""en"",""pt""))"),"As funções incluem varrer, passar pano, aspirar, tirar o pó, higienizar e desinfetar. Limpar janelas, saídas de ar no teto e móveis. Remover o lixo do local para uma lixeira ou área de descarte. Trocar a roupa de cama e lavar roupas. Quaisquer outras tare"&amp;"fas conforme designadas. Classificação do Cargo: 37-2012.00 - Empregadas Domésticas e Auxiliares de Limpeza. A classificação e descrição do cargo/setor inclui informações gerais sobre a posição, de acordo com o ONET/OES e o Sistema de Classificação Indust"&amp;"rial da América do Norte. Consulte as Funções e a Ordem de Serviço para obter mais informações. Requisitos do Cargo: Experiência Necessária: Não. Número de Horas por Semana: 35. Horário de Trabalho (Início/Término): 9h às 16h.")</f>
        <v>As funções incluem varrer, passar pano, aspirar, tirar o pó, higienizar e desinfetar. Limpar janelas, saídas de ar no teto e móveis. Remover o lixo do local para uma lixeira ou área de descarte. Trocar a roupa de cama e lavar roupas. Quaisquer outras tarefas conforme designadas. Classificação do Cargo: 37-2012.00 - Empregadas Domésticas e Auxiliares de Limpeza. A classificação e descrição do cargo/setor inclui informações gerais sobre a posição, de acordo com o ONET/OES e o Sistema de Classificação Industrial da América do Norte. Consulte as Funções e a Ordem de Serviço para obter mais informações. Requisitos do Cargo: Experiência Necessária: Não. Número de Horas por Semana: 35. Horário de Trabalho (Início/Término): 9h às 16h.</v>
      </c>
    </row>
    <row r="2617" ht="20.25" customHeight="1">
      <c r="A2617" s="8" t="s">
        <v>11260</v>
      </c>
      <c r="B2617" s="8" t="s">
        <v>11261</v>
      </c>
      <c r="C2617" s="8" t="s">
        <v>7286</v>
      </c>
      <c r="D2617" s="8" t="s">
        <v>299</v>
      </c>
      <c r="E2617" s="9" t="s">
        <v>19</v>
      </c>
      <c r="F2617" s="9" t="s">
        <v>20</v>
      </c>
      <c r="G2617" s="9" t="s">
        <v>72</v>
      </c>
      <c r="H2617" s="8" t="s">
        <v>11262</v>
      </c>
      <c r="I2617" s="8" t="s">
        <v>11263</v>
      </c>
      <c r="J2617" s="9">
        <v>21.18</v>
      </c>
      <c r="K2617" s="9">
        <v>20.0</v>
      </c>
      <c r="L2617" s="8" t="s">
        <v>11264</v>
      </c>
      <c r="M2617" s="8" t="s">
        <v>11265</v>
      </c>
      <c r="N2617" s="7" t="str">
        <f>IFERROR(__xludf.DUMMYFUNCTION("GOOGLETRANSLATE(L2617, ""en"", ""pt"")"),"Ajudante de carpinteiro")</f>
        <v>Ajudante de carpinteiro</v>
      </c>
      <c r="O2617" s="7" t="str">
        <f>IFERROR(__xludf.DUMMYFUNCTION("IF(M2617="""","""",GOOGLETRANSLATE(M2617,""en"",""pt""))"),"Instalar componentes estruturais de madeira, movimentar materiais no canteiro de obras e manter a área de trabalho limpa e organizada. Montar e posicionar escoras. Limpar áreas de trabalho, máquinas ou equipamentos para manter um local de trabalho limpo e"&amp;" seguro. Fixar madeira com cola, parafusos, cavilhas ou pregos e instalar ferragens. Selecionar ferramentas, equipamentos ou materiais no estoque e transportá-los para o local de trabalho. Alinhar, endireitar, aprumar ou esquadrejar formas para instalação"&amp;". Cortar madeira ou painéis nas dimensões especificadas. Furar madeira. Posicionar e segurar vigas, madeira ou painéis no lugar para fixação ou corte. Compreender e observar todos os procedimentos e práticas de segurança para evitar lesões a si mesmo ou a"&amp;"os colegas de trabalho. Pode executar outras tarefas de acordo com a norma 47-3012, Ajudantes - Carpinteiros. F.a.5a-F.a.6b: 35+ horas/semana. Turnos de 9 horas entre 7h e 16h30. 5 a 6 dias por semana, de segunda a sábado. A escala de trabalho (incluindo "&amp;"os dias de trabalho) pode variar. Pode ser necessário trabalhar mais horas do que as garantidas. Pode ser necessário fazer horas extras. As horas extras variam e devem ser previamente aprovadas. F.c.1: O Auxiliar Temporário de Carpintaria H-2B desempenhar"&amp;"á suas funções em 130 Delaware Street SE, Lonsdale, MN 55046 e em diversos locais de trabalho dentro da área de emprego pretendida, incluindo os seguintes condados: Rice, Dakota, Hennepin, Ramsey, Scott e Washington. F.d.1: O empregador oferecerá transpor"&amp;"te diário de ida e volta para os locais de trabalho, ou o funcionário poderá se apresentar diretamente no local de trabalho por conta própria. F.d.4: Os trabalhadores têm a opção de moradia fornecida pelo empregador por US$ 150 por semana e, se optarem po"&amp;"r essa modalidade, o empregador deduzirá os custos do salário do trabalhador. Os trabalhadores também têm a opção de providenciar sua própria acomodação. Classificação da Função: 47-3012.00 - Ajudantes de Carpinteiro. A classificação e descrição da função"&amp;"/setor inclui informações gerais sobre o cargo, de acordo com o ONET/OES e o Sistema de Classificação Industrial da América do Norte (NAICS). Consulte as Funções e a Ordem de Serviço para obter mais informações. Requisitos da Função: Experiência Necessári"&amp;"a: Não. Requisitos Especiais: Ensino médio completo, GED ou equivalente estrangeiro. Não é necessário treinamento ou experiência prévia. Treinamento no local de trabalho será fornecido. Conhecimento de materiais, métodos e ferramentas utilizados na constr"&amp;"ução civil. Capacidade de analisar informações e avaliar resultados para escolher a melhor solução e resolver problemas. Bom trabalho em equipe e colaboração. Forte capacidade de resolução de problemas, multitarefa e organização. Deve ser capaz de levanta"&amp;"r e transportar materiais e equipamentos com peso de até 23 kg (50 libras) frequentemente e até 45 kg (100 libras) ocasionalmente; longos períodos em pé e flexões, agachamentos e alcance são necessários diariamente. É necessária amplitude total de movimen"&amp;"tos físicos para operar ferramentas manuais e elétricas, pulverizadores e equipamentos relacionados à construção. É necessário ter capacidade para se movimentar por todo o edifício, incluindo subir escadas e trabalhar em altura utilizando escadas ou andai"&amp;"mes, para realizar trabalhos relacionados à construção. O trabalho é realizado em ambientes internos e externos, ocasionalmente em locais empoeirados, barulhentos ou que possam apresentar riscos ocupacionais. Número de horas por semana: 35. Horário de tra"&amp;"balho (início/término): 7h às 16h30.")</f>
        <v>Instalar componentes estruturais de madeira, movimentar materiais no canteiro de obras e manter a área de trabalho limpa e organizada. Montar e posicionar escoras. Limpar áreas de trabalho, máquinas ou equipamentos para manter um local de trabalho limpo e seguro. Fixar madeira com cola, parafusos, cavilhas ou pregos e instalar ferragens. Selecionar ferramentas, equipamentos ou materiais no estoque e transportá-los para o local de trabalho. Alinhar, endireitar, aprumar ou esquadrejar formas para instalação. Cortar madeira ou painéis nas dimensões especificadas. Furar madeira. Posicionar e segurar vigas, madeira ou painéis no lugar para fixação ou corte. Compreender e observar todos os procedimentos e práticas de segurança para evitar lesões a si mesmo ou aos colegas de trabalho. Pode executar outras tarefas de acordo com a norma 47-3012, Ajudantes - Carpinteiros. F.a.5a-F.a.6b: 35+ horas/semana. Turnos de 9 horas entre 7h e 16h30. 5 a 6 dias por semana, de segunda a sábado. A escala de trabalho (incluindo os dias de trabalho) pode variar. Pode ser necessário trabalhar mais horas do que as garantidas. Pode ser necessário fazer horas extras. As horas extras variam e devem ser previamente aprovadas. F.c.1: O Auxiliar Temporário de Carpintaria H-2B desempenhará suas funções em 130 Delaware Street SE, Lonsdale, MN 55046 e em diversos locais de trabalho dentro da área de emprego pretendida, incluindo os seguintes condados: Rice, Dakota, Hennepin, Ramsey, Scott e Washington. F.d.1: O empregador oferecerá transporte diário de ida e volta para os locais de trabalho, ou o funcionário poderá se apresentar diretamente no local de trabalho por conta própria. F.d.4: Os trabalhadores têm a opção de moradia fornecida pelo empregador por US$ 150 por semana e, se optarem por essa modalidade, o empregador deduzirá os custos do salário do trabalhador. Os trabalhadores também têm a opção de providenciar sua própria acomodação. Classificação da Função: 47-3012.00 - Ajudantes de Carpinteiro. A classificação e descrição da função/setor inclui informações gerais sobre o cargo, de acordo com o ONET/OES e o Sistema de Classificação Industrial da América do Norte (NAICS). Consulte as Funções e a Ordem de Serviço para obter mais informações. Requisitos da Função: Experiência Necessária: Não. Requisitos Especiais: Ensino médio completo, GED ou equivalente estrangeiro. Não é necessário treinamento ou experiência prévia. Treinamento no local de trabalho será fornecido. Conhecimento de materiais, métodos e ferramentas utilizados na construção civil. Capacidade de analisar informações e avaliar resultados para escolher a melhor solução e resolver problemas. Bom trabalho em equipe e colaboração. Forte capacidade de resolução de problemas, multitarefa e organização. Deve ser capaz de levantar e transportar materiais e equipamentos com peso de até 23 kg (50 libras) frequentemente e até 45 kg (100 libras) ocasionalmente; longos períodos em pé e flexões, agachamentos e alcance são necessários diariamente. É necessária amplitude total de movimentos físicos para operar ferramentas manuais e elétricas, pulverizadores e equipamentos relacionados à construção. É necessário ter capacidade para se movimentar por todo o edifício, incluindo subir escadas e trabalhar em altura utilizando escadas ou andaimes, para realizar trabalhos relacionados à construção. O trabalho é realizado em ambientes internos e externos, ocasionalmente em locais empoeirados, barulhentos ou que possam apresentar riscos ocupacionais. Número de horas por semana: 35. Horário de trabalho (início/término): 7h às 16h30.</v>
      </c>
    </row>
    <row r="2618" ht="20.25" customHeight="1">
      <c r="A2618" s="3" t="s">
        <v>11266</v>
      </c>
      <c r="B2618" s="3" t="s">
        <v>11267</v>
      </c>
      <c r="C2618" s="3" t="s">
        <v>9054</v>
      </c>
      <c r="D2618" s="3" t="s">
        <v>102</v>
      </c>
      <c r="E2618" s="4" t="s">
        <v>19</v>
      </c>
      <c r="F2618" s="4" t="s">
        <v>20</v>
      </c>
      <c r="G2618" s="4" t="s">
        <v>155</v>
      </c>
      <c r="H2618" s="3" t="s">
        <v>11268</v>
      </c>
      <c r="I2618" s="3" t="s">
        <v>11269</v>
      </c>
      <c r="J2618" s="4">
        <v>15.0</v>
      </c>
      <c r="K2618" s="4">
        <v>36.0</v>
      </c>
      <c r="L2618" s="3" t="s">
        <v>6849</v>
      </c>
      <c r="M2618" s="3" t="s">
        <v>11270</v>
      </c>
      <c r="N2618" s="7" t="str">
        <f>IFERROR(__xludf.DUMMYFUNCTION("GOOGLETRANSLATE(L2618, ""en"", ""pt"")"),"Produtos de limpeza")</f>
        <v>Produtos de limpeza</v>
      </c>
      <c r="O2618" s="7" t="str">
        <f>IFERROR(__xludf.DUMMYFUNCTION("IF(M2618="""","""",GOOGLETRANSLATE(M2618,""en"",""pt""))"),"Manter os edifícios limpos e organizados. Executar tarefas de limpeza pesada, como limpeza de pisos, lavagem de carpetes, limpeza de paredes e vidros e remoção de lixo. As tarefas podem incluir a manutenção de fornos e caldeiras, a realização de atividade"&amp;"s de manutenção de rotina, a notificação da gerência sobre a necessidade de reparos e a limpeza de neve ou detritos da calçada. Classificação da vaga: 37-2011.00 - Zeladores e Faxineiros, exceto empregadas domésticas e faxineiras. A classificação e descri"&amp;"ção da vaga/setor incluem informações gerais sobre o cargo, de acordo com o ONET/OES e o Sistema de Classificação Industrial da América do Norte (NAICS). Consulte as Funções e a Ordem de Serviço para obter mais informações. Requisitos da vaga: Experiência"&amp;" necessária: Não. Requisitos especiais: O treinamento tem duração de 5 dias, não 1 mês completo. Número de horas por semana: 40. Horário de trabalho (início/término): 9h às 17h.")</f>
        <v>Manter os edifícios limpos e organizados. Executar tarefas de limpeza pesada, como limpeza de pisos, lavagem de carpetes, limpeza de paredes e vidros e remoção de lixo. As tarefas podem incluir a manutenção de fornos e caldeiras, a realização de atividades de manutenção de rotina, a notificação da gerência sobre a necessidade de reparos e a limpeza de neve ou detritos da calçada. Classificação da vaga: 37-2011.00 - Zeladores e Faxineiros, exceto empregadas domésticas e faxineiras. A classificação e descrição da vaga/setor incluem informações gerais sobre o cargo, de acordo com o ONET/OES e o Sistema de Classificação Industrial da América do Norte (NAICS). Consulte as Funções e a Ordem de Serviço para obter mais informações. Requisitos da vaga: Experiência necessária: Não. Requisitos especiais: O treinamento tem duração de 5 dias, não 1 mês completo. Número de horas por semana: 40. Horário de trabalho (início/término): 9h às 17h.</v>
      </c>
    </row>
    <row r="2619" ht="20.25" customHeight="1">
      <c r="A2619" s="8" t="s">
        <v>11271</v>
      </c>
      <c r="B2619" s="8" t="s">
        <v>11272</v>
      </c>
      <c r="C2619" s="8" t="s">
        <v>10337</v>
      </c>
      <c r="D2619" s="8" t="s">
        <v>55</v>
      </c>
      <c r="E2619" s="9" t="s">
        <v>19</v>
      </c>
      <c r="F2619" s="9" t="s">
        <v>20</v>
      </c>
      <c r="G2619" s="9" t="s">
        <v>155</v>
      </c>
      <c r="H2619" s="8" t="s">
        <v>11273</v>
      </c>
      <c r="I2619" s="8" t="s">
        <v>11274</v>
      </c>
      <c r="J2619" s="9">
        <v>20.5</v>
      </c>
      <c r="K2619" s="9">
        <v>17.0</v>
      </c>
      <c r="L2619" s="8" t="s">
        <v>676</v>
      </c>
      <c r="M2619" s="8" t="s">
        <v>11275</v>
      </c>
      <c r="N2619" s="7" t="str">
        <f>IFERROR(__xludf.DUMMYFUNCTION("GOOGLETRANSLATE(L2619, ""en"", ""pt"")"),"Trabalhadores de paisagismo e manutenção de jardins")</f>
        <v>Trabalhadores de paisagismo e manutenção de jardins</v>
      </c>
      <c r="O2619" s="7" t="str">
        <f>IFERROR(__xludf.DUMMYFUNCTION("IF(M2619="""","""",GOOGLETRANSLATE(M2619,""en"",""pt""))"),"Os trabalhadores de paisagismo em geral irão cuidar do paisagismo e da manutenção de terrenos utilizando ferramentas manuais ou elétricas, incluindo cortadores de grama (de empurrar e de montar), aparadores de grama, bordadeiras, sopradores de folhas, car"&amp;"rinhos de mão, vassouras, ancinhos, pás e enxadas. Os trabalhadores normalmente executam uma variedade de tarefas que podem incluir uma combinação das seguintes: colocação de grama em placas, corte de grama, poda, plantio, irrigação, escavação, aeração, s"&amp;"emeadura, capina, cobertura morta e rastelagem. Os trabalhadores também realizarão a remoção de neve e gelo utilizando os mesmos equipamentos usados ​​para o trabalho de paisagismo. Além disso, os trabalhadores processarão troncos de árvores em feixes de "&amp;"lenha definidos pela empresa, com embalagem e etiquetagem personalizadas. Após o processamento, os trabalhadores utilizarão veículos da empresa para entregar a lenha em feixes. O Peso Bruto Total do Veículo (PBT) varia de caminhonetes com rodas duplas a c"&amp;"aminhonetes sem rodas duplas, mas a faixa é de 11.000 a 14.000 libras (aproximadamente 5.000 a 6.350 kg). Se forem necessários reboques, todos os reboques têm PBT inferior a 10.000 libras (aproximadamente 4.500 kg). Em qualquer combinação de caminhão/rebo"&amp;"que, nada excederá o limite de 26.001 lb (11.793 kg) exigido pela CNH categoria E. A minicarregadeira utilizará um garfo para paletes ou uma caçamba com garra. Esses acessórios também serão utilizados em minicarregadeiras (minicarregadeiras com operador e"&amp;"m pé). As minicarregadeiras são usadas na fase inicial do transporte e como mecanismo de sustentação para permitir que os trabalhadores usem motosserras para desmembrar os troncos maiores e elevar os feixes de toras do chão para um carregamento organizado"&amp;" nos caminhões/reboques para transporte. Os trabalhadores processam os troncos de árvores em feixes de lenha definidos pela empresa, com embalagem e etiquetagem personalizadas. Após o processamento, os trabalhadores usarão veículos da empresa para entrega"&amp;"r a lenha em feixes. O fluxo de trabalho de processamento de lenha começa com troncos de árvores secas que são entregues no local de trabalho pelo cliente da Pinnacle. O tronco selecionado será transportado usando máquinas (minicarregadeira, minicarregade"&amp;"ira com operador em pé) equipadas com uma caçamba com garra para uma área inicial de estocagem de toras. Em seguida, os troncos são cortados em segmentos menores utilizando motosserras. Os troncos segmentados são colocados manualmente em um rachador de le"&amp;"nha mecânico, que os divide/processa em pedaços do tamanho tradicional de lenha. Esses pedaços divididos são depositados em uma área designada, composta exclusivamente por lenha rachada. Em seguida, são carregados manualmente em um sistema de esteiras que"&amp;" os transporta para uma área secundária de preparação para o agrupamento. Nessa etapa, o trabalhador é responsável por selecionar a quantidade apropriada de lenha por feixe, afixar um logotipo de papel com a marca na parte superior e operar uma máquina de"&amp;" embalagem para envolver o feixe em plástico transparente. Os feixes finalizados são então empilhados em uma área de armazenamento designada para distribuição futura. O trabalhador também carregará caminhões basculantes e/ou reboques da empresa com os fei"&amp;"xes finalizados para entrega. Os equipamentos que os trabalhadores utilizarão para realizar as tarefas de coleta de lenha são semelhantes aos usados ​​pelos funcionários em suas atividades gerais de paisagismo, e incluem: minicarregadeira, minicarregadeir"&amp;"a (com operador em pé), motosserra, caminhões basculantes, reboques, além dos equipamentos de proteção individual padrão – luvas, protetores auriculares, proteção ocular e facial, botas com biqueira de aço ou biqueira composta. Os tipos de veículos que os"&amp;" trabalhadores dirigirão para entregar a lenha incluem caminhonetes, caminhões basculantes, caminhões plataforma/com carroceria aberta, reboques basculantes, reboques fechados e reboques abertos. Os equipamentos que os trabalhadores utilizam para remover "&amp;"neve e gelo incluem pás e sopradores de neve manuais. Esses trabalhadores serão responsáveis ​​por limpar entradas de garagem, calçadas e caminhos de pedestres em propriedades residenciais e comerciais. Alguns clientes solicitam remoção contínua de neve d"&amp;"urante períodos prolongados de mau tempo, enquanto outros solicitam um serviço único após o término da tempestade. **SE NECESSÁRIO, O EMPREGADOR AUXILIARÁ OS TRABALHADORES ESTRANGEIROS E NÃO RESIDENTES NOS EUA CONTRATADOS DE ACORDO COM ESTA ORDEM DE SERVI"&amp;"ÇO A OBTER ALOJAMENTO PAGO PELO TRABALHADOR, NÃO EXCEDENDO O VALOR JUSTO DE MERCADO RAZOÁVEL, COM BASE NO NÚMERO DE OCUPANTES. Classificação do Cargo: 37-3011.00 - Trabalhadores de Paisagismo e Manutenção de Jardins. A classificação e descrição do cargo/s"&amp;"etor incluem informações gerais sobre a posição, conforme o ONET/OES e o Sistema de Classificação Industrial da América do Norte. Consulte as Funções e a Ordem de Serviço para obter mais informações. Requisitos do Cargo Experiência Necessária: Não. Requis"&amp;"itos Especiais: DEVE SER CAPAZ DE LEVANTAR E CARREGAR 23 KG. FERRAMENTAS E EQUIPAMENTOS FORNECIDOS GRATUITAMENTE. 40 HORAS POR SEMANA, DAS 7H ÀS 15H30. TRABALHO AOS FINS DE SEMANA PODE SER NECESSÁRIO, DEPENDENDO DAS CONDIÇÕES CLIMÁTICAS. Horas extras pode"&amp;"m estar disponíveis, mas não são garantidas. Número de horas por semana: 40. Horário de trabalho (início/término): 7h às 15h30.")</f>
        <v>Os trabalhadores de paisagismo em geral irão cuidar do paisagismo e da manutenção de terrenos utilizando ferramentas manuais ou elétricas, incluindo cortadores de grama (de empurrar e de montar), aparadores de grama, bordadeiras, sopradores de folhas, carrinhos de mão, vassouras, ancinhos, pás e enxadas. Os trabalhadores normalmente executam uma variedade de tarefas que podem incluir uma combinação das seguintes: colocação de grama em placas, corte de grama, poda, plantio, irrigação, escavação, aeração, semeadura, capina, cobertura morta e rastelagem. Os trabalhadores também realizarão a remoção de neve e gelo utilizando os mesmos equipamentos usados ​​para o trabalho de paisagismo. Além disso, os trabalhadores processarão troncos de árvores em feixes de lenha definidos pela empresa, com embalagem e etiquetagem personalizadas. Após o processamento, os trabalhadores utilizarão veículos da empresa para entregar a lenha em feixes. O Peso Bruto Total do Veículo (PBT) varia de caminhonetes com rodas duplas a caminhonetes sem rodas duplas, mas a faixa é de 11.000 a 14.000 libras (aproximadamente 5.000 a 6.350 kg). Se forem necessários reboques, todos os reboques têm PBT inferior a 10.000 libras (aproximadamente 4.500 kg). Em qualquer combinação de caminhão/reboque, nada excederá o limite de 26.001 lb (11.793 kg) exigido pela CNH categoria E. A minicarregadeira utilizará um garfo para paletes ou uma caçamba com garra. Esses acessórios também serão utilizados em minicarregadeiras (minicarregadeiras com operador em pé). As minicarregadeiras são usadas na fase inicial do transporte e como mecanismo de sustentação para permitir que os trabalhadores usem motosserras para desmembrar os troncos maiores e elevar os feixes de toras do chão para um carregamento organizado nos caminhões/reboques para transporte. Os trabalhadores processam os troncos de árvores em feixes de lenha definidos pela empresa, com embalagem e etiquetagem personalizadas. Após o processamento, os trabalhadores usarão veículos da empresa para entregar a lenha em feixes. O fluxo de trabalho de processamento de lenha começa com troncos de árvores secas que são entregues no local de trabalho pelo cliente da Pinnacle. O tronco selecionado será transportado usando máquinas (minicarregadeira, minicarregadeira com operador em pé) equipadas com uma caçamba com garra para uma área inicial de estocagem de toras. Em seguida, os troncos são cortados em segmentos menores utilizando motosserras. Os troncos segmentados são colocados manualmente em um rachador de lenha mecânico, que os divide/processa em pedaços do tamanho tradicional de lenha. Esses pedaços divididos são depositados em uma área designada, composta exclusivamente por lenha rachada. Em seguida, são carregados manualmente em um sistema de esteiras que os transporta para uma área secundária de preparação para o agrupamento. Nessa etapa, o trabalhador é responsável por selecionar a quantidade apropriada de lenha por feixe, afixar um logotipo de papel com a marca na parte superior e operar uma máquina de embalagem para envolver o feixe em plástico transparente. Os feixes finalizados são então empilhados em uma área de armazenamento designada para distribuição futura. O trabalhador também carregará caminhões basculantes e/ou reboques da empresa com os feixes finalizados para entrega. Os equipamentos que os trabalhadores utilizarão para realizar as tarefas de coleta de lenha são semelhantes aos usados ​​pelos funcionários em suas atividades gerais de paisagismo, e incluem: minicarregadeira, minicarregadeira (com operador em pé), motosserra, caminhões basculantes, reboques, além dos equipamentos de proteção individual padrão – luvas, protetores auriculares, proteção ocular e facial, botas com biqueira de aço ou biqueira composta. Os tipos de veículos que os trabalhadores dirigirão para entregar a lenha incluem caminhonetes, caminhões basculantes, caminhões plataforma/com carroceria aberta, reboques basculantes, reboques fechados e reboques abertos. Os equipamentos que os trabalhadores utilizam para remover neve e gelo incluem pás e sopradores de neve manuais. Esses trabalhadores serão responsáveis ​​por limpar entradas de garagem, calçadas e caminhos de pedestres em propriedades residenciais e comerciais. Alguns clientes solicitam remoção contínua de neve durante períodos prolongados de mau tempo, enquanto outros solicitam um serviço único após o término da tempestade. **SE NECESSÁRIO, O EMPREGADOR AUXILIARÁ OS TRABALHADORES ESTRANGEIROS E NÃO RESIDENTES NOS EUA CONTRATADOS DE ACORDO COM ESTA ORDEM DE SERVIÇO A OBTER ALOJAMENTO PAGO PELO TRABALHADOR, NÃO EXCEDENDO O VALOR JUSTO DE MERCADO RAZOÁVEL, COM BASE NO NÚMERO DE OCUPANTES. Classificação do Cargo: 37-3011.00 - Trabalhadores de Paisagismo e Manutenção de Jardins. A classificação e descrição do cargo/setor incluem informações gerais sobre a posição, conforme o ONET/OES e o Sistema de Classificação Industrial da América do Norte. Consulte as Funções e a Ordem de Serviço para obter mais informações. Requisitos do Cargo Experiência Necessária: Não. Requisitos Especiais: DEVE SER CAPAZ DE LEVANTAR E CARREGAR 23 KG. FERRAMENTAS E EQUIPAMENTOS FORNECIDOS GRATUITAMENTE. 40 HORAS POR SEMANA, DAS 7H ÀS 15H30. TRABALHO AOS FINS DE SEMANA PODE SER NECESSÁRIO, DEPENDENDO DAS CONDIÇÕES CLIMÁTICAS. Horas extras podem estar disponíveis, mas não são garantidas. Número de horas por semana: 40. Horário de trabalho (início/término): 7h às 15h30.</v>
      </c>
    </row>
    <row r="2620" ht="20.25" customHeight="1">
      <c r="A2620" s="3" t="s">
        <v>11276</v>
      </c>
      <c r="B2620" s="3" t="s">
        <v>11277</v>
      </c>
      <c r="C2620" s="3" t="s">
        <v>9739</v>
      </c>
      <c r="D2620" s="3" t="s">
        <v>71</v>
      </c>
      <c r="E2620" s="4" t="s">
        <v>19</v>
      </c>
      <c r="F2620" s="4" t="s">
        <v>20</v>
      </c>
      <c r="G2620" s="4" t="s">
        <v>524</v>
      </c>
      <c r="H2620" s="3" t="s">
        <v>11278</v>
      </c>
      <c r="I2620" s="3" t="s">
        <v>11279</v>
      </c>
      <c r="J2620" s="4">
        <v>17.67</v>
      </c>
      <c r="K2620" s="4">
        <v>7.0</v>
      </c>
      <c r="L2620" s="3" t="s">
        <v>7109</v>
      </c>
      <c r="M2620" s="3" t="s">
        <v>11280</v>
      </c>
      <c r="N2620" s="7" t="str">
        <f>IFERROR(__xludf.DUMMYFUNCTION("GOOGLETRANSLATE(L2620, ""en"", ""pt"")"),"Recepcionista")</f>
        <v>Recepcionista</v>
      </c>
      <c r="O2620" s="7" t="str">
        <f>IFERROR(__xludf.DUMMYFUNCTION("IF(M2620="""","""",GOOGLETRANSLATE(M2620,""en"",""pt""))"),"Funções: Acomodar os clientes do clube, registrando e atribuindo quartos aos hóspedes, entregando chaves ou cartões de acesso, transmitindo e recebendo mensagens, mantendo registros de quartos ocupados e contas dos hóspedes, fazendo e confirmando reservas"&amp;" e apresentando contas e recebendo pagamentos dos hóspedes na saída. Requisitos: Não é necessário ter escolaridade mínima; não é necessária experiência. Capacidade de se comunicar em inglês. Os funcionários receberão treinamento no local de trabalho para "&amp;"desempenhar as funções atribuídas. Salário: US$ 16,22 por hora; horas extras a US$ 24,33 por hora. Aumentos/bônus podem ser oferecidos a qualquer funcionário com base no desempenho, habilidade e tempo de serviço. Turnos: 40 horas/semana; horas extras conf"&amp;"orme necessário; turnos variáveis ​​ao longo dos 7 dias da semana. Turnos variáveis ​​de 8 horas, 7 dias por semana, entre 6h e 23h. Classificação da vaga: 43-4081.00 - Recepcionistas de Hotel, Motel e Resort. A classificação e descrição da vaga/setor inc"&amp;"luem informações gerais sobre o cargo, de acordo com o ONET/OES e o Sistema de Classificação Industrial da América do Norte (NAICS). Consulte as Funções e a Ordem de Serviço para obter mais informações. Requisitos da vaga: Experiência exigida: Não. Requis"&amp;"itos especiais: Não há exigência de escolaridade mínima; não é necessária experiência. Capacidade de se comunicar em inglês. Os funcionários receberão treinamento no local de trabalho para desempenhar as funções atribuídas. Número de horas por semana: 40."&amp;" Horário de trabalho (início/término): 6h às 23h.")</f>
        <v>Funções: Acomodar os clientes do clube, registrando e atribuindo quartos aos hóspedes, entregando chaves ou cartões de acesso, transmitindo e recebendo mensagens, mantendo registros de quartos ocupados e contas dos hóspedes, fazendo e confirmando reservas e apresentando contas e recebendo pagamentos dos hóspedes na saída. Requisitos: Não é necessário ter escolaridade mínima; não é necessária experiência. Capacidade de se comunicar em inglês. Os funcionários receberão treinamento no local de trabalho para desempenhar as funções atribuídas. Salário: US$ 16,22 por hora; horas extras a US$ 24,33 por hora. Aumentos/bônus podem ser oferecidos a qualquer funcionário com base no desempenho, habilidade e tempo de serviço. Turnos: 40 horas/semana; horas extras conforme necessário; turnos variáveis ​​ao longo dos 7 dias da semana. Turnos variáveis ​​de 8 horas, 7 dias por semana, entre 6h e 23h. Classificação da vaga: 43-4081.00 - Recepcionistas de Hotel, Motel e Resort. A classificação e descrição da vaga/setor incluem informações gerais sobre o cargo, de acordo com o ONET/OES e o Sistema de Classificação Industrial da América do Norte (NAICS). Consulte as Funções e a Ordem de Serviço para obter mais informações. Requisitos da vaga: Experiência exigida: Não. Requisitos especiais: Não há exigência de escolaridade mínima; não é necessária experiência. Capacidade de se comunicar em inglês. Os funcionários receberão treinamento no local de trabalho para desempenhar as funções atribuídas. Número de horas por semana: 40. Horário de trabalho (início/término): 6h às 23h.</v>
      </c>
    </row>
    <row r="2621" ht="20.25" customHeight="1">
      <c r="A2621" s="8" t="s">
        <v>11281</v>
      </c>
      <c r="B2621" s="8" t="s">
        <v>11277</v>
      </c>
      <c r="C2621" s="8" t="s">
        <v>9739</v>
      </c>
      <c r="D2621" s="8" t="s">
        <v>71</v>
      </c>
      <c r="E2621" s="9" t="s">
        <v>19</v>
      </c>
      <c r="F2621" s="9" t="s">
        <v>20</v>
      </c>
      <c r="G2621" s="9" t="s">
        <v>524</v>
      </c>
      <c r="H2621" s="8" t="s">
        <v>11278</v>
      </c>
      <c r="I2621" s="8" t="s">
        <v>11279</v>
      </c>
      <c r="J2621" s="9">
        <v>20.13</v>
      </c>
      <c r="K2621" s="9">
        <v>12.0</v>
      </c>
      <c r="L2621" s="8" t="s">
        <v>1206</v>
      </c>
      <c r="M2621" s="8" t="s">
        <v>11282</v>
      </c>
      <c r="N2621" s="7" t="str">
        <f>IFERROR(__xludf.DUMMYFUNCTION("GOOGLETRANSLATE(L2621, ""en"", ""pt"")"),"Servidor")</f>
        <v>Servidor</v>
      </c>
      <c r="O2621" s="7" t="str">
        <f>IFERROR(__xludf.DUMMYFUNCTION("IF(M2621="""","""",GOOGLETRANSLATE(M2621,""en"",""pt""))"),"Funções: Receber e servir pedidos de comida e bebida; realizar a montagem e desmontagem do serviço de alimentação e outras atividades diversas; poderá ser necessário trabalhar em ambientes externos e em eventos de banquetes; poderá ser necessário servir c"&amp;"lientes utilizando carrinho de golfe. Requisitos: Não é necessário ter escolaridade mínima; não é necessária experiência. Capacidade de se comunicar em inglês. Os funcionários receberão treinamento no local de trabalho para desempenhar as funções atribuíd"&amp;"as. Salário: US$ 20,13 por hora. Hora extra: US$ 30,20 por hora. Aumentos/bônus poderão ser oferecidos a qualquer funcionário com base no desempenho, habilidade e tempo de serviço. Turnos: 40 horas/semana; horas extras conforme necessário; turnos variávei"&amp;"s ​​ao longo dos 7 dias da semana; turnos variáveis ​​de 8 horas ao longo dos 7 dias da semana, entre 6h e 23h. Classificação da vaga: 35-3031.00 - Garçons e Garçonetes. A classificação e descrição da vaga/setor inclui informações gerais sobre o cargo, de"&amp;" acordo com o ONET/OES e o Sistema de Classificação Industrial da América do Norte (NAICS). Consulte a Descrição das Funções e a Ordem de Serviço para obter mais informações. Requisitos da Vaga Experiência Necessária: Não Requisitos Especiais: Não há exig"&amp;"ência mínima de escolaridade; não é necessária experiência. Capacidade de se comunicar em inglês. Os funcionários receberão treinamento no local de trabalho para desempenhar as funções atribuídas. Número de Horas por Semana: 40 Horário de Trabalho (Início"&amp;"/Término): 6h às 23h")</f>
        <v>Funções: Receber e servir pedidos de comida e bebida; realizar a montagem e desmontagem do serviço de alimentação e outras atividades diversas; poderá ser necessário trabalhar em ambientes externos e em eventos de banquetes; poderá ser necessário servir clientes utilizando carrinho de golfe. Requisitos: Não é necessário ter escolaridade mínima; não é necessária experiência. Capacidade de se comunicar em inglês. Os funcionários receberão treinamento no local de trabalho para desempenhar as funções atribuídas. Salário: US$ 20,13 por hora. Hora extra: US$ 30,20 por hora. Aumentos/bônus poderão ser oferecidos a qualquer funcionário com base no desempenho, habilidade e tempo de serviço. Turnos: 40 horas/semana; horas extras conforme necessário; turnos variáveis ​​ao longo dos 7 dias da semana; turnos variáveis ​​de 8 horas ao longo dos 7 dias da semana, entre 6h e 23h. Classificação da vaga: 35-3031.00 - Garçons e Garçonetes. A classificação e descrição da vaga/setor inclui informações gerais sobre o cargo, de acordo com o ONET/OES e o Sistema de Classificação Industrial da América do Norte (NAICS). Consulte a Descrição das Funções e a Ordem de Serviço para obter mais informações. Requisitos da Vaga Experiência Necessária: Não Requisitos Especiais: Não há exigência mínima de escolaridade; não é necessária experiência. Capacidade de se comunicar em inglês. Os funcionários receberão treinamento no local de trabalho para desempenhar as funções atribuídas. Número de Horas por Semana: 40 Horário de Trabalho (Início/Término): 6h às 23h</v>
      </c>
    </row>
    <row r="2622" ht="20.25" customHeight="1">
      <c r="A2622" s="3" t="s">
        <v>11283</v>
      </c>
      <c r="B2622" s="3" t="s">
        <v>11277</v>
      </c>
      <c r="C2622" s="3" t="s">
        <v>9739</v>
      </c>
      <c r="D2622" s="3" t="s">
        <v>71</v>
      </c>
      <c r="E2622" s="4" t="s">
        <v>19</v>
      </c>
      <c r="F2622" s="4" t="s">
        <v>20</v>
      </c>
      <c r="G2622" s="4" t="s">
        <v>524</v>
      </c>
      <c r="H2622" s="3" t="s">
        <v>11278</v>
      </c>
      <c r="I2622" s="3" t="s">
        <v>11279</v>
      </c>
      <c r="J2622" s="4">
        <v>19.88</v>
      </c>
      <c r="K2622" s="4">
        <v>6.0</v>
      </c>
      <c r="L2622" s="3" t="s">
        <v>586</v>
      </c>
      <c r="M2622" s="3" t="s">
        <v>11284</v>
      </c>
      <c r="N2622" s="7" t="str">
        <f>IFERROR(__xludf.DUMMYFUNCTION("GOOGLETRANSLATE(L2622, ""en"", ""pt"")"),"Cozinheiro de linha")</f>
        <v>Cozinheiro de linha</v>
      </c>
      <c r="O2622" s="7" t="str">
        <f>IFERROR(__xludf.DUMMYFUNCTION("IF(M2622="""","""",GOOGLETRANSLATE(M2622,""en"",""pt""))"),"Funções: Prepara, tempera e cozinha sopas, carnes, legumes, frutas, sobremesas e outros alimentos diversos para consumo; observa as diretrizes da receita e os procedimentos de higiene. Requisitos: Não há escolaridade mínima exigida; não é necessária exper"&amp;"iência. Capacidade de se comunicar em inglês. Os funcionários receberão treinamento no local de trabalho para desempenhar as funções atribuídas. Salário: US$ 19,88 por hora. Hora extra: US$ 29,82 por hora. Aumentos/bônus podem ser oferecidos a qualquer fu"&amp;"ncionário com base no desempenho, habilidade e tempo de serviço. Turnos: 40 horas/semana; horas extras conforme necessário; turnos variáveis ​​ao longo dos 7 dias da semana; turnos variáveis ​​de 8 horas ao longo dos 7 dias da semana, entre 6h e 23h. Clas"&amp;"sificação do Cargo: 35-2014.00 - Cozinheiros, Restaurante. A classificação e descrição do cargo/setor incluem informações gerais sobre a posição, de acordo com o ONET/OES e o Sistema de Classificação Industrial da América do Norte. Consulte as Funções e a"&amp;" Ordem de Serviço para obter mais informações. Requisitos da vaga Experiência necessária: Não Requisitos especiais: Não há exigência mínima de escolaridade; não é necessária experiência. Capacidade de se comunicar em inglês. Os funcionários receberão trei"&amp;"namento no local de trabalho para desempenhar as funções atribuídas. Número de horas por semana: 40 Horário de trabalho (início/término): 6h às 23h")</f>
        <v>Funções: Prepara, tempera e cozinha sopas, carnes, legumes, frutas, sobremesas e outros alimentos diversos para consumo; observa as diretrizes da receita e os procedimentos de higiene. Requisitos: Não há escolaridade mínima exigida; não é necessária experiência. Capacidade de se comunicar em inglês. Os funcionários receberão treinamento no local de trabalho para desempenhar as funções atribuídas. Salário: US$ 19,88 por hora. Hora extra: US$ 29,82 por hora. Aumentos/bônus podem ser oferecidos a qualquer funcionário com base no desempenho, habilidade e tempo de serviço. Turnos: 40 horas/semana; horas extras conforme necessário; turnos variáveis ​​ao longo dos 7 dias da semana; turnos variáveis ​​de 8 horas ao longo dos 7 dias da semana, entre 6h e 23h. Classificação do Cargo: 35-2014.00 - Cozinheiros, Restaurante. A classificação e descrição do cargo/setor incluem informações gerais sobre a posição, de acordo com o ONET/OES e o Sistema de Classificação Industrial da América do Norte. Consulte as Funções e a Ordem de Serviço para obter mais informações. Requisitos da vaga Experiência necessária: Não Requisitos especiais: Não há exigência mínima de escolaridade; não é necessária experiência. Capacidade de se comunicar em inglês. Os funcionários receberão treinamento no local de trabalho para desempenhar as funções atribuídas. Número de horas por semana: 40 Horário de trabalho (início/término): 6h às 23h</v>
      </c>
    </row>
    <row r="2623" ht="20.25" customHeight="1">
      <c r="A2623" s="8" t="s">
        <v>11285</v>
      </c>
      <c r="B2623" s="8" t="s">
        <v>11286</v>
      </c>
      <c r="C2623" s="8" t="s">
        <v>9739</v>
      </c>
      <c r="D2623" s="8" t="s">
        <v>1103</v>
      </c>
      <c r="E2623" s="9" t="s">
        <v>19</v>
      </c>
      <c r="F2623" s="9" t="s">
        <v>20</v>
      </c>
      <c r="G2623" s="9" t="s">
        <v>404</v>
      </c>
      <c r="H2623" s="8" t="s">
        <v>11287</v>
      </c>
      <c r="I2623" s="8" t="s">
        <v>11288</v>
      </c>
      <c r="J2623" s="9">
        <v>20.5</v>
      </c>
      <c r="K2623" s="9">
        <v>7.0</v>
      </c>
      <c r="L2623" s="8" t="s">
        <v>387</v>
      </c>
      <c r="M2623" s="8" t="s">
        <v>11289</v>
      </c>
      <c r="N2623" s="7" t="str">
        <f>IFERROR(__xludf.DUMMYFUNCTION("GOOGLETRANSLATE(L2623, ""en"", ""pt"")"),"Ordem de serviço não disponível")</f>
        <v>Ordem de serviço não disponível</v>
      </c>
      <c r="O2623" s="7" t="str">
        <f>IFERROR(__xludf.DUMMYFUNCTION("IF(M2623="""","""",GOOGLETRANSLATE(M2623,""en"",""pt""))"),"Responsabilidades: Preparar os ingredientes para o cozimento, incluindo porcionar, cortar e armazenar os alimentos. Lavar e descascar frutas e verduras frescas. Pesar, medir e misturar os ingredientes. Preparar e cozinhar os alimentos de acordo com as rec"&amp;"eitas, padrões de qualidade, padrões de apresentação e lista de verificação de preparação de alimentos. Preparar alimentos frios. Operar fornos, fogões, grelhas, micro-ondas e fritadeiras. Testar os alimentos para determinar se estão suficientemente cozid"&amp;"os. Monitorar a qualidade dos alimentos durante o preparo. Montar e desmontar a estação de trabalho. Servir os alimentos em porções adequadas em recipientes apropriados. Lavar e desinfetar a área da cozinha, mesas, utensílios, facas e equipamentos. Verifi"&amp;"car e garantir a temperatura correta dos eletrodomésticos e dos alimentos. Outras tarefas relacionadas. Requisitos: Ensino Médio completo ou equivalente. Um ano de experiência na área. Capacidade de ficar em pé, sentado ou caminhar por longos períodos ou "&amp;"durante todo o turno de trabalho. Alcançar objetos acima da cabeça e abaixo dos joelhos, incluindo agachar, torcer, puxar e curvar-se. Mover, levantar, carregar, empurrar, puxar e colocar objetos com peso igual ou inferior a 11 kg sem auxílio. É necessári"&amp;"a verificação de antecedentes criminais antes da contratação; testes toxicológicos pós-contratação serão realizados somente em caso de suspeita razoável. Salário: US$ 20,50 a US$ 24,50 por hora. Horas extras: US$ 30,75 a US$ 36,75 por hora. Elegível para "&amp;"diversos benefícios, incluindo previdência privada, reembolso de mensalidades escolares/universitárias, programa de bem-estar TakeCare, descontos no Marriott, descontos em passes de esqui, refeição gratuita por turno e prêmio de Anfitrião do Trimestre. Pa"&amp;"ra obter a lista completa de benefícios, entre em contato com o RH. Turnos: 5h às 13h30; 6h às 14h30; 7h às 15h30; 8h às 16h30; 13h às 21h30; 14h às 22h30; 15h às 23h30. 16h00 – 00h30; 22h30 – 07h00. (5 dias rotativos, incluindo fins de semana). Classific"&amp;"ação da vaga: 35-2014.00 - Cozinheiros, Restaurante. A classificação e descrição da vaga/setor incluem informações gerais sobre o cargo, de acordo com o ONET/OES e o Sistema de Classificação Industrial da América do Norte. Consulte as Funções e a Ordem de"&amp;" Serviço para obter mais informações. Requisitos da vaga: Experiência necessária: Sim. Meses de experiência necessários: 12. Requisitos especiais: Ensino Médio completo ou equivalente. Um ano de experiência na área. Capacidade de ficar em pé, sentado ou c"&amp;"aminhar por longos períodos ou durante todo o turno de trabalho. Alcançar objetos acima da cabeça e abaixo dos joelhos, incluindo flexionar, torcer, puxar e abaixar. Mover, levantar, carregar, empurrar, puxar e colocar objetos com peso igual ou inferior a"&amp;" 11 kg sem auxílio. É necessária verificação de antecedentes criminais pré-admissional; testes toxicológicos pós-admissionais serão realizados somente em caso de suspeita razoável. Número de horas por semana: 35 Horário de trabalho (início/término): 5h00 "&amp;"- 13h30")</f>
        <v>Responsabilidades: Preparar os ingredientes para o cozimento, incluindo porcionar, cortar e armazenar os alimentos. Lavar e descascar frutas e verduras frescas. Pesar, medir e misturar os ingredientes. Preparar e cozinhar os alimentos de acordo com as receitas, padrões de qualidade, padrões de apresentação e lista de verificação de preparação de alimentos. Preparar alimentos frios. Operar fornos, fogões, grelhas, micro-ondas e fritadeiras. Testar os alimentos para determinar se estão suficientemente cozidos. Monitorar a qualidade dos alimentos durante o preparo. Montar e desmontar a estação de trabalho. Servir os alimentos em porções adequadas em recipientes apropriados. Lavar e desinfetar a área da cozinha, mesas, utensílios, facas e equipamentos. Verificar e garantir a temperatura correta dos eletrodomésticos e dos alimentos. Outras tarefas relacionadas. Requisitos: Ensino Médio completo ou equivalente. Um ano de experiência na área. Capacidade de ficar em pé, sentado ou caminhar por longos períodos ou durante todo o turno de trabalho. Alcançar objetos acima da cabeça e abaixo dos joelhos, incluindo agachar, torcer, puxar e curvar-se. Mover, levantar, carregar, empurrar, puxar e colocar objetos com peso igual ou inferior a 11 kg sem auxílio. É necessária verificação de antecedentes criminais antes da contratação; testes toxicológicos pós-contratação serão realizados somente em caso de suspeita razoável. Salário: US$ 20,50 a US$ 24,50 por hora. Horas extras: US$ 30,75 a US$ 36,75 por hora. Elegível para diversos benefícios, incluindo previdência privada, reembolso de mensalidades escolares/universitárias, programa de bem-estar TakeCare, descontos no Marriott, descontos em passes de esqui, refeição gratuita por turno e prêmio de Anfitrião do Trimestre. Para obter a lista completa de benefícios, entre em contato com o RH. Turnos: 5h às 13h30; 6h às 14h30; 7h às 15h30; 8h às 16h30; 13h às 21h30; 14h às 22h30; 15h às 23h30. 16h00 – 00h30; 22h30 – 07h00. (5 dias rotativos, incluindo fins de semana). Classificação da vaga: 35-2014.00 - Cozinheiros, Restaurante. A classificação e descrição da vaga/setor incluem informações gerais sobre o cargo, de acordo com o ONET/OES e o Sistema de Classificação Industrial da América do Norte. Consulte as Funções e a Ordem de Serviço para obter mais informações. Requisitos da vaga: Experiência necessária: Sim. Meses de experiência necessários: 12. Requisitos especiais: Ensino Médio completo ou equivalente. Um ano de experiência na área. Capacidade de ficar em pé, sentado ou caminhar por longos períodos ou durante todo o turno de trabalho. Alcançar objetos acima da cabeça e abaixo dos joelhos, incluindo flexionar, torcer, puxar e abaixar. Mover, levantar, carregar, empurrar, puxar e colocar objetos com peso igual ou inferior a 11 kg sem auxílio. É necessária verificação de antecedentes criminais pré-admissional; testes toxicológicos pós-admissionais serão realizados somente em caso de suspeita razoável. Número de horas por semana: 35 Horário de trabalho (início/término): 5h00 - 13h30</v>
      </c>
    </row>
    <row r="2624" ht="20.25" customHeight="1">
      <c r="A2624" s="3" t="s">
        <v>11290</v>
      </c>
      <c r="B2624" s="3" t="s">
        <v>11291</v>
      </c>
      <c r="C2624" s="3" t="s">
        <v>8537</v>
      </c>
      <c r="D2624" s="3" t="s">
        <v>532</v>
      </c>
      <c r="E2624" s="4" t="s">
        <v>19</v>
      </c>
      <c r="F2624" s="4" t="s">
        <v>20</v>
      </c>
      <c r="G2624" s="4" t="s">
        <v>11292</v>
      </c>
      <c r="H2624" s="3" t="s">
        <v>11293</v>
      </c>
      <c r="I2624" s="3" t="s">
        <v>11294</v>
      </c>
      <c r="J2624" s="4">
        <v>27.16</v>
      </c>
      <c r="K2624" s="4">
        <v>25.0</v>
      </c>
      <c r="L2624" s="3" t="s">
        <v>11295</v>
      </c>
      <c r="M2624" s="3" t="s">
        <v>11296</v>
      </c>
      <c r="N2624" s="7" t="str">
        <f>IFERROR(__xludf.DUMMYFUNCTION("GOOGLETRANSLATE(L2624, ""en"", ""pt"")"),"Instalador de Natal")</f>
        <v>Instalador de Natal</v>
      </c>
      <c r="O2624" s="7" t="str">
        <f>IFERROR(__xludf.DUMMYFUNCTION("IF(M2624="""","""",GOOGLETRANSLATE(M2624,""en"",""pt""))"),"O Instalador de Decorações Natalinas segue ordens de serviço digitais detalhadas e instruções de supervisão no local para instalar decorações e iluminações natalinas de grande porte em locais de trabalho designados. As funções incluem montar, posicionar e"&amp;" fixar instalações decorativas, como guirlandas, enfeites para passagem, laços iluminados, decorações em postes e árvores de Natal com estrutura, variando de 2,4 a 15 metros de altura. A função exige o uso seguro de escadas e plataformas elevatórias, quan"&amp;"do devidamente certificadas, para acessar áreas de instalação elevadas. Os Instaladores de Decorações Natalinas são responsáveis ​​por transportar, manusear e instalar os materiais de decoração com cuidado para garantir a instalação adequada e evitar dano"&amp;"s aos componentes da decoração. Outras responsabilidades incluem solucionar problemas menores relacionados à instalação, como apertar ou substituir fixadores, reparar fiação danificada e substituir fios de luz danificados para garantir que as decorações s"&amp;"ejam instaladas com segurança e estejam em pleno funcionamento. O transporte de ida e volta para os locais de trabalho será fornecido pela empresa, a partir de um ponto de encontro centralizado em La Palma, CA. Opção de alojamento disponível para trabalha"&amp;"dores que residem fora da área de deslocamento diário. A empresa fornecerá refeições durante os turnos. Classificação da Função: 49-9099.00 - Trabalhadores de Instalação, Manutenção e Reparo, Outros. A classificação e descrição da função/setor inclui info"&amp;"rmações gerais sobre o cargo, de acordo com o ONET/OES e o Sistema de Classificação Industrial da América do Norte (NAICS). Consulte as Funções e a Ordem de Serviço para obter mais informações. Requisitos da Função Experiência Necessária: Sim Meses de Exp"&amp;"eriência Necessária: 3 Requisitos Especiais: 3 meses de experiência prévia em construção, instalação ou montagem de iluminação ou decoração natalina. Necessário ter disponibilidade para trabalhar ao ar livre por longos períodos em condições climáticas var"&amp;"iadas. Necessário ter capacidade física para levantar e mover até 23 kg e trabalhar em alturas de 7,5 a 30 metros. Necessário ter 21 anos ou mais. Necessário possuir carteira de habilitação válida. Necessário possuir um telefone celular em funcionamento. "&amp;"Os turnos são das 7h às 16h e das 15h às 24h, de domingo a sábado. A atribuição dos turnos será baseada na programação dos projetos. Horas extras de 5 a 10 horas, conforme necessário. O horário de início pode ser mais cedo ou mais tarde, dependendo da loc"&amp;"alização e do tamanho do projeto. O empregador fornecerá refeições durante os turnos. Gostaríamos de esclarecer as informações do Item F.a.5. Durante a semana de trabalho, que vai de domingo a sábado, os funcionários têm uma jornada de 40 horas semanais e"&amp;" recebem horas extras conforme necessário. O Item F.a.5 não nos permite inserir essa escala de trabalho. Se inserirmos 8 horas por dia, o sistema mostrará 56 horas semanais, o que não reflete com precisão a jornada de trabalho. O empregador realizará o te"&amp;"ste de altura/uso de escada. Número de horas por semana: 40. Horário de trabalho (início/término): 7h às 16h.")</f>
        <v>O Instalador de Decorações Natalinas segue ordens de serviço digitais detalhadas e instruções de supervisão no local para instalar decorações e iluminações natalinas de grande porte em locais de trabalho designados. As funções incluem montar, posicionar e fixar instalações decorativas, como guirlandas, enfeites para passagem, laços iluminados, decorações em postes e árvores de Natal com estrutura, variando de 2,4 a 15 metros de altura. A função exige o uso seguro de escadas e plataformas elevatórias, quando devidamente certificadas, para acessar áreas de instalação elevadas. Os Instaladores de Decorações Natalinas são responsáveis ​​por transportar, manusear e instalar os materiais de decoração com cuidado para garantir a instalação adequada e evitar danos aos componentes da decoração. Outras responsabilidades incluem solucionar problemas menores relacionados à instalação, como apertar ou substituir fixadores, reparar fiação danificada e substituir fios de luz danificados para garantir que as decorações sejam instaladas com segurança e estejam em pleno funcionamento. O transporte de ida e volta para os locais de trabalho será fornecido pela empresa, a partir de um ponto de encontro centralizado em La Palma, CA. Opção de alojamento disponível para trabalhadores que residem fora da área de deslocamento diário. A empresa fornecerá refeições durante os turnos. Classificação da Função: 49-9099.00 - Trabalhadores de Instalação, Manutenção e Reparo, Outros. A classificação e descrição da função/setor inclui informações gerais sobre o cargo, de acordo com o ONET/OES e o Sistema de Classificação Industrial da América do Norte (NAICS). Consulte as Funções e a Ordem de Serviço para obter mais informações. Requisitos da Função Experiência Necessária: Sim Meses de Experiência Necessária: 3 Requisitos Especiais: 3 meses de experiência prévia em construção, instalação ou montagem de iluminação ou decoração natalina. Necessário ter disponibilidade para trabalhar ao ar livre por longos períodos em condições climáticas variadas. Necessário ter capacidade física para levantar e mover até 23 kg e trabalhar em alturas de 7,5 a 30 metros. Necessário ter 21 anos ou mais. Necessário possuir carteira de habilitação válida. Necessário possuir um telefone celular em funcionamento. Os turnos são das 7h às 16h e das 15h às 24h, de domingo a sábado. A atribuição dos turnos será baseada na programação dos projetos. Horas extras de 5 a 10 horas, conforme necessário. O horário de início pode ser mais cedo ou mais tarde, dependendo da localização e do tamanho do projeto. O empregador fornecerá refeições durante os turnos. Gostaríamos de esclarecer as informações do Item F.a.5. Durante a semana de trabalho, que vai de domingo a sábado, os funcionários têm uma jornada de 40 horas semanais e recebem horas extras conforme necessário. O Item F.a.5 não nos permite inserir essa escala de trabalho. Se inserirmos 8 horas por dia, o sistema mostrará 56 horas semanais, o que não reflete com precisão a jornada de trabalho. O empregador realizará o teste de altura/uso de escada. Número de horas por semana: 40. Horário de trabalho (início/término): 7h às 16h.</v>
      </c>
    </row>
    <row r="2625" ht="20.25" customHeight="1">
      <c r="A2625" s="8" t="s">
        <v>11297</v>
      </c>
      <c r="B2625" s="8" t="s">
        <v>11298</v>
      </c>
      <c r="C2625" s="8"/>
      <c r="D2625" s="8" t="s">
        <v>109</v>
      </c>
      <c r="E2625" s="9" t="s">
        <v>19</v>
      </c>
      <c r="F2625" s="9" t="s">
        <v>20</v>
      </c>
      <c r="G2625" s="9" t="s">
        <v>377</v>
      </c>
      <c r="H2625" s="8" t="s">
        <v>11299</v>
      </c>
      <c r="I2625" s="8" t="s">
        <v>11300</v>
      </c>
      <c r="J2625" s="9">
        <v>17.84</v>
      </c>
      <c r="K2625" s="9">
        <v>1.0</v>
      </c>
      <c r="L2625" s="8" t="s">
        <v>5592</v>
      </c>
      <c r="M2625" s="8" t="s">
        <v>11301</v>
      </c>
      <c r="N2625" s="7" t="str">
        <f>IFERROR(__xludf.DUMMYFUNCTION("GOOGLETRANSLATE(L2625, ""en"", ""pt"")"),"Auxiliar de Cozinha")</f>
        <v>Auxiliar de Cozinha</v>
      </c>
      <c r="O2625" s="7" t="str">
        <f>IFERROR(__xludf.DUMMYFUNCTION("IF(M2625="""","""",GOOGLETRANSLATE(M2625,""en"",""pt""))"),"Preparar, temperar e cozinhar itens básicos de alimentação, como sopas, molhos e saladas. Realizar tarefas preliminares de preparação de alimentos, incluindo lavar, descascar, fatiar e picar legumes e frutas. Cortar, aparar e desossar carnes, aves e fruto"&amp;"s do mar. Medir e misturar ingredientes de acordo com as receitas. Manter a estação de trabalho limpa e higienizada, limpando as áreas de preparação de alimentos, equipamentos e utensílios. Monitorar e rotacionar o estoque de alimentos para garantir o fre"&amp;"scor (FIFO). Auxiliar os cozinheiros da linha de produção, reabastecendo as estações com os ingredientes necessários e itens preparados. Etiquetar e datar todos os recipientes de alimentos para armazenamento adequado e conformidade com as normas de segura"&amp;"nça. Classificação da vaga: 35-2014.00 - Cozinheiros, Restaurante. A classificação e descrição da vaga/setor incluem informações gerais sobre o cargo, de acordo com o ONET/OES e o Sistema de Classificação Industrial da América do Norte. Consulte as Funçõe"&amp;"s e a Ordem de Serviço para obter mais informações. Requisitos da vaga: Experiência necessária: Sim. Meses de experiência necessários: 12. Número de horas por semana: 40. Horário de trabalho (início/término): 11h. - 22:00")</f>
        <v>Preparar, temperar e cozinhar itens básicos de alimentação, como sopas, molhos e saladas. Realizar tarefas preliminares de preparação de alimentos, incluindo lavar, descascar, fatiar e picar legumes e frutas. Cortar, aparar e desossar carnes, aves e frutos do mar. Medir e misturar ingredientes de acordo com as receitas. Manter a estação de trabalho limpa e higienizada, limpando as áreas de preparação de alimentos, equipamentos e utensílios. Monitorar e rotacionar o estoque de alimentos para garantir o frescor (FIFO). Auxiliar os cozinheiros da linha de produção, reabastecendo as estações com os ingredientes necessários e itens preparados. Etiquetar e datar todos os recipientes de alimentos para armazenamento adequado e conformidade com as normas de segurança. Classificação da vaga: 35-2014.00 - Cozinheiros, Restaurante. A classificação e descrição da vaga/setor incluem informações gerais sobre o cargo, de acordo com o ONET/OES e o Sistema de Classificação Industrial da América do Norte. Consulte as Funções e a Ordem de Serviço para obter mais informações. Requisitos da vaga: Experiência necessária: Sim. Meses de experiência necessários: 12. Número de horas por semana: 40. Horário de trabalho (início/término): 11h. - 22:00</v>
      </c>
    </row>
    <row r="2626" ht="20.25" customHeight="1">
      <c r="A2626" s="3" t="s">
        <v>11302</v>
      </c>
      <c r="B2626" s="3" t="s">
        <v>11298</v>
      </c>
      <c r="C2626" s="3"/>
      <c r="D2626" s="3" t="s">
        <v>109</v>
      </c>
      <c r="E2626" s="4" t="s">
        <v>19</v>
      </c>
      <c r="F2626" s="4" t="s">
        <v>20</v>
      </c>
      <c r="G2626" s="4" t="s">
        <v>377</v>
      </c>
      <c r="H2626" s="3" t="s">
        <v>11299</v>
      </c>
      <c r="I2626" s="3" t="s">
        <v>11300</v>
      </c>
      <c r="J2626" s="4">
        <v>17.84</v>
      </c>
      <c r="K2626" s="4">
        <v>1.0</v>
      </c>
      <c r="L2626" s="3" t="s">
        <v>586</v>
      </c>
      <c r="M2626" s="3" t="s">
        <v>11303</v>
      </c>
      <c r="N2626" s="7" t="str">
        <f>IFERROR(__xludf.DUMMYFUNCTION("GOOGLETRANSLATE(L2626, ""en"", ""pt"")"),"Cozinheiro de linha")</f>
        <v>Cozinheiro de linha</v>
      </c>
      <c r="O2626" s="7" t="str">
        <f>IFERROR(__xludf.DUMMYFUNCTION("IF(M2626="""","""",GOOGLETRANSLATE(M2626,""en"",""pt""))"),"Preparar, temperar e cozinhar pratos como sopas, carnes, legumes ou sobremesas em um ambiente de restaurante de alto volume. Inspecionar e limpar as áreas de preparação de alimentos, superfícies e equipamentos de cozinha. Garantir o frescor dos alimentos "&amp;"e ingredientes, verificando a qualidade e fazendo o rodízio do estoque. Pesar, medir e misturar ingredientes de acordo com receitas específicas. Porcionar, arrumar e guarnecer os alimentos e servi-los aos garçons ou clientes. Manter altos padrões de higie"&amp;"ne, técnicas culinárias especializadas e gerenciamento de estações (por exemplo, estações de refogado, grelha ou fritura) durante o serviço de refeições. Classificação do Cargo: 35-2014.00 - Cozinheiros, Restaurante. A classificação e descrição do cargo/s"&amp;"etor inclui informações gerais sobre a posição, de acordo com o ONET/OES e o Sistema de Classificação Industrial da América do Norte. Consulte as Funções e a Ordem de Serviço para obter mais informações. Requisitos do Cargo: Experiência Necessária: Sim. M"&amp;"eses de Experiência Necessários: 12. Número de Horas por Semana: 40. Horário de Trabalho (Início/Término): 14h às 22h.")</f>
        <v>Preparar, temperar e cozinhar pratos como sopas, carnes, legumes ou sobremesas em um ambiente de restaurante de alto volume. Inspecionar e limpar as áreas de preparação de alimentos, superfícies e equipamentos de cozinha. Garantir o frescor dos alimentos e ingredientes, verificando a qualidade e fazendo o rodízio do estoque. Pesar, medir e misturar ingredientes de acordo com receitas específicas. Porcionar, arrumar e guarnecer os alimentos e servi-los aos garçons ou clientes. Manter altos padrões de higiene, técnicas culinárias especializadas e gerenciamento de estações (por exemplo, estações de refogado, grelha ou fritura) durante o serviço de refeições. Classificação do Cargo: 35-2014.00 - Cozinheiros, Restaurante. A classificação e descrição do cargo/setor inclui informações gerais sobre a posição, de acordo com o ONET/OES e o Sistema de Classificação Industrial da América do Norte. Consulte as Funções e a Ordem de Serviço para obter mais informações. Requisitos do Cargo: Experiência Necessária: Sim. Meses de Experiência Necessários: 12. Número de Horas por Semana: 40. Horário de Trabalho (Início/Término): 14h às 22h.</v>
      </c>
    </row>
  </sheetData>
  <autoFilter ref="$A$1:$M$2626">
    <sortState ref="A1:M2626">
      <sortCondition ref="B1:B2626"/>
    </sortState>
  </autoFilter>
  <hyperlinks>
    <hyperlink r:id="rId1" ref="H9"/>
    <hyperlink r:id="rId2" ref="H42"/>
    <hyperlink r:id="rId3" ref="H47"/>
    <hyperlink r:id="rId4" ref="H58"/>
    <hyperlink r:id="rId5" ref="H67"/>
    <hyperlink r:id="rId6" ref="H79"/>
    <hyperlink r:id="rId7" ref="H85"/>
    <hyperlink r:id="rId8" ref="H99"/>
    <hyperlink r:id="rId9" ref="H151"/>
    <hyperlink r:id="rId10" ref="H159"/>
    <hyperlink r:id="rId11" ref="H161"/>
    <hyperlink r:id="rId12" ref="H180"/>
    <hyperlink r:id="rId13" ref="H202"/>
    <hyperlink r:id="rId14" ref="H262"/>
    <hyperlink r:id="rId15" ref="H327"/>
    <hyperlink r:id="rId16" ref="H344"/>
    <hyperlink r:id="rId17" ref="H370"/>
    <hyperlink r:id="rId18" ref="H378"/>
    <hyperlink r:id="rId19" ref="H406"/>
    <hyperlink r:id="rId20" ref="H417"/>
    <hyperlink r:id="rId21" ref="H445"/>
    <hyperlink r:id="rId22" ref="H529"/>
    <hyperlink r:id="rId23" ref="H533"/>
    <hyperlink r:id="rId24" ref="H582"/>
    <hyperlink r:id="rId25" ref="H964"/>
    <hyperlink r:id="rId26" ref="H1018"/>
    <hyperlink r:id="rId27" ref="H1040"/>
    <hyperlink r:id="rId28" ref="H1041"/>
    <hyperlink r:id="rId29" ref="H1069"/>
    <hyperlink r:id="rId30" ref="H1169"/>
    <hyperlink r:id="rId31" ref="H1320"/>
    <hyperlink r:id="rId32" ref="H1358"/>
    <hyperlink r:id="rId33" ref="H1363"/>
    <hyperlink r:id="rId34" ref="H1419"/>
    <hyperlink r:id="rId35" ref="H1537"/>
    <hyperlink r:id="rId36" ref="H1578"/>
    <hyperlink r:id="rId37" ref="H1591"/>
    <hyperlink r:id="rId38" ref="H1615"/>
    <hyperlink r:id="rId39" ref="H1649"/>
    <hyperlink r:id="rId40" ref="H1683"/>
    <hyperlink r:id="rId41" ref="H1697"/>
    <hyperlink r:id="rId42" ref="H1882"/>
    <hyperlink r:id="rId43" ref="H2170"/>
    <hyperlink r:id="rId44" ref="H2171"/>
    <hyperlink r:id="rId45" ref="H2216"/>
    <hyperlink r:id="rId46" ref="H2227"/>
    <hyperlink r:id="rId47" ref="H2234"/>
    <hyperlink r:id="rId48" ref="H2445"/>
    <hyperlink r:id="rId49" ref="H2481"/>
  </hyperlinks>
  <printOptions/>
  <pageMargins bottom="1.0" footer="0.0" header="0.0" left="0.75" right="0.75" top="1.0"/>
  <pageSetup paperSize="9" orientation="portrait"/>
  <drawing r:id="rId50"/>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2026-07-10T14:57:29Z</dcterms:created>
  <dc:creator>openpyxl</dc:creator>
</cp:coreProperties>
</file>